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Pedro Henrick\Desktop\Pen drive\BAZA\VBOX\Resultados\1T24\"/>
    </mc:Choice>
  </mc:AlternateContent>
  <xr:revisionPtr revIDLastSave="0" documentId="13_ncr:1_{985952CC-277C-4BCF-AAA4-EF6FD1518963}" xr6:coauthVersionLast="47" xr6:coauthVersionMax="47" xr10:uidLastSave="{00000000-0000-0000-0000-000000000000}"/>
  <bookViews>
    <workbookView xWindow="28680" yWindow="2490" windowWidth="38640" windowHeight="15720" tabRatio="878" xr2:uid="{00000000-000D-0000-FFFF-FFFF00000000}"/>
  </bookViews>
  <sheets>
    <sheet name="Dashboard" sheetId="3" r:id="rId1"/>
    <sheet name="Ke" sheetId="2" r:id="rId2"/>
    <sheet name="Perpetuidade" sheetId="14" state="hidden" r:id="rId3"/>
    <sheet name="TIR" sheetId="10" state="hidden" r:id="rId4"/>
    <sheet name="DRE + DCF" sheetId="9" r:id="rId5"/>
    <sheet name="DRE - Cosif" sheetId="8" r:id="rId6"/>
    <sheet name="Balanço Patrimonial - Contábil" sheetId="4" r:id="rId7"/>
    <sheet name="Projeções - NIM" sheetId="7" r:id="rId8"/>
    <sheet name="Projeções Trimestrais" sheetId="13" r:id="rId9"/>
    <sheet name="Painel de Índices" sheetId="11" r:id="rId10"/>
  </sheets>
  <externalReferences>
    <externalReference r:id="rId11"/>
  </externalReferences>
  <definedNames>
    <definedName name="_xlnm._FilterDatabase" localSheetId="9" hidden="1">'Painel de Índices'!#REF!</definedName>
    <definedName name="ds" localSheetId="4">#REF!</definedName>
    <definedName name="ds" localSheetId="9">#REF!</definedName>
    <definedName name="ds" localSheetId="2">#REF!</definedName>
    <definedName name="ds" localSheetId="8">#REF!</definedName>
    <definedName name="ds" localSheetId="3">#REF!</definedName>
    <definedName name="ds">#REF!</definedName>
    <definedName name="InfImp22" localSheetId="0">#REF!</definedName>
    <definedName name="InfImp22" localSheetId="4">#REF!</definedName>
    <definedName name="InfImp22" localSheetId="9">#REF!</definedName>
    <definedName name="InfImp22" localSheetId="8">#REF!</definedName>
    <definedName name="InfImp22" localSheetId="3">'[1]Dados Complementares'!$F$11</definedName>
    <definedName name="InfImp22">#REF!</definedName>
    <definedName name="InfImp23" localSheetId="0">#REF!</definedName>
    <definedName name="InfImp23" localSheetId="4">#REF!</definedName>
    <definedName name="InfImp23" localSheetId="9">#REF!</definedName>
    <definedName name="InfImp23" localSheetId="8">#REF!</definedName>
    <definedName name="InfImp23" localSheetId="3">'[1]Dados Complementares'!$G$11</definedName>
    <definedName name="InfImp23">#REF!</definedName>
    <definedName name="InfImp24" localSheetId="0">#REF!</definedName>
    <definedName name="InfImp24" localSheetId="4">#REF!</definedName>
    <definedName name="InfImp24" localSheetId="9">#REF!</definedName>
    <definedName name="InfImp24" localSheetId="8">#REF!</definedName>
    <definedName name="InfImp24" localSheetId="3">'[1]Dados Complementares'!$H$11</definedName>
    <definedName name="InfImp24">#REF!</definedName>
    <definedName name="InfImp25" localSheetId="0">#REF!</definedName>
    <definedName name="InfImp25" localSheetId="4">#REF!</definedName>
    <definedName name="InfImp25" localSheetId="9">#REF!</definedName>
    <definedName name="InfImp25" localSheetId="8">#REF!</definedName>
    <definedName name="InfImp25" localSheetId="3">'[1]Dados Complementares'!$I$11</definedName>
    <definedName name="InfImp25">#REF!</definedName>
    <definedName name="InfImp26" localSheetId="0">#REF!</definedName>
    <definedName name="InfImp26" localSheetId="4">#REF!</definedName>
    <definedName name="InfImp26" localSheetId="9">#REF!</definedName>
    <definedName name="InfImp26" localSheetId="8">#REF!</definedName>
    <definedName name="InfImp26" localSheetId="3">'[1]Dados Complementares'!$J$11</definedName>
    <definedName name="InfImp26">#REF!</definedName>
    <definedName name="InfImp27" localSheetId="0">#REF!</definedName>
    <definedName name="InfImp27" localSheetId="4">#REF!</definedName>
    <definedName name="InfImp27" localSheetId="9">#REF!</definedName>
    <definedName name="InfImp27" localSheetId="8">#REF!</definedName>
    <definedName name="InfImp27" localSheetId="3">'[1]Dados Complementares'!$K$11</definedName>
    <definedName name="InfImp27">#REF!</definedName>
    <definedName name="InfImp28" localSheetId="0">#REF!</definedName>
    <definedName name="InfImp28" localSheetId="4">#REF!</definedName>
    <definedName name="InfImp28" localSheetId="9">#REF!</definedName>
    <definedName name="InfImp28" localSheetId="8">#REF!</definedName>
    <definedName name="InfImp28" localSheetId="3">'[1]Dados Complementares'!$L$11</definedName>
    <definedName name="InfImp28">#REF!</definedName>
    <definedName name="InfImp29" localSheetId="0">#REF!</definedName>
    <definedName name="InfImp29" localSheetId="4">#REF!</definedName>
    <definedName name="InfImp29" localSheetId="9">#REF!</definedName>
    <definedName name="InfImp29" localSheetId="8">#REF!</definedName>
    <definedName name="InfImp29" localSheetId="3">'[1]Dados Complementares'!$M$11</definedName>
    <definedName name="InfImp29">#REF!</definedName>
    <definedName name="InfImp30" localSheetId="0">#REF!</definedName>
    <definedName name="InfImp30" localSheetId="4">#REF!</definedName>
    <definedName name="InfImp30" localSheetId="9">#REF!</definedName>
    <definedName name="InfImp30" localSheetId="8">#REF!</definedName>
    <definedName name="InfImp30" localSheetId="3">'[1]Dados Complementares'!$N$11</definedName>
    <definedName name="InfImp30">#REF!</definedName>
    <definedName name="InfImp31" localSheetId="0">#REF!</definedName>
    <definedName name="InfImp31" localSheetId="4">#REF!</definedName>
    <definedName name="InfImp31" localSheetId="9">#REF!</definedName>
    <definedName name="InfImp31" localSheetId="8">#REF!</definedName>
    <definedName name="InfImp31" localSheetId="3">#REF!</definedName>
    <definedName name="InfImp31">#REF!</definedName>
    <definedName name="InfImp32" localSheetId="0">#REF!</definedName>
    <definedName name="InfImp32" localSheetId="4">#REF!</definedName>
    <definedName name="InfImp32" localSheetId="9">#REF!</definedName>
    <definedName name="InfImp32" localSheetId="8">#REF!</definedName>
    <definedName name="InfImp32" localSheetId="3">'[1]Dados Complementares'!$P$11</definedName>
    <definedName name="InfImp32">#REF!</definedName>
    <definedName name="p">#REF!</definedName>
    <definedName name="PIB22_China" localSheetId="0">#REF!</definedName>
    <definedName name="PIB22_China" localSheetId="4">#REF!</definedName>
    <definedName name="PIB22_China" localSheetId="9">#REF!</definedName>
    <definedName name="PIB22_China" localSheetId="8">#REF!</definedName>
    <definedName name="PIB22_China" localSheetId="3">#REF!</definedName>
    <definedName name="PIB22_China">#REF!</definedName>
    <definedName name="PIB22_Mundo" localSheetId="0">#REF!</definedName>
    <definedName name="PIB22_Mundo" localSheetId="4">#REF!</definedName>
    <definedName name="PIB22_Mundo" localSheetId="9">#REF!</definedName>
    <definedName name="PIB22_Mundo" localSheetId="8">#REF!</definedName>
    <definedName name="PIB22_Mundo" localSheetId="3">#REF!</definedName>
    <definedName name="PIB22_Mundo">#REF!</definedName>
    <definedName name="PIB23_China" localSheetId="0">#REF!</definedName>
    <definedName name="PIB23_China" localSheetId="4">#REF!</definedName>
    <definedName name="PIB23_China" localSheetId="9">#REF!</definedName>
    <definedName name="PIB23_China" localSheetId="8">#REF!</definedName>
    <definedName name="PIB23_China" localSheetId="3">#REF!</definedName>
    <definedName name="PIB23_China">#REF!</definedName>
    <definedName name="PIB23_Mundo" localSheetId="0">#REF!</definedName>
    <definedName name="PIB23_Mundo" localSheetId="4">#REF!</definedName>
    <definedName name="PIB23_Mundo" localSheetId="9">#REF!</definedName>
    <definedName name="PIB23_Mundo" localSheetId="8">#REF!</definedName>
    <definedName name="PIB23_Mundo" localSheetId="3">#REF!</definedName>
    <definedName name="PIB23_Mundo">#REF!</definedName>
    <definedName name="PIB24_China" localSheetId="0">#REF!</definedName>
    <definedName name="PIB24_China" localSheetId="4">#REF!</definedName>
    <definedName name="PIB24_China" localSheetId="9">#REF!</definedName>
    <definedName name="PIB24_China" localSheetId="8">#REF!</definedName>
    <definedName name="PIB24_China" localSheetId="3">#REF!</definedName>
    <definedName name="PIB24_China">#REF!</definedName>
    <definedName name="PIB24_Mundo" localSheetId="0">#REF!</definedName>
    <definedName name="PIB24_Mundo" localSheetId="4">#REF!</definedName>
    <definedName name="PIB24_Mundo" localSheetId="9">#REF!</definedName>
    <definedName name="PIB24_Mundo" localSheetId="8">#REF!</definedName>
    <definedName name="PIB24_Mundo" localSheetId="3">#REF!</definedName>
    <definedName name="PIB24_Mundo">#REF!</definedName>
    <definedName name="PIB25_China" localSheetId="0">#REF!</definedName>
    <definedName name="PIB25_China" localSheetId="4">#REF!</definedName>
    <definedName name="PIB25_China" localSheetId="9">#REF!</definedName>
    <definedName name="PIB25_China" localSheetId="8">#REF!</definedName>
    <definedName name="PIB25_China" localSheetId="3">#REF!</definedName>
    <definedName name="PIB25_China">#REF!</definedName>
    <definedName name="PIB25_Mundo" localSheetId="0">#REF!</definedName>
    <definedName name="PIB25_Mundo" localSheetId="4">#REF!</definedName>
    <definedName name="PIB25_Mundo" localSheetId="9">#REF!</definedName>
    <definedName name="PIB25_Mundo" localSheetId="8">#REF!</definedName>
    <definedName name="PIB25_Mundo" localSheetId="3">#REF!</definedName>
    <definedName name="PIB25_Mundo">#REF!</definedName>
    <definedName name="PIB26_ARGENTINA" localSheetId="0">#REF!</definedName>
    <definedName name="PIB26_ARGENTINA" localSheetId="4">#REF!</definedName>
    <definedName name="PIB26_ARGENTINA" localSheetId="9">#REF!</definedName>
    <definedName name="PIB26_ARGENTINA" localSheetId="8">#REF!</definedName>
    <definedName name="PIB26_ARGENTINA" localSheetId="3">#REF!</definedName>
    <definedName name="PIB26_ARGENTINA">#REF!</definedName>
    <definedName name="PIB26_BRASIL" localSheetId="0">#REF!</definedName>
    <definedName name="PIB26_BRASIL" localSheetId="4">#REF!</definedName>
    <definedName name="PIB26_BRASIL" localSheetId="9">#REF!</definedName>
    <definedName name="PIB26_BRASIL" localSheetId="8">#REF!</definedName>
    <definedName name="PIB26_BRASIL" localSheetId="3">'[1]Dados Complementares'!$J$14</definedName>
    <definedName name="PIB26_BRASIL">#REF!</definedName>
    <definedName name="PIB26_CHINA" localSheetId="0">#REF!</definedName>
    <definedName name="PIB26_CHINA" localSheetId="4">#REF!</definedName>
    <definedName name="PIB26_CHINA" localSheetId="9">#REF!</definedName>
    <definedName name="PIB26_CHINA" localSheetId="8">#REF!</definedName>
    <definedName name="PIB26_CHINA" localSheetId="3">'[1]Dados Complementares'!$J$15</definedName>
    <definedName name="PIB26_CHINA">#REF!</definedName>
    <definedName name="PIB26_EUA" localSheetId="0">#REF!</definedName>
    <definedName name="PIB26_EUA" localSheetId="4">#REF!</definedName>
    <definedName name="PIB26_EUA" localSheetId="9">#REF!</definedName>
    <definedName name="PIB26_EUA" localSheetId="8">#REF!</definedName>
    <definedName name="PIB26_EUA" localSheetId="3">#REF!</definedName>
    <definedName name="PIB26_EUA">#REF!</definedName>
    <definedName name="PIB26_EUROPA" localSheetId="0">#REF!</definedName>
    <definedName name="PIB26_EUROPA" localSheetId="4">#REF!</definedName>
    <definedName name="PIB26_EUROPA" localSheetId="9">#REF!</definedName>
    <definedName name="PIB26_EUROPA" localSheetId="8">#REF!</definedName>
    <definedName name="PIB26_EUROPA" localSheetId="3">#REF!</definedName>
    <definedName name="PIB26_EUROPA">#REF!</definedName>
    <definedName name="PIB26_INDIA" localSheetId="0">#REF!</definedName>
    <definedName name="PIB26_INDIA" localSheetId="4">#REF!</definedName>
    <definedName name="PIB26_INDIA" localSheetId="9">#REF!</definedName>
    <definedName name="PIB26_INDIA" localSheetId="8">#REF!</definedName>
    <definedName name="PIB26_INDIA" localSheetId="3">'[1]Dados Complementares'!$J$16</definedName>
    <definedName name="PIB26_INDIA">#REF!</definedName>
    <definedName name="PIB26_MEXICO" localSheetId="0">#REF!</definedName>
    <definedName name="PIB26_MEXICO" localSheetId="4">#REF!</definedName>
    <definedName name="PIB26_MEXICO" localSheetId="9">#REF!</definedName>
    <definedName name="PIB26_MEXICO" localSheetId="8">#REF!</definedName>
    <definedName name="PIB26_MEXICO" localSheetId="3">#REF!</definedName>
    <definedName name="PIB26_MEXICO">#REF!</definedName>
    <definedName name="PIB26_MUNDO" localSheetId="0">#REF!</definedName>
    <definedName name="PIB26_MUNDO" localSheetId="4">#REF!</definedName>
    <definedName name="PIB26_MUNDO" localSheetId="9">#REF!</definedName>
    <definedName name="PIB26_MUNDO" localSheetId="8">#REF!</definedName>
    <definedName name="PIB26_MUNDO" localSheetId="3">'[1]Dados Complementares'!$J$20</definedName>
    <definedName name="PIB26_MUNDO">#REF!</definedName>
    <definedName name="PIB27_ARGENTINA" localSheetId="0">#REF!</definedName>
    <definedName name="PIB27_ARGENTINA" localSheetId="4">#REF!</definedName>
    <definedName name="PIB27_ARGENTINA" localSheetId="9">#REF!</definedName>
    <definedName name="PIB27_ARGENTINA" localSheetId="8">#REF!</definedName>
    <definedName name="PIB27_ARGENTINA" localSheetId="3">#REF!</definedName>
    <definedName name="PIB27_ARGENTINA">#REF!</definedName>
    <definedName name="PIB27_BRASIL" localSheetId="0">#REF!</definedName>
    <definedName name="PIB27_BRASIL" localSheetId="4">#REF!</definedName>
    <definedName name="PIB27_BRASIL" localSheetId="9">#REF!</definedName>
    <definedName name="PIB27_BRASIL" localSheetId="8">#REF!</definedName>
    <definedName name="PIB27_BRASIL" localSheetId="3">'[1]Dados Complementares'!$K$14</definedName>
    <definedName name="PIB27_BRASIL">#REF!</definedName>
    <definedName name="PIB27_CHINA" localSheetId="0">#REF!</definedName>
    <definedName name="PIB27_CHINA" localSheetId="4">#REF!</definedName>
    <definedName name="PIB27_CHINA" localSheetId="9">#REF!</definedName>
    <definedName name="PIB27_CHINA" localSheetId="8">#REF!</definedName>
    <definedName name="PIB27_CHINA" localSheetId="3">#REF!</definedName>
    <definedName name="PIB27_CHINA">#REF!</definedName>
    <definedName name="PIB27_EUA" localSheetId="0">#REF!</definedName>
    <definedName name="PIB27_EUA" localSheetId="4">#REF!</definedName>
    <definedName name="PIB27_EUA" localSheetId="9">#REF!</definedName>
    <definedName name="PIB27_EUA" localSheetId="8">#REF!</definedName>
    <definedName name="PIB27_EUA" localSheetId="3">#REF!</definedName>
    <definedName name="PIB27_EUA">#REF!</definedName>
    <definedName name="PIB27_EUROPA" localSheetId="0">#REF!</definedName>
    <definedName name="PIB27_EUROPA" localSheetId="4">#REF!</definedName>
    <definedName name="PIB27_EUROPA" localSheetId="9">#REF!</definedName>
    <definedName name="PIB27_EUROPA" localSheetId="8">#REF!</definedName>
    <definedName name="PIB27_EUROPA" localSheetId="3">#REF!</definedName>
    <definedName name="PIB27_EUROPA">#REF!</definedName>
    <definedName name="PIB27_INDIA" localSheetId="0">#REF!</definedName>
    <definedName name="PIB27_INDIA" localSheetId="4">#REF!</definedName>
    <definedName name="PIB27_INDIA" localSheetId="9">#REF!</definedName>
    <definedName name="PIB27_INDIA" localSheetId="8">#REF!</definedName>
    <definedName name="PIB27_INDIA" localSheetId="3">'[1]Dados Complementares'!$K$16</definedName>
    <definedName name="PIB27_INDIA">#REF!</definedName>
    <definedName name="PIB27_MEXICO" localSheetId="0">#REF!</definedName>
    <definedName name="PIB27_MEXICO" localSheetId="4">#REF!</definedName>
    <definedName name="PIB27_MEXICO" localSheetId="9">#REF!</definedName>
    <definedName name="PIB27_MEXICO" localSheetId="8">#REF!</definedName>
    <definedName name="PIB27_MEXICO" localSheetId="3">#REF!</definedName>
    <definedName name="PIB27_MEXICO">#REF!</definedName>
    <definedName name="PIB27_MUNDO" localSheetId="0">#REF!</definedName>
    <definedName name="PIB27_MUNDO" localSheetId="4">#REF!</definedName>
    <definedName name="PIB27_MUNDO" localSheetId="9">#REF!</definedName>
    <definedName name="PIB27_MUNDO" localSheetId="8">#REF!</definedName>
    <definedName name="PIB27_MUNDO" localSheetId="3">#REF!</definedName>
    <definedName name="PIB27_MUND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1" l="1"/>
  <c r="H4" i="13"/>
  <c r="K4" i="7"/>
  <c r="L4" i="4"/>
  <c r="L4" i="8"/>
  <c r="J4" i="9"/>
  <c r="K4" i="2"/>
  <c r="P58" i="4"/>
  <c r="I13" i="3"/>
  <c r="F16" i="2"/>
  <c r="G16" i="2"/>
  <c r="H16" i="2"/>
  <c r="I16" i="2"/>
  <c r="J16" i="2"/>
  <c r="K16" i="2"/>
  <c r="L16" i="2"/>
  <c r="M16" i="2"/>
  <c r="N16" i="2"/>
  <c r="O16" i="2"/>
  <c r="I4" i="14"/>
  <c r="Y31" i="9" l="1"/>
  <c r="T58" i="9"/>
  <c r="U58" i="9" s="1"/>
  <c r="O58" i="9"/>
  <c r="P58" i="9" s="1"/>
  <c r="Q58" i="9" s="1"/>
  <c r="R58" i="9" s="1"/>
  <c r="S58" i="9" s="1"/>
  <c r="N58" i="9"/>
  <c r="V58" i="9"/>
  <c r="V131" i="8"/>
  <c r="N25" i="7"/>
  <c r="L38" i="7"/>
  <c r="L25" i="7"/>
  <c r="O25" i="7"/>
  <c r="K69" i="4"/>
  <c r="K68" i="4" s="1"/>
  <c r="J69" i="4"/>
  <c r="J68" i="4" s="1"/>
  <c r="I69" i="4"/>
  <c r="I68" i="4" s="1"/>
  <c r="H69" i="4"/>
  <c r="G69" i="4"/>
  <c r="F69" i="4"/>
  <c r="K124" i="4"/>
  <c r="J124" i="4"/>
  <c r="I124" i="4"/>
  <c r="H124" i="4"/>
  <c r="G124" i="4"/>
  <c r="F124" i="4"/>
  <c r="F68" i="4" s="1"/>
  <c r="G68" i="4"/>
  <c r="H68" i="4"/>
  <c r="P180" i="7"/>
  <c r="Q180" i="7"/>
  <c r="R180" i="7"/>
  <c r="S180" i="7"/>
  <c r="T180" i="7"/>
  <c r="U180" i="7"/>
  <c r="O180" i="7"/>
  <c r="N180" i="7"/>
  <c r="J39" i="13"/>
  <c r="Q39" i="13" s="1"/>
  <c r="J38" i="13"/>
  <c r="Q38" i="13" s="1"/>
  <c r="J37" i="13"/>
  <c r="Q37" i="13" s="1"/>
  <c r="J36" i="13"/>
  <c r="Q36" i="13" s="1"/>
  <c r="J35" i="13"/>
  <c r="Q35" i="13" s="1"/>
  <c r="J34" i="13"/>
  <c r="Q34" i="13" s="1"/>
  <c r="J33" i="13"/>
  <c r="Q33" i="13" s="1"/>
  <c r="J32" i="13"/>
  <c r="Q32" i="13" s="1"/>
  <c r="J31" i="13"/>
  <c r="Q31" i="13" s="1"/>
  <c r="J30" i="13"/>
  <c r="Q30" i="13" s="1"/>
  <c r="J22" i="13"/>
  <c r="J23" i="13"/>
  <c r="Q23" i="13" s="1"/>
  <c r="J24" i="13"/>
  <c r="Q24" i="13" s="1"/>
  <c r="J25" i="13"/>
  <c r="Q25" i="13" s="1"/>
  <c r="N236" i="8"/>
  <c r="K46" i="9"/>
  <c r="K44" i="9"/>
  <c r="K45" i="9" s="1"/>
  <c r="K48" i="9"/>
  <c r="K47" i="9"/>
  <c r="K43" i="9"/>
  <c r="J44" i="9"/>
  <c r="J45" i="9" s="1"/>
  <c r="J46" i="9"/>
  <c r="K58" i="9"/>
  <c r="K56" i="9"/>
  <c r="K55" i="9"/>
  <c r="K54" i="9"/>
  <c r="K53" i="9"/>
  <c r="J58" i="9"/>
  <c r="J53" i="9"/>
  <c r="J55" i="9" s="1"/>
  <c r="J25" i="9"/>
  <c r="L20" i="9"/>
  <c r="J20" i="9"/>
  <c r="K10" i="9"/>
  <c r="J10" i="9"/>
  <c r="L74" i="8"/>
  <c r="K207" i="8"/>
  <c r="M207" i="8" s="1"/>
  <c r="K206" i="8"/>
  <c r="M206" i="8" s="1"/>
  <c r="K204" i="8"/>
  <c r="K203" i="8"/>
  <c r="K201" i="8"/>
  <c r="K200" i="8"/>
  <c r="K197" i="8" s="1"/>
  <c r="K179" i="8" s="1"/>
  <c r="L236" i="8"/>
  <c r="J198" i="8"/>
  <c r="J180" i="8" s="1"/>
  <c r="J197" i="8"/>
  <c r="J179" i="8" s="1"/>
  <c r="J177" i="8"/>
  <c r="J187" i="8"/>
  <c r="J190" i="8"/>
  <c r="J191" i="8"/>
  <c r="J74" i="8"/>
  <c r="J72" i="8"/>
  <c r="J70" i="8"/>
  <c r="J22" i="9" s="1"/>
  <c r="K230" i="8"/>
  <c r="K191" i="8" s="1"/>
  <c r="K229" i="8"/>
  <c r="M229" i="8" s="1"/>
  <c r="K227" i="8"/>
  <c r="M227" i="8" s="1"/>
  <c r="K226" i="8"/>
  <c r="M226" i="8" s="1"/>
  <c r="K223" i="8"/>
  <c r="K221" i="8"/>
  <c r="J213" i="8"/>
  <c r="J218" i="8"/>
  <c r="K218" i="8" s="1"/>
  <c r="J216" i="8"/>
  <c r="J185" i="8" s="1"/>
  <c r="J168" i="8"/>
  <c r="K77" i="8"/>
  <c r="K168" i="8" s="1"/>
  <c r="J239" i="13"/>
  <c r="Q239" i="13" s="1"/>
  <c r="J238" i="13"/>
  <c r="Q238" i="13" s="1"/>
  <c r="J237" i="13"/>
  <c r="Q237" i="13" s="1"/>
  <c r="Q240" i="13" s="1"/>
  <c r="J167" i="8"/>
  <c r="K167" i="8"/>
  <c r="L167" i="8"/>
  <c r="M167" i="8"/>
  <c r="K151" i="8"/>
  <c r="J151" i="8"/>
  <c r="J150" i="8"/>
  <c r="J144" i="8"/>
  <c r="J143" i="8"/>
  <c r="J128" i="8"/>
  <c r="J127" i="8"/>
  <c r="J121" i="8"/>
  <c r="J120" i="8"/>
  <c r="J110" i="8"/>
  <c r="J109" i="8"/>
  <c r="J99" i="8"/>
  <c r="J98" i="8"/>
  <c r="J88" i="8"/>
  <c r="J87" i="8"/>
  <c r="J86" i="8"/>
  <c r="J85" i="8"/>
  <c r="J84" i="8"/>
  <c r="J136" i="8"/>
  <c r="K68" i="8"/>
  <c r="M68" i="8" s="1"/>
  <c r="N50" i="8"/>
  <c r="J232" i="13"/>
  <c r="Q232" i="13" s="1"/>
  <c r="J231" i="13"/>
  <c r="Q231" i="13" s="1"/>
  <c r="J230" i="13"/>
  <c r="Q230" i="13" s="1"/>
  <c r="J225" i="13"/>
  <c r="Q225" i="13" s="1"/>
  <c r="J224" i="13"/>
  <c r="Q224" i="13" s="1"/>
  <c r="J223" i="13"/>
  <c r="Q223" i="13" s="1"/>
  <c r="J218" i="13"/>
  <c r="Q218" i="13" s="1"/>
  <c r="J217" i="13"/>
  <c r="Q217" i="13" s="1"/>
  <c r="J216" i="13"/>
  <c r="Q216" i="13" s="1"/>
  <c r="J211" i="13"/>
  <c r="Q211" i="13" s="1"/>
  <c r="J210" i="13"/>
  <c r="Q210" i="13" s="1"/>
  <c r="J209" i="13"/>
  <c r="Q209" i="13" s="1"/>
  <c r="J204" i="13"/>
  <c r="Q204" i="13" s="1"/>
  <c r="J203" i="13"/>
  <c r="Q203" i="13" s="1"/>
  <c r="J202" i="13"/>
  <c r="Q202" i="13" s="1"/>
  <c r="Q205" i="13" s="1"/>
  <c r="J197" i="13"/>
  <c r="Q197" i="13" s="1"/>
  <c r="J196" i="13"/>
  <c r="Q196" i="13" s="1"/>
  <c r="J195" i="13"/>
  <c r="Q195" i="13" s="1"/>
  <c r="J190" i="13"/>
  <c r="Q190" i="13" s="1"/>
  <c r="J189" i="13"/>
  <c r="Q189" i="13" s="1"/>
  <c r="J188" i="13"/>
  <c r="Q188" i="13" s="1"/>
  <c r="K65" i="8"/>
  <c r="K63" i="8"/>
  <c r="K61" i="8"/>
  <c r="K59" i="8"/>
  <c r="K150" i="8" s="1"/>
  <c r="K152" i="8" s="1"/>
  <c r="K55" i="8"/>
  <c r="K143" i="8" s="1"/>
  <c r="K53" i="8"/>
  <c r="K136" i="8" s="1"/>
  <c r="K51" i="8"/>
  <c r="K49" i="8"/>
  <c r="J57" i="8"/>
  <c r="J162" i="8" s="1"/>
  <c r="J47" i="8"/>
  <c r="J161" i="8" s="1"/>
  <c r="K45" i="8"/>
  <c r="K128" i="8" s="1"/>
  <c r="K43" i="8"/>
  <c r="K120" i="8" s="1"/>
  <c r="K41" i="8"/>
  <c r="K110" i="8" s="1"/>
  <c r="K39" i="8"/>
  <c r="K109" i="8" s="1"/>
  <c r="K37" i="8"/>
  <c r="K99" i="8" s="1"/>
  <c r="K35" i="8"/>
  <c r="K98" i="8" s="1"/>
  <c r="K31" i="8"/>
  <c r="K127" i="8" s="1"/>
  <c r="K29" i="8"/>
  <c r="K87" i="8" s="1"/>
  <c r="K27" i="8"/>
  <c r="K86" i="8" s="1"/>
  <c r="K25" i="8"/>
  <c r="K85" i="8" s="1"/>
  <c r="K23" i="8"/>
  <c r="K84" i="8" s="1"/>
  <c r="J162" i="13"/>
  <c r="Q162" i="13" s="1"/>
  <c r="Q163" i="13" s="1"/>
  <c r="J163" i="13" s="1"/>
  <c r="L41" i="8" s="1"/>
  <c r="J161" i="13"/>
  <c r="Q161" i="13" s="1"/>
  <c r="J160" i="13"/>
  <c r="Q160" i="13" s="1"/>
  <c r="J124" i="13"/>
  <c r="Q124" i="13" s="1"/>
  <c r="J183" i="13"/>
  <c r="Q183" i="13" s="1"/>
  <c r="J182" i="13"/>
  <c r="Q182" i="13" s="1"/>
  <c r="J181" i="13"/>
  <c r="Q181" i="13" s="1"/>
  <c r="J176" i="13"/>
  <c r="Q176" i="13" s="1"/>
  <c r="J175" i="13"/>
  <c r="Q175" i="13" s="1"/>
  <c r="Q177" i="13" s="1"/>
  <c r="J174" i="13"/>
  <c r="Q174" i="13" s="1"/>
  <c r="J169" i="13"/>
  <c r="Q169" i="13" s="1"/>
  <c r="J168" i="13"/>
  <c r="Q168" i="13" s="1"/>
  <c r="J167" i="13"/>
  <c r="Q167" i="13" s="1"/>
  <c r="J155" i="13"/>
  <c r="Q155" i="13" s="1"/>
  <c r="J154" i="13"/>
  <c r="Q154" i="13" s="1"/>
  <c r="J153" i="13"/>
  <c r="Q153" i="13" s="1"/>
  <c r="J148" i="13"/>
  <c r="Q148" i="13" s="1"/>
  <c r="J147" i="13"/>
  <c r="Q147" i="13" s="1"/>
  <c r="J146" i="13"/>
  <c r="Q146" i="13" s="1"/>
  <c r="J145" i="13"/>
  <c r="Q145" i="13" s="1"/>
  <c r="J144" i="13"/>
  <c r="Q144" i="13" s="1"/>
  <c r="J143" i="13"/>
  <c r="Q143" i="13" s="1"/>
  <c r="J142" i="13"/>
  <c r="Q142" i="13" s="1"/>
  <c r="J137" i="13"/>
  <c r="Q137" i="13" s="1"/>
  <c r="J136" i="13"/>
  <c r="Q136" i="13" s="1"/>
  <c r="J135" i="13"/>
  <c r="Q135" i="13" s="1"/>
  <c r="J134" i="13"/>
  <c r="Q134" i="13" s="1"/>
  <c r="J133" i="13"/>
  <c r="Q133" i="13" s="1"/>
  <c r="J132" i="13"/>
  <c r="Q132" i="13" s="1"/>
  <c r="J131" i="13"/>
  <c r="Q131" i="13" s="1"/>
  <c r="J126" i="13"/>
  <c r="Q126" i="13" s="1"/>
  <c r="J125" i="13"/>
  <c r="Q125" i="13" s="1"/>
  <c r="J123" i="13"/>
  <c r="Q123" i="13" s="1"/>
  <c r="J122" i="13"/>
  <c r="Q122" i="13" s="1"/>
  <c r="J121" i="13"/>
  <c r="Q121" i="13" s="1"/>
  <c r="J120" i="13"/>
  <c r="Q120" i="13" s="1"/>
  <c r="J115" i="13"/>
  <c r="Q115" i="13" s="1"/>
  <c r="J114" i="13"/>
  <c r="Q114" i="13" s="1"/>
  <c r="J113" i="13"/>
  <c r="Q113" i="13" s="1"/>
  <c r="J112" i="13"/>
  <c r="Q112" i="13" s="1"/>
  <c r="J111" i="13"/>
  <c r="Q111" i="13" s="1"/>
  <c r="J110" i="13"/>
  <c r="Q110" i="13" s="1"/>
  <c r="J109" i="13"/>
  <c r="Q109" i="13" s="1"/>
  <c r="J104" i="13"/>
  <c r="Q104" i="13" s="1"/>
  <c r="J103" i="13"/>
  <c r="Q103" i="13" s="1"/>
  <c r="J102" i="13"/>
  <c r="Q102" i="13" s="1"/>
  <c r="J101" i="13"/>
  <c r="Q101" i="13" s="1"/>
  <c r="J100" i="13"/>
  <c r="Q100" i="13" s="1"/>
  <c r="J99" i="13"/>
  <c r="Q99" i="13" s="1"/>
  <c r="J98" i="13"/>
  <c r="Q98" i="13" s="1"/>
  <c r="J93" i="13"/>
  <c r="Q93" i="13" s="1"/>
  <c r="J92" i="13"/>
  <c r="Q92" i="13" s="1"/>
  <c r="J91" i="13"/>
  <c r="Q91" i="13" s="1"/>
  <c r="J90" i="13"/>
  <c r="Q90" i="13" s="1"/>
  <c r="J89" i="13"/>
  <c r="Q89" i="13" s="1"/>
  <c r="J88" i="13"/>
  <c r="Q88" i="13" s="1"/>
  <c r="J87" i="13"/>
  <c r="Q87" i="13" s="1"/>
  <c r="J77" i="13"/>
  <c r="Q77" i="13" s="1"/>
  <c r="J78" i="13"/>
  <c r="Q78" i="13" s="1"/>
  <c r="J79" i="13"/>
  <c r="Q79" i="13" s="1"/>
  <c r="J80" i="13"/>
  <c r="Q80" i="13" s="1"/>
  <c r="J81" i="13"/>
  <c r="Q81" i="13" s="1"/>
  <c r="J82" i="13"/>
  <c r="Q82" i="13" s="1"/>
  <c r="J76" i="13"/>
  <c r="Q76" i="13" s="1"/>
  <c r="I21" i="8"/>
  <c r="J33" i="8"/>
  <c r="J21" i="8"/>
  <c r="J12" i="8"/>
  <c r="K12" i="8"/>
  <c r="V180" i="7"/>
  <c r="I191" i="7"/>
  <c r="I187" i="7"/>
  <c r="J71" i="13"/>
  <c r="Q71" i="13" s="1"/>
  <c r="J70" i="13"/>
  <c r="Q70" i="13" s="1"/>
  <c r="J69" i="13"/>
  <c r="Q69" i="13" s="1"/>
  <c r="J68" i="13"/>
  <c r="Q68" i="13" s="1"/>
  <c r="J63" i="13"/>
  <c r="Q63" i="13" s="1"/>
  <c r="J62" i="13"/>
  <c r="Q62" i="13" s="1"/>
  <c r="J61" i="13"/>
  <c r="Q61" i="13" s="1"/>
  <c r="J60" i="13"/>
  <c r="Q60" i="13" s="1"/>
  <c r="K185" i="7"/>
  <c r="J47" i="13"/>
  <c r="Q47" i="13" s="1"/>
  <c r="J46" i="13"/>
  <c r="Q46" i="13" s="1"/>
  <c r="J45" i="13"/>
  <c r="Q45" i="13" s="1"/>
  <c r="J44" i="13"/>
  <c r="I54" i="13"/>
  <c r="H54" i="13"/>
  <c r="H53" i="13"/>
  <c r="H52" i="13"/>
  <c r="G54" i="13"/>
  <c r="G53" i="13"/>
  <c r="G52" i="13"/>
  <c r="F54" i="13"/>
  <c r="F53" i="13"/>
  <c r="F52" i="13"/>
  <c r="I53" i="13"/>
  <c r="J53" i="13" s="1"/>
  <c r="I52" i="13"/>
  <c r="J52" i="13" s="1"/>
  <c r="J55" i="13"/>
  <c r="Q55" i="13" s="1"/>
  <c r="J12" i="13"/>
  <c r="Q12" i="13" s="1"/>
  <c r="J13" i="13"/>
  <c r="Q13" i="13" s="1"/>
  <c r="J17" i="13"/>
  <c r="Q17" i="13" s="1"/>
  <c r="J16" i="13"/>
  <c r="Q16" i="13" s="1"/>
  <c r="J15" i="13"/>
  <c r="Q15" i="13" s="1"/>
  <c r="J14" i="13"/>
  <c r="Q14" i="13" s="1"/>
  <c r="J11" i="13"/>
  <c r="Q11" i="13" s="1"/>
  <c r="Q40" i="13" l="1"/>
  <c r="J40" i="13" s="1"/>
  <c r="L54" i="9" s="1"/>
  <c r="L56" i="9" s="1"/>
  <c r="Q26" i="13"/>
  <c r="J26" i="13" s="1"/>
  <c r="Q233" i="13"/>
  <c r="J233" i="13" s="1"/>
  <c r="L65" i="8" s="1"/>
  <c r="M65" i="8" s="1"/>
  <c r="M66" i="8" s="1"/>
  <c r="Q170" i="13"/>
  <c r="J170" i="13" s="1"/>
  <c r="L43" i="8" s="1"/>
  <c r="L120" i="8" s="1"/>
  <c r="Q212" i="13"/>
  <c r="J212" i="13" s="1"/>
  <c r="L59" i="8" s="1"/>
  <c r="L150" i="8" s="1"/>
  <c r="Q226" i="13"/>
  <c r="J226" i="13" s="1"/>
  <c r="L63" i="8" s="1"/>
  <c r="M63" i="8" s="1"/>
  <c r="M64" i="8" s="1"/>
  <c r="Q184" i="13"/>
  <c r="J184" i="13" s="1"/>
  <c r="L49" i="8" s="1"/>
  <c r="M49" i="8" s="1"/>
  <c r="K144" i="8"/>
  <c r="J14" i="9"/>
  <c r="J19" i="8"/>
  <c r="K74" i="8"/>
  <c r="J16" i="9"/>
  <c r="M230" i="8"/>
  <c r="K25" i="9"/>
  <c r="K190" i="8"/>
  <c r="K20" i="9"/>
  <c r="K47" i="8"/>
  <c r="K198" i="8"/>
  <c r="K180" i="8" s="1"/>
  <c r="K187" i="8"/>
  <c r="K72" i="8"/>
  <c r="K33" i="8"/>
  <c r="J214" i="8"/>
  <c r="M41" i="8"/>
  <c r="M42" i="8" s="1"/>
  <c r="K216" i="8"/>
  <c r="K214" i="8"/>
  <c r="J152" i="8"/>
  <c r="K177" i="8"/>
  <c r="J89" i="8"/>
  <c r="K145" i="8"/>
  <c r="K21" i="8"/>
  <c r="J160" i="8"/>
  <c r="L110" i="8"/>
  <c r="J122" i="8"/>
  <c r="J145" i="8"/>
  <c r="K57" i="8"/>
  <c r="J129" i="8"/>
  <c r="J130" i="8" s="1"/>
  <c r="K121" i="8"/>
  <c r="K122" i="8" s="1"/>
  <c r="J240" i="13"/>
  <c r="Q219" i="13"/>
  <c r="J219" i="13" s="1"/>
  <c r="L61" i="8" s="1"/>
  <c r="M61" i="8" s="1"/>
  <c r="M62" i="8" s="1"/>
  <c r="J205" i="13"/>
  <c r="L55" i="8" s="1"/>
  <c r="L143" i="8" s="1"/>
  <c r="Q156" i="13"/>
  <c r="J156" i="13" s="1"/>
  <c r="L39" i="8" s="1"/>
  <c r="Q198" i="13"/>
  <c r="J198" i="13" s="1"/>
  <c r="L53" i="8" s="1"/>
  <c r="L136" i="8" s="1"/>
  <c r="Q191" i="13"/>
  <c r="J191" i="13" s="1"/>
  <c r="L51" i="8" s="1"/>
  <c r="M51" i="8" s="1"/>
  <c r="M52" i="8" s="1"/>
  <c r="J177" i="13"/>
  <c r="L45" i="8" s="1"/>
  <c r="L128" i="8" s="1"/>
  <c r="Q149" i="13"/>
  <c r="J149" i="13" s="1"/>
  <c r="L37" i="8" s="1"/>
  <c r="L99" i="8" s="1"/>
  <c r="Q138" i="13"/>
  <c r="J138" i="13" s="1"/>
  <c r="L35" i="8" s="1"/>
  <c r="Q127" i="13"/>
  <c r="J127" i="13" s="1"/>
  <c r="L31" i="8" s="1"/>
  <c r="Q116" i="13"/>
  <c r="J116" i="13" s="1"/>
  <c r="L29" i="8" s="1"/>
  <c r="Q105" i="13"/>
  <c r="J105" i="13" s="1"/>
  <c r="L27" i="8" s="1"/>
  <c r="Q94" i="13"/>
  <c r="J94" i="13" s="1"/>
  <c r="L25" i="8" s="1"/>
  <c r="Q83" i="13"/>
  <c r="J83" i="13" s="1"/>
  <c r="L23" i="8" s="1"/>
  <c r="L84" i="8" s="1"/>
  <c r="Q64" i="13"/>
  <c r="J64" i="13" s="1"/>
  <c r="L181" i="7" s="1"/>
  <c r="Q72" i="13"/>
  <c r="J72" i="13" s="1"/>
  <c r="L183" i="7" s="1"/>
  <c r="Q52" i="13"/>
  <c r="Q48" i="13"/>
  <c r="J48" i="13" s="1"/>
  <c r="L64" i="7" s="1"/>
  <c r="J54" i="13"/>
  <c r="Q54" i="13" s="1"/>
  <c r="Q53" i="13"/>
  <c r="Q18" i="13"/>
  <c r="J18" i="13" s="1"/>
  <c r="L102" i="7" s="1"/>
  <c r="M102" i="7" s="1"/>
  <c r="K20" i="7"/>
  <c r="M13" i="7"/>
  <c r="L13" i="7"/>
  <c r="J13" i="7"/>
  <c r="K13" i="7" s="1"/>
  <c r="N13" i="7"/>
  <c r="L11" i="7"/>
  <c r="M11" i="7"/>
  <c r="L10" i="7"/>
  <c r="M10" i="7"/>
  <c r="J10" i="7"/>
  <c r="K11" i="7"/>
  <c r="K10" i="7"/>
  <c r="J11" i="7"/>
  <c r="Q56" i="13" l="1"/>
  <c r="J56" i="13" s="1"/>
  <c r="L185" i="7" s="1"/>
  <c r="L151" i="8" s="1"/>
  <c r="L152" i="8" s="1"/>
  <c r="L88" i="8"/>
  <c r="L89" i="8" s="1"/>
  <c r="L179" i="7"/>
  <c r="L182" i="7" s="1"/>
  <c r="M55" i="8"/>
  <c r="M56" i="8" s="1"/>
  <c r="M43" i="8"/>
  <c r="M44" i="8" s="1"/>
  <c r="L47" i="8"/>
  <c r="L161" i="8" s="1"/>
  <c r="L144" i="8"/>
  <c r="L145" i="8" s="1"/>
  <c r="L121" i="8"/>
  <c r="L122" i="8" s="1"/>
  <c r="M59" i="8"/>
  <c r="M60" i="8" s="1"/>
  <c r="L57" i="8"/>
  <c r="L162" i="8" s="1"/>
  <c r="M53" i="8"/>
  <c r="M54" i="8" s="1"/>
  <c r="J159" i="8"/>
  <c r="J12" i="9"/>
  <c r="J18" i="9" s="1"/>
  <c r="K161" i="8"/>
  <c r="K14" i="9"/>
  <c r="K162" i="8"/>
  <c r="K160" i="8" s="1"/>
  <c r="K16" i="9"/>
  <c r="K185" i="8"/>
  <c r="K213" i="8"/>
  <c r="K70" i="8"/>
  <c r="K22" i="9" s="1"/>
  <c r="J131" i="8"/>
  <c r="M110" i="8"/>
  <c r="M45" i="8"/>
  <c r="M46" i="8" s="1"/>
  <c r="M39" i="8"/>
  <c r="L109" i="8"/>
  <c r="K19" i="8"/>
  <c r="K129" i="8"/>
  <c r="M27" i="8"/>
  <c r="L86" i="8"/>
  <c r="M50" i="8"/>
  <c r="M121" i="8"/>
  <c r="M29" i="8"/>
  <c r="L87" i="8"/>
  <c r="M25" i="8"/>
  <c r="L85" i="8"/>
  <c r="M31" i="8"/>
  <c r="L127" i="8"/>
  <c r="M35" i="8"/>
  <c r="M98" i="8" s="1"/>
  <c r="L98" i="8"/>
  <c r="L33" i="8"/>
  <c r="M37" i="8"/>
  <c r="L21" i="8"/>
  <c r="M23" i="8"/>
  <c r="M84" i="8" s="1"/>
  <c r="M181" i="7"/>
  <c r="M88" i="8" s="1"/>
  <c r="M183" i="7"/>
  <c r="L107" i="7"/>
  <c r="M38" i="7"/>
  <c r="K27" i="7"/>
  <c r="K28" i="7"/>
  <c r="K29" i="7"/>
  <c r="K26" i="7"/>
  <c r="K24" i="7" s="1"/>
  <c r="J24" i="7"/>
  <c r="J25" i="7" s="1"/>
  <c r="J20" i="7"/>
  <c r="J104" i="7"/>
  <c r="K104" i="7"/>
  <c r="J66" i="7"/>
  <c r="J101" i="8" s="1"/>
  <c r="J68" i="7"/>
  <c r="J167" i="7" s="1"/>
  <c r="J70" i="7"/>
  <c r="J169" i="7" s="1"/>
  <c r="J72" i="7"/>
  <c r="J166" i="7" s="1"/>
  <c r="J74" i="7"/>
  <c r="J171" i="7" s="1"/>
  <c r="J78" i="7"/>
  <c r="J80" i="7"/>
  <c r="J82" i="7"/>
  <c r="J84" i="7"/>
  <c r="J86" i="7"/>
  <c r="J88" i="7"/>
  <c r="J90" i="7"/>
  <c r="J92" i="7"/>
  <c r="J96" i="7"/>
  <c r="J98" i="7"/>
  <c r="J100" i="7"/>
  <c r="J62" i="7"/>
  <c r="J60" i="7"/>
  <c r="J58" i="7"/>
  <c r="J56" i="7"/>
  <c r="J157" i="7" s="1"/>
  <c r="I58" i="7"/>
  <c r="I60" i="7"/>
  <c r="I62" i="7"/>
  <c r="I66" i="7"/>
  <c r="I68" i="7"/>
  <c r="I70" i="7"/>
  <c r="I72" i="7"/>
  <c r="I74" i="7"/>
  <c r="I78" i="7"/>
  <c r="I80" i="7"/>
  <c r="I82" i="7"/>
  <c r="I84" i="7"/>
  <c r="I86" i="7"/>
  <c r="I88" i="7"/>
  <c r="I90" i="7"/>
  <c r="I92" i="7"/>
  <c r="I96" i="7"/>
  <c r="I98" i="7"/>
  <c r="I100" i="7"/>
  <c r="I104" i="7"/>
  <c r="I105" i="7" s="1"/>
  <c r="J54" i="7"/>
  <c r="J52" i="7"/>
  <c r="J155" i="7" s="1"/>
  <c r="J50" i="7"/>
  <c r="J48" i="7"/>
  <c r="J156" i="7" s="1"/>
  <c r="J46" i="7"/>
  <c r="J44" i="7"/>
  <c r="J42" i="7"/>
  <c r="J40" i="7"/>
  <c r="J149" i="7" s="1"/>
  <c r="K179" i="7"/>
  <c r="K183" i="7"/>
  <c r="K181" i="7"/>
  <c r="H188" i="7"/>
  <c r="J179" i="7"/>
  <c r="J186" i="7" s="1"/>
  <c r="J170" i="7"/>
  <c r="J162" i="7"/>
  <c r="J161" i="7"/>
  <c r="J151" i="7"/>
  <c r="J150" i="7"/>
  <c r="K135" i="7"/>
  <c r="K136" i="7"/>
  <c r="K137" i="7"/>
  <c r="K138" i="7"/>
  <c r="K139" i="7"/>
  <c r="K140" i="7"/>
  <c r="K134" i="7"/>
  <c r="K142" i="7"/>
  <c r="K141" i="7"/>
  <c r="J133" i="7"/>
  <c r="J132" i="7" s="1"/>
  <c r="J130" i="7" s="1"/>
  <c r="J22" i="7" s="1"/>
  <c r="K129" i="7"/>
  <c r="K124" i="7"/>
  <c r="K125" i="7"/>
  <c r="K126" i="7"/>
  <c r="K127" i="7"/>
  <c r="K128" i="7"/>
  <c r="K123" i="7"/>
  <c r="J122" i="7"/>
  <c r="K117" i="7"/>
  <c r="K115" i="7" s="1"/>
  <c r="K118" i="7"/>
  <c r="K119" i="7"/>
  <c r="K120" i="7"/>
  <c r="K121" i="7"/>
  <c r="K116" i="7"/>
  <c r="J115" i="7"/>
  <c r="I20" i="7"/>
  <c r="I18" i="7"/>
  <c r="K186" i="7" l="1"/>
  <c r="K188" i="7"/>
  <c r="K190" i="7" s="1"/>
  <c r="J184" i="7"/>
  <c r="J188" i="7"/>
  <c r="J182" i="7"/>
  <c r="K88" i="8"/>
  <c r="K89" i="8" s="1"/>
  <c r="K184" i="7"/>
  <c r="J153" i="7"/>
  <c r="J148" i="7"/>
  <c r="J102" i="8"/>
  <c r="J100" i="8" s="1"/>
  <c r="L16" i="9"/>
  <c r="M143" i="8"/>
  <c r="M120" i="8"/>
  <c r="M122" i="8" s="1"/>
  <c r="M136" i="8"/>
  <c r="M47" i="8"/>
  <c r="M161" i="8" s="1"/>
  <c r="L160" i="8"/>
  <c r="M150" i="8"/>
  <c r="L14" i="9"/>
  <c r="M57" i="8"/>
  <c r="M162" i="8" s="1"/>
  <c r="M144" i="8"/>
  <c r="M89" i="8"/>
  <c r="N89" i="8" s="1"/>
  <c r="O89" i="8" s="1"/>
  <c r="P89" i="8" s="1"/>
  <c r="Q89" i="8" s="1"/>
  <c r="R89" i="8" s="1"/>
  <c r="S89" i="8" s="1"/>
  <c r="T89" i="8" s="1"/>
  <c r="U89" i="8" s="1"/>
  <c r="V89" i="8" s="1"/>
  <c r="J21" i="9"/>
  <c r="J24" i="9" s="1"/>
  <c r="J26" i="9" s="1"/>
  <c r="J31" i="9" s="1"/>
  <c r="J23" i="9"/>
  <c r="K159" i="8"/>
  <c r="K12" i="9"/>
  <c r="K18" i="9" s="1"/>
  <c r="K21" i="9" s="1"/>
  <c r="K24" i="9" s="1"/>
  <c r="K26" i="9" s="1"/>
  <c r="K31" i="9" s="1"/>
  <c r="M128" i="8"/>
  <c r="M36" i="8"/>
  <c r="L19" i="8"/>
  <c r="L129" i="8"/>
  <c r="L131" i="8" s="1"/>
  <c r="M38" i="8"/>
  <c r="M99" i="8"/>
  <c r="K131" i="8"/>
  <c r="K130" i="8"/>
  <c r="M40" i="8"/>
  <c r="M109" i="8"/>
  <c r="M26" i="8"/>
  <c r="M85" i="8"/>
  <c r="M30" i="8"/>
  <c r="M87" i="8"/>
  <c r="M32" i="8"/>
  <c r="M127" i="8"/>
  <c r="M28" i="8"/>
  <c r="M86" i="8"/>
  <c r="J18" i="7"/>
  <c r="M24" i="8"/>
  <c r="M21" i="8"/>
  <c r="M33" i="8"/>
  <c r="L184" i="7"/>
  <c r="M179" i="7"/>
  <c r="L104" i="7"/>
  <c r="L53" i="9" s="1"/>
  <c r="L186" i="7"/>
  <c r="M185" i="7"/>
  <c r="M151" i="8" s="1"/>
  <c r="L188" i="7"/>
  <c r="M64" i="7"/>
  <c r="M107" i="7"/>
  <c r="K25" i="7"/>
  <c r="J159" i="7"/>
  <c r="J160" i="7"/>
  <c r="J158" i="7"/>
  <c r="J152" i="7"/>
  <c r="K152" i="7"/>
  <c r="J38" i="7"/>
  <c r="J59" i="7" s="1"/>
  <c r="K182" i="7"/>
  <c r="K133" i="7"/>
  <c r="K122" i="7"/>
  <c r="K113" i="7"/>
  <c r="J113" i="7"/>
  <c r="L11" i="4"/>
  <c r="K123" i="4"/>
  <c r="K122" i="4"/>
  <c r="K120" i="4" s="1"/>
  <c r="K115" i="4"/>
  <c r="K116" i="4"/>
  <c r="K117" i="4"/>
  <c r="K118" i="4"/>
  <c r="K119" i="4"/>
  <c r="K114" i="4"/>
  <c r="K110" i="4"/>
  <c r="K108" i="4"/>
  <c r="K106" i="4"/>
  <c r="K103" i="4"/>
  <c r="K104" i="4"/>
  <c r="K105" i="4"/>
  <c r="K102" i="4"/>
  <c r="K100" i="4" s="1"/>
  <c r="K98" i="4"/>
  <c r="K96" i="4"/>
  <c r="K94" i="4"/>
  <c r="K92" i="4"/>
  <c r="K90" i="4"/>
  <c r="K88" i="4"/>
  <c r="K86" i="4"/>
  <c r="K84" i="4"/>
  <c r="K82" i="4"/>
  <c r="K83" i="4"/>
  <c r="K81" i="4"/>
  <c r="K79" i="4"/>
  <c r="K74" i="7" s="1"/>
  <c r="K171" i="7" s="1"/>
  <c r="K78" i="4"/>
  <c r="K72" i="7" s="1"/>
  <c r="K75" i="4"/>
  <c r="K68" i="7" s="1"/>
  <c r="K76" i="4"/>
  <c r="K70" i="7" s="1"/>
  <c r="K74" i="4"/>
  <c r="K66" i="7" s="1"/>
  <c r="K101" i="8" s="1"/>
  <c r="K67" i="4"/>
  <c r="K65" i="4" s="1"/>
  <c r="K64" i="4"/>
  <c r="K63" i="4"/>
  <c r="K61" i="4" s="1"/>
  <c r="K59" i="4"/>
  <c r="K57" i="4"/>
  <c r="K55" i="4"/>
  <c r="K54" i="4"/>
  <c r="K52" i="4" s="1"/>
  <c r="K50" i="4"/>
  <c r="K48" i="4"/>
  <c r="K49" i="4"/>
  <c r="K47" i="4"/>
  <c r="K43" i="4"/>
  <c r="K62" i="7" s="1"/>
  <c r="K41" i="4"/>
  <c r="K60" i="7" s="1"/>
  <c r="K39" i="4"/>
  <c r="K58" i="7" s="1"/>
  <c r="K36" i="4"/>
  <c r="K42" i="7" s="1"/>
  <c r="K153" i="7" s="1"/>
  <c r="K37" i="4"/>
  <c r="K44" i="7" s="1"/>
  <c r="K38" i="4"/>
  <c r="K46" i="7" s="1"/>
  <c r="K35" i="4"/>
  <c r="K40" i="7" s="1"/>
  <c r="K31" i="4"/>
  <c r="K56" i="7" s="1"/>
  <c r="K22" i="4"/>
  <c r="K23" i="4"/>
  <c r="K52" i="7" s="1"/>
  <c r="K24" i="4"/>
  <c r="K25" i="4"/>
  <c r="K26" i="4"/>
  <c r="K27" i="4"/>
  <c r="K54" i="7" s="1"/>
  <c r="K28" i="4"/>
  <c r="K29" i="4"/>
  <c r="K30" i="4"/>
  <c r="K21" i="4"/>
  <c r="K17" i="4"/>
  <c r="K48" i="7" s="1"/>
  <c r="K14" i="4"/>
  <c r="K132" i="4"/>
  <c r="L132" i="4" s="1"/>
  <c r="M132" i="4" s="1"/>
  <c r="K131" i="4"/>
  <c r="L131" i="4" s="1"/>
  <c r="M131" i="4" s="1"/>
  <c r="K130" i="4"/>
  <c r="K129" i="4"/>
  <c r="L129" i="4" s="1"/>
  <c r="M129" i="4" s="1"/>
  <c r="K128" i="4"/>
  <c r="L128" i="4" s="1"/>
  <c r="M128" i="4" s="1"/>
  <c r="J125" i="4"/>
  <c r="J80" i="4"/>
  <c r="J120" i="4"/>
  <c r="I112" i="4"/>
  <c r="J112" i="4"/>
  <c r="J100" i="4"/>
  <c r="J65" i="4"/>
  <c r="J61" i="4"/>
  <c r="J52" i="4"/>
  <c r="J45" i="4"/>
  <c r="J33" i="4"/>
  <c r="J19" i="4"/>
  <c r="J190" i="7" l="1"/>
  <c r="J189" i="7" s="1"/>
  <c r="J187" i="7"/>
  <c r="K187" i="7" s="1"/>
  <c r="K23" i="9"/>
  <c r="J104" i="8"/>
  <c r="J103" i="8"/>
  <c r="J57" i="7"/>
  <c r="K92" i="7"/>
  <c r="J53" i="7"/>
  <c r="K166" i="7"/>
  <c r="K96" i="7"/>
  <c r="J49" i="7"/>
  <c r="J55" i="7"/>
  <c r="K94" i="7"/>
  <c r="J94" i="7"/>
  <c r="K150" i="7"/>
  <c r="K82" i="7"/>
  <c r="K100" i="7"/>
  <c r="J154" i="7"/>
  <c r="J106" i="7"/>
  <c r="J21" i="7"/>
  <c r="J63" i="7"/>
  <c r="K157" i="7"/>
  <c r="K98" i="7"/>
  <c r="J77" i="4"/>
  <c r="J72" i="4" s="1"/>
  <c r="J76" i="7"/>
  <c r="K162" i="7"/>
  <c r="K84" i="7"/>
  <c r="J51" i="7"/>
  <c r="K156" i="7"/>
  <c r="K148" i="7"/>
  <c r="K78" i="7"/>
  <c r="K80" i="7"/>
  <c r="J52" i="9"/>
  <c r="J57" i="9" s="1"/>
  <c r="J235" i="8"/>
  <c r="J102" i="7"/>
  <c r="J107" i="7" s="1"/>
  <c r="K161" i="7"/>
  <c r="K86" i="7"/>
  <c r="K64" i="7" s="1"/>
  <c r="J41" i="7"/>
  <c r="J45" i="7"/>
  <c r="K159" i="7"/>
  <c r="K149" i="7"/>
  <c r="K151" i="7"/>
  <c r="K169" i="7"/>
  <c r="K88" i="7"/>
  <c r="J47" i="7"/>
  <c r="J61" i="7"/>
  <c r="K50" i="7"/>
  <c r="K45" i="4"/>
  <c r="K102" i="8"/>
  <c r="K100" i="8" s="1"/>
  <c r="K167" i="7"/>
  <c r="K90" i="7"/>
  <c r="J43" i="7"/>
  <c r="M160" i="8"/>
  <c r="M184" i="7"/>
  <c r="N179" i="7"/>
  <c r="L35" i="9"/>
  <c r="L55" i="9"/>
  <c r="M145" i="8"/>
  <c r="N145" i="8" s="1"/>
  <c r="M152" i="8"/>
  <c r="L159" i="8"/>
  <c r="L12" i="9"/>
  <c r="M54" i="9"/>
  <c r="M129" i="8"/>
  <c r="M131" i="8" s="1"/>
  <c r="L130" i="8"/>
  <c r="J11" i="8"/>
  <c r="J13" i="8" s="1"/>
  <c r="J18" i="8" s="1"/>
  <c r="J12" i="7"/>
  <c r="J30" i="7"/>
  <c r="J19" i="7"/>
  <c r="M19" i="8"/>
  <c r="M22" i="8"/>
  <c r="M182" i="7"/>
  <c r="N182" i="7" s="1"/>
  <c r="M186" i="7"/>
  <c r="M104" i="7"/>
  <c r="M106" i="7" s="1"/>
  <c r="M108" i="7"/>
  <c r="M188" i="7"/>
  <c r="M180" i="7"/>
  <c r="L190" i="7"/>
  <c r="L189" i="7" s="1"/>
  <c r="L187" i="7"/>
  <c r="L24" i="7"/>
  <c r="L106" i="7"/>
  <c r="L108" i="7"/>
  <c r="J147" i="7"/>
  <c r="K132" i="7"/>
  <c r="K33" i="4"/>
  <c r="K19" i="4"/>
  <c r="K112" i="4"/>
  <c r="K56" i="4"/>
  <c r="K80" i="4"/>
  <c r="K76" i="7" s="1"/>
  <c r="K125" i="4"/>
  <c r="J70" i="4"/>
  <c r="J56" i="4"/>
  <c r="J16" i="4"/>
  <c r="J112" i="8" l="1"/>
  <c r="J113" i="8"/>
  <c r="J111" i="8" s="1"/>
  <c r="K189" i="7"/>
  <c r="K69" i="7"/>
  <c r="L69" i="7" s="1"/>
  <c r="L68" i="7" s="1"/>
  <c r="K71" i="7"/>
  <c r="L71" i="7" s="1"/>
  <c r="L70" i="7" s="1"/>
  <c r="K173" i="7"/>
  <c r="K75" i="7"/>
  <c r="L75" i="7" s="1"/>
  <c r="L74" i="7" s="1"/>
  <c r="J174" i="7"/>
  <c r="K93" i="7"/>
  <c r="L93" i="7" s="1"/>
  <c r="L92" i="7" s="1"/>
  <c r="K91" i="7"/>
  <c r="L91" i="7" s="1"/>
  <c r="L90" i="7" s="1"/>
  <c r="M90" i="7" s="1"/>
  <c r="K95" i="7"/>
  <c r="L95" i="7" s="1"/>
  <c r="L94" i="7" s="1"/>
  <c r="L100" i="4" s="1"/>
  <c r="L101" i="4" s="1"/>
  <c r="K160" i="7"/>
  <c r="K155" i="7"/>
  <c r="K158" i="7"/>
  <c r="K170" i="7"/>
  <c r="K81" i="7"/>
  <c r="L81" i="7" s="1"/>
  <c r="L80" i="7" s="1"/>
  <c r="K67" i="7"/>
  <c r="L67" i="7" s="1"/>
  <c r="L66" i="7" s="1"/>
  <c r="K174" i="7"/>
  <c r="K85" i="7"/>
  <c r="L85" i="7" s="1"/>
  <c r="L84" i="7" s="1"/>
  <c r="L90" i="4" s="1"/>
  <c r="J91" i="4"/>
  <c r="K77" i="4"/>
  <c r="K72" i="4" s="1"/>
  <c r="K89" i="7"/>
  <c r="L89" i="7" s="1"/>
  <c r="L88" i="7" s="1"/>
  <c r="M88" i="7" s="1"/>
  <c r="J90" i="8"/>
  <c r="J168" i="7"/>
  <c r="J164" i="7"/>
  <c r="J172" i="7"/>
  <c r="J64" i="7"/>
  <c r="J77" i="7" s="1"/>
  <c r="J165" i="7"/>
  <c r="K101" i="7"/>
  <c r="L101" i="7" s="1"/>
  <c r="L100" i="7" s="1"/>
  <c r="M100" i="7" s="1"/>
  <c r="K79" i="7"/>
  <c r="L79" i="7" s="1"/>
  <c r="L78" i="7" s="1"/>
  <c r="K38" i="7"/>
  <c r="K51" i="7" s="1"/>
  <c r="L51" i="7" s="1"/>
  <c r="L50" i="7" s="1"/>
  <c r="K103" i="8"/>
  <c r="K104" i="8"/>
  <c r="K235" i="8"/>
  <c r="L237" i="8" s="1"/>
  <c r="L238" i="8" s="1"/>
  <c r="K52" i="9"/>
  <c r="K57" i="9" s="1"/>
  <c r="K102" i="7"/>
  <c r="K90" i="8"/>
  <c r="K168" i="7"/>
  <c r="K172" i="7"/>
  <c r="K77" i="7"/>
  <c r="L77" i="7" s="1"/>
  <c r="L76" i="7" s="1"/>
  <c r="K87" i="7"/>
  <c r="L87" i="7" s="1"/>
  <c r="L86" i="7" s="1"/>
  <c r="M86" i="7" s="1"/>
  <c r="K99" i="7"/>
  <c r="L99" i="7" s="1"/>
  <c r="L98" i="7" s="1"/>
  <c r="M98" i="7" s="1"/>
  <c r="K83" i="7"/>
  <c r="L83" i="7" s="1"/>
  <c r="L82" i="7" s="1"/>
  <c r="K97" i="7"/>
  <c r="L97" i="7" s="1"/>
  <c r="L96" i="7" s="1"/>
  <c r="L106" i="4" s="1"/>
  <c r="L107" i="4" s="1"/>
  <c r="K73" i="7"/>
  <c r="L73" i="7" s="1"/>
  <c r="L72" i="7" s="1"/>
  <c r="M130" i="8"/>
  <c r="L113" i="8"/>
  <c r="L112" i="8"/>
  <c r="M56" i="9"/>
  <c r="M58" i="9" s="1"/>
  <c r="M159" i="8"/>
  <c r="J67" i="8"/>
  <c r="J137" i="8"/>
  <c r="J138" i="8" s="1"/>
  <c r="J158" i="8"/>
  <c r="J157" i="8" s="1"/>
  <c r="J163" i="8" s="1"/>
  <c r="J32" i="7"/>
  <c r="J31" i="7"/>
  <c r="K130" i="7"/>
  <c r="K164" i="7"/>
  <c r="K165" i="7"/>
  <c r="M70" i="7"/>
  <c r="M187" i="7"/>
  <c r="M191" i="7" s="1"/>
  <c r="N191" i="7" s="1"/>
  <c r="M190" i="7"/>
  <c r="M189" i="7" s="1"/>
  <c r="L12" i="8"/>
  <c r="M24" i="7"/>
  <c r="M25" i="7" s="1"/>
  <c r="L76" i="4"/>
  <c r="K16" i="4"/>
  <c r="K113" i="8" l="1"/>
  <c r="K112" i="8"/>
  <c r="J114" i="8"/>
  <c r="J115" i="8"/>
  <c r="J95" i="7"/>
  <c r="M96" i="7"/>
  <c r="M50" i="7"/>
  <c r="M51" i="7" s="1"/>
  <c r="L90" i="8"/>
  <c r="L80" i="4"/>
  <c r="M76" i="7"/>
  <c r="M90" i="8" s="1"/>
  <c r="L79" i="4"/>
  <c r="M74" i="7"/>
  <c r="M82" i="7"/>
  <c r="L88" i="4"/>
  <c r="L89" i="4" s="1"/>
  <c r="K154" i="7"/>
  <c r="K106" i="7"/>
  <c r="K21" i="7"/>
  <c r="K147" i="7"/>
  <c r="K45" i="7"/>
  <c r="L45" i="7" s="1"/>
  <c r="L44" i="7" s="1"/>
  <c r="K61" i="7"/>
  <c r="L61" i="7" s="1"/>
  <c r="L60" i="7" s="1"/>
  <c r="K43" i="7"/>
  <c r="L43" i="7" s="1"/>
  <c r="L42" i="7" s="1"/>
  <c r="K55" i="7"/>
  <c r="L55" i="7" s="1"/>
  <c r="L54" i="7" s="1"/>
  <c r="M54" i="7" s="1"/>
  <c r="M55" i="7" s="1"/>
  <c r="K63" i="7"/>
  <c r="L63" i="7" s="1"/>
  <c r="L62" i="7" s="1"/>
  <c r="K59" i="7"/>
  <c r="L59" i="7" s="1"/>
  <c r="L58" i="7" s="1"/>
  <c r="K53" i="7"/>
  <c r="L53" i="7" s="1"/>
  <c r="L52" i="7" s="1"/>
  <c r="M52" i="7" s="1"/>
  <c r="M53" i="7" s="1"/>
  <c r="K41" i="7"/>
  <c r="L41" i="7" s="1"/>
  <c r="L40" i="7" s="1"/>
  <c r="K57" i="7"/>
  <c r="L57" i="7" s="1"/>
  <c r="L56" i="7" s="1"/>
  <c r="K49" i="7"/>
  <c r="L49" i="7" s="1"/>
  <c r="L48" i="7" s="1"/>
  <c r="K47" i="7"/>
  <c r="L47" i="7" s="1"/>
  <c r="L46" i="7" s="1"/>
  <c r="L94" i="4"/>
  <c r="L95" i="4" s="1"/>
  <c r="K92" i="8"/>
  <c r="K93" i="8"/>
  <c r="K91" i="8"/>
  <c r="M84" i="7"/>
  <c r="M80" i="7"/>
  <c r="L86" i="4"/>
  <c r="L87" i="4" s="1"/>
  <c r="M94" i="7"/>
  <c r="L101" i="8"/>
  <c r="L100" i="8" s="1"/>
  <c r="M66" i="7"/>
  <c r="M101" i="8" s="1"/>
  <c r="M100" i="8" s="1"/>
  <c r="M103" i="8" s="1"/>
  <c r="L74" i="4"/>
  <c r="K107" i="7"/>
  <c r="K70" i="4"/>
  <c r="L78" i="4"/>
  <c r="M72" i="7"/>
  <c r="L102" i="8"/>
  <c r="M68" i="7"/>
  <c r="M102" i="8" s="1"/>
  <c r="L75" i="4"/>
  <c r="M78" i="7"/>
  <c r="L84" i="4"/>
  <c r="L85" i="4" s="1"/>
  <c r="M92" i="7"/>
  <c r="L98" i="4"/>
  <c r="L99" i="4" s="1"/>
  <c r="J108" i="7"/>
  <c r="J173" i="7"/>
  <c r="J83" i="7"/>
  <c r="J101" i="7"/>
  <c r="J73" i="7"/>
  <c r="J81" i="7"/>
  <c r="J69" i="7"/>
  <c r="J99" i="7"/>
  <c r="J79" i="7"/>
  <c r="J85" i="7"/>
  <c r="J91" i="7"/>
  <c r="J93" i="7"/>
  <c r="J97" i="7"/>
  <c r="J67" i="7"/>
  <c r="J71" i="7"/>
  <c r="J23" i="7"/>
  <c r="J75" i="7"/>
  <c r="J87" i="7"/>
  <c r="J89" i="7"/>
  <c r="J163" i="7"/>
  <c r="L92" i="4"/>
  <c r="L93" i="4" s="1"/>
  <c r="L96" i="4"/>
  <c r="L97" i="4" s="1"/>
  <c r="J127" i="4"/>
  <c r="J92" i="8"/>
  <c r="J91" i="8"/>
  <c r="J93" i="8"/>
  <c r="K108" i="7"/>
  <c r="M112" i="8"/>
  <c r="M113" i="8"/>
  <c r="M111" i="8" s="1"/>
  <c r="L111" i="8"/>
  <c r="J169" i="8"/>
  <c r="J170" i="8" s="1"/>
  <c r="J69" i="8"/>
  <c r="K22" i="7"/>
  <c r="K163" i="7"/>
  <c r="K91" i="4"/>
  <c r="K111" i="8" l="1"/>
  <c r="K114" i="8"/>
  <c r="K115" i="8"/>
  <c r="J222" i="8"/>
  <c r="J224" i="8"/>
  <c r="M93" i="8"/>
  <c r="N93" i="8" s="1"/>
  <c r="O93" i="8" s="1"/>
  <c r="P93" i="8" s="1"/>
  <c r="Q93" i="8" s="1"/>
  <c r="R93" i="8" s="1"/>
  <c r="S93" i="8" s="1"/>
  <c r="T93" i="8" s="1"/>
  <c r="U93" i="8" s="1"/>
  <c r="M92" i="8"/>
  <c r="N92" i="8" s="1"/>
  <c r="O92" i="8" s="1"/>
  <c r="P92" i="8" s="1"/>
  <c r="Q92" i="8" s="1"/>
  <c r="R92" i="8" s="1"/>
  <c r="S92" i="8" s="1"/>
  <c r="T92" i="8" s="1"/>
  <c r="U92" i="8" s="1"/>
  <c r="M91" i="8"/>
  <c r="L41" i="4"/>
  <c r="L42" i="4" s="1"/>
  <c r="M60" i="7"/>
  <c r="M61" i="7" s="1"/>
  <c r="L93" i="8"/>
  <c r="L91" i="8"/>
  <c r="L92" i="8"/>
  <c r="M104" i="8"/>
  <c r="L77" i="4"/>
  <c r="L72" i="4" s="1"/>
  <c r="L73" i="4" s="1"/>
  <c r="L37" i="4"/>
  <c r="M44" i="7"/>
  <c r="M45" i="7" s="1"/>
  <c r="M58" i="7"/>
  <c r="M59" i="7" s="1"/>
  <c r="L39" i="4"/>
  <c r="L40" i="4" s="1"/>
  <c r="L36" i="4"/>
  <c r="M42" i="7"/>
  <c r="M43" i="7" s="1"/>
  <c r="L35" i="4"/>
  <c r="M40" i="7"/>
  <c r="M41" i="7" s="1"/>
  <c r="N41" i="7" s="1"/>
  <c r="M62" i="7"/>
  <c r="M63" i="7" s="1"/>
  <c r="L43" i="4"/>
  <c r="L44" i="4" s="1"/>
  <c r="M46" i="7"/>
  <c r="M47" i="7" s="1"/>
  <c r="L38" i="4"/>
  <c r="M56" i="7"/>
  <c r="M57" i="7" s="1"/>
  <c r="L31" i="4"/>
  <c r="L32" i="4" s="1"/>
  <c r="L104" i="8"/>
  <c r="L103" i="8"/>
  <c r="L17" i="4"/>
  <c r="M48" i="7"/>
  <c r="M49" i="7" s="1"/>
  <c r="L19" i="4"/>
  <c r="L20" i="4" s="1"/>
  <c r="M115" i="8"/>
  <c r="M114" i="8"/>
  <c r="L115" i="8"/>
  <c r="L114" i="8"/>
  <c r="J76" i="8"/>
  <c r="J78" i="8" s="1"/>
  <c r="J75" i="8"/>
  <c r="J176" i="8"/>
  <c r="J71" i="8"/>
  <c r="J73" i="8"/>
  <c r="K18" i="7"/>
  <c r="K23" i="7"/>
  <c r="K127" i="4"/>
  <c r="J79" i="8" l="1"/>
  <c r="L33" i="4"/>
  <c r="L34" i="4" s="1"/>
  <c r="L18" i="4"/>
  <c r="L16" i="4"/>
  <c r="J175" i="8"/>
  <c r="J182" i="8"/>
  <c r="J186" i="8" s="1"/>
  <c r="J183" i="8"/>
  <c r="J188" i="8" s="1"/>
  <c r="K11" i="8"/>
  <c r="K13" i="8" s="1"/>
  <c r="K18" i="8" s="1"/>
  <c r="K12" i="7"/>
  <c r="K19" i="7"/>
  <c r="K30" i="7"/>
  <c r="K67" i="8" l="1"/>
  <c r="K158" i="8"/>
  <c r="K157" i="8" s="1"/>
  <c r="K163" i="8" s="1"/>
  <c r="K137" i="8"/>
  <c r="K138" i="8" s="1"/>
  <c r="K32" i="7"/>
  <c r="K31" i="7"/>
  <c r="K69" i="8" l="1"/>
  <c r="K169" i="8"/>
  <c r="K170" i="8" s="1"/>
  <c r="K224" i="8" l="1"/>
  <c r="K222" i="8"/>
  <c r="K76" i="8"/>
  <c r="K79" i="8" s="1"/>
  <c r="K176" i="8"/>
  <c r="K75" i="8"/>
  <c r="K73" i="8"/>
  <c r="K71" i="8"/>
  <c r="K78" i="8" l="1"/>
  <c r="K175" i="8"/>
  <c r="K182" i="8"/>
  <c r="K186" i="8" s="1"/>
  <c r="K183" i="8"/>
  <c r="K188" i="8" s="1"/>
  <c r="K13" i="4"/>
  <c r="K12" i="4" s="1"/>
  <c r="K126" i="4" s="1"/>
  <c r="J13" i="4"/>
  <c r="J12" i="4" s="1"/>
  <c r="J126" i="4" s="1"/>
  <c r="J39" i="11"/>
  <c r="J34" i="11"/>
  <c r="J33" i="11"/>
  <c r="J32" i="11"/>
  <c r="J31" i="11"/>
  <c r="J30" i="11"/>
  <c r="J28" i="11"/>
  <c r="J23" i="11"/>
  <c r="J22" i="11"/>
  <c r="J19" i="11"/>
  <c r="J13" i="11"/>
  <c r="J12" i="11"/>
  <c r="J11" i="11"/>
  <c r="J10" i="11"/>
  <c r="J43" i="11"/>
  <c r="J38" i="11"/>
  <c r="J27" i="11"/>
  <c r="J18" i="11"/>
  <c r="I18" i="11"/>
  <c r="L62" i="9"/>
  <c r="K62" i="9"/>
  <c r="J62" i="9"/>
  <c r="L51" i="9"/>
  <c r="K51" i="9"/>
  <c r="J51" i="9"/>
  <c r="L42" i="9"/>
  <c r="K42" i="9"/>
  <c r="J42" i="9"/>
  <c r="J30" i="9"/>
  <c r="K30" i="9"/>
  <c r="L30" i="9"/>
  <c r="I30" i="9"/>
  <c r="L178" i="7"/>
  <c r="K178" i="7"/>
  <c r="J178" i="7"/>
  <c r="L146" i="7"/>
  <c r="K146" i="7"/>
  <c r="J146" i="7"/>
  <c r="L112" i="7"/>
  <c r="K112" i="7"/>
  <c r="J112" i="7"/>
  <c r="L37" i="7"/>
  <c r="K37" i="7"/>
  <c r="J37" i="7"/>
  <c r="L17" i="7"/>
  <c r="K17" i="7"/>
  <c r="J17" i="7"/>
  <c r="L212" i="8"/>
  <c r="L234" i="8" s="1"/>
  <c r="K212" i="8"/>
  <c r="K234" i="8" s="1"/>
  <c r="J212" i="8"/>
  <c r="J234" i="8" s="1"/>
  <c r="L196" i="8"/>
  <c r="K196" i="8"/>
  <c r="J196" i="8"/>
  <c r="L174" i="8"/>
  <c r="K174" i="8"/>
  <c r="J174" i="8"/>
  <c r="L156" i="8"/>
  <c r="K156" i="8"/>
  <c r="J156" i="8"/>
  <c r="L149" i="8"/>
  <c r="K149" i="8"/>
  <c r="J149" i="8"/>
  <c r="L142" i="8"/>
  <c r="K142" i="8"/>
  <c r="J142" i="8"/>
  <c r="L135" i="8"/>
  <c r="K135" i="8"/>
  <c r="J135" i="8"/>
  <c r="L126" i="8"/>
  <c r="K126" i="8"/>
  <c r="J126" i="8"/>
  <c r="L119" i="8"/>
  <c r="K119" i="8"/>
  <c r="J119" i="8"/>
  <c r="L108" i="8"/>
  <c r="K108" i="8"/>
  <c r="J108" i="8"/>
  <c r="L97" i="8"/>
  <c r="K97" i="8"/>
  <c r="J97" i="8"/>
  <c r="L83" i="8"/>
  <c r="K83" i="8"/>
  <c r="J83" i="8"/>
  <c r="L17" i="8"/>
  <c r="K17" i="8"/>
  <c r="J17" i="8"/>
  <c r="K11" i="4"/>
  <c r="J11" i="4"/>
  <c r="O770" i="2"/>
  <c r="I769" i="2"/>
  <c r="H769" i="2"/>
  <c r="J107" i="4" l="1"/>
  <c r="J93" i="4"/>
  <c r="J95" i="4"/>
  <c r="J111" i="4"/>
  <c r="J85" i="4"/>
  <c r="J97" i="4"/>
  <c r="J87" i="4"/>
  <c r="J99" i="4"/>
  <c r="J109" i="4"/>
  <c r="J89" i="4"/>
  <c r="J113" i="4"/>
  <c r="J101" i="4"/>
  <c r="J121" i="4"/>
  <c r="J71" i="4"/>
  <c r="J73" i="4"/>
  <c r="K85" i="4"/>
  <c r="K111" i="4"/>
  <c r="L111" i="4" s="1"/>
  <c r="K95" i="4"/>
  <c r="K87" i="4"/>
  <c r="K97" i="4"/>
  <c r="K101" i="4"/>
  <c r="K99" i="4"/>
  <c r="K121" i="4"/>
  <c r="L121" i="4" s="1"/>
  <c r="L120" i="4" s="1"/>
  <c r="M120" i="4" s="1"/>
  <c r="K107" i="4"/>
  <c r="K89" i="4"/>
  <c r="K109" i="4"/>
  <c r="L109" i="4" s="1"/>
  <c r="K93" i="4"/>
  <c r="K113" i="4"/>
  <c r="L113" i="4" s="1"/>
  <c r="L112" i="4" s="1"/>
  <c r="M112" i="4" s="1"/>
  <c r="K73" i="4"/>
  <c r="K71" i="4"/>
  <c r="J60" i="4"/>
  <c r="J58" i="4"/>
  <c r="J51" i="4"/>
  <c r="J44" i="4"/>
  <c r="J62" i="4"/>
  <c r="J46" i="4"/>
  <c r="J66" i="4"/>
  <c r="J53" i="4"/>
  <c r="K15" i="4"/>
  <c r="L15" i="4" s="1"/>
  <c r="K18" i="4"/>
  <c r="K58" i="4"/>
  <c r="L58" i="4" s="1"/>
  <c r="L57" i="4" s="1"/>
  <c r="K51" i="4"/>
  <c r="L51" i="4" s="1"/>
  <c r="K40" i="4"/>
  <c r="K60" i="4"/>
  <c r="L60" i="4" s="1"/>
  <c r="K66" i="4"/>
  <c r="L66" i="4" s="1"/>
  <c r="K53" i="4"/>
  <c r="L53" i="4" s="1"/>
  <c r="K44" i="4"/>
  <c r="K62" i="4"/>
  <c r="L62" i="4" s="1"/>
  <c r="K34" i="4"/>
  <c r="K46" i="4"/>
  <c r="L46" i="4" s="1"/>
  <c r="K32" i="4"/>
  <c r="K20" i="4"/>
  <c r="J42" i="4"/>
  <c r="J40" i="4"/>
  <c r="J32" i="4"/>
  <c r="J34" i="4"/>
  <c r="J18" i="4"/>
  <c r="J15" i="4"/>
  <c r="J20" i="4"/>
  <c r="J21" i="11"/>
  <c r="J29" i="11"/>
  <c r="J20" i="11"/>
  <c r="J14" i="11"/>
  <c r="O768" i="2"/>
  <c r="N768" i="2"/>
  <c r="O767" i="2"/>
  <c r="N767" i="2"/>
  <c r="O766" i="2"/>
  <c r="N766" i="2"/>
  <c r="O765" i="2"/>
  <c r="N765" i="2"/>
  <c r="O764" i="2"/>
  <c r="N764" i="2"/>
  <c r="O763" i="2"/>
  <c r="N763" i="2"/>
  <c r="O762" i="2"/>
  <c r="N762" i="2"/>
  <c r="O761" i="2"/>
  <c r="N761" i="2"/>
  <c r="O760" i="2"/>
  <c r="N760" i="2"/>
  <c r="O759" i="2"/>
  <c r="N759" i="2"/>
  <c r="O758" i="2"/>
  <c r="N758" i="2"/>
  <c r="O757" i="2"/>
  <c r="N757" i="2"/>
  <c r="O756" i="2"/>
  <c r="N756" i="2"/>
  <c r="O755" i="2"/>
  <c r="N755" i="2"/>
  <c r="O754" i="2"/>
  <c r="N754" i="2"/>
  <c r="O753" i="2"/>
  <c r="N753" i="2"/>
  <c r="O752" i="2"/>
  <c r="N752" i="2"/>
  <c r="O751" i="2"/>
  <c r="N751" i="2"/>
  <c r="O750" i="2"/>
  <c r="N750" i="2"/>
  <c r="O749" i="2"/>
  <c r="N749" i="2"/>
  <c r="O748" i="2"/>
  <c r="N748" i="2"/>
  <c r="O747" i="2"/>
  <c r="N747" i="2"/>
  <c r="O746" i="2"/>
  <c r="N746" i="2"/>
  <c r="O745" i="2"/>
  <c r="N745" i="2"/>
  <c r="O744" i="2"/>
  <c r="N744" i="2"/>
  <c r="O743" i="2"/>
  <c r="N743" i="2"/>
  <c r="O742" i="2"/>
  <c r="N742" i="2"/>
  <c r="O741" i="2"/>
  <c r="N741" i="2"/>
  <c r="O740" i="2"/>
  <c r="N740" i="2"/>
  <c r="O739" i="2"/>
  <c r="N739" i="2"/>
  <c r="O738" i="2"/>
  <c r="N738" i="2"/>
  <c r="O737" i="2"/>
  <c r="N737" i="2"/>
  <c r="O736" i="2"/>
  <c r="N736" i="2"/>
  <c r="O735" i="2"/>
  <c r="N735" i="2"/>
  <c r="O734" i="2"/>
  <c r="N734" i="2"/>
  <c r="O733" i="2"/>
  <c r="N733" i="2"/>
  <c r="O732" i="2"/>
  <c r="N732" i="2"/>
  <c r="O731" i="2"/>
  <c r="N731" i="2"/>
  <c r="O730" i="2"/>
  <c r="N730" i="2"/>
  <c r="O729" i="2"/>
  <c r="N729" i="2"/>
  <c r="O728" i="2"/>
  <c r="N728" i="2"/>
  <c r="O727" i="2"/>
  <c r="N727" i="2"/>
  <c r="O726" i="2"/>
  <c r="N726" i="2"/>
  <c r="O725" i="2"/>
  <c r="N725" i="2"/>
  <c r="O724" i="2"/>
  <c r="N724" i="2"/>
  <c r="O723" i="2"/>
  <c r="N723" i="2"/>
  <c r="O722" i="2"/>
  <c r="N722" i="2"/>
  <c r="O721" i="2"/>
  <c r="N721" i="2"/>
  <c r="O720" i="2"/>
  <c r="N720" i="2"/>
  <c r="O719" i="2"/>
  <c r="N719" i="2"/>
  <c r="O718" i="2"/>
  <c r="N718" i="2"/>
  <c r="O717" i="2"/>
  <c r="N717" i="2"/>
  <c r="O716" i="2"/>
  <c r="N716" i="2"/>
  <c r="O715" i="2"/>
  <c r="N715" i="2"/>
  <c r="O714" i="2"/>
  <c r="N714" i="2"/>
  <c r="O713" i="2"/>
  <c r="N713" i="2"/>
  <c r="O712" i="2"/>
  <c r="N712" i="2"/>
  <c r="O711" i="2"/>
  <c r="N711" i="2"/>
  <c r="O710" i="2"/>
  <c r="N710" i="2"/>
  <c r="O709" i="2"/>
  <c r="N709" i="2"/>
  <c r="O708" i="2"/>
  <c r="N708" i="2"/>
  <c r="O707" i="2"/>
  <c r="N707" i="2"/>
  <c r="O706" i="2"/>
  <c r="N706" i="2"/>
  <c r="O705" i="2"/>
  <c r="N705" i="2"/>
  <c r="O704" i="2"/>
  <c r="N704" i="2"/>
  <c r="O703" i="2"/>
  <c r="N703" i="2"/>
  <c r="O702" i="2"/>
  <c r="N702" i="2"/>
  <c r="O701" i="2"/>
  <c r="N701" i="2"/>
  <c r="O700" i="2"/>
  <c r="N700" i="2"/>
  <c r="O699" i="2"/>
  <c r="N699" i="2"/>
  <c r="O698" i="2"/>
  <c r="N698" i="2"/>
  <c r="O697" i="2"/>
  <c r="N697" i="2"/>
  <c r="O696" i="2"/>
  <c r="N696" i="2"/>
  <c r="O695" i="2"/>
  <c r="N695" i="2"/>
  <c r="O694" i="2"/>
  <c r="N694" i="2"/>
  <c r="O693" i="2"/>
  <c r="N693" i="2"/>
  <c r="O692" i="2"/>
  <c r="N692" i="2"/>
  <c r="O691" i="2"/>
  <c r="N691" i="2"/>
  <c r="O690" i="2"/>
  <c r="N690" i="2"/>
  <c r="O689" i="2"/>
  <c r="N689" i="2"/>
  <c r="O688" i="2"/>
  <c r="N688" i="2"/>
  <c r="O687" i="2"/>
  <c r="N687" i="2"/>
  <c r="O686" i="2"/>
  <c r="N686" i="2"/>
  <c r="O685" i="2"/>
  <c r="N685" i="2"/>
  <c r="O684" i="2"/>
  <c r="N684" i="2"/>
  <c r="O683" i="2"/>
  <c r="N683" i="2"/>
  <c r="O682" i="2"/>
  <c r="N682" i="2"/>
  <c r="O681" i="2"/>
  <c r="N681" i="2"/>
  <c r="O680" i="2"/>
  <c r="N680" i="2"/>
  <c r="O679" i="2"/>
  <c r="N679" i="2"/>
  <c r="O678" i="2"/>
  <c r="N678" i="2"/>
  <c r="O677" i="2"/>
  <c r="N677" i="2"/>
  <c r="O676" i="2"/>
  <c r="N676" i="2"/>
  <c r="O675" i="2"/>
  <c r="N675" i="2"/>
  <c r="O674" i="2"/>
  <c r="N674" i="2"/>
  <c r="O673" i="2"/>
  <c r="N673" i="2"/>
  <c r="O672" i="2"/>
  <c r="N672" i="2"/>
  <c r="O671" i="2"/>
  <c r="N671" i="2"/>
  <c r="O670" i="2"/>
  <c r="N670" i="2"/>
  <c r="O669" i="2"/>
  <c r="N669" i="2"/>
  <c r="O668" i="2"/>
  <c r="N668" i="2"/>
  <c r="O667" i="2"/>
  <c r="N667" i="2"/>
  <c r="O666" i="2"/>
  <c r="N666" i="2"/>
  <c r="O665" i="2"/>
  <c r="N665" i="2"/>
  <c r="O664" i="2"/>
  <c r="N664" i="2"/>
  <c r="O663" i="2"/>
  <c r="N663" i="2"/>
  <c r="O662" i="2"/>
  <c r="N662" i="2"/>
  <c r="O661" i="2"/>
  <c r="N661" i="2"/>
  <c r="O660" i="2"/>
  <c r="N660" i="2"/>
  <c r="O659" i="2"/>
  <c r="N659" i="2"/>
  <c r="O658" i="2"/>
  <c r="N658" i="2"/>
  <c r="O657" i="2"/>
  <c r="N657" i="2"/>
  <c r="O656" i="2"/>
  <c r="N656" i="2"/>
  <c r="O655" i="2"/>
  <c r="N655" i="2"/>
  <c r="O654" i="2"/>
  <c r="N654" i="2"/>
  <c r="O653" i="2"/>
  <c r="N653" i="2"/>
  <c r="O652" i="2"/>
  <c r="N652" i="2"/>
  <c r="O651" i="2"/>
  <c r="N651" i="2"/>
  <c r="O650" i="2"/>
  <c r="N650" i="2"/>
  <c r="O649" i="2"/>
  <c r="N649" i="2"/>
  <c r="O648" i="2"/>
  <c r="N648" i="2"/>
  <c r="O647" i="2"/>
  <c r="N647" i="2"/>
  <c r="O646" i="2"/>
  <c r="N646" i="2"/>
  <c r="O645" i="2"/>
  <c r="N645" i="2"/>
  <c r="O644" i="2"/>
  <c r="N644" i="2"/>
  <c r="O643" i="2"/>
  <c r="N643" i="2"/>
  <c r="O642" i="2"/>
  <c r="N642" i="2"/>
  <c r="O641" i="2"/>
  <c r="N641" i="2"/>
  <c r="O640" i="2"/>
  <c r="N640" i="2"/>
  <c r="O639" i="2"/>
  <c r="N639" i="2"/>
  <c r="O638" i="2"/>
  <c r="N638" i="2"/>
  <c r="O637" i="2"/>
  <c r="N637" i="2"/>
  <c r="O636" i="2"/>
  <c r="N636" i="2"/>
  <c r="O635" i="2"/>
  <c r="N635" i="2"/>
  <c r="O634" i="2"/>
  <c r="N634" i="2"/>
  <c r="O633" i="2"/>
  <c r="N633" i="2"/>
  <c r="O632" i="2"/>
  <c r="N632" i="2"/>
  <c r="O631" i="2"/>
  <c r="N631" i="2"/>
  <c r="O630" i="2"/>
  <c r="N630" i="2"/>
  <c r="O629" i="2"/>
  <c r="N629" i="2"/>
  <c r="O628" i="2"/>
  <c r="N628" i="2"/>
  <c r="O627" i="2"/>
  <c r="N627" i="2"/>
  <c r="O626" i="2"/>
  <c r="N626" i="2"/>
  <c r="O625" i="2"/>
  <c r="N625" i="2"/>
  <c r="O624" i="2"/>
  <c r="N624" i="2"/>
  <c r="O623" i="2"/>
  <c r="N623" i="2"/>
  <c r="O622" i="2"/>
  <c r="N622" i="2"/>
  <c r="O621" i="2"/>
  <c r="N621" i="2"/>
  <c r="O620" i="2"/>
  <c r="N620" i="2"/>
  <c r="O619" i="2"/>
  <c r="N619" i="2"/>
  <c r="O618" i="2"/>
  <c r="N618" i="2"/>
  <c r="O617" i="2"/>
  <c r="N617" i="2"/>
  <c r="O616" i="2"/>
  <c r="N616" i="2"/>
  <c r="O615" i="2"/>
  <c r="N615" i="2"/>
  <c r="O614" i="2"/>
  <c r="N614" i="2"/>
  <c r="O613" i="2"/>
  <c r="N613" i="2"/>
  <c r="O612" i="2"/>
  <c r="N612" i="2"/>
  <c r="O611" i="2"/>
  <c r="N611" i="2"/>
  <c r="O610" i="2"/>
  <c r="N610" i="2"/>
  <c r="O609" i="2"/>
  <c r="N609" i="2"/>
  <c r="O608" i="2"/>
  <c r="N608" i="2"/>
  <c r="O607" i="2"/>
  <c r="N607" i="2"/>
  <c r="O606" i="2"/>
  <c r="N606" i="2"/>
  <c r="O605" i="2"/>
  <c r="N605" i="2"/>
  <c r="O604" i="2"/>
  <c r="N604" i="2"/>
  <c r="O603" i="2"/>
  <c r="N603" i="2"/>
  <c r="O602" i="2"/>
  <c r="N602" i="2"/>
  <c r="O601" i="2"/>
  <c r="N601" i="2"/>
  <c r="O600" i="2"/>
  <c r="N600" i="2"/>
  <c r="O599" i="2"/>
  <c r="N599" i="2"/>
  <c r="O598" i="2"/>
  <c r="N598" i="2"/>
  <c r="O597" i="2"/>
  <c r="N597" i="2"/>
  <c r="O596" i="2"/>
  <c r="N596" i="2"/>
  <c r="O595" i="2"/>
  <c r="N595" i="2"/>
  <c r="O594" i="2"/>
  <c r="N594" i="2"/>
  <c r="O593" i="2"/>
  <c r="N593" i="2"/>
  <c r="O592" i="2"/>
  <c r="N592" i="2"/>
  <c r="O591" i="2"/>
  <c r="N591" i="2"/>
  <c r="O590" i="2"/>
  <c r="N590" i="2"/>
  <c r="O589" i="2"/>
  <c r="N589" i="2"/>
  <c r="O588" i="2"/>
  <c r="N588" i="2"/>
  <c r="O587" i="2"/>
  <c r="N587" i="2"/>
  <c r="O586" i="2"/>
  <c r="N586" i="2"/>
  <c r="O585" i="2"/>
  <c r="N585" i="2"/>
  <c r="O584" i="2"/>
  <c r="N584" i="2"/>
  <c r="O583" i="2"/>
  <c r="N583" i="2"/>
  <c r="O582" i="2"/>
  <c r="N582" i="2"/>
  <c r="O581" i="2"/>
  <c r="N581" i="2"/>
  <c r="O580" i="2"/>
  <c r="N580" i="2"/>
  <c r="O579" i="2"/>
  <c r="N579" i="2"/>
  <c r="O578" i="2"/>
  <c r="N578" i="2"/>
  <c r="O577" i="2"/>
  <c r="N577" i="2"/>
  <c r="O576" i="2"/>
  <c r="N576" i="2"/>
  <c r="O575" i="2"/>
  <c r="N575" i="2"/>
  <c r="O574" i="2"/>
  <c r="N574" i="2"/>
  <c r="O573" i="2"/>
  <c r="N573" i="2"/>
  <c r="O572" i="2"/>
  <c r="N572" i="2"/>
  <c r="O571" i="2"/>
  <c r="N571" i="2"/>
  <c r="O570" i="2"/>
  <c r="N570" i="2"/>
  <c r="O569" i="2"/>
  <c r="N569" i="2"/>
  <c r="O568" i="2"/>
  <c r="N568" i="2"/>
  <c r="O567" i="2"/>
  <c r="N567" i="2"/>
  <c r="O566" i="2"/>
  <c r="N566" i="2"/>
  <c r="O565" i="2"/>
  <c r="N565" i="2"/>
  <c r="O564" i="2"/>
  <c r="N564" i="2"/>
  <c r="O563" i="2"/>
  <c r="N563" i="2"/>
  <c r="O562" i="2"/>
  <c r="N562" i="2"/>
  <c r="O561" i="2"/>
  <c r="N561" i="2"/>
  <c r="O560" i="2"/>
  <c r="N560" i="2"/>
  <c r="O559" i="2"/>
  <c r="N559" i="2"/>
  <c r="O558" i="2"/>
  <c r="N558" i="2"/>
  <c r="O557" i="2"/>
  <c r="N557" i="2"/>
  <c r="O556" i="2"/>
  <c r="N556" i="2"/>
  <c r="O555" i="2"/>
  <c r="N555" i="2"/>
  <c r="O554" i="2"/>
  <c r="N554" i="2"/>
  <c r="O553" i="2"/>
  <c r="N553" i="2"/>
  <c r="O552" i="2"/>
  <c r="N552" i="2"/>
  <c r="O551" i="2"/>
  <c r="N551" i="2"/>
  <c r="O550" i="2"/>
  <c r="N550" i="2"/>
  <c r="O549" i="2"/>
  <c r="N549" i="2"/>
  <c r="O548" i="2"/>
  <c r="N548" i="2"/>
  <c r="O547" i="2"/>
  <c r="N547" i="2"/>
  <c r="O546" i="2"/>
  <c r="N546" i="2"/>
  <c r="O545" i="2"/>
  <c r="N545" i="2"/>
  <c r="O544" i="2"/>
  <c r="N544" i="2"/>
  <c r="O543" i="2"/>
  <c r="N543" i="2"/>
  <c r="O542" i="2"/>
  <c r="N542" i="2"/>
  <c r="O541" i="2"/>
  <c r="N541" i="2"/>
  <c r="O540" i="2"/>
  <c r="N540" i="2"/>
  <c r="O539" i="2"/>
  <c r="N539" i="2"/>
  <c r="O538" i="2"/>
  <c r="N538" i="2"/>
  <c r="O537" i="2"/>
  <c r="N537" i="2"/>
  <c r="O536" i="2"/>
  <c r="N536" i="2"/>
  <c r="O535" i="2"/>
  <c r="N535" i="2"/>
  <c r="O534" i="2"/>
  <c r="N534" i="2"/>
  <c r="O533" i="2"/>
  <c r="N533" i="2"/>
  <c r="O532" i="2"/>
  <c r="N532" i="2"/>
  <c r="O531" i="2"/>
  <c r="N531" i="2"/>
  <c r="O530" i="2"/>
  <c r="N530" i="2"/>
  <c r="O529" i="2"/>
  <c r="N529" i="2"/>
  <c r="O528" i="2"/>
  <c r="N528" i="2"/>
  <c r="O527" i="2"/>
  <c r="N527" i="2"/>
  <c r="O526" i="2"/>
  <c r="N526" i="2"/>
  <c r="O525" i="2"/>
  <c r="N525" i="2"/>
  <c r="O524" i="2"/>
  <c r="N524" i="2"/>
  <c r="O523" i="2"/>
  <c r="N523" i="2"/>
  <c r="O522" i="2"/>
  <c r="N522" i="2"/>
  <c r="O521" i="2"/>
  <c r="N521" i="2"/>
  <c r="O520" i="2"/>
  <c r="N520" i="2"/>
  <c r="O519" i="2"/>
  <c r="N519" i="2"/>
  <c r="O518" i="2"/>
  <c r="N518" i="2"/>
  <c r="O517" i="2"/>
  <c r="N517" i="2"/>
  <c r="O516" i="2"/>
  <c r="N516" i="2"/>
  <c r="O515" i="2"/>
  <c r="N515" i="2"/>
  <c r="O514" i="2"/>
  <c r="N514" i="2"/>
  <c r="O513" i="2"/>
  <c r="N513" i="2"/>
  <c r="O512" i="2"/>
  <c r="N512" i="2"/>
  <c r="O511" i="2"/>
  <c r="N511" i="2"/>
  <c r="O510" i="2"/>
  <c r="N510" i="2"/>
  <c r="O509" i="2"/>
  <c r="N509" i="2"/>
  <c r="O508" i="2"/>
  <c r="N508" i="2"/>
  <c r="O507" i="2"/>
  <c r="N507" i="2"/>
  <c r="O506" i="2"/>
  <c r="N506" i="2"/>
  <c r="O505" i="2"/>
  <c r="N505" i="2"/>
  <c r="O504" i="2"/>
  <c r="N504" i="2"/>
  <c r="O503" i="2"/>
  <c r="N503" i="2"/>
  <c r="O502" i="2"/>
  <c r="N502" i="2"/>
  <c r="O501" i="2"/>
  <c r="N501" i="2"/>
  <c r="O500" i="2"/>
  <c r="N500" i="2"/>
  <c r="O499" i="2"/>
  <c r="N499" i="2"/>
  <c r="O498" i="2"/>
  <c r="N498" i="2"/>
  <c r="O497" i="2"/>
  <c r="N497" i="2"/>
  <c r="O496" i="2"/>
  <c r="N496" i="2"/>
  <c r="O495" i="2"/>
  <c r="N495" i="2"/>
  <c r="O494" i="2"/>
  <c r="N494" i="2"/>
  <c r="O493" i="2"/>
  <c r="N493" i="2"/>
  <c r="O492" i="2"/>
  <c r="N492" i="2"/>
  <c r="O491" i="2"/>
  <c r="N491" i="2"/>
  <c r="O490" i="2"/>
  <c r="N490" i="2"/>
  <c r="O489" i="2"/>
  <c r="N489" i="2"/>
  <c r="O488" i="2"/>
  <c r="N488" i="2"/>
  <c r="O487" i="2"/>
  <c r="N487" i="2"/>
  <c r="O486" i="2"/>
  <c r="N486" i="2"/>
  <c r="O485" i="2"/>
  <c r="N485" i="2"/>
  <c r="O484" i="2"/>
  <c r="N484" i="2"/>
  <c r="O483" i="2"/>
  <c r="N483" i="2"/>
  <c r="O482" i="2"/>
  <c r="N482" i="2"/>
  <c r="O481" i="2"/>
  <c r="N481" i="2"/>
  <c r="O480" i="2"/>
  <c r="N480" i="2"/>
  <c r="O479" i="2"/>
  <c r="N479" i="2"/>
  <c r="O478" i="2"/>
  <c r="N478" i="2"/>
  <c r="O477" i="2"/>
  <c r="N477" i="2"/>
  <c r="O476" i="2"/>
  <c r="N476" i="2"/>
  <c r="O475" i="2"/>
  <c r="N475" i="2"/>
  <c r="O474" i="2"/>
  <c r="N474" i="2"/>
  <c r="O473" i="2"/>
  <c r="N473" i="2"/>
  <c r="O472" i="2"/>
  <c r="N472" i="2"/>
  <c r="O471" i="2"/>
  <c r="N471" i="2"/>
  <c r="O470" i="2"/>
  <c r="N470" i="2"/>
  <c r="O469" i="2"/>
  <c r="N469" i="2"/>
  <c r="O468" i="2"/>
  <c r="N468" i="2"/>
  <c r="O467" i="2"/>
  <c r="N467" i="2"/>
  <c r="O466" i="2"/>
  <c r="N466" i="2"/>
  <c r="O465" i="2"/>
  <c r="N465" i="2"/>
  <c r="O464" i="2"/>
  <c r="N464" i="2"/>
  <c r="O463" i="2"/>
  <c r="N463" i="2"/>
  <c r="O462" i="2"/>
  <c r="N462" i="2"/>
  <c r="O461" i="2"/>
  <c r="N461" i="2"/>
  <c r="O460" i="2"/>
  <c r="N460" i="2"/>
  <c r="O459" i="2"/>
  <c r="N459" i="2"/>
  <c r="O458" i="2"/>
  <c r="N458" i="2"/>
  <c r="O457" i="2"/>
  <c r="N457" i="2"/>
  <c r="O456" i="2"/>
  <c r="N456" i="2"/>
  <c r="O455" i="2"/>
  <c r="N455" i="2"/>
  <c r="O454" i="2"/>
  <c r="N454" i="2"/>
  <c r="O453" i="2"/>
  <c r="N453" i="2"/>
  <c r="O452" i="2"/>
  <c r="N452" i="2"/>
  <c r="O451" i="2"/>
  <c r="N451" i="2"/>
  <c r="O450" i="2"/>
  <c r="N450" i="2"/>
  <c r="O449" i="2"/>
  <c r="N449" i="2"/>
  <c r="O448" i="2"/>
  <c r="N448" i="2"/>
  <c r="O447" i="2"/>
  <c r="N447" i="2"/>
  <c r="O446" i="2"/>
  <c r="N446" i="2"/>
  <c r="O445" i="2"/>
  <c r="N445" i="2"/>
  <c r="O444" i="2"/>
  <c r="N444" i="2"/>
  <c r="O443" i="2"/>
  <c r="N443" i="2"/>
  <c r="O442" i="2"/>
  <c r="N442" i="2"/>
  <c r="O441" i="2"/>
  <c r="N441" i="2"/>
  <c r="O440" i="2"/>
  <c r="N440" i="2"/>
  <c r="O439" i="2"/>
  <c r="N439" i="2"/>
  <c r="O438" i="2"/>
  <c r="N438" i="2"/>
  <c r="O437" i="2"/>
  <c r="N437" i="2"/>
  <c r="O436" i="2"/>
  <c r="N436" i="2"/>
  <c r="O435" i="2"/>
  <c r="N435" i="2"/>
  <c r="O434" i="2"/>
  <c r="N434" i="2"/>
  <c r="O433" i="2"/>
  <c r="N433" i="2"/>
  <c r="O432" i="2"/>
  <c r="N432" i="2"/>
  <c r="O431" i="2"/>
  <c r="N431" i="2"/>
  <c r="O430" i="2"/>
  <c r="N430" i="2"/>
  <c r="O429" i="2"/>
  <c r="N429" i="2"/>
  <c r="O428" i="2"/>
  <c r="N428" i="2"/>
  <c r="O427" i="2"/>
  <c r="N427" i="2"/>
  <c r="O426" i="2"/>
  <c r="N426" i="2"/>
  <c r="O425" i="2"/>
  <c r="N425" i="2"/>
  <c r="O424" i="2"/>
  <c r="N424" i="2"/>
  <c r="O423" i="2"/>
  <c r="N423" i="2"/>
  <c r="O422" i="2"/>
  <c r="N422" i="2"/>
  <c r="O421" i="2"/>
  <c r="N421" i="2"/>
  <c r="O420" i="2"/>
  <c r="N420" i="2"/>
  <c r="O419" i="2"/>
  <c r="N419" i="2"/>
  <c r="O418" i="2"/>
  <c r="N418" i="2"/>
  <c r="O417" i="2"/>
  <c r="N417" i="2"/>
  <c r="O416" i="2"/>
  <c r="N416" i="2"/>
  <c r="O415" i="2"/>
  <c r="N415" i="2"/>
  <c r="O414" i="2"/>
  <c r="N414" i="2"/>
  <c r="O413" i="2"/>
  <c r="N413" i="2"/>
  <c r="O412" i="2"/>
  <c r="N412" i="2"/>
  <c r="O411" i="2"/>
  <c r="N411" i="2"/>
  <c r="O410" i="2"/>
  <c r="N410" i="2"/>
  <c r="O409" i="2"/>
  <c r="N409" i="2"/>
  <c r="O408" i="2"/>
  <c r="N408" i="2"/>
  <c r="O407" i="2"/>
  <c r="N407" i="2"/>
  <c r="O406" i="2"/>
  <c r="N406" i="2"/>
  <c r="O405" i="2"/>
  <c r="N405" i="2"/>
  <c r="O404" i="2"/>
  <c r="N404" i="2"/>
  <c r="O403" i="2"/>
  <c r="N403" i="2"/>
  <c r="O402" i="2"/>
  <c r="N402" i="2"/>
  <c r="O401" i="2"/>
  <c r="N401" i="2"/>
  <c r="O400" i="2"/>
  <c r="N400" i="2"/>
  <c r="O399" i="2"/>
  <c r="N399" i="2"/>
  <c r="O398" i="2"/>
  <c r="N398" i="2"/>
  <c r="O397" i="2"/>
  <c r="N397" i="2"/>
  <c r="O396" i="2"/>
  <c r="N396" i="2"/>
  <c r="O395" i="2"/>
  <c r="N395" i="2"/>
  <c r="O394" i="2"/>
  <c r="N394" i="2"/>
  <c r="O393" i="2"/>
  <c r="N393" i="2"/>
  <c r="O392" i="2"/>
  <c r="N392" i="2"/>
  <c r="O391" i="2"/>
  <c r="N391" i="2"/>
  <c r="O390" i="2"/>
  <c r="N390" i="2"/>
  <c r="O389" i="2"/>
  <c r="N389" i="2"/>
  <c r="O388" i="2"/>
  <c r="N388" i="2"/>
  <c r="O387" i="2"/>
  <c r="N387" i="2"/>
  <c r="O386" i="2"/>
  <c r="N386" i="2"/>
  <c r="O385" i="2"/>
  <c r="N385" i="2"/>
  <c r="O384" i="2"/>
  <c r="N384" i="2"/>
  <c r="O383" i="2"/>
  <c r="N383" i="2"/>
  <c r="O382" i="2"/>
  <c r="N382" i="2"/>
  <c r="O381" i="2"/>
  <c r="N381" i="2"/>
  <c r="O380" i="2"/>
  <c r="N380" i="2"/>
  <c r="O379" i="2"/>
  <c r="N379" i="2"/>
  <c r="O378" i="2"/>
  <c r="N378" i="2"/>
  <c r="O377" i="2"/>
  <c r="N377" i="2"/>
  <c r="O376" i="2"/>
  <c r="N376" i="2"/>
  <c r="O375" i="2"/>
  <c r="N375" i="2"/>
  <c r="O374" i="2"/>
  <c r="N374" i="2"/>
  <c r="O373" i="2"/>
  <c r="N373" i="2"/>
  <c r="O372" i="2"/>
  <c r="N372" i="2"/>
  <c r="O371" i="2"/>
  <c r="N371" i="2"/>
  <c r="O370" i="2"/>
  <c r="N370" i="2"/>
  <c r="O369" i="2"/>
  <c r="N369" i="2"/>
  <c r="O368" i="2"/>
  <c r="N368" i="2"/>
  <c r="O367" i="2"/>
  <c r="N367" i="2"/>
  <c r="O366" i="2"/>
  <c r="N366" i="2"/>
  <c r="O365" i="2"/>
  <c r="N365" i="2"/>
  <c r="O364" i="2"/>
  <c r="N364" i="2"/>
  <c r="O363" i="2"/>
  <c r="N363" i="2"/>
  <c r="O362" i="2"/>
  <c r="N362" i="2"/>
  <c r="O361" i="2"/>
  <c r="N361" i="2"/>
  <c r="O360" i="2"/>
  <c r="N360" i="2"/>
  <c r="O359" i="2"/>
  <c r="N359" i="2"/>
  <c r="O358" i="2"/>
  <c r="N358" i="2"/>
  <c r="O357" i="2"/>
  <c r="N357" i="2"/>
  <c r="O356" i="2"/>
  <c r="N356" i="2"/>
  <c r="O355" i="2"/>
  <c r="N355" i="2"/>
  <c r="O354" i="2"/>
  <c r="N354" i="2"/>
  <c r="O353" i="2"/>
  <c r="N353" i="2"/>
  <c r="O352" i="2"/>
  <c r="N352" i="2"/>
  <c r="O351" i="2"/>
  <c r="N351" i="2"/>
  <c r="O350" i="2"/>
  <c r="N350" i="2"/>
  <c r="O349" i="2"/>
  <c r="N349" i="2"/>
  <c r="O348" i="2"/>
  <c r="N348" i="2"/>
  <c r="O347" i="2"/>
  <c r="N347" i="2"/>
  <c r="O346" i="2"/>
  <c r="N346" i="2"/>
  <c r="O345" i="2"/>
  <c r="N345" i="2"/>
  <c r="O344" i="2"/>
  <c r="N344" i="2"/>
  <c r="O343" i="2"/>
  <c r="N343" i="2"/>
  <c r="O342" i="2"/>
  <c r="N342" i="2"/>
  <c r="O341" i="2"/>
  <c r="N341" i="2"/>
  <c r="O340" i="2"/>
  <c r="N340" i="2"/>
  <c r="O339" i="2"/>
  <c r="N339" i="2"/>
  <c r="O338" i="2"/>
  <c r="N338" i="2"/>
  <c r="O337" i="2"/>
  <c r="N337" i="2"/>
  <c r="O336" i="2"/>
  <c r="N336" i="2"/>
  <c r="O335" i="2"/>
  <c r="N335" i="2"/>
  <c r="O334" i="2"/>
  <c r="N334" i="2"/>
  <c r="O333" i="2"/>
  <c r="N333" i="2"/>
  <c r="O332" i="2"/>
  <c r="N332" i="2"/>
  <c r="O331" i="2"/>
  <c r="N331" i="2"/>
  <c r="O330" i="2"/>
  <c r="N330" i="2"/>
  <c r="O329" i="2"/>
  <c r="N329" i="2"/>
  <c r="O328" i="2"/>
  <c r="N328" i="2"/>
  <c r="O327" i="2"/>
  <c r="N327" i="2"/>
  <c r="O326" i="2"/>
  <c r="N326" i="2"/>
  <c r="O325" i="2"/>
  <c r="N325" i="2"/>
  <c r="O324" i="2"/>
  <c r="N324" i="2"/>
  <c r="O323" i="2"/>
  <c r="N323" i="2"/>
  <c r="O322" i="2"/>
  <c r="N322" i="2"/>
  <c r="O321" i="2"/>
  <c r="N321" i="2"/>
  <c r="O320" i="2"/>
  <c r="N320" i="2"/>
  <c r="O319" i="2"/>
  <c r="N319" i="2"/>
  <c r="O318" i="2"/>
  <c r="N318" i="2"/>
  <c r="O317" i="2"/>
  <c r="N317" i="2"/>
  <c r="O316" i="2"/>
  <c r="N316" i="2"/>
  <c r="O315" i="2"/>
  <c r="N315" i="2"/>
  <c r="O314" i="2"/>
  <c r="N314" i="2"/>
  <c r="O313" i="2"/>
  <c r="N313" i="2"/>
  <c r="O312" i="2"/>
  <c r="N312" i="2"/>
  <c r="O311" i="2"/>
  <c r="N311" i="2"/>
  <c r="O310" i="2"/>
  <c r="N310" i="2"/>
  <c r="O309" i="2"/>
  <c r="N309" i="2"/>
  <c r="O308" i="2"/>
  <c r="N308" i="2"/>
  <c r="O307" i="2"/>
  <c r="N307" i="2"/>
  <c r="O306" i="2"/>
  <c r="N306" i="2"/>
  <c r="O305" i="2"/>
  <c r="N305" i="2"/>
  <c r="O304" i="2"/>
  <c r="N304" i="2"/>
  <c r="O303" i="2"/>
  <c r="N303" i="2"/>
  <c r="O302" i="2"/>
  <c r="N302" i="2"/>
  <c r="O301" i="2"/>
  <c r="N301" i="2"/>
  <c r="O300" i="2"/>
  <c r="N300" i="2"/>
  <c r="O299" i="2"/>
  <c r="N299" i="2"/>
  <c r="O298" i="2"/>
  <c r="N298" i="2"/>
  <c r="O297" i="2"/>
  <c r="N297" i="2"/>
  <c r="O296" i="2"/>
  <c r="N296" i="2"/>
  <c r="O295" i="2"/>
  <c r="N295" i="2"/>
  <c r="O294" i="2"/>
  <c r="N294" i="2"/>
  <c r="O293" i="2"/>
  <c r="N293" i="2"/>
  <c r="O292" i="2"/>
  <c r="N292" i="2"/>
  <c r="O291" i="2"/>
  <c r="N291" i="2"/>
  <c r="O290" i="2"/>
  <c r="N290" i="2"/>
  <c r="O289" i="2"/>
  <c r="N289" i="2"/>
  <c r="O288" i="2"/>
  <c r="N288" i="2"/>
  <c r="O287" i="2"/>
  <c r="N287" i="2"/>
  <c r="O286" i="2"/>
  <c r="N286" i="2"/>
  <c r="O285" i="2"/>
  <c r="N285" i="2"/>
  <c r="O284" i="2"/>
  <c r="N284" i="2"/>
  <c r="O283" i="2"/>
  <c r="N283" i="2"/>
  <c r="O282" i="2"/>
  <c r="N282" i="2"/>
  <c r="O281" i="2"/>
  <c r="N281" i="2"/>
  <c r="O280" i="2"/>
  <c r="N280" i="2"/>
  <c r="O279" i="2"/>
  <c r="N279" i="2"/>
  <c r="O278" i="2"/>
  <c r="N278" i="2"/>
  <c r="O277" i="2"/>
  <c r="N277" i="2"/>
  <c r="O276" i="2"/>
  <c r="N276" i="2"/>
  <c r="O275" i="2"/>
  <c r="N275" i="2"/>
  <c r="O274" i="2"/>
  <c r="N274" i="2"/>
  <c r="O273" i="2"/>
  <c r="N273" i="2"/>
  <c r="O272" i="2"/>
  <c r="N272" i="2"/>
  <c r="O271" i="2"/>
  <c r="N271" i="2"/>
  <c r="O270" i="2"/>
  <c r="N270" i="2"/>
  <c r="O269" i="2"/>
  <c r="N269" i="2"/>
  <c r="O268" i="2"/>
  <c r="N268" i="2"/>
  <c r="O267" i="2"/>
  <c r="N267" i="2"/>
  <c r="O266" i="2"/>
  <c r="N266" i="2"/>
  <c r="O265" i="2"/>
  <c r="N265" i="2"/>
  <c r="O264" i="2"/>
  <c r="N264" i="2"/>
  <c r="O263" i="2"/>
  <c r="N263" i="2"/>
  <c r="O262" i="2"/>
  <c r="N262" i="2"/>
  <c r="O261" i="2"/>
  <c r="N261" i="2"/>
  <c r="O260" i="2"/>
  <c r="N260" i="2"/>
  <c r="O259" i="2"/>
  <c r="N259" i="2"/>
  <c r="O258" i="2"/>
  <c r="N258" i="2"/>
  <c r="O257" i="2"/>
  <c r="N257" i="2"/>
  <c r="O256" i="2"/>
  <c r="N256" i="2"/>
  <c r="O255" i="2"/>
  <c r="N255" i="2"/>
  <c r="O254" i="2"/>
  <c r="N254" i="2"/>
  <c r="O253" i="2"/>
  <c r="N253" i="2"/>
  <c r="O252" i="2"/>
  <c r="N252" i="2"/>
  <c r="O251" i="2"/>
  <c r="N251" i="2"/>
  <c r="O250" i="2"/>
  <c r="N250" i="2"/>
  <c r="O249" i="2"/>
  <c r="N249" i="2"/>
  <c r="O248" i="2"/>
  <c r="N248" i="2"/>
  <c r="O247" i="2"/>
  <c r="N247" i="2"/>
  <c r="O246" i="2"/>
  <c r="N246" i="2"/>
  <c r="O245" i="2"/>
  <c r="N245" i="2"/>
  <c r="O244" i="2"/>
  <c r="N244" i="2"/>
  <c r="O243" i="2"/>
  <c r="N243" i="2"/>
  <c r="O242" i="2"/>
  <c r="N242" i="2"/>
  <c r="O241" i="2"/>
  <c r="N241" i="2"/>
  <c r="O240" i="2"/>
  <c r="N240" i="2"/>
  <c r="O239" i="2"/>
  <c r="N239" i="2"/>
  <c r="O238" i="2"/>
  <c r="N238" i="2"/>
  <c r="O237" i="2"/>
  <c r="N237" i="2"/>
  <c r="O236" i="2"/>
  <c r="N236" i="2"/>
  <c r="O235" i="2"/>
  <c r="N235" i="2"/>
  <c r="O234" i="2"/>
  <c r="N234" i="2"/>
  <c r="O233" i="2"/>
  <c r="N233" i="2"/>
  <c r="O232" i="2"/>
  <c r="N232" i="2"/>
  <c r="O231" i="2"/>
  <c r="N231" i="2"/>
  <c r="O230" i="2"/>
  <c r="N230" i="2"/>
  <c r="O229" i="2"/>
  <c r="N229" i="2"/>
  <c r="O228" i="2"/>
  <c r="N228" i="2"/>
  <c r="O227" i="2"/>
  <c r="N227" i="2"/>
  <c r="O226" i="2"/>
  <c r="N226" i="2"/>
  <c r="O225" i="2"/>
  <c r="N225" i="2"/>
  <c r="O224" i="2"/>
  <c r="N224" i="2"/>
  <c r="O223" i="2"/>
  <c r="N223" i="2"/>
  <c r="O222" i="2"/>
  <c r="N222" i="2"/>
  <c r="O221" i="2"/>
  <c r="N221" i="2"/>
  <c r="O220" i="2"/>
  <c r="N220" i="2"/>
  <c r="O219" i="2"/>
  <c r="N219" i="2"/>
  <c r="O218" i="2"/>
  <c r="N218" i="2"/>
  <c r="O217" i="2"/>
  <c r="N217" i="2"/>
  <c r="O216" i="2"/>
  <c r="N216" i="2"/>
  <c r="O215" i="2"/>
  <c r="N215" i="2"/>
  <c r="O214" i="2"/>
  <c r="N214" i="2"/>
  <c r="O213" i="2"/>
  <c r="N213" i="2"/>
  <c r="O212" i="2"/>
  <c r="N212" i="2"/>
  <c r="O211" i="2"/>
  <c r="N211" i="2"/>
  <c r="O210" i="2"/>
  <c r="N210" i="2"/>
  <c r="O209" i="2"/>
  <c r="N209" i="2"/>
  <c r="O208" i="2"/>
  <c r="N208" i="2"/>
  <c r="O207" i="2"/>
  <c r="N207" i="2"/>
  <c r="O206" i="2"/>
  <c r="N206" i="2"/>
  <c r="O205" i="2"/>
  <c r="N205" i="2"/>
  <c r="O204" i="2"/>
  <c r="N204" i="2"/>
  <c r="O203" i="2"/>
  <c r="N203" i="2"/>
  <c r="O202" i="2"/>
  <c r="N202" i="2"/>
  <c r="O201" i="2"/>
  <c r="N201" i="2"/>
  <c r="O200" i="2"/>
  <c r="N200" i="2"/>
  <c r="O199" i="2"/>
  <c r="N199" i="2"/>
  <c r="O198" i="2"/>
  <c r="N198" i="2"/>
  <c r="O197" i="2"/>
  <c r="N197" i="2"/>
  <c r="O196" i="2"/>
  <c r="N196" i="2"/>
  <c r="O195" i="2"/>
  <c r="N195" i="2"/>
  <c r="O194" i="2"/>
  <c r="N194" i="2"/>
  <c r="O193" i="2"/>
  <c r="N193" i="2"/>
  <c r="O192" i="2"/>
  <c r="N192" i="2"/>
  <c r="O191" i="2"/>
  <c r="N191" i="2"/>
  <c r="O190" i="2"/>
  <c r="N190" i="2"/>
  <c r="O189" i="2"/>
  <c r="N189" i="2"/>
  <c r="O188" i="2"/>
  <c r="N188" i="2"/>
  <c r="O187" i="2"/>
  <c r="N187" i="2"/>
  <c r="O186" i="2"/>
  <c r="N186" i="2"/>
  <c r="O185" i="2"/>
  <c r="N185" i="2"/>
  <c r="O184" i="2"/>
  <c r="N184" i="2"/>
  <c r="O183" i="2"/>
  <c r="N183" i="2"/>
  <c r="O182" i="2"/>
  <c r="N182" i="2"/>
  <c r="O181" i="2"/>
  <c r="N181" i="2"/>
  <c r="O180" i="2"/>
  <c r="N180" i="2"/>
  <c r="O179" i="2"/>
  <c r="N179" i="2"/>
  <c r="O178" i="2"/>
  <c r="N178" i="2"/>
  <c r="O177" i="2"/>
  <c r="N177" i="2"/>
  <c r="O176" i="2"/>
  <c r="N176" i="2"/>
  <c r="O175" i="2"/>
  <c r="N175" i="2"/>
  <c r="O174" i="2"/>
  <c r="N174" i="2"/>
  <c r="O173" i="2"/>
  <c r="N173" i="2"/>
  <c r="O172" i="2"/>
  <c r="N172" i="2"/>
  <c r="O171" i="2"/>
  <c r="N171" i="2"/>
  <c r="O170" i="2"/>
  <c r="N170" i="2"/>
  <c r="O169" i="2"/>
  <c r="N169" i="2"/>
  <c r="O168" i="2"/>
  <c r="N168" i="2"/>
  <c r="O167" i="2"/>
  <c r="N167" i="2"/>
  <c r="O166" i="2"/>
  <c r="N166" i="2"/>
  <c r="O165" i="2"/>
  <c r="N165" i="2"/>
  <c r="O164" i="2"/>
  <c r="N164" i="2"/>
  <c r="O163" i="2"/>
  <c r="N163" i="2"/>
  <c r="O162" i="2"/>
  <c r="N162" i="2"/>
  <c r="O161" i="2"/>
  <c r="N161" i="2"/>
  <c r="O160" i="2"/>
  <c r="N160" i="2"/>
  <c r="O159" i="2"/>
  <c r="N159" i="2"/>
  <c r="O158" i="2"/>
  <c r="N158" i="2"/>
  <c r="O157" i="2"/>
  <c r="N157" i="2"/>
  <c r="O156" i="2"/>
  <c r="N156" i="2"/>
  <c r="O155" i="2"/>
  <c r="N155" i="2"/>
  <c r="O154" i="2"/>
  <c r="N154" i="2"/>
  <c r="O153" i="2"/>
  <c r="N153" i="2"/>
  <c r="O152" i="2"/>
  <c r="N152" i="2"/>
  <c r="O151" i="2"/>
  <c r="N151" i="2"/>
  <c r="O150" i="2"/>
  <c r="N150" i="2"/>
  <c r="O149" i="2"/>
  <c r="N149" i="2"/>
  <c r="O148" i="2"/>
  <c r="N148" i="2"/>
  <c r="O147" i="2"/>
  <c r="N147" i="2"/>
  <c r="O146" i="2"/>
  <c r="N146" i="2"/>
  <c r="O145" i="2"/>
  <c r="N145" i="2"/>
  <c r="O144" i="2"/>
  <c r="N144" i="2"/>
  <c r="O143" i="2"/>
  <c r="N143" i="2"/>
  <c r="O142" i="2"/>
  <c r="N142" i="2"/>
  <c r="O141" i="2"/>
  <c r="N141" i="2"/>
  <c r="O140" i="2"/>
  <c r="N140" i="2"/>
  <c r="O139" i="2"/>
  <c r="N139" i="2"/>
  <c r="O138" i="2"/>
  <c r="N138" i="2"/>
  <c r="O137" i="2"/>
  <c r="N137" i="2"/>
  <c r="O136" i="2"/>
  <c r="N136" i="2"/>
  <c r="O135" i="2"/>
  <c r="N135" i="2"/>
  <c r="O134" i="2"/>
  <c r="N134" i="2"/>
  <c r="O133" i="2"/>
  <c r="N133" i="2"/>
  <c r="O132" i="2"/>
  <c r="N132" i="2"/>
  <c r="O131" i="2"/>
  <c r="N131" i="2"/>
  <c r="O130" i="2"/>
  <c r="N130" i="2"/>
  <c r="O129" i="2"/>
  <c r="N129" i="2"/>
  <c r="O128" i="2"/>
  <c r="N128" i="2"/>
  <c r="O127" i="2"/>
  <c r="N127" i="2"/>
  <c r="O126" i="2"/>
  <c r="N126" i="2"/>
  <c r="O125" i="2"/>
  <c r="N125" i="2"/>
  <c r="O124" i="2"/>
  <c r="N124" i="2"/>
  <c r="O123" i="2"/>
  <c r="N123" i="2"/>
  <c r="O122" i="2"/>
  <c r="N122" i="2"/>
  <c r="O121" i="2"/>
  <c r="N121" i="2"/>
  <c r="O120" i="2"/>
  <c r="N120" i="2"/>
  <c r="O119" i="2"/>
  <c r="N119" i="2"/>
  <c r="O118" i="2"/>
  <c r="N118" i="2"/>
  <c r="O117" i="2"/>
  <c r="N117" i="2"/>
  <c r="O116" i="2"/>
  <c r="N116" i="2"/>
  <c r="O115" i="2"/>
  <c r="N115" i="2"/>
  <c r="O114" i="2"/>
  <c r="N114" i="2"/>
  <c r="O113" i="2"/>
  <c r="N113" i="2"/>
  <c r="O112" i="2"/>
  <c r="N112" i="2"/>
  <c r="O111" i="2"/>
  <c r="N111" i="2"/>
  <c r="O110" i="2"/>
  <c r="N110" i="2"/>
  <c r="O109" i="2"/>
  <c r="N109" i="2"/>
  <c r="O108" i="2"/>
  <c r="N108" i="2"/>
  <c r="O107" i="2"/>
  <c r="N107" i="2"/>
  <c r="O106" i="2"/>
  <c r="N106" i="2"/>
  <c r="O105" i="2"/>
  <c r="N105" i="2"/>
  <c r="O104" i="2"/>
  <c r="N104" i="2"/>
  <c r="O103" i="2"/>
  <c r="N103" i="2"/>
  <c r="O102" i="2"/>
  <c r="N102" i="2"/>
  <c r="O101" i="2"/>
  <c r="N101" i="2"/>
  <c r="O100" i="2"/>
  <c r="N100" i="2"/>
  <c r="O99" i="2"/>
  <c r="N99" i="2"/>
  <c r="O98" i="2"/>
  <c r="N98" i="2"/>
  <c r="O97" i="2"/>
  <c r="N97" i="2"/>
  <c r="O96" i="2"/>
  <c r="N96" i="2"/>
  <c r="O95" i="2"/>
  <c r="N95" i="2"/>
  <c r="O94" i="2"/>
  <c r="N94" i="2"/>
  <c r="O93" i="2"/>
  <c r="N93" i="2"/>
  <c r="O92" i="2"/>
  <c r="N92" i="2"/>
  <c r="O91" i="2"/>
  <c r="N91" i="2"/>
  <c r="O90" i="2"/>
  <c r="N90" i="2"/>
  <c r="O89" i="2"/>
  <c r="N89" i="2"/>
  <c r="O88" i="2"/>
  <c r="N88" i="2"/>
  <c r="O87" i="2"/>
  <c r="N87" i="2"/>
  <c r="O86" i="2"/>
  <c r="N86" i="2"/>
  <c r="O85" i="2"/>
  <c r="N85" i="2"/>
  <c r="O84" i="2"/>
  <c r="N84" i="2"/>
  <c r="O83" i="2"/>
  <c r="N83" i="2"/>
  <c r="O82" i="2"/>
  <c r="N82" i="2"/>
  <c r="O81" i="2"/>
  <c r="N81" i="2"/>
  <c r="O80" i="2"/>
  <c r="N80" i="2"/>
  <c r="O79" i="2"/>
  <c r="N79" i="2"/>
  <c r="O78" i="2"/>
  <c r="N78" i="2"/>
  <c r="O77" i="2"/>
  <c r="N77" i="2"/>
  <c r="O76" i="2"/>
  <c r="N76" i="2"/>
  <c r="O75" i="2"/>
  <c r="N75" i="2"/>
  <c r="O74" i="2"/>
  <c r="N74" i="2"/>
  <c r="O73" i="2"/>
  <c r="N73" i="2"/>
  <c r="O72" i="2"/>
  <c r="N72" i="2"/>
  <c r="O71" i="2"/>
  <c r="N71" i="2"/>
  <c r="O70" i="2"/>
  <c r="N70" i="2"/>
  <c r="O69" i="2"/>
  <c r="N69" i="2"/>
  <c r="O68" i="2"/>
  <c r="N68" i="2"/>
  <c r="O67" i="2"/>
  <c r="N67" i="2"/>
  <c r="O66" i="2"/>
  <c r="N66" i="2"/>
  <c r="O65" i="2"/>
  <c r="N65" i="2"/>
  <c r="O64" i="2"/>
  <c r="N64" i="2"/>
  <c r="O63" i="2"/>
  <c r="N63" i="2"/>
  <c r="O62" i="2"/>
  <c r="N62" i="2"/>
  <c r="O61" i="2"/>
  <c r="N61" i="2"/>
  <c r="O60" i="2"/>
  <c r="N60" i="2"/>
  <c r="O59" i="2"/>
  <c r="N59" i="2"/>
  <c r="O58" i="2"/>
  <c r="N58" i="2"/>
  <c r="O57" i="2"/>
  <c r="N57" i="2"/>
  <c r="O56" i="2"/>
  <c r="N56" i="2"/>
  <c r="O55" i="2"/>
  <c r="N55" i="2"/>
  <c r="O54" i="2"/>
  <c r="N54" i="2"/>
  <c r="O53" i="2"/>
  <c r="N53" i="2"/>
  <c r="O52" i="2"/>
  <c r="N52" i="2"/>
  <c r="O51" i="2"/>
  <c r="N51" i="2"/>
  <c r="O50" i="2"/>
  <c r="N50" i="2"/>
  <c r="O49" i="2"/>
  <c r="N49" i="2"/>
  <c r="O48" i="2"/>
  <c r="N48" i="2"/>
  <c r="O47" i="2"/>
  <c r="N47" i="2"/>
  <c r="O46" i="2"/>
  <c r="N46" i="2"/>
  <c r="O45" i="2"/>
  <c r="N45" i="2"/>
  <c r="O44" i="2"/>
  <c r="N44" i="2"/>
  <c r="O43" i="2"/>
  <c r="N43" i="2"/>
  <c r="O42" i="2"/>
  <c r="N42" i="2"/>
  <c r="O41" i="2"/>
  <c r="N41" i="2"/>
  <c r="O40" i="2"/>
  <c r="N40" i="2"/>
  <c r="O39" i="2"/>
  <c r="N39" i="2"/>
  <c r="O38" i="2"/>
  <c r="N38" i="2"/>
  <c r="O37" i="2"/>
  <c r="N37" i="2"/>
  <c r="O36" i="2"/>
  <c r="N36" i="2"/>
  <c r="O35" i="2"/>
  <c r="N35" i="2"/>
  <c r="O34" i="2"/>
  <c r="N34" i="2"/>
  <c r="O33" i="2"/>
  <c r="N33" i="2"/>
  <c r="O32" i="2"/>
  <c r="N32" i="2"/>
  <c r="O31" i="2"/>
  <c r="N31" i="2"/>
  <c r="O30" i="2"/>
  <c r="N30" i="2"/>
  <c r="O29" i="2"/>
  <c r="N29" i="2"/>
  <c r="O28" i="2"/>
  <c r="N28" i="2"/>
  <c r="O27" i="2"/>
  <c r="N27" i="2"/>
  <c r="O26" i="2"/>
  <c r="N26" i="2"/>
  <c r="O25" i="2"/>
  <c r="N25" i="2"/>
  <c r="O24" i="2"/>
  <c r="N24" i="2"/>
  <c r="O23" i="2"/>
  <c r="N23" i="2"/>
  <c r="F127" i="8"/>
  <c r="M111" i="4" l="1"/>
  <c r="L110" i="4"/>
  <c r="L108" i="4"/>
  <c r="M109" i="4"/>
  <c r="M58" i="4"/>
  <c r="M15" i="4"/>
  <c r="L14" i="4"/>
  <c r="L45" i="4"/>
  <c r="M46" i="4"/>
  <c r="L50" i="4"/>
  <c r="M51" i="4"/>
  <c r="L61" i="4"/>
  <c r="L32" i="9" s="1"/>
  <c r="M62" i="4"/>
  <c r="N62" i="4" s="1"/>
  <c r="L52" i="4"/>
  <c r="M53" i="4"/>
  <c r="L65" i="4"/>
  <c r="L67" i="4" s="1"/>
  <c r="M66" i="4"/>
  <c r="L59" i="4"/>
  <c r="M60" i="4"/>
  <c r="N109" i="4" l="1"/>
  <c r="L34" i="9"/>
  <c r="L130" i="4" s="1"/>
  <c r="M130" i="4" s="1"/>
  <c r="N53" i="4"/>
  <c r="L56" i="4"/>
  <c r="L33" i="9" s="1"/>
  <c r="L13" i="4"/>
  <c r="L12" i="4" s="1"/>
  <c r="N15" i="4"/>
  <c r="G46" i="9"/>
  <c r="H46" i="9"/>
  <c r="I46" i="9"/>
  <c r="F46" i="9"/>
  <c r="K51" i="11"/>
  <c r="O109" i="4" l="1"/>
  <c r="L125" i="4"/>
  <c r="O53" i="4"/>
  <c r="I10" i="11"/>
  <c r="H10" i="11"/>
  <c r="G10" i="11"/>
  <c r="F10" i="11"/>
  <c r="I43" i="11"/>
  <c r="I38" i="11"/>
  <c r="I27" i="11"/>
  <c r="L68" i="4" l="1"/>
  <c r="L91" i="4" s="1"/>
  <c r="P109" i="4"/>
  <c r="L126" i="4"/>
  <c r="L235" i="8"/>
  <c r="L52" i="9"/>
  <c r="L57" i="9" s="1"/>
  <c r="P53" i="4"/>
  <c r="I4" i="10"/>
  <c r="N131" i="4"/>
  <c r="O131" i="4" s="1"/>
  <c r="P131" i="4" s="1"/>
  <c r="Q131" i="4" s="1"/>
  <c r="R131" i="4" s="1"/>
  <c r="S131" i="4" s="1"/>
  <c r="T131" i="4" s="1"/>
  <c r="U131" i="4" s="1"/>
  <c r="V131" i="4" s="1"/>
  <c r="N129" i="4"/>
  <c r="O129" i="4" s="1"/>
  <c r="P129" i="4" s="1"/>
  <c r="Q129" i="4" s="1"/>
  <c r="R129" i="4" s="1"/>
  <c r="S129" i="4" s="1"/>
  <c r="T129" i="4" s="1"/>
  <c r="U129" i="4" s="1"/>
  <c r="V129" i="4" s="1"/>
  <c r="N128" i="4"/>
  <c r="O128" i="4" s="1"/>
  <c r="P128" i="4" s="1"/>
  <c r="Q128" i="4" s="1"/>
  <c r="R128" i="4" s="1"/>
  <c r="S128" i="4" s="1"/>
  <c r="T128" i="4" s="1"/>
  <c r="U128" i="4" s="1"/>
  <c r="V128" i="4" s="1"/>
  <c r="L127" i="4" l="1"/>
  <c r="Q109" i="4"/>
  <c r="Q53" i="4"/>
  <c r="G25" i="9"/>
  <c r="H25" i="9"/>
  <c r="I25" i="9"/>
  <c r="F25" i="9"/>
  <c r="V20" i="9"/>
  <c r="N20" i="9"/>
  <c r="O20" i="9"/>
  <c r="P20" i="9"/>
  <c r="Q20" i="9"/>
  <c r="R20" i="9"/>
  <c r="S20" i="9"/>
  <c r="T20" i="9"/>
  <c r="U20" i="9"/>
  <c r="M20" i="9"/>
  <c r="G20" i="9"/>
  <c r="H20" i="9"/>
  <c r="I20" i="9"/>
  <c r="F20" i="9"/>
  <c r="I58" i="9"/>
  <c r="H58" i="9"/>
  <c r="H19" i="11" s="1"/>
  <c r="G58" i="9"/>
  <c r="G19" i="11" s="1"/>
  <c r="F58" i="9"/>
  <c r="F19" i="11" s="1"/>
  <c r="V51" i="9"/>
  <c r="U51" i="9"/>
  <c r="T51" i="9"/>
  <c r="S51" i="9"/>
  <c r="R51" i="9"/>
  <c r="Q51" i="9"/>
  <c r="P51" i="9"/>
  <c r="O51" i="9"/>
  <c r="N51" i="9"/>
  <c r="M51" i="9"/>
  <c r="I51" i="9"/>
  <c r="H51" i="9"/>
  <c r="G51" i="9"/>
  <c r="F51" i="9"/>
  <c r="I44" i="9"/>
  <c r="I45" i="9" s="1"/>
  <c r="H44" i="9"/>
  <c r="H45" i="9" s="1"/>
  <c r="G44" i="9"/>
  <c r="G45" i="9" s="1"/>
  <c r="F44" i="9"/>
  <c r="F45" i="9" s="1"/>
  <c r="V30" i="9"/>
  <c r="U30" i="9"/>
  <c r="T30" i="9"/>
  <c r="S30" i="9"/>
  <c r="R30" i="9"/>
  <c r="Q30" i="9"/>
  <c r="P30" i="9"/>
  <c r="O30" i="9"/>
  <c r="N30" i="9"/>
  <c r="M30" i="9"/>
  <c r="H30" i="9"/>
  <c r="G30" i="9"/>
  <c r="F30" i="9"/>
  <c r="R109" i="4" l="1"/>
  <c r="R53" i="4"/>
  <c r="I19" i="11"/>
  <c r="S109" i="4" l="1"/>
  <c r="S53" i="4"/>
  <c r="G190" i="8"/>
  <c r="H190" i="8"/>
  <c r="I190" i="8"/>
  <c r="G191" i="8"/>
  <c r="H191" i="8"/>
  <c r="I191" i="8"/>
  <c r="F191" i="8"/>
  <c r="F190" i="8"/>
  <c r="G177" i="8"/>
  <c r="H177" i="8"/>
  <c r="I177" i="8"/>
  <c r="F177" i="8"/>
  <c r="T109" i="4" l="1"/>
  <c r="T53" i="4"/>
  <c r="I200" i="8"/>
  <c r="I197" i="8" s="1"/>
  <c r="I179" i="8" s="1"/>
  <c r="F74" i="8"/>
  <c r="G74" i="8"/>
  <c r="H74" i="8"/>
  <c r="I74" i="8"/>
  <c r="F197" i="8"/>
  <c r="F179" i="8" s="1"/>
  <c r="G197" i="8"/>
  <c r="G179" i="8" s="1"/>
  <c r="F198" i="8"/>
  <c r="F180" i="8" s="1"/>
  <c r="G198" i="8"/>
  <c r="G180" i="8" s="1"/>
  <c r="H198" i="8"/>
  <c r="H180" i="8" s="1"/>
  <c r="H197" i="8"/>
  <c r="H179" i="8" s="1"/>
  <c r="I201" i="8"/>
  <c r="I198" i="8" s="1"/>
  <c r="I180" i="8" s="1"/>
  <c r="F218" i="8"/>
  <c r="F72" i="8" s="1"/>
  <c r="F221" i="8"/>
  <c r="F216" i="8"/>
  <c r="G218" i="8"/>
  <c r="G216" i="8"/>
  <c r="U109" i="4" l="1"/>
  <c r="U53" i="4"/>
  <c r="F185" i="8"/>
  <c r="F214" i="8"/>
  <c r="F187" i="8"/>
  <c r="G213" i="8"/>
  <c r="G185" i="8"/>
  <c r="G214" i="8"/>
  <c r="G187" i="8"/>
  <c r="F213" i="8"/>
  <c r="F70" i="8"/>
  <c r="G70" i="8"/>
  <c r="G72" i="8"/>
  <c r="I216" i="8"/>
  <c r="I70" i="8" s="1"/>
  <c r="H218" i="8"/>
  <c r="H187" i="8" s="1"/>
  <c r="H216" i="8"/>
  <c r="H185" i="8" s="1"/>
  <c r="I218" i="8"/>
  <c r="I187" i="8" s="1"/>
  <c r="V212" i="8"/>
  <c r="V234" i="8" s="1"/>
  <c r="U212" i="8"/>
  <c r="U234" i="8" s="1"/>
  <c r="T212" i="8"/>
  <c r="T234" i="8" s="1"/>
  <c r="S212" i="8"/>
  <c r="S234" i="8" s="1"/>
  <c r="R212" i="8"/>
  <c r="R234" i="8" s="1"/>
  <c r="Q212" i="8"/>
  <c r="Q234" i="8" s="1"/>
  <c r="P212" i="8"/>
  <c r="P234" i="8" s="1"/>
  <c r="O212" i="8"/>
  <c r="O234" i="8" s="1"/>
  <c r="N212" i="8"/>
  <c r="N234" i="8" s="1"/>
  <c r="M212" i="8"/>
  <c r="M234" i="8" s="1"/>
  <c r="I212" i="8"/>
  <c r="H212" i="8"/>
  <c r="G212" i="8"/>
  <c r="F212" i="8"/>
  <c r="V196" i="8"/>
  <c r="U196" i="8"/>
  <c r="T196" i="8"/>
  <c r="S196" i="8"/>
  <c r="R196" i="8"/>
  <c r="Q196" i="8"/>
  <c r="P196" i="8"/>
  <c r="O196" i="8"/>
  <c r="N196" i="8"/>
  <c r="M196" i="8"/>
  <c r="I196" i="8"/>
  <c r="H196" i="8"/>
  <c r="G196" i="8"/>
  <c r="F196" i="8"/>
  <c r="V174" i="8"/>
  <c r="U174" i="8"/>
  <c r="T174" i="8"/>
  <c r="S174" i="8"/>
  <c r="R174" i="8"/>
  <c r="Q174" i="8"/>
  <c r="P174" i="8"/>
  <c r="O174" i="8"/>
  <c r="N174" i="8"/>
  <c r="M174" i="8"/>
  <c r="I174" i="8"/>
  <c r="H174" i="8"/>
  <c r="G174" i="8"/>
  <c r="F174" i="8"/>
  <c r="I168" i="8"/>
  <c r="H168" i="8"/>
  <c r="G168" i="8"/>
  <c r="F168" i="8"/>
  <c r="V167" i="8"/>
  <c r="U167" i="8"/>
  <c r="T167" i="8"/>
  <c r="S167" i="8"/>
  <c r="R167" i="8"/>
  <c r="Q167" i="8"/>
  <c r="P167" i="8"/>
  <c r="O167" i="8"/>
  <c r="N167" i="8"/>
  <c r="I167" i="8"/>
  <c r="H167" i="8"/>
  <c r="G167" i="8"/>
  <c r="F167" i="8"/>
  <c r="V156" i="8"/>
  <c r="U156" i="8"/>
  <c r="T156" i="8"/>
  <c r="S156" i="8"/>
  <c r="R156" i="8"/>
  <c r="Q156" i="8"/>
  <c r="P156" i="8"/>
  <c r="O156" i="8"/>
  <c r="N156" i="8"/>
  <c r="M156" i="8"/>
  <c r="I156" i="8"/>
  <c r="H156" i="8"/>
  <c r="G156" i="8"/>
  <c r="F156" i="8"/>
  <c r="I151" i="8"/>
  <c r="H151" i="8"/>
  <c r="I150" i="8"/>
  <c r="H150" i="8"/>
  <c r="G150" i="8"/>
  <c r="F150" i="8"/>
  <c r="V149" i="8"/>
  <c r="U149" i="8"/>
  <c r="T149" i="8"/>
  <c r="S149" i="8"/>
  <c r="R149" i="8"/>
  <c r="Q149" i="8"/>
  <c r="P149" i="8"/>
  <c r="O149" i="8"/>
  <c r="N149" i="8"/>
  <c r="M149" i="8"/>
  <c r="I149" i="8"/>
  <c r="H149" i="8"/>
  <c r="G149" i="8"/>
  <c r="F149" i="8"/>
  <c r="I144" i="8"/>
  <c r="H144" i="8"/>
  <c r="G144" i="8"/>
  <c r="F144" i="8"/>
  <c r="I143" i="8"/>
  <c r="H143" i="8"/>
  <c r="G143" i="8"/>
  <c r="F143" i="8"/>
  <c r="V142" i="8"/>
  <c r="U142" i="8"/>
  <c r="T142" i="8"/>
  <c r="S142" i="8"/>
  <c r="R142" i="8"/>
  <c r="Q142" i="8"/>
  <c r="P142" i="8"/>
  <c r="O142" i="8"/>
  <c r="N142" i="8"/>
  <c r="M142" i="8"/>
  <c r="I142" i="8"/>
  <c r="H142" i="8"/>
  <c r="G142" i="8"/>
  <c r="F142" i="8"/>
  <c r="I136" i="8"/>
  <c r="H136" i="8"/>
  <c r="G136" i="8"/>
  <c r="F136" i="8"/>
  <c r="V135" i="8"/>
  <c r="U135" i="8"/>
  <c r="T135" i="8"/>
  <c r="S135" i="8"/>
  <c r="R135" i="8"/>
  <c r="Q135" i="8"/>
  <c r="P135" i="8"/>
  <c r="O135" i="8"/>
  <c r="N135" i="8"/>
  <c r="M135" i="8"/>
  <c r="I135" i="8"/>
  <c r="H135" i="8"/>
  <c r="G135" i="8"/>
  <c r="F135" i="8"/>
  <c r="I128" i="8"/>
  <c r="H128" i="8"/>
  <c r="G128" i="8"/>
  <c r="F128" i="8"/>
  <c r="I127" i="8"/>
  <c r="H127" i="8"/>
  <c r="G127" i="8"/>
  <c r="V126" i="8"/>
  <c r="U126" i="8"/>
  <c r="T126" i="8"/>
  <c r="S126" i="8"/>
  <c r="R126" i="8"/>
  <c r="Q126" i="8"/>
  <c r="P126" i="8"/>
  <c r="O126" i="8"/>
  <c r="N126" i="8"/>
  <c r="M126" i="8"/>
  <c r="I126" i="8"/>
  <c r="H126" i="8"/>
  <c r="G126" i="8"/>
  <c r="F126" i="8"/>
  <c r="I121" i="8"/>
  <c r="H121" i="8"/>
  <c r="G121" i="8"/>
  <c r="F121" i="8"/>
  <c r="I120" i="8"/>
  <c r="H120" i="8"/>
  <c r="G120" i="8"/>
  <c r="F120" i="8"/>
  <c r="V119" i="8"/>
  <c r="U119" i="8"/>
  <c r="T119" i="8"/>
  <c r="S119" i="8"/>
  <c r="R119" i="8"/>
  <c r="Q119" i="8"/>
  <c r="P119" i="8"/>
  <c r="O119" i="8"/>
  <c r="N119" i="8"/>
  <c r="M119" i="8"/>
  <c r="I119" i="8"/>
  <c r="H119" i="8"/>
  <c r="G119" i="8"/>
  <c r="F119" i="8"/>
  <c r="F113" i="8"/>
  <c r="F111" i="8" s="1"/>
  <c r="I110" i="8"/>
  <c r="H110" i="8"/>
  <c r="G110" i="8"/>
  <c r="F110" i="8"/>
  <c r="I109" i="8"/>
  <c r="H109" i="8"/>
  <c r="G109" i="8"/>
  <c r="F109" i="8"/>
  <c r="V108" i="8"/>
  <c r="U108" i="8"/>
  <c r="T108" i="8"/>
  <c r="S108" i="8"/>
  <c r="R108" i="8"/>
  <c r="Q108" i="8"/>
  <c r="P108" i="8"/>
  <c r="O108" i="8"/>
  <c r="N108" i="8"/>
  <c r="M108" i="8"/>
  <c r="I108" i="8"/>
  <c r="H108" i="8"/>
  <c r="G108" i="8"/>
  <c r="F108" i="8"/>
  <c r="I99" i="8"/>
  <c r="H99" i="8"/>
  <c r="G99" i="8"/>
  <c r="F99" i="8"/>
  <c r="I98" i="8"/>
  <c r="H98" i="8"/>
  <c r="G98" i="8"/>
  <c r="F98" i="8"/>
  <c r="V97" i="8"/>
  <c r="U97" i="8"/>
  <c r="T97" i="8"/>
  <c r="S97" i="8"/>
  <c r="R97" i="8"/>
  <c r="Q97" i="8"/>
  <c r="P97" i="8"/>
  <c r="O97" i="8"/>
  <c r="N97" i="8"/>
  <c r="M97" i="8"/>
  <c r="I97" i="8"/>
  <c r="H97" i="8"/>
  <c r="G97" i="8"/>
  <c r="F97" i="8"/>
  <c r="I88" i="8"/>
  <c r="H88" i="8"/>
  <c r="G88" i="8"/>
  <c r="F88" i="8"/>
  <c r="I87" i="8"/>
  <c r="H87" i="8"/>
  <c r="G87" i="8"/>
  <c r="F87" i="8"/>
  <c r="I86" i="8"/>
  <c r="H86" i="8"/>
  <c r="G86" i="8"/>
  <c r="F86" i="8"/>
  <c r="I85" i="8"/>
  <c r="H85" i="8"/>
  <c r="G85" i="8"/>
  <c r="F85" i="8"/>
  <c r="I84" i="8"/>
  <c r="H84" i="8"/>
  <c r="G84" i="8"/>
  <c r="F84" i="8"/>
  <c r="V83" i="8"/>
  <c r="U83" i="8"/>
  <c r="T83" i="8"/>
  <c r="S83" i="8"/>
  <c r="R83" i="8"/>
  <c r="Q83" i="8"/>
  <c r="P83" i="8"/>
  <c r="O83" i="8"/>
  <c r="N83" i="8"/>
  <c r="M83" i="8"/>
  <c r="I83" i="8"/>
  <c r="H83" i="8"/>
  <c r="G83" i="8"/>
  <c r="F83" i="8"/>
  <c r="W77" i="8"/>
  <c r="U66" i="8"/>
  <c r="T66" i="8"/>
  <c r="S66" i="8"/>
  <c r="R66" i="8"/>
  <c r="Q66" i="8"/>
  <c r="P66" i="8"/>
  <c r="O66" i="8"/>
  <c r="N66" i="8"/>
  <c r="I66" i="8"/>
  <c r="H66" i="8"/>
  <c r="G66" i="8"/>
  <c r="W65" i="8"/>
  <c r="U64" i="8"/>
  <c r="T64" i="8"/>
  <c r="S64" i="8"/>
  <c r="R64" i="8"/>
  <c r="Q64" i="8"/>
  <c r="P64" i="8"/>
  <c r="O64" i="8"/>
  <c r="N64" i="8"/>
  <c r="I64" i="8"/>
  <c r="H64" i="8"/>
  <c r="G64" i="8"/>
  <c r="W63" i="8"/>
  <c r="U62" i="8"/>
  <c r="T62" i="8"/>
  <c r="S62" i="8"/>
  <c r="R62" i="8"/>
  <c r="Q62" i="8"/>
  <c r="P62" i="8"/>
  <c r="O62" i="8"/>
  <c r="N62" i="8"/>
  <c r="I62" i="8"/>
  <c r="H62" i="8"/>
  <c r="G62" i="8"/>
  <c r="W61" i="8"/>
  <c r="I60" i="8"/>
  <c r="H60" i="8"/>
  <c r="G60" i="8"/>
  <c r="W59" i="8"/>
  <c r="I57" i="8"/>
  <c r="H57" i="8"/>
  <c r="G57" i="8"/>
  <c r="F57" i="8"/>
  <c r="I56" i="8"/>
  <c r="H56" i="8"/>
  <c r="G56" i="8"/>
  <c r="W55" i="8"/>
  <c r="I54" i="8"/>
  <c r="H54" i="8"/>
  <c r="G54" i="8"/>
  <c r="W53" i="8"/>
  <c r="I52" i="8"/>
  <c r="H52" i="8"/>
  <c r="G52" i="8"/>
  <c r="W51" i="8"/>
  <c r="U50" i="8"/>
  <c r="T50" i="8"/>
  <c r="S50" i="8"/>
  <c r="R50" i="8"/>
  <c r="Q50" i="8"/>
  <c r="P50" i="8"/>
  <c r="O50" i="8"/>
  <c r="I50" i="8"/>
  <c r="H50" i="8"/>
  <c r="G50" i="8"/>
  <c r="W49" i="8"/>
  <c r="I47" i="8"/>
  <c r="M48" i="8" s="1"/>
  <c r="H47" i="8"/>
  <c r="G47" i="8"/>
  <c r="F47" i="8"/>
  <c r="I46" i="8"/>
  <c r="H46" i="8"/>
  <c r="G46" i="8"/>
  <c r="W45" i="8"/>
  <c r="I44" i="8"/>
  <c r="H44" i="8"/>
  <c r="G44" i="8"/>
  <c r="W43" i="8"/>
  <c r="I42" i="8"/>
  <c r="H42" i="8"/>
  <c r="G42" i="8"/>
  <c r="W41" i="8"/>
  <c r="I40" i="8"/>
  <c r="H40" i="8"/>
  <c r="G40" i="8"/>
  <c r="W39" i="8"/>
  <c r="I38" i="8"/>
  <c r="H38" i="8"/>
  <c r="G38" i="8"/>
  <c r="W37" i="8"/>
  <c r="I36" i="8"/>
  <c r="H36" i="8"/>
  <c r="G36" i="8"/>
  <c r="W35" i="8"/>
  <c r="I33" i="8"/>
  <c r="M34" i="8" s="1"/>
  <c r="H33" i="8"/>
  <c r="G33" i="8"/>
  <c r="F33" i="8"/>
  <c r="I32" i="8"/>
  <c r="H32" i="8"/>
  <c r="G32" i="8"/>
  <c r="W31" i="8"/>
  <c r="I30" i="8"/>
  <c r="H30" i="8"/>
  <c r="G30" i="8"/>
  <c r="W29" i="8"/>
  <c r="I28" i="8"/>
  <c r="H28" i="8"/>
  <c r="G28" i="8"/>
  <c r="W27" i="8"/>
  <c r="I26" i="8"/>
  <c r="H26" i="8"/>
  <c r="G26" i="8"/>
  <c r="W25" i="8"/>
  <c r="I24" i="8"/>
  <c r="H24" i="8"/>
  <c r="G24" i="8"/>
  <c r="W23" i="8"/>
  <c r="H21" i="8"/>
  <c r="G21" i="8"/>
  <c r="F21" i="8"/>
  <c r="V17" i="8"/>
  <c r="U17" i="8"/>
  <c r="T17" i="8"/>
  <c r="S17" i="8"/>
  <c r="R17" i="8"/>
  <c r="Q17" i="8"/>
  <c r="P17" i="8"/>
  <c r="O17" i="8"/>
  <c r="N17" i="8"/>
  <c r="M17" i="8"/>
  <c r="I17" i="8"/>
  <c r="H17" i="8"/>
  <c r="G17" i="8"/>
  <c r="F17" i="8"/>
  <c r="G185" i="7"/>
  <c r="G151" i="8" s="1"/>
  <c r="F185" i="7"/>
  <c r="F151" i="8" s="1"/>
  <c r="W128" i="7"/>
  <c r="W142" i="7"/>
  <c r="W141" i="7"/>
  <c r="W140" i="7"/>
  <c r="W139" i="7"/>
  <c r="W138" i="7"/>
  <c r="W137" i="7"/>
  <c r="W136" i="7"/>
  <c r="W135" i="7"/>
  <c r="W134" i="7"/>
  <c r="W129" i="7"/>
  <c r="W127" i="7"/>
  <c r="W126" i="7"/>
  <c r="W125" i="7"/>
  <c r="W124" i="7"/>
  <c r="W123" i="7"/>
  <c r="W121" i="7"/>
  <c r="W120" i="7"/>
  <c r="W119" i="7"/>
  <c r="W118" i="7"/>
  <c r="W117" i="7"/>
  <c r="W116" i="7"/>
  <c r="H104" i="7"/>
  <c r="H53" i="9" s="1"/>
  <c r="H55" i="9" s="1"/>
  <c r="W183" i="7"/>
  <c r="W181" i="7"/>
  <c r="V109" i="4" l="1"/>
  <c r="I16" i="9"/>
  <c r="M58" i="8"/>
  <c r="I185" i="8"/>
  <c r="V53" i="4"/>
  <c r="I53" i="9"/>
  <c r="I55" i="9" s="1"/>
  <c r="F122" i="8"/>
  <c r="G162" i="8"/>
  <c r="G16" i="9"/>
  <c r="G161" i="8"/>
  <c r="G160" i="8" s="1"/>
  <c r="G14" i="9"/>
  <c r="H161" i="8"/>
  <c r="H14" i="9"/>
  <c r="I161" i="8"/>
  <c r="I14" i="9"/>
  <c r="F162" i="8"/>
  <c r="F16" i="9"/>
  <c r="H162" i="8"/>
  <c r="H16" i="9"/>
  <c r="G22" i="9"/>
  <c r="F22" i="9"/>
  <c r="F161" i="8"/>
  <c r="F14" i="9"/>
  <c r="I214" i="8"/>
  <c r="I72" i="8"/>
  <c r="H213" i="8"/>
  <c r="H70" i="8"/>
  <c r="H214" i="8"/>
  <c r="H72" i="8"/>
  <c r="I213" i="8"/>
  <c r="F145" i="8"/>
  <c r="H152" i="8"/>
  <c r="G22" i="8"/>
  <c r="N63" i="8"/>
  <c r="O63" i="8" s="1"/>
  <c r="P63" i="8" s="1"/>
  <c r="Q63" i="8" s="1"/>
  <c r="R63" i="8" s="1"/>
  <c r="S63" i="8" s="1"/>
  <c r="T63" i="8" s="1"/>
  <c r="U63" i="8" s="1"/>
  <c r="G122" i="8"/>
  <c r="G152" i="8"/>
  <c r="I122" i="8"/>
  <c r="G145" i="8"/>
  <c r="I152" i="8"/>
  <c r="N61" i="8"/>
  <c r="O61" i="8" s="1"/>
  <c r="P61" i="8" s="1"/>
  <c r="Q61" i="8" s="1"/>
  <c r="R61" i="8" s="1"/>
  <c r="S61" i="8" s="1"/>
  <c r="T61" i="8" s="1"/>
  <c r="U61" i="8" s="1"/>
  <c r="H22" i="8"/>
  <c r="F89" i="8"/>
  <c r="H89" i="8"/>
  <c r="I89" i="8"/>
  <c r="G34" i="8"/>
  <c r="N65" i="8"/>
  <c r="O65" i="8" s="1"/>
  <c r="P65" i="8" s="1"/>
  <c r="Q65" i="8" s="1"/>
  <c r="R65" i="8" s="1"/>
  <c r="S65" i="8" s="1"/>
  <c r="T65" i="8" s="1"/>
  <c r="U65" i="8" s="1"/>
  <c r="H34" i="8"/>
  <c r="W33" i="8"/>
  <c r="H145" i="8"/>
  <c r="O145" i="8" s="1"/>
  <c r="P145" i="8" s="1"/>
  <c r="Q145" i="8" s="1"/>
  <c r="R145" i="8" s="1"/>
  <c r="S145" i="8" s="1"/>
  <c r="T145" i="8" s="1"/>
  <c r="U145" i="8" s="1"/>
  <c r="V145" i="8" s="1"/>
  <c r="F152" i="8"/>
  <c r="G89" i="8"/>
  <c r="I34" i="8"/>
  <c r="H122" i="8"/>
  <c r="G19" i="8"/>
  <c r="I19" i="8"/>
  <c r="M20" i="8" s="1"/>
  <c r="W57" i="8"/>
  <c r="H58" i="8"/>
  <c r="I129" i="8"/>
  <c r="I131" i="8" s="1"/>
  <c r="F19" i="8"/>
  <c r="I162" i="8"/>
  <c r="I22" i="8"/>
  <c r="H19" i="8"/>
  <c r="H12" i="9" s="1"/>
  <c r="F129" i="8"/>
  <c r="G129" i="8"/>
  <c r="G130" i="8" s="1"/>
  <c r="I145" i="8"/>
  <c r="H129" i="8"/>
  <c r="H130" i="8" s="1"/>
  <c r="W21" i="8"/>
  <c r="G58" i="8"/>
  <c r="I58" i="8"/>
  <c r="G48" i="8"/>
  <c r="H48" i="8"/>
  <c r="I48" i="8"/>
  <c r="N49" i="8"/>
  <c r="N122" i="8" l="1"/>
  <c r="O122" i="8" s="1"/>
  <c r="P122" i="8" s="1"/>
  <c r="Q122" i="8" s="1"/>
  <c r="R122" i="8" s="1"/>
  <c r="S122" i="8" s="1"/>
  <c r="T122" i="8" s="1"/>
  <c r="U122" i="8" s="1"/>
  <c r="V122" i="8" s="1"/>
  <c r="H15" i="9"/>
  <c r="F160" i="8"/>
  <c r="H160" i="8"/>
  <c r="I160" i="8"/>
  <c r="I15" i="9"/>
  <c r="H17" i="9"/>
  <c r="G159" i="8"/>
  <c r="G12" i="9"/>
  <c r="H13" i="9" s="1"/>
  <c r="H22" i="9"/>
  <c r="F159" i="8"/>
  <c r="F12" i="9"/>
  <c r="G15" i="9"/>
  <c r="I159" i="8"/>
  <c r="I12" i="9"/>
  <c r="I22" i="9"/>
  <c r="I17" i="9"/>
  <c r="G17" i="9"/>
  <c r="V152" i="8"/>
  <c r="N152" i="8" s="1"/>
  <c r="O152" i="8" s="1"/>
  <c r="P152" i="8" s="1"/>
  <c r="Q152" i="8" s="1"/>
  <c r="R152" i="8" s="1"/>
  <c r="S152" i="8" s="1"/>
  <c r="T152" i="8" s="1"/>
  <c r="U152" i="8" s="1"/>
  <c r="I130" i="8"/>
  <c r="H131" i="8"/>
  <c r="W19" i="8"/>
  <c r="G20" i="8"/>
  <c r="H159" i="8"/>
  <c r="H20" i="8"/>
  <c r="F131" i="8"/>
  <c r="F130" i="8"/>
  <c r="O49" i="8"/>
  <c r="I20" i="8"/>
  <c r="G131" i="8"/>
  <c r="G104" i="7"/>
  <c r="G53" i="9" s="1"/>
  <c r="G55" i="9" s="1"/>
  <c r="G179" i="7"/>
  <c r="G188" i="7" s="1"/>
  <c r="G187" i="7" s="1"/>
  <c r="H179" i="7"/>
  <c r="I179" i="7"/>
  <c r="F179" i="7"/>
  <c r="F182" i="7" s="1"/>
  <c r="H226" i="7"/>
  <c r="G226" i="7"/>
  <c r="F226" i="7"/>
  <c r="I133" i="7"/>
  <c r="H133" i="7"/>
  <c r="H132" i="7" s="1"/>
  <c r="G133" i="7"/>
  <c r="G132" i="7" s="1"/>
  <c r="F133" i="7"/>
  <c r="F132" i="7" s="1"/>
  <c r="I122" i="7"/>
  <c r="H122" i="7"/>
  <c r="G122" i="7"/>
  <c r="F122" i="7"/>
  <c r="I115" i="7"/>
  <c r="H115" i="7"/>
  <c r="G115" i="7"/>
  <c r="F115" i="7"/>
  <c r="H100" i="7"/>
  <c r="G100" i="7"/>
  <c r="F100" i="7"/>
  <c r="H98" i="7"/>
  <c r="G98" i="7"/>
  <c r="F98" i="7"/>
  <c r="H96" i="7"/>
  <c r="G96" i="7"/>
  <c r="F96" i="7"/>
  <c r="H92" i="7"/>
  <c r="G92" i="7"/>
  <c r="F92" i="7"/>
  <c r="H90" i="7"/>
  <c r="G90" i="7"/>
  <c r="F90" i="7"/>
  <c r="H88" i="7"/>
  <c r="G88" i="7"/>
  <c r="F88" i="7"/>
  <c r="H86" i="7"/>
  <c r="G86" i="7"/>
  <c r="F86" i="7"/>
  <c r="H84" i="7"/>
  <c r="G84" i="7"/>
  <c r="F84" i="7"/>
  <c r="H82" i="7"/>
  <c r="G82" i="7"/>
  <c r="F82" i="7"/>
  <c r="H80" i="7"/>
  <c r="G80" i="7"/>
  <c r="G170" i="7" s="1"/>
  <c r="F80" i="7"/>
  <c r="F170" i="7" s="1"/>
  <c r="H78" i="7"/>
  <c r="G78" i="7"/>
  <c r="F78" i="7"/>
  <c r="H74" i="7"/>
  <c r="H171" i="7" s="1"/>
  <c r="G74" i="7"/>
  <c r="G171" i="7" s="1"/>
  <c r="F74" i="7"/>
  <c r="F171" i="7" s="1"/>
  <c r="H72" i="7"/>
  <c r="H166" i="7" s="1"/>
  <c r="G72" i="7"/>
  <c r="G166" i="7" s="1"/>
  <c r="F72" i="7"/>
  <c r="F166" i="7" s="1"/>
  <c r="H70" i="7"/>
  <c r="H169" i="7" s="1"/>
  <c r="G70" i="7"/>
  <c r="F70" i="7"/>
  <c r="I102" i="8"/>
  <c r="H68" i="7"/>
  <c r="H102" i="8" s="1"/>
  <c r="G68" i="7"/>
  <c r="F68" i="7"/>
  <c r="H66" i="7"/>
  <c r="H101" i="8" s="1"/>
  <c r="G66" i="7"/>
  <c r="G101" i="8" s="1"/>
  <c r="F66" i="7"/>
  <c r="F101" i="8" s="1"/>
  <c r="H62" i="7"/>
  <c r="G62" i="7"/>
  <c r="F62" i="7"/>
  <c r="H60" i="7"/>
  <c r="G60" i="7"/>
  <c r="F60" i="7"/>
  <c r="H58" i="7"/>
  <c r="H162" i="7" s="1"/>
  <c r="G58" i="7"/>
  <c r="G162" i="7" s="1"/>
  <c r="F58" i="7"/>
  <c r="I56" i="7"/>
  <c r="H56" i="7"/>
  <c r="H157" i="7" s="1"/>
  <c r="G56" i="7"/>
  <c r="G157" i="7" s="1"/>
  <c r="F56" i="7"/>
  <c r="F157" i="7" s="1"/>
  <c r="I54" i="7"/>
  <c r="H54" i="7"/>
  <c r="G54" i="7"/>
  <c r="F54" i="7"/>
  <c r="I52" i="7"/>
  <c r="H52" i="7"/>
  <c r="H159" i="7" s="1"/>
  <c r="G52" i="7"/>
  <c r="G159" i="7" s="1"/>
  <c r="F52" i="7"/>
  <c r="I50" i="7"/>
  <c r="H50" i="7"/>
  <c r="G50" i="7"/>
  <c r="F50" i="7"/>
  <c r="F158" i="7" s="1"/>
  <c r="I48" i="7"/>
  <c r="H48" i="7"/>
  <c r="G48" i="7"/>
  <c r="G156" i="7" s="1"/>
  <c r="F48" i="7"/>
  <c r="F156" i="7" s="1"/>
  <c r="I46" i="7"/>
  <c r="H46" i="7"/>
  <c r="H152" i="7" s="1"/>
  <c r="G46" i="7"/>
  <c r="G152" i="7" s="1"/>
  <c r="F46" i="7"/>
  <c r="F152" i="7" s="1"/>
  <c r="I44" i="7"/>
  <c r="H44" i="7"/>
  <c r="H151" i="7" s="1"/>
  <c r="G44" i="7"/>
  <c r="G151" i="7" s="1"/>
  <c r="F44" i="7"/>
  <c r="F151" i="7" s="1"/>
  <c r="I42" i="7"/>
  <c r="H42" i="7"/>
  <c r="G42" i="7"/>
  <c r="G150" i="7" s="1"/>
  <c r="F42" i="7"/>
  <c r="F150" i="7" s="1"/>
  <c r="I40" i="7"/>
  <c r="H40" i="7"/>
  <c r="G40" i="7"/>
  <c r="F40" i="7"/>
  <c r="F149" i="7" s="1"/>
  <c r="I24" i="7"/>
  <c r="H24" i="7"/>
  <c r="G24" i="7"/>
  <c r="F24" i="7"/>
  <c r="F12" i="8" s="1"/>
  <c r="U11" i="7"/>
  <c r="T11" i="7"/>
  <c r="S11" i="7"/>
  <c r="R11" i="7"/>
  <c r="Q11" i="7"/>
  <c r="P11" i="7"/>
  <c r="O11" i="7"/>
  <c r="N11" i="7"/>
  <c r="V10" i="7"/>
  <c r="U10" i="7"/>
  <c r="T10" i="7"/>
  <c r="S10" i="7"/>
  <c r="R10" i="7"/>
  <c r="Q10" i="7"/>
  <c r="P10" i="7"/>
  <c r="O10" i="7"/>
  <c r="N10" i="7"/>
  <c r="I125" i="4"/>
  <c r="H125" i="4"/>
  <c r="G125" i="4"/>
  <c r="I120" i="4"/>
  <c r="H120" i="4"/>
  <c r="G120" i="4"/>
  <c r="H112" i="4"/>
  <c r="G112" i="4"/>
  <c r="I100" i="4"/>
  <c r="H100" i="4"/>
  <c r="G100" i="4"/>
  <c r="I80" i="4"/>
  <c r="H80" i="4"/>
  <c r="H76" i="7" s="1"/>
  <c r="G80" i="4"/>
  <c r="G77" i="4" s="1"/>
  <c r="G72" i="4" s="1"/>
  <c r="I65" i="4"/>
  <c r="H65" i="4"/>
  <c r="G65" i="4"/>
  <c r="I61" i="4"/>
  <c r="J32" i="9" s="1"/>
  <c r="H61" i="4"/>
  <c r="G61" i="4"/>
  <c r="I52" i="4"/>
  <c r="H52" i="4"/>
  <c r="G52" i="4"/>
  <c r="I45" i="4"/>
  <c r="H45" i="4"/>
  <c r="G45" i="4"/>
  <c r="I33" i="4"/>
  <c r="H33" i="4"/>
  <c r="G33" i="4"/>
  <c r="I19" i="4"/>
  <c r="H19" i="4"/>
  <c r="G19" i="4"/>
  <c r="F125" i="4"/>
  <c r="F120" i="4"/>
  <c r="F112" i="4"/>
  <c r="F100" i="4"/>
  <c r="F80" i="4"/>
  <c r="F76" i="7" s="1"/>
  <c r="F90" i="8" s="1"/>
  <c r="F65" i="4"/>
  <c r="F61" i="4"/>
  <c r="F52" i="4"/>
  <c r="F45" i="4"/>
  <c r="F33" i="4"/>
  <c r="F19" i="4"/>
  <c r="F94" i="7" l="1"/>
  <c r="I149" i="7"/>
  <c r="H38" i="7"/>
  <c r="H12" i="7" s="1"/>
  <c r="H94" i="7"/>
  <c r="H174" i="7" s="1"/>
  <c r="K32" i="9"/>
  <c r="K33" i="9" s="1"/>
  <c r="J33" i="9"/>
  <c r="I235" i="8"/>
  <c r="I102" i="7"/>
  <c r="I76" i="7"/>
  <c r="W76" i="7" s="1"/>
  <c r="I94" i="7"/>
  <c r="I174" i="7" s="1"/>
  <c r="G94" i="7"/>
  <c r="G174" i="7" s="1"/>
  <c r="G70" i="4"/>
  <c r="N130" i="8"/>
  <c r="N131" i="8"/>
  <c r="O131" i="8" s="1"/>
  <c r="P131" i="8" s="1"/>
  <c r="Q131" i="8" s="1"/>
  <c r="R131" i="8" s="1"/>
  <c r="S131" i="8" s="1"/>
  <c r="T131" i="8" s="1"/>
  <c r="U131" i="8" s="1"/>
  <c r="G91" i="4"/>
  <c r="F16" i="4"/>
  <c r="F11" i="4" s="1"/>
  <c r="F56" i="4"/>
  <c r="G25" i="7"/>
  <c r="G12" i="8"/>
  <c r="W24" i="7"/>
  <c r="I12" i="8"/>
  <c r="I25" i="7"/>
  <c r="H25" i="7"/>
  <c r="H12" i="8"/>
  <c r="H102" i="7"/>
  <c r="G102" i="7"/>
  <c r="G12" i="11"/>
  <c r="F77" i="4"/>
  <c r="F72" i="4" s="1"/>
  <c r="H77" i="4"/>
  <c r="H72" i="4" s="1"/>
  <c r="I77" i="4"/>
  <c r="I72" i="4" s="1"/>
  <c r="F23" i="11"/>
  <c r="F13" i="11"/>
  <c r="I16" i="4"/>
  <c r="I13" i="9"/>
  <c r="G13" i="9"/>
  <c r="F91" i="8"/>
  <c r="F92" i="8"/>
  <c r="F93" i="8"/>
  <c r="H168" i="7"/>
  <c r="H90" i="8"/>
  <c r="G76" i="7"/>
  <c r="I32" i="9"/>
  <c r="W50" i="7"/>
  <c r="W62" i="7"/>
  <c r="W82" i="7"/>
  <c r="W88" i="7"/>
  <c r="W100" i="7"/>
  <c r="H16" i="4"/>
  <c r="G16" i="4"/>
  <c r="I56" i="4"/>
  <c r="F102" i="7"/>
  <c r="G56" i="4"/>
  <c r="H32" i="9"/>
  <c r="G32" i="9"/>
  <c r="H100" i="8"/>
  <c r="G52" i="9"/>
  <c r="G235" i="8"/>
  <c r="W66" i="7"/>
  <c r="I101" i="8"/>
  <c r="I100" i="8" s="1"/>
  <c r="W78" i="7"/>
  <c r="W84" i="7"/>
  <c r="W90" i="7"/>
  <c r="W96" i="7"/>
  <c r="F52" i="9"/>
  <c r="F235" i="8"/>
  <c r="H52" i="9"/>
  <c r="H235" i="8"/>
  <c r="L47" i="9" s="1"/>
  <c r="M47" i="9" s="1"/>
  <c r="F167" i="7"/>
  <c r="F102" i="8"/>
  <c r="F100" i="8" s="1"/>
  <c r="I52" i="9"/>
  <c r="G127" i="4"/>
  <c r="G167" i="7"/>
  <c r="G102" i="8"/>
  <c r="G100" i="8" s="1"/>
  <c r="P49" i="8"/>
  <c r="W40" i="7"/>
  <c r="I152" i="7"/>
  <c r="H202" i="7" s="1"/>
  <c r="W46" i="7"/>
  <c r="I159" i="7"/>
  <c r="W52" i="7"/>
  <c r="I162" i="7"/>
  <c r="W58" i="7"/>
  <c r="I166" i="7"/>
  <c r="H216" i="7" s="1"/>
  <c r="W72" i="7"/>
  <c r="W133" i="7"/>
  <c r="I132" i="7"/>
  <c r="W132" i="7" s="1"/>
  <c r="W179" i="7"/>
  <c r="W42" i="7"/>
  <c r="I150" i="7"/>
  <c r="I156" i="7"/>
  <c r="W48" i="7"/>
  <c r="W60" i="7"/>
  <c r="I167" i="7"/>
  <c r="W68" i="7"/>
  <c r="I171" i="7"/>
  <c r="F221" i="7" s="1"/>
  <c r="W74" i="7"/>
  <c r="I170" i="7"/>
  <c r="W80" i="7"/>
  <c r="W86" i="7"/>
  <c r="W92" i="7"/>
  <c r="W98" i="7"/>
  <c r="W115" i="7"/>
  <c r="H105" i="7"/>
  <c r="W185" i="7"/>
  <c r="F104" i="7"/>
  <c r="W44" i="7"/>
  <c r="I151" i="7"/>
  <c r="H201" i="7" s="1"/>
  <c r="I157" i="7"/>
  <c r="G207" i="7" s="1"/>
  <c r="W56" i="7"/>
  <c r="I169" i="7"/>
  <c r="W70" i="7"/>
  <c r="W122" i="7"/>
  <c r="I180" i="7"/>
  <c r="G191" i="7"/>
  <c r="F188" i="7"/>
  <c r="F190" i="7" s="1"/>
  <c r="G190" i="7"/>
  <c r="G189" i="7" s="1"/>
  <c r="I188" i="7"/>
  <c r="I190" i="7" s="1"/>
  <c r="G180" i="7"/>
  <c r="H180" i="7"/>
  <c r="G186" i="7"/>
  <c r="F184" i="7"/>
  <c r="G184" i="7"/>
  <c r="I182" i="7"/>
  <c r="H182" i="7"/>
  <c r="G182" i="7"/>
  <c r="I184" i="7"/>
  <c r="H184" i="7"/>
  <c r="F186" i="7"/>
  <c r="I186" i="7"/>
  <c r="H186" i="7"/>
  <c r="G113" i="7"/>
  <c r="G20" i="7" s="1"/>
  <c r="U13" i="7"/>
  <c r="U236" i="8" s="1"/>
  <c r="T13" i="7"/>
  <c r="T236" i="8" s="1"/>
  <c r="S13" i="7"/>
  <c r="S236" i="8" s="1"/>
  <c r="G153" i="7"/>
  <c r="R13" i="7"/>
  <c r="R236" i="8" s="1"/>
  <c r="Q13" i="7"/>
  <c r="Q236" i="8" s="1"/>
  <c r="P13" i="7"/>
  <c r="P236" i="8" s="1"/>
  <c r="V13" i="7"/>
  <c r="V236" i="8" s="1"/>
  <c r="O13" i="7"/>
  <c r="O236" i="8" s="1"/>
  <c r="G161" i="7"/>
  <c r="H113" i="7"/>
  <c r="H20" i="7" s="1"/>
  <c r="F155" i="7"/>
  <c r="H153" i="7"/>
  <c r="H172" i="7"/>
  <c r="I153" i="7"/>
  <c r="F161" i="7"/>
  <c r="F113" i="7"/>
  <c r="F20" i="7" s="1"/>
  <c r="I161" i="7"/>
  <c r="F64" i="7"/>
  <c r="I155" i="7"/>
  <c r="F169" i="7"/>
  <c r="F160" i="7"/>
  <c r="G160" i="7"/>
  <c r="G148" i="7"/>
  <c r="H160" i="7"/>
  <c r="H148" i="7"/>
  <c r="F172" i="7"/>
  <c r="F38" i="7"/>
  <c r="I160" i="7"/>
  <c r="I148" i="7"/>
  <c r="F153" i="7"/>
  <c r="F164" i="7"/>
  <c r="F165" i="7"/>
  <c r="F130" i="7"/>
  <c r="G165" i="7"/>
  <c r="G130" i="7"/>
  <c r="G164" i="7"/>
  <c r="H165" i="7"/>
  <c r="H130" i="7"/>
  <c r="H164" i="7"/>
  <c r="G38" i="7"/>
  <c r="G12" i="7" s="1"/>
  <c r="I113" i="7"/>
  <c r="G149" i="7"/>
  <c r="G155" i="7"/>
  <c r="G158" i="7"/>
  <c r="H149" i="7"/>
  <c r="H155" i="7"/>
  <c r="H158" i="7"/>
  <c r="H161" i="7"/>
  <c r="H167" i="7"/>
  <c r="H170" i="7"/>
  <c r="I38" i="7"/>
  <c r="I158" i="7"/>
  <c r="F159" i="7"/>
  <c r="F162" i="7"/>
  <c r="F168" i="7"/>
  <c r="F174" i="7"/>
  <c r="H150" i="7"/>
  <c r="H156" i="7"/>
  <c r="F148" i="7"/>
  <c r="G169" i="7"/>
  <c r="H70" i="4"/>
  <c r="H56" i="4"/>
  <c r="I172" i="7" l="1"/>
  <c r="I168" i="7"/>
  <c r="H64" i="7"/>
  <c r="I70" i="4"/>
  <c r="H12" i="11"/>
  <c r="F70" i="4"/>
  <c r="F73" i="4"/>
  <c r="I12" i="7"/>
  <c r="M39" i="7"/>
  <c r="F95" i="4"/>
  <c r="F85" i="4"/>
  <c r="F60" i="4"/>
  <c r="F99" i="4"/>
  <c r="F89" i="4"/>
  <c r="F111" i="4"/>
  <c r="F107" i="4"/>
  <c r="F93" i="4"/>
  <c r="F97" i="4"/>
  <c r="F87" i="4"/>
  <c r="F109" i="4"/>
  <c r="I64" i="7"/>
  <c r="I77" i="7"/>
  <c r="F121" i="4"/>
  <c r="F32" i="7"/>
  <c r="F12" i="7"/>
  <c r="I90" i="8"/>
  <c r="F113" i="4"/>
  <c r="I103" i="7"/>
  <c r="I41" i="7"/>
  <c r="F66" i="4"/>
  <c r="W94" i="7"/>
  <c r="F207" i="7"/>
  <c r="L157" i="7" s="1"/>
  <c r="L124" i="7" s="1"/>
  <c r="M124" i="7" s="1"/>
  <c r="M157" i="7" s="1"/>
  <c r="F11" i="11"/>
  <c r="F101" i="4"/>
  <c r="G64" i="7"/>
  <c r="G65" i="7" s="1"/>
  <c r="F13" i="4"/>
  <c r="L201" i="8"/>
  <c r="L200" i="8"/>
  <c r="I57" i="7"/>
  <c r="I63" i="7"/>
  <c r="I61" i="7"/>
  <c r="I107" i="7"/>
  <c r="I59" i="7"/>
  <c r="I106" i="7"/>
  <c r="I13" i="4"/>
  <c r="I11" i="4"/>
  <c r="F12" i="4"/>
  <c r="G221" i="7"/>
  <c r="N171" i="7" s="1"/>
  <c r="G206" i="7"/>
  <c r="I66" i="4"/>
  <c r="N66" i="4" s="1"/>
  <c r="G172" i="7"/>
  <c r="F222" i="7" s="1"/>
  <c r="H103" i="7"/>
  <c r="G113" i="8"/>
  <c r="G112" i="8"/>
  <c r="W104" i="7"/>
  <c r="F53" i="9"/>
  <c r="F55" i="9" s="1"/>
  <c r="V55" i="9" s="1"/>
  <c r="I189" i="7"/>
  <c r="G201" i="7"/>
  <c r="G105" i="7"/>
  <c r="I130" i="7"/>
  <c r="I164" i="7"/>
  <c r="I165" i="7"/>
  <c r="G215" i="7" s="1"/>
  <c r="H198" i="7"/>
  <c r="G202" i="7"/>
  <c r="F200" i="7"/>
  <c r="H207" i="7"/>
  <c r="W102" i="7"/>
  <c r="G103" i="7"/>
  <c r="H67" i="7"/>
  <c r="H22" i="11"/>
  <c r="F99" i="7"/>
  <c r="F22" i="11"/>
  <c r="F216" i="7"/>
  <c r="I12" i="11"/>
  <c r="F39" i="11"/>
  <c r="F12" i="11"/>
  <c r="I39" i="11"/>
  <c r="I12" i="4"/>
  <c r="I13" i="11"/>
  <c r="I23" i="11"/>
  <c r="I33" i="9"/>
  <c r="H23" i="11"/>
  <c r="H13" i="11"/>
  <c r="H33" i="9"/>
  <c r="G23" i="11"/>
  <c r="G13" i="11"/>
  <c r="G33" i="9"/>
  <c r="I11" i="11"/>
  <c r="F44" i="4"/>
  <c r="F34" i="4"/>
  <c r="F46" i="4"/>
  <c r="F53" i="4"/>
  <c r="F62" i="4"/>
  <c r="F20" i="4"/>
  <c r="F42" i="4"/>
  <c r="F51" i="4"/>
  <c r="F47" i="7"/>
  <c r="F32" i="11"/>
  <c r="F31" i="11"/>
  <c r="H49" i="7"/>
  <c r="H31" i="11"/>
  <c r="H32" i="11"/>
  <c r="G11" i="11"/>
  <c r="G39" i="11"/>
  <c r="H39" i="11"/>
  <c r="H11" i="11"/>
  <c r="F126" i="4"/>
  <c r="F20" i="11"/>
  <c r="F21" i="11"/>
  <c r="F14" i="11"/>
  <c r="G51" i="7"/>
  <c r="G32" i="11"/>
  <c r="G11" i="4"/>
  <c r="G71" i="4" s="1"/>
  <c r="G103" i="8"/>
  <c r="G104" i="8"/>
  <c r="F104" i="8"/>
  <c r="F103" i="8"/>
  <c r="H57" i="9"/>
  <c r="F224" i="7"/>
  <c r="G168" i="7"/>
  <c r="G218" i="7" s="1"/>
  <c r="G90" i="8"/>
  <c r="H92" i="8"/>
  <c r="H93" i="8"/>
  <c r="H91" i="8"/>
  <c r="F202" i="7"/>
  <c r="F57" i="9"/>
  <c r="H91" i="4"/>
  <c r="F201" i="7"/>
  <c r="L151" i="7" s="1"/>
  <c r="L118" i="7" s="1"/>
  <c r="M118" i="7" s="1"/>
  <c r="M151" i="7" s="1"/>
  <c r="I57" i="9"/>
  <c r="G13" i="4"/>
  <c r="G12" i="4" s="1"/>
  <c r="N111" i="4"/>
  <c r="G216" i="7"/>
  <c r="G57" i="9"/>
  <c r="H11" i="4"/>
  <c r="H73" i="4" s="1"/>
  <c r="H13" i="4"/>
  <c r="H12" i="4" s="1"/>
  <c r="H103" i="8"/>
  <c r="H104" i="8"/>
  <c r="I104" i="8"/>
  <c r="I103" i="8"/>
  <c r="F58" i="4"/>
  <c r="F18" i="4"/>
  <c r="F32" i="4"/>
  <c r="F15" i="4"/>
  <c r="F40" i="4"/>
  <c r="N91" i="8"/>
  <c r="O91" i="8" s="1"/>
  <c r="P91" i="8" s="1"/>
  <c r="Q91" i="8" s="1"/>
  <c r="Q49" i="8"/>
  <c r="O130" i="8"/>
  <c r="F25" i="7"/>
  <c r="W113" i="7"/>
  <c r="I53" i="7"/>
  <c r="N53" i="7" s="1"/>
  <c r="W38" i="7"/>
  <c r="H221" i="7"/>
  <c r="H187" i="7"/>
  <c r="H191" i="7" s="1"/>
  <c r="H190" i="7"/>
  <c r="H189" i="7" s="1"/>
  <c r="H93" i="7"/>
  <c r="H87" i="7"/>
  <c r="H114" i="7"/>
  <c r="F55" i="7"/>
  <c r="H75" i="7"/>
  <c r="H85" i="7"/>
  <c r="H208" i="7"/>
  <c r="F49" i="7"/>
  <c r="H79" i="7"/>
  <c r="G199" i="7"/>
  <c r="H99" i="7"/>
  <c r="F97" i="7"/>
  <c r="H217" i="7"/>
  <c r="F217" i="7"/>
  <c r="F89" i="7"/>
  <c r="F91" i="7"/>
  <c r="F206" i="7"/>
  <c r="L156" i="7" s="1"/>
  <c r="L123" i="7" s="1"/>
  <c r="F83" i="7"/>
  <c r="F85" i="7"/>
  <c r="H206" i="7"/>
  <c r="F211" i="7"/>
  <c r="H211" i="7"/>
  <c r="G211" i="7"/>
  <c r="F210" i="7"/>
  <c r="H210" i="7"/>
  <c r="G210" i="7"/>
  <c r="G220" i="7"/>
  <c r="H220" i="7"/>
  <c r="H224" i="7"/>
  <c r="G224" i="7"/>
  <c r="G217" i="7"/>
  <c r="F79" i="7"/>
  <c r="F71" i="7"/>
  <c r="F69" i="7"/>
  <c r="P157" i="7"/>
  <c r="G209" i="7"/>
  <c r="F209" i="7"/>
  <c r="H209" i="7"/>
  <c r="G208" i="7"/>
  <c r="G114" i="7"/>
  <c r="G203" i="7"/>
  <c r="H203" i="7"/>
  <c r="F203" i="7"/>
  <c r="G219" i="7"/>
  <c r="F219" i="7"/>
  <c r="L169" i="7" s="1"/>
  <c r="L137" i="7" s="1"/>
  <c r="M137" i="7" s="1"/>
  <c r="M169" i="7" s="1"/>
  <c r="H219" i="7"/>
  <c r="F208" i="7"/>
  <c r="H205" i="7"/>
  <c r="G205" i="7"/>
  <c r="F205" i="7"/>
  <c r="F95" i="7"/>
  <c r="F67" i="7"/>
  <c r="F77" i="7"/>
  <c r="H212" i="7"/>
  <c r="F212" i="7"/>
  <c r="G212" i="7"/>
  <c r="F173" i="7"/>
  <c r="F198" i="7"/>
  <c r="G198" i="7"/>
  <c r="H200" i="7"/>
  <c r="H214" i="7"/>
  <c r="F214" i="7"/>
  <c r="G214" i="7"/>
  <c r="F199" i="7"/>
  <c r="G200" i="7"/>
  <c r="F220" i="7"/>
  <c r="L170" i="7" s="1"/>
  <c r="L138" i="7" s="1"/>
  <c r="M138" i="7" s="1"/>
  <c r="M170" i="7" s="1"/>
  <c r="H199" i="7"/>
  <c r="F43" i="7"/>
  <c r="H73" i="7"/>
  <c r="F73" i="7"/>
  <c r="F81" i="7"/>
  <c r="F41" i="7"/>
  <c r="H41" i="7"/>
  <c r="F87" i="7"/>
  <c r="F93" i="7"/>
  <c r="F75" i="7"/>
  <c r="F101" i="7"/>
  <c r="H91" i="7"/>
  <c r="F108" i="7"/>
  <c r="H71" i="7"/>
  <c r="H97" i="7"/>
  <c r="G45" i="7"/>
  <c r="H83" i="7"/>
  <c r="F59" i="7"/>
  <c r="F57" i="7"/>
  <c r="F154" i="7"/>
  <c r="F51" i="7"/>
  <c r="F45" i="7"/>
  <c r="H101" i="7"/>
  <c r="F147" i="7"/>
  <c r="H61" i="7"/>
  <c r="F53" i="7"/>
  <c r="H81" i="7"/>
  <c r="H55" i="7"/>
  <c r="F63" i="7"/>
  <c r="F106" i="7"/>
  <c r="H59" i="7"/>
  <c r="H108" i="7"/>
  <c r="G63" i="7"/>
  <c r="G57" i="7"/>
  <c r="H173" i="7"/>
  <c r="H77" i="7"/>
  <c r="N57" i="7"/>
  <c r="H95" i="7"/>
  <c r="I51" i="7"/>
  <c r="N51" i="7" s="1"/>
  <c r="H53" i="7"/>
  <c r="H89" i="7"/>
  <c r="F107" i="7"/>
  <c r="H69" i="7"/>
  <c r="H147" i="7"/>
  <c r="F61" i="7"/>
  <c r="H47" i="7"/>
  <c r="W20" i="7"/>
  <c r="I147" i="7"/>
  <c r="I114" i="7"/>
  <c r="N63" i="7"/>
  <c r="F163" i="7"/>
  <c r="F22" i="7"/>
  <c r="F23" i="7" s="1"/>
  <c r="I45" i="7"/>
  <c r="N45" i="7" s="1"/>
  <c r="H163" i="7"/>
  <c r="H131" i="7"/>
  <c r="H22" i="7"/>
  <c r="H33" i="11" s="1"/>
  <c r="F21" i="7"/>
  <c r="G131" i="7"/>
  <c r="G22" i="7"/>
  <c r="I154" i="7"/>
  <c r="N61" i="7"/>
  <c r="I55" i="7"/>
  <c r="N55" i="7" s="1"/>
  <c r="I49" i="7"/>
  <c r="N49" i="7" s="1"/>
  <c r="I43" i="7"/>
  <c r="N43" i="7" s="1"/>
  <c r="I39" i="7"/>
  <c r="N59" i="7"/>
  <c r="I47" i="7"/>
  <c r="N47" i="7" s="1"/>
  <c r="H106" i="7"/>
  <c r="H154" i="7"/>
  <c r="H63" i="7"/>
  <c r="H57" i="7"/>
  <c r="H51" i="7"/>
  <c r="H45" i="7"/>
  <c r="H39" i="7"/>
  <c r="H107" i="7"/>
  <c r="G47" i="7"/>
  <c r="G106" i="7"/>
  <c r="G53" i="7"/>
  <c r="G154" i="7"/>
  <c r="G61" i="7"/>
  <c r="G55" i="7"/>
  <c r="G49" i="7"/>
  <c r="G43" i="7"/>
  <c r="G41" i="7"/>
  <c r="G59" i="7"/>
  <c r="G147" i="7"/>
  <c r="G39" i="7"/>
  <c r="G107" i="7"/>
  <c r="G21" i="7"/>
  <c r="H21" i="7"/>
  <c r="H43" i="7"/>
  <c r="G91" i="7" l="1"/>
  <c r="G77" i="7"/>
  <c r="G75" i="7"/>
  <c r="G108" i="7"/>
  <c r="G89" i="7"/>
  <c r="G81" i="7"/>
  <c r="G97" i="7"/>
  <c r="G83" i="7"/>
  <c r="G93" i="7"/>
  <c r="G31" i="11"/>
  <c r="G22" i="11"/>
  <c r="L162" i="7"/>
  <c r="L129" i="7" s="1"/>
  <c r="M129" i="7" s="1"/>
  <c r="M162" i="7" s="1"/>
  <c r="L149" i="7"/>
  <c r="L150" i="7"/>
  <c r="L117" i="7" s="1"/>
  <c r="M117" i="7" s="1"/>
  <c r="M150" i="7" s="1"/>
  <c r="G67" i="7"/>
  <c r="G33" i="11"/>
  <c r="G73" i="7"/>
  <c r="G87" i="7"/>
  <c r="G85" i="7"/>
  <c r="G95" i="7"/>
  <c r="L166" i="7"/>
  <c r="L134" i="7" s="1"/>
  <c r="M134" i="7" s="1"/>
  <c r="M166" i="7" s="1"/>
  <c r="G173" i="7"/>
  <c r="F223" i="7" s="1"/>
  <c r="G79" i="7"/>
  <c r="G99" i="7"/>
  <c r="H65" i="7"/>
  <c r="G163" i="7"/>
  <c r="G71" i="7"/>
  <c r="L174" i="7"/>
  <c r="L142" i="7" s="1"/>
  <c r="M142" i="7" s="1"/>
  <c r="M174" i="7" s="1"/>
  <c r="G69" i="7"/>
  <c r="G101" i="7"/>
  <c r="L160" i="7"/>
  <c r="L127" i="7" s="1"/>
  <c r="M127" i="7" s="1"/>
  <c r="M160" i="7" s="1"/>
  <c r="I71" i="7"/>
  <c r="I67" i="7"/>
  <c r="I93" i="7"/>
  <c r="I85" i="7"/>
  <c r="I81" i="7"/>
  <c r="I79" i="7"/>
  <c r="I97" i="7"/>
  <c r="I87" i="7"/>
  <c r="I69" i="7"/>
  <c r="I75" i="7"/>
  <c r="I65" i="7"/>
  <c r="I99" i="7"/>
  <c r="I83" i="7"/>
  <c r="I73" i="7"/>
  <c r="I101" i="7"/>
  <c r="I89" i="7"/>
  <c r="I91" i="7"/>
  <c r="V106" i="7"/>
  <c r="N106" i="7" s="1"/>
  <c r="O106" i="7" s="1"/>
  <c r="P106" i="7" s="1"/>
  <c r="Q106" i="7" s="1"/>
  <c r="R106" i="7" s="1"/>
  <c r="S106" i="7" s="1"/>
  <c r="T106" i="7" s="1"/>
  <c r="U106" i="7" s="1"/>
  <c r="L116" i="7"/>
  <c r="O157" i="7"/>
  <c r="O111" i="4"/>
  <c r="L159" i="7"/>
  <c r="L126" i="7" s="1"/>
  <c r="M126" i="7" s="1"/>
  <c r="M159" i="7" s="1"/>
  <c r="L161" i="7"/>
  <c r="L128" i="7" s="1"/>
  <c r="M128" i="7" s="1"/>
  <c r="M161" i="7" s="1"/>
  <c r="L158" i="7"/>
  <c r="L125" i="7" s="1"/>
  <c r="M125" i="7" s="1"/>
  <c r="M158" i="7" s="1"/>
  <c r="T157" i="7"/>
  <c r="W64" i="7"/>
  <c r="F71" i="4"/>
  <c r="U157" i="7"/>
  <c r="L171" i="7"/>
  <c r="L139" i="7" s="1"/>
  <c r="M139" i="7" s="1"/>
  <c r="M171" i="7" s="1"/>
  <c r="I95" i="7"/>
  <c r="Q157" i="7"/>
  <c r="M123" i="7"/>
  <c r="M156" i="7" s="1"/>
  <c r="P152" i="7"/>
  <c r="L152" i="7"/>
  <c r="L119" i="7" s="1"/>
  <c r="M119" i="7" s="1"/>
  <c r="M152" i="7" s="1"/>
  <c r="I163" i="7"/>
  <c r="I173" i="7"/>
  <c r="R157" i="7"/>
  <c r="I91" i="8"/>
  <c r="I93" i="8"/>
  <c r="I92" i="8"/>
  <c r="I22" i="11"/>
  <c r="L153" i="7"/>
  <c r="L120" i="7" s="1"/>
  <c r="M120" i="7" s="1"/>
  <c r="M153" i="7" s="1"/>
  <c r="V157" i="7"/>
  <c r="H111" i="4"/>
  <c r="H99" i="4"/>
  <c r="H89" i="4"/>
  <c r="H95" i="4"/>
  <c r="H107" i="4"/>
  <c r="H93" i="4"/>
  <c r="H85" i="4"/>
  <c r="H97" i="4"/>
  <c r="H87" i="4"/>
  <c r="H109" i="4"/>
  <c r="H121" i="4"/>
  <c r="H113" i="4"/>
  <c r="H101" i="4"/>
  <c r="I31" i="11"/>
  <c r="I85" i="4"/>
  <c r="I111" i="4"/>
  <c r="I107" i="4"/>
  <c r="I93" i="4"/>
  <c r="I97" i="4"/>
  <c r="I87" i="4"/>
  <c r="I95" i="4"/>
  <c r="I109" i="4"/>
  <c r="I99" i="4"/>
  <c r="I89" i="4"/>
  <c r="I113" i="4"/>
  <c r="I101" i="4"/>
  <c r="I121" i="4"/>
  <c r="I73" i="4"/>
  <c r="S157" i="7"/>
  <c r="L167" i="7"/>
  <c r="L135" i="7" s="1"/>
  <c r="M135" i="7" s="1"/>
  <c r="M167" i="7" s="1"/>
  <c r="G46" i="4"/>
  <c r="G99" i="4"/>
  <c r="G89" i="4"/>
  <c r="G107" i="4"/>
  <c r="G93" i="4"/>
  <c r="G97" i="4"/>
  <c r="G87" i="4"/>
  <c r="G109" i="4"/>
  <c r="G111" i="4"/>
  <c r="G95" i="4"/>
  <c r="G85" i="4"/>
  <c r="G73" i="4"/>
  <c r="G113" i="4"/>
  <c r="G101" i="4"/>
  <c r="G121" i="4"/>
  <c r="I71" i="4"/>
  <c r="N157" i="7"/>
  <c r="I108" i="7"/>
  <c r="H71" i="4"/>
  <c r="L197" i="8"/>
  <c r="L179" i="8" s="1"/>
  <c r="M200" i="8"/>
  <c r="M197" i="8" s="1"/>
  <c r="M179" i="8" s="1"/>
  <c r="M201" i="8"/>
  <c r="L198" i="8"/>
  <c r="L180" i="8" s="1"/>
  <c r="Q171" i="7"/>
  <c r="T171" i="7"/>
  <c r="S171" i="7"/>
  <c r="V171" i="7"/>
  <c r="R171" i="7"/>
  <c r="U171" i="7"/>
  <c r="P171" i="7"/>
  <c r="H222" i="7"/>
  <c r="G222" i="7"/>
  <c r="O172" i="7" s="1"/>
  <c r="O171" i="7"/>
  <c r="W130" i="7"/>
  <c r="M198" i="8"/>
  <c r="M180" i="8" s="1"/>
  <c r="N166" i="7"/>
  <c r="P150" i="7"/>
  <c r="P166" i="7"/>
  <c r="I34" i="4"/>
  <c r="I18" i="4"/>
  <c r="I60" i="4"/>
  <c r="R152" i="7"/>
  <c r="I15" i="4"/>
  <c r="I62" i="4"/>
  <c r="O62" i="4" s="1"/>
  <c r="I20" i="4"/>
  <c r="I40" i="4"/>
  <c r="V166" i="7"/>
  <c r="I42" i="4"/>
  <c r="I32" i="4"/>
  <c r="I53" i="4"/>
  <c r="I44" i="4"/>
  <c r="I51" i="4"/>
  <c r="O152" i="7"/>
  <c r="I58" i="4"/>
  <c r="I46" i="4"/>
  <c r="N46" i="4" s="1"/>
  <c r="O46" i="4" s="1"/>
  <c r="O151" i="7"/>
  <c r="H218" i="7"/>
  <c r="F218" i="7"/>
  <c r="I113" i="8"/>
  <c r="I112" i="8"/>
  <c r="F215" i="7"/>
  <c r="W189" i="7"/>
  <c r="I22" i="7"/>
  <c r="H215" i="7"/>
  <c r="F33" i="11"/>
  <c r="I131" i="7"/>
  <c r="H113" i="8"/>
  <c r="H112" i="8"/>
  <c r="F225" i="7"/>
  <c r="G225" i="7"/>
  <c r="H225" i="7"/>
  <c r="I32" i="11"/>
  <c r="G111" i="8"/>
  <c r="O166" i="7"/>
  <c r="O149" i="7"/>
  <c r="I14" i="11"/>
  <c r="I21" i="11"/>
  <c r="G51" i="4"/>
  <c r="S166" i="7"/>
  <c r="I20" i="11"/>
  <c r="I126" i="4"/>
  <c r="G40" i="4"/>
  <c r="G62" i="4"/>
  <c r="G15" i="4"/>
  <c r="Q151" i="7"/>
  <c r="S152" i="7"/>
  <c r="N151" i="7"/>
  <c r="Q152" i="7"/>
  <c r="P151" i="7"/>
  <c r="U152" i="7"/>
  <c r="T151" i="7"/>
  <c r="V152" i="7"/>
  <c r="T152" i="7"/>
  <c r="N152" i="7"/>
  <c r="R151" i="7"/>
  <c r="V151" i="7"/>
  <c r="G66" i="4"/>
  <c r="G34" i="4"/>
  <c r="G126" i="4"/>
  <c r="G21" i="11"/>
  <c r="G14" i="11"/>
  <c r="G20" i="11"/>
  <c r="G42" i="4"/>
  <c r="G32" i="4"/>
  <c r="G44" i="4"/>
  <c r="H126" i="4"/>
  <c r="H20" i="11"/>
  <c r="H21" i="11"/>
  <c r="H14" i="11"/>
  <c r="G58" i="4"/>
  <c r="G53" i="4"/>
  <c r="G18" i="4"/>
  <c r="G20" i="4"/>
  <c r="G60" i="4"/>
  <c r="O66" i="4"/>
  <c r="Q166" i="7"/>
  <c r="N58" i="4"/>
  <c r="G92" i="8"/>
  <c r="G93" i="8"/>
  <c r="G91" i="8"/>
  <c r="U166" i="7"/>
  <c r="T166" i="7"/>
  <c r="N60" i="4"/>
  <c r="V104" i="8"/>
  <c r="N104" i="8" s="1"/>
  <c r="O104" i="8" s="1"/>
  <c r="P104" i="8" s="1"/>
  <c r="Q104" i="8" s="1"/>
  <c r="R104" i="8" s="1"/>
  <c r="S104" i="8" s="1"/>
  <c r="T104" i="8" s="1"/>
  <c r="U104" i="8" s="1"/>
  <c r="V103" i="8"/>
  <c r="N103" i="8" s="1"/>
  <c r="O103" i="8" s="1"/>
  <c r="P103" i="8" s="1"/>
  <c r="Q103" i="8" s="1"/>
  <c r="R103" i="8" s="1"/>
  <c r="S103" i="8" s="1"/>
  <c r="T103" i="8" s="1"/>
  <c r="U103" i="8" s="1"/>
  <c r="R166" i="7"/>
  <c r="U151" i="7"/>
  <c r="H58" i="4"/>
  <c r="H44" i="4"/>
  <c r="H32" i="4"/>
  <c r="H42" i="4"/>
  <c r="H15" i="4"/>
  <c r="H51" i="4"/>
  <c r="H40" i="4"/>
  <c r="H60" i="4"/>
  <c r="H18" i="4"/>
  <c r="H34" i="4"/>
  <c r="H53" i="4"/>
  <c r="H20" i="4"/>
  <c r="H62" i="4"/>
  <c r="H46" i="4"/>
  <c r="H66" i="4"/>
  <c r="H127" i="4"/>
  <c r="S151" i="7"/>
  <c r="N51" i="4"/>
  <c r="P130" i="8"/>
  <c r="R91" i="8"/>
  <c r="R49" i="8"/>
  <c r="O49" i="7"/>
  <c r="O53" i="7"/>
  <c r="O47" i="7"/>
  <c r="O63" i="7"/>
  <c r="W187" i="7"/>
  <c r="O55" i="7"/>
  <c r="O41" i="7"/>
  <c r="O45" i="7"/>
  <c r="O182" i="7"/>
  <c r="N184" i="7"/>
  <c r="O57" i="7"/>
  <c r="O61" i="7"/>
  <c r="O59" i="7"/>
  <c r="O51" i="7"/>
  <c r="O43" i="7"/>
  <c r="T150" i="7"/>
  <c r="T159" i="7"/>
  <c r="S159" i="7"/>
  <c r="R159" i="7"/>
  <c r="Q159" i="7"/>
  <c r="P159" i="7"/>
  <c r="O159" i="7"/>
  <c r="N159" i="7"/>
  <c r="V159" i="7"/>
  <c r="U159" i="7"/>
  <c r="R158" i="7"/>
  <c r="Q158" i="7"/>
  <c r="P158" i="7"/>
  <c r="S158" i="7"/>
  <c r="O158" i="7"/>
  <c r="N158" i="7"/>
  <c r="U158" i="7"/>
  <c r="V158" i="7"/>
  <c r="T158" i="7"/>
  <c r="V160" i="7"/>
  <c r="U160" i="7"/>
  <c r="T160" i="7"/>
  <c r="S160" i="7"/>
  <c r="R160" i="7"/>
  <c r="Q160" i="7"/>
  <c r="P160" i="7"/>
  <c r="O160" i="7"/>
  <c r="N160" i="7"/>
  <c r="U150" i="7"/>
  <c r="V150" i="7"/>
  <c r="V170" i="7"/>
  <c r="U170" i="7"/>
  <c r="T170" i="7"/>
  <c r="O170" i="7"/>
  <c r="S170" i="7"/>
  <c r="R170" i="7"/>
  <c r="N170" i="7"/>
  <c r="Q170" i="7"/>
  <c r="P170" i="7"/>
  <c r="V169" i="7"/>
  <c r="U169" i="7"/>
  <c r="T169" i="7"/>
  <c r="S169" i="7"/>
  <c r="R169" i="7"/>
  <c r="Q169" i="7"/>
  <c r="P169" i="7"/>
  <c r="O169" i="7"/>
  <c r="N169" i="7"/>
  <c r="P172" i="7"/>
  <c r="V161" i="7"/>
  <c r="O161" i="7"/>
  <c r="U161" i="7"/>
  <c r="T161" i="7"/>
  <c r="S161" i="7"/>
  <c r="R161" i="7"/>
  <c r="N161" i="7"/>
  <c r="Q161" i="7"/>
  <c r="P161" i="7"/>
  <c r="S150" i="7"/>
  <c r="Q150" i="7"/>
  <c r="V153" i="7"/>
  <c r="U153" i="7"/>
  <c r="T153" i="7"/>
  <c r="S153" i="7"/>
  <c r="R153" i="7"/>
  <c r="Q153" i="7"/>
  <c r="P153" i="7"/>
  <c r="O153" i="7"/>
  <c r="N153" i="7"/>
  <c r="V174" i="7"/>
  <c r="S174" i="7"/>
  <c r="R174" i="7"/>
  <c r="Q174" i="7"/>
  <c r="P174" i="7"/>
  <c r="O174" i="7"/>
  <c r="N174" i="7"/>
  <c r="U174" i="7"/>
  <c r="T174" i="7"/>
  <c r="N150" i="7"/>
  <c r="N156" i="7"/>
  <c r="Q156" i="7"/>
  <c r="P156" i="7"/>
  <c r="O156" i="7"/>
  <c r="V156" i="7"/>
  <c r="U156" i="7"/>
  <c r="T156" i="7"/>
  <c r="S156" i="7"/>
  <c r="R156" i="7"/>
  <c r="R150" i="7"/>
  <c r="G197" i="7"/>
  <c r="H197" i="7"/>
  <c r="F197" i="7"/>
  <c r="O150" i="7"/>
  <c r="G204" i="7"/>
  <c r="F204" i="7"/>
  <c r="H204" i="7"/>
  <c r="N162" i="7"/>
  <c r="Q162" i="7"/>
  <c r="P162" i="7"/>
  <c r="V162" i="7"/>
  <c r="U162" i="7"/>
  <c r="T162" i="7"/>
  <c r="S162" i="7"/>
  <c r="O162" i="7"/>
  <c r="R162" i="7"/>
  <c r="H213" i="7"/>
  <c r="F213" i="7"/>
  <c r="G213" i="7"/>
  <c r="N149" i="7"/>
  <c r="P149" i="7"/>
  <c r="V149" i="7"/>
  <c r="Q149" i="7"/>
  <c r="U149" i="7"/>
  <c r="T149" i="7"/>
  <c r="S149" i="7"/>
  <c r="R149" i="7"/>
  <c r="R167" i="7"/>
  <c r="T167" i="7"/>
  <c r="Q167" i="7"/>
  <c r="P167" i="7"/>
  <c r="O167" i="7"/>
  <c r="N167" i="7"/>
  <c r="U167" i="7"/>
  <c r="S167" i="7"/>
  <c r="V167" i="7"/>
  <c r="H23" i="7"/>
  <c r="H18" i="7"/>
  <c r="H11" i="8" s="1"/>
  <c r="H13" i="8" s="1"/>
  <c r="H18" i="8" s="1"/>
  <c r="I23" i="7"/>
  <c r="G18" i="7"/>
  <c r="G11" i="8" s="1"/>
  <c r="G13" i="8" s="1"/>
  <c r="G18" i="8" s="1"/>
  <c r="G23" i="7"/>
  <c r="F18" i="7"/>
  <c r="F11" i="8" s="1"/>
  <c r="F13" i="8" s="1"/>
  <c r="F18" i="8" s="1"/>
  <c r="I21" i="7"/>
  <c r="H223" i="7" l="1"/>
  <c r="G223" i="7"/>
  <c r="L173" i="7" s="1"/>
  <c r="L141" i="7" s="1"/>
  <c r="M141" i="7" s="1"/>
  <c r="M173" i="7" s="1"/>
  <c r="I91" i="4"/>
  <c r="I127" i="4"/>
  <c r="P111" i="4"/>
  <c r="F127" i="4"/>
  <c r="F91" i="4"/>
  <c r="M116" i="7"/>
  <c r="M149" i="7" s="1"/>
  <c r="L154" i="7"/>
  <c r="L121" i="7" s="1"/>
  <c r="M121" i="7" s="1"/>
  <c r="M154" i="7" s="1"/>
  <c r="N154" i="7"/>
  <c r="P168" i="7"/>
  <c r="L168" i="7"/>
  <c r="L136" i="7" s="1"/>
  <c r="M136" i="7" s="1"/>
  <c r="M168" i="7" s="1"/>
  <c r="L172" i="7"/>
  <c r="L140" i="7" s="1"/>
  <c r="M140" i="7" s="1"/>
  <c r="M172" i="7" s="1"/>
  <c r="L122" i="7"/>
  <c r="L155" i="7" s="1"/>
  <c r="V168" i="7"/>
  <c r="U172" i="7"/>
  <c r="T172" i="7"/>
  <c r="V172" i="7"/>
  <c r="S172" i="7"/>
  <c r="Q172" i="7"/>
  <c r="R172" i="7"/>
  <c r="N172" i="7"/>
  <c r="Q168" i="7"/>
  <c r="R168" i="7"/>
  <c r="T168" i="7"/>
  <c r="S168" i="7"/>
  <c r="H111" i="8"/>
  <c r="H114" i="8" s="1"/>
  <c r="U168" i="7"/>
  <c r="N168" i="7"/>
  <c r="O168" i="7"/>
  <c r="W22" i="7"/>
  <c r="I33" i="11"/>
  <c r="F158" i="8"/>
  <c r="F157" i="8" s="1"/>
  <c r="F163" i="8" s="1"/>
  <c r="F137" i="8"/>
  <c r="F138" i="8" s="1"/>
  <c r="F67" i="8"/>
  <c r="G115" i="8"/>
  <c r="G114" i="8"/>
  <c r="I111" i="8"/>
  <c r="W18" i="7"/>
  <c r="I11" i="8"/>
  <c r="I13" i="8" s="1"/>
  <c r="I18" i="8" s="1"/>
  <c r="G158" i="8"/>
  <c r="G157" i="8" s="1"/>
  <c r="G163" i="8" s="1"/>
  <c r="G67" i="8"/>
  <c r="G137" i="8"/>
  <c r="G138" i="8" s="1"/>
  <c r="H158" i="8"/>
  <c r="H157" i="8" s="1"/>
  <c r="H163" i="8" s="1"/>
  <c r="H137" i="8"/>
  <c r="H138" i="8" s="1"/>
  <c r="H67" i="8"/>
  <c r="T25" i="7"/>
  <c r="U25" i="7"/>
  <c r="P25" i="7"/>
  <c r="V25" i="7"/>
  <c r="Q25" i="7"/>
  <c r="R25" i="7"/>
  <c r="S25" i="7"/>
  <c r="P66" i="4"/>
  <c r="P46" i="4"/>
  <c r="O60" i="4"/>
  <c r="O58" i="4"/>
  <c r="O51" i="4"/>
  <c r="P62" i="4"/>
  <c r="O15" i="4"/>
  <c r="S91" i="8"/>
  <c r="Q130" i="8"/>
  <c r="S49" i="8"/>
  <c r="P55" i="7"/>
  <c r="P47" i="7"/>
  <c r="P43" i="7"/>
  <c r="P182" i="7"/>
  <c r="O184" i="7"/>
  <c r="P51" i="7"/>
  <c r="P53" i="7"/>
  <c r="P59" i="7"/>
  <c r="P57" i="7"/>
  <c r="P45" i="7"/>
  <c r="P61" i="7"/>
  <c r="P41" i="7"/>
  <c r="P63" i="7"/>
  <c r="P49" i="7"/>
  <c r="V154" i="7"/>
  <c r="U154" i="7"/>
  <c r="O154" i="7"/>
  <c r="T154" i="7"/>
  <c r="S154" i="7"/>
  <c r="R154" i="7"/>
  <c r="Q154" i="7"/>
  <c r="P154" i="7"/>
  <c r="R173" i="7"/>
  <c r="U173" i="7"/>
  <c r="Q173" i="7"/>
  <c r="P173" i="7"/>
  <c r="S173" i="7"/>
  <c r="O173" i="7"/>
  <c r="N173" i="7"/>
  <c r="T173" i="7"/>
  <c r="V173" i="7"/>
  <c r="I19" i="7"/>
  <c r="I30" i="7"/>
  <c r="F30" i="7"/>
  <c r="F19" i="7"/>
  <c r="G30" i="7"/>
  <c r="G19" i="7"/>
  <c r="H19" i="7"/>
  <c r="H30" i="7"/>
  <c r="L133" i="7" l="1"/>
  <c r="Q111" i="4"/>
  <c r="L115" i="7"/>
  <c r="H115" i="8"/>
  <c r="V115" i="8" s="1"/>
  <c r="N115" i="8" s="1"/>
  <c r="O115" i="8" s="1"/>
  <c r="P115" i="8" s="1"/>
  <c r="Q115" i="8" s="1"/>
  <c r="R115" i="8" s="1"/>
  <c r="S115" i="8" s="1"/>
  <c r="T115" i="8" s="1"/>
  <c r="U115" i="8" s="1"/>
  <c r="W18" i="8"/>
  <c r="I158" i="8"/>
  <c r="I157" i="8" s="1"/>
  <c r="I163" i="8" s="1"/>
  <c r="I137" i="8"/>
  <c r="I138" i="8" s="1"/>
  <c r="V138" i="8" s="1"/>
  <c r="I67" i="8"/>
  <c r="I114" i="8"/>
  <c r="V114" i="8" s="1"/>
  <c r="N114" i="8" s="1"/>
  <c r="O114" i="8" s="1"/>
  <c r="P114" i="8" s="1"/>
  <c r="Q114" i="8" s="1"/>
  <c r="R114" i="8" s="1"/>
  <c r="S114" i="8" s="1"/>
  <c r="T114" i="8" s="1"/>
  <c r="U114" i="8" s="1"/>
  <c r="I115" i="8"/>
  <c r="F10" i="9"/>
  <c r="F18" i="9" s="1"/>
  <c r="F34" i="11"/>
  <c r="F169" i="8"/>
  <c r="F170" i="8" s="1"/>
  <c r="F69" i="8"/>
  <c r="H69" i="8"/>
  <c r="H169" i="8"/>
  <c r="H170" i="8" s="1"/>
  <c r="W30" i="7"/>
  <c r="I10" i="9"/>
  <c r="I34" i="11"/>
  <c r="G10" i="9"/>
  <c r="G34" i="11"/>
  <c r="G169" i="8"/>
  <c r="G170" i="8" s="1"/>
  <c r="G69" i="8"/>
  <c r="H10" i="9"/>
  <c r="H34" i="11"/>
  <c r="Q66" i="4"/>
  <c r="P51" i="4"/>
  <c r="P15" i="4"/>
  <c r="P60" i="4"/>
  <c r="Q46" i="4"/>
  <c r="Q62" i="4"/>
  <c r="T91" i="8"/>
  <c r="R130" i="8"/>
  <c r="T49" i="8"/>
  <c r="P184" i="7"/>
  <c r="Q182" i="7"/>
  <c r="Q63" i="7"/>
  <c r="Q51" i="7"/>
  <c r="Q55" i="7"/>
  <c r="Q61" i="7"/>
  <c r="Q59" i="7"/>
  <c r="Q45" i="7"/>
  <c r="Q53" i="7"/>
  <c r="Q43" i="7"/>
  <c r="Q47" i="7"/>
  <c r="Q49" i="7"/>
  <c r="Q41" i="7"/>
  <c r="Q57" i="7"/>
  <c r="H32" i="7"/>
  <c r="H31" i="7"/>
  <c r="G32" i="7"/>
  <c r="G31" i="7"/>
  <c r="F31" i="7"/>
  <c r="I32" i="7"/>
  <c r="I31" i="7"/>
  <c r="H222" i="8" l="1"/>
  <c r="H224" i="8"/>
  <c r="F224" i="8"/>
  <c r="F222" i="8"/>
  <c r="G222" i="8"/>
  <c r="G224" i="8"/>
  <c r="R111" i="4"/>
  <c r="L148" i="7"/>
  <c r="L113" i="7"/>
  <c r="L132" i="7"/>
  <c r="M133" i="7"/>
  <c r="I11" i="9"/>
  <c r="I18" i="9"/>
  <c r="G73" i="8"/>
  <c r="G71" i="8"/>
  <c r="G76" i="8"/>
  <c r="G75" i="8"/>
  <c r="G176" i="8"/>
  <c r="I169" i="8"/>
  <c r="I170" i="8" s="1"/>
  <c r="W67" i="8"/>
  <c r="I69" i="8"/>
  <c r="F21" i="9"/>
  <c r="F24" i="9" s="1"/>
  <c r="F26" i="9" s="1"/>
  <c r="F31" i="9" s="1"/>
  <c r="F39" i="9" s="1"/>
  <c r="F23" i="9"/>
  <c r="H76" i="8"/>
  <c r="H73" i="8"/>
  <c r="H176" i="8"/>
  <c r="H75" i="8"/>
  <c r="H71" i="8"/>
  <c r="G11" i="9"/>
  <c r="G18" i="9"/>
  <c r="F73" i="8"/>
  <c r="F76" i="8"/>
  <c r="F176" i="8"/>
  <c r="F75" i="8"/>
  <c r="F71" i="8"/>
  <c r="H11" i="9"/>
  <c r="H18" i="9"/>
  <c r="R66" i="4"/>
  <c r="Q58" i="4"/>
  <c r="R62" i="4"/>
  <c r="Q51" i="4"/>
  <c r="Q15" i="4"/>
  <c r="Q60" i="4"/>
  <c r="R46" i="4"/>
  <c r="U91" i="8"/>
  <c r="S130" i="8"/>
  <c r="U49" i="8"/>
  <c r="R45" i="7"/>
  <c r="R43" i="7"/>
  <c r="R49" i="7"/>
  <c r="R41" i="7"/>
  <c r="R61" i="7"/>
  <c r="R55" i="7"/>
  <c r="R47" i="7"/>
  <c r="R63" i="7"/>
  <c r="R53" i="7"/>
  <c r="R182" i="7"/>
  <c r="Q184" i="7"/>
  <c r="R57" i="7"/>
  <c r="R59" i="7"/>
  <c r="R51" i="7"/>
  <c r="I222" i="8" l="1"/>
  <c r="I224" i="8"/>
  <c r="L222" i="8"/>
  <c r="N222" i="8"/>
  <c r="O222" i="8" s="1"/>
  <c r="P222" i="8" s="1"/>
  <c r="Q222" i="8" s="1"/>
  <c r="R222" i="8" s="1"/>
  <c r="S222" i="8" s="1"/>
  <c r="T222" i="8" s="1"/>
  <c r="U222" i="8" s="1"/>
  <c r="V222" i="8" s="1"/>
  <c r="N224" i="8"/>
  <c r="O224" i="8" s="1"/>
  <c r="P224" i="8" s="1"/>
  <c r="Q224" i="8" s="1"/>
  <c r="R224" i="8" s="1"/>
  <c r="S224" i="8" s="1"/>
  <c r="T224" i="8" s="1"/>
  <c r="U224" i="8" s="1"/>
  <c r="V224" i="8" s="1"/>
  <c r="L224" i="8"/>
  <c r="L164" i="7"/>
  <c r="L130" i="7"/>
  <c r="L165" i="7"/>
  <c r="L20" i="7"/>
  <c r="L21" i="7" s="1"/>
  <c r="L147" i="7"/>
  <c r="S111" i="4"/>
  <c r="V170" i="8"/>
  <c r="M170" i="8"/>
  <c r="N170" i="8" s="1"/>
  <c r="O170" i="8" s="1"/>
  <c r="P170" i="8" s="1"/>
  <c r="Q170" i="8" s="1"/>
  <c r="R170" i="8" s="1"/>
  <c r="S170" i="8" s="1"/>
  <c r="T170" i="8" s="1"/>
  <c r="U170" i="8" s="1"/>
  <c r="F78" i="8"/>
  <c r="F79" i="8"/>
  <c r="G78" i="8"/>
  <c r="G79" i="8"/>
  <c r="H21" i="9"/>
  <c r="H24" i="9" s="1"/>
  <c r="H26" i="9" s="1"/>
  <c r="H31" i="9" s="1"/>
  <c r="H39" i="9" s="1"/>
  <c r="H23" i="9"/>
  <c r="H19" i="9"/>
  <c r="H183" i="8"/>
  <c r="H188" i="8" s="1"/>
  <c r="H182" i="8"/>
  <c r="H186" i="8" s="1"/>
  <c r="H175" i="8"/>
  <c r="F183" i="8"/>
  <c r="F188" i="8" s="1"/>
  <c r="F182" i="8"/>
  <c r="F186" i="8" s="1"/>
  <c r="F175" i="8"/>
  <c r="G21" i="9"/>
  <c r="G24" i="9" s="1"/>
  <c r="G26" i="9" s="1"/>
  <c r="G19" i="9"/>
  <c r="G23" i="9"/>
  <c r="I23" i="9"/>
  <c r="I21" i="9"/>
  <c r="I24" i="9" s="1"/>
  <c r="I26" i="9" s="1"/>
  <c r="I19" i="9"/>
  <c r="I176" i="8"/>
  <c r="I75" i="8"/>
  <c r="I71" i="8"/>
  <c r="I76" i="8"/>
  <c r="I73" i="8"/>
  <c r="G183" i="8"/>
  <c r="G188" i="8" s="1"/>
  <c r="G182" i="8"/>
  <c r="G186" i="8" s="1"/>
  <c r="G175" i="8"/>
  <c r="H78" i="8"/>
  <c r="H79" i="8"/>
  <c r="S66" i="4"/>
  <c r="S46" i="4"/>
  <c r="R58" i="4"/>
  <c r="R15" i="4"/>
  <c r="S62" i="4"/>
  <c r="R60" i="4"/>
  <c r="R51" i="4"/>
  <c r="V91" i="8"/>
  <c r="T130" i="8"/>
  <c r="S57" i="7"/>
  <c r="S47" i="7"/>
  <c r="S41" i="7"/>
  <c r="S61" i="7"/>
  <c r="S182" i="7"/>
  <c r="R184" i="7"/>
  <c r="S43" i="7"/>
  <c r="S59" i="7"/>
  <c r="S45" i="7"/>
  <c r="S49" i="7"/>
  <c r="S63" i="7"/>
  <c r="S51" i="7"/>
  <c r="S55" i="7"/>
  <c r="S53" i="7"/>
  <c r="T111" i="4" l="1"/>
  <c r="L163" i="7"/>
  <c r="L22" i="7"/>
  <c r="G29" i="11"/>
  <c r="G28" i="11"/>
  <c r="G30" i="11"/>
  <c r="I182" i="8"/>
  <c r="I186" i="8" s="1"/>
  <c r="I175" i="8"/>
  <c r="I183" i="8"/>
  <c r="I188" i="8" s="1"/>
  <c r="I27" i="9"/>
  <c r="I31" i="9"/>
  <c r="I39" i="9" s="1"/>
  <c r="H29" i="11"/>
  <c r="H30" i="11"/>
  <c r="H28" i="11"/>
  <c r="H27" i="9"/>
  <c r="G27" i="9"/>
  <c r="G31" i="9"/>
  <c r="G39" i="9" s="1"/>
  <c r="F28" i="11"/>
  <c r="F29" i="11"/>
  <c r="F30" i="11"/>
  <c r="I79" i="8"/>
  <c r="I78" i="8"/>
  <c r="W76" i="8"/>
  <c r="K197" i="7"/>
  <c r="K198" i="7" s="1"/>
  <c r="V64" i="8"/>
  <c r="V63" i="8" s="1"/>
  <c r="V66" i="8"/>
  <c r="V65" i="8" s="1"/>
  <c r="V50" i="8"/>
  <c r="V49" i="8" s="1"/>
  <c r="V62" i="8"/>
  <c r="V61" i="8" s="1"/>
  <c r="V11" i="7"/>
  <c r="T66" i="4"/>
  <c r="S60" i="4"/>
  <c r="S58" i="4"/>
  <c r="T62" i="4"/>
  <c r="S51" i="4"/>
  <c r="S15" i="4"/>
  <c r="T46" i="4"/>
  <c r="U130" i="8"/>
  <c r="T41" i="7"/>
  <c r="T51" i="7"/>
  <c r="T59" i="7"/>
  <c r="T63" i="7"/>
  <c r="T47" i="7"/>
  <c r="T57" i="7"/>
  <c r="T43" i="7"/>
  <c r="T53" i="7"/>
  <c r="T61" i="7"/>
  <c r="T49" i="7"/>
  <c r="T55" i="7"/>
  <c r="T45" i="7"/>
  <c r="T182" i="7"/>
  <c r="S184" i="7"/>
  <c r="I768" i="2"/>
  <c r="H768" i="2"/>
  <c r="H23" i="2"/>
  <c r="I23" i="2"/>
  <c r="H24" i="2"/>
  <c r="I24" i="2"/>
  <c r="H25" i="2"/>
  <c r="I25" i="2"/>
  <c r="H26" i="2"/>
  <c r="I26" i="2"/>
  <c r="H27" i="2"/>
  <c r="I27" i="2"/>
  <c r="H28" i="2"/>
  <c r="I28" i="2"/>
  <c r="H29" i="2"/>
  <c r="I29" i="2"/>
  <c r="H30" i="2"/>
  <c r="I30" i="2"/>
  <c r="H31" i="2"/>
  <c r="I31" i="2"/>
  <c r="H32" i="2"/>
  <c r="I32" i="2"/>
  <c r="H33" i="2"/>
  <c r="I33" i="2"/>
  <c r="H34" i="2"/>
  <c r="I34" i="2"/>
  <c r="H35" i="2"/>
  <c r="I35" i="2"/>
  <c r="H36" i="2"/>
  <c r="I36" i="2"/>
  <c r="H37" i="2"/>
  <c r="I37" i="2"/>
  <c r="H38" i="2"/>
  <c r="I38" i="2"/>
  <c r="H39" i="2"/>
  <c r="I39" i="2"/>
  <c r="H40" i="2"/>
  <c r="I40" i="2"/>
  <c r="H41" i="2"/>
  <c r="I41" i="2"/>
  <c r="H42" i="2"/>
  <c r="I42" i="2"/>
  <c r="H43" i="2"/>
  <c r="I43" i="2"/>
  <c r="H44" i="2"/>
  <c r="I44" i="2"/>
  <c r="H45" i="2"/>
  <c r="I45" i="2"/>
  <c r="H46" i="2"/>
  <c r="I46" i="2"/>
  <c r="H47" i="2"/>
  <c r="I47" i="2"/>
  <c r="H48" i="2"/>
  <c r="I48" i="2"/>
  <c r="H49" i="2"/>
  <c r="I49" i="2"/>
  <c r="H50" i="2"/>
  <c r="I50" i="2"/>
  <c r="H51" i="2"/>
  <c r="I51" i="2"/>
  <c r="H52" i="2"/>
  <c r="I52" i="2"/>
  <c r="H53" i="2"/>
  <c r="I53" i="2"/>
  <c r="H54" i="2"/>
  <c r="I54" i="2"/>
  <c r="H55" i="2"/>
  <c r="I55" i="2"/>
  <c r="H56" i="2"/>
  <c r="I56" i="2"/>
  <c r="H57" i="2"/>
  <c r="I57" i="2"/>
  <c r="H58" i="2"/>
  <c r="I58" i="2"/>
  <c r="H59" i="2"/>
  <c r="I59" i="2"/>
  <c r="H60" i="2"/>
  <c r="I60" i="2"/>
  <c r="H61" i="2"/>
  <c r="I61" i="2"/>
  <c r="H62" i="2"/>
  <c r="I62" i="2"/>
  <c r="H63" i="2"/>
  <c r="I63" i="2"/>
  <c r="H64" i="2"/>
  <c r="I64" i="2"/>
  <c r="H65" i="2"/>
  <c r="I65" i="2"/>
  <c r="H66" i="2"/>
  <c r="I66" i="2"/>
  <c r="H67" i="2"/>
  <c r="I67" i="2"/>
  <c r="H68" i="2"/>
  <c r="I68" i="2"/>
  <c r="H69" i="2"/>
  <c r="I69" i="2"/>
  <c r="H70" i="2"/>
  <c r="I70" i="2"/>
  <c r="H71" i="2"/>
  <c r="I71" i="2"/>
  <c r="H72" i="2"/>
  <c r="I72" i="2"/>
  <c r="H73" i="2"/>
  <c r="I73" i="2"/>
  <c r="H74" i="2"/>
  <c r="I74" i="2"/>
  <c r="H75" i="2"/>
  <c r="I75" i="2"/>
  <c r="H76" i="2"/>
  <c r="I76" i="2"/>
  <c r="H77" i="2"/>
  <c r="I77" i="2"/>
  <c r="H78" i="2"/>
  <c r="I78" i="2"/>
  <c r="H79" i="2"/>
  <c r="I79" i="2"/>
  <c r="H80" i="2"/>
  <c r="I80" i="2"/>
  <c r="H81" i="2"/>
  <c r="I81" i="2"/>
  <c r="H82" i="2"/>
  <c r="I82" i="2"/>
  <c r="H83" i="2"/>
  <c r="I83" i="2"/>
  <c r="H84" i="2"/>
  <c r="I84" i="2"/>
  <c r="H85" i="2"/>
  <c r="I85" i="2"/>
  <c r="H86" i="2"/>
  <c r="I86" i="2"/>
  <c r="H87" i="2"/>
  <c r="I87" i="2"/>
  <c r="H88" i="2"/>
  <c r="I88" i="2"/>
  <c r="H89" i="2"/>
  <c r="I89" i="2"/>
  <c r="H90" i="2"/>
  <c r="I90" i="2"/>
  <c r="H91" i="2"/>
  <c r="I91" i="2"/>
  <c r="H92" i="2"/>
  <c r="I92" i="2"/>
  <c r="H93" i="2"/>
  <c r="I93" i="2"/>
  <c r="H94" i="2"/>
  <c r="I94" i="2"/>
  <c r="H95" i="2"/>
  <c r="I95" i="2"/>
  <c r="H96" i="2"/>
  <c r="I96" i="2"/>
  <c r="H97" i="2"/>
  <c r="I97" i="2"/>
  <c r="H98" i="2"/>
  <c r="I98" i="2"/>
  <c r="H99" i="2"/>
  <c r="I99" i="2"/>
  <c r="H100" i="2"/>
  <c r="I100" i="2"/>
  <c r="H101" i="2"/>
  <c r="I101" i="2"/>
  <c r="H102" i="2"/>
  <c r="I102" i="2"/>
  <c r="H103" i="2"/>
  <c r="I103" i="2"/>
  <c r="H104" i="2"/>
  <c r="I104" i="2"/>
  <c r="H105" i="2"/>
  <c r="I105" i="2"/>
  <c r="H106" i="2"/>
  <c r="I106" i="2"/>
  <c r="H107" i="2"/>
  <c r="I107" i="2"/>
  <c r="H108" i="2"/>
  <c r="I108" i="2"/>
  <c r="H109" i="2"/>
  <c r="I109" i="2"/>
  <c r="H110" i="2"/>
  <c r="I110" i="2"/>
  <c r="H111" i="2"/>
  <c r="I111" i="2"/>
  <c r="H112" i="2"/>
  <c r="I112" i="2"/>
  <c r="H113" i="2"/>
  <c r="I113" i="2"/>
  <c r="H114" i="2"/>
  <c r="I114" i="2"/>
  <c r="H115" i="2"/>
  <c r="I115" i="2"/>
  <c r="H116" i="2"/>
  <c r="I116" i="2"/>
  <c r="H117" i="2"/>
  <c r="I117" i="2"/>
  <c r="H118" i="2"/>
  <c r="I118" i="2"/>
  <c r="H119" i="2"/>
  <c r="I119" i="2"/>
  <c r="H120" i="2"/>
  <c r="I120" i="2"/>
  <c r="H121" i="2"/>
  <c r="I121" i="2"/>
  <c r="H122" i="2"/>
  <c r="I122" i="2"/>
  <c r="H123" i="2"/>
  <c r="I123" i="2"/>
  <c r="H124" i="2"/>
  <c r="I124" i="2"/>
  <c r="H125" i="2"/>
  <c r="I125" i="2"/>
  <c r="H126" i="2"/>
  <c r="I126" i="2"/>
  <c r="H127" i="2"/>
  <c r="I127" i="2"/>
  <c r="H128" i="2"/>
  <c r="I128" i="2"/>
  <c r="H129" i="2"/>
  <c r="I129" i="2"/>
  <c r="H130" i="2"/>
  <c r="I130" i="2"/>
  <c r="H131" i="2"/>
  <c r="I131" i="2"/>
  <c r="H132" i="2"/>
  <c r="I132" i="2"/>
  <c r="H133" i="2"/>
  <c r="I133" i="2"/>
  <c r="H134" i="2"/>
  <c r="I134" i="2"/>
  <c r="H135" i="2"/>
  <c r="I135" i="2"/>
  <c r="H136" i="2"/>
  <c r="I136" i="2"/>
  <c r="H137" i="2"/>
  <c r="I137" i="2"/>
  <c r="H138" i="2"/>
  <c r="I138" i="2"/>
  <c r="H139" i="2"/>
  <c r="I139" i="2"/>
  <c r="H140" i="2"/>
  <c r="I140" i="2"/>
  <c r="H141" i="2"/>
  <c r="I141" i="2"/>
  <c r="H142" i="2"/>
  <c r="I142" i="2"/>
  <c r="H143" i="2"/>
  <c r="I143" i="2"/>
  <c r="H144" i="2"/>
  <c r="I144" i="2"/>
  <c r="H145" i="2"/>
  <c r="I145" i="2"/>
  <c r="H146" i="2"/>
  <c r="I146" i="2"/>
  <c r="H147" i="2"/>
  <c r="I147" i="2"/>
  <c r="H148" i="2"/>
  <c r="I148" i="2"/>
  <c r="H149" i="2"/>
  <c r="I149" i="2"/>
  <c r="H150" i="2"/>
  <c r="I150" i="2"/>
  <c r="H151" i="2"/>
  <c r="I151" i="2"/>
  <c r="H152" i="2"/>
  <c r="I152" i="2"/>
  <c r="H153" i="2"/>
  <c r="I153" i="2"/>
  <c r="H154" i="2"/>
  <c r="I154" i="2"/>
  <c r="H155" i="2"/>
  <c r="I155" i="2"/>
  <c r="H156" i="2"/>
  <c r="I156" i="2"/>
  <c r="H157" i="2"/>
  <c r="I157" i="2"/>
  <c r="H158" i="2"/>
  <c r="I158" i="2"/>
  <c r="H159" i="2"/>
  <c r="I159" i="2"/>
  <c r="H160" i="2"/>
  <c r="I160" i="2"/>
  <c r="H161" i="2"/>
  <c r="I161" i="2"/>
  <c r="H162" i="2"/>
  <c r="I162" i="2"/>
  <c r="H163" i="2"/>
  <c r="I163" i="2"/>
  <c r="H164" i="2"/>
  <c r="I164" i="2"/>
  <c r="H165" i="2"/>
  <c r="I165" i="2"/>
  <c r="H166" i="2"/>
  <c r="I166" i="2"/>
  <c r="H167" i="2"/>
  <c r="I167" i="2"/>
  <c r="H168" i="2"/>
  <c r="I168" i="2"/>
  <c r="H169" i="2"/>
  <c r="I169" i="2"/>
  <c r="H170" i="2"/>
  <c r="I170" i="2"/>
  <c r="H171" i="2"/>
  <c r="I171" i="2"/>
  <c r="H172" i="2"/>
  <c r="I172" i="2"/>
  <c r="H173" i="2"/>
  <c r="I173" i="2"/>
  <c r="H174" i="2"/>
  <c r="I174" i="2"/>
  <c r="H175" i="2"/>
  <c r="I175" i="2"/>
  <c r="H176" i="2"/>
  <c r="I176" i="2"/>
  <c r="H177" i="2"/>
  <c r="I177" i="2"/>
  <c r="H178" i="2"/>
  <c r="I178" i="2"/>
  <c r="H179" i="2"/>
  <c r="I179" i="2"/>
  <c r="H180" i="2"/>
  <c r="I180" i="2"/>
  <c r="H181" i="2"/>
  <c r="I181" i="2"/>
  <c r="H182" i="2"/>
  <c r="I182" i="2"/>
  <c r="H183" i="2"/>
  <c r="I183" i="2"/>
  <c r="H184" i="2"/>
  <c r="I184" i="2"/>
  <c r="H185" i="2"/>
  <c r="I185" i="2"/>
  <c r="H186" i="2"/>
  <c r="I186" i="2"/>
  <c r="H187" i="2"/>
  <c r="I187" i="2"/>
  <c r="H188" i="2"/>
  <c r="I188" i="2"/>
  <c r="H189" i="2"/>
  <c r="I189" i="2"/>
  <c r="H190" i="2"/>
  <c r="I190" i="2"/>
  <c r="H191" i="2"/>
  <c r="I191" i="2"/>
  <c r="H192" i="2"/>
  <c r="I192" i="2"/>
  <c r="H193" i="2"/>
  <c r="I193" i="2"/>
  <c r="H194" i="2"/>
  <c r="I194" i="2"/>
  <c r="H195" i="2"/>
  <c r="I195" i="2"/>
  <c r="H196" i="2"/>
  <c r="I196" i="2"/>
  <c r="H197" i="2"/>
  <c r="I197" i="2"/>
  <c r="H198" i="2"/>
  <c r="I198" i="2"/>
  <c r="H199" i="2"/>
  <c r="I199" i="2"/>
  <c r="H200" i="2"/>
  <c r="I200" i="2"/>
  <c r="H201" i="2"/>
  <c r="I201" i="2"/>
  <c r="H202" i="2"/>
  <c r="I202" i="2"/>
  <c r="H203" i="2"/>
  <c r="I203" i="2"/>
  <c r="H204" i="2"/>
  <c r="I204" i="2"/>
  <c r="H205" i="2"/>
  <c r="I205" i="2"/>
  <c r="H206" i="2"/>
  <c r="I206" i="2"/>
  <c r="H207" i="2"/>
  <c r="I207" i="2"/>
  <c r="H208" i="2"/>
  <c r="I208" i="2"/>
  <c r="H209" i="2"/>
  <c r="I209" i="2"/>
  <c r="H210" i="2"/>
  <c r="I210" i="2"/>
  <c r="H211" i="2"/>
  <c r="I211" i="2"/>
  <c r="H212" i="2"/>
  <c r="I212" i="2"/>
  <c r="H213" i="2"/>
  <c r="I213" i="2"/>
  <c r="H214" i="2"/>
  <c r="I214" i="2"/>
  <c r="H215" i="2"/>
  <c r="I215" i="2"/>
  <c r="H216" i="2"/>
  <c r="I216" i="2"/>
  <c r="H217" i="2"/>
  <c r="I217" i="2"/>
  <c r="H218" i="2"/>
  <c r="I218" i="2"/>
  <c r="H219" i="2"/>
  <c r="I219" i="2"/>
  <c r="H220" i="2"/>
  <c r="I220" i="2"/>
  <c r="H221" i="2"/>
  <c r="I221" i="2"/>
  <c r="H222" i="2"/>
  <c r="I222" i="2"/>
  <c r="H223" i="2"/>
  <c r="I223" i="2"/>
  <c r="H224" i="2"/>
  <c r="I224" i="2"/>
  <c r="H225" i="2"/>
  <c r="I225" i="2"/>
  <c r="H226" i="2"/>
  <c r="I226" i="2"/>
  <c r="H227" i="2"/>
  <c r="I227" i="2"/>
  <c r="H228" i="2"/>
  <c r="I228" i="2"/>
  <c r="H229" i="2"/>
  <c r="I229" i="2"/>
  <c r="H230" i="2"/>
  <c r="I230" i="2"/>
  <c r="H231" i="2"/>
  <c r="I231" i="2"/>
  <c r="H232" i="2"/>
  <c r="I232" i="2"/>
  <c r="H233" i="2"/>
  <c r="I233" i="2"/>
  <c r="H234" i="2"/>
  <c r="I234" i="2"/>
  <c r="H235" i="2"/>
  <c r="I235" i="2"/>
  <c r="H236" i="2"/>
  <c r="I236" i="2"/>
  <c r="H237" i="2"/>
  <c r="I237" i="2"/>
  <c r="H238" i="2"/>
  <c r="I238" i="2"/>
  <c r="H239" i="2"/>
  <c r="I239" i="2"/>
  <c r="H240" i="2"/>
  <c r="I240" i="2"/>
  <c r="H241" i="2"/>
  <c r="I241" i="2"/>
  <c r="H242" i="2"/>
  <c r="I242" i="2"/>
  <c r="H243" i="2"/>
  <c r="I243" i="2"/>
  <c r="H244" i="2"/>
  <c r="I244" i="2"/>
  <c r="H245" i="2"/>
  <c r="I245" i="2"/>
  <c r="H246" i="2"/>
  <c r="I246" i="2"/>
  <c r="H247" i="2"/>
  <c r="I247" i="2"/>
  <c r="H248" i="2"/>
  <c r="I248" i="2"/>
  <c r="H249" i="2"/>
  <c r="I249" i="2"/>
  <c r="H250" i="2"/>
  <c r="I250" i="2"/>
  <c r="H251" i="2"/>
  <c r="I251" i="2"/>
  <c r="H252" i="2"/>
  <c r="I252" i="2"/>
  <c r="H253" i="2"/>
  <c r="I253" i="2"/>
  <c r="H254" i="2"/>
  <c r="I254" i="2"/>
  <c r="H255" i="2"/>
  <c r="I255" i="2"/>
  <c r="H256" i="2"/>
  <c r="I256" i="2"/>
  <c r="H257" i="2"/>
  <c r="I257" i="2"/>
  <c r="H258" i="2"/>
  <c r="I258" i="2"/>
  <c r="H259" i="2"/>
  <c r="I259" i="2"/>
  <c r="H260" i="2"/>
  <c r="I260" i="2"/>
  <c r="H261" i="2"/>
  <c r="I261" i="2"/>
  <c r="H262" i="2"/>
  <c r="I262" i="2"/>
  <c r="H263" i="2"/>
  <c r="I263" i="2"/>
  <c r="H264" i="2"/>
  <c r="I264" i="2"/>
  <c r="H265" i="2"/>
  <c r="I265" i="2"/>
  <c r="H266" i="2"/>
  <c r="I266" i="2"/>
  <c r="H267" i="2"/>
  <c r="I267" i="2"/>
  <c r="H268" i="2"/>
  <c r="I268" i="2"/>
  <c r="H269" i="2"/>
  <c r="I269" i="2"/>
  <c r="H270" i="2"/>
  <c r="I270" i="2"/>
  <c r="H271" i="2"/>
  <c r="I271" i="2"/>
  <c r="H272" i="2"/>
  <c r="I272" i="2"/>
  <c r="H273" i="2"/>
  <c r="I273" i="2"/>
  <c r="H274" i="2"/>
  <c r="I274" i="2"/>
  <c r="H275" i="2"/>
  <c r="I275" i="2"/>
  <c r="H276" i="2"/>
  <c r="I276" i="2"/>
  <c r="H277" i="2"/>
  <c r="I277" i="2"/>
  <c r="H278" i="2"/>
  <c r="I278" i="2"/>
  <c r="H279" i="2"/>
  <c r="I279" i="2"/>
  <c r="H280" i="2"/>
  <c r="I280" i="2"/>
  <c r="H281" i="2"/>
  <c r="I281" i="2"/>
  <c r="H282" i="2"/>
  <c r="I282" i="2"/>
  <c r="H283" i="2"/>
  <c r="I283" i="2"/>
  <c r="H284" i="2"/>
  <c r="I284" i="2"/>
  <c r="H285" i="2"/>
  <c r="I285" i="2"/>
  <c r="H286" i="2"/>
  <c r="I286" i="2"/>
  <c r="H287" i="2"/>
  <c r="I287" i="2"/>
  <c r="H288" i="2"/>
  <c r="I288" i="2"/>
  <c r="H289" i="2"/>
  <c r="I289" i="2"/>
  <c r="H290" i="2"/>
  <c r="I290" i="2"/>
  <c r="H291" i="2"/>
  <c r="I291" i="2"/>
  <c r="H292" i="2"/>
  <c r="I292" i="2"/>
  <c r="H293" i="2"/>
  <c r="I293" i="2"/>
  <c r="H294" i="2"/>
  <c r="I294" i="2"/>
  <c r="H295" i="2"/>
  <c r="I295" i="2"/>
  <c r="H296" i="2"/>
  <c r="I296" i="2"/>
  <c r="H297" i="2"/>
  <c r="I297" i="2"/>
  <c r="H298" i="2"/>
  <c r="I298" i="2"/>
  <c r="H299" i="2"/>
  <c r="I299" i="2"/>
  <c r="H300" i="2"/>
  <c r="I300" i="2"/>
  <c r="H301" i="2"/>
  <c r="I301" i="2"/>
  <c r="H302" i="2"/>
  <c r="I302" i="2"/>
  <c r="H303" i="2"/>
  <c r="I303" i="2"/>
  <c r="H304" i="2"/>
  <c r="I304" i="2"/>
  <c r="H305" i="2"/>
  <c r="I305" i="2"/>
  <c r="H306" i="2"/>
  <c r="I306" i="2"/>
  <c r="H307" i="2"/>
  <c r="I307" i="2"/>
  <c r="H308" i="2"/>
  <c r="I308" i="2"/>
  <c r="H309" i="2"/>
  <c r="I309" i="2"/>
  <c r="H310" i="2"/>
  <c r="I310" i="2"/>
  <c r="H311" i="2"/>
  <c r="I311" i="2"/>
  <c r="H312" i="2"/>
  <c r="I312" i="2"/>
  <c r="H313" i="2"/>
  <c r="I313" i="2"/>
  <c r="H314" i="2"/>
  <c r="I314" i="2"/>
  <c r="H315" i="2"/>
  <c r="I315" i="2"/>
  <c r="H316" i="2"/>
  <c r="I316" i="2"/>
  <c r="H317" i="2"/>
  <c r="I317" i="2"/>
  <c r="H318" i="2"/>
  <c r="I318" i="2"/>
  <c r="H319" i="2"/>
  <c r="I319" i="2"/>
  <c r="H320" i="2"/>
  <c r="I320" i="2"/>
  <c r="H321" i="2"/>
  <c r="I321" i="2"/>
  <c r="H322" i="2"/>
  <c r="I322" i="2"/>
  <c r="H323" i="2"/>
  <c r="I323" i="2"/>
  <c r="H324" i="2"/>
  <c r="I324" i="2"/>
  <c r="H325" i="2"/>
  <c r="I325" i="2"/>
  <c r="H326" i="2"/>
  <c r="I326" i="2"/>
  <c r="H327" i="2"/>
  <c r="I327" i="2"/>
  <c r="H328" i="2"/>
  <c r="I328" i="2"/>
  <c r="H329" i="2"/>
  <c r="I329" i="2"/>
  <c r="H330" i="2"/>
  <c r="I330" i="2"/>
  <c r="H331" i="2"/>
  <c r="I331" i="2"/>
  <c r="H332" i="2"/>
  <c r="I332" i="2"/>
  <c r="H333" i="2"/>
  <c r="I333" i="2"/>
  <c r="H334" i="2"/>
  <c r="I334" i="2"/>
  <c r="H335" i="2"/>
  <c r="I335" i="2"/>
  <c r="H336" i="2"/>
  <c r="I336" i="2"/>
  <c r="H337" i="2"/>
  <c r="I337" i="2"/>
  <c r="H338" i="2"/>
  <c r="I338" i="2"/>
  <c r="H339" i="2"/>
  <c r="I339" i="2"/>
  <c r="H340" i="2"/>
  <c r="I340" i="2"/>
  <c r="H341" i="2"/>
  <c r="I341" i="2"/>
  <c r="H342" i="2"/>
  <c r="I342" i="2"/>
  <c r="H343" i="2"/>
  <c r="I343" i="2"/>
  <c r="H344" i="2"/>
  <c r="I344" i="2"/>
  <c r="H345" i="2"/>
  <c r="I345" i="2"/>
  <c r="H346" i="2"/>
  <c r="I346" i="2"/>
  <c r="H347" i="2"/>
  <c r="I347" i="2"/>
  <c r="H348" i="2"/>
  <c r="I348" i="2"/>
  <c r="H349" i="2"/>
  <c r="I349" i="2"/>
  <c r="H350" i="2"/>
  <c r="I350" i="2"/>
  <c r="H351" i="2"/>
  <c r="I351" i="2"/>
  <c r="H352" i="2"/>
  <c r="I352" i="2"/>
  <c r="H353" i="2"/>
  <c r="I353" i="2"/>
  <c r="H354" i="2"/>
  <c r="I354" i="2"/>
  <c r="H355" i="2"/>
  <c r="I355" i="2"/>
  <c r="H356" i="2"/>
  <c r="I356" i="2"/>
  <c r="H357" i="2"/>
  <c r="I357" i="2"/>
  <c r="H358" i="2"/>
  <c r="I358" i="2"/>
  <c r="H359" i="2"/>
  <c r="I359" i="2"/>
  <c r="H360" i="2"/>
  <c r="I360" i="2"/>
  <c r="H361" i="2"/>
  <c r="I361" i="2"/>
  <c r="H362" i="2"/>
  <c r="I362" i="2"/>
  <c r="H363" i="2"/>
  <c r="I363" i="2"/>
  <c r="H364" i="2"/>
  <c r="I364" i="2"/>
  <c r="H365" i="2"/>
  <c r="I365" i="2"/>
  <c r="H366" i="2"/>
  <c r="I366" i="2"/>
  <c r="H367" i="2"/>
  <c r="I367" i="2"/>
  <c r="H368" i="2"/>
  <c r="I368" i="2"/>
  <c r="H369" i="2"/>
  <c r="I369" i="2"/>
  <c r="H370" i="2"/>
  <c r="I370" i="2"/>
  <c r="H371" i="2"/>
  <c r="I371" i="2"/>
  <c r="H372" i="2"/>
  <c r="I372" i="2"/>
  <c r="H373" i="2"/>
  <c r="I373" i="2"/>
  <c r="H374" i="2"/>
  <c r="I374" i="2"/>
  <c r="H375" i="2"/>
  <c r="I375" i="2"/>
  <c r="H376" i="2"/>
  <c r="I376" i="2"/>
  <c r="H377" i="2"/>
  <c r="I377" i="2"/>
  <c r="H378" i="2"/>
  <c r="I378" i="2"/>
  <c r="H379" i="2"/>
  <c r="I379" i="2"/>
  <c r="H380" i="2"/>
  <c r="I380" i="2"/>
  <c r="H381" i="2"/>
  <c r="I381" i="2"/>
  <c r="H382" i="2"/>
  <c r="I382" i="2"/>
  <c r="H383" i="2"/>
  <c r="I383" i="2"/>
  <c r="H384" i="2"/>
  <c r="I384" i="2"/>
  <c r="H385" i="2"/>
  <c r="I385" i="2"/>
  <c r="H386" i="2"/>
  <c r="I386" i="2"/>
  <c r="H387" i="2"/>
  <c r="I387" i="2"/>
  <c r="H388" i="2"/>
  <c r="I388" i="2"/>
  <c r="H389" i="2"/>
  <c r="I389" i="2"/>
  <c r="H390" i="2"/>
  <c r="I390" i="2"/>
  <c r="H391" i="2"/>
  <c r="I391" i="2"/>
  <c r="H392" i="2"/>
  <c r="I392" i="2"/>
  <c r="H393" i="2"/>
  <c r="I393" i="2"/>
  <c r="H394" i="2"/>
  <c r="I394" i="2"/>
  <c r="H395" i="2"/>
  <c r="I395" i="2"/>
  <c r="H396" i="2"/>
  <c r="I396" i="2"/>
  <c r="H397" i="2"/>
  <c r="I397" i="2"/>
  <c r="H398" i="2"/>
  <c r="I398" i="2"/>
  <c r="H399" i="2"/>
  <c r="I399" i="2"/>
  <c r="H400" i="2"/>
  <c r="I400" i="2"/>
  <c r="H401" i="2"/>
  <c r="I401" i="2"/>
  <c r="H402" i="2"/>
  <c r="I402" i="2"/>
  <c r="H403" i="2"/>
  <c r="I403" i="2"/>
  <c r="H404" i="2"/>
  <c r="I404" i="2"/>
  <c r="H405" i="2"/>
  <c r="I405" i="2"/>
  <c r="H406" i="2"/>
  <c r="I406" i="2"/>
  <c r="H407" i="2"/>
  <c r="I407" i="2"/>
  <c r="H408" i="2"/>
  <c r="I408" i="2"/>
  <c r="H409" i="2"/>
  <c r="I409" i="2"/>
  <c r="H410" i="2"/>
  <c r="I410" i="2"/>
  <c r="H411" i="2"/>
  <c r="I411" i="2"/>
  <c r="H412" i="2"/>
  <c r="I412" i="2"/>
  <c r="H413" i="2"/>
  <c r="I413" i="2"/>
  <c r="H414" i="2"/>
  <c r="I414" i="2"/>
  <c r="H415" i="2"/>
  <c r="I415" i="2"/>
  <c r="H416" i="2"/>
  <c r="I416" i="2"/>
  <c r="H417" i="2"/>
  <c r="I417" i="2"/>
  <c r="H418" i="2"/>
  <c r="I418" i="2"/>
  <c r="H419" i="2"/>
  <c r="I419" i="2"/>
  <c r="H420" i="2"/>
  <c r="I420" i="2"/>
  <c r="H421" i="2"/>
  <c r="I421" i="2"/>
  <c r="H422" i="2"/>
  <c r="I422" i="2"/>
  <c r="H423" i="2"/>
  <c r="I423" i="2"/>
  <c r="H424" i="2"/>
  <c r="I424" i="2"/>
  <c r="H425" i="2"/>
  <c r="I425" i="2"/>
  <c r="H426" i="2"/>
  <c r="I426" i="2"/>
  <c r="H427" i="2"/>
  <c r="I427" i="2"/>
  <c r="H428" i="2"/>
  <c r="I428" i="2"/>
  <c r="H429" i="2"/>
  <c r="I429" i="2"/>
  <c r="H430" i="2"/>
  <c r="I430" i="2"/>
  <c r="H431" i="2"/>
  <c r="I431" i="2"/>
  <c r="H432" i="2"/>
  <c r="I432" i="2"/>
  <c r="H433" i="2"/>
  <c r="I433" i="2"/>
  <c r="H434" i="2"/>
  <c r="I434" i="2"/>
  <c r="H435" i="2"/>
  <c r="I435" i="2"/>
  <c r="H436" i="2"/>
  <c r="I436" i="2"/>
  <c r="H437" i="2"/>
  <c r="I437" i="2"/>
  <c r="H438" i="2"/>
  <c r="I438" i="2"/>
  <c r="H439" i="2"/>
  <c r="I439" i="2"/>
  <c r="H440" i="2"/>
  <c r="I440" i="2"/>
  <c r="H441" i="2"/>
  <c r="I441" i="2"/>
  <c r="H442" i="2"/>
  <c r="I442" i="2"/>
  <c r="H443" i="2"/>
  <c r="I443" i="2"/>
  <c r="H444" i="2"/>
  <c r="I444" i="2"/>
  <c r="H445" i="2"/>
  <c r="I445" i="2"/>
  <c r="H446" i="2"/>
  <c r="I446" i="2"/>
  <c r="H447" i="2"/>
  <c r="I447" i="2"/>
  <c r="H448" i="2"/>
  <c r="I448" i="2"/>
  <c r="H449" i="2"/>
  <c r="I449" i="2"/>
  <c r="H450" i="2"/>
  <c r="I450" i="2"/>
  <c r="H451" i="2"/>
  <c r="I451" i="2"/>
  <c r="H452" i="2"/>
  <c r="I452" i="2"/>
  <c r="H453" i="2"/>
  <c r="I453" i="2"/>
  <c r="H454" i="2"/>
  <c r="I454" i="2"/>
  <c r="H455" i="2"/>
  <c r="I455" i="2"/>
  <c r="H456" i="2"/>
  <c r="I456" i="2"/>
  <c r="H457" i="2"/>
  <c r="I457" i="2"/>
  <c r="H458" i="2"/>
  <c r="I458" i="2"/>
  <c r="H459" i="2"/>
  <c r="I459" i="2"/>
  <c r="H460" i="2"/>
  <c r="I460" i="2"/>
  <c r="H461" i="2"/>
  <c r="I461" i="2"/>
  <c r="H462" i="2"/>
  <c r="I462" i="2"/>
  <c r="H463" i="2"/>
  <c r="I463" i="2"/>
  <c r="H464" i="2"/>
  <c r="I464" i="2"/>
  <c r="H465" i="2"/>
  <c r="I465" i="2"/>
  <c r="H466" i="2"/>
  <c r="I466" i="2"/>
  <c r="H467" i="2"/>
  <c r="I467" i="2"/>
  <c r="H468" i="2"/>
  <c r="I468" i="2"/>
  <c r="H469" i="2"/>
  <c r="I469" i="2"/>
  <c r="H470" i="2"/>
  <c r="I470" i="2"/>
  <c r="H471" i="2"/>
  <c r="I471" i="2"/>
  <c r="H472" i="2"/>
  <c r="I472" i="2"/>
  <c r="H473" i="2"/>
  <c r="I473" i="2"/>
  <c r="H474" i="2"/>
  <c r="I474" i="2"/>
  <c r="H475" i="2"/>
  <c r="I475" i="2"/>
  <c r="H476" i="2"/>
  <c r="I476" i="2"/>
  <c r="H477" i="2"/>
  <c r="I477" i="2"/>
  <c r="H478" i="2"/>
  <c r="I478" i="2"/>
  <c r="H479" i="2"/>
  <c r="I479" i="2"/>
  <c r="H480" i="2"/>
  <c r="I480" i="2"/>
  <c r="H481" i="2"/>
  <c r="I481" i="2"/>
  <c r="H482" i="2"/>
  <c r="I482" i="2"/>
  <c r="H483" i="2"/>
  <c r="I483" i="2"/>
  <c r="H484" i="2"/>
  <c r="I484" i="2"/>
  <c r="H485" i="2"/>
  <c r="I485" i="2"/>
  <c r="H486" i="2"/>
  <c r="I486" i="2"/>
  <c r="H487" i="2"/>
  <c r="I487" i="2"/>
  <c r="H488" i="2"/>
  <c r="I488" i="2"/>
  <c r="H489" i="2"/>
  <c r="I489" i="2"/>
  <c r="H490" i="2"/>
  <c r="I490" i="2"/>
  <c r="H491" i="2"/>
  <c r="I491" i="2"/>
  <c r="H492" i="2"/>
  <c r="I492" i="2"/>
  <c r="H493" i="2"/>
  <c r="I493" i="2"/>
  <c r="H494" i="2"/>
  <c r="I494" i="2"/>
  <c r="H495" i="2"/>
  <c r="I495" i="2"/>
  <c r="H496" i="2"/>
  <c r="I496" i="2"/>
  <c r="H497" i="2"/>
  <c r="I497" i="2"/>
  <c r="H498" i="2"/>
  <c r="I498" i="2"/>
  <c r="H499" i="2"/>
  <c r="I499" i="2"/>
  <c r="H500" i="2"/>
  <c r="I500" i="2"/>
  <c r="H501" i="2"/>
  <c r="I501" i="2"/>
  <c r="H502" i="2"/>
  <c r="I502" i="2"/>
  <c r="H503" i="2"/>
  <c r="I503" i="2"/>
  <c r="H504" i="2"/>
  <c r="I504" i="2"/>
  <c r="H505" i="2"/>
  <c r="I505" i="2"/>
  <c r="H506" i="2"/>
  <c r="I506" i="2"/>
  <c r="H507" i="2"/>
  <c r="I507" i="2"/>
  <c r="H508" i="2"/>
  <c r="I508" i="2"/>
  <c r="H509" i="2"/>
  <c r="I509" i="2"/>
  <c r="H510" i="2"/>
  <c r="I510" i="2"/>
  <c r="H511" i="2"/>
  <c r="I511" i="2"/>
  <c r="H512" i="2"/>
  <c r="I512" i="2"/>
  <c r="H513" i="2"/>
  <c r="I513" i="2"/>
  <c r="H514" i="2"/>
  <c r="I514" i="2"/>
  <c r="H515" i="2"/>
  <c r="I515" i="2"/>
  <c r="H516" i="2"/>
  <c r="I516" i="2"/>
  <c r="H517" i="2"/>
  <c r="I517" i="2"/>
  <c r="H518" i="2"/>
  <c r="I518" i="2"/>
  <c r="H519" i="2"/>
  <c r="I519" i="2"/>
  <c r="H520" i="2"/>
  <c r="I520" i="2"/>
  <c r="H521" i="2"/>
  <c r="I521" i="2"/>
  <c r="H522" i="2"/>
  <c r="I522" i="2"/>
  <c r="H523" i="2"/>
  <c r="I523" i="2"/>
  <c r="H524" i="2"/>
  <c r="I524" i="2"/>
  <c r="H525" i="2"/>
  <c r="I525" i="2"/>
  <c r="H526" i="2"/>
  <c r="I526" i="2"/>
  <c r="H527" i="2"/>
  <c r="I527" i="2"/>
  <c r="H528" i="2"/>
  <c r="I528" i="2"/>
  <c r="H529" i="2"/>
  <c r="I529" i="2"/>
  <c r="H530" i="2"/>
  <c r="I530" i="2"/>
  <c r="H531" i="2"/>
  <c r="I531" i="2"/>
  <c r="H532" i="2"/>
  <c r="I532" i="2"/>
  <c r="H533" i="2"/>
  <c r="I533" i="2"/>
  <c r="H534" i="2"/>
  <c r="I534" i="2"/>
  <c r="H535" i="2"/>
  <c r="I535" i="2"/>
  <c r="H536" i="2"/>
  <c r="I536" i="2"/>
  <c r="H537" i="2"/>
  <c r="I537" i="2"/>
  <c r="H538" i="2"/>
  <c r="I538" i="2"/>
  <c r="H539" i="2"/>
  <c r="I539" i="2"/>
  <c r="H540" i="2"/>
  <c r="I540" i="2"/>
  <c r="H541" i="2"/>
  <c r="I541" i="2"/>
  <c r="H542" i="2"/>
  <c r="I542" i="2"/>
  <c r="H543" i="2"/>
  <c r="I543" i="2"/>
  <c r="H544" i="2"/>
  <c r="I544" i="2"/>
  <c r="H545" i="2"/>
  <c r="I545" i="2"/>
  <c r="H546" i="2"/>
  <c r="I546" i="2"/>
  <c r="H547" i="2"/>
  <c r="I547" i="2"/>
  <c r="H548" i="2"/>
  <c r="I548" i="2"/>
  <c r="H549" i="2"/>
  <c r="I549" i="2"/>
  <c r="H550" i="2"/>
  <c r="I550" i="2"/>
  <c r="H551" i="2"/>
  <c r="I551" i="2"/>
  <c r="H552" i="2"/>
  <c r="I552" i="2"/>
  <c r="H553" i="2"/>
  <c r="I553" i="2"/>
  <c r="H554" i="2"/>
  <c r="I554" i="2"/>
  <c r="H555" i="2"/>
  <c r="I555" i="2"/>
  <c r="H556" i="2"/>
  <c r="I556" i="2"/>
  <c r="H557" i="2"/>
  <c r="I557" i="2"/>
  <c r="H558" i="2"/>
  <c r="I558" i="2"/>
  <c r="H559" i="2"/>
  <c r="I559" i="2"/>
  <c r="H560" i="2"/>
  <c r="I560" i="2"/>
  <c r="H561" i="2"/>
  <c r="I561" i="2"/>
  <c r="H562" i="2"/>
  <c r="I562" i="2"/>
  <c r="H563" i="2"/>
  <c r="I563" i="2"/>
  <c r="H564" i="2"/>
  <c r="I564" i="2"/>
  <c r="H565" i="2"/>
  <c r="I565" i="2"/>
  <c r="H566" i="2"/>
  <c r="I566" i="2"/>
  <c r="H567" i="2"/>
  <c r="I567" i="2"/>
  <c r="H568" i="2"/>
  <c r="I568" i="2"/>
  <c r="H569" i="2"/>
  <c r="I569" i="2"/>
  <c r="H570" i="2"/>
  <c r="I570" i="2"/>
  <c r="H571" i="2"/>
  <c r="I571" i="2"/>
  <c r="H572" i="2"/>
  <c r="I572" i="2"/>
  <c r="H573" i="2"/>
  <c r="I573" i="2"/>
  <c r="H574" i="2"/>
  <c r="I574" i="2"/>
  <c r="H575" i="2"/>
  <c r="I575" i="2"/>
  <c r="H576" i="2"/>
  <c r="I576" i="2"/>
  <c r="H577" i="2"/>
  <c r="I577" i="2"/>
  <c r="H578" i="2"/>
  <c r="I578" i="2"/>
  <c r="H579" i="2"/>
  <c r="I579" i="2"/>
  <c r="H580" i="2"/>
  <c r="I580" i="2"/>
  <c r="H581" i="2"/>
  <c r="I581" i="2"/>
  <c r="H582" i="2"/>
  <c r="I582" i="2"/>
  <c r="H583" i="2"/>
  <c r="I583" i="2"/>
  <c r="H584" i="2"/>
  <c r="I584" i="2"/>
  <c r="H585" i="2"/>
  <c r="I585" i="2"/>
  <c r="H586" i="2"/>
  <c r="I586" i="2"/>
  <c r="H587" i="2"/>
  <c r="I587" i="2"/>
  <c r="H588" i="2"/>
  <c r="I588" i="2"/>
  <c r="H589" i="2"/>
  <c r="I589" i="2"/>
  <c r="H590" i="2"/>
  <c r="I590" i="2"/>
  <c r="H591" i="2"/>
  <c r="I591" i="2"/>
  <c r="H592" i="2"/>
  <c r="I592" i="2"/>
  <c r="H593" i="2"/>
  <c r="I593" i="2"/>
  <c r="H594" i="2"/>
  <c r="I594" i="2"/>
  <c r="H595" i="2"/>
  <c r="I595" i="2"/>
  <c r="H596" i="2"/>
  <c r="I596" i="2"/>
  <c r="H597" i="2"/>
  <c r="I597" i="2"/>
  <c r="H598" i="2"/>
  <c r="I598" i="2"/>
  <c r="H599" i="2"/>
  <c r="I599" i="2"/>
  <c r="H600" i="2"/>
  <c r="I600" i="2"/>
  <c r="H601" i="2"/>
  <c r="I601" i="2"/>
  <c r="H602" i="2"/>
  <c r="I602" i="2"/>
  <c r="H603" i="2"/>
  <c r="I603" i="2"/>
  <c r="H604" i="2"/>
  <c r="I604" i="2"/>
  <c r="H605" i="2"/>
  <c r="I605" i="2"/>
  <c r="H606" i="2"/>
  <c r="I606" i="2"/>
  <c r="H607" i="2"/>
  <c r="I607" i="2"/>
  <c r="H608" i="2"/>
  <c r="I608" i="2"/>
  <c r="H609" i="2"/>
  <c r="I609" i="2"/>
  <c r="H610" i="2"/>
  <c r="I610" i="2"/>
  <c r="H611" i="2"/>
  <c r="I611" i="2"/>
  <c r="H612" i="2"/>
  <c r="I612" i="2"/>
  <c r="H613" i="2"/>
  <c r="I613" i="2"/>
  <c r="H614" i="2"/>
  <c r="I614" i="2"/>
  <c r="H615" i="2"/>
  <c r="I615" i="2"/>
  <c r="H616" i="2"/>
  <c r="I616" i="2"/>
  <c r="H617" i="2"/>
  <c r="I617" i="2"/>
  <c r="H618" i="2"/>
  <c r="I618" i="2"/>
  <c r="H619" i="2"/>
  <c r="I619" i="2"/>
  <c r="H620" i="2"/>
  <c r="I620" i="2"/>
  <c r="H621" i="2"/>
  <c r="I621" i="2"/>
  <c r="H622" i="2"/>
  <c r="I622" i="2"/>
  <c r="H623" i="2"/>
  <c r="I623" i="2"/>
  <c r="H624" i="2"/>
  <c r="I624" i="2"/>
  <c r="H625" i="2"/>
  <c r="I625" i="2"/>
  <c r="H626" i="2"/>
  <c r="I626" i="2"/>
  <c r="H627" i="2"/>
  <c r="I627" i="2"/>
  <c r="H628" i="2"/>
  <c r="I628" i="2"/>
  <c r="H629" i="2"/>
  <c r="I629" i="2"/>
  <c r="H630" i="2"/>
  <c r="I630" i="2"/>
  <c r="H631" i="2"/>
  <c r="I631" i="2"/>
  <c r="H632" i="2"/>
  <c r="I632" i="2"/>
  <c r="H633" i="2"/>
  <c r="I633" i="2"/>
  <c r="H634" i="2"/>
  <c r="I634" i="2"/>
  <c r="H635" i="2"/>
  <c r="I635" i="2"/>
  <c r="H636" i="2"/>
  <c r="I636" i="2"/>
  <c r="H637" i="2"/>
  <c r="I637" i="2"/>
  <c r="H638" i="2"/>
  <c r="I638" i="2"/>
  <c r="H639" i="2"/>
  <c r="I639" i="2"/>
  <c r="H640" i="2"/>
  <c r="I640" i="2"/>
  <c r="H641" i="2"/>
  <c r="I641" i="2"/>
  <c r="H642" i="2"/>
  <c r="I642" i="2"/>
  <c r="H643" i="2"/>
  <c r="I643" i="2"/>
  <c r="H644" i="2"/>
  <c r="I644" i="2"/>
  <c r="H645" i="2"/>
  <c r="I645" i="2"/>
  <c r="H646" i="2"/>
  <c r="I646" i="2"/>
  <c r="H647" i="2"/>
  <c r="I647" i="2"/>
  <c r="H648" i="2"/>
  <c r="I648" i="2"/>
  <c r="H649" i="2"/>
  <c r="I649" i="2"/>
  <c r="H650" i="2"/>
  <c r="I650" i="2"/>
  <c r="H651" i="2"/>
  <c r="I651" i="2"/>
  <c r="H652" i="2"/>
  <c r="I652" i="2"/>
  <c r="H653" i="2"/>
  <c r="I653" i="2"/>
  <c r="H654" i="2"/>
  <c r="I654" i="2"/>
  <c r="H655" i="2"/>
  <c r="I655" i="2"/>
  <c r="H656" i="2"/>
  <c r="I656" i="2"/>
  <c r="H657" i="2"/>
  <c r="I657" i="2"/>
  <c r="H658" i="2"/>
  <c r="I658" i="2"/>
  <c r="H659" i="2"/>
  <c r="I659" i="2"/>
  <c r="H660" i="2"/>
  <c r="I660" i="2"/>
  <c r="H661" i="2"/>
  <c r="I661" i="2"/>
  <c r="H662" i="2"/>
  <c r="I662" i="2"/>
  <c r="H663" i="2"/>
  <c r="I663" i="2"/>
  <c r="H664" i="2"/>
  <c r="I664" i="2"/>
  <c r="H665" i="2"/>
  <c r="I665" i="2"/>
  <c r="H666" i="2"/>
  <c r="I666" i="2"/>
  <c r="H667" i="2"/>
  <c r="I667" i="2"/>
  <c r="H668" i="2"/>
  <c r="I668" i="2"/>
  <c r="H669" i="2"/>
  <c r="I669" i="2"/>
  <c r="H670" i="2"/>
  <c r="I670" i="2"/>
  <c r="H671" i="2"/>
  <c r="I671" i="2"/>
  <c r="H672" i="2"/>
  <c r="I672" i="2"/>
  <c r="H673" i="2"/>
  <c r="I673" i="2"/>
  <c r="H674" i="2"/>
  <c r="I674" i="2"/>
  <c r="H675" i="2"/>
  <c r="I675" i="2"/>
  <c r="H676" i="2"/>
  <c r="I676" i="2"/>
  <c r="H677" i="2"/>
  <c r="I677" i="2"/>
  <c r="H678" i="2"/>
  <c r="I678" i="2"/>
  <c r="H679" i="2"/>
  <c r="I679" i="2"/>
  <c r="H680" i="2"/>
  <c r="I680" i="2"/>
  <c r="H681" i="2"/>
  <c r="I681" i="2"/>
  <c r="H682" i="2"/>
  <c r="I682" i="2"/>
  <c r="H683" i="2"/>
  <c r="I683" i="2"/>
  <c r="H684" i="2"/>
  <c r="I684" i="2"/>
  <c r="H685" i="2"/>
  <c r="I685" i="2"/>
  <c r="H686" i="2"/>
  <c r="I686" i="2"/>
  <c r="H687" i="2"/>
  <c r="I687" i="2"/>
  <c r="H688" i="2"/>
  <c r="I688" i="2"/>
  <c r="H689" i="2"/>
  <c r="I689" i="2"/>
  <c r="H690" i="2"/>
  <c r="I690" i="2"/>
  <c r="H691" i="2"/>
  <c r="I691" i="2"/>
  <c r="H692" i="2"/>
  <c r="I692" i="2"/>
  <c r="H693" i="2"/>
  <c r="I693" i="2"/>
  <c r="H694" i="2"/>
  <c r="I694" i="2"/>
  <c r="H695" i="2"/>
  <c r="I695" i="2"/>
  <c r="H696" i="2"/>
  <c r="I696" i="2"/>
  <c r="H697" i="2"/>
  <c r="I697" i="2"/>
  <c r="H698" i="2"/>
  <c r="I698" i="2"/>
  <c r="H699" i="2"/>
  <c r="I699" i="2"/>
  <c r="H700" i="2"/>
  <c r="I700" i="2"/>
  <c r="H701" i="2"/>
  <c r="I701" i="2"/>
  <c r="H702" i="2"/>
  <c r="I702" i="2"/>
  <c r="H703" i="2"/>
  <c r="I703" i="2"/>
  <c r="H704" i="2"/>
  <c r="I704" i="2"/>
  <c r="H705" i="2"/>
  <c r="I705" i="2"/>
  <c r="H706" i="2"/>
  <c r="I706" i="2"/>
  <c r="H707" i="2"/>
  <c r="I707" i="2"/>
  <c r="H708" i="2"/>
  <c r="I708" i="2"/>
  <c r="H709" i="2"/>
  <c r="I709" i="2"/>
  <c r="H710" i="2"/>
  <c r="I710" i="2"/>
  <c r="H711" i="2"/>
  <c r="I711" i="2"/>
  <c r="H712" i="2"/>
  <c r="I712" i="2"/>
  <c r="H713" i="2"/>
  <c r="I713" i="2"/>
  <c r="H714" i="2"/>
  <c r="I714" i="2"/>
  <c r="H715" i="2"/>
  <c r="I715" i="2"/>
  <c r="H716" i="2"/>
  <c r="I716" i="2"/>
  <c r="H717" i="2"/>
  <c r="I717" i="2"/>
  <c r="H718" i="2"/>
  <c r="I718" i="2"/>
  <c r="H719" i="2"/>
  <c r="I719" i="2"/>
  <c r="H720" i="2"/>
  <c r="I720" i="2"/>
  <c r="H721" i="2"/>
  <c r="I721" i="2"/>
  <c r="H722" i="2"/>
  <c r="I722" i="2"/>
  <c r="H723" i="2"/>
  <c r="I723" i="2"/>
  <c r="H724" i="2"/>
  <c r="I724" i="2"/>
  <c r="H725" i="2"/>
  <c r="I725" i="2"/>
  <c r="H726" i="2"/>
  <c r="I726" i="2"/>
  <c r="H727" i="2"/>
  <c r="I727" i="2"/>
  <c r="H728" i="2"/>
  <c r="I728" i="2"/>
  <c r="H729" i="2"/>
  <c r="I729" i="2"/>
  <c r="H730" i="2"/>
  <c r="I730" i="2"/>
  <c r="H731" i="2"/>
  <c r="I731" i="2"/>
  <c r="H732" i="2"/>
  <c r="I732" i="2"/>
  <c r="H733" i="2"/>
  <c r="I733" i="2"/>
  <c r="H734" i="2"/>
  <c r="I734" i="2"/>
  <c r="H735" i="2"/>
  <c r="I735" i="2"/>
  <c r="H736" i="2"/>
  <c r="I736" i="2"/>
  <c r="H737" i="2"/>
  <c r="I737" i="2"/>
  <c r="H738" i="2"/>
  <c r="I738" i="2"/>
  <c r="H739" i="2"/>
  <c r="I739" i="2"/>
  <c r="H740" i="2"/>
  <c r="I740" i="2"/>
  <c r="H741" i="2"/>
  <c r="I741" i="2"/>
  <c r="H742" i="2"/>
  <c r="I742" i="2"/>
  <c r="H743" i="2"/>
  <c r="I743" i="2"/>
  <c r="H744" i="2"/>
  <c r="I744" i="2"/>
  <c r="H745" i="2"/>
  <c r="I745" i="2"/>
  <c r="H746" i="2"/>
  <c r="I746" i="2"/>
  <c r="H747" i="2"/>
  <c r="I747" i="2"/>
  <c r="H748" i="2"/>
  <c r="I748" i="2"/>
  <c r="H749" i="2"/>
  <c r="I749" i="2"/>
  <c r="H750" i="2"/>
  <c r="I750" i="2"/>
  <c r="H751" i="2"/>
  <c r="I751" i="2"/>
  <c r="H752" i="2"/>
  <c r="I752" i="2"/>
  <c r="H753" i="2"/>
  <c r="I753" i="2"/>
  <c r="H754" i="2"/>
  <c r="I754" i="2"/>
  <c r="H755" i="2"/>
  <c r="I755" i="2"/>
  <c r="H756" i="2"/>
  <c r="I756" i="2"/>
  <c r="H757" i="2"/>
  <c r="I757" i="2"/>
  <c r="H758" i="2"/>
  <c r="I758" i="2"/>
  <c r="H759" i="2"/>
  <c r="I759" i="2"/>
  <c r="H760" i="2"/>
  <c r="I760" i="2"/>
  <c r="H761" i="2"/>
  <c r="I761" i="2"/>
  <c r="H762" i="2"/>
  <c r="I762" i="2"/>
  <c r="H763" i="2"/>
  <c r="I763" i="2"/>
  <c r="H764" i="2"/>
  <c r="I764" i="2"/>
  <c r="H765" i="2"/>
  <c r="I765" i="2"/>
  <c r="H766" i="2"/>
  <c r="I766" i="2"/>
  <c r="H767" i="2"/>
  <c r="I767" i="2"/>
  <c r="O13" i="2"/>
  <c r="N13" i="2"/>
  <c r="M13" i="2"/>
  <c r="L13" i="2"/>
  <c r="K13" i="2"/>
  <c r="J13" i="2"/>
  <c r="I13" i="2"/>
  <c r="H13" i="2"/>
  <c r="G13" i="2"/>
  <c r="F13" i="2"/>
  <c r="F9" i="2"/>
  <c r="G9" i="2" s="1"/>
  <c r="H9" i="2" s="1"/>
  <c r="I9" i="2" s="1"/>
  <c r="J9" i="2" s="1"/>
  <c r="K9" i="2" s="1"/>
  <c r="L9" i="2" s="1"/>
  <c r="M9" i="2" s="1"/>
  <c r="N9" i="2" s="1"/>
  <c r="O9" i="2" s="1"/>
  <c r="L18" i="7" l="1"/>
  <c r="L23" i="7"/>
  <c r="U111" i="4"/>
  <c r="I770" i="2"/>
  <c r="I29" i="11"/>
  <c r="I28" i="11"/>
  <c r="I30" i="11"/>
  <c r="W79" i="8"/>
  <c r="V52" i="8"/>
  <c r="N52" i="8" s="1"/>
  <c r="O52" i="8" s="1"/>
  <c r="P52" i="8" s="1"/>
  <c r="Q52" i="8" s="1"/>
  <c r="R52" i="8" s="1"/>
  <c r="S52" i="8" s="1"/>
  <c r="T52" i="8" s="1"/>
  <c r="U52" i="8" s="1"/>
  <c r="U66" i="4"/>
  <c r="T15" i="4"/>
  <c r="T58" i="4"/>
  <c r="T51" i="4"/>
  <c r="T60" i="4"/>
  <c r="U62" i="4"/>
  <c r="U46" i="4"/>
  <c r="V130" i="8"/>
  <c r="U47" i="7"/>
  <c r="U43" i="7"/>
  <c r="U63" i="7"/>
  <c r="U61" i="7"/>
  <c r="U59" i="7"/>
  <c r="U57" i="7"/>
  <c r="U51" i="7"/>
  <c r="U182" i="7"/>
  <c r="T184" i="7"/>
  <c r="U53" i="7"/>
  <c r="U55" i="7"/>
  <c r="U45" i="7"/>
  <c r="U49" i="7"/>
  <c r="U41" i="7"/>
  <c r="G14" i="2"/>
  <c r="F17" i="2"/>
  <c r="L37" i="9" s="1"/>
  <c r="V111" i="4" l="1"/>
  <c r="L11" i="8"/>
  <c r="L13" i="8" s="1"/>
  <c r="L18" i="8" s="1"/>
  <c r="L12" i="7"/>
  <c r="L19" i="7"/>
  <c r="L30" i="7"/>
  <c r="L12" i="10"/>
  <c r="K12" i="10" s="1"/>
  <c r="L18" i="10"/>
  <c r="K18" i="10" s="1"/>
  <c r="L30" i="10"/>
  <c r="K30" i="10" s="1"/>
  <c r="L42" i="10"/>
  <c r="K42" i="10" s="1"/>
  <c r="L54" i="10"/>
  <c r="K54" i="10" s="1"/>
  <c r="L66" i="10"/>
  <c r="K66" i="10" s="1"/>
  <c r="L78" i="10"/>
  <c r="K78" i="10" s="1"/>
  <c r="L90" i="10"/>
  <c r="K90" i="10" s="1"/>
  <c r="L102" i="10"/>
  <c r="K102" i="10" s="1"/>
  <c r="L114" i="10"/>
  <c r="K114" i="10" s="1"/>
  <c r="L19" i="10"/>
  <c r="K19" i="10" s="1"/>
  <c r="L31" i="10"/>
  <c r="K31" i="10" s="1"/>
  <c r="L43" i="10"/>
  <c r="K43" i="10" s="1"/>
  <c r="L55" i="10"/>
  <c r="K55" i="10" s="1"/>
  <c r="L67" i="10"/>
  <c r="K67" i="10" s="1"/>
  <c r="L79" i="10"/>
  <c r="K79" i="10" s="1"/>
  <c r="L91" i="10"/>
  <c r="K91" i="10" s="1"/>
  <c r="L103" i="10"/>
  <c r="K103" i="10" s="1"/>
  <c r="L115" i="10"/>
  <c r="K115" i="10" s="1"/>
  <c r="L21" i="10"/>
  <c r="K21" i="10" s="1"/>
  <c r="L33" i="10"/>
  <c r="K33" i="10" s="1"/>
  <c r="L45" i="10"/>
  <c r="K45" i="10" s="1"/>
  <c r="L57" i="10"/>
  <c r="K57" i="10" s="1"/>
  <c r="L69" i="10"/>
  <c r="K69" i="10" s="1"/>
  <c r="L81" i="10"/>
  <c r="K81" i="10" s="1"/>
  <c r="L93" i="10"/>
  <c r="K93" i="10" s="1"/>
  <c r="L105" i="10"/>
  <c r="K105" i="10" s="1"/>
  <c r="L117" i="10"/>
  <c r="K117" i="10" s="1"/>
  <c r="L22" i="10"/>
  <c r="K22" i="10" s="1"/>
  <c r="L34" i="10"/>
  <c r="K34" i="10" s="1"/>
  <c r="L46" i="10"/>
  <c r="K46" i="10" s="1"/>
  <c r="L58" i="10"/>
  <c r="K58" i="10" s="1"/>
  <c r="L70" i="10"/>
  <c r="K70" i="10" s="1"/>
  <c r="L82" i="10"/>
  <c r="K82" i="10" s="1"/>
  <c r="L94" i="10"/>
  <c r="K94" i="10" s="1"/>
  <c r="L106" i="10"/>
  <c r="K106" i="10" s="1"/>
  <c r="L118" i="10"/>
  <c r="K118" i="10" s="1"/>
  <c r="L23" i="10"/>
  <c r="K23" i="10" s="1"/>
  <c r="L35" i="10"/>
  <c r="K35" i="10" s="1"/>
  <c r="L47" i="10"/>
  <c r="K47" i="10" s="1"/>
  <c r="L59" i="10"/>
  <c r="K59" i="10" s="1"/>
  <c r="L71" i="10"/>
  <c r="K71" i="10" s="1"/>
  <c r="L83" i="10"/>
  <c r="K83" i="10" s="1"/>
  <c r="L95" i="10"/>
  <c r="K95" i="10" s="1"/>
  <c r="L107" i="10"/>
  <c r="K107" i="10" s="1"/>
  <c r="L119" i="10"/>
  <c r="K119" i="10" s="1"/>
  <c r="L24" i="10"/>
  <c r="K24" i="10" s="1"/>
  <c r="L36" i="10"/>
  <c r="K36" i="10" s="1"/>
  <c r="L48" i="10"/>
  <c r="K48" i="10" s="1"/>
  <c r="L60" i="10"/>
  <c r="K60" i="10" s="1"/>
  <c r="L72" i="10"/>
  <c r="K72" i="10" s="1"/>
  <c r="L84" i="10"/>
  <c r="K84" i="10" s="1"/>
  <c r="L96" i="10"/>
  <c r="K96" i="10" s="1"/>
  <c r="L108" i="10"/>
  <c r="K108" i="10" s="1"/>
  <c r="L120" i="10"/>
  <c r="K120" i="10" s="1"/>
  <c r="L3382" i="10"/>
  <c r="K3382" i="10" s="1"/>
  <c r="L25" i="10"/>
  <c r="K25" i="10" s="1"/>
  <c r="L37" i="10"/>
  <c r="K37" i="10" s="1"/>
  <c r="L49" i="10"/>
  <c r="K49" i="10" s="1"/>
  <c r="L61" i="10"/>
  <c r="K61" i="10" s="1"/>
  <c r="L73" i="10"/>
  <c r="K73" i="10" s="1"/>
  <c r="L85" i="10"/>
  <c r="K85" i="10" s="1"/>
  <c r="L97" i="10"/>
  <c r="K97" i="10" s="1"/>
  <c r="L109" i="10"/>
  <c r="K109" i="10" s="1"/>
  <c r="L121" i="10"/>
  <c r="K121" i="10" s="1"/>
  <c r="L14" i="10"/>
  <c r="K14" i="10" s="1"/>
  <c r="L26" i="10"/>
  <c r="K26" i="10" s="1"/>
  <c r="L38" i="10"/>
  <c r="K38" i="10" s="1"/>
  <c r="L50" i="10"/>
  <c r="K50" i="10" s="1"/>
  <c r="L62" i="10"/>
  <c r="K62" i="10" s="1"/>
  <c r="L74" i="10"/>
  <c r="K74" i="10" s="1"/>
  <c r="L86" i="10"/>
  <c r="K86" i="10" s="1"/>
  <c r="L98" i="10"/>
  <c r="K98" i="10" s="1"/>
  <c r="L110" i="10"/>
  <c r="K110" i="10" s="1"/>
  <c r="L15" i="10"/>
  <c r="K15" i="10" s="1"/>
  <c r="L27" i="10"/>
  <c r="K27" i="10" s="1"/>
  <c r="L39" i="10"/>
  <c r="K39" i="10" s="1"/>
  <c r="L51" i="10"/>
  <c r="K51" i="10" s="1"/>
  <c r="L63" i="10"/>
  <c r="K63" i="10" s="1"/>
  <c r="L75" i="10"/>
  <c r="K75" i="10" s="1"/>
  <c r="L87" i="10"/>
  <c r="K87" i="10" s="1"/>
  <c r="L99" i="10"/>
  <c r="K99" i="10" s="1"/>
  <c r="L111" i="10"/>
  <c r="K111" i="10" s="1"/>
  <c r="L17" i="10"/>
  <c r="K17" i="10" s="1"/>
  <c r="L32" i="10"/>
  <c r="K32" i="10" s="1"/>
  <c r="L80" i="10"/>
  <c r="K80" i="10" s="1"/>
  <c r="L124" i="10"/>
  <c r="K124" i="10" s="1"/>
  <c r="L136" i="10"/>
  <c r="K136" i="10" s="1"/>
  <c r="L148" i="10"/>
  <c r="K148" i="10" s="1"/>
  <c r="L160" i="10"/>
  <c r="K160" i="10" s="1"/>
  <c r="L172" i="10"/>
  <c r="K172" i="10" s="1"/>
  <c r="L184" i="10"/>
  <c r="K184" i="10" s="1"/>
  <c r="L196" i="10"/>
  <c r="K196" i="10" s="1"/>
  <c r="L208" i="10"/>
  <c r="K208" i="10" s="1"/>
  <c r="L220" i="10"/>
  <c r="K220" i="10" s="1"/>
  <c r="L232" i="10"/>
  <c r="K232" i="10" s="1"/>
  <c r="L244" i="10"/>
  <c r="K244" i="10" s="1"/>
  <c r="L256" i="10"/>
  <c r="K256" i="10" s="1"/>
  <c r="L268" i="10"/>
  <c r="K268" i="10" s="1"/>
  <c r="L280" i="10"/>
  <c r="K280" i="10" s="1"/>
  <c r="L292" i="10"/>
  <c r="K292" i="10" s="1"/>
  <c r="L304" i="10"/>
  <c r="K304" i="10" s="1"/>
  <c r="L316" i="10"/>
  <c r="K316" i="10" s="1"/>
  <c r="L328" i="10"/>
  <c r="K328" i="10" s="1"/>
  <c r="L340" i="10"/>
  <c r="K340" i="10" s="1"/>
  <c r="L352" i="10"/>
  <c r="K352" i="10" s="1"/>
  <c r="L40" i="10"/>
  <c r="K40" i="10" s="1"/>
  <c r="L88" i="10"/>
  <c r="K88" i="10" s="1"/>
  <c r="L125" i="10"/>
  <c r="K125" i="10" s="1"/>
  <c r="L137" i="10"/>
  <c r="K137" i="10" s="1"/>
  <c r="L149" i="10"/>
  <c r="K149" i="10" s="1"/>
  <c r="L161" i="10"/>
  <c r="K161" i="10" s="1"/>
  <c r="L173" i="10"/>
  <c r="K173" i="10" s="1"/>
  <c r="L185" i="10"/>
  <c r="K185" i="10" s="1"/>
  <c r="L197" i="10"/>
  <c r="K197" i="10" s="1"/>
  <c r="L209" i="10"/>
  <c r="K209" i="10" s="1"/>
  <c r="L221" i="10"/>
  <c r="K221" i="10" s="1"/>
  <c r="L233" i="10"/>
  <c r="K233" i="10" s="1"/>
  <c r="L245" i="10"/>
  <c r="K245" i="10" s="1"/>
  <c r="L257" i="10"/>
  <c r="K257" i="10" s="1"/>
  <c r="L269" i="10"/>
  <c r="K269" i="10" s="1"/>
  <c r="L281" i="10"/>
  <c r="K281" i="10" s="1"/>
  <c r="L293" i="10"/>
  <c r="K293" i="10" s="1"/>
  <c r="L305" i="10"/>
  <c r="K305" i="10" s="1"/>
  <c r="L317" i="10"/>
  <c r="K317" i="10" s="1"/>
  <c r="L329" i="10"/>
  <c r="K329" i="10" s="1"/>
  <c r="L341" i="10"/>
  <c r="K341" i="10" s="1"/>
  <c r="L353" i="10"/>
  <c r="K353" i="10" s="1"/>
  <c r="L365" i="10"/>
  <c r="K365" i="10" s="1"/>
  <c r="L377" i="10"/>
  <c r="K377" i="10" s="1"/>
  <c r="L389" i="10"/>
  <c r="K389" i="10" s="1"/>
  <c r="L401" i="10"/>
  <c r="K401" i="10" s="1"/>
  <c r="L413" i="10"/>
  <c r="K413" i="10" s="1"/>
  <c r="L425" i="10"/>
  <c r="K425" i="10" s="1"/>
  <c r="L437" i="10"/>
  <c r="K437" i="10" s="1"/>
  <c r="L449" i="10"/>
  <c r="K449" i="10" s="1"/>
  <c r="L461" i="10"/>
  <c r="K461" i="10" s="1"/>
  <c r="L473" i="10"/>
  <c r="K473" i="10" s="1"/>
  <c r="L485" i="10"/>
  <c r="K485" i="10" s="1"/>
  <c r="L497" i="10"/>
  <c r="K497" i="10" s="1"/>
  <c r="L509" i="10"/>
  <c r="K509" i="10" s="1"/>
  <c r="L521" i="10"/>
  <c r="K521" i="10" s="1"/>
  <c r="L533" i="10"/>
  <c r="K533" i="10" s="1"/>
  <c r="L545" i="10"/>
  <c r="K545" i="10" s="1"/>
  <c r="L557" i="10"/>
  <c r="K557" i="10" s="1"/>
  <c r="L569" i="10"/>
  <c r="K569" i="10" s="1"/>
  <c r="L581" i="10"/>
  <c r="K581" i="10" s="1"/>
  <c r="L593" i="10"/>
  <c r="K593" i="10" s="1"/>
  <c r="L605" i="10"/>
  <c r="K605" i="10" s="1"/>
  <c r="L617" i="10"/>
  <c r="K617" i="10" s="1"/>
  <c r="L629" i="10"/>
  <c r="K629" i="10" s="1"/>
  <c r="L641" i="10"/>
  <c r="K641" i="10" s="1"/>
  <c r="L653" i="10"/>
  <c r="K653" i="10" s="1"/>
  <c r="L665" i="10"/>
  <c r="K665" i="10" s="1"/>
  <c r="L677" i="10"/>
  <c r="K677" i="10" s="1"/>
  <c r="L689" i="10"/>
  <c r="K689" i="10" s="1"/>
  <c r="L701" i="10"/>
  <c r="K701" i="10" s="1"/>
  <c r="L713" i="10"/>
  <c r="K713" i="10" s="1"/>
  <c r="L725" i="10"/>
  <c r="K725" i="10" s="1"/>
  <c r="L737" i="10"/>
  <c r="K737" i="10" s="1"/>
  <c r="L749" i="10"/>
  <c r="K749" i="10" s="1"/>
  <c r="L761" i="10"/>
  <c r="K761" i="10" s="1"/>
  <c r="L773" i="10"/>
  <c r="K773" i="10" s="1"/>
  <c r="L785" i="10"/>
  <c r="K785" i="10" s="1"/>
  <c r="L797" i="10"/>
  <c r="K797" i="10" s="1"/>
  <c r="L809" i="10"/>
  <c r="K809" i="10" s="1"/>
  <c r="L821" i="10"/>
  <c r="K821" i="10" s="1"/>
  <c r="L833" i="10"/>
  <c r="K833" i="10" s="1"/>
  <c r="L845" i="10"/>
  <c r="K845" i="10" s="1"/>
  <c r="L857" i="10"/>
  <c r="K857" i="10" s="1"/>
  <c r="L869" i="10"/>
  <c r="K869" i="10" s="1"/>
  <c r="L881" i="10"/>
  <c r="K881" i="10" s="1"/>
  <c r="L893" i="10"/>
  <c r="K893" i="10" s="1"/>
  <c r="L905" i="10"/>
  <c r="K905" i="10" s="1"/>
  <c r="L917" i="10"/>
  <c r="K917" i="10" s="1"/>
  <c r="L929" i="10"/>
  <c r="K929" i="10" s="1"/>
  <c r="L941" i="10"/>
  <c r="K941" i="10" s="1"/>
  <c r="L953" i="10"/>
  <c r="K953" i="10" s="1"/>
  <c r="L965" i="10"/>
  <c r="K965" i="10" s="1"/>
  <c r="L977" i="10"/>
  <c r="K977" i="10" s="1"/>
  <c r="L989" i="10"/>
  <c r="K989" i="10" s="1"/>
  <c r="L1001" i="10"/>
  <c r="K1001" i="10" s="1"/>
  <c r="L1013" i="10"/>
  <c r="K1013" i="10" s="1"/>
  <c r="L1025" i="10"/>
  <c r="K1025" i="10" s="1"/>
  <c r="L1037" i="10"/>
  <c r="K1037" i="10" s="1"/>
  <c r="L41" i="10"/>
  <c r="K41" i="10" s="1"/>
  <c r="L89" i="10"/>
  <c r="K89" i="10" s="1"/>
  <c r="L126" i="10"/>
  <c r="K126" i="10" s="1"/>
  <c r="L138" i="10"/>
  <c r="K138" i="10" s="1"/>
  <c r="L150" i="10"/>
  <c r="K150" i="10" s="1"/>
  <c r="L162" i="10"/>
  <c r="K162" i="10" s="1"/>
  <c r="L174" i="10"/>
  <c r="K174" i="10" s="1"/>
  <c r="L186" i="10"/>
  <c r="K186" i="10" s="1"/>
  <c r="L198" i="10"/>
  <c r="K198" i="10" s="1"/>
  <c r="L210" i="10"/>
  <c r="K210" i="10" s="1"/>
  <c r="L222" i="10"/>
  <c r="K222" i="10" s="1"/>
  <c r="L234" i="10"/>
  <c r="K234" i="10" s="1"/>
  <c r="L246" i="10"/>
  <c r="K246" i="10" s="1"/>
  <c r="L258" i="10"/>
  <c r="K258" i="10" s="1"/>
  <c r="L270" i="10"/>
  <c r="K270" i="10" s="1"/>
  <c r="L282" i="10"/>
  <c r="K282" i="10" s="1"/>
  <c r="L294" i="10"/>
  <c r="K294" i="10" s="1"/>
  <c r="L306" i="10"/>
  <c r="K306" i="10" s="1"/>
  <c r="L318" i="10"/>
  <c r="K318" i="10" s="1"/>
  <c r="L330" i="10"/>
  <c r="K330" i="10" s="1"/>
  <c r="L342" i="10"/>
  <c r="K342" i="10" s="1"/>
  <c r="L354" i="10"/>
  <c r="K354" i="10" s="1"/>
  <c r="L366" i="10"/>
  <c r="K366" i="10" s="1"/>
  <c r="L378" i="10"/>
  <c r="K378" i="10" s="1"/>
  <c r="L390" i="10"/>
  <c r="K390" i="10" s="1"/>
  <c r="L402" i="10"/>
  <c r="K402" i="10" s="1"/>
  <c r="L414" i="10"/>
  <c r="K414" i="10" s="1"/>
  <c r="L426" i="10"/>
  <c r="K426" i="10" s="1"/>
  <c r="L438" i="10"/>
  <c r="K438" i="10" s="1"/>
  <c r="L450" i="10"/>
  <c r="K450" i="10" s="1"/>
  <c r="L462" i="10"/>
  <c r="K462" i="10" s="1"/>
  <c r="L474" i="10"/>
  <c r="K474" i="10" s="1"/>
  <c r="L486" i="10"/>
  <c r="K486" i="10" s="1"/>
  <c r="L498" i="10"/>
  <c r="K498" i="10" s="1"/>
  <c r="L510" i="10"/>
  <c r="K510" i="10" s="1"/>
  <c r="L522" i="10"/>
  <c r="K522" i="10" s="1"/>
  <c r="L534" i="10"/>
  <c r="K534" i="10" s="1"/>
  <c r="L546" i="10"/>
  <c r="K546" i="10" s="1"/>
  <c r="L558" i="10"/>
  <c r="K558" i="10" s="1"/>
  <c r="L570" i="10"/>
  <c r="K570" i="10" s="1"/>
  <c r="L582" i="10"/>
  <c r="K582" i="10" s="1"/>
  <c r="L594" i="10"/>
  <c r="K594" i="10" s="1"/>
  <c r="L606" i="10"/>
  <c r="K606" i="10" s="1"/>
  <c r="L618" i="10"/>
  <c r="K618" i="10" s="1"/>
  <c r="L630" i="10"/>
  <c r="K630" i="10" s="1"/>
  <c r="L642" i="10"/>
  <c r="K642" i="10" s="1"/>
  <c r="L654" i="10"/>
  <c r="K654" i="10" s="1"/>
  <c r="L666" i="10"/>
  <c r="K666" i="10" s="1"/>
  <c r="L678" i="10"/>
  <c r="K678" i="10" s="1"/>
  <c r="L690" i="10"/>
  <c r="K690" i="10" s="1"/>
  <c r="L702" i="10"/>
  <c r="K702" i="10" s="1"/>
  <c r="L714" i="10"/>
  <c r="K714" i="10" s="1"/>
  <c r="L726" i="10"/>
  <c r="K726" i="10" s="1"/>
  <c r="L738" i="10"/>
  <c r="K738" i="10" s="1"/>
  <c r="L750" i="10"/>
  <c r="K750" i="10" s="1"/>
  <c r="L762" i="10"/>
  <c r="K762" i="10" s="1"/>
  <c r="L774" i="10"/>
  <c r="K774" i="10" s="1"/>
  <c r="L786" i="10"/>
  <c r="K786" i="10" s="1"/>
  <c r="L798" i="10"/>
  <c r="K798" i="10" s="1"/>
  <c r="L810" i="10"/>
  <c r="K810" i="10" s="1"/>
  <c r="L822" i="10"/>
  <c r="K822" i="10" s="1"/>
  <c r="L834" i="10"/>
  <c r="K834" i="10" s="1"/>
  <c r="L846" i="10"/>
  <c r="K846" i="10" s="1"/>
  <c r="L858" i="10"/>
  <c r="K858" i="10" s="1"/>
  <c r="L870" i="10"/>
  <c r="K870" i="10" s="1"/>
  <c r="L882" i="10"/>
  <c r="K882" i="10" s="1"/>
  <c r="L894" i="10"/>
  <c r="K894" i="10" s="1"/>
  <c r="L906" i="10"/>
  <c r="K906" i="10" s="1"/>
  <c r="L918" i="10"/>
  <c r="K918" i="10" s="1"/>
  <c r="L930" i="10"/>
  <c r="K930" i="10" s="1"/>
  <c r="L942" i="10"/>
  <c r="K942" i="10" s="1"/>
  <c r="L954" i="10"/>
  <c r="K954" i="10" s="1"/>
  <c r="L966" i="10"/>
  <c r="K966" i="10" s="1"/>
  <c r="L978" i="10"/>
  <c r="K978" i="10" s="1"/>
  <c r="L990" i="10"/>
  <c r="K990" i="10" s="1"/>
  <c r="L1002" i="10"/>
  <c r="K1002" i="10" s="1"/>
  <c r="L1014" i="10"/>
  <c r="K1014" i="10" s="1"/>
  <c r="L1026" i="10"/>
  <c r="K1026" i="10" s="1"/>
  <c r="L1038" i="10"/>
  <c r="K1038" i="10" s="1"/>
  <c r="L44" i="10"/>
  <c r="K44" i="10" s="1"/>
  <c r="L92" i="10"/>
  <c r="K92" i="10" s="1"/>
  <c r="L127" i="10"/>
  <c r="K127" i="10" s="1"/>
  <c r="L139" i="10"/>
  <c r="K139" i="10" s="1"/>
  <c r="L151" i="10"/>
  <c r="K151" i="10" s="1"/>
  <c r="L163" i="10"/>
  <c r="K163" i="10" s="1"/>
  <c r="L175" i="10"/>
  <c r="K175" i="10" s="1"/>
  <c r="L187" i="10"/>
  <c r="K187" i="10" s="1"/>
  <c r="L199" i="10"/>
  <c r="K199" i="10" s="1"/>
  <c r="L211" i="10"/>
  <c r="K211" i="10" s="1"/>
  <c r="L223" i="10"/>
  <c r="K223" i="10" s="1"/>
  <c r="L235" i="10"/>
  <c r="K235" i="10" s="1"/>
  <c r="L247" i="10"/>
  <c r="K247" i="10" s="1"/>
  <c r="L259" i="10"/>
  <c r="K259" i="10" s="1"/>
  <c r="L271" i="10"/>
  <c r="K271" i="10" s="1"/>
  <c r="L283" i="10"/>
  <c r="K283" i="10" s="1"/>
  <c r="L295" i="10"/>
  <c r="K295" i="10" s="1"/>
  <c r="L307" i="10"/>
  <c r="K307" i="10" s="1"/>
  <c r="L319" i="10"/>
  <c r="K319" i="10" s="1"/>
  <c r="L331" i="10"/>
  <c r="K331" i="10" s="1"/>
  <c r="L343" i="10"/>
  <c r="K343" i="10" s="1"/>
  <c r="L355" i="10"/>
  <c r="K355" i="10" s="1"/>
  <c r="L367" i="10"/>
  <c r="K367" i="10" s="1"/>
  <c r="L379" i="10"/>
  <c r="K379" i="10" s="1"/>
  <c r="L391" i="10"/>
  <c r="K391" i="10" s="1"/>
  <c r="L403" i="10"/>
  <c r="K403" i="10" s="1"/>
  <c r="L415" i="10"/>
  <c r="K415" i="10" s="1"/>
  <c r="L427" i="10"/>
  <c r="K427" i="10" s="1"/>
  <c r="L439" i="10"/>
  <c r="K439" i="10" s="1"/>
  <c r="L451" i="10"/>
  <c r="K451" i="10" s="1"/>
  <c r="L463" i="10"/>
  <c r="K463" i="10" s="1"/>
  <c r="L475" i="10"/>
  <c r="K475" i="10" s="1"/>
  <c r="L487" i="10"/>
  <c r="K487" i="10" s="1"/>
  <c r="L499" i="10"/>
  <c r="K499" i="10" s="1"/>
  <c r="L511" i="10"/>
  <c r="K511" i="10" s="1"/>
  <c r="L523" i="10"/>
  <c r="K523" i="10" s="1"/>
  <c r="L535" i="10"/>
  <c r="K535" i="10" s="1"/>
  <c r="L547" i="10"/>
  <c r="K547" i="10" s="1"/>
  <c r="L559" i="10"/>
  <c r="K559" i="10" s="1"/>
  <c r="L571" i="10"/>
  <c r="K571" i="10" s="1"/>
  <c r="L583" i="10"/>
  <c r="K583" i="10" s="1"/>
  <c r="L595" i="10"/>
  <c r="K595" i="10" s="1"/>
  <c r="L607" i="10"/>
  <c r="K607" i="10" s="1"/>
  <c r="L619" i="10"/>
  <c r="K619" i="10" s="1"/>
  <c r="L631" i="10"/>
  <c r="K631" i="10" s="1"/>
  <c r="L643" i="10"/>
  <c r="K643" i="10" s="1"/>
  <c r="L655" i="10"/>
  <c r="K655" i="10" s="1"/>
  <c r="L667" i="10"/>
  <c r="K667" i="10" s="1"/>
  <c r="L679" i="10"/>
  <c r="K679" i="10" s="1"/>
  <c r="L691" i="10"/>
  <c r="K691" i="10" s="1"/>
  <c r="L703" i="10"/>
  <c r="K703" i="10" s="1"/>
  <c r="L715" i="10"/>
  <c r="K715" i="10" s="1"/>
  <c r="L727" i="10"/>
  <c r="K727" i="10" s="1"/>
  <c r="L739" i="10"/>
  <c r="K739" i="10" s="1"/>
  <c r="L751" i="10"/>
  <c r="K751" i="10" s="1"/>
  <c r="L763" i="10"/>
  <c r="K763" i="10" s="1"/>
  <c r="L775" i="10"/>
  <c r="K775" i="10" s="1"/>
  <c r="L787" i="10"/>
  <c r="K787" i="10" s="1"/>
  <c r="L799" i="10"/>
  <c r="K799" i="10" s="1"/>
  <c r="L811" i="10"/>
  <c r="K811" i="10" s="1"/>
  <c r="L823" i="10"/>
  <c r="K823" i="10" s="1"/>
  <c r="L835" i="10"/>
  <c r="K835" i="10" s="1"/>
  <c r="L847" i="10"/>
  <c r="K847" i="10" s="1"/>
  <c r="L859" i="10"/>
  <c r="K859" i="10" s="1"/>
  <c r="L871" i="10"/>
  <c r="K871" i="10" s="1"/>
  <c r="L883" i="10"/>
  <c r="K883" i="10" s="1"/>
  <c r="L895" i="10"/>
  <c r="K895" i="10" s="1"/>
  <c r="L907" i="10"/>
  <c r="K907" i="10" s="1"/>
  <c r="L919" i="10"/>
  <c r="K919" i="10" s="1"/>
  <c r="L931" i="10"/>
  <c r="K931" i="10" s="1"/>
  <c r="L943" i="10"/>
  <c r="K943" i="10" s="1"/>
  <c r="L955" i="10"/>
  <c r="K955" i="10" s="1"/>
  <c r="L967" i="10"/>
  <c r="K967" i="10" s="1"/>
  <c r="L979" i="10"/>
  <c r="K979" i="10" s="1"/>
  <c r="L991" i="10"/>
  <c r="K991" i="10" s="1"/>
  <c r="L1003" i="10"/>
  <c r="K1003" i="10" s="1"/>
  <c r="L1015" i="10"/>
  <c r="K1015" i="10" s="1"/>
  <c r="L1027" i="10"/>
  <c r="K1027" i="10" s="1"/>
  <c r="L1039" i="10"/>
  <c r="K1039" i="10" s="1"/>
  <c r="L52" i="10"/>
  <c r="K52" i="10" s="1"/>
  <c r="L100" i="10"/>
  <c r="K100" i="10" s="1"/>
  <c r="L128" i="10"/>
  <c r="K128" i="10" s="1"/>
  <c r="L140" i="10"/>
  <c r="K140" i="10" s="1"/>
  <c r="L152" i="10"/>
  <c r="K152" i="10" s="1"/>
  <c r="L164" i="10"/>
  <c r="K164" i="10" s="1"/>
  <c r="L176" i="10"/>
  <c r="K176" i="10" s="1"/>
  <c r="L188" i="10"/>
  <c r="K188" i="10" s="1"/>
  <c r="L200" i="10"/>
  <c r="K200" i="10" s="1"/>
  <c r="L212" i="10"/>
  <c r="K212" i="10" s="1"/>
  <c r="L224" i="10"/>
  <c r="K224" i="10" s="1"/>
  <c r="L236" i="10"/>
  <c r="K236" i="10" s="1"/>
  <c r="L248" i="10"/>
  <c r="K248" i="10" s="1"/>
  <c r="L260" i="10"/>
  <c r="K260" i="10" s="1"/>
  <c r="L272" i="10"/>
  <c r="K272" i="10" s="1"/>
  <c r="L284" i="10"/>
  <c r="K284" i="10" s="1"/>
  <c r="L296" i="10"/>
  <c r="K296" i="10" s="1"/>
  <c r="L308" i="10"/>
  <c r="K308" i="10" s="1"/>
  <c r="L320" i="10"/>
  <c r="K320" i="10" s="1"/>
  <c r="L332" i="10"/>
  <c r="K332" i="10" s="1"/>
  <c r="L344" i="10"/>
  <c r="K344" i="10" s="1"/>
  <c r="L356" i="10"/>
  <c r="K356" i="10" s="1"/>
  <c r="L368" i="10"/>
  <c r="K368" i="10" s="1"/>
  <c r="L380" i="10"/>
  <c r="K380" i="10" s="1"/>
  <c r="L392" i="10"/>
  <c r="K392" i="10" s="1"/>
  <c r="L404" i="10"/>
  <c r="K404" i="10" s="1"/>
  <c r="L416" i="10"/>
  <c r="K416" i="10" s="1"/>
  <c r="L428" i="10"/>
  <c r="K428" i="10" s="1"/>
  <c r="L440" i="10"/>
  <c r="K440" i="10" s="1"/>
  <c r="L452" i="10"/>
  <c r="K452" i="10" s="1"/>
  <c r="L464" i="10"/>
  <c r="K464" i="10" s="1"/>
  <c r="L476" i="10"/>
  <c r="K476" i="10" s="1"/>
  <c r="L488" i="10"/>
  <c r="K488" i="10" s="1"/>
  <c r="L500" i="10"/>
  <c r="K500" i="10" s="1"/>
  <c r="L512" i="10"/>
  <c r="K512" i="10" s="1"/>
  <c r="L524" i="10"/>
  <c r="K524" i="10" s="1"/>
  <c r="L536" i="10"/>
  <c r="K536" i="10" s="1"/>
  <c r="L548" i="10"/>
  <c r="K548" i="10" s="1"/>
  <c r="L560" i="10"/>
  <c r="K560" i="10" s="1"/>
  <c r="L572" i="10"/>
  <c r="K572" i="10" s="1"/>
  <c r="L584" i="10"/>
  <c r="K584" i="10" s="1"/>
  <c r="L596" i="10"/>
  <c r="K596" i="10" s="1"/>
  <c r="L608" i="10"/>
  <c r="K608" i="10" s="1"/>
  <c r="L620" i="10"/>
  <c r="K620" i="10" s="1"/>
  <c r="L632" i="10"/>
  <c r="K632" i="10" s="1"/>
  <c r="L644" i="10"/>
  <c r="K644" i="10" s="1"/>
  <c r="L656" i="10"/>
  <c r="K656" i="10" s="1"/>
  <c r="L668" i="10"/>
  <c r="K668" i="10" s="1"/>
  <c r="L680" i="10"/>
  <c r="K680" i="10" s="1"/>
  <c r="L692" i="10"/>
  <c r="K692" i="10" s="1"/>
  <c r="L704" i="10"/>
  <c r="K704" i="10" s="1"/>
  <c r="L716" i="10"/>
  <c r="K716" i="10" s="1"/>
  <c r="L728" i="10"/>
  <c r="K728" i="10" s="1"/>
  <c r="L740" i="10"/>
  <c r="K740" i="10" s="1"/>
  <c r="L752" i="10"/>
  <c r="K752" i="10" s="1"/>
  <c r="L764" i="10"/>
  <c r="K764" i="10" s="1"/>
  <c r="L776" i="10"/>
  <c r="K776" i="10" s="1"/>
  <c r="L788" i="10"/>
  <c r="K788" i="10" s="1"/>
  <c r="L800" i="10"/>
  <c r="K800" i="10" s="1"/>
  <c r="L812" i="10"/>
  <c r="K812" i="10" s="1"/>
  <c r="L824" i="10"/>
  <c r="K824" i="10" s="1"/>
  <c r="L836" i="10"/>
  <c r="K836" i="10" s="1"/>
  <c r="L848" i="10"/>
  <c r="K848" i="10" s="1"/>
  <c r="L860" i="10"/>
  <c r="K860" i="10" s="1"/>
  <c r="L872" i="10"/>
  <c r="K872" i="10" s="1"/>
  <c r="L884" i="10"/>
  <c r="K884" i="10" s="1"/>
  <c r="L896" i="10"/>
  <c r="K896" i="10" s="1"/>
  <c r="L908" i="10"/>
  <c r="K908" i="10" s="1"/>
  <c r="L920" i="10"/>
  <c r="K920" i="10" s="1"/>
  <c r="L932" i="10"/>
  <c r="K932" i="10" s="1"/>
  <c r="L944" i="10"/>
  <c r="K944" i="10" s="1"/>
  <c r="L956" i="10"/>
  <c r="K956" i="10" s="1"/>
  <c r="L968" i="10"/>
  <c r="K968" i="10" s="1"/>
  <c r="L980" i="10"/>
  <c r="K980" i="10" s="1"/>
  <c r="L992" i="10"/>
  <c r="K992" i="10" s="1"/>
  <c r="L1004" i="10"/>
  <c r="K1004" i="10" s="1"/>
  <c r="L1016" i="10"/>
  <c r="K1016" i="10" s="1"/>
  <c r="L1028" i="10"/>
  <c r="K1028" i="10" s="1"/>
  <c r="L1040" i="10"/>
  <c r="K1040" i="10" s="1"/>
  <c r="L53" i="10"/>
  <c r="K53" i="10" s="1"/>
  <c r="L101" i="10"/>
  <c r="K101" i="10" s="1"/>
  <c r="L129" i="10"/>
  <c r="K129" i="10" s="1"/>
  <c r="L141" i="10"/>
  <c r="K141" i="10" s="1"/>
  <c r="L153" i="10"/>
  <c r="K153" i="10" s="1"/>
  <c r="L165" i="10"/>
  <c r="K165" i="10" s="1"/>
  <c r="L177" i="10"/>
  <c r="K177" i="10" s="1"/>
  <c r="L189" i="10"/>
  <c r="K189" i="10" s="1"/>
  <c r="L201" i="10"/>
  <c r="K201" i="10" s="1"/>
  <c r="L213" i="10"/>
  <c r="K213" i="10" s="1"/>
  <c r="L225" i="10"/>
  <c r="K225" i="10" s="1"/>
  <c r="L237" i="10"/>
  <c r="K237" i="10" s="1"/>
  <c r="L249" i="10"/>
  <c r="K249" i="10" s="1"/>
  <c r="L261" i="10"/>
  <c r="K261" i="10" s="1"/>
  <c r="L273" i="10"/>
  <c r="K273" i="10" s="1"/>
  <c r="L285" i="10"/>
  <c r="K285" i="10" s="1"/>
  <c r="L297" i="10"/>
  <c r="K297" i="10" s="1"/>
  <c r="L309" i="10"/>
  <c r="K309" i="10" s="1"/>
  <c r="L321" i="10"/>
  <c r="K321" i="10" s="1"/>
  <c r="L333" i="10"/>
  <c r="K333" i="10" s="1"/>
  <c r="L345" i="10"/>
  <c r="K345" i="10" s="1"/>
  <c r="L357" i="10"/>
  <c r="K357" i="10" s="1"/>
  <c r="L369" i="10"/>
  <c r="K369" i="10" s="1"/>
  <c r="L381" i="10"/>
  <c r="K381" i="10" s="1"/>
  <c r="L393" i="10"/>
  <c r="K393" i="10" s="1"/>
  <c r="L405" i="10"/>
  <c r="K405" i="10" s="1"/>
  <c r="L417" i="10"/>
  <c r="K417" i="10" s="1"/>
  <c r="L429" i="10"/>
  <c r="K429" i="10" s="1"/>
  <c r="L441" i="10"/>
  <c r="K441" i="10" s="1"/>
  <c r="L453" i="10"/>
  <c r="K453" i="10" s="1"/>
  <c r="L465" i="10"/>
  <c r="K465" i="10" s="1"/>
  <c r="L477" i="10"/>
  <c r="K477" i="10" s="1"/>
  <c r="L489" i="10"/>
  <c r="K489" i="10" s="1"/>
  <c r="L501" i="10"/>
  <c r="K501" i="10" s="1"/>
  <c r="L513" i="10"/>
  <c r="K513" i="10" s="1"/>
  <c r="L525" i="10"/>
  <c r="K525" i="10" s="1"/>
  <c r="L537" i="10"/>
  <c r="K537" i="10" s="1"/>
  <c r="L549" i="10"/>
  <c r="K549" i="10" s="1"/>
  <c r="L561" i="10"/>
  <c r="K561" i="10" s="1"/>
  <c r="L573" i="10"/>
  <c r="K573" i="10" s="1"/>
  <c r="L585" i="10"/>
  <c r="K585" i="10" s="1"/>
  <c r="L597" i="10"/>
  <c r="K597" i="10" s="1"/>
  <c r="L609" i="10"/>
  <c r="K609" i="10" s="1"/>
  <c r="L621" i="10"/>
  <c r="K621" i="10" s="1"/>
  <c r="L633" i="10"/>
  <c r="K633" i="10" s="1"/>
  <c r="L645" i="10"/>
  <c r="K645" i="10" s="1"/>
  <c r="L657" i="10"/>
  <c r="K657" i="10" s="1"/>
  <c r="L669" i="10"/>
  <c r="K669" i="10" s="1"/>
  <c r="L681" i="10"/>
  <c r="K681" i="10" s="1"/>
  <c r="L693" i="10"/>
  <c r="K693" i="10" s="1"/>
  <c r="L705" i="10"/>
  <c r="K705" i="10" s="1"/>
  <c r="L717" i="10"/>
  <c r="K717" i="10" s="1"/>
  <c r="L729" i="10"/>
  <c r="K729" i="10" s="1"/>
  <c r="L741" i="10"/>
  <c r="K741" i="10" s="1"/>
  <c r="L753" i="10"/>
  <c r="K753" i="10" s="1"/>
  <c r="L765" i="10"/>
  <c r="K765" i="10" s="1"/>
  <c r="L777" i="10"/>
  <c r="K777" i="10" s="1"/>
  <c r="L789" i="10"/>
  <c r="K789" i="10" s="1"/>
  <c r="L801" i="10"/>
  <c r="K801" i="10" s="1"/>
  <c r="L813" i="10"/>
  <c r="K813" i="10" s="1"/>
  <c r="L825" i="10"/>
  <c r="K825" i="10" s="1"/>
  <c r="L837" i="10"/>
  <c r="K837" i="10" s="1"/>
  <c r="L849" i="10"/>
  <c r="K849" i="10" s="1"/>
  <c r="L861" i="10"/>
  <c r="K861" i="10" s="1"/>
  <c r="L873" i="10"/>
  <c r="K873" i="10" s="1"/>
  <c r="L885" i="10"/>
  <c r="K885" i="10" s="1"/>
  <c r="L897" i="10"/>
  <c r="K897" i="10" s="1"/>
  <c r="L909" i="10"/>
  <c r="K909" i="10" s="1"/>
  <c r="L921" i="10"/>
  <c r="K921" i="10" s="1"/>
  <c r="L933" i="10"/>
  <c r="K933" i="10" s="1"/>
  <c r="L945" i="10"/>
  <c r="K945" i="10" s="1"/>
  <c r="L957" i="10"/>
  <c r="K957" i="10" s="1"/>
  <c r="L969" i="10"/>
  <c r="K969" i="10" s="1"/>
  <c r="L981" i="10"/>
  <c r="K981" i="10" s="1"/>
  <c r="L993" i="10"/>
  <c r="K993" i="10" s="1"/>
  <c r="L1005" i="10"/>
  <c r="K1005" i="10" s="1"/>
  <c r="L1017" i="10"/>
  <c r="K1017" i="10" s="1"/>
  <c r="L1029" i="10"/>
  <c r="K1029" i="10" s="1"/>
  <c r="L56" i="10"/>
  <c r="K56" i="10" s="1"/>
  <c r="L104" i="10"/>
  <c r="K104" i="10" s="1"/>
  <c r="L130" i="10"/>
  <c r="K130" i="10" s="1"/>
  <c r="L142" i="10"/>
  <c r="K142" i="10" s="1"/>
  <c r="L154" i="10"/>
  <c r="K154" i="10" s="1"/>
  <c r="L166" i="10"/>
  <c r="K166" i="10" s="1"/>
  <c r="L178" i="10"/>
  <c r="K178" i="10" s="1"/>
  <c r="L190" i="10"/>
  <c r="K190" i="10" s="1"/>
  <c r="L202" i="10"/>
  <c r="K202" i="10" s="1"/>
  <c r="L214" i="10"/>
  <c r="K214" i="10" s="1"/>
  <c r="L226" i="10"/>
  <c r="K226" i="10" s="1"/>
  <c r="L238" i="10"/>
  <c r="K238" i="10" s="1"/>
  <c r="L250" i="10"/>
  <c r="K250" i="10" s="1"/>
  <c r="L262" i="10"/>
  <c r="K262" i="10" s="1"/>
  <c r="L274" i="10"/>
  <c r="K274" i="10" s="1"/>
  <c r="L286" i="10"/>
  <c r="K286" i="10" s="1"/>
  <c r="L298" i="10"/>
  <c r="K298" i="10" s="1"/>
  <c r="L310" i="10"/>
  <c r="K310" i="10" s="1"/>
  <c r="L322" i="10"/>
  <c r="K322" i="10" s="1"/>
  <c r="L334" i="10"/>
  <c r="K334" i="10" s="1"/>
  <c r="L346" i="10"/>
  <c r="K346" i="10" s="1"/>
  <c r="L358" i="10"/>
  <c r="K358" i="10" s="1"/>
  <c r="L370" i="10"/>
  <c r="K370" i="10" s="1"/>
  <c r="L382" i="10"/>
  <c r="K382" i="10" s="1"/>
  <c r="L394" i="10"/>
  <c r="K394" i="10" s="1"/>
  <c r="L406" i="10"/>
  <c r="K406" i="10" s="1"/>
  <c r="L418" i="10"/>
  <c r="K418" i="10" s="1"/>
  <c r="L430" i="10"/>
  <c r="K430" i="10" s="1"/>
  <c r="L442" i="10"/>
  <c r="K442" i="10" s="1"/>
  <c r="L454" i="10"/>
  <c r="K454" i="10" s="1"/>
  <c r="L466" i="10"/>
  <c r="K466" i="10" s="1"/>
  <c r="L478" i="10"/>
  <c r="K478" i="10" s="1"/>
  <c r="L490" i="10"/>
  <c r="K490" i="10" s="1"/>
  <c r="L502" i="10"/>
  <c r="K502" i="10" s="1"/>
  <c r="L514" i="10"/>
  <c r="K514" i="10" s="1"/>
  <c r="L526" i="10"/>
  <c r="K526" i="10" s="1"/>
  <c r="L538" i="10"/>
  <c r="K538" i="10" s="1"/>
  <c r="L550" i="10"/>
  <c r="K550" i="10" s="1"/>
  <c r="L562" i="10"/>
  <c r="K562" i="10" s="1"/>
  <c r="L574" i="10"/>
  <c r="K574" i="10" s="1"/>
  <c r="L586" i="10"/>
  <c r="K586" i="10" s="1"/>
  <c r="L598" i="10"/>
  <c r="K598" i="10" s="1"/>
  <c r="L610" i="10"/>
  <c r="K610" i="10" s="1"/>
  <c r="L622" i="10"/>
  <c r="K622" i="10" s="1"/>
  <c r="L634" i="10"/>
  <c r="K634" i="10" s="1"/>
  <c r="L646" i="10"/>
  <c r="K646" i="10" s="1"/>
  <c r="L658" i="10"/>
  <c r="K658" i="10" s="1"/>
  <c r="L670" i="10"/>
  <c r="K670" i="10" s="1"/>
  <c r="L682" i="10"/>
  <c r="K682" i="10" s="1"/>
  <c r="L694" i="10"/>
  <c r="K694" i="10" s="1"/>
  <c r="L706" i="10"/>
  <c r="K706" i="10" s="1"/>
  <c r="L718" i="10"/>
  <c r="K718" i="10" s="1"/>
  <c r="L730" i="10"/>
  <c r="K730" i="10" s="1"/>
  <c r="L742" i="10"/>
  <c r="K742" i="10" s="1"/>
  <c r="L754" i="10"/>
  <c r="K754" i="10" s="1"/>
  <c r="L766" i="10"/>
  <c r="K766" i="10" s="1"/>
  <c r="L778" i="10"/>
  <c r="K778" i="10" s="1"/>
  <c r="L790" i="10"/>
  <c r="K790" i="10" s="1"/>
  <c r="L802" i="10"/>
  <c r="K802" i="10" s="1"/>
  <c r="L814" i="10"/>
  <c r="K814" i="10" s="1"/>
  <c r="L826" i="10"/>
  <c r="K826" i="10" s="1"/>
  <c r="L838" i="10"/>
  <c r="K838" i="10" s="1"/>
  <c r="L850" i="10"/>
  <c r="K850" i="10" s="1"/>
  <c r="L862" i="10"/>
  <c r="K862" i="10" s="1"/>
  <c r="L874" i="10"/>
  <c r="K874" i="10" s="1"/>
  <c r="L886" i="10"/>
  <c r="K886" i="10" s="1"/>
  <c r="L898" i="10"/>
  <c r="K898" i="10" s="1"/>
  <c r="L910" i="10"/>
  <c r="K910" i="10" s="1"/>
  <c r="L922" i="10"/>
  <c r="K922" i="10" s="1"/>
  <c r="L934" i="10"/>
  <c r="K934" i="10" s="1"/>
  <c r="L946" i="10"/>
  <c r="K946" i="10" s="1"/>
  <c r="L958" i="10"/>
  <c r="K958" i="10" s="1"/>
  <c r="L970" i="10"/>
  <c r="K970" i="10" s="1"/>
  <c r="L982" i="10"/>
  <c r="K982" i="10" s="1"/>
  <c r="L994" i="10"/>
  <c r="K994" i="10" s="1"/>
  <c r="L1006" i="10"/>
  <c r="K1006" i="10" s="1"/>
  <c r="L1018" i="10"/>
  <c r="K1018" i="10" s="1"/>
  <c r="L1030" i="10"/>
  <c r="K1030" i="10" s="1"/>
  <c r="L1042" i="10"/>
  <c r="K1042" i="10" s="1"/>
  <c r="L1054" i="10"/>
  <c r="K1054" i="10" s="1"/>
  <c r="L1066" i="10"/>
  <c r="K1066" i="10" s="1"/>
  <c r="L1078" i="10"/>
  <c r="K1078" i="10" s="1"/>
  <c r="L1090" i="10"/>
  <c r="K1090" i="10" s="1"/>
  <c r="L1102" i="10"/>
  <c r="K1102" i="10" s="1"/>
  <c r="L1114" i="10"/>
  <c r="K1114" i="10" s="1"/>
  <c r="L1126" i="10"/>
  <c r="K1126" i="10" s="1"/>
  <c r="L64" i="10"/>
  <c r="K64" i="10" s="1"/>
  <c r="L112" i="10"/>
  <c r="K112" i="10" s="1"/>
  <c r="L131" i="10"/>
  <c r="K131" i="10" s="1"/>
  <c r="L143" i="10"/>
  <c r="K143" i="10" s="1"/>
  <c r="L155" i="10"/>
  <c r="K155" i="10" s="1"/>
  <c r="L167" i="10"/>
  <c r="K167" i="10" s="1"/>
  <c r="L179" i="10"/>
  <c r="K179" i="10" s="1"/>
  <c r="L191" i="10"/>
  <c r="K191" i="10" s="1"/>
  <c r="L203" i="10"/>
  <c r="K203" i="10" s="1"/>
  <c r="L215" i="10"/>
  <c r="K215" i="10" s="1"/>
  <c r="L227" i="10"/>
  <c r="K227" i="10" s="1"/>
  <c r="L239" i="10"/>
  <c r="K239" i="10" s="1"/>
  <c r="L251" i="10"/>
  <c r="K251" i="10" s="1"/>
  <c r="L263" i="10"/>
  <c r="K263" i="10" s="1"/>
  <c r="L275" i="10"/>
  <c r="K275" i="10" s="1"/>
  <c r="L287" i="10"/>
  <c r="K287" i="10" s="1"/>
  <c r="L299" i="10"/>
  <c r="K299" i="10" s="1"/>
  <c r="L311" i="10"/>
  <c r="K311" i="10" s="1"/>
  <c r="L323" i="10"/>
  <c r="K323" i="10" s="1"/>
  <c r="L335" i="10"/>
  <c r="K335" i="10" s="1"/>
  <c r="L347" i="10"/>
  <c r="K347" i="10" s="1"/>
  <c r="L359" i="10"/>
  <c r="K359" i="10" s="1"/>
  <c r="L16" i="10"/>
  <c r="K16" i="10" s="1"/>
  <c r="L65" i="10"/>
  <c r="K65" i="10" s="1"/>
  <c r="L113" i="10"/>
  <c r="K113" i="10" s="1"/>
  <c r="L132" i="10"/>
  <c r="K132" i="10" s="1"/>
  <c r="L144" i="10"/>
  <c r="K144" i="10" s="1"/>
  <c r="L156" i="10"/>
  <c r="K156" i="10" s="1"/>
  <c r="L168" i="10"/>
  <c r="K168" i="10" s="1"/>
  <c r="L180" i="10"/>
  <c r="K180" i="10" s="1"/>
  <c r="L192" i="10"/>
  <c r="K192" i="10" s="1"/>
  <c r="L204" i="10"/>
  <c r="K204" i="10" s="1"/>
  <c r="L216" i="10"/>
  <c r="K216" i="10" s="1"/>
  <c r="L228" i="10"/>
  <c r="K228" i="10" s="1"/>
  <c r="L240" i="10"/>
  <c r="K240" i="10" s="1"/>
  <c r="L252" i="10"/>
  <c r="K252" i="10" s="1"/>
  <c r="L264" i="10"/>
  <c r="K264" i="10" s="1"/>
  <c r="L276" i="10"/>
  <c r="K276" i="10" s="1"/>
  <c r="L288" i="10"/>
  <c r="K288" i="10" s="1"/>
  <c r="L300" i="10"/>
  <c r="K300" i="10" s="1"/>
  <c r="L312" i="10"/>
  <c r="K312" i="10" s="1"/>
  <c r="L324" i="10"/>
  <c r="K324" i="10" s="1"/>
  <c r="L336" i="10"/>
  <c r="K336" i="10" s="1"/>
  <c r="L348" i="10"/>
  <c r="K348" i="10" s="1"/>
  <c r="L360" i="10"/>
  <c r="K360" i="10" s="1"/>
  <c r="L372" i="10"/>
  <c r="K372" i="10" s="1"/>
  <c r="L384" i="10"/>
  <c r="K384" i="10" s="1"/>
  <c r="L396" i="10"/>
  <c r="K396" i="10" s="1"/>
  <c r="L408" i="10"/>
  <c r="K408" i="10" s="1"/>
  <c r="L420" i="10"/>
  <c r="K420" i="10" s="1"/>
  <c r="L432" i="10"/>
  <c r="K432" i="10" s="1"/>
  <c r="L444" i="10"/>
  <c r="K444" i="10" s="1"/>
  <c r="L456" i="10"/>
  <c r="K456" i="10" s="1"/>
  <c r="L468" i="10"/>
  <c r="K468" i="10" s="1"/>
  <c r="L480" i="10"/>
  <c r="K480" i="10" s="1"/>
  <c r="L492" i="10"/>
  <c r="K492" i="10" s="1"/>
  <c r="L504" i="10"/>
  <c r="K504" i="10" s="1"/>
  <c r="L516" i="10"/>
  <c r="K516" i="10" s="1"/>
  <c r="L528" i="10"/>
  <c r="K528" i="10" s="1"/>
  <c r="L540" i="10"/>
  <c r="K540" i="10" s="1"/>
  <c r="L552" i="10"/>
  <c r="K552" i="10" s="1"/>
  <c r="L564" i="10"/>
  <c r="K564" i="10" s="1"/>
  <c r="L576" i="10"/>
  <c r="K576" i="10" s="1"/>
  <c r="L588" i="10"/>
  <c r="K588" i="10" s="1"/>
  <c r="L600" i="10"/>
  <c r="K600" i="10" s="1"/>
  <c r="L612" i="10"/>
  <c r="K612" i="10" s="1"/>
  <c r="L624" i="10"/>
  <c r="K624" i="10" s="1"/>
  <c r="L636" i="10"/>
  <c r="K636" i="10" s="1"/>
  <c r="L648" i="10"/>
  <c r="K648" i="10" s="1"/>
  <c r="L660" i="10"/>
  <c r="K660" i="10" s="1"/>
  <c r="L672" i="10"/>
  <c r="K672" i="10" s="1"/>
  <c r="L684" i="10"/>
  <c r="K684" i="10" s="1"/>
  <c r="L696" i="10"/>
  <c r="K696" i="10" s="1"/>
  <c r="L708" i="10"/>
  <c r="K708" i="10" s="1"/>
  <c r="L720" i="10"/>
  <c r="K720" i="10" s="1"/>
  <c r="L732" i="10"/>
  <c r="K732" i="10" s="1"/>
  <c r="L744" i="10"/>
  <c r="K744" i="10" s="1"/>
  <c r="L756" i="10"/>
  <c r="K756" i="10" s="1"/>
  <c r="L768" i="10"/>
  <c r="K768" i="10" s="1"/>
  <c r="L780" i="10"/>
  <c r="K780" i="10" s="1"/>
  <c r="L792" i="10"/>
  <c r="K792" i="10" s="1"/>
  <c r="L804" i="10"/>
  <c r="K804" i="10" s="1"/>
  <c r="L816" i="10"/>
  <c r="K816" i="10" s="1"/>
  <c r="L828" i="10"/>
  <c r="K828" i="10" s="1"/>
  <c r="L840" i="10"/>
  <c r="K840" i="10" s="1"/>
  <c r="L852" i="10"/>
  <c r="K852" i="10" s="1"/>
  <c r="L864" i="10"/>
  <c r="K864" i="10" s="1"/>
  <c r="L876" i="10"/>
  <c r="K876" i="10" s="1"/>
  <c r="L888" i="10"/>
  <c r="K888" i="10" s="1"/>
  <c r="L900" i="10"/>
  <c r="K900" i="10" s="1"/>
  <c r="L912" i="10"/>
  <c r="K912" i="10" s="1"/>
  <c r="L924" i="10"/>
  <c r="K924" i="10" s="1"/>
  <c r="L936" i="10"/>
  <c r="K936" i="10" s="1"/>
  <c r="L948" i="10"/>
  <c r="K948" i="10" s="1"/>
  <c r="L960" i="10"/>
  <c r="K960" i="10" s="1"/>
  <c r="L972" i="10"/>
  <c r="K972" i="10" s="1"/>
  <c r="L984" i="10"/>
  <c r="K984" i="10" s="1"/>
  <c r="L996" i="10"/>
  <c r="K996" i="10" s="1"/>
  <c r="L1008" i="10"/>
  <c r="K1008" i="10" s="1"/>
  <c r="L1020" i="10"/>
  <c r="K1020" i="10" s="1"/>
  <c r="L1032" i="10"/>
  <c r="K1032" i="10" s="1"/>
  <c r="L20" i="10"/>
  <c r="K20" i="10" s="1"/>
  <c r="L68" i="10"/>
  <c r="K68" i="10" s="1"/>
  <c r="L116" i="10"/>
  <c r="K116" i="10" s="1"/>
  <c r="L133" i="10"/>
  <c r="K133" i="10" s="1"/>
  <c r="L145" i="10"/>
  <c r="K145" i="10" s="1"/>
  <c r="L157" i="10"/>
  <c r="K157" i="10" s="1"/>
  <c r="L169" i="10"/>
  <c r="K169" i="10" s="1"/>
  <c r="L181" i="10"/>
  <c r="K181" i="10" s="1"/>
  <c r="L193" i="10"/>
  <c r="K193" i="10" s="1"/>
  <c r="L205" i="10"/>
  <c r="K205" i="10" s="1"/>
  <c r="L217" i="10"/>
  <c r="K217" i="10" s="1"/>
  <c r="L229" i="10"/>
  <c r="K229" i="10" s="1"/>
  <c r="L241" i="10"/>
  <c r="K241" i="10" s="1"/>
  <c r="L253" i="10"/>
  <c r="K253" i="10" s="1"/>
  <c r="L265" i="10"/>
  <c r="K265" i="10" s="1"/>
  <c r="L277" i="10"/>
  <c r="K277" i="10" s="1"/>
  <c r="L289" i="10"/>
  <c r="K289" i="10" s="1"/>
  <c r="L301" i="10"/>
  <c r="K301" i="10" s="1"/>
  <c r="L313" i="10"/>
  <c r="K313" i="10" s="1"/>
  <c r="L325" i="10"/>
  <c r="K325" i="10" s="1"/>
  <c r="L337" i="10"/>
  <c r="K337" i="10" s="1"/>
  <c r="L349" i="10"/>
  <c r="K349" i="10" s="1"/>
  <c r="L361" i="10"/>
  <c r="K361" i="10" s="1"/>
  <c r="L373" i="10"/>
  <c r="K373" i="10" s="1"/>
  <c r="L385" i="10"/>
  <c r="K385" i="10" s="1"/>
  <c r="L397" i="10"/>
  <c r="K397" i="10" s="1"/>
  <c r="L409" i="10"/>
  <c r="K409" i="10" s="1"/>
  <c r="L421" i="10"/>
  <c r="K421" i="10" s="1"/>
  <c r="L433" i="10"/>
  <c r="K433" i="10" s="1"/>
  <c r="L445" i="10"/>
  <c r="K445" i="10" s="1"/>
  <c r="L457" i="10"/>
  <c r="K457" i="10" s="1"/>
  <c r="L469" i="10"/>
  <c r="K469" i="10" s="1"/>
  <c r="L481" i="10"/>
  <c r="K481" i="10" s="1"/>
  <c r="L493" i="10"/>
  <c r="K493" i="10" s="1"/>
  <c r="L505" i="10"/>
  <c r="K505" i="10" s="1"/>
  <c r="L517" i="10"/>
  <c r="K517" i="10" s="1"/>
  <c r="L529" i="10"/>
  <c r="K529" i="10" s="1"/>
  <c r="L541" i="10"/>
  <c r="K541" i="10" s="1"/>
  <c r="L553" i="10"/>
  <c r="K553" i="10" s="1"/>
  <c r="L565" i="10"/>
  <c r="K565" i="10" s="1"/>
  <c r="L577" i="10"/>
  <c r="K577" i="10" s="1"/>
  <c r="L589" i="10"/>
  <c r="K589" i="10" s="1"/>
  <c r="L601" i="10"/>
  <c r="K601" i="10" s="1"/>
  <c r="L613" i="10"/>
  <c r="K613" i="10" s="1"/>
  <c r="L625" i="10"/>
  <c r="K625" i="10" s="1"/>
  <c r="L637" i="10"/>
  <c r="K637" i="10" s="1"/>
  <c r="L649" i="10"/>
  <c r="K649" i="10" s="1"/>
  <c r="L661" i="10"/>
  <c r="K661" i="10" s="1"/>
  <c r="L673" i="10"/>
  <c r="K673" i="10" s="1"/>
  <c r="L685" i="10"/>
  <c r="K685" i="10" s="1"/>
  <c r="L697" i="10"/>
  <c r="K697" i="10" s="1"/>
  <c r="L709" i="10"/>
  <c r="K709" i="10" s="1"/>
  <c r="L721" i="10"/>
  <c r="K721" i="10" s="1"/>
  <c r="L733" i="10"/>
  <c r="K733" i="10" s="1"/>
  <c r="L745" i="10"/>
  <c r="K745" i="10" s="1"/>
  <c r="L757" i="10"/>
  <c r="K757" i="10" s="1"/>
  <c r="L769" i="10"/>
  <c r="K769" i="10" s="1"/>
  <c r="L781" i="10"/>
  <c r="K781" i="10" s="1"/>
  <c r="L793" i="10"/>
  <c r="K793" i="10" s="1"/>
  <c r="L805" i="10"/>
  <c r="K805" i="10" s="1"/>
  <c r="L817" i="10"/>
  <c r="K817" i="10" s="1"/>
  <c r="L829" i="10"/>
  <c r="K829" i="10" s="1"/>
  <c r="L841" i="10"/>
  <c r="K841" i="10" s="1"/>
  <c r="L853" i="10"/>
  <c r="K853" i="10" s="1"/>
  <c r="L865" i="10"/>
  <c r="K865" i="10" s="1"/>
  <c r="L877" i="10"/>
  <c r="K877" i="10" s="1"/>
  <c r="L889" i="10"/>
  <c r="K889" i="10" s="1"/>
  <c r="L901" i="10"/>
  <c r="K901" i="10" s="1"/>
  <c r="L913" i="10"/>
  <c r="K913" i="10" s="1"/>
  <c r="L925" i="10"/>
  <c r="K925" i="10" s="1"/>
  <c r="L937" i="10"/>
  <c r="K937" i="10" s="1"/>
  <c r="L949" i="10"/>
  <c r="K949" i="10" s="1"/>
  <c r="L961" i="10"/>
  <c r="K961" i="10" s="1"/>
  <c r="L973" i="10"/>
  <c r="K973" i="10" s="1"/>
  <c r="L985" i="10"/>
  <c r="K985" i="10" s="1"/>
  <c r="L997" i="10"/>
  <c r="K997" i="10" s="1"/>
  <c r="L1009" i="10"/>
  <c r="K1009" i="10" s="1"/>
  <c r="L1021" i="10"/>
  <c r="K1021" i="10" s="1"/>
  <c r="L1033" i="10"/>
  <c r="K1033" i="10" s="1"/>
  <c r="L1045" i="10"/>
  <c r="K1045" i="10" s="1"/>
  <c r="L29" i="10"/>
  <c r="K29" i="10" s="1"/>
  <c r="L77" i="10"/>
  <c r="K77" i="10" s="1"/>
  <c r="L123" i="10"/>
  <c r="K123" i="10" s="1"/>
  <c r="L135" i="10"/>
  <c r="K135" i="10" s="1"/>
  <c r="L147" i="10"/>
  <c r="K147" i="10" s="1"/>
  <c r="L159" i="10"/>
  <c r="K159" i="10" s="1"/>
  <c r="L171" i="10"/>
  <c r="K171" i="10" s="1"/>
  <c r="L183" i="10"/>
  <c r="K183" i="10" s="1"/>
  <c r="L195" i="10"/>
  <c r="K195" i="10" s="1"/>
  <c r="L207" i="10"/>
  <c r="K207" i="10" s="1"/>
  <c r="L219" i="10"/>
  <c r="K219" i="10" s="1"/>
  <c r="L231" i="10"/>
  <c r="K231" i="10" s="1"/>
  <c r="L243" i="10"/>
  <c r="K243" i="10" s="1"/>
  <c r="L255" i="10"/>
  <c r="K255" i="10" s="1"/>
  <c r="L267" i="10"/>
  <c r="K267" i="10" s="1"/>
  <c r="L279" i="10"/>
  <c r="K279" i="10" s="1"/>
  <c r="L291" i="10"/>
  <c r="K291" i="10" s="1"/>
  <c r="L303" i="10"/>
  <c r="K303" i="10" s="1"/>
  <c r="L315" i="10"/>
  <c r="K315" i="10" s="1"/>
  <c r="L327" i="10"/>
  <c r="K327" i="10" s="1"/>
  <c r="L339" i="10"/>
  <c r="K339" i="10" s="1"/>
  <c r="L351" i="10"/>
  <c r="K351" i="10" s="1"/>
  <c r="L363" i="10"/>
  <c r="K363" i="10" s="1"/>
  <c r="L375" i="10"/>
  <c r="K375" i="10" s="1"/>
  <c r="L387" i="10"/>
  <c r="K387" i="10" s="1"/>
  <c r="L399" i="10"/>
  <c r="K399" i="10" s="1"/>
  <c r="L411" i="10"/>
  <c r="K411" i="10" s="1"/>
  <c r="L423" i="10"/>
  <c r="K423" i="10" s="1"/>
  <c r="L435" i="10"/>
  <c r="K435" i="10" s="1"/>
  <c r="L447" i="10"/>
  <c r="K447" i="10" s="1"/>
  <c r="L459" i="10"/>
  <c r="K459" i="10" s="1"/>
  <c r="L471" i="10"/>
  <c r="K471" i="10" s="1"/>
  <c r="L483" i="10"/>
  <c r="K483" i="10" s="1"/>
  <c r="L495" i="10"/>
  <c r="K495" i="10" s="1"/>
  <c r="L507" i="10"/>
  <c r="K507" i="10" s="1"/>
  <c r="L519" i="10"/>
  <c r="K519" i="10" s="1"/>
  <c r="L531" i="10"/>
  <c r="K531" i="10" s="1"/>
  <c r="L543" i="10"/>
  <c r="K543" i="10" s="1"/>
  <c r="L555" i="10"/>
  <c r="K555" i="10" s="1"/>
  <c r="L567" i="10"/>
  <c r="K567" i="10" s="1"/>
  <c r="L579" i="10"/>
  <c r="K579" i="10" s="1"/>
  <c r="L591" i="10"/>
  <c r="K591" i="10" s="1"/>
  <c r="L603" i="10"/>
  <c r="K603" i="10" s="1"/>
  <c r="L615" i="10"/>
  <c r="K615" i="10" s="1"/>
  <c r="L627" i="10"/>
  <c r="K627" i="10" s="1"/>
  <c r="L639" i="10"/>
  <c r="K639" i="10" s="1"/>
  <c r="L651" i="10"/>
  <c r="K651" i="10" s="1"/>
  <c r="L663" i="10"/>
  <c r="K663" i="10" s="1"/>
  <c r="L675" i="10"/>
  <c r="K675" i="10" s="1"/>
  <c r="L687" i="10"/>
  <c r="K687" i="10" s="1"/>
  <c r="L699" i="10"/>
  <c r="K699" i="10" s="1"/>
  <c r="L711" i="10"/>
  <c r="K711" i="10" s="1"/>
  <c r="L723" i="10"/>
  <c r="K723" i="10" s="1"/>
  <c r="L735" i="10"/>
  <c r="K735" i="10" s="1"/>
  <c r="L747" i="10"/>
  <c r="K747" i="10" s="1"/>
  <c r="L759" i="10"/>
  <c r="K759" i="10" s="1"/>
  <c r="L771" i="10"/>
  <c r="K771" i="10" s="1"/>
  <c r="L783" i="10"/>
  <c r="K783" i="10" s="1"/>
  <c r="L795" i="10"/>
  <c r="K795" i="10" s="1"/>
  <c r="L807" i="10"/>
  <c r="K807" i="10" s="1"/>
  <c r="L819" i="10"/>
  <c r="K819" i="10" s="1"/>
  <c r="L831" i="10"/>
  <c r="K831" i="10" s="1"/>
  <c r="L843" i="10"/>
  <c r="K843" i="10" s="1"/>
  <c r="L855" i="10"/>
  <c r="K855" i="10" s="1"/>
  <c r="L867" i="10"/>
  <c r="K867" i="10" s="1"/>
  <c r="L879" i="10"/>
  <c r="K879" i="10" s="1"/>
  <c r="L891" i="10"/>
  <c r="K891" i="10" s="1"/>
  <c r="L903" i="10"/>
  <c r="K903" i="10" s="1"/>
  <c r="L915" i="10"/>
  <c r="K915" i="10" s="1"/>
  <c r="L927" i="10"/>
  <c r="K927" i="10" s="1"/>
  <c r="L939" i="10"/>
  <c r="K939" i="10" s="1"/>
  <c r="L951" i="10"/>
  <c r="K951" i="10" s="1"/>
  <c r="L963" i="10"/>
  <c r="K963" i="10" s="1"/>
  <c r="L975" i="10"/>
  <c r="K975" i="10" s="1"/>
  <c r="L987" i="10"/>
  <c r="K987" i="10" s="1"/>
  <c r="L999" i="10"/>
  <c r="K999" i="10" s="1"/>
  <c r="L1011" i="10"/>
  <c r="K1011" i="10" s="1"/>
  <c r="L1023" i="10"/>
  <c r="K1023" i="10" s="1"/>
  <c r="L1035" i="10"/>
  <c r="K1035" i="10" s="1"/>
  <c r="L1047" i="10"/>
  <c r="K1047" i="10" s="1"/>
  <c r="L1059" i="10"/>
  <c r="K1059" i="10" s="1"/>
  <c r="L1071" i="10"/>
  <c r="K1071" i="10" s="1"/>
  <c r="L1083" i="10"/>
  <c r="K1083" i="10" s="1"/>
  <c r="L1095" i="10"/>
  <c r="K1095" i="10" s="1"/>
  <c r="L1107" i="10"/>
  <c r="K1107" i="10" s="1"/>
  <c r="L1119" i="10"/>
  <c r="K1119" i="10" s="1"/>
  <c r="L1131" i="10"/>
  <c r="K1131" i="10" s="1"/>
  <c r="L182" i="10"/>
  <c r="K182" i="10" s="1"/>
  <c r="L326" i="10"/>
  <c r="K326" i="10" s="1"/>
  <c r="L398" i="10"/>
  <c r="K398" i="10" s="1"/>
  <c r="L446" i="10"/>
  <c r="K446" i="10" s="1"/>
  <c r="L494" i="10"/>
  <c r="K494" i="10" s="1"/>
  <c r="L542" i="10"/>
  <c r="K542" i="10" s="1"/>
  <c r="L590" i="10"/>
  <c r="K590" i="10" s="1"/>
  <c r="L638" i="10"/>
  <c r="K638" i="10" s="1"/>
  <c r="L686" i="10"/>
  <c r="K686" i="10" s="1"/>
  <c r="L734" i="10"/>
  <c r="K734" i="10" s="1"/>
  <c r="L782" i="10"/>
  <c r="K782" i="10" s="1"/>
  <c r="L830" i="10"/>
  <c r="K830" i="10" s="1"/>
  <c r="L878" i="10"/>
  <c r="K878" i="10" s="1"/>
  <c r="L926" i="10"/>
  <c r="K926" i="10" s="1"/>
  <c r="L974" i="10"/>
  <c r="K974" i="10" s="1"/>
  <c r="L1022" i="10"/>
  <c r="K1022" i="10" s="1"/>
  <c r="L1051" i="10"/>
  <c r="K1051" i="10" s="1"/>
  <c r="L1065" i="10"/>
  <c r="K1065" i="10" s="1"/>
  <c r="L1080" i="10"/>
  <c r="K1080" i="10" s="1"/>
  <c r="L1094" i="10"/>
  <c r="K1094" i="10" s="1"/>
  <c r="L1109" i="10"/>
  <c r="K1109" i="10" s="1"/>
  <c r="L1123" i="10"/>
  <c r="K1123" i="10" s="1"/>
  <c r="L1137" i="10"/>
  <c r="K1137" i="10" s="1"/>
  <c r="L1149" i="10"/>
  <c r="K1149" i="10" s="1"/>
  <c r="L1161" i="10"/>
  <c r="K1161" i="10" s="1"/>
  <c r="L1173" i="10"/>
  <c r="K1173" i="10" s="1"/>
  <c r="L1185" i="10"/>
  <c r="K1185" i="10" s="1"/>
  <c r="L1197" i="10"/>
  <c r="K1197" i="10" s="1"/>
  <c r="L1209" i="10"/>
  <c r="K1209" i="10" s="1"/>
  <c r="L1221" i="10"/>
  <c r="K1221" i="10" s="1"/>
  <c r="L1233" i="10"/>
  <c r="K1233" i="10" s="1"/>
  <c r="L1245" i="10"/>
  <c r="K1245" i="10" s="1"/>
  <c r="L1257" i="10"/>
  <c r="K1257" i="10" s="1"/>
  <c r="L1269" i="10"/>
  <c r="K1269" i="10" s="1"/>
  <c r="L1281" i="10"/>
  <c r="K1281" i="10" s="1"/>
  <c r="L1293" i="10"/>
  <c r="K1293" i="10" s="1"/>
  <c r="L1305" i="10"/>
  <c r="K1305" i="10" s="1"/>
  <c r="L1317" i="10"/>
  <c r="K1317" i="10" s="1"/>
  <c r="L1329" i="10"/>
  <c r="K1329" i="10" s="1"/>
  <c r="L1341" i="10"/>
  <c r="K1341" i="10" s="1"/>
  <c r="L1353" i="10"/>
  <c r="K1353" i="10" s="1"/>
  <c r="L1365" i="10"/>
  <c r="K1365" i="10" s="1"/>
  <c r="L1377" i="10"/>
  <c r="K1377" i="10" s="1"/>
  <c r="L1389" i="10"/>
  <c r="K1389" i="10" s="1"/>
  <c r="L1401" i="10"/>
  <c r="K1401" i="10" s="1"/>
  <c r="L1413" i="10"/>
  <c r="K1413" i="10" s="1"/>
  <c r="L1425" i="10"/>
  <c r="K1425" i="10" s="1"/>
  <c r="L1437" i="10"/>
  <c r="K1437" i="10" s="1"/>
  <c r="L1449" i="10"/>
  <c r="K1449" i="10" s="1"/>
  <c r="L1461" i="10"/>
  <c r="K1461" i="10" s="1"/>
  <c r="L1473" i="10"/>
  <c r="K1473" i="10" s="1"/>
  <c r="L1485" i="10"/>
  <c r="K1485" i="10" s="1"/>
  <c r="L1497" i="10"/>
  <c r="K1497" i="10" s="1"/>
  <c r="L1509" i="10"/>
  <c r="K1509" i="10" s="1"/>
  <c r="L1521" i="10"/>
  <c r="K1521" i="10" s="1"/>
  <c r="L1533" i="10"/>
  <c r="K1533" i="10" s="1"/>
  <c r="L1545" i="10"/>
  <c r="K1545" i="10" s="1"/>
  <c r="L1557" i="10"/>
  <c r="K1557" i="10" s="1"/>
  <c r="L1569" i="10"/>
  <c r="K1569" i="10" s="1"/>
  <c r="L1581" i="10"/>
  <c r="K1581" i="10" s="1"/>
  <c r="L1593" i="10"/>
  <c r="K1593" i="10" s="1"/>
  <c r="L1605" i="10"/>
  <c r="K1605" i="10" s="1"/>
  <c r="L1617" i="10"/>
  <c r="K1617" i="10" s="1"/>
  <c r="L1629" i="10"/>
  <c r="K1629" i="10" s="1"/>
  <c r="L1641" i="10"/>
  <c r="K1641" i="10" s="1"/>
  <c r="L1653" i="10"/>
  <c r="K1653" i="10" s="1"/>
  <c r="L1665" i="10"/>
  <c r="K1665" i="10" s="1"/>
  <c r="L1677" i="10"/>
  <c r="K1677" i="10" s="1"/>
  <c r="L1689" i="10"/>
  <c r="K1689" i="10" s="1"/>
  <c r="L1701" i="10"/>
  <c r="K1701" i="10" s="1"/>
  <c r="L1713" i="10"/>
  <c r="K1713" i="10" s="1"/>
  <c r="L1725" i="10"/>
  <c r="K1725" i="10" s="1"/>
  <c r="L1737" i="10"/>
  <c r="K1737" i="10" s="1"/>
  <c r="L1749" i="10"/>
  <c r="K1749" i="10" s="1"/>
  <c r="L1761" i="10"/>
  <c r="K1761" i="10" s="1"/>
  <c r="L1773" i="10"/>
  <c r="K1773" i="10" s="1"/>
  <c r="L1785" i="10"/>
  <c r="K1785" i="10" s="1"/>
  <c r="L1797" i="10"/>
  <c r="K1797" i="10" s="1"/>
  <c r="L1809" i="10"/>
  <c r="K1809" i="10" s="1"/>
  <c r="L1821" i="10"/>
  <c r="K1821" i="10" s="1"/>
  <c r="L1833" i="10"/>
  <c r="K1833" i="10" s="1"/>
  <c r="L1845" i="10"/>
  <c r="K1845" i="10" s="1"/>
  <c r="L1857" i="10"/>
  <c r="K1857" i="10" s="1"/>
  <c r="L1869" i="10"/>
  <c r="K1869" i="10" s="1"/>
  <c r="L1881" i="10"/>
  <c r="K1881" i="10" s="1"/>
  <c r="L1893" i="10"/>
  <c r="K1893" i="10" s="1"/>
  <c r="L1905" i="10"/>
  <c r="K1905" i="10" s="1"/>
  <c r="L1917" i="10"/>
  <c r="K1917" i="10" s="1"/>
  <c r="L1929" i="10"/>
  <c r="K1929" i="10" s="1"/>
  <c r="L1941" i="10"/>
  <c r="K1941" i="10" s="1"/>
  <c r="L1953" i="10"/>
  <c r="K1953" i="10" s="1"/>
  <c r="L1965" i="10"/>
  <c r="K1965" i="10" s="1"/>
  <c r="L1977" i="10"/>
  <c r="K1977" i="10" s="1"/>
  <c r="L1989" i="10"/>
  <c r="K1989" i="10" s="1"/>
  <c r="L2001" i="10"/>
  <c r="K2001" i="10" s="1"/>
  <c r="L2013" i="10"/>
  <c r="K2013" i="10" s="1"/>
  <c r="L2025" i="10"/>
  <c r="K2025" i="10" s="1"/>
  <c r="L2037" i="10"/>
  <c r="K2037" i="10" s="1"/>
  <c r="L2049" i="10"/>
  <c r="K2049" i="10" s="1"/>
  <c r="L2061" i="10"/>
  <c r="K2061" i="10" s="1"/>
  <c r="L2073" i="10"/>
  <c r="K2073" i="10" s="1"/>
  <c r="L2085" i="10"/>
  <c r="K2085" i="10" s="1"/>
  <c r="L2097" i="10"/>
  <c r="K2097" i="10" s="1"/>
  <c r="L2109" i="10"/>
  <c r="K2109" i="10" s="1"/>
  <c r="L2121" i="10"/>
  <c r="K2121" i="10" s="1"/>
  <c r="L2133" i="10"/>
  <c r="K2133" i="10" s="1"/>
  <c r="L2145" i="10"/>
  <c r="K2145" i="10" s="1"/>
  <c r="L2157" i="10"/>
  <c r="K2157" i="10" s="1"/>
  <c r="L194" i="10"/>
  <c r="K194" i="10" s="1"/>
  <c r="L338" i="10"/>
  <c r="K338" i="10" s="1"/>
  <c r="L400" i="10"/>
  <c r="K400" i="10" s="1"/>
  <c r="L448" i="10"/>
  <c r="K448" i="10" s="1"/>
  <c r="L496" i="10"/>
  <c r="K496" i="10" s="1"/>
  <c r="L544" i="10"/>
  <c r="K544" i="10" s="1"/>
  <c r="L592" i="10"/>
  <c r="K592" i="10" s="1"/>
  <c r="L640" i="10"/>
  <c r="K640" i="10" s="1"/>
  <c r="L688" i="10"/>
  <c r="K688" i="10" s="1"/>
  <c r="L736" i="10"/>
  <c r="K736" i="10" s="1"/>
  <c r="L784" i="10"/>
  <c r="K784" i="10" s="1"/>
  <c r="L832" i="10"/>
  <c r="K832" i="10" s="1"/>
  <c r="L880" i="10"/>
  <c r="K880" i="10" s="1"/>
  <c r="L928" i="10"/>
  <c r="K928" i="10" s="1"/>
  <c r="L976" i="10"/>
  <c r="K976" i="10" s="1"/>
  <c r="L1024" i="10"/>
  <c r="K1024" i="10" s="1"/>
  <c r="L1052" i="10"/>
  <c r="K1052" i="10" s="1"/>
  <c r="L1067" i="10"/>
  <c r="K1067" i="10" s="1"/>
  <c r="L1081" i="10"/>
  <c r="K1081" i="10" s="1"/>
  <c r="L1096" i="10"/>
  <c r="K1096" i="10" s="1"/>
  <c r="L1110" i="10"/>
  <c r="K1110" i="10" s="1"/>
  <c r="L1124" i="10"/>
  <c r="K1124" i="10" s="1"/>
  <c r="L1138" i="10"/>
  <c r="K1138" i="10" s="1"/>
  <c r="L1150" i="10"/>
  <c r="K1150" i="10" s="1"/>
  <c r="L1162" i="10"/>
  <c r="K1162" i="10" s="1"/>
  <c r="L1174" i="10"/>
  <c r="K1174" i="10" s="1"/>
  <c r="L1186" i="10"/>
  <c r="K1186" i="10" s="1"/>
  <c r="L1198" i="10"/>
  <c r="K1198" i="10" s="1"/>
  <c r="L1210" i="10"/>
  <c r="K1210" i="10" s="1"/>
  <c r="L1222" i="10"/>
  <c r="K1222" i="10" s="1"/>
  <c r="L1234" i="10"/>
  <c r="K1234" i="10" s="1"/>
  <c r="L1246" i="10"/>
  <c r="K1246" i="10" s="1"/>
  <c r="L1258" i="10"/>
  <c r="K1258" i="10" s="1"/>
  <c r="L1270" i="10"/>
  <c r="K1270" i="10" s="1"/>
  <c r="L1282" i="10"/>
  <c r="K1282" i="10" s="1"/>
  <c r="L1294" i="10"/>
  <c r="K1294" i="10" s="1"/>
  <c r="L1306" i="10"/>
  <c r="K1306" i="10" s="1"/>
  <c r="L1318" i="10"/>
  <c r="K1318" i="10" s="1"/>
  <c r="L1330" i="10"/>
  <c r="K1330" i="10" s="1"/>
  <c r="L1342" i="10"/>
  <c r="K1342" i="10" s="1"/>
  <c r="L1354" i="10"/>
  <c r="K1354" i="10" s="1"/>
  <c r="L1366" i="10"/>
  <c r="K1366" i="10" s="1"/>
  <c r="L1378" i="10"/>
  <c r="K1378" i="10" s="1"/>
  <c r="L1390" i="10"/>
  <c r="K1390" i="10" s="1"/>
  <c r="L1402" i="10"/>
  <c r="K1402" i="10" s="1"/>
  <c r="L1414" i="10"/>
  <c r="K1414" i="10" s="1"/>
  <c r="L1426" i="10"/>
  <c r="K1426" i="10" s="1"/>
  <c r="L1438" i="10"/>
  <c r="K1438" i="10" s="1"/>
  <c r="L1450" i="10"/>
  <c r="K1450" i="10" s="1"/>
  <c r="L1462" i="10"/>
  <c r="K1462" i="10" s="1"/>
  <c r="L1474" i="10"/>
  <c r="K1474" i="10" s="1"/>
  <c r="L1486" i="10"/>
  <c r="K1486" i="10" s="1"/>
  <c r="L1498" i="10"/>
  <c r="K1498" i="10" s="1"/>
  <c r="L1510" i="10"/>
  <c r="K1510" i="10" s="1"/>
  <c r="L1522" i="10"/>
  <c r="K1522" i="10" s="1"/>
  <c r="L1534" i="10"/>
  <c r="K1534" i="10" s="1"/>
  <c r="L1546" i="10"/>
  <c r="K1546" i="10" s="1"/>
  <c r="L1558" i="10"/>
  <c r="K1558" i="10" s="1"/>
  <c r="L1570" i="10"/>
  <c r="K1570" i="10" s="1"/>
  <c r="L1582" i="10"/>
  <c r="K1582" i="10" s="1"/>
  <c r="L1594" i="10"/>
  <c r="K1594" i="10" s="1"/>
  <c r="L1606" i="10"/>
  <c r="K1606" i="10" s="1"/>
  <c r="L1618" i="10"/>
  <c r="K1618" i="10" s="1"/>
  <c r="L1630" i="10"/>
  <c r="K1630" i="10" s="1"/>
  <c r="L1642" i="10"/>
  <c r="K1642" i="10" s="1"/>
  <c r="L1654" i="10"/>
  <c r="K1654" i="10" s="1"/>
  <c r="L1666" i="10"/>
  <c r="K1666" i="10" s="1"/>
  <c r="L1678" i="10"/>
  <c r="K1678" i="10" s="1"/>
  <c r="L1690" i="10"/>
  <c r="K1690" i="10" s="1"/>
  <c r="L1702" i="10"/>
  <c r="K1702" i="10" s="1"/>
  <c r="L1714" i="10"/>
  <c r="K1714" i="10" s="1"/>
  <c r="L1726" i="10"/>
  <c r="K1726" i="10" s="1"/>
  <c r="L1738" i="10"/>
  <c r="K1738" i="10" s="1"/>
  <c r="L1750" i="10"/>
  <c r="K1750" i="10" s="1"/>
  <c r="L1762" i="10"/>
  <c r="K1762" i="10" s="1"/>
  <c r="L1774" i="10"/>
  <c r="K1774" i="10" s="1"/>
  <c r="L1786" i="10"/>
  <c r="K1786" i="10" s="1"/>
  <c r="L1798" i="10"/>
  <c r="K1798" i="10" s="1"/>
  <c r="L1810" i="10"/>
  <c r="K1810" i="10" s="1"/>
  <c r="L1822" i="10"/>
  <c r="K1822" i="10" s="1"/>
  <c r="L1834" i="10"/>
  <c r="K1834" i="10" s="1"/>
  <c r="L1846" i="10"/>
  <c r="K1846" i="10" s="1"/>
  <c r="L1858" i="10"/>
  <c r="K1858" i="10" s="1"/>
  <c r="L1870" i="10"/>
  <c r="K1870" i="10" s="1"/>
  <c r="L1882" i="10"/>
  <c r="K1882" i="10" s="1"/>
  <c r="L1894" i="10"/>
  <c r="K1894" i="10" s="1"/>
  <c r="L1906" i="10"/>
  <c r="K1906" i="10" s="1"/>
  <c r="L1918" i="10"/>
  <c r="K1918" i="10" s="1"/>
  <c r="L1930" i="10"/>
  <c r="K1930" i="10" s="1"/>
  <c r="L1942" i="10"/>
  <c r="K1942" i="10" s="1"/>
  <c r="L1954" i="10"/>
  <c r="K1954" i="10" s="1"/>
  <c r="L1966" i="10"/>
  <c r="K1966" i="10" s="1"/>
  <c r="L1978" i="10"/>
  <c r="K1978" i="10" s="1"/>
  <c r="L1990" i="10"/>
  <c r="K1990" i="10" s="1"/>
  <c r="L2002" i="10"/>
  <c r="K2002" i="10" s="1"/>
  <c r="L2014" i="10"/>
  <c r="K2014" i="10" s="1"/>
  <c r="L2026" i="10"/>
  <c r="K2026" i="10" s="1"/>
  <c r="L2038" i="10"/>
  <c r="K2038" i="10" s="1"/>
  <c r="L2050" i="10"/>
  <c r="K2050" i="10" s="1"/>
  <c r="L2062" i="10"/>
  <c r="K2062" i="10" s="1"/>
  <c r="L2074" i="10"/>
  <c r="K2074" i="10" s="1"/>
  <c r="L2086" i="10"/>
  <c r="K2086" i="10" s="1"/>
  <c r="L2098" i="10"/>
  <c r="K2098" i="10" s="1"/>
  <c r="L2110" i="10"/>
  <c r="K2110" i="10" s="1"/>
  <c r="L2122" i="10"/>
  <c r="K2122" i="10" s="1"/>
  <c r="L2134" i="10"/>
  <c r="K2134" i="10" s="1"/>
  <c r="L2146" i="10"/>
  <c r="K2146" i="10" s="1"/>
  <c r="L2158" i="10"/>
  <c r="K2158" i="10" s="1"/>
  <c r="L2170" i="10"/>
  <c r="K2170" i="10" s="1"/>
  <c r="L2182" i="10"/>
  <c r="K2182" i="10" s="1"/>
  <c r="L2194" i="10"/>
  <c r="K2194" i="10" s="1"/>
  <c r="L2206" i="10"/>
  <c r="K2206" i="10" s="1"/>
  <c r="L2218" i="10"/>
  <c r="K2218" i="10" s="1"/>
  <c r="L2230" i="10"/>
  <c r="K2230" i="10" s="1"/>
  <c r="L2242" i="10"/>
  <c r="K2242" i="10" s="1"/>
  <c r="L2254" i="10"/>
  <c r="K2254" i="10" s="1"/>
  <c r="L2266" i="10"/>
  <c r="K2266" i="10" s="1"/>
  <c r="L2278" i="10"/>
  <c r="K2278" i="10" s="1"/>
  <c r="L2290" i="10"/>
  <c r="K2290" i="10" s="1"/>
  <c r="L2302" i="10"/>
  <c r="K2302" i="10" s="1"/>
  <c r="L2314" i="10"/>
  <c r="K2314" i="10" s="1"/>
  <c r="L2326" i="10"/>
  <c r="K2326" i="10" s="1"/>
  <c r="L2338" i="10"/>
  <c r="K2338" i="10" s="1"/>
  <c r="L2350" i="10"/>
  <c r="K2350" i="10" s="1"/>
  <c r="L2362" i="10"/>
  <c r="K2362" i="10" s="1"/>
  <c r="L2374" i="10"/>
  <c r="K2374" i="10" s="1"/>
  <c r="L2386" i="10"/>
  <c r="K2386" i="10" s="1"/>
  <c r="L2398" i="10"/>
  <c r="K2398" i="10" s="1"/>
  <c r="L2410" i="10"/>
  <c r="K2410" i="10" s="1"/>
  <c r="L2422" i="10"/>
  <c r="K2422" i="10" s="1"/>
  <c r="L2434" i="10"/>
  <c r="K2434" i="10" s="1"/>
  <c r="L2446" i="10"/>
  <c r="K2446" i="10" s="1"/>
  <c r="L2458" i="10"/>
  <c r="K2458" i="10" s="1"/>
  <c r="L2470" i="10"/>
  <c r="K2470" i="10" s="1"/>
  <c r="L2482" i="10"/>
  <c r="K2482" i="10" s="1"/>
  <c r="L2494" i="10"/>
  <c r="K2494" i="10" s="1"/>
  <c r="L2506" i="10"/>
  <c r="K2506" i="10" s="1"/>
  <c r="L2518" i="10"/>
  <c r="K2518" i="10" s="1"/>
  <c r="L2530" i="10"/>
  <c r="K2530" i="10" s="1"/>
  <c r="L2542" i="10"/>
  <c r="K2542" i="10" s="1"/>
  <c r="L2554" i="10"/>
  <c r="K2554" i="10" s="1"/>
  <c r="L2566" i="10"/>
  <c r="K2566" i="10" s="1"/>
  <c r="L2578" i="10"/>
  <c r="K2578" i="10" s="1"/>
  <c r="L2590" i="10"/>
  <c r="K2590" i="10" s="1"/>
  <c r="L2602" i="10"/>
  <c r="K2602" i="10" s="1"/>
  <c r="L2614" i="10"/>
  <c r="K2614" i="10" s="1"/>
  <c r="L2626" i="10"/>
  <c r="K2626" i="10" s="1"/>
  <c r="L2638" i="10"/>
  <c r="K2638" i="10" s="1"/>
  <c r="L2650" i="10"/>
  <c r="K2650" i="10" s="1"/>
  <c r="L2662" i="10"/>
  <c r="K2662" i="10" s="1"/>
  <c r="L2674" i="10"/>
  <c r="K2674" i="10" s="1"/>
  <c r="L2686" i="10"/>
  <c r="K2686" i="10" s="1"/>
  <c r="L2698" i="10"/>
  <c r="K2698" i="10" s="1"/>
  <c r="L2710" i="10"/>
  <c r="K2710" i="10" s="1"/>
  <c r="L2722" i="10"/>
  <c r="K2722" i="10" s="1"/>
  <c r="L2734" i="10"/>
  <c r="K2734" i="10" s="1"/>
  <c r="L2746" i="10"/>
  <c r="K2746" i="10" s="1"/>
  <c r="L2758" i="10"/>
  <c r="K2758" i="10" s="1"/>
  <c r="L2770" i="10"/>
  <c r="K2770" i="10" s="1"/>
  <c r="L2782" i="10"/>
  <c r="K2782" i="10" s="1"/>
  <c r="L2794" i="10"/>
  <c r="K2794" i="10" s="1"/>
  <c r="L206" i="10"/>
  <c r="K206" i="10" s="1"/>
  <c r="L350" i="10"/>
  <c r="K350" i="10" s="1"/>
  <c r="L407" i="10"/>
  <c r="K407" i="10" s="1"/>
  <c r="L455" i="10"/>
  <c r="K455" i="10" s="1"/>
  <c r="L503" i="10"/>
  <c r="K503" i="10" s="1"/>
  <c r="L551" i="10"/>
  <c r="K551" i="10" s="1"/>
  <c r="L599" i="10"/>
  <c r="K599" i="10" s="1"/>
  <c r="L647" i="10"/>
  <c r="K647" i="10" s="1"/>
  <c r="L695" i="10"/>
  <c r="K695" i="10" s="1"/>
  <c r="L743" i="10"/>
  <c r="K743" i="10" s="1"/>
  <c r="L791" i="10"/>
  <c r="K791" i="10" s="1"/>
  <c r="L839" i="10"/>
  <c r="K839" i="10" s="1"/>
  <c r="L887" i="10"/>
  <c r="K887" i="10" s="1"/>
  <c r="L935" i="10"/>
  <c r="K935" i="10" s="1"/>
  <c r="L983" i="10"/>
  <c r="K983" i="10" s="1"/>
  <c r="L1031" i="10"/>
  <c r="K1031" i="10" s="1"/>
  <c r="L1053" i="10"/>
  <c r="K1053" i="10" s="1"/>
  <c r="L1068" i="10"/>
  <c r="K1068" i="10" s="1"/>
  <c r="L1082" i="10"/>
  <c r="K1082" i="10" s="1"/>
  <c r="L1097" i="10"/>
  <c r="K1097" i="10" s="1"/>
  <c r="L1111" i="10"/>
  <c r="K1111" i="10" s="1"/>
  <c r="L1125" i="10"/>
  <c r="K1125" i="10" s="1"/>
  <c r="L1139" i="10"/>
  <c r="K1139" i="10" s="1"/>
  <c r="L1151" i="10"/>
  <c r="K1151" i="10" s="1"/>
  <c r="L1163" i="10"/>
  <c r="K1163" i="10" s="1"/>
  <c r="L1175" i="10"/>
  <c r="K1175" i="10" s="1"/>
  <c r="L1187" i="10"/>
  <c r="K1187" i="10" s="1"/>
  <c r="L1199" i="10"/>
  <c r="K1199" i="10" s="1"/>
  <c r="L1211" i="10"/>
  <c r="K1211" i="10" s="1"/>
  <c r="L1223" i="10"/>
  <c r="K1223" i="10" s="1"/>
  <c r="L1235" i="10"/>
  <c r="K1235" i="10" s="1"/>
  <c r="L1247" i="10"/>
  <c r="K1247" i="10" s="1"/>
  <c r="L1259" i="10"/>
  <c r="K1259" i="10" s="1"/>
  <c r="L1271" i="10"/>
  <c r="K1271" i="10" s="1"/>
  <c r="L1283" i="10"/>
  <c r="K1283" i="10" s="1"/>
  <c r="L1295" i="10"/>
  <c r="K1295" i="10" s="1"/>
  <c r="L1307" i="10"/>
  <c r="K1307" i="10" s="1"/>
  <c r="L1319" i="10"/>
  <c r="K1319" i="10" s="1"/>
  <c r="L1331" i="10"/>
  <c r="K1331" i="10" s="1"/>
  <c r="L1343" i="10"/>
  <c r="K1343" i="10" s="1"/>
  <c r="L1355" i="10"/>
  <c r="K1355" i="10" s="1"/>
  <c r="L1367" i="10"/>
  <c r="K1367" i="10" s="1"/>
  <c r="L1379" i="10"/>
  <c r="K1379" i="10" s="1"/>
  <c r="L1391" i="10"/>
  <c r="K1391" i="10" s="1"/>
  <c r="L1403" i="10"/>
  <c r="K1403" i="10" s="1"/>
  <c r="L1415" i="10"/>
  <c r="K1415" i="10" s="1"/>
  <c r="L1427" i="10"/>
  <c r="K1427" i="10" s="1"/>
  <c r="L1439" i="10"/>
  <c r="K1439" i="10" s="1"/>
  <c r="L1451" i="10"/>
  <c r="K1451" i="10" s="1"/>
  <c r="L1463" i="10"/>
  <c r="K1463" i="10" s="1"/>
  <c r="L1475" i="10"/>
  <c r="K1475" i="10" s="1"/>
  <c r="L1487" i="10"/>
  <c r="K1487" i="10" s="1"/>
  <c r="L1499" i="10"/>
  <c r="K1499" i="10" s="1"/>
  <c r="L1511" i="10"/>
  <c r="K1511" i="10" s="1"/>
  <c r="L1523" i="10"/>
  <c r="K1523" i="10" s="1"/>
  <c r="L1535" i="10"/>
  <c r="K1535" i="10" s="1"/>
  <c r="L1547" i="10"/>
  <c r="K1547" i="10" s="1"/>
  <c r="L1559" i="10"/>
  <c r="K1559" i="10" s="1"/>
  <c r="L1571" i="10"/>
  <c r="K1571" i="10" s="1"/>
  <c r="L1583" i="10"/>
  <c r="K1583" i="10" s="1"/>
  <c r="L1595" i="10"/>
  <c r="K1595" i="10" s="1"/>
  <c r="L1607" i="10"/>
  <c r="K1607" i="10" s="1"/>
  <c r="L1619" i="10"/>
  <c r="K1619" i="10" s="1"/>
  <c r="L1631" i="10"/>
  <c r="K1631" i="10" s="1"/>
  <c r="L1643" i="10"/>
  <c r="K1643" i="10" s="1"/>
  <c r="L1655" i="10"/>
  <c r="K1655" i="10" s="1"/>
  <c r="L1667" i="10"/>
  <c r="K1667" i="10" s="1"/>
  <c r="L1679" i="10"/>
  <c r="K1679" i="10" s="1"/>
  <c r="L1691" i="10"/>
  <c r="K1691" i="10" s="1"/>
  <c r="L1703" i="10"/>
  <c r="K1703" i="10" s="1"/>
  <c r="L1715" i="10"/>
  <c r="K1715" i="10" s="1"/>
  <c r="L1727" i="10"/>
  <c r="K1727" i="10" s="1"/>
  <c r="L1739" i="10"/>
  <c r="K1739" i="10" s="1"/>
  <c r="L1751" i="10"/>
  <c r="K1751" i="10" s="1"/>
  <c r="L1763" i="10"/>
  <c r="K1763" i="10" s="1"/>
  <c r="L1775" i="10"/>
  <c r="K1775" i="10" s="1"/>
  <c r="L1787" i="10"/>
  <c r="K1787" i="10" s="1"/>
  <c r="L1799" i="10"/>
  <c r="K1799" i="10" s="1"/>
  <c r="L1811" i="10"/>
  <c r="K1811" i="10" s="1"/>
  <c r="L1823" i="10"/>
  <c r="K1823" i="10" s="1"/>
  <c r="L1835" i="10"/>
  <c r="K1835" i="10" s="1"/>
  <c r="L1847" i="10"/>
  <c r="K1847" i="10" s="1"/>
  <c r="L1859" i="10"/>
  <c r="K1859" i="10" s="1"/>
  <c r="L1871" i="10"/>
  <c r="K1871" i="10" s="1"/>
  <c r="L1883" i="10"/>
  <c r="K1883" i="10" s="1"/>
  <c r="L1895" i="10"/>
  <c r="K1895" i="10" s="1"/>
  <c r="L1907" i="10"/>
  <c r="K1907" i="10" s="1"/>
  <c r="L1919" i="10"/>
  <c r="K1919" i="10" s="1"/>
  <c r="L1931" i="10"/>
  <c r="K1931" i="10" s="1"/>
  <c r="L1943" i="10"/>
  <c r="K1943" i="10" s="1"/>
  <c r="L1955" i="10"/>
  <c r="K1955" i="10" s="1"/>
  <c r="L1967" i="10"/>
  <c r="K1967" i="10" s="1"/>
  <c r="L1979" i="10"/>
  <c r="K1979" i="10" s="1"/>
  <c r="L1991" i="10"/>
  <c r="K1991" i="10" s="1"/>
  <c r="L2003" i="10"/>
  <c r="K2003" i="10" s="1"/>
  <c r="L2015" i="10"/>
  <c r="K2015" i="10" s="1"/>
  <c r="L2027" i="10"/>
  <c r="K2027" i="10" s="1"/>
  <c r="L2039" i="10"/>
  <c r="K2039" i="10" s="1"/>
  <c r="L2051" i="10"/>
  <c r="K2051" i="10" s="1"/>
  <c r="L2063" i="10"/>
  <c r="K2063" i="10" s="1"/>
  <c r="L2075" i="10"/>
  <c r="K2075" i="10" s="1"/>
  <c r="L2087" i="10"/>
  <c r="K2087" i="10" s="1"/>
  <c r="L2099" i="10"/>
  <c r="K2099" i="10" s="1"/>
  <c r="L2111" i="10"/>
  <c r="K2111" i="10" s="1"/>
  <c r="L2123" i="10"/>
  <c r="K2123" i="10" s="1"/>
  <c r="L2135" i="10"/>
  <c r="K2135" i="10" s="1"/>
  <c r="L2147" i="10"/>
  <c r="K2147" i="10" s="1"/>
  <c r="L2159" i="10"/>
  <c r="K2159" i="10" s="1"/>
  <c r="L2171" i="10"/>
  <c r="K2171" i="10" s="1"/>
  <c r="L2183" i="10"/>
  <c r="K2183" i="10" s="1"/>
  <c r="L2195" i="10"/>
  <c r="K2195" i="10" s="1"/>
  <c r="L2207" i="10"/>
  <c r="K2207" i="10" s="1"/>
  <c r="L2219" i="10"/>
  <c r="K2219" i="10" s="1"/>
  <c r="L2231" i="10"/>
  <c r="K2231" i="10" s="1"/>
  <c r="L2243" i="10"/>
  <c r="K2243" i="10" s="1"/>
  <c r="L2255" i="10"/>
  <c r="K2255" i="10" s="1"/>
  <c r="L2267" i="10"/>
  <c r="K2267" i="10" s="1"/>
  <c r="L2279" i="10"/>
  <c r="K2279" i="10" s="1"/>
  <c r="L2291" i="10"/>
  <c r="K2291" i="10" s="1"/>
  <c r="L2303" i="10"/>
  <c r="K2303" i="10" s="1"/>
  <c r="L2315" i="10"/>
  <c r="K2315" i="10" s="1"/>
  <c r="L2327" i="10"/>
  <c r="K2327" i="10" s="1"/>
  <c r="L2339" i="10"/>
  <c r="K2339" i="10" s="1"/>
  <c r="L2351" i="10"/>
  <c r="K2351" i="10" s="1"/>
  <c r="L2363" i="10"/>
  <c r="K2363" i="10" s="1"/>
  <c r="L2375" i="10"/>
  <c r="K2375" i="10" s="1"/>
  <c r="L2387" i="10"/>
  <c r="K2387" i="10" s="1"/>
  <c r="L2399" i="10"/>
  <c r="K2399" i="10" s="1"/>
  <c r="L2411" i="10"/>
  <c r="K2411" i="10" s="1"/>
  <c r="L2423" i="10"/>
  <c r="K2423" i="10" s="1"/>
  <c r="L2435" i="10"/>
  <c r="K2435" i="10" s="1"/>
  <c r="L2447" i="10"/>
  <c r="K2447" i="10" s="1"/>
  <c r="L2459" i="10"/>
  <c r="K2459" i="10" s="1"/>
  <c r="L2471" i="10"/>
  <c r="K2471" i="10" s="1"/>
  <c r="L2483" i="10"/>
  <c r="K2483" i="10" s="1"/>
  <c r="L2495" i="10"/>
  <c r="K2495" i="10" s="1"/>
  <c r="L2507" i="10"/>
  <c r="K2507" i="10" s="1"/>
  <c r="L2519" i="10"/>
  <c r="K2519" i="10" s="1"/>
  <c r="L2531" i="10"/>
  <c r="K2531" i="10" s="1"/>
  <c r="L2543" i="10"/>
  <c r="K2543" i="10" s="1"/>
  <c r="L2555" i="10"/>
  <c r="K2555" i="10" s="1"/>
  <c r="L2567" i="10"/>
  <c r="K2567" i="10" s="1"/>
  <c r="L2579" i="10"/>
  <c r="K2579" i="10" s="1"/>
  <c r="L2591" i="10"/>
  <c r="K2591" i="10" s="1"/>
  <c r="L2603" i="10"/>
  <c r="K2603" i="10" s="1"/>
  <c r="L2615" i="10"/>
  <c r="K2615" i="10" s="1"/>
  <c r="L2627" i="10"/>
  <c r="K2627" i="10" s="1"/>
  <c r="L2639" i="10"/>
  <c r="K2639" i="10" s="1"/>
  <c r="L2651" i="10"/>
  <c r="K2651" i="10" s="1"/>
  <c r="L2663" i="10"/>
  <c r="K2663" i="10" s="1"/>
  <c r="L2675" i="10"/>
  <c r="K2675" i="10" s="1"/>
  <c r="L2687" i="10"/>
  <c r="K2687" i="10" s="1"/>
  <c r="L2699" i="10"/>
  <c r="K2699" i="10" s="1"/>
  <c r="L2711" i="10"/>
  <c r="K2711" i="10" s="1"/>
  <c r="L2723" i="10"/>
  <c r="K2723" i="10" s="1"/>
  <c r="L2735" i="10"/>
  <c r="K2735" i="10" s="1"/>
  <c r="L2747" i="10"/>
  <c r="K2747" i="10" s="1"/>
  <c r="L2759" i="10"/>
  <c r="K2759" i="10" s="1"/>
  <c r="L2771" i="10"/>
  <c r="K2771" i="10" s="1"/>
  <c r="L2783" i="10"/>
  <c r="K2783" i="10" s="1"/>
  <c r="L2795" i="10"/>
  <c r="K2795" i="10" s="1"/>
  <c r="L218" i="10"/>
  <c r="K218" i="10" s="1"/>
  <c r="L362" i="10"/>
  <c r="K362" i="10" s="1"/>
  <c r="L410" i="10"/>
  <c r="K410" i="10" s="1"/>
  <c r="L458" i="10"/>
  <c r="K458" i="10" s="1"/>
  <c r="L506" i="10"/>
  <c r="K506" i="10" s="1"/>
  <c r="L554" i="10"/>
  <c r="K554" i="10" s="1"/>
  <c r="L602" i="10"/>
  <c r="K602" i="10" s="1"/>
  <c r="L650" i="10"/>
  <c r="K650" i="10" s="1"/>
  <c r="L698" i="10"/>
  <c r="K698" i="10" s="1"/>
  <c r="L746" i="10"/>
  <c r="K746" i="10" s="1"/>
  <c r="L794" i="10"/>
  <c r="K794" i="10" s="1"/>
  <c r="L842" i="10"/>
  <c r="K842" i="10" s="1"/>
  <c r="L890" i="10"/>
  <c r="K890" i="10" s="1"/>
  <c r="L938" i="10"/>
  <c r="K938" i="10" s="1"/>
  <c r="L986" i="10"/>
  <c r="K986" i="10" s="1"/>
  <c r="L1034" i="10"/>
  <c r="K1034" i="10" s="1"/>
  <c r="L1055" i="10"/>
  <c r="K1055" i="10" s="1"/>
  <c r="L1069" i="10"/>
  <c r="K1069" i="10" s="1"/>
  <c r="L1084" i="10"/>
  <c r="K1084" i="10" s="1"/>
  <c r="L1098" i="10"/>
  <c r="K1098" i="10" s="1"/>
  <c r="L1112" i="10"/>
  <c r="K1112" i="10" s="1"/>
  <c r="L1127" i="10"/>
  <c r="K1127" i="10" s="1"/>
  <c r="L1140" i="10"/>
  <c r="K1140" i="10" s="1"/>
  <c r="L1152" i="10"/>
  <c r="K1152" i="10" s="1"/>
  <c r="L1164" i="10"/>
  <c r="K1164" i="10" s="1"/>
  <c r="L1176" i="10"/>
  <c r="K1176" i="10" s="1"/>
  <c r="L1188" i="10"/>
  <c r="K1188" i="10" s="1"/>
  <c r="L1200" i="10"/>
  <c r="K1200" i="10" s="1"/>
  <c r="L1212" i="10"/>
  <c r="K1212" i="10" s="1"/>
  <c r="L1224" i="10"/>
  <c r="K1224" i="10" s="1"/>
  <c r="L1236" i="10"/>
  <c r="K1236" i="10" s="1"/>
  <c r="L1248" i="10"/>
  <c r="K1248" i="10" s="1"/>
  <c r="L1260" i="10"/>
  <c r="K1260" i="10" s="1"/>
  <c r="L1272" i="10"/>
  <c r="K1272" i="10" s="1"/>
  <c r="L1284" i="10"/>
  <c r="K1284" i="10" s="1"/>
  <c r="L1296" i="10"/>
  <c r="K1296" i="10" s="1"/>
  <c r="L1308" i="10"/>
  <c r="K1308" i="10" s="1"/>
  <c r="L1320" i="10"/>
  <c r="K1320" i="10" s="1"/>
  <c r="L1332" i="10"/>
  <c r="K1332" i="10" s="1"/>
  <c r="L1344" i="10"/>
  <c r="K1344" i="10" s="1"/>
  <c r="L1356" i="10"/>
  <c r="K1356" i="10" s="1"/>
  <c r="L1368" i="10"/>
  <c r="K1368" i="10" s="1"/>
  <c r="L1380" i="10"/>
  <c r="K1380" i="10" s="1"/>
  <c r="L1392" i="10"/>
  <c r="K1392" i="10" s="1"/>
  <c r="L1404" i="10"/>
  <c r="K1404" i="10" s="1"/>
  <c r="L1416" i="10"/>
  <c r="K1416" i="10" s="1"/>
  <c r="L1428" i="10"/>
  <c r="K1428" i="10" s="1"/>
  <c r="L1440" i="10"/>
  <c r="K1440" i="10" s="1"/>
  <c r="L1452" i="10"/>
  <c r="K1452" i="10" s="1"/>
  <c r="L1464" i="10"/>
  <c r="K1464" i="10" s="1"/>
  <c r="L1476" i="10"/>
  <c r="K1476" i="10" s="1"/>
  <c r="L1488" i="10"/>
  <c r="K1488" i="10" s="1"/>
  <c r="L1500" i="10"/>
  <c r="K1500" i="10" s="1"/>
  <c r="L1512" i="10"/>
  <c r="K1512" i="10" s="1"/>
  <c r="L1524" i="10"/>
  <c r="K1524" i="10" s="1"/>
  <c r="L1536" i="10"/>
  <c r="K1536" i="10" s="1"/>
  <c r="L1548" i="10"/>
  <c r="K1548" i="10" s="1"/>
  <c r="L1560" i="10"/>
  <c r="K1560" i="10" s="1"/>
  <c r="L1572" i="10"/>
  <c r="K1572" i="10" s="1"/>
  <c r="L1584" i="10"/>
  <c r="K1584" i="10" s="1"/>
  <c r="L1596" i="10"/>
  <c r="K1596" i="10" s="1"/>
  <c r="L1608" i="10"/>
  <c r="K1608" i="10" s="1"/>
  <c r="L1620" i="10"/>
  <c r="K1620" i="10" s="1"/>
  <c r="L1632" i="10"/>
  <c r="K1632" i="10" s="1"/>
  <c r="L1644" i="10"/>
  <c r="K1644" i="10" s="1"/>
  <c r="L1656" i="10"/>
  <c r="K1656" i="10" s="1"/>
  <c r="L1668" i="10"/>
  <c r="K1668" i="10" s="1"/>
  <c r="L1680" i="10"/>
  <c r="K1680" i="10" s="1"/>
  <c r="L1692" i="10"/>
  <c r="K1692" i="10" s="1"/>
  <c r="L1704" i="10"/>
  <c r="K1704" i="10" s="1"/>
  <c r="L1716" i="10"/>
  <c r="K1716" i="10" s="1"/>
  <c r="L1728" i="10"/>
  <c r="K1728" i="10" s="1"/>
  <c r="L1740" i="10"/>
  <c r="K1740" i="10" s="1"/>
  <c r="L1752" i="10"/>
  <c r="K1752" i="10" s="1"/>
  <c r="L1764" i="10"/>
  <c r="K1764" i="10" s="1"/>
  <c r="L1776" i="10"/>
  <c r="K1776" i="10" s="1"/>
  <c r="L1788" i="10"/>
  <c r="K1788" i="10" s="1"/>
  <c r="L1800" i="10"/>
  <c r="K1800" i="10" s="1"/>
  <c r="L1812" i="10"/>
  <c r="K1812" i="10" s="1"/>
  <c r="L1824" i="10"/>
  <c r="K1824" i="10" s="1"/>
  <c r="L1836" i="10"/>
  <c r="K1836" i="10" s="1"/>
  <c r="L1848" i="10"/>
  <c r="K1848" i="10" s="1"/>
  <c r="L1860" i="10"/>
  <c r="K1860" i="10" s="1"/>
  <c r="L1872" i="10"/>
  <c r="K1872" i="10" s="1"/>
  <c r="L1884" i="10"/>
  <c r="K1884" i="10" s="1"/>
  <c r="L1896" i="10"/>
  <c r="K1896" i="10" s="1"/>
  <c r="L1908" i="10"/>
  <c r="K1908" i="10" s="1"/>
  <c r="L1920" i="10"/>
  <c r="K1920" i="10" s="1"/>
  <c r="L1932" i="10"/>
  <c r="K1932" i="10" s="1"/>
  <c r="L1944" i="10"/>
  <c r="K1944" i="10" s="1"/>
  <c r="L1956" i="10"/>
  <c r="K1956" i="10" s="1"/>
  <c r="L1968" i="10"/>
  <c r="K1968" i="10" s="1"/>
  <c r="L1980" i="10"/>
  <c r="K1980" i="10" s="1"/>
  <c r="L1992" i="10"/>
  <c r="K1992" i="10" s="1"/>
  <c r="L2004" i="10"/>
  <c r="K2004" i="10" s="1"/>
  <c r="L2016" i="10"/>
  <c r="K2016" i="10" s="1"/>
  <c r="L2028" i="10"/>
  <c r="K2028" i="10" s="1"/>
  <c r="L2040" i="10"/>
  <c r="K2040" i="10" s="1"/>
  <c r="L2052" i="10"/>
  <c r="K2052" i="10" s="1"/>
  <c r="L2064" i="10"/>
  <c r="K2064" i="10" s="1"/>
  <c r="L2076" i="10"/>
  <c r="K2076" i="10" s="1"/>
  <c r="L2088" i="10"/>
  <c r="K2088" i="10" s="1"/>
  <c r="L2100" i="10"/>
  <c r="K2100" i="10" s="1"/>
  <c r="L2112" i="10"/>
  <c r="K2112" i="10" s="1"/>
  <c r="L2124" i="10"/>
  <c r="K2124" i="10" s="1"/>
  <c r="L2136" i="10"/>
  <c r="K2136" i="10" s="1"/>
  <c r="L2148" i="10"/>
  <c r="K2148" i="10" s="1"/>
  <c r="L2160" i="10"/>
  <c r="K2160" i="10" s="1"/>
  <c r="L2172" i="10"/>
  <c r="K2172" i="10" s="1"/>
  <c r="L2184" i="10"/>
  <c r="K2184" i="10" s="1"/>
  <c r="L2196" i="10"/>
  <c r="K2196" i="10" s="1"/>
  <c r="L2208" i="10"/>
  <c r="K2208" i="10" s="1"/>
  <c r="L2220" i="10"/>
  <c r="K2220" i="10" s="1"/>
  <c r="L2232" i="10"/>
  <c r="K2232" i="10" s="1"/>
  <c r="L2244" i="10"/>
  <c r="K2244" i="10" s="1"/>
  <c r="L2256" i="10"/>
  <c r="K2256" i="10" s="1"/>
  <c r="L2268" i="10"/>
  <c r="K2268" i="10" s="1"/>
  <c r="L2280" i="10"/>
  <c r="K2280" i="10" s="1"/>
  <c r="L2292" i="10"/>
  <c r="K2292" i="10" s="1"/>
  <c r="L2304" i="10"/>
  <c r="K2304" i="10" s="1"/>
  <c r="L2316" i="10"/>
  <c r="K2316" i="10" s="1"/>
  <c r="L2328" i="10"/>
  <c r="K2328" i="10" s="1"/>
  <c r="L2340" i="10"/>
  <c r="K2340" i="10" s="1"/>
  <c r="L2352" i="10"/>
  <c r="K2352" i="10" s="1"/>
  <c r="L2364" i="10"/>
  <c r="K2364" i="10" s="1"/>
  <c r="L2376" i="10"/>
  <c r="K2376" i="10" s="1"/>
  <c r="L2388" i="10"/>
  <c r="K2388" i="10" s="1"/>
  <c r="L2400" i="10"/>
  <c r="K2400" i="10" s="1"/>
  <c r="L2412" i="10"/>
  <c r="K2412" i="10" s="1"/>
  <c r="L2424" i="10"/>
  <c r="K2424" i="10" s="1"/>
  <c r="L2436" i="10"/>
  <c r="K2436" i="10" s="1"/>
  <c r="L2448" i="10"/>
  <c r="K2448" i="10" s="1"/>
  <c r="L2460" i="10"/>
  <c r="K2460" i="10" s="1"/>
  <c r="L2472" i="10"/>
  <c r="K2472" i="10" s="1"/>
  <c r="L2484" i="10"/>
  <c r="K2484" i="10" s="1"/>
  <c r="L2496" i="10"/>
  <c r="K2496" i="10" s="1"/>
  <c r="L2508" i="10"/>
  <c r="K2508" i="10" s="1"/>
  <c r="L2520" i="10"/>
  <c r="K2520" i="10" s="1"/>
  <c r="L2532" i="10"/>
  <c r="K2532" i="10" s="1"/>
  <c r="L2544" i="10"/>
  <c r="K2544" i="10" s="1"/>
  <c r="L2556" i="10"/>
  <c r="K2556" i="10" s="1"/>
  <c r="L2568" i="10"/>
  <c r="K2568" i="10" s="1"/>
  <c r="L2580" i="10"/>
  <c r="K2580" i="10" s="1"/>
  <c r="L2592" i="10"/>
  <c r="K2592" i="10" s="1"/>
  <c r="L2604" i="10"/>
  <c r="K2604" i="10" s="1"/>
  <c r="L2616" i="10"/>
  <c r="K2616" i="10" s="1"/>
  <c r="L2628" i="10"/>
  <c r="K2628" i="10" s="1"/>
  <c r="L2640" i="10"/>
  <c r="K2640" i="10" s="1"/>
  <c r="L2652" i="10"/>
  <c r="K2652" i="10" s="1"/>
  <c r="L2664" i="10"/>
  <c r="K2664" i="10" s="1"/>
  <c r="L2676" i="10"/>
  <c r="K2676" i="10" s="1"/>
  <c r="L2688" i="10"/>
  <c r="K2688" i="10" s="1"/>
  <c r="L2700" i="10"/>
  <c r="K2700" i="10" s="1"/>
  <c r="L2712" i="10"/>
  <c r="K2712" i="10" s="1"/>
  <c r="L2724" i="10"/>
  <c r="K2724" i="10" s="1"/>
  <c r="L2736" i="10"/>
  <c r="K2736" i="10" s="1"/>
  <c r="L2748" i="10"/>
  <c r="K2748" i="10" s="1"/>
  <c r="L2760" i="10"/>
  <c r="K2760" i="10" s="1"/>
  <c r="L2772" i="10"/>
  <c r="K2772" i="10" s="1"/>
  <c r="L2784" i="10"/>
  <c r="K2784" i="10" s="1"/>
  <c r="L2796" i="10"/>
  <c r="K2796" i="10" s="1"/>
  <c r="L230" i="10"/>
  <c r="K230" i="10" s="1"/>
  <c r="L364" i="10"/>
  <c r="K364" i="10" s="1"/>
  <c r="L412" i="10"/>
  <c r="K412" i="10" s="1"/>
  <c r="L460" i="10"/>
  <c r="K460" i="10" s="1"/>
  <c r="L508" i="10"/>
  <c r="K508" i="10" s="1"/>
  <c r="L556" i="10"/>
  <c r="K556" i="10" s="1"/>
  <c r="L604" i="10"/>
  <c r="K604" i="10" s="1"/>
  <c r="L652" i="10"/>
  <c r="K652" i="10" s="1"/>
  <c r="L700" i="10"/>
  <c r="K700" i="10" s="1"/>
  <c r="L748" i="10"/>
  <c r="K748" i="10" s="1"/>
  <c r="L796" i="10"/>
  <c r="K796" i="10" s="1"/>
  <c r="L844" i="10"/>
  <c r="K844" i="10" s="1"/>
  <c r="L892" i="10"/>
  <c r="K892" i="10" s="1"/>
  <c r="L940" i="10"/>
  <c r="K940" i="10" s="1"/>
  <c r="L988" i="10"/>
  <c r="K988" i="10" s="1"/>
  <c r="L1036" i="10"/>
  <c r="K1036" i="10" s="1"/>
  <c r="L1056" i="10"/>
  <c r="K1056" i="10" s="1"/>
  <c r="L1070" i="10"/>
  <c r="K1070" i="10" s="1"/>
  <c r="L1085" i="10"/>
  <c r="K1085" i="10" s="1"/>
  <c r="L1099" i="10"/>
  <c r="K1099" i="10" s="1"/>
  <c r="L1113" i="10"/>
  <c r="K1113" i="10" s="1"/>
  <c r="L1128" i="10"/>
  <c r="K1128" i="10" s="1"/>
  <c r="L1141" i="10"/>
  <c r="K1141" i="10" s="1"/>
  <c r="L1153" i="10"/>
  <c r="K1153" i="10" s="1"/>
  <c r="L1165" i="10"/>
  <c r="K1165" i="10" s="1"/>
  <c r="L1177" i="10"/>
  <c r="K1177" i="10" s="1"/>
  <c r="L1189" i="10"/>
  <c r="K1189" i="10" s="1"/>
  <c r="L1201" i="10"/>
  <c r="K1201" i="10" s="1"/>
  <c r="L1213" i="10"/>
  <c r="K1213" i="10" s="1"/>
  <c r="L1225" i="10"/>
  <c r="K1225" i="10" s="1"/>
  <c r="L1237" i="10"/>
  <c r="K1237" i="10" s="1"/>
  <c r="L1249" i="10"/>
  <c r="K1249" i="10" s="1"/>
  <c r="L1261" i="10"/>
  <c r="K1261" i="10" s="1"/>
  <c r="L1273" i="10"/>
  <c r="K1273" i="10" s="1"/>
  <c r="L1285" i="10"/>
  <c r="K1285" i="10" s="1"/>
  <c r="L1297" i="10"/>
  <c r="K1297" i="10" s="1"/>
  <c r="L1309" i="10"/>
  <c r="K1309" i="10" s="1"/>
  <c r="L1321" i="10"/>
  <c r="K1321" i="10" s="1"/>
  <c r="L1333" i="10"/>
  <c r="K1333" i="10" s="1"/>
  <c r="L1345" i="10"/>
  <c r="K1345" i="10" s="1"/>
  <c r="L1357" i="10"/>
  <c r="K1357" i="10" s="1"/>
  <c r="L1369" i="10"/>
  <c r="K1369" i="10" s="1"/>
  <c r="L1381" i="10"/>
  <c r="K1381" i="10" s="1"/>
  <c r="L1393" i="10"/>
  <c r="K1393" i="10" s="1"/>
  <c r="L1405" i="10"/>
  <c r="K1405" i="10" s="1"/>
  <c r="L1417" i="10"/>
  <c r="K1417" i="10" s="1"/>
  <c r="L1429" i="10"/>
  <c r="K1429" i="10" s="1"/>
  <c r="L1441" i="10"/>
  <c r="K1441" i="10" s="1"/>
  <c r="L1453" i="10"/>
  <c r="K1453" i="10" s="1"/>
  <c r="L1465" i="10"/>
  <c r="K1465" i="10" s="1"/>
  <c r="L1477" i="10"/>
  <c r="K1477" i="10" s="1"/>
  <c r="L1489" i="10"/>
  <c r="K1489" i="10" s="1"/>
  <c r="L1501" i="10"/>
  <c r="K1501" i="10" s="1"/>
  <c r="L1513" i="10"/>
  <c r="K1513" i="10" s="1"/>
  <c r="L1525" i="10"/>
  <c r="K1525" i="10" s="1"/>
  <c r="L1537" i="10"/>
  <c r="K1537" i="10" s="1"/>
  <c r="L1549" i="10"/>
  <c r="K1549" i="10" s="1"/>
  <c r="L1561" i="10"/>
  <c r="K1561" i="10" s="1"/>
  <c r="L1573" i="10"/>
  <c r="K1573" i="10" s="1"/>
  <c r="L1585" i="10"/>
  <c r="K1585" i="10" s="1"/>
  <c r="L1597" i="10"/>
  <c r="K1597" i="10" s="1"/>
  <c r="L1609" i="10"/>
  <c r="K1609" i="10" s="1"/>
  <c r="L1621" i="10"/>
  <c r="K1621" i="10" s="1"/>
  <c r="L1633" i="10"/>
  <c r="K1633" i="10" s="1"/>
  <c r="L1645" i="10"/>
  <c r="K1645" i="10" s="1"/>
  <c r="L1657" i="10"/>
  <c r="K1657" i="10" s="1"/>
  <c r="L1669" i="10"/>
  <c r="K1669" i="10" s="1"/>
  <c r="L1681" i="10"/>
  <c r="K1681" i="10" s="1"/>
  <c r="L1693" i="10"/>
  <c r="K1693" i="10" s="1"/>
  <c r="L1705" i="10"/>
  <c r="K1705" i="10" s="1"/>
  <c r="L1717" i="10"/>
  <c r="K1717" i="10" s="1"/>
  <c r="L1729" i="10"/>
  <c r="K1729" i="10" s="1"/>
  <c r="L1741" i="10"/>
  <c r="K1741" i="10" s="1"/>
  <c r="L1753" i="10"/>
  <c r="K1753" i="10" s="1"/>
  <c r="L1765" i="10"/>
  <c r="K1765" i="10" s="1"/>
  <c r="L1777" i="10"/>
  <c r="K1777" i="10" s="1"/>
  <c r="L1789" i="10"/>
  <c r="K1789" i="10" s="1"/>
  <c r="L1801" i="10"/>
  <c r="K1801" i="10" s="1"/>
  <c r="L1813" i="10"/>
  <c r="K1813" i="10" s="1"/>
  <c r="L1825" i="10"/>
  <c r="K1825" i="10" s="1"/>
  <c r="L1837" i="10"/>
  <c r="K1837" i="10" s="1"/>
  <c r="L1849" i="10"/>
  <c r="K1849" i="10" s="1"/>
  <c r="L1861" i="10"/>
  <c r="K1861" i="10" s="1"/>
  <c r="L1873" i="10"/>
  <c r="K1873" i="10" s="1"/>
  <c r="L1885" i="10"/>
  <c r="K1885" i="10" s="1"/>
  <c r="L1897" i="10"/>
  <c r="K1897" i="10" s="1"/>
  <c r="L1909" i="10"/>
  <c r="K1909" i="10" s="1"/>
  <c r="L1921" i="10"/>
  <c r="K1921" i="10" s="1"/>
  <c r="L1933" i="10"/>
  <c r="K1933" i="10" s="1"/>
  <c r="L1945" i="10"/>
  <c r="K1945" i="10" s="1"/>
  <c r="L1957" i="10"/>
  <c r="K1957" i="10" s="1"/>
  <c r="L1969" i="10"/>
  <c r="K1969" i="10" s="1"/>
  <c r="L1981" i="10"/>
  <c r="K1981" i="10" s="1"/>
  <c r="L1993" i="10"/>
  <c r="K1993" i="10" s="1"/>
  <c r="L2005" i="10"/>
  <c r="K2005" i="10" s="1"/>
  <c r="L2017" i="10"/>
  <c r="K2017" i="10" s="1"/>
  <c r="L2029" i="10"/>
  <c r="K2029" i="10" s="1"/>
  <c r="L2041" i="10"/>
  <c r="K2041" i="10" s="1"/>
  <c r="L2053" i="10"/>
  <c r="K2053" i="10" s="1"/>
  <c r="L2065" i="10"/>
  <c r="K2065" i="10" s="1"/>
  <c r="L2077" i="10"/>
  <c r="K2077" i="10" s="1"/>
  <c r="L2089" i="10"/>
  <c r="K2089" i="10" s="1"/>
  <c r="L2101" i="10"/>
  <c r="K2101" i="10" s="1"/>
  <c r="L2113" i="10"/>
  <c r="K2113" i="10" s="1"/>
  <c r="L2125" i="10"/>
  <c r="K2125" i="10" s="1"/>
  <c r="L2137" i="10"/>
  <c r="K2137" i="10" s="1"/>
  <c r="L2149" i="10"/>
  <c r="K2149" i="10" s="1"/>
  <c r="L2161" i="10"/>
  <c r="K2161" i="10" s="1"/>
  <c r="L2173" i="10"/>
  <c r="K2173" i="10" s="1"/>
  <c r="L2185" i="10"/>
  <c r="K2185" i="10" s="1"/>
  <c r="L2197" i="10"/>
  <c r="K2197" i="10" s="1"/>
  <c r="L2209" i="10"/>
  <c r="K2209" i="10" s="1"/>
  <c r="L2221" i="10"/>
  <c r="K2221" i="10" s="1"/>
  <c r="L2233" i="10"/>
  <c r="K2233" i="10" s="1"/>
  <c r="L2245" i="10"/>
  <c r="K2245" i="10" s="1"/>
  <c r="L2257" i="10"/>
  <c r="K2257" i="10" s="1"/>
  <c r="L2269" i="10"/>
  <c r="K2269" i="10" s="1"/>
  <c r="L2281" i="10"/>
  <c r="K2281" i="10" s="1"/>
  <c r="L2293" i="10"/>
  <c r="K2293" i="10" s="1"/>
  <c r="L2305" i="10"/>
  <c r="K2305" i="10" s="1"/>
  <c r="L2317" i="10"/>
  <c r="K2317" i="10" s="1"/>
  <c r="L2329" i="10"/>
  <c r="K2329" i="10" s="1"/>
  <c r="L2341" i="10"/>
  <c r="K2341" i="10" s="1"/>
  <c r="L2353" i="10"/>
  <c r="K2353" i="10" s="1"/>
  <c r="L2365" i="10"/>
  <c r="K2365" i="10" s="1"/>
  <c r="L2377" i="10"/>
  <c r="K2377" i="10" s="1"/>
  <c r="L2389" i="10"/>
  <c r="K2389" i="10" s="1"/>
  <c r="L2401" i="10"/>
  <c r="K2401" i="10" s="1"/>
  <c r="L2413" i="10"/>
  <c r="K2413" i="10" s="1"/>
  <c r="L2425" i="10"/>
  <c r="K2425" i="10" s="1"/>
  <c r="L2437" i="10"/>
  <c r="K2437" i="10" s="1"/>
  <c r="L2449" i="10"/>
  <c r="K2449" i="10" s="1"/>
  <c r="L2461" i="10"/>
  <c r="K2461" i="10" s="1"/>
  <c r="L2473" i="10"/>
  <c r="K2473" i="10" s="1"/>
  <c r="L2485" i="10"/>
  <c r="K2485" i="10" s="1"/>
  <c r="L2497" i="10"/>
  <c r="K2497" i="10" s="1"/>
  <c r="L2509" i="10"/>
  <c r="K2509" i="10" s="1"/>
  <c r="L2521" i="10"/>
  <c r="K2521" i="10" s="1"/>
  <c r="L2533" i="10"/>
  <c r="K2533" i="10" s="1"/>
  <c r="L2545" i="10"/>
  <c r="K2545" i="10" s="1"/>
  <c r="L2557" i="10"/>
  <c r="K2557" i="10" s="1"/>
  <c r="L2569" i="10"/>
  <c r="K2569" i="10" s="1"/>
  <c r="L2581" i="10"/>
  <c r="K2581" i="10" s="1"/>
  <c r="L2593" i="10"/>
  <c r="K2593" i="10" s="1"/>
  <c r="L2605" i="10"/>
  <c r="K2605" i="10" s="1"/>
  <c r="L2617" i="10"/>
  <c r="K2617" i="10" s="1"/>
  <c r="L2629" i="10"/>
  <c r="K2629" i="10" s="1"/>
  <c r="L2641" i="10"/>
  <c r="K2641" i="10" s="1"/>
  <c r="L2653" i="10"/>
  <c r="K2653" i="10" s="1"/>
  <c r="L2665" i="10"/>
  <c r="K2665" i="10" s="1"/>
  <c r="L2677" i="10"/>
  <c r="K2677" i="10" s="1"/>
  <c r="L2689" i="10"/>
  <c r="K2689" i="10" s="1"/>
  <c r="L2701" i="10"/>
  <c r="K2701" i="10" s="1"/>
  <c r="L2713" i="10"/>
  <c r="K2713" i="10" s="1"/>
  <c r="L2725" i="10"/>
  <c r="K2725" i="10" s="1"/>
  <c r="L2737" i="10"/>
  <c r="K2737" i="10" s="1"/>
  <c r="L2749" i="10"/>
  <c r="K2749" i="10" s="1"/>
  <c r="L2761" i="10"/>
  <c r="K2761" i="10" s="1"/>
  <c r="L2773" i="10"/>
  <c r="K2773" i="10" s="1"/>
  <c r="L2785" i="10"/>
  <c r="K2785" i="10" s="1"/>
  <c r="L28" i="10"/>
  <c r="K28" i="10" s="1"/>
  <c r="L242" i="10"/>
  <c r="K242" i="10" s="1"/>
  <c r="L371" i="10"/>
  <c r="K371" i="10" s="1"/>
  <c r="L419" i="10"/>
  <c r="K419" i="10" s="1"/>
  <c r="L467" i="10"/>
  <c r="K467" i="10" s="1"/>
  <c r="L515" i="10"/>
  <c r="K515" i="10" s="1"/>
  <c r="L563" i="10"/>
  <c r="K563" i="10" s="1"/>
  <c r="L611" i="10"/>
  <c r="K611" i="10" s="1"/>
  <c r="L659" i="10"/>
  <c r="K659" i="10" s="1"/>
  <c r="L707" i="10"/>
  <c r="K707" i="10" s="1"/>
  <c r="L755" i="10"/>
  <c r="K755" i="10" s="1"/>
  <c r="L803" i="10"/>
  <c r="K803" i="10" s="1"/>
  <c r="L851" i="10"/>
  <c r="K851" i="10" s="1"/>
  <c r="L899" i="10"/>
  <c r="K899" i="10" s="1"/>
  <c r="L947" i="10"/>
  <c r="K947" i="10" s="1"/>
  <c r="L995" i="10"/>
  <c r="K995" i="10" s="1"/>
  <c r="L1041" i="10"/>
  <c r="K1041" i="10" s="1"/>
  <c r="L1057" i="10"/>
  <c r="K1057" i="10" s="1"/>
  <c r="L1072" i="10"/>
  <c r="K1072" i="10" s="1"/>
  <c r="L1086" i="10"/>
  <c r="K1086" i="10" s="1"/>
  <c r="L1100" i="10"/>
  <c r="K1100" i="10" s="1"/>
  <c r="L1115" i="10"/>
  <c r="K1115" i="10" s="1"/>
  <c r="L1129" i="10"/>
  <c r="K1129" i="10" s="1"/>
  <c r="L1142" i="10"/>
  <c r="K1142" i="10" s="1"/>
  <c r="L1154" i="10"/>
  <c r="K1154" i="10" s="1"/>
  <c r="L1166" i="10"/>
  <c r="K1166" i="10" s="1"/>
  <c r="L1178" i="10"/>
  <c r="K1178" i="10" s="1"/>
  <c r="L1190" i="10"/>
  <c r="K1190" i="10" s="1"/>
  <c r="L1202" i="10"/>
  <c r="K1202" i="10" s="1"/>
  <c r="L1214" i="10"/>
  <c r="K1214" i="10" s="1"/>
  <c r="L1226" i="10"/>
  <c r="K1226" i="10" s="1"/>
  <c r="L1238" i="10"/>
  <c r="K1238" i="10" s="1"/>
  <c r="L1250" i="10"/>
  <c r="K1250" i="10" s="1"/>
  <c r="L1262" i="10"/>
  <c r="K1262" i="10" s="1"/>
  <c r="L1274" i="10"/>
  <c r="K1274" i="10" s="1"/>
  <c r="L1286" i="10"/>
  <c r="K1286" i="10" s="1"/>
  <c r="L1298" i="10"/>
  <c r="K1298" i="10" s="1"/>
  <c r="L1310" i="10"/>
  <c r="K1310" i="10" s="1"/>
  <c r="L1322" i="10"/>
  <c r="K1322" i="10" s="1"/>
  <c r="L1334" i="10"/>
  <c r="K1334" i="10" s="1"/>
  <c r="L1346" i="10"/>
  <c r="K1346" i="10" s="1"/>
  <c r="L1358" i="10"/>
  <c r="K1358" i="10" s="1"/>
  <c r="L1370" i="10"/>
  <c r="K1370" i="10" s="1"/>
  <c r="L1382" i="10"/>
  <c r="K1382" i="10" s="1"/>
  <c r="L1394" i="10"/>
  <c r="K1394" i="10" s="1"/>
  <c r="L1406" i="10"/>
  <c r="K1406" i="10" s="1"/>
  <c r="L1418" i="10"/>
  <c r="K1418" i="10" s="1"/>
  <c r="L1430" i="10"/>
  <c r="K1430" i="10" s="1"/>
  <c r="L1442" i="10"/>
  <c r="K1442" i="10" s="1"/>
  <c r="L1454" i="10"/>
  <c r="K1454" i="10" s="1"/>
  <c r="L1466" i="10"/>
  <c r="K1466" i="10" s="1"/>
  <c r="L1478" i="10"/>
  <c r="K1478" i="10" s="1"/>
  <c r="L1490" i="10"/>
  <c r="K1490" i="10" s="1"/>
  <c r="L1502" i="10"/>
  <c r="K1502" i="10" s="1"/>
  <c r="L1514" i="10"/>
  <c r="K1514" i="10" s="1"/>
  <c r="L1526" i="10"/>
  <c r="K1526" i="10" s="1"/>
  <c r="L1538" i="10"/>
  <c r="K1538" i="10" s="1"/>
  <c r="L1550" i="10"/>
  <c r="K1550" i="10" s="1"/>
  <c r="L1562" i="10"/>
  <c r="K1562" i="10" s="1"/>
  <c r="L1574" i="10"/>
  <c r="K1574" i="10" s="1"/>
  <c r="L1586" i="10"/>
  <c r="K1586" i="10" s="1"/>
  <c r="L1598" i="10"/>
  <c r="K1598" i="10" s="1"/>
  <c r="L1610" i="10"/>
  <c r="K1610" i="10" s="1"/>
  <c r="L1622" i="10"/>
  <c r="K1622" i="10" s="1"/>
  <c r="L1634" i="10"/>
  <c r="K1634" i="10" s="1"/>
  <c r="L1646" i="10"/>
  <c r="K1646" i="10" s="1"/>
  <c r="L1658" i="10"/>
  <c r="K1658" i="10" s="1"/>
  <c r="L1670" i="10"/>
  <c r="K1670" i="10" s="1"/>
  <c r="L1682" i="10"/>
  <c r="K1682" i="10" s="1"/>
  <c r="L1694" i="10"/>
  <c r="K1694" i="10" s="1"/>
  <c r="L1706" i="10"/>
  <c r="K1706" i="10" s="1"/>
  <c r="L1718" i="10"/>
  <c r="K1718" i="10" s="1"/>
  <c r="L1730" i="10"/>
  <c r="K1730" i="10" s="1"/>
  <c r="L1742" i="10"/>
  <c r="K1742" i="10" s="1"/>
  <c r="L1754" i="10"/>
  <c r="K1754" i="10" s="1"/>
  <c r="L1766" i="10"/>
  <c r="K1766" i="10" s="1"/>
  <c r="L1778" i="10"/>
  <c r="K1778" i="10" s="1"/>
  <c r="L1790" i="10"/>
  <c r="K1790" i="10" s="1"/>
  <c r="L1802" i="10"/>
  <c r="K1802" i="10" s="1"/>
  <c r="L1814" i="10"/>
  <c r="K1814" i="10" s="1"/>
  <c r="L1826" i="10"/>
  <c r="K1826" i="10" s="1"/>
  <c r="L1838" i="10"/>
  <c r="K1838" i="10" s="1"/>
  <c r="L1850" i="10"/>
  <c r="K1850" i="10" s="1"/>
  <c r="L1862" i="10"/>
  <c r="K1862" i="10" s="1"/>
  <c r="L1874" i="10"/>
  <c r="K1874" i="10" s="1"/>
  <c r="L1886" i="10"/>
  <c r="K1886" i="10" s="1"/>
  <c r="L1898" i="10"/>
  <c r="K1898" i="10" s="1"/>
  <c r="L1910" i="10"/>
  <c r="K1910" i="10" s="1"/>
  <c r="L1922" i="10"/>
  <c r="K1922" i="10" s="1"/>
  <c r="L1934" i="10"/>
  <c r="K1934" i="10" s="1"/>
  <c r="L1946" i="10"/>
  <c r="K1946" i="10" s="1"/>
  <c r="L1958" i="10"/>
  <c r="K1958" i="10" s="1"/>
  <c r="L1970" i="10"/>
  <c r="K1970" i="10" s="1"/>
  <c r="L1982" i="10"/>
  <c r="K1982" i="10" s="1"/>
  <c r="L1994" i="10"/>
  <c r="K1994" i="10" s="1"/>
  <c r="L2006" i="10"/>
  <c r="K2006" i="10" s="1"/>
  <c r="L2018" i="10"/>
  <c r="K2018" i="10" s="1"/>
  <c r="L2030" i="10"/>
  <c r="K2030" i="10" s="1"/>
  <c r="L2042" i="10"/>
  <c r="K2042" i="10" s="1"/>
  <c r="L2054" i="10"/>
  <c r="K2054" i="10" s="1"/>
  <c r="L2066" i="10"/>
  <c r="K2066" i="10" s="1"/>
  <c r="L2078" i="10"/>
  <c r="K2078" i="10" s="1"/>
  <c r="L2090" i="10"/>
  <c r="K2090" i="10" s="1"/>
  <c r="L2102" i="10"/>
  <c r="K2102" i="10" s="1"/>
  <c r="L2114" i="10"/>
  <c r="K2114" i="10" s="1"/>
  <c r="L2126" i="10"/>
  <c r="K2126" i="10" s="1"/>
  <c r="L2138" i="10"/>
  <c r="K2138" i="10" s="1"/>
  <c r="L2150" i="10"/>
  <c r="K2150" i="10" s="1"/>
  <c r="L2162" i="10"/>
  <c r="K2162" i="10" s="1"/>
  <c r="L2174" i="10"/>
  <c r="K2174" i="10" s="1"/>
  <c r="L2186" i="10"/>
  <c r="K2186" i="10" s="1"/>
  <c r="L2198" i="10"/>
  <c r="K2198" i="10" s="1"/>
  <c r="L2210" i="10"/>
  <c r="K2210" i="10" s="1"/>
  <c r="L2222" i="10"/>
  <c r="K2222" i="10" s="1"/>
  <c r="L2234" i="10"/>
  <c r="K2234" i="10" s="1"/>
  <c r="L2246" i="10"/>
  <c r="K2246" i="10" s="1"/>
  <c r="L2258" i="10"/>
  <c r="K2258" i="10" s="1"/>
  <c r="L2270" i="10"/>
  <c r="K2270" i="10" s="1"/>
  <c r="L2282" i="10"/>
  <c r="K2282" i="10" s="1"/>
  <c r="L2294" i="10"/>
  <c r="K2294" i="10" s="1"/>
  <c r="L2306" i="10"/>
  <c r="K2306" i="10" s="1"/>
  <c r="L2318" i="10"/>
  <c r="K2318" i="10" s="1"/>
  <c r="L2330" i="10"/>
  <c r="K2330" i="10" s="1"/>
  <c r="L2342" i="10"/>
  <c r="K2342" i="10" s="1"/>
  <c r="L2354" i="10"/>
  <c r="K2354" i="10" s="1"/>
  <c r="L2366" i="10"/>
  <c r="K2366" i="10" s="1"/>
  <c r="L2378" i="10"/>
  <c r="K2378" i="10" s="1"/>
  <c r="L2390" i="10"/>
  <c r="K2390" i="10" s="1"/>
  <c r="L2402" i="10"/>
  <c r="K2402" i="10" s="1"/>
  <c r="L2414" i="10"/>
  <c r="K2414" i="10" s="1"/>
  <c r="L2426" i="10"/>
  <c r="K2426" i="10" s="1"/>
  <c r="L2438" i="10"/>
  <c r="K2438" i="10" s="1"/>
  <c r="L2450" i="10"/>
  <c r="K2450" i="10" s="1"/>
  <c r="L2462" i="10"/>
  <c r="K2462" i="10" s="1"/>
  <c r="L2474" i="10"/>
  <c r="K2474" i="10" s="1"/>
  <c r="L2486" i="10"/>
  <c r="K2486" i="10" s="1"/>
  <c r="L2498" i="10"/>
  <c r="K2498" i="10" s="1"/>
  <c r="L2510" i="10"/>
  <c r="K2510" i="10" s="1"/>
  <c r="L2522" i="10"/>
  <c r="K2522" i="10" s="1"/>
  <c r="L2534" i="10"/>
  <c r="K2534" i="10" s="1"/>
  <c r="L2546" i="10"/>
  <c r="K2546" i="10" s="1"/>
  <c r="L2558" i="10"/>
  <c r="K2558" i="10" s="1"/>
  <c r="L2570" i="10"/>
  <c r="K2570" i="10" s="1"/>
  <c r="L2582" i="10"/>
  <c r="K2582" i="10" s="1"/>
  <c r="L2594" i="10"/>
  <c r="K2594" i="10" s="1"/>
  <c r="L2606" i="10"/>
  <c r="K2606" i="10" s="1"/>
  <c r="L2618" i="10"/>
  <c r="K2618" i="10" s="1"/>
  <c r="L2630" i="10"/>
  <c r="K2630" i="10" s="1"/>
  <c r="L2642" i="10"/>
  <c r="K2642" i="10" s="1"/>
  <c r="L2654" i="10"/>
  <c r="K2654" i="10" s="1"/>
  <c r="L2666" i="10"/>
  <c r="K2666" i="10" s="1"/>
  <c r="L2678" i="10"/>
  <c r="K2678" i="10" s="1"/>
  <c r="L2690" i="10"/>
  <c r="K2690" i="10" s="1"/>
  <c r="L2702" i="10"/>
  <c r="K2702" i="10" s="1"/>
  <c r="L2714" i="10"/>
  <c r="K2714" i="10" s="1"/>
  <c r="L2726" i="10"/>
  <c r="K2726" i="10" s="1"/>
  <c r="L2738" i="10"/>
  <c r="K2738" i="10" s="1"/>
  <c r="L2750" i="10"/>
  <c r="K2750" i="10" s="1"/>
  <c r="L2762" i="10"/>
  <c r="K2762" i="10" s="1"/>
  <c r="L2774" i="10"/>
  <c r="K2774" i="10" s="1"/>
  <c r="L2786" i="10"/>
  <c r="K2786" i="10" s="1"/>
  <c r="L76" i="10"/>
  <c r="K76" i="10" s="1"/>
  <c r="L254" i="10"/>
  <c r="K254" i="10" s="1"/>
  <c r="L374" i="10"/>
  <c r="K374" i="10" s="1"/>
  <c r="L422" i="10"/>
  <c r="K422" i="10" s="1"/>
  <c r="L470" i="10"/>
  <c r="K470" i="10" s="1"/>
  <c r="L518" i="10"/>
  <c r="K518" i="10" s="1"/>
  <c r="L566" i="10"/>
  <c r="K566" i="10" s="1"/>
  <c r="L614" i="10"/>
  <c r="K614" i="10" s="1"/>
  <c r="L662" i="10"/>
  <c r="K662" i="10" s="1"/>
  <c r="L710" i="10"/>
  <c r="K710" i="10" s="1"/>
  <c r="L758" i="10"/>
  <c r="K758" i="10" s="1"/>
  <c r="L806" i="10"/>
  <c r="K806" i="10" s="1"/>
  <c r="L854" i="10"/>
  <c r="K854" i="10" s="1"/>
  <c r="L902" i="10"/>
  <c r="K902" i="10" s="1"/>
  <c r="L950" i="10"/>
  <c r="K950" i="10" s="1"/>
  <c r="L998" i="10"/>
  <c r="K998" i="10" s="1"/>
  <c r="L1043" i="10"/>
  <c r="K1043" i="10" s="1"/>
  <c r="L1058" i="10"/>
  <c r="K1058" i="10" s="1"/>
  <c r="L1073" i="10"/>
  <c r="K1073" i="10" s="1"/>
  <c r="L1087" i="10"/>
  <c r="K1087" i="10" s="1"/>
  <c r="L1101" i="10"/>
  <c r="K1101" i="10" s="1"/>
  <c r="L1116" i="10"/>
  <c r="K1116" i="10" s="1"/>
  <c r="L1130" i="10"/>
  <c r="K1130" i="10" s="1"/>
  <c r="L1143" i="10"/>
  <c r="K1143" i="10" s="1"/>
  <c r="L1155" i="10"/>
  <c r="K1155" i="10" s="1"/>
  <c r="L1167" i="10"/>
  <c r="K1167" i="10" s="1"/>
  <c r="L1179" i="10"/>
  <c r="K1179" i="10" s="1"/>
  <c r="L1191" i="10"/>
  <c r="K1191" i="10" s="1"/>
  <c r="L1203" i="10"/>
  <c r="K1203" i="10" s="1"/>
  <c r="L1215" i="10"/>
  <c r="K1215" i="10" s="1"/>
  <c r="L1227" i="10"/>
  <c r="K1227" i="10" s="1"/>
  <c r="L1239" i="10"/>
  <c r="K1239" i="10" s="1"/>
  <c r="L1251" i="10"/>
  <c r="K1251" i="10" s="1"/>
  <c r="L1263" i="10"/>
  <c r="K1263" i="10" s="1"/>
  <c r="L1275" i="10"/>
  <c r="K1275" i="10" s="1"/>
  <c r="L1287" i="10"/>
  <c r="K1287" i="10" s="1"/>
  <c r="L1299" i="10"/>
  <c r="K1299" i="10" s="1"/>
  <c r="L1311" i="10"/>
  <c r="K1311" i="10" s="1"/>
  <c r="L1323" i="10"/>
  <c r="K1323" i="10" s="1"/>
  <c r="L1335" i="10"/>
  <c r="K1335" i="10" s="1"/>
  <c r="L1347" i="10"/>
  <c r="K1347" i="10" s="1"/>
  <c r="L1359" i="10"/>
  <c r="K1359" i="10" s="1"/>
  <c r="L1371" i="10"/>
  <c r="K1371" i="10" s="1"/>
  <c r="L1383" i="10"/>
  <c r="K1383" i="10" s="1"/>
  <c r="L1395" i="10"/>
  <c r="K1395" i="10" s="1"/>
  <c r="L1407" i="10"/>
  <c r="K1407" i="10" s="1"/>
  <c r="L1419" i="10"/>
  <c r="K1419" i="10" s="1"/>
  <c r="L1431" i="10"/>
  <c r="K1431" i="10" s="1"/>
  <c r="L1443" i="10"/>
  <c r="K1443" i="10" s="1"/>
  <c r="L1455" i="10"/>
  <c r="K1455" i="10" s="1"/>
  <c r="L1467" i="10"/>
  <c r="K1467" i="10" s="1"/>
  <c r="L1479" i="10"/>
  <c r="K1479" i="10" s="1"/>
  <c r="L1491" i="10"/>
  <c r="K1491" i="10" s="1"/>
  <c r="L1503" i="10"/>
  <c r="K1503" i="10" s="1"/>
  <c r="L1515" i="10"/>
  <c r="K1515" i="10" s="1"/>
  <c r="L1527" i="10"/>
  <c r="K1527" i="10" s="1"/>
  <c r="L1539" i="10"/>
  <c r="K1539" i="10" s="1"/>
  <c r="L1551" i="10"/>
  <c r="K1551" i="10" s="1"/>
  <c r="L1563" i="10"/>
  <c r="K1563" i="10" s="1"/>
  <c r="L1575" i="10"/>
  <c r="K1575" i="10" s="1"/>
  <c r="L1587" i="10"/>
  <c r="K1587" i="10" s="1"/>
  <c r="L1599" i="10"/>
  <c r="K1599" i="10" s="1"/>
  <c r="L1611" i="10"/>
  <c r="K1611" i="10" s="1"/>
  <c r="L1623" i="10"/>
  <c r="K1623" i="10" s="1"/>
  <c r="L1635" i="10"/>
  <c r="K1635" i="10" s="1"/>
  <c r="L1647" i="10"/>
  <c r="K1647" i="10" s="1"/>
  <c r="L1659" i="10"/>
  <c r="K1659" i="10" s="1"/>
  <c r="L1671" i="10"/>
  <c r="K1671" i="10" s="1"/>
  <c r="L1683" i="10"/>
  <c r="K1683" i="10" s="1"/>
  <c r="L1695" i="10"/>
  <c r="K1695" i="10" s="1"/>
  <c r="L1707" i="10"/>
  <c r="K1707" i="10" s="1"/>
  <c r="L1719" i="10"/>
  <c r="K1719" i="10" s="1"/>
  <c r="L1731" i="10"/>
  <c r="K1731" i="10" s="1"/>
  <c r="L1743" i="10"/>
  <c r="K1743" i="10" s="1"/>
  <c r="L1755" i="10"/>
  <c r="K1755" i="10" s="1"/>
  <c r="L1767" i="10"/>
  <c r="K1767" i="10" s="1"/>
  <c r="L1779" i="10"/>
  <c r="K1779" i="10" s="1"/>
  <c r="L1791" i="10"/>
  <c r="K1791" i="10" s="1"/>
  <c r="L1803" i="10"/>
  <c r="K1803" i="10" s="1"/>
  <c r="L1815" i="10"/>
  <c r="K1815" i="10" s="1"/>
  <c r="L1827" i="10"/>
  <c r="K1827" i="10" s="1"/>
  <c r="L1839" i="10"/>
  <c r="K1839" i="10" s="1"/>
  <c r="L1851" i="10"/>
  <c r="K1851" i="10" s="1"/>
  <c r="L1863" i="10"/>
  <c r="K1863" i="10" s="1"/>
  <c r="L1875" i="10"/>
  <c r="K1875" i="10" s="1"/>
  <c r="L1887" i="10"/>
  <c r="K1887" i="10" s="1"/>
  <c r="L1899" i="10"/>
  <c r="K1899" i="10" s="1"/>
  <c r="L1911" i="10"/>
  <c r="K1911" i="10" s="1"/>
  <c r="L1923" i="10"/>
  <c r="K1923" i="10" s="1"/>
  <c r="L1935" i="10"/>
  <c r="K1935" i="10" s="1"/>
  <c r="L1947" i="10"/>
  <c r="K1947" i="10" s="1"/>
  <c r="L1959" i="10"/>
  <c r="K1959" i="10" s="1"/>
  <c r="L1971" i="10"/>
  <c r="K1971" i="10" s="1"/>
  <c r="L1983" i="10"/>
  <c r="K1983" i="10" s="1"/>
  <c r="L1995" i="10"/>
  <c r="K1995" i="10" s="1"/>
  <c r="L2007" i="10"/>
  <c r="K2007" i="10" s="1"/>
  <c r="L2019" i="10"/>
  <c r="K2019" i="10" s="1"/>
  <c r="L2031" i="10"/>
  <c r="K2031" i="10" s="1"/>
  <c r="L2043" i="10"/>
  <c r="K2043" i="10" s="1"/>
  <c r="L2055" i="10"/>
  <c r="K2055" i="10" s="1"/>
  <c r="L2067" i="10"/>
  <c r="K2067" i="10" s="1"/>
  <c r="L2079" i="10"/>
  <c r="K2079" i="10" s="1"/>
  <c r="L2091" i="10"/>
  <c r="K2091" i="10" s="1"/>
  <c r="L2103" i="10"/>
  <c r="K2103" i="10" s="1"/>
  <c r="L2115" i="10"/>
  <c r="K2115" i="10" s="1"/>
  <c r="L2127" i="10"/>
  <c r="K2127" i="10" s="1"/>
  <c r="L2139" i="10"/>
  <c r="K2139" i="10" s="1"/>
  <c r="L2151" i="10"/>
  <c r="K2151" i="10" s="1"/>
  <c r="L2163" i="10"/>
  <c r="K2163" i="10" s="1"/>
  <c r="L2175" i="10"/>
  <c r="K2175" i="10" s="1"/>
  <c r="L2187" i="10"/>
  <c r="K2187" i="10" s="1"/>
  <c r="L2199" i="10"/>
  <c r="K2199" i="10" s="1"/>
  <c r="L2211" i="10"/>
  <c r="K2211" i="10" s="1"/>
  <c r="L2223" i="10"/>
  <c r="K2223" i="10" s="1"/>
  <c r="L2235" i="10"/>
  <c r="K2235" i="10" s="1"/>
  <c r="L2247" i="10"/>
  <c r="K2247" i="10" s="1"/>
  <c r="L2259" i="10"/>
  <c r="K2259" i="10" s="1"/>
  <c r="L2271" i="10"/>
  <c r="K2271" i="10" s="1"/>
  <c r="L2283" i="10"/>
  <c r="K2283" i="10" s="1"/>
  <c r="L2295" i="10"/>
  <c r="K2295" i="10" s="1"/>
  <c r="L2307" i="10"/>
  <c r="K2307" i="10" s="1"/>
  <c r="L2319" i="10"/>
  <c r="K2319" i="10" s="1"/>
  <c r="L2331" i="10"/>
  <c r="K2331" i="10" s="1"/>
  <c r="L2343" i="10"/>
  <c r="K2343" i="10" s="1"/>
  <c r="L2355" i="10"/>
  <c r="K2355" i="10" s="1"/>
  <c r="L2367" i="10"/>
  <c r="K2367" i="10" s="1"/>
  <c r="L2379" i="10"/>
  <c r="K2379" i="10" s="1"/>
  <c r="L2391" i="10"/>
  <c r="K2391" i="10" s="1"/>
  <c r="L2403" i="10"/>
  <c r="K2403" i="10" s="1"/>
  <c r="L2415" i="10"/>
  <c r="K2415" i="10" s="1"/>
  <c r="L2427" i="10"/>
  <c r="K2427" i="10" s="1"/>
  <c r="L2439" i="10"/>
  <c r="K2439" i="10" s="1"/>
  <c r="L2451" i="10"/>
  <c r="K2451" i="10" s="1"/>
  <c r="L2463" i="10"/>
  <c r="K2463" i="10" s="1"/>
  <c r="L2475" i="10"/>
  <c r="K2475" i="10" s="1"/>
  <c r="L2487" i="10"/>
  <c r="K2487" i="10" s="1"/>
  <c r="L2499" i="10"/>
  <c r="K2499" i="10" s="1"/>
  <c r="L2511" i="10"/>
  <c r="K2511" i="10" s="1"/>
  <c r="L2523" i="10"/>
  <c r="K2523" i="10" s="1"/>
  <c r="L2535" i="10"/>
  <c r="K2535" i="10" s="1"/>
  <c r="L2547" i="10"/>
  <c r="K2547" i="10" s="1"/>
  <c r="L2559" i="10"/>
  <c r="K2559" i="10" s="1"/>
  <c r="L2571" i="10"/>
  <c r="K2571" i="10" s="1"/>
  <c r="L2583" i="10"/>
  <c r="K2583" i="10" s="1"/>
  <c r="L2595" i="10"/>
  <c r="K2595" i="10" s="1"/>
  <c r="L2607" i="10"/>
  <c r="K2607" i="10" s="1"/>
  <c r="L2619" i="10"/>
  <c r="K2619" i="10" s="1"/>
  <c r="L2631" i="10"/>
  <c r="K2631" i="10" s="1"/>
  <c r="L2643" i="10"/>
  <c r="K2643" i="10" s="1"/>
  <c r="L2655" i="10"/>
  <c r="K2655" i="10" s="1"/>
  <c r="L2667" i="10"/>
  <c r="K2667" i="10" s="1"/>
  <c r="L2679" i="10"/>
  <c r="K2679" i="10" s="1"/>
  <c r="L2691" i="10"/>
  <c r="K2691" i="10" s="1"/>
  <c r="L2703" i="10"/>
  <c r="K2703" i="10" s="1"/>
  <c r="L2715" i="10"/>
  <c r="K2715" i="10" s="1"/>
  <c r="L2727" i="10"/>
  <c r="K2727" i="10" s="1"/>
  <c r="L2739" i="10"/>
  <c r="K2739" i="10" s="1"/>
  <c r="L2751" i="10"/>
  <c r="K2751" i="10" s="1"/>
  <c r="L2763" i="10"/>
  <c r="K2763" i="10" s="1"/>
  <c r="L2775" i="10"/>
  <c r="K2775" i="10" s="1"/>
  <c r="L2787" i="10"/>
  <c r="K2787" i="10" s="1"/>
  <c r="L2799" i="10"/>
  <c r="K2799" i="10" s="1"/>
  <c r="L2811" i="10"/>
  <c r="K2811" i="10" s="1"/>
  <c r="L2823" i="10"/>
  <c r="K2823" i="10" s="1"/>
  <c r="L2835" i="10"/>
  <c r="K2835" i="10" s="1"/>
  <c r="L2847" i="10"/>
  <c r="K2847" i="10" s="1"/>
  <c r="L2859" i="10"/>
  <c r="K2859" i="10" s="1"/>
  <c r="L2871" i="10"/>
  <c r="K2871" i="10" s="1"/>
  <c r="L2883" i="10"/>
  <c r="K2883" i="10" s="1"/>
  <c r="L2895" i="10"/>
  <c r="K2895" i="10" s="1"/>
  <c r="L122" i="10"/>
  <c r="K122" i="10" s="1"/>
  <c r="L266" i="10"/>
  <c r="K266" i="10" s="1"/>
  <c r="L376" i="10"/>
  <c r="K376" i="10" s="1"/>
  <c r="L424" i="10"/>
  <c r="K424" i="10" s="1"/>
  <c r="L472" i="10"/>
  <c r="K472" i="10" s="1"/>
  <c r="L520" i="10"/>
  <c r="K520" i="10" s="1"/>
  <c r="L568" i="10"/>
  <c r="K568" i="10" s="1"/>
  <c r="L616" i="10"/>
  <c r="K616" i="10" s="1"/>
  <c r="L664" i="10"/>
  <c r="K664" i="10" s="1"/>
  <c r="L712" i="10"/>
  <c r="K712" i="10" s="1"/>
  <c r="L760" i="10"/>
  <c r="K760" i="10" s="1"/>
  <c r="L808" i="10"/>
  <c r="K808" i="10" s="1"/>
  <c r="L856" i="10"/>
  <c r="K856" i="10" s="1"/>
  <c r="L904" i="10"/>
  <c r="K904" i="10" s="1"/>
  <c r="L952" i="10"/>
  <c r="K952" i="10" s="1"/>
  <c r="L1000" i="10"/>
  <c r="K1000" i="10" s="1"/>
  <c r="L1044" i="10"/>
  <c r="K1044" i="10" s="1"/>
  <c r="L1060" i="10"/>
  <c r="K1060" i="10" s="1"/>
  <c r="L1074" i="10"/>
  <c r="K1074" i="10" s="1"/>
  <c r="L1088" i="10"/>
  <c r="K1088" i="10" s="1"/>
  <c r="L1103" i="10"/>
  <c r="K1103" i="10" s="1"/>
  <c r="L1117" i="10"/>
  <c r="K1117" i="10" s="1"/>
  <c r="L1132" i="10"/>
  <c r="K1132" i="10" s="1"/>
  <c r="L1144" i="10"/>
  <c r="K1144" i="10" s="1"/>
  <c r="L1156" i="10"/>
  <c r="K1156" i="10" s="1"/>
  <c r="L1168" i="10"/>
  <c r="K1168" i="10" s="1"/>
  <c r="L1180" i="10"/>
  <c r="K1180" i="10" s="1"/>
  <c r="L1192" i="10"/>
  <c r="K1192" i="10" s="1"/>
  <c r="L1204" i="10"/>
  <c r="K1204" i="10" s="1"/>
  <c r="L1216" i="10"/>
  <c r="K1216" i="10" s="1"/>
  <c r="L1228" i="10"/>
  <c r="K1228" i="10" s="1"/>
  <c r="L1240" i="10"/>
  <c r="K1240" i="10" s="1"/>
  <c r="L1252" i="10"/>
  <c r="K1252" i="10" s="1"/>
  <c r="L1264" i="10"/>
  <c r="K1264" i="10" s="1"/>
  <c r="L1276" i="10"/>
  <c r="K1276" i="10" s="1"/>
  <c r="L1288" i="10"/>
  <c r="K1288" i="10" s="1"/>
  <c r="L1300" i="10"/>
  <c r="K1300" i="10" s="1"/>
  <c r="L1312" i="10"/>
  <c r="K1312" i="10" s="1"/>
  <c r="L1324" i="10"/>
  <c r="K1324" i="10" s="1"/>
  <c r="L1336" i="10"/>
  <c r="K1336" i="10" s="1"/>
  <c r="L1348" i="10"/>
  <c r="K1348" i="10" s="1"/>
  <c r="L1360" i="10"/>
  <c r="K1360" i="10" s="1"/>
  <c r="L1372" i="10"/>
  <c r="K1372" i="10" s="1"/>
  <c r="L1384" i="10"/>
  <c r="K1384" i="10" s="1"/>
  <c r="L1396" i="10"/>
  <c r="K1396" i="10" s="1"/>
  <c r="L1408" i="10"/>
  <c r="K1408" i="10" s="1"/>
  <c r="L1420" i="10"/>
  <c r="K1420" i="10" s="1"/>
  <c r="L1432" i="10"/>
  <c r="K1432" i="10" s="1"/>
  <c r="L1444" i="10"/>
  <c r="K1444" i="10" s="1"/>
  <c r="L1456" i="10"/>
  <c r="K1456" i="10" s="1"/>
  <c r="L1468" i="10"/>
  <c r="K1468" i="10" s="1"/>
  <c r="L1480" i="10"/>
  <c r="K1480" i="10" s="1"/>
  <c r="L1492" i="10"/>
  <c r="K1492" i="10" s="1"/>
  <c r="L1504" i="10"/>
  <c r="K1504" i="10" s="1"/>
  <c r="L1516" i="10"/>
  <c r="K1516" i="10" s="1"/>
  <c r="L1528" i="10"/>
  <c r="K1528" i="10" s="1"/>
  <c r="L1540" i="10"/>
  <c r="K1540" i="10" s="1"/>
  <c r="L1552" i="10"/>
  <c r="K1552" i="10" s="1"/>
  <c r="L1564" i="10"/>
  <c r="K1564" i="10" s="1"/>
  <c r="L1576" i="10"/>
  <c r="K1576" i="10" s="1"/>
  <c r="L1588" i="10"/>
  <c r="K1588" i="10" s="1"/>
  <c r="L1600" i="10"/>
  <c r="K1600" i="10" s="1"/>
  <c r="L1612" i="10"/>
  <c r="K1612" i="10" s="1"/>
  <c r="L1624" i="10"/>
  <c r="K1624" i="10" s="1"/>
  <c r="L1636" i="10"/>
  <c r="K1636" i="10" s="1"/>
  <c r="L1648" i="10"/>
  <c r="K1648" i="10" s="1"/>
  <c r="L1660" i="10"/>
  <c r="K1660" i="10" s="1"/>
  <c r="L1672" i="10"/>
  <c r="K1672" i="10" s="1"/>
  <c r="L1684" i="10"/>
  <c r="K1684" i="10" s="1"/>
  <c r="L1696" i="10"/>
  <c r="K1696" i="10" s="1"/>
  <c r="L1708" i="10"/>
  <c r="K1708" i="10" s="1"/>
  <c r="L1720" i="10"/>
  <c r="K1720" i="10" s="1"/>
  <c r="L1732" i="10"/>
  <c r="K1732" i="10" s="1"/>
  <c r="L1744" i="10"/>
  <c r="K1744" i="10" s="1"/>
  <c r="L1756" i="10"/>
  <c r="K1756" i="10" s="1"/>
  <c r="L1768" i="10"/>
  <c r="K1768" i="10" s="1"/>
  <c r="L1780" i="10"/>
  <c r="K1780" i="10" s="1"/>
  <c r="L1792" i="10"/>
  <c r="K1792" i="10" s="1"/>
  <c r="L1804" i="10"/>
  <c r="K1804" i="10" s="1"/>
  <c r="L1816" i="10"/>
  <c r="K1816" i="10" s="1"/>
  <c r="L1828" i="10"/>
  <c r="K1828" i="10" s="1"/>
  <c r="L1840" i="10"/>
  <c r="K1840" i="10" s="1"/>
  <c r="L1852" i="10"/>
  <c r="K1852" i="10" s="1"/>
  <c r="L1864" i="10"/>
  <c r="K1864" i="10" s="1"/>
  <c r="L1876" i="10"/>
  <c r="K1876" i="10" s="1"/>
  <c r="L1888" i="10"/>
  <c r="K1888" i="10" s="1"/>
  <c r="L1900" i="10"/>
  <c r="K1900" i="10" s="1"/>
  <c r="L1912" i="10"/>
  <c r="K1912" i="10" s="1"/>
  <c r="L1924" i="10"/>
  <c r="K1924" i="10" s="1"/>
  <c r="L1936" i="10"/>
  <c r="K1936" i="10" s="1"/>
  <c r="L1948" i="10"/>
  <c r="K1948" i="10" s="1"/>
  <c r="L1960" i="10"/>
  <c r="K1960" i="10" s="1"/>
  <c r="L1972" i="10"/>
  <c r="K1972" i="10" s="1"/>
  <c r="L1984" i="10"/>
  <c r="K1984" i="10" s="1"/>
  <c r="L1996" i="10"/>
  <c r="K1996" i="10" s="1"/>
  <c r="L2008" i="10"/>
  <c r="K2008" i="10" s="1"/>
  <c r="L2020" i="10"/>
  <c r="K2020" i="10" s="1"/>
  <c r="L2032" i="10"/>
  <c r="K2032" i="10" s="1"/>
  <c r="L2044" i="10"/>
  <c r="K2044" i="10" s="1"/>
  <c r="L2056" i="10"/>
  <c r="K2056" i="10" s="1"/>
  <c r="L2068" i="10"/>
  <c r="K2068" i="10" s="1"/>
  <c r="L2080" i="10"/>
  <c r="K2080" i="10" s="1"/>
  <c r="L2092" i="10"/>
  <c r="K2092" i="10" s="1"/>
  <c r="L2104" i="10"/>
  <c r="K2104" i="10" s="1"/>
  <c r="L2116" i="10"/>
  <c r="K2116" i="10" s="1"/>
  <c r="L2128" i="10"/>
  <c r="K2128" i="10" s="1"/>
  <c r="L2140" i="10"/>
  <c r="K2140" i="10" s="1"/>
  <c r="L2152" i="10"/>
  <c r="K2152" i="10" s="1"/>
  <c r="L2164" i="10"/>
  <c r="K2164" i="10" s="1"/>
  <c r="L134" i="10"/>
  <c r="K134" i="10" s="1"/>
  <c r="L278" i="10"/>
  <c r="K278" i="10" s="1"/>
  <c r="L383" i="10"/>
  <c r="K383" i="10" s="1"/>
  <c r="L431" i="10"/>
  <c r="K431" i="10" s="1"/>
  <c r="L479" i="10"/>
  <c r="K479" i="10" s="1"/>
  <c r="L527" i="10"/>
  <c r="K527" i="10" s="1"/>
  <c r="L575" i="10"/>
  <c r="K575" i="10" s="1"/>
  <c r="L623" i="10"/>
  <c r="K623" i="10" s="1"/>
  <c r="L671" i="10"/>
  <c r="K671" i="10" s="1"/>
  <c r="L719" i="10"/>
  <c r="K719" i="10" s="1"/>
  <c r="L767" i="10"/>
  <c r="K767" i="10" s="1"/>
  <c r="L815" i="10"/>
  <c r="K815" i="10" s="1"/>
  <c r="L863" i="10"/>
  <c r="K863" i="10" s="1"/>
  <c r="L911" i="10"/>
  <c r="K911" i="10" s="1"/>
  <c r="L959" i="10"/>
  <c r="K959" i="10" s="1"/>
  <c r="L1007" i="10"/>
  <c r="K1007" i="10" s="1"/>
  <c r="L1046" i="10"/>
  <c r="K1046" i="10" s="1"/>
  <c r="L1061" i="10"/>
  <c r="K1061" i="10" s="1"/>
  <c r="L1075" i="10"/>
  <c r="K1075" i="10" s="1"/>
  <c r="L1089" i="10"/>
  <c r="K1089" i="10" s="1"/>
  <c r="L1104" i="10"/>
  <c r="K1104" i="10" s="1"/>
  <c r="L1118" i="10"/>
  <c r="K1118" i="10" s="1"/>
  <c r="L1133" i="10"/>
  <c r="K1133" i="10" s="1"/>
  <c r="L1145" i="10"/>
  <c r="K1145" i="10" s="1"/>
  <c r="L1157" i="10"/>
  <c r="K1157" i="10" s="1"/>
  <c r="L1169" i="10"/>
  <c r="K1169" i="10" s="1"/>
  <c r="L1181" i="10"/>
  <c r="K1181" i="10" s="1"/>
  <c r="L1193" i="10"/>
  <c r="K1193" i="10" s="1"/>
  <c r="L1205" i="10"/>
  <c r="K1205" i="10" s="1"/>
  <c r="L1217" i="10"/>
  <c r="K1217" i="10" s="1"/>
  <c r="L1229" i="10"/>
  <c r="K1229" i="10" s="1"/>
  <c r="L1241" i="10"/>
  <c r="K1241" i="10" s="1"/>
  <c r="L1253" i="10"/>
  <c r="K1253" i="10" s="1"/>
  <c r="L1265" i="10"/>
  <c r="K1265" i="10" s="1"/>
  <c r="L1277" i="10"/>
  <c r="K1277" i="10" s="1"/>
  <c r="L1289" i="10"/>
  <c r="K1289" i="10" s="1"/>
  <c r="L1301" i="10"/>
  <c r="K1301" i="10" s="1"/>
  <c r="L1313" i="10"/>
  <c r="K1313" i="10" s="1"/>
  <c r="L1325" i="10"/>
  <c r="K1325" i="10" s="1"/>
  <c r="L1337" i="10"/>
  <c r="K1337" i="10" s="1"/>
  <c r="L1349" i="10"/>
  <c r="K1349" i="10" s="1"/>
  <c r="L1361" i="10"/>
  <c r="K1361" i="10" s="1"/>
  <c r="L1373" i="10"/>
  <c r="K1373" i="10" s="1"/>
  <c r="L1385" i="10"/>
  <c r="K1385" i="10" s="1"/>
  <c r="L1397" i="10"/>
  <c r="K1397" i="10" s="1"/>
  <c r="L1409" i="10"/>
  <c r="K1409" i="10" s="1"/>
  <c r="L1421" i="10"/>
  <c r="K1421" i="10" s="1"/>
  <c r="L1433" i="10"/>
  <c r="K1433" i="10" s="1"/>
  <c r="L1445" i="10"/>
  <c r="K1445" i="10" s="1"/>
  <c r="L1457" i="10"/>
  <c r="K1457" i="10" s="1"/>
  <c r="L1469" i="10"/>
  <c r="K1469" i="10" s="1"/>
  <c r="L1481" i="10"/>
  <c r="K1481" i="10" s="1"/>
  <c r="L1493" i="10"/>
  <c r="K1493" i="10" s="1"/>
  <c r="L1505" i="10"/>
  <c r="K1505" i="10" s="1"/>
  <c r="L1517" i="10"/>
  <c r="K1517" i="10" s="1"/>
  <c r="L1529" i="10"/>
  <c r="K1529" i="10" s="1"/>
  <c r="L1541" i="10"/>
  <c r="K1541" i="10" s="1"/>
  <c r="L1553" i="10"/>
  <c r="K1553" i="10" s="1"/>
  <c r="L1565" i="10"/>
  <c r="K1565" i="10" s="1"/>
  <c r="L1577" i="10"/>
  <c r="K1577" i="10" s="1"/>
  <c r="L1589" i="10"/>
  <c r="K1589" i="10" s="1"/>
  <c r="L1601" i="10"/>
  <c r="K1601" i="10" s="1"/>
  <c r="L1613" i="10"/>
  <c r="K1613" i="10" s="1"/>
  <c r="L1625" i="10"/>
  <c r="K1625" i="10" s="1"/>
  <c r="L1637" i="10"/>
  <c r="K1637" i="10" s="1"/>
  <c r="L1649" i="10"/>
  <c r="K1649" i="10" s="1"/>
  <c r="L1661" i="10"/>
  <c r="K1661" i="10" s="1"/>
  <c r="L1673" i="10"/>
  <c r="K1673" i="10" s="1"/>
  <c r="L1685" i="10"/>
  <c r="K1685" i="10" s="1"/>
  <c r="L1697" i="10"/>
  <c r="K1697" i="10" s="1"/>
  <c r="L1709" i="10"/>
  <c r="K1709" i="10" s="1"/>
  <c r="L1721" i="10"/>
  <c r="K1721" i="10" s="1"/>
  <c r="L1733" i="10"/>
  <c r="K1733" i="10" s="1"/>
  <c r="L1745" i="10"/>
  <c r="K1745" i="10" s="1"/>
  <c r="L1757" i="10"/>
  <c r="K1757" i="10" s="1"/>
  <c r="L1769" i="10"/>
  <c r="K1769" i="10" s="1"/>
  <c r="L1781" i="10"/>
  <c r="K1781" i="10" s="1"/>
  <c r="L1793" i="10"/>
  <c r="K1793" i="10" s="1"/>
  <c r="L1805" i="10"/>
  <c r="K1805" i="10" s="1"/>
  <c r="L1817" i="10"/>
  <c r="K1817" i="10" s="1"/>
  <c r="L1829" i="10"/>
  <c r="K1829" i="10" s="1"/>
  <c r="L1841" i="10"/>
  <c r="K1841" i="10" s="1"/>
  <c r="L1853" i="10"/>
  <c r="K1853" i="10" s="1"/>
  <c r="L1865" i="10"/>
  <c r="K1865" i="10" s="1"/>
  <c r="L1877" i="10"/>
  <c r="K1877" i="10" s="1"/>
  <c r="L1889" i="10"/>
  <c r="K1889" i="10" s="1"/>
  <c r="L1901" i="10"/>
  <c r="K1901" i="10" s="1"/>
  <c r="L1913" i="10"/>
  <c r="K1913" i="10" s="1"/>
  <c r="L1925" i="10"/>
  <c r="K1925" i="10" s="1"/>
  <c r="L1937" i="10"/>
  <c r="K1937" i="10" s="1"/>
  <c r="L1949" i="10"/>
  <c r="K1949" i="10" s="1"/>
  <c r="L1961" i="10"/>
  <c r="K1961" i="10" s="1"/>
  <c r="L1973" i="10"/>
  <c r="K1973" i="10" s="1"/>
  <c r="L1985" i="10"/>
  <c r="K1985" i="10" s="1"/>
  <c r="L1997" i="10"/>
  <c r="K1997" i="10" s="1"/>
  <c r="L2009" i="10"/>
  <c r="K2009" i="10" s="1"/>
  <c r="L2021" i="10"/>
  <c r="K2021" i="10" s="1"/>
  <c r="L2033" i="10"/>
  <c r="K2033" i="10" s="1"/>
  <c r="L2045" i="10"/>
  <c r="K2045" i="10" s="1"/>
  <c r="L2057" i="10"/>
  <c r="K2057" i="10" s="1"/>
  <c r="L2069" i="10"/>
  <c r="K2069" i="10" s="1"/>
  <c r="L2081" i="10"/>
  <c r="K2081" i="10" s="1"/>
  <c r="L2093" i="10"/>
  <c r="K2093" i="10" s="1"/>
  <c r="L2105" i="10"/>
  <c r="K2105" i="10" s="1"/>
  <c r="L2117" i="10"/>
  <c r="K2117" i="10" s="1"/>
  <c r="L2129" i="10"/>
  <c r="K2129" i="10" s="1"/>
  <c r="L2141" i="10"/>
  <c r="K2141" i="10" s="1"/>
  <c r="L2153" i="10"/>
  <c r="K2153" i="10" s="1"/>
  <c r="L2165" i="10"/>
  <c r="K2165" i="10" s="1"/>
  <c r="L2177" i="10"/>
  <c r="K2177" i="10" s="1"/>
  <c r="L2189" i="10"/>
  <c r="K2189" i="10" s="1"/>
  <c r="L2201" i="10"/>
  <c r="K2201" i="10" s="1"/>
  <c r="L2213" i="10"/>
  <c r="K2213" i="10" s="1"/>
  <c r="L2225" i="10"/>
  <c r="K2225" i="10" s="1"/>
  <c r="L2237" i="10"/>
  <c r="K2237" i="10" s="1"/>
  <c r="L2249" i="10"/>
  <c r="K2249" i="10" s="1"/>
  <c r="L2261" i="10"/>
  <c r="K2261" i="10" s="1"/>
  <c r="L2273" i="10"/>
  <c r="K2273" i="10" s="1"/>
  <c r="L2285" i="10"/>
  <c r="K2285" i="10" s="1"/>
  <c r="L2297" i="10"/>
  <c r="K2297" i="10" s="1"/>
  <c r="L2309" i="10"/>
  <c r="K2309" i="10" s="1"/>
  <c r="L2321" i="10"/>
  <c r="K2321" i="10" s="1"/>
  <c r="L2333" i="10"/>
  <c r="K2333" i="10" s="1"/>
  <c r="L2345" i="10"/>
  <c r="K2345" i="10" s="1"/>
  <c r="L2357" i="10"/>
  <c r="K2357" i="10" s="1"/>
  <c r="L2369" i="10"/>
  <c r="K2369" i="10" s="1"/>
  <c r="L2381" i="10"/>
  <c r="K2381" i="10" s="1"/>
  <c r="L2393" i="10"/>
  <c r="K2393" i="10" s="1"/>
  <c r="L2405" i="10"/>
  <c r="K2405" i="10" s="1"/>
  <c r="L2417" i="10"/>
  <c r="K2417" i="10" s="1"/>
  <c r="L2429" i="10"/>
  <c r="K2429" i="10" s="1"/>
  <c r="L2441" i="10"/>
  <c r="K2441" i="10" s="1"/>
  <c r="L2453" i="10"/>
  <c r="K2453" i="10" s="1"/>
  <c r="L2465" i="10"/>
  <c r="K2465" i="10" s="1"/>
  <c r="L2477" i="10"/>
  <c r="K2477" i="10" s="1"/>
  <c r="L2489" i="10"/>
  <c r="K2489" i="10" s="1"/>
  <c r="L2501" i="10"/>
  <c r="K2501" i="10" s="1"/>
  <c r="L2513" i="10"/>
  <c r="K2513" i="10" s="1"/>
  <c r="L2525" i="10"/>
  <c r="K2525" i="10" s="1"/>
  <c r="L2537" i="10"/>
  <c r="K2537" i="10" s="1"/>
  <c r="L2549" i="10"/>
  <c r="K2549" i="10" s="1"/>
  <c r="L2561" i="10"/>
  <c r="K2561" i="10" s="1"/>
  <c r="L2573" i="10"/>
  <c r="K2573" i="10" s="1"/>
  <c r="L2585" i="10"/>
  <c r="K2585" i="10" s="1"/>
  <c r="L2597" i="10"/>
  <c r="K2597" i="10" s="1"/>
  <c r="L2609" i="10"/>
  <c r="K2609" i="10" s="1"/>
  <c r="L2621" i="10"/>
  <c r="K2621" i="10" s="1"/>
  <c r="L2633" i="10"/>
  <c r="K2633" i="10" s="1"/>
  <c r="L2645" i="10"/>
  <c r="K2645" i="10" s="1"/>
  <c r="L2657" i="10"/>
  <c r="K2657" i="10" s="1"/>
  <c r="L2669" i="10"/>
  <c r="K2669" i="10" s="1"/>
  <c r="L2681" i="10"/>
  <c r="K2681" i="10" s="1"/>
  <c r="L2693" i="10"/>
  <c r="K2693" i="10" s="1"/>
  <c r="L2705" i="10"/>
  <c r="K2705" i="10" s="1"/>
  <c r="L2717" i="10"/>
  <c r="K2717" i="10" s="1"/>
  <c r="L2729" i="10"/>
  <c r="K2729" i="10" s="1"/>
  <c r="L2741" i="10"/>
  <c r="K2741" i="10" s="1"/>
  <c r="L2753" i="10"/>
  <c r="K2753" i="10" s="1"/>
  <c r="L2765" i="10"/>
  <c r="K2765" i="10" s="1"/>
  <c r="L2777" i="10"/>
  <c r="K2777" i="10" s="1"/>
  <c r="L2789" i="10"/>
  <c r="K2789" i="10" s="1"/>
  <c r="L146" i="10"/>
  <c r="K146" i="10" s="1"/>
  <c r="L290" i="10"/>
  <c r="K290" i="10" s="1"/>
  <c r="L386" i="10"/>
  <c r="K386" i="10" s="1"/>
  <c r="L434" i="10"/>
  <c r="K434" i="10" s="1"/>
  <c r="L482" i="10"/>
  <c r="K482" i="10" s="1"/>
  <c r="L530" i="10"/>
  <c r="K530" i="10" s="1"/>
  <c r="L578" i="10"/>
  <c r="K578" i="10" s="1"/>
  <c r="L626" i="10"/>
  <c r="K626" i="10" s="1"/>
  <c r="L674" i="10"/>
  <c r="K674" i="10" s="1"/>
  <c r="L722" i="10"/>
  <c r="K722" i="10" s="1"/>
  <c r="L770" i="10"/>
  <c r="K770" i="10" s="1"/>
  <c r="L818" i="10"/>
  <c r="K818" i="10" s="1"/>
  <c r="L866" i="10"/>
  <c r="K866" i="10" s="1"/>
  <c r="L914" i="10"/>
  <c r="K914" i="10" s="1"/>
  <c r="L962" i="10"/>
  <c r="K962" i="10" s="1"/>
  <c r="L1010" i="10"/>
  <c r="K1010" i="10" s="1"/>
  <c r="L1048" i="10"/>
  <c r="K1048" i="10" s="1"/>
  <c r="L1062" i="10"/>
  <c r="K1062" i="10" s="1"/>
  <c r="L1076" i="10"/>
  <c r="K1076" i="10" s="1"/>
  <c r="L1091" i="10"/>
  <c r="K1091" i="10" s="1"/>
  <c r="L1105" i="10"/>
  <c r="K1105" i="10" s="1"/>
  <c r="L1120" i="10"/>
  <c r="K1120" i="10" s="1"/>
  <c r="L1134" i="10"/>
  <c r="K1134" i="10" s="1"/>
  <c r="L1146" i="10"/>
  <c r="K1146" i="10" s="1"/>
  <c r="L1158" i="10"/>
  <c r="K1158" i="10" s="1"/>
  <c r="L1170" i="10"/>
  <c r="K1170" i="10" s="1"/>
  <c r="L1182" i="10"/>
  <c r="K1182" i="10" s="1"/>
  <c r="L1194" i="10"/>
  <c r="K1194" i="10" s="1"/>
  <c r="L1206" i="10"/>
  <c r="K1206" i="10" s="1"/>
  <c r="L1218" i="10"/>
  <c r="K1218" i="10" s="1"/>
  <c r="L1230" i="10"/>
  <c r="K1230" i="10" s="1"/>
  <c r="L1242" i="10"/>
  <c r="K1242" i="10" s="1"/>
  <c r="L1254" i="10"/>
  <c r="K1254" i="10" s="1"/>
  <c r="L1266" i="10"/>
  <c r="K1266" i="10" s="1"/>
  <c r="L1278" i="10"/>
  <c r="K1278" i="10" s="1"/>
  <c r="L1290" i="10"/>
  <c r="K1290" i="10" s="1"/>
  <c r="L1302" i="10"/>
  <c r="K1302" i="10" s="1"/>
  <c r="L1314" i="10"/>
  <c r="K1314" i="10" s="1"/>
  <c r="L1326" i="10"/>
  <c r="K1326" i="10" s="1"/>
  <c r="L1338" i="10"/>
  <c r="K1338" i="10" s="1"/>
  <c r="L1350" i="10"/>
  <c r="K1350" i="10" s="1"/>
  <c r="L1362" i="10"/>
  <c r="K1362" i="10" s="1"/>
  <c r="L1374" i="10"/>
  <c r="K1374" i="10" s="1"/>
  <c r="L1386" i="10"/>
  <c r="K1386" i="10" s="1"/>
  <c r="L1398" i="10"/>
  <c r="K1398" i="10" s="1"/>
  <c r="L1410" i="10"/>
  <c r="K1410" i="10" s="1"/>
  <c r="L1422" i="10"/>
  <c r="K1422" i="10" s="1"/>
  <c r="L1434" i="10"/>
  <c r="K1434" i="10" s="1"/>
  <c r="L1446" i="10"/>
  <c r="K1446" i="10" s="1"/>
  <c r="L1458" i="10"/>
  <c r="K1458" i="10" s="1"/>
  <c r="L1470" i="10"/>
  <c r="K1470" i="10" s="1"/>
  <c r="L1482" i="10"/>
  <c r="K1482" i="10" s="1"/>
  <c r="L1494" i="10"/>
  <c r="K1494" i="10" s="1"/>
  <c r="L1506" i="10"/>
  <c r="K1506" i="10" s="1"/>
  <c r="L1518" i="10"/>
  <c r="K1518" i="10" s="1"/>
  <c r="L1530" i="10"/>
  <c r="K1530" i="10" s="1"/>
  <c r="L1542" i="10"/>
  <c r="K1542" i="10" s="1"/>
  <c r="L1554" i="10"/>
  <c r="K1554" i="10" s="1"/>
  <c r="L1566" i="10"/>
  <c r="K1566" i="10" s="1"/>
  <c r="L1578" i="10"/>
  <c r="K1578" i="10" s="1"/>
  <c r="L1590" i="10"/>
  <c r="K1590" i="10" s="1"/>
  <c r="L1602" i="10"/>
  <c r="K1602" i="10" s="1"/>
  <c r="L1614" i="10"/>
  <c r="K1614" i="10" s="1"/>
  <c r="L1626" i="10"/>
  <c r="K1626" i="10" s="1"/>
  <c r="L1638" i="10"/>
  <c r="K1638" i="10" s="1"/>
  <c r="L1650" i="10"/>
  <c r="K1650" i="10" s="1"/>
  <c r="L1662" i="10"/>
  <c r="K1662" i="10" s="1"/>
  <c r="L1674" i="10"/>
  <c r="K1674" i="10" s="1"/>
  <c r="L1686" i="10"/>
  <c r="K1686" i="10" s="1"/>
  <c r="L1698" i="10"/>
  <c r="K1698" i="10" s="1"/>
  <c r="L1710" i="10"/>
  <c r="K1710" i="10" s="1"/>
  <c r="L1722" i="10"/>
  <c r="K1722" i="10" s="1"/>
  <c r="L1734" i="10"/>
  <c r="K1734" i="10" s="1"/>
  <c r="L1746" i="10"/>
  <c r="K1746" i="10" s="1"/>
  <c r="L1758" i="10"/>
  <c r="K1758" i="10" s="1"/>
  <c r="L1770" i="10"/>
  <c r="K1770" i="10" s="1"/>
  <c r="L1782" i="10"/>
  <c r="K1782" i="10" s="1"/>
  <c r="L1794" i="10"/>
  <c r="K1794" i="10" s="1"/>
  <c r="L1806" i="10"/>
  <c r="K1806" i="10" s="1"/>
  <c r="L1818" i="10"/>
  <c r="K1818" i="10" s="1"/>
  <c r="L1830" i="10"/>
  <c r="K1830" i="10" s="1"/>
  <c r="L1842" i="10"/>
  <c r="K1842" i="10" s="1"/>
  <c r="L1854" i="10"/>
  <c r="K1854" i="10" s="1"/>
  <c r="L1866" i="10"/>
  <c r="K1866" i="10" s="1"/>
  <c r="L1878" i="10"/>
  <c r="K1878" i="10" s="1"/>
  <c r="L1890" i="10"/>
  <c r="K1890" i="10" s="1"/>
  <c r="L1902" i="10"/>
  <c r="K1902" i="10" s="1"/>
  <c r="L1914" i="10"/>
  <c r="K1914" i="10" s="1"/>
  <c r="L1926" i="10"/>
  <c r="K1926" i="10" s="1"/>
  <c r="L1938" i="10"/>
  <c r="K1938" i="10" s="1"/>
  <c r="L1950" i="10"/>
  <c r="K1950" i="10" s="1"/>
  <c r="L1962" i="10"/>
  <c r="K1962" i="10" s="1"/>
  <c r="L1974" i="10"/>
  <c r="K1974" i="10" s="1"/>
  <c r="L1986" i="10"/>
  <c r="K1986" i="10" s="1"/>
  <c r="L1998" i="10"/>
  <c r="K1998" i="10" s="1"/>
  <c r="L2010" i="10"/>
  <c r="K2010" i="10" s="1"/>
  <c r="L2022" i="10"/>
  <c r="K2022" i="10" s="1"/>
  <c r="L2034" i="10"/>
  <c r="K2034" i="10" s="1"/>
  <c r="L2046" i="10"/>
  <c r="K2046" i="10" s="1"/>
  <c r="L2058" i="10"/>
  <c r="K2058" i="10" s="1"/>
  <c r="L2070" i="10"/>
  <c r="K2070" i="10" s="1"/>
  <c r="L2082" i="10"/>
  <c r="K2082" i="10" s="1"/>
  <c r="L2094" i="10"/>
  <c r="K2094" i="10" s="1"/>
  <c r="L2106" i="10"/>
  <c r="K2106" i="10" s="1"/>
  <c r="L2118" i="10"/>
  <c r="K2118" i="10" s="1"/>
  <c r="L2130" i="10"/>
  <c r="K2130" i="10" s="1"/>
  <c r="L2142" i="10"/>
  <c r="K2142" i="10" s="1"/>
  <c r="L2154" i="10"/>
  <c r="K2154" i="10" s="1"/>
  <c r="L2166" i="10"/>
  <c r="K2166" i="10" s="1"/>
  <c r="L2178" i="10"/>
  <c r="K2178" i="10" s="1"/>
  <c r="L2190" i="10"/>
  <c r="K2190" i="10" s="1"/>
  <c r="L2202" i="10"/>
  <c r="K2202" i="10" s="1"/>
  <c r="L2214" i="10"/>
  <c r="K2214" i="10" s="1"/>
  <c r="L2226" i="10"/>
  <c r="K2226" i="10" s="1"/>
  <c r="L2238" i="10"/>
  <c r="K2238" i="10" s="1"/>
  <c r="L2250" i="10"/>
  <c r="K2250" i="10" s="1"/>
  <c r="L2262" i="10"/>
  <c r="K2262" i="10" s="1"/>
  <c r="L2274" i="10"/>
  <c r="K2274" i="10" s="1"/>
  <c r="L2286" i="10"/>
  <c r="K2286" i="10" s="1"/>
  <c r="L2298" i="10"/>
  <c r="K2298" i="10" s="1"/>
  <c r="L2310" i="10"/>
  <c r="K2310" i="10" s="1"/>
  <c r="L2322" i="10"/>
  <c r="K2322" i="10" s="1"/>
  <c r="L2334" i="10"/>
  <c r="K2334" i="10" s="1"/>
  <c r="L2346" i="10"/>
  <c r="K2346" i="10" s="1"/>
  <c r="L2358" i="10"/>
  <c r="K2358" i="10" s="1"/>
  <c r="L2370" i="10"/>
  <c r="K2370" i="10" s="1"/>
  <c r="L2382" i="10"/>
  <c r="K2382" i="10" s="1"/>
  <c r="L2394" i="10"/>
  <c r="K2394" i="10" s="1"/>
  <c r="L2406" i="10"/>
  <c r="K2406" i="10" s="1"/>
  <c r="L2418" i="10"/>
  <c r="K2418" i="10" s="1"/>
  <c r="L2430" i="10"/>
  <c r="K2430" i="10" s="1"/>
  <c r="L2442" i="10"/>
  <c r="K2442" i="10" s="1"/>
  <c r="L2454" i="10"/>
  <c r="K2454" i="10" s="1"/>
  <c r="L2466" i="10"/>
  <c r="K2466" i="10" s="1"/>
  <c r="L2478" i="10"/>
  <c r="K2478" i="10" s="1"/>
  <c r="L2490" i="10"/>
  <c r="K2490" i="10" s="1"/>
  <c r="L2502" i="10"/>
  <c r="K2502" i="10" s="1"/>
  <c r="L2514" i="10"/>
  <c r="K2514" i="10" s="1"/>
  <c r="L2526" i="10"/>
  <c r="K2526" i="10" s="1"/>
  <c r="L2538" i="10"/>
  <c r="K2538" i="10" s="1"/>
  <c r="L2550" i="10"/>
  <c r="K2550" i="10" s="1"/>
  <c r="L2562" i="10"/>
  <c r="K2562" i="10" s="1"/>
  <c r="L2574" i="10"/>
  <c r="K2574" i="10" s="1"/>
  <c r="L2586" i="10"/>
  <c r="K2586" i="10" s="1"/>
  <c r="L2598" i="10"/>
  <c r="K2598" i="10" s="1"/>
  <c r="L2610" i="10"/>
  <c r="K2610" i="10" s="1"/>
  <c r="L2622" i="10"/>
  <c r="K2622" i="10" s="1"/>
  <c r="L2634" i="10"/>
  <c r="K2634" i="10" s="1"/>
  <c r="L2646" i="10"/>
  <c r="K2646" i="10" s="1"/>
  <c r="L2658" i="10"/>
  <c r="K2658" i="10" s="1"/>
  <c r="L2670" i="10"/>
  <c r="K2670" i="10" s="1"/>
  <c r="L2682" i="10"/>
  <c r="K2682" i="10" s="1"/>
  <c r="L2694" i="10"/>
  <c r="K2694" i="10" s="1"/>
  <c r="L2706" i="10"/>
  <c r="K2706" i="10" s="1"/>
  <c r="L2718" i="10"/>
  <c r="K2718" i="10" s="1"/>
  <c r="L2730" i="10"/>
  <c r="K2730" i="10" s="1"/>
  <c r="L2742" i="10"/>
  <c r="K2742" i="10" s="1"/>
  <c r="L2754" i="10"/>
  <c r="K2754" i="10" s="1"/>
  <c r="L2766" i="10"/>
  <c r="K2766" i="10" s="1"/>
  <c r="L2778" i="10"/>
  <c r="K2778" i="10" s="1"/>
  <c r="L2790" i="10"/>
  <c r="K2790" i="10" s="1"/>
  <c r="L170" i="10"/>
  <c r="K170" i="10" s="1"/>
  <c r="L314" i="10"/>
  <c r="K314" i="10" s="1"/>
  <c r="L395" i="10"/>
  <c r="K395" i="10" s="1"/>
  <c r="L443" i="10"/>
  <c r="K443" i="10" s="1"/>
  <c r="L491" i="10"/>
  <c r="K491" i="10" s="1"/>
  <c r="L539" i="10"/>
  <c r="K539" i="10" s="1"/>
  <c r="L587" i="10"/>
  <c r="K587" i="10" s="1"/>
  <c r="L635" i="10"/>
  <c r="K635" i="10" s="1"/>
  <c r="L683" i="10"/>
  <c r="K683" i="10" s="1"/>
  <c r="L731" i="10"/>
  <c r="K731" i="10" s="1"/>
  <c r="L779" i="10"/>
  <c r="K779" i="10" s="1"/>
  <c r="L827" i="10"/>
  <c r="K827" i="10" s="1"/>
  <c r="L875" i="10"/>
  <c r="K875" i="10" s="1"/>
  <c r="L923" i="10"/>
  <c r="K923" i="10" s="1"/>
  <c r="L971" i="10"/>
  <c r="K971" i="10" s="1"/>
  <c r="L1019" i="10"/>
  <c r="K1019" i="10" s="1"/>
  <c r="L1050" i="10"/>
  <c r="K1050" i="10" s="1"/>
  <c r="L1064" i="10"/>
  <c r="K1064" i="10" s="1"/>
  <c r="L1079" i="10"/>
  <c r="K1079" i="10" s="1"/>
  <c r="L1093" i="10"/>
  <c r="K1093" i="10" s="1"/>
  <c r="L1108" i="10"/>
  <c r="K1108" i="10" s="1"/>
  <c r="L1122" i="10"/>
  <c r="K1122" i="10" s="1"/>
  <c r="L1136" i="10"/>
  <c r="K1136" i="10" s="1"/>
  <c r="L1148" i="10"/>
  <c r="K1148" i="10" s="1"/>
  <c r="L1160" i="10"/>
  <c r="K1160" i="10" s="1"/>
  <c r="L1172" i="10"/>
  <c r="K1172" i="10" s="1"/>
  <c r="L1184" i="10"/>
  <c r="K1184" i="10" s="1"/>
  <c r="L1196" i="10"/>
  <c r="K1196" i="10" s="1"/>
  <c r="L1208" i="10"/>
  <c r="K1208" i="10" s="1"/>
  <c r="L1220" i="10"/>
  <c r="K1220" i="10" s="1"/>
  <c r="L1232" i="10"/>
  <c r="K1232" i="10" s="1"/>
  <c r="L1244" i="10"/>
  <c r="K1244" i="10" s="1"/>
  <c r="L1256" i="10"/>
  <c r="K1256" i="10" s="1"/>
  <c r="L1268" i="10"/>
  <c r="K1268" i="10" s="1"/>
  <c r="L1280" i="10"/>
  <c r="K1280" i="10" s="1"/>
  <c r="L1292" i="10"/>
  <c r="K1292" i="10" s="1"/>
  <c r="L1304" i="10"/>
  <c r="K1304" i="10" s="1"/>
  <c r="L1316" i="10"/>
  <c r="K1316" i="10" s="1"/>
  <c r="L1328" i="10"/>
  <c r="K1328" i="10" s="1"/>
  <c r="L1340" i="10"/>
  <c r="K1340" i="10" s="1"/>
  <c r="L1352" i="10"/>
  <c r="K1352" i="10" s="1"/>
  <c r="L1364" i="10"/>
  <c r="K1364" i="10" s="1"/>
  <c r="L1376" i="10"/>
  <c r="K1376" i="10" s="1"/>
  <c r="L1388" i="10"/>
  <c r="K1388" i="10" s="1"/>
  <c r="L1400" i="10"/>
  <c r="K1400" i="10" s="1"/>
  <c r="L1412" i="10"/>
  <c r="K1412" i="10" s="1"/>
  <c r="L1424" i="10"/>
  <c r="K1424" i="10" s="1"/>
  <c r="L1436" i="10"/>
  <c r="K1436" i="10" s="1"/>
  <c r="L1448" i="10"/>
  <c r="K1448" i="10" s="1"/>
  <c r="L1460" i="10"/>
  <c r="K1460" i="10" s="1"/>
  <c r="L1472" i="10"/>
  <c r="K1472" i="10" s="1"/>
  <c r="L1484" i="10"/>
  <c r="K1484" i="10" s="1"/>
  <c r="L1496" i="10"/>
  <c r="K1496" i="10" s="1"/>
  <c r="L1508" i="10"/>
  <c r="K1508" i="10" s="1"/>
  <c r="L1520" i="10"/>
  <c r="K1520" i="10" s="1"/>
  <c r="L1532" i="10"/>
  <c r="K1532" i="10" s="1"/>
  <c r="L1544" i="10"/>
  <c r="K1544" i="10" s="1"/>
  <c r="L1556" i="10"/>
  <c r="K1556" i="10" s="1"/>
  <c r="L1568" i="10"/>
  <c r="K1568" i="10" s="1"/>
  <c r="L1580" i="10"/>
  <c r="K1580" i="10" s="1"/>
  <c r="L1592" i="10"/>
  <c r="K1592" i="10" s="1"/>
  <c r="L1604" i="10"/>
  <c r="K1604" i="10" s="1"/>
  <c r="L1616" i="10"/>
  <c r="K1616" i="10" s="1"/>
  <c r="L1628" i="10"/>
  <c r="K1628" i="10" s="1"/>
  <c r="L1640" i="10"/>
  <c r="K1640" i="10" s="1"/>
  <c r="L1652" i="10"/>
  <c r="K1652" i="10" s="1"/>
  <c r="L1664" i="10"/>
  <c r="K1664" i="10" s="1"/>
  <c r="L1676" i="10"/>
  <c r="K1676" i="10" s="1"/>
  <c r="L1688" i="10"/>
  <c r="K1688" i="10" s="1"/>
  <c r="L1700" i="10"/>
  <c r="K1700" i="10" s="1"/>
  <c r="L1712" i="10"/>
  <c r="K1712" i="10" s="1"/>
  <c r="L1724" i="10"/>
  <c r="K1724" i="10" s="1"/>
  <c r="L1736" i="10"/>
  <c r="K1736" i="10" s="1"/>
  <c r="L1748" i="10"/>
  <c r="K1748" i="10" s="1"/>
  <c r="L1760" i="10"/>
  <c r="K1760" i="10" s="1"/>
  <c r="L1772" i="10"/>
  <c r="K1772" i="10" s="1"/>
  <c r="L1784" i="10"/>
  <c r="K1784" i="10" s="1"/>
  <c r="L1796" i="10"/>
  <c r="K1796" i="10" s="1"/>
  <c r="L1808" i="10"/>
  <c r="K1808" i="10" s="1"/>
  <c r="L1820" i="10"/>
  <c r="K1820" i="10" s="1"/>
  <c r="L1832" i="10"/>
  <c r="K1832" i="10" s="1"/>
  <c r="L1844" i="10"/>
  <c r="K1844" i="10" s="1"/>
  <c r="L1856" i="10"/>
  <c r="K1856" i="10" s="1"/>
  <c r="L1868" i="10"/>
  <c r="K1868" i="10" s="1"/>
  <c r="L1880" i="10"/>
  <c r="K1880" i="10" s="1"/>
  <c r="L1892" i="10"/>
  <c r="K1892" i="10" s="1"/>
  <c r="L1904" i="10"/>
  <c r="K1904" i="10" s="1"/>
  <c r="L1916" i="10"/>
  <c r="K1916" i="10" s="1"/>
  <c r="L1928" i="10"/>
  <c r="K1928" i="10" s="1"/>
  <c r="L1940" i="10"/>
  <c r="K1940" i="10" s="1"/>
  <c r="L1952" i="10"/>
  <c r="K1952" i="10" s="1"/>
  <c r="L1964" i="10"/>
  <c r="K1964" i="10" s="1"/>
  <c r="L1976" i="10"/>
  <c r="K1976" i="10" s="1"/>
  <c r="L1988" i="10"/>
  <c r="K1988" i="10" s="1"/>
  <c r="L2000" i="10"/>
  <c r="K2000" i="10" s="1"/>
  <c r="L2012" i="10"/>
  <c r="K2012" i="10" s="1"/>
  <c r="L2024" i="10"/>
  <c r="K2024" i="10" s="1"/>
  <c r="L2036" i="10"/>
  <c r="K2036" i="10" s="1"/>
  <c r="L2048" i="10"/>
  <c r="K2048" i="10" s="1"/>
  <c r="L2060" i="10"/>
  <c r="K2060" i="10" s="1"/>
  <c r="L2072" i="10"/>
  <c r="K2072" i="10" s="1"/>
  <c r="L2084" i="10"/>
  <c r="K2084" i="10" s="1"/>
  <c r="L2096" i="10"/>
  <c r="K2096" i="10" s="1"/>
  <c r="L2108" i="10"/>
  <c r="K2108" i="10" s="1"/>
  <c r="L2120" i="10"/>
  <c r="K2120" i="10" s="1"/>
  <c r="L2132" i="10"/>
  <c r="K2132" i="10" s="1"/>
  <c r="L2144" i="10"/>
  <c r="K2144" i="10" s="1"/>
  <c r="L2156" i="10"/>
  <c r="K2156" i="10" s="1"/>
  <c r="L2168" i="10"/>
  <c r="K2168" i="10" s="1"/>
  <c r="L2180" i="10"/>
  <c r="K2180" i="10" s="1"/>
  <c r="L2192" i="10"/>
  <c r="K2192" i="10" s="1"/>
  <c r="L2204" i="10"/>
  <c r="K2204" i="10" s="1"/>
  <c r="L2216" i="10"/>
  <c r="K2216" i="10" s="1"/>
  <c r="L2228" i="10"/>
  <c r="K2228" i="10" s="1"/>
  <c r="L2240" i="10"/>
  <c r="K2240" i="10" s="1"/>
  <c r="L2252" i="10"/>
  <c r="K2252" i="10" s="1"/>
  <c r="L2264" i="10"/>
  <c r="K2264" i="10" s="1"/>
  <c r="L2276" i="10"/>
  <c r="K2276" i="10" s="1"/>
  <c r="L2288" i="10"/>
  <c r="K2288" i="10" s="1"/>
  <c r="L2300" i="10"/>
  <c r="K2300" i="10" s="1"/>
  <c r="L2312" i="10"/>
  <c r="K2312" i="10" s="1"/>
  <c r="L2324" i="10"/>
  <c r="K2324" i="10" s="1"/>
  <c r="L2336" i="10"/>
  <c r="K2336" i="10" s="1"/>
  <c r="L2348" i="10"/>
  <c r="K2348" i="10" s="1"/>
  <c r="L2360" i="10"/>
  <c r="K2360" i="10" s="1"/>
  <c r="L2372" i="10"/>
  <c r="K2372" i="10" s="1"/>
  <c r="L2384" i="10"/>
  <c r="K2384" i="10" s="1"/>
  <c r="L2396" i="10"/>
  <c r="K2396" i="10" s="1"/>
  <c r="L2408" i="10"/>
  <c r="K2408" i="10" s="1"/>
  <c r="L2420" i="10"/>
  <c r="K2420" i="10" s="1"/>
  <c r="L2432" i="10"/>
  <c r="K2432" i="10" s="1"/>
  <c r="L2444" i="10"/>
  <c r="K2444" i="10" s="1"/>
  <c r="L2456" i="10"/>
  <c r="K2456" i="10" s="1"/>
  <c r="L2468" i="10"/>
  <c r="K2468" i="10" s="1"/>
  <c r="L2480" i="10"/>
  <c r="K2480" i="10" s="1"/>
  <c r="L2492" i="10"/>
  <c r="K2492" i="10" s="1"/>
  <c r="L2504" i="10"/>
  <c r="K2504" i="10" s="1"/>
  <c r="L2516" i="10"/>
  <c r="K2516" i="10" s="1"/>
  <c r="L2528" i="10"/>
  <c r="K2528" i="10" s="1"/>
  <c r="L2540" i="10"/>
  <c r="K2540" i="10" s="1"/>
  <c r="L2552" i="10"/>
  <c r="K2552" i="10" s="1"/>
  <c r="L2564" i="10"/>
  <c r="K2564" i="10" s="1"/>
  <c r="L2576" i="10"/>
  <c r="K2576" i="10" s="1"/>
  <c r="L2588" i="10"/>
  <c r="K2588" i="10" s="1"/>
  <c r="L2600" i="10"/>
  <c r="K2600" i="10" s="1"/>
  <c r="L2612" i="10"/>
  <c r="K2612" i="10" s="1"/>
  <c r="L2624" i="10"/>
  <c r="K2624" i="10" s="1"/>
  <c r="L2636" i="10"/>
  <c r="K2636" i="10" s="1"/>
  <c r="L2648" i="10"/>
  <c r="K2648" i="10" s="1"/>
  <c r="L2660" i="10"/>
  <c r="K2660" i="10" s="1"/>
  <c r="L2672" i="10"/>
  <c r="K2672" i="10" s="1"/>
  <c r="L2684" i="10"/>
  <c r="K2684" i="10" s="1"/>
  <c r="L2696" i="10"/>
  <c r="K2696" i="10" s="1"/>
  <c r="L2708" i="10"/>
  <c r="K2708" i="10" s="1"/>
  <c r="L2720" i="10"/>
  <c r="K2720" i="10" s="1"/>
  <c r="L2732" i="10"/>
  <c r="K2732" i="10" s="1"/>
  <c r="L2744" i="10"/>
  <c r="K2744" i="10" s="1"/>
  <c r="L2756" i="10"/>
  <c r="K2756" i="10" s="1"/>
  <c r="L2768" i="10"/>
  <c r="K2768" i="10" s="1"/>
  <c r="L2780" i="10"/>
  <c r="K2780" i="10" s="1"/>
  <c r="L2792" i="10"/>
  <c r="K2792" i="10" s="1"/>
  <c r="L2804" i="10"/>
  <c r="K2804" i="10" s="1"/>
  <c r="L2816" i="10"/>
  <c r="K2816" i="10" s="1"/>
  <c r="L2828" i="10"/>
  <c r="K2828" i="10" s="1"/>
  <c r="L2840" i="10"/>
  <c r="K2840" i="10" s="1"/>
  <c r="L2852" i="10"/>
  <c r="K2852" i="10" s="1"/>
  <c r="L2864" i="10"/>
  <c r="K2864" i="10" s="1"/>
  <c r="L2876" i="10"/>
  <c r="K2876" i="10" s="1"/>
  <c r="L2888" i="10"/>
  <c r="K2888" i="10" s="1"/>
  <c r="L302" i="10"/>
  <c r="K302" i="10" s="1"/>
  <c r="L916" i="10"/>
  <c r="K916" i="10" s="1"/>
  <c r="L1171" i="10"/>
  <c r="K1171" i="10" s="1"/>
  <c r="L1315" i="10"/>
  <c r="K1315" i="10" s="1"/>
  <c r="L1459" i="10"/>
  <c r="K1459" i="10" s="1"/>
  <c r="L1603" i="10"/>
  <c r="K1603" i="10" s="1"/>
  <c r="L1747" i="10"/>
  <c r="K1747" i="10" s="1"/>
  <c r="L1891" i="10"/>
  <c r="K1891" i="10" s="1"/>
  <c r="L2035" i="10"/>
  <c r="K2035" i="10" s="1"/>
  <c r="L2169" i="10"/>
  <c r="K2169" i="10" s="1"/>
  <c r="L2217" i="10"/>
  <c r="K2217" i="10" s="1"/>
  <c r="L2265" i="10"/>
  <c r="K2265" i="10" s="1"/>
  <c r="L2313" i="10"/>
  <c r="K2313" i="10" s="1"/>
  <c r="L2361" i="10"/>
  <c r="K2361" i="10" s="1"/>
  <c r="L2409" i="10"/>
  <c r="K2409" i="10" s="1"/>
  <c r="L2457" i="10"/>
  <c r="K2457" i="10" s="1"/>
  <c r="L2505" i="10"/>
  <c r="K2505" i="10" s="1"/>
  <c r="L2553" i="10"/>
  <c r="K2553" i="10" s="1"/>
  <c r="L2601" i="10"/>
  <c r="K2601" i="10" s="1"/>
  <c r="L2649" i="10"/>
  <c r="K2649" i="10" s="1"/>
  <c r="L2697" i="10"/>
  <c r="K2697" i="10" s="1"/>
  <c r="L2745" i="10"/>
  <c r="K2745" i="10" s="1"/>
  <c r="L2793" i="10"/>
  <c r="K2793" i="10" s="1"/>
  <c r="L2810" i="10"/>
  <c r="K2810" i="10" s="1"/>
  <c r="L2825" i="10"/>
  <c r="K2825" i="10" s="1"/>
  <c r="L2839" i="10"/>
  <c r="K2839" i="10" s="1"/>
  <c r="L2854" i="10"/>
  <c r="K2854" i="10" s="1"/>
  <c r="L2868" i="10"/>
  <c r="K2868" i="10" s="1"/>
  <c r="L2882" i="10"/>
  <c r="K2882" i="10" s="1"/>
  <c r="L2897" i="10"/>
  <c r="K2897" i="10" s="1"/>
  <c r="L2909" i="10"/>
  <c r="K2909" i="10" s="1"/>
  <c r="L2921" i="10"/>
  <c r="K2921" i="10" s="1"/>
  <c r="L2933" i="10"/>
  <c r="K2933" i="10" s="1"/>
  <c r="L2945" i="10"/>
  <c r="K2945" i="10" s="1"/>
  <c r="L2957" i="10"/>
  <c r="K2957" i="10" s="1"/>
  <c r="L2969" i="10"/>
  <c r="K2969" i="10" s="1"/>
  <c r="L2981" i="10"/>
  <c r="K2981" i="10" s="1"/>
  <c r="L2993" i="10"/>
  <c r="K2993" i="10" s="1"/>
  <c r="L3005" i="10"/>
  <c r="K3005" i="10" s="1"/>
  <c r="L3017" i="10"/>
  <c r="K3017" i="10" s="1"/>
  <c r="L3029" i="10"/>
  <c r="K3029" i="10" s="1"/>
  <c r="L3041" i="10"/>
  <c r="K3041" i="10" s="1"/>
  <c r="L3053" i="10"/>
  <c r="K3053" i="10" s="1"/>
  <c r="L3065" i="10"/>
  <c r="K3065" i="10" s="1"/>
  <c r="L3077" i="10"/>
  <c r="K3077" i="10" s="1"/>
  <c r="L3089" i="10"/>
  <c r="K3089" i="10" s="1"/>
  <c r="L3101" i="10"/>
  <c r="K3101" i="10" s="1"/>
  <c r="L3113" i="10"/>
  <c r="K3113" i="10" s="1"/>
  <c r="L3125" i="10"/>
  <c r="K3125" i="10" s="1"/>
  <c r="L3137" i="10"/>
  <c r="K3137" i="10" s="1"/>
  <c r="L3149" i="10"/>
  <c r="K3149" i="10" s="1"/>
  <c r="L3161" i="10"/>
  <c r="K3161" i="10" s="1"/>
  <c r="L3173" i="10"/>
  <c r="K3173" i="10" s="1"/>
  <c r="L3185" i="10"/>
  <c r="K3185" i="10" s="1"/>
  <c r="L3197" i="10"/>
  <c r="K3197" i="10" s="1"/>
  <c r="L3209" i="10"/>
  <c r="K3209" i="10" s="1"/>
  <c r="L3221" i="10"/>
  <c r="K3221" i="10" s="1"/>
  <c r="L3233" i="10"/>
  <c r="K3233" i="10" s="1"/>
  <c r="L3245" i="10"/>
  <c r="K3245" i="10" s="1"/>
  <c r="L3257" i="10"/>
  <c r="K3257" i="10" s="1"/>
  <c r="L3269" i="10"/>
  <c r="K3269" i="10" s="1"/>
  <c r="L3281" i="10"/>
  <c r="K3281" i="10" s="1"/>
  <c r="L3293" i="10"/>
  <c r="K3293" i="10" s="1"/>
  <c r="L3305" i="10"/>
  <c r="K3305" i="10" s="1"/>
  <c r="L3317" i="10"/>
  <c r="K3317" i="10" s="1"/>
  <c r="L3329" i="10"/>
  <c r="K3329" i="10" s="1"/>
  <c r="L3341" i="10"/>
  <c r="K3341" i="10" s="1"/>
  <c r="L3353" i="10"/>
  <c r="K3353" i="10" s="1"/>
  <c r="L3365" i="10"/>
  <c r="K3365" i="10" s="1"/>
  <c r="L3377" i="10"/>
  <c r="K3377" i="10" s="1"/>
  <c r="L2874" i="10"/>
  <c r="K2874" i="10" s="1"/>
  <c r="L3178" i="10"/>
  <c r="K3178" i="10" s="1"/>
  <c r="L3310" i="10"/>
  <c r="K3310" i="10" s="1"/>
  <c r="L2155" i="10"/>
  <c r="K2155" i="10" s="1"/>
  <c r="L2404" i="10"/>
  <c r="K2404" i="10" s="1"/>
  <c r="L2548" i="10"/>
  <c r="K2548" i="10" s="1"/>
  <c r="L2822" i="10"/>
  <c r="K2822" i="10" s="1"/>
  <c r="L2919" i="10"/>
  <c r="K2919" i="10" s="1"/>
  <c r="L2991" i="10"/>
  <c r="K2991" i="10" s="1"/>
  <c r="L3051" i="10"/>
  <c r="K3051" i="10" s="1"/>
  <c r="L3135" i="10"/>
  <c r="K3135" i="10" s="1"/>
  <c r="L3231" i="10"/>
  <c r="K3231" i="10" s="1"/>
  <c r="L3327" i="10"/>
  <c r="K3327" i="10" s="1"/>
  <c r="L388" i="10"/>
  <c r="K388" i="10" s="1"/>
  <c r="L964" i="10"/>
  <c r="K964" i="10" s="1"/>
  <c r="L1183" i="10"/>
  <c r="K1183" i="10" s="1"/>
  <c r="L1327" i="10"/>
  <c r="K1327" i="10" s="1"/>
  <c r="L1471" i="10"/>
  <c r="K1471" i="10" s="1"/>
  <c r="L1615" i="10"/>
  <c r="K1615" i="10" s="1"/>
  <c r="L1759" i="10"/>
  <c r="K1759" i="10" s="1"/>
  <c r="L1903" i="10"/>
  <c r="K1903" i="10" s="1"/>
  <c r="L2047" i="10"/>
  <c r="K2047" i="10" s="1"/>
  <c r="L2176" i="10"/>
  <c r="K2176" i="10" s="1"/>
  <c r="L2224" i="10"/>
  <c r="K2224" i="10" s="1"/>
  <c r="L2272" i="10"/>
  <c r="K2272" i="10" s="1"/>
  <c r="L2320" i="10"/>
  <c r="K2320" i="10" s="1"/>
  <c r="L2368" i="10"/>
  <c r="K2368" i="10" s="1"/>
  <c r="L2416" i="10"/>
  <c r="K2416" i="10" s="1"/>
  <c r="L2464" i="10"/>
  <c r="K2464" i="10" s="1"/>
  <c r="L2512" i="10"/>
  <c r="K2512" i="10" s="1"/>
  <c r="L2560" i="10"/>
  <c r="K2560" i="10" s="1"/>
  <c r="L2608" i="10"/>
  <c r="K2608" i="10" s="1"/>
  <c r="L2656" i="10"/>
  <c r="K2656" i="10" s="1"/>
  <c r="L2704" i="10"/>
  <c r="K2704" i="10" s="1"/>
  <c r="L2752" i="10"/>
  <c r="K2752" i="10" s="1"/>
  <c r="L2797" i="10"/>
  <c r="K2797" i="10" s="1"/>
  <c r="L2812" i="10"/>
  <c r="K2812" i="10" s="1"/>
  <c r="L2826" i="10"/>
  <c r="K2826" i="10" s="1"/>
  <c r="L2841" i="10"/>
  <c r="K2841" i="10" s="1"/>
  <c r="L2855" i="10"/>
  <c r="K2855" i="10" s="1"/>
  <c r="L2869" i="10"/>
  <c r="K2869" i="10" s="1"/>
  <c r="L2884" i="10"/>
  <c r="K2884" i="10" s="1"/>
  <c r="L2898" i="10"/>
  <c r="K2898" i="10" s="1"/>
  <c r="L2910" i="10"/>
  <c r="K2910" i="10" s="1"/>
  <c r="L2922" i="10"/>
  <c r="K2922" i="10" s="1"/>
  <c r="L2934" i="10"/>
  <c r="K2934" i="10" s="1"/>
  <c r="L2946" i="10"/>
  <c r="K2946" i="10" s="1"/>
  <c r="L2958" i="10"/>
  <c r="K2958" i="10" s="1"/>
  <c r="L2970" i="10"/>
  <c r="K2970" i="10" s="1"/>
  <c r="L2982" i="10"/>
  <c r="K2982" i="10" s="1"/>
  <c r="L2994" i="10"/>
  <c r="K2994" i="10" s="1"/>
  <c r="L3006" i="10"/>
  <c r="K3006" i="10" s="1"/>
  <c r="L3018" i="10"/>
  <c r="K3018" i="10" s="1"/>
  <c r="L3030" i="10"/>
  <c r="K3030" i="10" s="1"/>
  <c r="L3042" i="10"/>
  <c r="K3042" i="10" s="1"/>
  <c r="L3054" i="10"/>
  <c r="K3054" i="10" s="1"/>
  <c r="L3066" i="10"/>
  <c r="K3066" i="10" s="1"/>
  <c r="L3078" i="10"/>
  <c r="K3078" i="10" s="1"/>
  <c r="L3090" i="10"/>
  <c r="K3090" i="10" s="1"/>
  <c r="L3102" i="10"/>
  <c r="K3102" i="10" s="1"/>
  <c r="L3114" i="10"/>
  <c r="K3114" i="10" s="1"/>
  <c r="L3126" i="10"/>
  <c r="K3126" i="10" s="1"/>
  <c r="L3138" i="10"/>
  <c r="K3138" i="10" s="1"/>
  <c r="L3150" i="10"/>
  <c r="K3150" i="10" s="1"/>
  <c r="L3162" i="10"/>
  <c r="K3162" i="10" s="1"/>
  <c r="L3174" i="10"/>
  <c r="K3174" i="10" s="1"/>
  <c r="L3186" i="10"/>
  <c r="K3186" i="10" s="1"/>
  <c r="L3198" i="10"/>
  <c r="K3198" i="10" s="1"/>
  <c r="L3210" i="10"/>
  <c r="K3210" i="10" s="1"/>
  <c r="L3222" i="10"/>
  <c r="K3222" i="10" s="1"/>
  <c r="L3234" i="10"/>
  <c r="K3234" i="10" s="1"/>
  <c r="L3246" i="10"/>
  <c r="K3246" i="10" s="1"/>
  <c r="L3258" i="10"/>
  <c r="K3258" i="10" s="1"/>
  <c r="L3270" i="10"/>
  <c r="K3270" i="10" s="1"/>
  <c r="L3282" i="10"/>
  <c r="K3282" i="10" s="1"/>
  <c r="L3294" i="10"/>
  <c r="K3294" i="10" s="1"/>
  <c r="L3306" i="10"/>
  <c r="K3306" i="10" s="1"/>
  <c r="L3318" i="10"/>
  <c r="K3318" i="10" s="1"/>
  <c r="L3330" i="10"/>
  <c r="K3330" i="10" s="1"/>
  <c r="L3342" i="10"/>
  <c r="K3342" i="10" s="1"/>
  <c r="L3354" i="10"/>
  <c r="K3354" i="10" s="1"/>
  <c r="L3366" i="10"/>
  <c r="K3366" i="10" s="1"/>
  <c r="L3378" i="10"/>
  <c r="K3378" i="10" s="1"/>
  <c r="L2817" i="10"/>
  <c r="K2817" i="10" s="1"/>
  <c r="L3070" i="10"/>
  <c r="K3070" i="10" s="1"/>
  <c r="L3154" i="10"/>
  <c r="K3154" i="10" s="1"/>
  <c r="L3214" i="10"/>
  <c r="K3214" i="10" s="1"/>
  <c r="L3274" i="10"/>
  <c r="K3274" i="10" s="1"/>
  <c r="L3358" i="10"/>
  <c r="K3358" i="10" s="1"/>
  <c r="L1867" i="10"/>
  <c r="K1867" i="10" s="1"/>
  <c r="L2894" i="10"/>
  <c r="K2894" i="10" s="1"/>
  <c r="L3171" i="10"/>
  <c r="K3171" i="10" s="1"/>
  <c r="L436" i="10"/>
  <c r="K436" i="10" s="1"/>
  <c r="L1012" i="10"/>
  <c r="K1012" i="10" s="1"/>
  <c r="L1195" i="10"/>
  <c r="K1195" i="10" s="1"/>
  <c r="L1339" i="10"/>
  <c r="K1339" i="10" s="1"/>
  <c r="L1483" i="10"/>
  <c r="K1483" i="10" s="1"/>
  <c r="L1627" i="10"/>
  <c r="K1627" i="10" s="1"/>
  <c r="L1771" i="10"/>
  <c r="K1771" i="10" s="1"/>
  <c r="L1915" i="10"/>
  <c r="K1915" i="10" s="1"/>
  <c r="L2059" i="10"/>
  <c r="K2059" i="10" s="1"/>
  <c r="L2179" i="10"/>
  <c r="K2179" i="10" s="1"/>
  <c r="L2227" i="10"/>
  <c r="K2227" i="10" s="1"/>
  <c r="L2275" i="10"/>
  <c r="K2275" i="10" s="1"/>
  <c r="L2323" i="10"/>
  <c r="K2323" i="10" s="1"/>
  <c r="L2371" i="10"/>
  <c r="K2371" i="10" s="1"/>
  <c r="L2419" i="10"/>
  <c r="K2419" i="10" s="1"/>
  <c r="L2467" i="10"/>
  <c r="K2467" i="10" s="1"/>
  <c r="L2515" i="10"/>
  <c r="K2515" i="10" s="1"/>
  <c r="L2563" i="10"/>
  <c r="K2563" i="10" s="1"/>
  <c r="L2611" i="10"/>
  <c r="K2611" i="10" s="1"/>
  <c r="L2659" i="10"/>
  <c r="K2659" i="10" s="1"/>
  <c r="L2707" i="10"/>
  <c r="K2707" i="10" s="1"/>
  <c r="L2755" i="10"/>
  <c r="K2755" i="10" s="1"/>
  <c r="L2798" i="10"/>
  <c r="K2798" i="10" s="1"/>
  <c r="L2813" i="10"/>
  <c r="K2813" i="10" s="1"/>
  <c r="L2827" i="10"/>
  <c r="K2827" i="10" s="1"/>
  <c r="L2842" i="10"/>
  <c r="K2842" i="10" s="1"/>
  <c r="L2856" i="10"/>
  <c r="K2856" i="10" s="1"/>
  <c r="L2870" i="10"/>
  <c r="K2870" i="10" s="1"/>
  <c r="L2885" i="10"/>
  <c r="K2885" i="10" s="1"/>
  <c r="L2899" i="10"/>
  <c r="K2899" i="10" s="1"/>
  <c r="L2911" i="10"/>
  <c r="K2911" i="10" s="1"/>
  <c r="L2923" i="10"/>
  <c r="K2923" i="10" s="1"/>
  <c r="L2935" i="10"/>
  <c r="K2935" i="10" s="1"/>
  <c r="L2947" i="10"/>
  <c r="K2947" i="10" s="1"/>
  <c r="L2959" i="10"/>
  <c r="K2959" i="10" s="1"/>
  <c r="L2971" i="10"/>
  <c r="K2971" i="10" s="1"/>
  <c r="L2983" i="10"/>
  <c r="K2983" i="10" s="1"/>
  <c r="L2995" i="10"/>
  <c r="K2995" i="10" s="1"/>
  <c r="L3007" i="10"/>
  <c r="K3007" i="10" s="1"/>
  <c r="L3019" i="10"/>
  <c r="K3019" i="10" s="1"/>
  <c r="L3031" i="10"/>
  <c r="K3031" i="10" s="1"/>
  <c r="L3043" i="10"/>
  <c r="K3043" i="10" s="1"/>
  <c r="L3055" i="10"/>
  <c r="K3055" i="10" s="1"/>
  <c r="L3067" i="10"/>
  <c r="K3067" i="10" s="1"/>
  <c r="L3079" i="10"/>
  <c r="K3079" i="10" s="1"/>
  <c r="L3091" i="10"/>
  <c r="K3091" i="10" s="1"/>
  <c r="L3103" i="10"/>
  <c r="K3103" i="10" s="1"/>
  <c r="L3115" i="10"/>
  <c r="K3115" i="10" s="1"/>
  <c r="L3127" i="10"/>
  <c r="K3127" i="10" s="1"/>
  <c r="L3139" i="10"/>
  <c r="K3139" i="10" s="1"/>
  <c r="L3151" i="10"/>
  <c r="K3151" i="10" s="1"/>
  <c r="L3163" i="10"/>
  <c r="K3163" i="10" s="1"/>
  <c r="L3175" i="10"/>
  <c r="K3175" i="10" s="1"/>
  <c r="L3187" i="10"/>
  <c r="K3187" i="10" s="1"/>
  <c r="L3199" i="10"/>
  <c r="K3199" i="10" s="1"/>
  <c r="L3211" i="10"/>
  <c r="K3211" i="10" s="1"/>
  <c r="L3223" i="10"/>
  <c r="K3223" i="10" s="1"/>
  <c r="L3235" i="10"/>
  <c r="K3235" i="10" s="1"/>
  <c r="L3247" i="10"/>
  <c r="K3247" i="10" s="1"/>
  <c r="L3259" i="10"/>
  <c r="K3259" i="10" s="1"/>
  <c r="L3271" i="10"/>
  <c r="K3271" i="10" s="1"/>
  <c r="L3283" i="10"/>
  <c r="K3283" i="10" s="1"/>
  <c r="L3295" i="10"/>
  <c r="K3295" i="10" s="1"/>
  <c r="L3307" i="10"/>
  <c r="K3307" i="10" s="1"/>
  <c r="L3319" i="10"/>
  <c r="K3319" i="10" s="1"/>
  <c r="L3331" i="10"/>
  <c r="K3331" i="10" s="1"/>
  <c r="L3343" i="10"/>
  <c r="K3343" i="10" s="1"/>
  <c r="L3355" i="10"/>
  <c r="K3355" i="10" s="1"/>
  <c r="L3367" i="10"/>
  <c r="K3367" i="10" s="1"/>
  <c r="L3379" i="10"/>
  <c r="K3379" i="10" s="1"/>
  <c r="L2860" i="10"/>
  <c r="K2860" i="10" s="1"/>
  <c r="L2950" i="10"/>
  <c r="K2950" i="10" s="1"/>
  <c r="L2998" i="10"/>
  <c r="K2998" i="10" s="1"/>
  <c r="L3034" i="10"/>
  <c r="K3034" i="10" s="1"/>
  <c r="L3082" i="10"/>
  <c r="K3082" i="10" s="1"/>
  <c r="L3118" i="10"/>
  <c r="K3118" i="10" s="1"/>
  <c r="L3166" i="10"/>
  <c r="K3166" i="10" s="1"/>
  <c r="L3226" i="10"/>
  <c r="K3226" i="10" s="1"/>
  <c r="L3286" i="10"/>
  <c r="K3286" i="10" s="1"/>
  <c r="L3322" i="10"/>
  <c r="K3322" i="10" s="1"/>
  <c r="L13" i="10"/>
  <c r="K13" i="10" s="1"/>
  <c r="L1435" i="10"/>
  <c r="K1435" i="10" s="1"/>
  <c r="L2356" i="10"/>
  <c r="K2356" i="10" s="1"/>
  <c r="L2740" i="10"/>
  <c r="K2740" i="10" s="1"/>
  <c r="L2866" i="10"/>
  <c r="K2866" i="10" s="1"/>
  <c r="L2979" i="10"/>
  <c r="K2979" i="10" s="1"/>
  <c r="L3075" i="10"/>
  <c r="K3075" i="10" s="1"/>
  <c r="L3195" i="10"/>
  <c r="K3195" i="10" s="1"/>
  <c r="L3291" i="10"/>
  <c r="K3291" i="10" s="1"/>
  <c r="L484" i="10"/>
  <c r="K484" i="10" s="1"/>
  <c r="L1049" i="10"/>
  <c r="K1049" i="10" s="1"/>
  <c r="L1207" i="10"/>
  <c r="K1207" i="10" s="1"/>
  <c r="L1351" i="10"/>
  <c r="K1351" i="10" s="1"/>
  <c r="L1495" i="10"/>
  <c r="K1495" i="10" s="1"/>
  <c r="L1639" i="10"/>
  <c r="K1639" i="10" s="1"/>
  <c r="L1783" i="10"/>
  <c r="K1783" i="10" s="1"/>
  <c r="L1927" i="10"/>
  <c r="K1927" i="10" s="1"/>
  <c r="L2071" i="10"/>
  <c r="K2071" i="10" s="1"/>
  <c r="L2181" i="10"/>
  <c r="K2181" i="10" s="1"/>
  <c r="L2229" i="10"/>
  <c r="K2229" i="10" s="1"/>
  <c r="L2277" i="10"/>
  <c r="K2277" i="10" s="1"/>
  <c r="L2325" i="10"/>
  <c r="K2325" i="10" s="1"/>
  <c r="L2373" i="10"/>
  <c r="K2373" i="10" s="1"/>
  <c r="L2421" i="10"/>
  <c r="K2421" i="10" s="1"/>
  <c r="L2469" i="10"/>
  <c r="K2469" i="10" s="1"/>
  <c r="L2517" i="10"/>
  <c r="K2517" i="10" s="1"/>
  <c r="L2565" i="10"/>
  <c r="K2565" i="10" s="1"/>
  <c r="L2613" i="10"/>
  <c r="K2613" i="10" s="1"/>
  <c r="L2661" i="10"/>
  <c r="K2661" i="10" s="1"/>
  <c r="L2709" i="10"/>
  <c r="K2709" i="10" s="1"/>
  <c r="L2757" i="10"/>
  <c r="K2757" i="10" s="1"/>
  <c r="L2800" i="10"/>
  <c r="K2800" i="10" s="1"/>
  <c r="L2814" i="10"/>
  <c r="K2814" i="10" s="1"/>
  <c r="L2829" i="10"/>
  <c r="K2829" i="10" s="1"/>
  <c r="L2843" i="10"/>
  <c r="K2843" i="10" s="1"/>
  <c r="L2857" i="10"/>
  <c r="K2857" i="10" s="1"/>
  <c r="L2872" i="10"/>
  <c r="K2872" i="10" s="1"/>
  <c r="L2886" i="10"/>
  <c r="K2886" i="10" s="1"/>
  <c r="L2900" i="10"/>
  <c r="K2900" i="10" s="1"/>
  <c r="L2912" i="10"/>
  <c r="K2912" i="10" s="1"/>
  <c r="L2924" i="10"/>
  <c r="K2924" i="10" s="1"/>
  <c r="L2936" i="10"/>
  <c r="K2936" i="10" s="1"/>
  <c r="L2948" i="10"/>
  <c r="K2948" i="10" s="1"/>
  <c r="L2960" i="10"/>
  <c r="K2960" i="10" s="1"/>
  <c r="L2972" i="10"/>
  <c r="K2972" i="10" s="1"/>
  <c r="L2984" i="10"/>
  <c r="K2984" i="10" s="1"/>
  <c r="L2996" i="10"/>
  <c r="K2996" i="10" s="1"/>
  <c r="L3008" i="10"/>
  <c r="K3008" i="10" s="1"/>
  <c r="L3020" i="10"/>
  <c r="K3020" i="10" s="1"/>
  <c r="L3032" i="10"/>
  <c r="K3032" i="10" s="1"/>
  <c r="L3044" i="10"/>
  <c r="K3044" i="10" s="1"/>
  <c r="L3056" i="10"/>
  <c r="K3056" i="10" s="1"/>
  <c r="L3068" i="10"/>
  <c r="K3068" i="10" s="1"/>
  <c r="L3080" i="10"/>
  <c r="K3080" i="10" s="1"/>
  <c r="L3092" i="10"/>
  <c r="K3092" i="10" s="1"/>
  <c r="L3104" i="10"/>
  <c r="K3104" i="10" s="1"/>
  <c r="L3116" i="10"/>
  <c r="K3116" i="10" s="1"/>
  <c r="L3128" i="10"/>
  <c r="K3128" i="10" s="1"/>
  <c r="L3140" i="10"/>
  <c r="K3140" i="10" s="1"/>
  <c r="L3152" i="10"/>
  <c r="K3152" i="10" s="1"/>
  <c r="L3164" i="10"/>
  <c r="K3164" i="10" s="1"/>
  <c r="L3176" i="10"/>
  <c r="K3176" i="10" s="1"/>
  <c r="L3188" i="10"/>
  <c r="K3188" i="10" s="1"/>
  <c r="L3200" i="10"/>
  <c r="K3200" i="10" s="1"/>
  <c r="L3212" i="10"/>
  <c r="K3212" i="10" s="1"/>
  <c r="L3224" i="10"/>
  <c r="K3224" i="10" s="1"/>
  <c r="L3236" i="10"/>
  <c r="K3236" i="10" s="1"/>
  <c r="L3248" i="10"/>
  <c r="K3248" i="10" s="1"/>
  <c r="L3260" i="10"/>
  <c r="K3260" i="10" s="1"/>
  <c r="L3272" i="10"/>
  <c r="K3272" i="10" s="1"/>
  <c r="L3284" i="10"/>
  <c r="K3284" i="10" s="1"/>
  <c r="L3296" i="10"/>
  <c r="K3296" i="10" s="1"/>
  <c r="L3308" i="10"/>
  <c r="K3308" i="10" s="1"/>
  <c r="L3320" i="10"/>
  <c r="K3320" i="10" s="1"/>
  <c r="L3332" i="10"/>
  <c r="K3332" i="10" s="1"/>
  <c r="L3344" i="10"/>
  <c r="K3344" i="10" s="1"/>
  <c r="L3356" i="10"/>
  <c r="K3356" i="10" s="1"/>
  <c r="L3368" i="10"/>
  <c r="K3368" i="10" s="1"/>
  <c r="L3380" i="10"/>
  <c r="K3380" i="10" s="1"/>
  <c r="L2831" i="10"/>
  <c r="K2831" i="10" s="1"/>
  <c r="L3046" i="10"/>
  <c r="K3046" i="10" s="1"/>
  <c r="L3130" i="10"/>
  <c r="K3130" i="10" s="1"/>
  <c r="L3202" i="10"/>
  <c r="K3202" i="10" s="1"/>
  <c r="L3262" i="10"/>
  <c r="K3262" i="10" s="1"/>
  <c r="L3346" i="10"/>
  <c r="K3346" i="10" s="1"/>
  <c r="L1723" i="10"/>
  <c r="K1723" i="10" s="1"/>
  <c r="L2931" i="10"/>
  <c r="K2931" i="10" s="1"/>
  <c r="L3207" i="10"/>
  <c r="K3207" i="10" s="1"/>
  <c r="L532" i="10"/>
  <c r="K532" i="10" s="1"/>
  <c r="L1063" i="10"/>
  <c r="K1063" i="10" s="1"/>
  <c r="L1219" i="10"/>
  <c r="K1219" i="10" s="1"/>
  <c r="L1363" i="10"/>
  <c r="K1363" i="10" s="1"/>
  <c r="L1507" i="10"/>
  <c r="K1507" i="10" s="1"/>
  <c r="L1651" i="10"/>
  <c r="K1651" i="10" s="1"/>
  <c r="L1795" i="10"/>
  <c r="K1795" i="10" s="1"/>
  <c r="L1939" i="10"/>
  <c r="K1939" i="10" s="1"/>
  <c r="L2083" i="10"/>
  <c r="K2083" i="10" s="1"/>
  <c r="L2188" i="10"/>
  <c r="K2188" i="10" s="1"/>
  <c r="L2236" i="10"/>
  <c r="K2236" i="10" s="1"/>
  <c r="L2284" i="10"/>
  <c r="K2284" i="10" s="1"/>
  <c r="L2332" i="10"/>
  <c r="K2332" i="10" s="1"/>
  <c r="L2380" i="10"/>
  <c r="K2380" i="10" s="1"/>
  <c r="L2428" i="10"/>
  <c r="K2428" i="10" s="1"/>
  <c r="L2476" i="10"/>
  <c r="K2476" i="10" s="1"/>
  <c r="L2524" i="10"/>
  <c r="K2524" i="10" s="1"/>
  <c r="L2572" i="10"/>
  <c r="K2572" i="10" s="1"/>
  <c r="L2620" i="10"/>
  <c r="K2620" i="10" s="1"/>
  <c r="L2668" i="10"/>
  <c r="K2668" i="10" s="1"/>
  <c r="L2716" i="10"/>
  <c r="K2716" i="10" s="1"/>
  <c r="L2764" i="10"/>
  <c r="K2764" i="10" s="1"/>
  <c r="L2801" i="10"/>
  <c r="K2801" i="10" s="1"/>
  <c r="L2815" i="10"/>
  <c r="K2815" i="10" s="1"/>
  <c r="L2830" i="10"/>
  <c r="K2830" i="10" s="1"/>
  <c r="L2844" i="10"/>
  <c r="K2844" i="10" s="1"/>
  <c r="L2858" i="10"/>
  <c r="K2858" i="10" s="1"/>
  <c r="L2873" i="10"/>
  <c r="K2873" i="10" s="1"/>
  <c r="L2887" i="10"/>
  <c r="K2887" i="10" s="1"/>
  <c r="L2901" i="10"/>
  <c r="K2901" i="10" s="1"/>
  <c r="L2913" i="10"/>
  <c r="K2913" i="10" s="1"/>
  <c r="L2925" i="10"/>
  <c r="K2925" i="10" s="1"/>
  <c r="L2937" i="10"/>
  <c r="K2937" i="10" s="1"/>
  <c r="L2949" i="10"/>
  <c r="K2949" i="10" s="1"/>
  <c r="L2961" i="10"/>
  <c r="K2961" i="10" s="1"/>
  <c r="L2973" i="10"/>
  <c r="K2973" i="10" s="1"/>
  <c r="L2985" i="10"/>
  <c r="K2985" i="10" s="1"/>
  <c r="L2997" i="10"/>
  <c r="K2997" i="10" s="1"/>
  <c r="L3009" i="10"/>
  <c r="K3009" i="10" s="1"/>
  <c r="L3021" i="10"/>
  <c r="K3021" i="10" s="1"/>
  <c r="L3033" i="10"/>
  <c r="K3033" i="10" s="1"/>
  <c r="L3045" i="10"/>
  <c r="K3045" i="10" s="1"/>
  <c r="L3057" i="10"/>
  <c r="K3057" i="10" s="1"/>
  <c r="L3069" i="10"/>
  <c r="K3069" i="10" s="1"/>
  <c r="L3081" i="10"/>
  <c r="K3081" i="10" s="1"/>
  <c r="L3093" i="10"/>
  <c r="K3093" i="10" s="1"/>
  <c r="L3105" i="10"/>
  <c r="K3105" i="10" s="1"/>
  <c r="L3117" i="10"/>
  <c r="K3117" i="10" s="1"/>
  <c r="L3129" i="10"/>
  <c r="K3129" i="10" s="1"/>
  <c r="L3141" i="10"/>
  <c r="K3141" i="10" s="1"/>
  <c r="L3153" i="10"/>
  <c r="K3153" i="10" s="1"/>
  <c r="L3165" i="10"/>
  <c r="K3165" i="10" s="1"/>
  <c r="L3177" i="10"/>
  <c r="K3177" i="10" s="1"/>
  <c r="L3189" i="10"/>
  <c r="K3189" i="10" s="1"/>
  <c r="L3201" i="10"/>
  <c r="K3201" i="10" s="1"/>
  <c r="L3213" i="10"/>
  <c r="K3213" i="10" s="1"/>
  <c r="L3225" i="10"/>
  <c r="K3225" i="10" s="1"/>
  <c r="L3237" i="10"/>
  <c r="K3237" i="10" s="1"/>
  <c r="L3249" i="10"/>
  <c r="K3249" i="10" s="1"/>
  <c r="L3261" i="10"/>
  <c r="K3261" i="10" s="1"/>
  <c r="L3273" i="10"/>
  <c r="K3273" i="10" s="1"/>
  <c r="L3285" i="10"/>
  <c r="K3285" i="10" s="1"/>
  <c r="L3297" i="10"/>
  <c r="K3297" i="10" s="1"/>
  <c r="L3309" i="10"/>
  <c r="K3309" i="10" s="1"/>
  <c r="L3321" i="10"/>
  <c r="K3321" i="10" s="1"/>
  <c r="L3333" i="10"/>
  <c r="K3333" i="10" s="1"/>
  <c r="L3345" i="10"/>
  <c r="K3345" i="10" s="1"/>
  <c r="L3357" i="10"/>
  <c r="K3357" i="10" s="1"/>
  <c r="L3369" i="10"/>
  <c r="K3369" i="10" s="1"/>
  <c r="L3381" i="10"/>
  <c r="K3381" i="10" s="1"/>
  <c r="L2845" i="10"/>
  <c r="K2845" i="10" s="1"/>
  <c r="L2902" i="10"/>
  <c r="K2902" i="10" s="1"/>
  <c r="L2914" i="10"/>
  <c r="K2914" i="10" s="1"/>
  <c r="L2926" i="10"/>
  <c r="K2926" i="10" s="1"/>
  <c r="L2938" i="10"/>
  <c r="K2938" i="10" s="1"/>
  <c r="L2962" i="10"/>
  <c r="K2962" i="10" s="1"/>
  <c r="L2986" i="10"/>
  <c r="K2986" i="10" s="1"/>
  <c r="L3010" i="10"/>
  <c r="K3010" i="10" s="1"/>
  <c r="L3022" i="10"/>
  <c r="K3022" i="10" s="1"/>
  <c r="L3058" i="10"/>
  <c r="K3058" i="10" s="1"/>
  <c r="L3106" i="10"/>
  <c r="K3106" i="10" s="1"/>
  <c r="L3142" i="10"/>
  <c r="K3142" i="10" s="1"/>
  <c r="L3190" i="10"/>
  <c r="K3190" i="10" s="1"/>
  <c r="L3250" i="10"/>
  <c r="K3250" i="10" s="1"/>
  <c r="L3298" i="10"/>
  <c r="K3298" i="10" s="1"/>
  <c r="L3334" i="10"/>
  <c r="K3334" i="10" s="1"/>
  <c r="L3370" i="10"/>
  <c r="K3370" i="10" s="1"/>
  <c r="L2011" i="10"/>
  <c r="K2011" i="10" s="1"/>
  <c r="L2644" i="10"/>
  <c r="K2644" i="10" s="1"/>
  <c r="L2907" i="10"/>
  <c r="K2907" i="10" s="1"/>
  <c r="L3015" i="10"/>
  <c r="K3015" i="10" s="1"/>
  <c r="L3111" i="10"/>
  <c r="K3111" i="10" s="1"/>
  <c r="L3243" i="10"/>
  <c r="K3243" i="10" s="1"/>
  <c r="L3339" i="10"/>
  <c r="K3339" i="10" s="1"/>
  <c r="L580" i="10"/>
  <c r="K580" i="10" s="1"/>
  <c r="L1077" i="10"/>
  <c r="K1077" i="10" s="1"/>
  <c r="L1231" i="10"/>
  <c r="K1231" i="10" s="1"/>
  <c r="L1375" i="10"/>
  <c r="K1375" i="10" s="1"/>
  <c r="L1519" i="10"/>
  <c r="K1519" i="10" s="1"/>
  <c r="L1663" i="10"/>
  <c r="K1663" i="10" s="1"/>
  <c r="L1807" i="10"/>
  <c r="K1807" i="10" s="1"/>
  <c r="L1951" i="10"/>
  <c r="K1951" i="10" s="1"/>
  <c r="L2095" i="10"/>
  <c r="K2095" i="10" s="1"/>
  <c r="L2191" i="10"/>
  <c r="K2191" i="10" s="1"/>
  <c r="L2239" i="10"/>
  <c r="K2239" i="10" s="1"/>
  <c r="L2287" i="10"/>
  <c r="K2287" i="10" s="1"/>
  <c r="L2335" i="10"/>
  <c r="K2335" i="10" s="1"/>
  <c r="L2383" i="10"/>
  <c r="K2383" i="10" s="1"/>
  <c r="L2431" i="10"/>
  <c r="K2431" i="10" s="1"/>
  <c r="L2479" i="10"/>
  <c r="K2479" i="10" s="1"/>
  <c r="L2527" i="10"/>
  <c r="K2527" i="10" s="1"/>
  <c r="L2575" i="10"/>
  <c r="K2575" i="10" s="1"/>
  <c r="L2623" i="10"/>
  <c r="K2623" i="10" s="1"/>
  <c r="L2671" i="10"/>
  <c r="K2671" i="10" s="1"/>
  <c r="L2719" i="10"/>
  <c r="K2719" i="10" s="1"/>
  <c r="L2767" i="10"/>
  <c r="K2767" i="10" s="1"/>
  <c r="L2802" i="10"/>
  <c r="K2802" i="10" s="1"/>
  <c r="L2889" i="10"/>
  <c r="K2889" i="10" s="1"/>
  <c r="L2974" i="10"/>
  <c r="K2974" i="10" s="1"/>
  <c r="L3094" i="10"/>
  <c r="K3094" i="10" s="1"/>
  <c r="L3238" i="10"/>
  <c r="K3238" i="10" s="1"/>
  <c r="L3087" i="10"/>
  <c r="K3087" i="10" s="1"/>
  <c r="L3279" i="10"/>
  <c r="K3279" i="10" s="1"/>
  <c r="L628" i="10"/>
  <c r="K628" i="10" s="1"/>
  <c r="L1092" i="10"/>
  <c r="K1092" i="10" s="1"/>
  <c r="L1243" i="10"/>
  <c r="K1243" i="10" s="1"/>
  <c r="L1387" i="10"/>
  <c r="K1387" i="10" s="1"/>
  <c r="L1531" i="10"/>
  <c r="K1531" i="10" s="1"/>
  <c r="L1675" i="10"/>
  <c r="K1675" i="10" s="1"/>
  <c r="L1819" i="10"/>
  <c r="K1819" i="10" s="1"/>
  <c r="L1963" i="10"/>
  <c r="K1963" i="10" s="1"/>
  <c r="L2107" i="10"/>
  <c r="K2107" i="10" s="1"/>
  <c r="L2193" i="10"/>
  <c r="K2193" i="10" s="1"/>
  <c r="L2241" i="10"/>
  <c r="K2241" i="10" s="1"/>
  <c r="L2289" i="10"/>
  <c r="K2289" i="10" s="1"/>
  <c r="L2337" i="10"/>
  <c r="K2337" i="10" s="1"/>
  <c r="L2385" i="10"/>
  <c r="K2385" i="10" s="1"/>
  <c r="L2433" i="10"/>
  <c r="K2433" i="10" s="1"/>
  <c r="L2481" i="10"/>
  <c r="K2481" i="10" s="1"/>
  <c r="L2529" i="10"/>
  <c r="K2529" i="10" s="1"/>
  <c r="L2577" i="10"/>
  <c r="K2577" i="10" s="1"/>
  <c r="L2625" i="10"/>
  <c r="K2625" i="10" s="1"/>
  <c r="L2673" i="10"/>
  <c r="K2673" i="10" s="1"/>
  <c r="L2721" i="10"/>
  <c r="K2721" i="10" s="1"/>
  <c r="L2769" i="10"/>
  <c r="K2769" i="10" s="1"/>
  <c r="L2803" i="10"/>
  <c r="K2803" i="10" s="1"/>
  <c r="L2818" i="10"/>
  <c r="K2818" i="10" s="1"/>
  <c r="L2832" i="10"/>
  <c r="K2832" i="10" s="1"/>
  <c r="L2846" i="10"/>
  <c r="K2846" i="10" s="1"/>
  <c r="L2861" i="10"/>
  <c r="K2861" i="10" s="1"/>
  <c r="L2875" i="10"/>
  <c r="K2875" i="10" s="1"/>
  <c r="L2890" i="10"/>
  <c r="K2890" i="10" s="1"/>
  <c r="L2903" i="10"/>
  <c r="K2903" i="10" s="1"/>
  <c r="L2915" i="10"/>
  <c r="K2915" i="10" s="1"/>
  <c r="L2927" i="10"/>
  <c r="K2927" i="10" s="1"/>
  <c r="L2939" i="10"/>
  <c r="K2939" i="10" s="1"/>
  <c r="L2951" i="10"/>
  <c r="K2951" i="10" s="1"/>
  <c r="L2963" i="10"/>
  <c r="K2963" i="10" s="1"/>
  <c r="L2975" i="10"/>
  <c r="K2975" i="10" s="1"/>
  <c r="L2987" i="10"/>
  <c r="K2987" i="10" s="1"/>
  <c r="L2999" i="10"/>
  <c r="K2999" i="10" s="1"/>
  <c r="L3011" i="10"/>
  <c r="K3011" i="10" s="1"/>
  <c r="L3023" i="10"/>
  <c r="K3023" i="10" s="1"/>
  <c r="L3035" i="10"/>
  <c r="K3035" i="10" s="1"/>
  <c r="L3047" i="10"/>
  <c r="K3047" i="10" s="1"/>
  <c r="L3059" i="10"/>
  <c r="K3059" i="10" s="1"/>
  <c r="L3071" i="10"/>
  <c r="K3071" i="10" s="1"/>
  <c r="L3083" i="10"/>
  <c r="K3083" i="10" s="1"/>
  <c r="L3095" i="10"/>
  <c r="K3095" i="10" s="1"/>
  <c r="L3107" i="10"/>
  <c r="K3107" i="10" s="1"/>
  <c r="L3119" i="10"/>
  <c r="K3119" i="10" s="1"/>
  <c r="L3131" i="10"/>
  <c r="K3131" i="10" s="1"/>
  <c r="L3143" i="10"/>
  <c r="K3143" i="10" s="1"/>
  <c r="L3155" i="10"/>
  <c r="K3155" i="10" s="1"/>
  <c r="L3167" i="10"/>
  <c r="K3167" i="10" s="1"/>
  <c r="L3179" i="10"/>
  <c r="K3179" i="10" s="1"/>
  <c r="L3191" i="10"/>
  <c r="K3191" i="10" s="1"/>
  <c r="L3203" i="10"/>
  <c r="K3203" i="10" s="1"/>
  <c r="L3215" i="10"/>
  <c r="K3215" i="10" s="1"/>
  <c r="L3227" i="10"/>
  <c r="K3227" i="10" s="1"/>
  <c r="L3239" i="10"/>
  <c r="K3239" i="10" s="1"/>
  <c r="L3251" i="10"/>
  <c r="K3251" i="10" s="1"/>
  <c r="L3263" i="10"/>
  <c r="K3263" i="10" s="1"/>
  <c r="L3275" i="10"/>
  <c r="K3275" i="10" s="1"/>
  <c r="L3287" i="10"/>
  <c r="K3287" i="10" s="1"/>
  <c r="L3299" i="10"/>
  <c r="K3299" i="10" s="1"/>
  <c r="L3311" i="10"/>
  <c r="K3311" i="10" s="1"/>
  <c r="L3323" i="10"/>
  <c r="K3323" i="10" s="1"/>
  <c r="L3335" i="10"/>
  <c r="K3335" i="10" s="1"/>
  <c r="L3347" i="10"/>
  <c r="K3347" i="10" s="1"/>
  <c r="L3359" i="10"/>
  <c r="K3359" i="10" s="1"/>
  <c r="L3371" i="10"/>
  <c r="K3371" i="10" s="1"/>
  <c r="L3252" i="10"/>
  <c r="K3252" i="10" s="1"/>
  <c r="L3312" i="10"/>
  <c r="K3312" i="10" s="1"/>
  <c r="L3348" i="10"/>
  <c r="K3348" i="10" s="1"/>
  <c r="L3372" i="10"/>
  <c r="K3372" i="10" s="1"/>
  <c r="D13" i="10"/>
  <c r="L820" i="10"/>
  <c r="K820" i="10" s="1"/>
  <c r="L2260" i="10"/>
  <c r="K2260" i="10" s="1"/>
  <c r="L2500" i="10"/>
  <c r="K2500" i="10" s="1"/>
  <c r="L2788" i="10"/>
  <c r="K2788" i="10" s="1"/>
  <c r="L2880" i="10"/>
  <c r="K2880" i="10" s="1"/>
  <c r="L2943" i="10"/>
  <c r="K2943" i="10" s="1"/>
  <c r="L3003" i="10"/>
  <c r="K3003" i="10" s="1"/>
  <c r="L3063" i="10"/>
  <c r="K3063" i="10" s="1"/>
  <c r="L3123" i="10"/>
  <c r="K3123" i="10" s="1"/>
  <c r="L3219" i="10"/>
  <c r="K3219" i="10" s="1"/>
  <c r="L3315" i="10"/>
  <c r="K3315" i="10" s="1"/>
  <c r="L676" i="10"/>
  <c r="K676" i="10" s="1"/>
  <c r="L1106" i="10"/>
  <c r="K1106" i="10" s="1"/>
  <c r="L1255" i="10"/>
  <c r="K1255" i="10" s="1"/>
  <c r="L1399" i="10"/>
  <c r="K1399" i="10" s="1"/>
  <c r="L1543" i="10"/>
  <c r="K1543" i="10" s="1"/>
  <c r="L1687" i="10"/>
  <c r="K1687" i="10" s="1"/>
  <c r="L1831" i="10"/>
  <c r="K1831" i="10" s="1"/>
  <c r="L1975" i="10"/>
  <c r="K1975" i="10" s="1"/>
  <c r="L2119" i="10"/>
  <c r="K2119" i="10" s="1"/>
  <c r="L2200" i="10"/>
  <c r="K2200" i="10" s="1"/>
  <c r="L2248" i="10"/>
  <c r="K2248" i="10" s="1"/>
  <c r="L2296" i="10"/>
  <c r="K2296" i="10" s="1"/>
  <c r="L2344" i="10"/>
  <c r="K2344" i="10" s="1"/>
  <c r="L2392" i="10"/>
  <c r="K2392" i="10" s="1"/>
  <c r="L2440" i="10"/>
  <c r="K2440" i="10" s="1"/>
  <c r="L2488" i="10"/>
  <c r="K2488" i="10" s="1"/>
  <c r="L2536" i="10"/>
  <c r="K2536" i="10" s="1"/>
  <c r="L2584" i="10"/>
  <c r="K2584" i="10" s="1"/>
  <c r="L2632" i="10"/>
  <c r="K2632" i="10" s="1"/>
  <c r="L2680" i="10"/>
  <c r="K2680" i="10" s="1"/>
  <c r="L2728" i="10"/>
  <c r="K2728" i="10" s="1"/>
  <c r="L2776" i="10"/>
  <c r="K2776" i="10" s="1"/>
  <c r="L2805" i="10"/>
  <c r="K2805" i="10" s="1"/>
  <c r="L2819" i="10"/>
  <c r="K2819" i="10" s="1"/>
  <c r="L2833" i="10"/>
  <c r="K2833" i="10" s="1"/>
  <c r="L2848" i="10"/>
  <c r="K2848" i="10" s="1"/>
  <c r="L2862" i="10"/>
  <c r="K2862" i="10" s="1"/>
  <c r="L2877" i="10"/>
  <c r="K2877" i="10" s="1"/>
  <c r="L2891" i="10"/>
  <c r="K2891" i="10" s="1"/>
  <c r="L2904" i="10"/>
  <c r="K2904" i="10" s="1"/>
  <c r="L2916" i="10"/>
  <c r="K2916" i="10" s="1"/>
  <c r="L2928" i="10"/>
  <c r="K2928" i="10" s="1"/>
  <c r="L2940" i="10"/>
  <c r="K2940" i="10" s="1"/>
  <c r="L2952" i="10"/>
  <c r="K2952" i="10" s="1"/>
  <c r="L2964" i="10"/>
  <c r="K2964" i="10" s="1"/>
  <c r="L2976" i="10"/>
  <c r="K2976" i="10" s="1"/>
  <c r="L2988" i="10"/>
  <c r="K2988" i="10" s="1"/>
  <c r="L3000" i="10"/>
  <c r="K3000" i="10" s="1"/>
  <c r="L3012" i="10"/>
  <c r="K3012" i="10" s="1"/>
  <c r="L3024" i="10"/>
  <c r="K3024" i="10" s="1"/>
  <c r="L3036" i="10"/>
  <c r="K3036" i="10" s="1"/>
  <c r="L3048" i="10"/>
  <c r="K3048" i="10" s="1"/>
  <c r="L3060" i="10"/>
  <c r="K3060" i="10" s="1"/>
  <c r="L3072" i="10"/>
  <c r="K3072" i="10" s="1"/>
  <c r="L3084" i="10"/>
  <c r="K3084" i="10" s="1"/>
  <c r="L3096" i="10"/>
  <c r="K3096" i="10" s="1"/>
  <c r="L3108" i="10"/>
  <c r="K3108" i="10" s="1"/>
  <c r="L3120" i="10"/>
  <c r="K3120" i="10" s="1"/>
  <c r="L3132" i="10"/>
  <c r="K3132" i="10" s="1"/>
  <c r="L3144" i="10"/>
  <c r="K3144" i="10" s="1"/>
  <c r="L3156" i="10"/>
  <c r="K3156" i="10" s="1"/>
  <c r="L3168" i="10"/>
  <c r="K3168" i="10" s="1"/>
  <c r="L3180" i="10"/>
  <c r="K3180" i="10" s="1"/>
  <c r="L3192" i="10"/>
  <c r="K3192" i="10" s="1"/>
  <c r="L3204" i="10"/>
  <c r="K3204" i="10" s="1"/>
  <c r="L3216" i="10"/>
  <c r="K3216" i="10" s="1"/>
  <c r="L3228" i="10"/>
  <c r="K3228" i="10" s="1"/>
  <c r="L3240" i="10"/>
  <c r="K3240" i="10" s="1"/>
  <c r="L3264" i="10"/>
  <c r="K3264" i="10" s="1"/>
  <c r="L3276" i="10"/>
  <c r="K3276" i="10" s="1"/>
  <c r="L3288" i="10"/>
  <c r="K3288" i="10" s="1"/>
  <c r="L3300" i="10"/>
  <c r="K3300" i="10" s="1"/>
  <c r="L3324" i="10"/>
  <c r="K3324" i="10" s="1"/>
  <c r="L3336" i="10"/>
  <c r="K3336" i="10" s="1"/>
  <c r="L3360" i="10"/>
  <c r="K3360" i="10" s="1"/>
  <c r="L2837" i="10"/>
  <c r="K2837" i="10" s="1"/>
  <c r="L3099" i="10"/>
  <c r="K3099" i="10" s="1"/>
  <c r="L3303" i="10"/>
  <c r="K3303" i="10" s="1"/>
  <c r="L724" i="10"/>
  <c r="K724" i="10" s="1"/>
  <c r="L1121" i="10"/>
  <c r="K1121" i="10" s="1"/>
  <c r="L1267" i="10"/>
  <c r="K1267" i="10" s="1"/>
  <c r="L1411" i="10"/>
  <c r="K1411" i="10" s="1"/>
  <c r="L1555" i="10"/>
  <c r="K1555" i="10" s="1"/>
  <c r="L1699" i="10"/>
  <c r="K1699" i="10" s="1"/>
  <c r="L1843" i="10"/>
  <c r="K1843" i="10" s="1"/>
  <c r="L1987" i="10"/>
  <c r="K1987" i="10" s="1"/>
  <c r="L2131" i="10"/>
  <c r="K2131" i="10" s="1"/>
  <c r="L2203" i="10"/>
  <c r="K2203" i="10" s="1"/>
  <c r="L2251" i="10"/>
  <c r="K2251" i="10" s="1"/>
  <c r="L2299" i="10"/>
  <c r="K2299" i="10" s="1"/>
  <c r="L2347" i="10"/>
  <c r="K2347" i="10" s="1"/>
  <c r="L2395" i="10"/>
  <c r="K2395" i="10" s="1"/>
  <c r="L2443" i="10"/>
  <c r="K2443" i="10" s="1"/>
  <c r="L2491" i="10"/>
  <c r="K2491" i="10" s="1"/>
  <c r="L2539" i="10"/>
  <c r="K2539" i="10" s="1"/>
  <c r="L2587" i="10"/>
  <c r="K2587" i="10" s="1"/>
  <c r="L2635" i="10"/>
  <c r="K2635" i="10" s="1"/>
  <c r="L2683" i="10"/>
  <c r="K2683" i="10" s="1"/>
  <c r="L2731" i="10"/>
  <c r="K2731" i="10" s="1"/>
  <c r="L2779" i="10"/>
  <c r="K2779" i="10" s="1"/>
  <c r="L2806" i="10"/>
  <c r="K2806" i="10" s="1"/>
  <c r="L2820" i="10"/>
  <c r="K2820" i="10" s="1"/>
  <c r="L2834" i="10"/>
  <c r="K2834" i="10" s="1"/>
  <c r="L2849" i="10"/>
  <c r="K2849" i="10" s="1"/>
  <c r="L2863" i="10"/>
  <c r="K2863" i="10" s="1"/>
  <c r="L2878" i="10"/>
  <c r="K2878" i="10" s="1"/>
  <c r="L2892" i="10"/>
  <c r="K2892" i="10" s="1"/>
  <c r="L2905" i="10"/>
  <c r="K2905" i="10" s="1"/>
  <c r="L2917" i="10"/>
  <c r="K2917" i="10" s="1"/>
  <c r="L2929" i="10"/>
  <c r="K2929" i="10" s="1"/>
  <c r="L2941" i="10"/>
  <c r="K2941" i="10" s="1"/>
  <c r="L2953" i="10"/>
  <c r="K2953" i="10" s="1"/>
  <c r="L2965" i="10"/>
  <c r="K2965" i="10" s="1"/>
  <c r="L2977" i="10"/>
  <c r="K2977" i="10" s="1"/>
  <c r="L2989" i="10"/>
  <c r="K2989" i="10" s="1"/>
  <c r="L3001" i="10"/>
  <c r="K3001" i="10" s="1"/>
  <c r="L3013" i="10"/>
  <c r="K3013" i="10" s="1"/>
  <c r="L3025" i="10"/>
  <c r="K3025" i="10" s="1"/>
  <c r="L3037" i="10"/>
  <c r="K3037" i="10" s="1"/>
  <c r="L3049" i="10"/>
  <c r="K3049" i="10" s="1"/>
  <c r="L3061" i="10"/>
  <c r="K3061" i="10" s="1"/>
  <c r="L3073" i="10"/>
  <c r="K3073" i="10" s="1"/>
  <c r="L3085" i="10"/>
  <c r="K3085" i="10" s="1"/>
  <c r="L3097" i="10"/>
  <c r="K3097" i="10" s="1"/>
  <c r="L3109" i="10"/>
  <c r="K3109" i="10" s="1"/>
  <c r="L3121" i="10"/>
  <c r="K3121" i="10" s="1"/>
  <c r="L3133" i="10"/>
  <c r="K3133" i="10" s="1"/>
  <c r="L3145" i="10"/>
  <c r="K3145" i="10" s="1"/>
  <c r="L3157" i="10"/>
  <c r="K3157" i="10" s="1"/>
  <c r="L3169" i="10"/>
  <c r="K3169" i="10" s="1"/>
  <c r="L3181" i="10"/>
  <c r="K3181" i="10" s="1"/>
  <c r="L3193" i="10"/>
  <c r="K3193" i="10" s="1"/>
  <c r="L3205" i="10"/>
  <c r="K3205" i="10" s="1"/>
  <c r="L3217" i="10"/>
  <c r="K3217" i="10" s="1"/>
  <c r="L3229" i="10"/>
  <c r="K3229" i="10" s="1"/>
  <c r="L3241" i="10"/>
  <c r="K3241" i="10" s="1"/>
  <c r="L3253" i="10"/>
  <c r="K3253" i="10" s="1"/>
  <c r="L3265" i="10"/>
  <c r="K3265" i="10" s="1"/>
  <c r="L3277" i="10"/>
  <c r="K3277" i="10" s="1"/>
  <c r="L3289" i="10"/>
  <c r="K3289" i="10" s="1"/>
  <c r="L3301" i="10"/>
  <c r="K3301" i="10" s="1"/>
  <c r="L3313" i="10"/>
  <c r="K3313" i="10" s="1"/>
  <c r="L3325" i="10"/>
  <c r="K3325" i="10" s="1"/>
  <c r="L3337" i="10"/>
  <c r="K3337" i="10" s="1"/>
  <c r="L3349" i="10"/>
  <c r="K3349" i="10" s="1"/>
  <c r="L3361" i="10"/>
  <c r="K3361" i="10" s="1"/>
  <c r="L3373" i="10"/>
  <c r="K3373" i="10" s="1"/>
  <c r="N18" i="3"/>
  <c r="K19" i="14" s="1"/>
  <c r="K21" i="14" s="1"/>
  <c r="L1147" i="10"/>
  <c r="K1147" i="10" s="1"/>
  <c r="L2212" i="10"/>
  <c r="K2212" i="10" s="1"/>
  <c r="L2308" i="10"/>
  <c r="K2308" i="10" s="1"/>
  <c r="L2452" i="10"/>
  <c r="K2452" i="10" s="1"/>
  <c r="L2692" i="10"/>
  <c r="K2692" i="10" s="1"/>
  <c r="L2851" i="10"/>
  <c r="K2851" i="10" s="1"/>
  <c r="L2955" i="10"/>
  <c r="K2955" i="10" s="1"/>
  <c r="L3039" i="10"/>
  <c r="K3039" i="10" s="1"/>
  <c r="L3159" i="10"/>
  <c r="K3159" i="10" s="1"/>
  <c r="L3267" i="10"/>
  <c r="K3267" i="10" s="1"/>
  <c r="L3375" i="10"/>
  <c r="K3375" i="10" s="1"/>
  <c r="L772" i="10"/>
  <c r="K772" i="10" s="1"/>
  <c r="L1135" i="10"/>
  <c r="K1135" i="10" s="1"/>
  <c r="L1279" i="10"/>
  <c r="K1279" i="10" s="1"/>
  <c r="L1423" i="10"/>
  <c r="K1423" i="10" s="1"/>
  <c r="L1567" i="10"/>
  <c r="K1567" i="10" s="1"/>
  <c r="L1711" i="10"/>
  <c r="K1711" i="10" s="1"/>
  <c r="L1855" i="10"/>
  <c r="K1855" i="10" s="1"/>
  <c r="L1999" i="10"/>
  <c r="K1999" i="10" s="1"/>
  <c r="L2143" i="10"/>
  <c r="K2143" i="10" s="1"/>
  <c r="L2205" i="10"/>
  <c r="K2205" i="10" s="1"/>
  <c r="L2253" i="10"/>
  <c r="K2253" i="10" s="1"/>
  <c r="L2301" i="10"/>
  <c r="K2301" i="10" s="1"/>
  <c r="L2349" i="10"/>
  <c r="K2349" i="10" s="1"/>
  <c r="L2397" i="10"/>
  <c r="K2397" i="10" s="1"/>
  <c r="L2445" i="10"/>
  <c r="K2445" i="10" s="1"/>
  <c r="L2493" i="10"/>
  <c r="K2493" i="10" s="1"/>
  <c r="L2541" i="10"/>
  <c r="K2541" i="10" s="1"/>
  <c r="L2589" i="10"/>
  <c r="K2589" i="10" s="1"/>
  <c r="L2637" i="10"/>
  <c r="K2637" i="10" s="1"/>
  <c r="L2685" i="10"/>
  <c r="K2685" i="10" s="1"/>
  <c r="L2733" i="10"/>
  <c r="K2733" i="10" s="1"/>
  <c r="L2781" i="10"/>
  <c r="K2781" i="10" s="1"/>
  <c r="L2807" i="10"/>
  <c r="K2807" i="10" s="1"/>
  <c r="L2821" i="10"/>
  <c r="K2821" i="10" s="1"/>
  <c r="L2836" i="10"/>
  <c r="K2836" i="10" s="1"/>
  <c r="L2850" i="10"/>
  <c r="K2850" i="10" s="1"/>
  <c r="L2865" i="10"/>
  <c r="K2865" i="10" s="1"/>
  <c r="L2879" i="10"/>
  <c r="K2879" i="10" s="1"/>
  <c r="L2893" i="10"/>
  <c r="K2893" i="10" s="1"/>
  <c r="L2906" i="10"/>
  <c r="K2906" i="10" s="1"/>
  <c r="L2918" i="10"/>
  <c r="K2918" i="10" s="1"/>
  <c r="L2930" i="10"/>
  <c r="K2930" i="10" s="1"/>
  <c r="L2942" i="10"/>
  <c r="K2942" i="10" s="1"/>
  <c r="L2954" i="10"/>
  <c r="K2954" i="10" s="1"/>
  <c r="L2966" i="10"/>
  <c r="K2966" i="10" s="1"/>
  <c r="L2978" i="10"/>
  <c r="K2978" i="10" s="1"/>
  <c r="L2990" i="10"/>
  <c r="K2990" i="10" s="1"/>
  <c r="L3002" i="10"/>
  <c r="K3002" i="10" s="1"/>
  <c r="L3014" i="10"/>
  <c r="K3014" i="10" s="1"/>
  <c r="L3026" i="10"/>
  <c r="K3026" i="10" s="1"/>
  <c r="L3038" i="10"/>
  <c r="K3038" i="10" s="1"/>
  <c r="L3050" i="10"/>
  <c r="K3050" i="10" s="1"/>
  <c r="L3062" i="10"/>
  <c r="K3062" i="10" s="1"/>
  <c r="L3074" i="10"/>
  <c r="K3074" i="10" s="1"/>
  <c r="L3086" i="10"/>
  <c r="K3086" i="10" s="1"/>
  <c r="L3098" i="10"/>
  <c r="K3098" i="10" s="1"/>
  <c r="L3110" i="10"/>
  <c r="K3110" i="10" s="1"/>
  <c r="L3122" i="10"/>
  <c r="K3122" i="10" s="1"/>
  <c r="L3134" i="10"/>
  <c r="K3134" i="10" s="1"/>
  <c r="L3146" i="10"/>
  <c r="K3146" i="10" s="1"/>
  <c r="L3158" i="10"/>
  <c r="K3158" i="10" s="1"/>
  <c r="L3170" i="10"/>
  <c r="K3170" i="10" s="1"/>
  <c r="L3182" i="10"/>
  <c r="K3182" i="10" s="1"/>
  <c r="L3194" i="10"/>
  <c r="K3194" i="10" s="1"/>
  <c r="L3206" i="10"/>
  <c r="K3206" i="10" s="1"/>
  <c r="L3218" i="10"/>
  <c r="K3218" i="10" s="1"/>
  <c r="L3230" i="10"/>
  <c r="K3230" i="10" s="1"/>
  <c r="L3242" i="10"/>
  <c r="K3242" i="10" s="1"/>
  <c r="L3254" i="10"/>
  <c r="K3254" i="10" s="1"/>
  <c r="L3266" i="10"/>
  <c r="K3266" i="10" s="1"/>
  <c r="L3278" i="10"/>
  <c r="K3278" i="10" s="1"/>
  <c r="L3290" i="10"/>
  <c r="K3290" i="10" s="1"/>
  <c r="L3302" i="10"/>
  <c r="K3302" i="10" s="1"/>
  <c r="L3314" i="10"/>
  <c r="K3314" i="10" s="1"/>
  <c r="L3326" i="10"/>
  <c r="K3326" i="10" s="1"/>
  <c r="L3338" i="10"/>
  <c r="K3338" i="10" s="1"/>
  <c r="L3350" i="10"/>
  <c r="K3350" i="10" s="1"/>
  <c r="L3362" i="10"/>
  <c r="K3362" i="10" s="1"/>
  <c r="L3374" i="10"/>
  <c r="K3374" i="10" s="1"/>
  <c r="L1291" i="10"/>
  <c r="K1291" i="10" s="1"/>
  <c r="L2596" i="10"/>
  <c r="K2596" i="10" s="1"/>
  <c r="L2967" i="10"/>
  <c r="K2967" i="10" s="1"/>
  <c r="L3183" i="10"/>
  <c r="K3183" i="10" s="1"/>
  <c r="L3363" i="10"/>
  <c r="K3363" i="10" s="1"/>
  <c r="L158" i="10"/>
  <c r="K158" i="10" s="1"/>
  <c r="L868" i="10"/>
  <c r="K868" i="10" s="1"/>
  <c r="L1159" i="10"/>
  <c r="K1159" i="10" s="1"/>
  <c r="L1303" i="10"/>
  <c r="K1303" i="10" s="1"/>
  <c r="L1447" i="10"/>
  <c r="K1447" i="10" s="1"/>
  <c r="L1591" i="10"/>
  <c r="K1591" i="10" s="1"/>
  <c r="L1735" i="10"/>
  <c r="K1735" i="10" s="1"/>
  <c r="L1879" i="10"/>
  <c r="K1879" i="10" s="1"/>
  <c r="L2023" i="10"/>
  <c r="K2023" i="10" s="1"/>
  <c r="L2167" i="10"/>
  <c r="K2167" i="10" s="1"/>
  <c r="L2215" i="10"/>
  <c r="K2215" i="10" s="1"/>
  <c r="L2263" i="10"/>
  <c r="K2263" i="10" s="1"/>
  <c r="L2311" i="10"/>
  <c r="K2311" i="10" s="1"/>
  <c r="L2359" i="10"/>
  <c r="K2359" i="10" s="1"/>
  <c r="L2407" i="10"/>
  <c r="K2407" i="10" s="1"/>
  <c r="L2455" i="10"/>
  <c r="K2455" i="10" s="1"/>
  <c r="L2503" i="10"/>
  <c r="K2503" i="10" s="1"/>
  <c r="L2551" i="10"/>
  <c r="K2551" i="10" s="1"/>
  <c r="L2599" i="10"/>
  <c r="K2599" i="10" s="1"/>
  <c r="L2647" i="10"/>
  <c r="K2647" i="10" s="1"/>
  <c r="L2695" i="10"/>
  <c r="K2695" i="10" s="1"/>
  <c r="L2743" i="10"/>
  <c r="K2743" i="10" s="1"/>
  <c r="L2791" i="10"/>
  <c r="K2791" i="10" s="1"/>
  <c r="L2809" i="10"/>
  <c r="K2809" i="10" s="1"/>
  <c r="L2824" i="10"/>
  <c r="K2824" i="10" s="1"/>
  <c r="L2838" i="10"/>
  <c r="K2838" i="10" s="1"/>
  <c r="L2853" i="10"/>
  <c r="K2853" i="10" s="1"/>
  <c r="L2867" i="10"/>
  <c r="K2867" i="10" s="1"/>
  <c r="L2881" i="10"/>
  <c r="K2881" i="10" s="1"/>
  <c r="L2896" i="10"/>
  <c r="K2896" i="10" s="1"/>
  <c r="L2908" i="10"/>
  <c r="K2908" i="10" s="1"/>
  <c r="L2920" i="10"/>
  <c r="K2920" i="10" s="1"/>
  <c r="L2932" i="10"/>
  <c r="K2932" i="10" s="1"/>
  <c r="L2944" i="10"/>
  <c r="K2944" i="10" s="1"/>
  <c r="L2956" i="10"/>
  <c r="K2956" i="10" s="1"/>
  <c r="L2968" i="10"/>
  <c r="K2968" i="10" s="1"/>
  <c r="L2980" i="10"/>
  <c r="K2980" i="10" s="1"/>
  <c r="L2992" i="10"/>
  <c r="K2992" i="10" s="1"/>
  <c r="L3004" i="10"/>
  <c r="K3004" i="10" s="1"/>
  <c r="L3016" i="10"/>
  <c r="K3016" i="10" s="1"/>
  <c r="L3028" i="10"/>
  <c r="K3028" i="10" s="1"/>
  <c r="L3040" i="10"/>
  <c r="K3040" i="10" s="1"/>
  <c r="L3052" i="10"/>
  <c r="K3052" i="10" s="1"/>
  <c r="L3064" i="10"/>
  <c r="K3064" i="10" s="1"/>
  <c r="L3076" i="10"/>
  <c r="K3076" i="10" s="1"/>
  <c r="L3088" i="10"/>
  <c r="K3088" i="10" s="1"/>
  <c r="L3100" i="10"/>
  <c r="K3100" i="10" s="1"/>
  <c r="L3112" i="10"/>
  <c r="K3112" i="10" s="1"/>
  <c r="L3124" i="10"/>
  <c r="K3124" i="10" s="1"/>
  <c r="L3136" i="10"/>
  <c r="K3136" i="10" s="1"/>
  <c r="L3148" i="10"/>
  <c r="K3148" i="10" s="1"/>
  <c r="L3160" i="10"/>
  <c r="K3160" i="10" s="1"/>
  <c r="L3172" i="10"/>
  <c r="K3172" i="10" s="1"/>
  <c r="L3184" i="10"/>
  <c r="K3184" i="10" s="1"/>
  <c r="L3196" i="10"/>
  <c r="K3196" i="10" s="1"/>
  <c r="L3208" i="10"/>
  <c r="K3208" i="10" s="1"/>
  <c r="L3220" i="10"/>
  <c r="K3220" i="10" s="1"/>
  <c r="L3232" i="10"/>
  <c r="K3232" i="10" s="1"/>
  <c r="L3244" i="10"/>
  <c r="K3244" i="10" s="1"/>
  <c r="L3256" i="10"/>
  <c r="K3256" i="10" s="1"/>
  <c r="L3268" i="10"/>
  <c r="K3268" i="10" s="1"/>
  <c r="L3280" i="10"/>
  <c r="K3280" i="10" s="1"/>
  <c r="L3292" i="10"/>
  <c r="K3292" i="10" s="1"/>
  <c r="L3304" i="10"/>
  <c r="K3304" i="10" s="1"/>
  <c r="L3316" i="10"/>
  <c r="K3316" i="10" s="1"/>
  <c r="L3328" i="10"/>
  <c r="K3328" i="10" s="1"/>
  <c r="L3340" i="10"/>
  <c r="K3340" i="10" s="1"/>
  <c r="L3352" i="10"/>
  <c r="K3352" i="10" s="1"/>
  <c r="L3364" i="10"/>
  <c r="K3364" i="10" s="1"/>
  <c r="L3376" i="10"/>
  <c r="K3376" i="10" s="1"/>
  <c r="L1579" i="10"/>
  <c r="K1579" i="10" s="1"/>
  <c r="L2808" i="10"/>
  <c r="K2808" i="10" s="1"/>
  <c r="L3027" i="10"/>
  <c r="K3027" i="10" s="1"/>
  <c r="L3147" i="10"/>
  <c r="K3147" i="10" s="1"/>
  <c r="L3255" i="10"/>
  <c r="K3255" i="10" s="1"/>
  <c r="L3351" i="10"/>
  <c r="K3351" i="10" s="1"/>
  <c r="V66" i="4"/>
  <c r="H14" i="2"/>
  <c r="U58" i="4"/>
  <c r="U51" i="4"/>
  <c r="U60" i="4"/>
  <c r="V46" i="4"/>
  <c r="V62" i="4"/>
  <c r="U15" i="4"/>
  <c r="V45" i="7"/>
  <c r="V59" i="7"/>
  <c r="V55" i="7"/>
  <c r="V41" i="7"/>
  <c r="V49" i="7"/>
  <c r="V61" i="7"/>
  <c r="V53" i="7"/>
  <c r="V43" i="7"/>
  <c r="V51" i="7"/>
  <c r="V57" i="7"/>
  <c r="V63" i="7"/>
  <c r="V182" i="7"/>
  <c r="U184" i="7"/>
  <c r="V47" i="7"/>
  <c r="L10" i="9" l="1"/>
  <c r="L18" i="9" s="1"/>
  <c r="L21" i="9" s="1"/>
  <c r="L31" i="7"/>
  <c r="L32" i="7"/>
  <c r="L67" i="8"/>
  <c r="L137" i="8"/>
  <c r="L138" i="8" s="1"/>
  <c r="L158" i="8"/>
  <c r="L157" i="8" s="1"/>
  <c r="L163" i="8" s="1"/>
  <c r="O18" i="3"/>
  <c r="L19" i="14" s="1"/>
  <c r="L21" i="14" s="1"/>
  <c r="M18" i="3"/>
  <c r="J19" i="14" s="1"/>
  <c r="J21" i="14" s="1"/>
  <c r="M13" i="10"/>
  <c r="N13" i="10" s="1"/>
  <c r="O13" i="10" s="1"/>
  <c r="P13" i="10" s="1"/>
  <c r="Q13" i="10" s="1"/>
  <c r="R13" i="10" s="1"/>
  <c r="S13" i="10" s="1"/>
  <c r="T13" i="10" s="1"/>
  <c r="U13" i="10" s="1"/>
  <c r="V13" i="10" s="1"/>
  <c r="D14" i="10"/>
  <c r="N51" i="8"/>
  <c r="I14" i="2"/>
  <c r="V51" i="4"/>
  <c r="V15" i="4"/>
  <c r="V60" i="4"/>
  <c r="V58" i="4"/>
  <c r="V184" i="7"/>
  <c r="G17" i="2"/>
  <c r="L69" i="8" l="1"/>
  <c r="L169" i="8"/>
  <c r="M191" i="8"/>
  <c r="M14" i="10"/>
  <c r="N14" i="10" s="1"/>
  <c r="O14" i="10" s="1"/>
  <c r="P14" i="10" s="1"/>
  <c r="Q14" i="10" s="1"/>
  <c r="R14" i="10" s="1"/>
  <c r="S14" i="10" s="1"/>
  <c r="T14" i="10" s="1"/>
  <c r="U14" i="10" s="1"/>
  <c r="V14" i="10" s="1"/>
  <c r="D15" i="10"/>
  <c r="O51" i="8"/>
  <c r="N121" i="8"/>
  <c r="N120" i="8" s="1"/>
  <c r="N43" i="8" s="1"/>
  <c r="N44" i="8" s="1"/>
  <c r="L18" i="3"/>
  <c r="I19" i="14" s="1"/>
  <c r="I21" i="14" s="1"/>
  <c r="O179" i="7"/>
  <c r="N181" i="7"/>
  <c r="N183" i="7"/>
  <c r="P18" i="3"/>
  <c r="M19" i="14" s="1"/>
  <c r="M21" i="14" s="1"/>
  <c r="J14" i="2"/>
  <c r="H17" i="2"/>
  <c r="N37" i="9"/>
  <c r="L223" i="8" l="1"/>
  <c r="M223" i="8" s="1"/>
  <c r="L221" i="8"/>
  <c r="M221" i="8" s="1"/>
  <c r="N221" i="8" s="1"/>
  <c r="O221" i="8" s="1"/>
  <c r="P221" i="8" s="1"/>
  <c r="Q221" i="8" s="1"/>
  <c r="R221" i="8" s="1"/>
  <c r="S221" i="8" s="1"/>
  <c r="T221" i="8" s="1"/>
  <c r="U221" i="8" s="1"/>
  <c r="V221" i="8" s="1"/>
  <c r="L75" i="8"/>
  <c r="L176" i="8"/>
  <c r="M74" i="8"/>
  <c r="M190" i="8"/>
  <c r="P51" i="8"/>
  <c r="O121" i="8"/>
  <c r="O120" i="8" s="1"/>
  <c r="O43" i="8" s="1"/>
  <c r="O44" i="8" s="1"/>
  <c r="K18" i="3"/>
  <c r="H19" i="14" s="1"/>
  <c r="H21" i="14" s="1"/>
  <c r="P179" i="7"/>
  <c r="O181" i="7"/>
  <c r="O183" i="7"/>
  <c r="Q18" i="3"/>
  <c r="N19" i="14" s="1"/>
  <c r="N21" i="14" s="1"/>
  <c r="D16" i="10"/>
  <c r="M15" i="10"/>
  <c r="N15" i="10" s="1"/>
  <c r="O15" i="10" s="1"/>
  <c r="P15" i="10" s="1"/>
  <c r="Q15" i="10" s="1"/>
  <c r="R15" i="10" s="1"/>
  <c r="S15" i="10" s="1"/>
  <c r="T15" i="10" s="1"/>
  <c r="U15" i="10" s="1"/>
  <c r="V15" i="10" s="1"/>
  <c r="N88" i="8"/>
  <c r="N84" i="8" s="1"/>
  <c r="N23" i="8" s="1"/>
  <c r="K14" i="2"/>
  <c r="I17" i="2"/>
  <c r="O37" i="9"/>
  <c r="N24" i="8" l="1"/>
  <c r="M105" i="7"/>
  <c r="Q179" i="7"/>
  <c r="P181" i="7"/>
  <c r="P183" i="7"/>
  <c r="R18" i="3"/>
  <c r="O19" i="14" s="1"/>
  <c r="O21" i="14" s="1"/>
  <c r="O88" i="8"/>
  <c r="O84" i="8" s="1"/>
  <c r="O23" i="8" s="1"/>
  <c r="O24" i="8" s="1"/>
  <c r="J18" i="3"/>
  <c r="G19" i="14" s="1"/>
  <c r="G21" i="14" s="1"/>
  <c r="D17" i="10"/>
  <c r="M16" i="10"/>
  <c r="N16" i="10" s="1"/>
  <c r="O16" i="10" s="1"/>
  <c r="P16" i="10" s="1"/>
  <c r="Q16" i="10" s="1"/>
  <c r="R16" i="10" s="1"/>
  <c r="S16" i="10" s="1"/>
  <c r="T16" i="10" s="1"/>
  <c r="U16" i="10" s="1"/>
  <c r="V16" i="10" s="1"/>
  <c r="Q51" i="8"/>
  <c r="P121" i="8"/>
  <c r="P120" i="8" s="1"/>
  <c r="P43" i="8" s="1"/>
  <c r="P44" i="8" s="1"/>
  <c r="L14" i="2"/>
  <c r="J17" i="2"/>
  <c r="P37" i="9"/>
  <c r="M11" i="4" l="1"/>
  <c r="R51" i="8"/>
  <c r="Q121" i="8"/>
  <c r="Q120" i="8" s="1"/>
  <c r="Q43" i="8" s="1"/>
  <c r="Q44" i="8" s="1"/>
  <c r="M12" i="8"/>
  <c r="M53" i="9"/>
  <c r="S18" i="3"/>
  <c r="P19" i="14" s="1"/>
  <c r="P21" i="14" s="1"/>
  <c r="D18" i="10"/>
  <c r="M17" i="10"/>
  <c r="N17" i="10" s="1"/>
  <c r="O17" i="10" s="1"/>
  <c r="P17" i="10" s="1"/>
  <c r="Q17" i="10" s="1"/>
  <c r="R17" i="10" s="1"/>
  <c r="S17" i="10" s="1"/>
  <c r="T17" i="10" s="1"/>
  <c r="U17" i="10" s="1"/>
  <c r="V17" i="10" s="1"/>
  <c r="P88" i="8"/>
  <c r="P84" i="8" s="1"/>
  <c r="P23" i="8" s="1"/>
  <c r="P24" i="8" s="1"/>
  <c r="R179" i="7"/>
  <c r="Q181" i="7"/>
  <c r="Q183" i="7"/>
  <c r="M14" i="2"/>
  <c r="K17" i="2"/>
  <c r="Q37" i="9"/>
  <c r="M52" i="4" l="1"/>
  <c r="M121" i="4"/>
  <c r="N121" i="4" s="1"/>
  <c r="M113" i="4"/>
  <c r="M108" i="4"/>
  <c r="M110" i="4"/>
  <c r="M55" i="9"/>
  <c r="N55" i="9" s="1"/>
  <c r="O55" i="9" s="1"/>
  <c r="P55" i="9" s="1"/>
  <c r="Q55" i="9" s="1"/>
  <c r="R55" i="9" s="1"/>
  <c r="S55" i="9" s="1"/>
  <c r="T55" i="9" s="1"/>
  <c r="U55" i="9" s="1"/>
  <c r="M14" i="4"/>
  <c r="Q88" i="8"/>
  <c r="Q84" i="8" s="1"/>
  <c r="Q23" i="8" s="1"/>
  <c r="Q24" i="8" s="1"/>
  <c r="M65" i="4"/>
  <c r="M67" i="4" s="1"/>
  <c r="M59" i="4"/>
  <c r="M61" i="4"/>
  <c r="M32" i="9" s="1"/>
  <c r="M45" i="4"/>
  <c r="M50" i="4"/>
  <c r="M57" i="4"/>
  <c r="D19" i="10"/>
  <c r="M18" i="10"/>
  <c r="N18" i="10" s="1"/>
  <c r="O18" i="10" s="1"/>
  <c r="P18" i="10" s="1"/>
  <c r="Q18" i="10" s="1"/>
  <c r="R18" i="10" s="1"/>
  <c r="S18" i="10" s="1"/>
  <c r="T18" i="10" s="1"/>
  <c r="U18" i="10" s="1"/>
  <c r="V18" i="10" s="1"/>
  <c r="S179" i="7"/>
  <c r="R181" i="7"/>
  <c r="R183" i="7"/>
  <c r="M16" i="9"/>
  <c r="M17" i="9" s="1"/>
  <c r="S51" i="8"/>
  <c r="R121" i="8"/>
  <c r="R120" i="8" s="1"/>
  <c r="R43" i="8" s="1"/>
  <c r="R44" i="8" s="1"/>
  <c r="N14" i="2"/>
  <c r="R37" i="9"/>
  <c r="L17" i="2"/>
  <c r="M43" i="4"/>
  <c r="M44" i="4" s="1"/>
  <c r="M41" i="4"/>
  <c r="M42" i="4" s="1"/>
  <c r="M35" i="4"/>
  <c r="O121" i="4" l="1"/>
  <c r="M125" i="4"/>
  <c r="M56" i="4"/>
  <c r="M33" i="9" s="1"/>
  <c r="T179" i="7"/>
  <c r="S181" i="7"/>
  <c r="S183" i="7"/>
  <c r="D20" i="10"/>
  <c r="M19" i="10"/>
  <c r="N19" i="10" s="1"/>
  <c r="O19" i="10" s="1"/>
  <c r="P19" i="10" s="1"/>
  <c r="Q19" i="10" s="1"/>
  <c r="R19" i="10" s="1"/>
  <c r="S19" i="10" s="1"/>
  <c r="T19" i="10" s="1"/>
  <c r="U19" i="10" s="1"/>
  <c r="V19" i="10" s="1"/>
  <c r="T51" i="8"/>
  <c r="S121" i="8"/>
  <c r="S120" i="8" s="1"/>
  <c r="S43" i="8" s="1"/>
  <c r="S44" i="8" s="1"/>
  <c r="R88" i="8"/>
  <c r="R84" i="8" s="1"/>
  <c r="R23" i="8" s="1"/>
  <c r="R24" i="8" s="1"/>
  <c r="M19" i="4"/>
  <c r="M20" i="4" s="1"/>
  <c r="M31" i="4"/>
  <c r="M32" i="4" s="1"/>
  <c r="M17" i="4"/>
  <c r="M18" i="4" s="1"/>
  <c r="O14" i="2"/>
  <c r="D12" i="10"/>
  <c r="S37" i="9"/>
  <c r="M17" i="2"/>
  <c r="M38" i="4"/>
  <c r="M37" i="4"/>
  <c r="M36" i="4"/>
  <c r="M39" i="4"/>
  <c r="M40" i="4" s="1"/>
  <c r="M94" i="4"/>
  <c r="M95" i="4" s="1"/>
  <c r="M84" i="4"/>
  <c r="M85" i="4" s="1"/>
  <c r="M98" i="4"/>
  <c r="M99" i="4" s="1"/>
  <c r="M96" i="4"/>
  <c r="M97" i="4" s="1"/>
  <c r="M92" i="4"/>
  <c r="M93" i="4" s="1"/>
  <c r="M88" i="4"/>
  <c r="M89" i="4" s="1"/>
  <c r="M106" i="4"/>
  <c r="M107" i="4" s="1"/>
  <c r="M100" i="4"/>
  <c r="M101" i="4" s="1"/>
  <c r="M90" i="4"/>
  <c r="M12" i="10" l="1"/>
  <c r="P121" i="4"/>
  <c r="S88" i="8"/>
  <c r="S84" i="8" s="1"/>
  <c r="S23" i="8" s="1"/>
  <c r="S24" i="8" s="1"/>
  <c r="U179" i="7"/>
  <c r="T181" i="7"/>
  <c r="T183" i="7"/>
  <c r="D21" i="10"/>
  <c r="M20" i="10"/>
  <c r="N20" i="10" s="1"/>
  <c r="O20" i="10" s="1"/>
  <c r="P20" i="10" s="1"/>
  <c r="Q20" i="10" s="1"/>
  <c r="R20" i="10" s="1"/>
  <c r="S20" i="10" s="1"/>
  <c r="T20" i="10" s="1"/>
  <c r="U20" i="10" s="1"/>
  <c r="V20" i="10" s="1"/>
  <c r="U51" i="8"/>
  <c r="T121" i="8"/>
  <c r="T120" i="8" s="1"/>
  <c r="T43" i="8" s="1"/>
  <c r="T44" i="8" s="1"/>
  <c r="M235" i="8"/>
  <c r="N237" i="8" s="1"/>
  <c r="M52" i="9"/>
  <c r="M57" i="9" s="1"/>
  <c r="M80" i="4"/>
  <c r="M86" i="4"/>
  <c r="M87" i="4" s="1"/>
  <c r="M76" i="4"/>
  <c r="M79" i="4"/>
  <c r="M33" i="4"/>
  <c r="M34" i="4" s="1"/>
  <c r="M75" i="4"/>
  <c r="M78" i="4"/>
  <c r="M74" i="4"/>
  <c r="X31" i="9"/>
  <c r="W39" i="9" s="1"/>
  <c r="F14" i="14"/>
  <c r="T37" i="9"/>
  <c r="N17" i="2"/>
  <c r="M115" i="7"/>
  <c r="M148" i="7" s="1"/>
  <c r="M122" i="7"/>
  <c r="M155" i="7" s="1"/>
  <c r="N12" i="10" l="1"/>
  <c r="O12" i="10" s="1"/>
  <c r="P12" i="10" s="1"/>
  <c r="Q12" i="10" s="1"/>
  <c r="R12" i="10" s="1"/>
  <c r="S12" i="10" s="1"/>
  <c r="T12" i="10" s="1"/>
  <c r="U12" i="10" s="1"/>
  <c r="V12" i="10" s="1"/>
  <c r="Q121" i="4"/>
  <c r="V179" i="7"/>
  <c r="U181" i="7"/>
  <c r="U183" i="7"/>
  <c r="V51" i="8"/>
  <c r="V121" i="8" s="1"/>
  <c r="V120" i="8" s="1"/>
  <c r="V43" i="8" s="1"/>
  <c r="U121" i="8"/>
  <c r="U120" i="8" s="1"/>
  <c r="U43" i="8" s="1"/>
  <c r="U44" i="8" s="1"/>
  <c r="D22" i="10"/>
  <c r="M21" i="10"/>
  <c r="N21" i="10" s="1"/>
  <c r="O21" i="10" s="1"/>
  <c r="P21" i="10" s="1"/>
  <c r="Q21" i="10" s="1"/>
  <c r="R21" i="10" s="1"/>
  <c r="S21" i="10" s="1"/>
  <c r="T21" i="10" s="1"/>
  <c r="U21" i="10" s="1"/>
  <c r="V21" i="10" s="1"/>
  <c r="M103" i="7"/>
  <c r="T88" i="8"/>
  <c r="T84" i="8" s="1"/>
  <c r="T23" i="8" s="1"/>
  <c r="T24" i="8" s="1"/>
  <c r="M16" i="4"/>
  <c r="M13" i="4" s="1"/>
  <c r="M12" i="4" s="1"/>
  <c r="M77" i="4"/>
  <c r="M72" i="4" s="1"/>
  <c r="M73" i="4" s="1"/>
  <c r="I12" i="3"/>
  <c r="I14" i="3"/>
  <c r="U37" i="9"/>
  <c r="O17" i="2"/>
  <c r="V37" i="9" s="1"/>
  <c r="W37" i="9" s="1"/>
  <c r="M113" i="7"/>
  <c r="I11" i="3" l="1"/>
  <c r="F13" i="14"/>
  <c r="I15" i="3"/>
  <c r="F15" i="14"/>
  <c r="M68" i="4"/>
  <c r="M91" i="4" s="1"/>
  <c r="R121" i="4"/>
  <c r="M147" i="7"/>
  <c r="M114" i="7"/>
  <c r="D23" i="10"/>
  <c r="M22" i="10"/>
  <c r="N22" i="10" s="1"/>
  <c r="O22" i="10" s="1"/>
  <c r="P22" i="10" s="1"/>
  <c r="Q22" i="10" s="1"/>
  <c r="R22" i="10" s="1"/>
  <c r="S22" i="10" s="1"/>
  <c r="T22" i="10" s="1"/>
  <c r="U22" i="10" s="1"/>
  <c r="V22" i="10" s="1"/>
  <c r="V44" i="8"/>
  <c r="U88" i="8"/>
  <c r="U84" i="8" s="1"/>
  <c r="U23" i="8" s="1"/>
  <c r="U24" i="8" s="1"/>
  <c r="V181" i="7"/>
  <c r="V183" i="7"/>
  <c r="M20" i="7"/>
  <c r="M126" i="4"/>
  <c r="I16" i="3" l="1"/>
  <c r="F16" i="14"/>
  <c r="I10" i="3"/>
  <c r="F12" i="14"/>
  <c r="S121" i="4"/>
  <c r="M21" i="7"/>
  <c r="V88" i="8"/>
  <c r="V84" i="8" s="1"/>
  <c r="V23" i="8" s="1"/>
  <c r="D24" i="10"/>
  <c r="M23" i="10"/>
  <c r="N23" i="10" s="1"/>
  <c r="O23" i="10" s="1"/>
  <c r="P23" i="10" s="1"/>
  <c r="Q23" i="10" s="1"/>
  <c r="R23" i="10" s="1"/>
  <c r="S23" i="10" s="1"/>
  <c r="T23" i="10" s="1"/>
  <c r="U23" i="10" s="1"/>
  <c r="V23" i="10" s="1"/>
  <c r="M127" i="4"/>
  <c r="I17" i="3" l="1"/>
  <c r="F17" i="14"/>
  <c r="I9" i="3"/>
  <c r="F11" i="14"/>
  <c r="T121" i="4"/>
  <c r="D25" i="10"/>
  <c r="M24" i="10"/>
  <c r="N24" i="10" s="1"/>
  <c r="O24" i="10" s="1"/>
  <c r="P24" i="10" s="1"/>
  <c r="Q24" i="10" s="1"/>
  <c r="R24" i="10" s="1"/>
  <c r="S24" i="10" s="1"/>
  <c r="T24" i="10" s="1"/>
  <c r="U24" i="10" s="1"/>
  <c r="V24" i="10" s="1"/>
  <c r="V24" i="8"/>
  <c r="F18" i="14" l="1"/>
  <c r="F10" i="14"/>
  <c r="U121" i="4"/>
  <c r="D26" i="10"/>
  <c r="M25" i="10"/>
  <c r="N25" i="10" s="1"/>
  <c r="O25" i="10" s="1"/>
  <c r="P25" i="10" s="1"/>
  <c r="Q25" i="10" s="1"/>
  <c r="R25" i="10" s="1"/>
  <c r="S25" i="10" s="1"/>
  <c r="T25" i="10" s="1"/>
  <c r="U25" i="10" s="1"/>
  <c r="V25" i="10" s="1"/>
  <c r="V121" i="4" l="1"/>
  <c r="D27" i="10"/>
  <c r="M26" i="10"/>
  <c r="N26" i="10" s="1"/>
  <c r="O26" i="10" s="1"/>
  <c r="P26" i="10" s="1"/>
  <c r="Q26" i="10" s="1"/>
  <c r="R26" i="10" s="1"/>
  <c r="S26" i="10" s="1"/>
  <c r="T26" i="10" s="1"/>
  <c r="U26" i="10" s="1"/>
  <c r="V26" i="10" s="1"/>
  <c r="M12" i="9"/>
  <c r="D28" i="10" l="1"/>
  <c r="M27" i="10"/>
  <c r="N27" i="10" s="1"/>
  <c r="O27" i="10" s="1"/>
  <c r="P27" i="10" s="1"/>
  <c r="Q27" i="10" s="1"/>
  <c r="R27" i="10" s="1"/>
  <c r="S27" i="10" s="1"/>
  <c r="T27" i="10" s="1"/>
  <c r="U27" i="10" s="1"/>
  <c r="V27" i="10" s="1"/>
  <c r="M13" i="9"/>
  <c r="D29" i="10" l="1"/>
  <c r="M28" i="10"/>
  <c r="N28" i="10" s="1"/>
  <c r="O28" i="10" s="1"/>
  <c r="P28" i="10" s="1"/>
  <c r="Q28" i="10" s="1"/>
  <c r="R28" i="10" s="1"/>
  <c r="S28" i="10" s="1"/>
  <c r="T28" i="10" s="1"/>
  <c r="U28" i="10" s="1"/>
  <c r="V28" i="10" s="1"/>
  <c r="D30" i="10" l="1"/>
  <c r="M29" i="10"/>
  <c r="N29" i="10" s="1"/>
  <c r="O29" i="10" s="1"/>
  <c r="P29" i="10" s="1"/>
  <c r="Q29" i="10" s="1"/>
  <c r="R29" i="10" s="1"/>
  <c r="S29" i="10" s="1"/>
  <c r="T29" i="10" s="1"/>
  <c r="U29" i="10" s="1"/>
  <c r="V29" i="10" s="1"/>
  <c r="D31" i="10" l="1"/>
  <c r="M30" i="10"/>
  <c r="N30" i="10" s="1"/>
  <c r="O30" i="10" s="1"/>
  <c r="P30" i="10" s="1"/>
  <c r="Q30" i="10" s="1"/>
  <c r="R30" i="10" s="1"/>
  <c r="S30" i="10" s="1"/>
  <c r="T30" i="10" s="1"/>
  <c r="U30" i="10" s="1"/>
  <c r="V30" i="10" s="1"/>
  <c r="D32" i="10" l="1"/>
  <c r="M31" i="10"/>
  <c r="N31" i="10" s="1"/>
  <c r="O31" i="10" s="1"/>
  <c r="P31" i="10" s="1"/>
  <c r="Q31" i="10" s="1"/>
  <c r="R31" i="10" s="1"/>
  <c r="S31" i="10" s="1"/>
  <c r="T31" i="10" s="1"/>
  <c r="U31" i="10" s="1"/>
  <c r="V31" i="10" s="1"/>
  <c r="D33" i="10" l="1"/>
  <c r="M32" i="10"/>
  <c r="N32" i="10" s="1"/>
  <c r="O32" i="10" s="1"/>
  <c r="P32" i="10" s="1"/>
  <c r="Q32" i="10" s="1"/>
  <c r="R32" i="10" s="1"/>
  <c r="S32" i="10" s="1"/>
  <c r="T32" i="10" s="1"/>
  <c r="U32" i="10" s="1"/>
  <c r="V32" i="10" s="1"/>
  <c r="D34" i="10" l="1"/>
  <c r="M33" i="10"/>
  <c r="N33" i="10" s="1"/>
  <c r="O33" i="10" s="1"/>
  <c r="P33" i="10" s="1"/>
  <c r="Q33" i="10" s="1"/>
  <c r="R33" i="10" s="1"/>
  <c r="S33" i="10" s="1"/>
  <c r="T33" i="10" s="1"/>
  <c r="U33" i="10" s="1"/>
  <c r="V33" i="10" s="1"/>
  <c r="D35" i="10" l="1"/>
  <c r="M34" i="10"/>
  <c r="N34" i="10" s="1"/>
  <c r="O34" i="10" s="1"/>
  <c r="P34" i="10" s="1"/>
  <c r="Q34" i="10" s="1"/>
  <c r="R34" i="10" s="1"/>
  <c r="S34" i="10" s="1"/>
  <c r="T34" i="10" s="1"/>
  <c r="U34" i="10" s="1"/>
  <c r="V34" i="10" s="1"/>
  <c r="D36" i="10" l="1"/>
  <c r="M35" i="10"/>
  <c r="N35" i="10" s="1"/>
  <c r="O35" i="10" s="1"/>
  <c r="P35" i="10" s="1"/>
  <c r="Q35" i="10" s="1"/>
  <c r="R35" i="10" s="1"/>
  <c r="S35" i="10" s="1"/>
  <c r="T35" i="10" s="1"/>
  <c r="U35" i="10" s="1"/>
  <c r="V35" i="10" s="1"/>
  <c r="D37" i="10" l="1"/>
  <c r="M36" i="10"/>
  <c r="N36" i="10" s="1"/>
  <c r="O36" i="10" s="1"/>
  <c r="P36" i="10" s="1"/>
  <c r="Q36" i="10" s="1"/>
  <c r="R36" i="10" s="1"/>
  <c r="S36" i="10" s="1"/>
  <c r="T36" i="10" s="1"/>
  <c r="U36" i="10" s="1"/>
  <c r="V36" i="10" s="1"/>
  <c r="D38" i="10" l="1"/>
  <c r="M37" i="10"/>
  <c r="N37" i="10" s="1"/>
  <c r="O37" i="10" s="1"/>
  <c r="P37" i="10" s="1"/>
  <c r="Q37" i="10" s="1"/>
  <c r="R37" i="10" s="1"/>
  <c r="S37" i="10" s="1"/>
  <c r="T37" i="10" s="1"/>
  <c r="U37" i="10" s="1"/>
  <c r="V37" i="10" s="1"/>
  <c r="D39" i="10" l="1"/>
  <c r="M38" i="10"/>
  <c r="N38" i="10" s="1"/>
  <c r="O38" i="10" s="1"/>
  <c r="P38" i="10" s="1"/>
  <c r="Q38" i="10" s="1"/>
  <c r="R38" i="10" s="1"/>
  <c r="S38" i="10" s="1"/>
  <c r="T38" i="10" s="1"/>
  <c r="U38" i="10" s="1"/>
  <c r="V38" i="10" s="1"/>
  <c r="D40" i="10" l="1"/>
  <c r="M39" i="10"/>
  <c r="N39" i="10" s="1"/>
  <c r="O39" i="10" s="1"/>
  <c r="P39" i="10" s="1"/>
  <c r="Q39" i="10" s="1"/>
  <c r="R39" i="10" s="1"/>
  <c r="S39" i="10" s="1"/>
  <c r="T39" i="10" s="1"/>
  <c r="U39" i="10" s="1"/>
  <c r="V39" i="10" s="1"/>
  <c r="D41" i="10" l="1"/>
  <c r="M40" i="10"/>
  <c r="N40" i="10" s="1"/>
  <c r="O40" i="10" s="1"/>
  <c r="P40" i="10" s="1"/>
  <c r="Q40" i="10" s="1"/>
  <c r="R40" i="10" s="1"/>
  <c r="S40" i="10" s="1"/>
  <c r="T40" i="10" s="1"/>
  <c r="U40" i="10" s="1"/>
  <c r="V40" i="10" s="1"/>
  <c r="D42" i="10" l="1"/>
  <c r="M41" i="10"/>
  <c r="N41" i="10" s="1"/>
  <c r="O41" i="10" s="1"/>
  <c r="P41" i="10" s="1"/>
  <c r="Q41" i="10" s="1"/>
  <c r="R41" i="10" s="1"/>
  <c r="S41" i="10" s="1"/>
  <c r="T41" i="10" s="1"/>
  <c r="U41" i="10" s="1"/>
  <c r="V41" i="10" s="1"/>
  <c r="D43" i="10" l="1"/>
  <c r="M42" i="10"/>
  <c r="N42" i="10" s="1"/>
  <c r="O42" i="10" s="1"/>
  <c r="P42" i="10" s="1"/>
  <c r="Q42" i="10" s="1"/>
  <c r="R42" i="10" s="1"/>
  <c r="S42" i="10" s="1"/>
  <c r="T42" i="10" s="1"/>
  <c r="U42" i="10" s="1"/>
  <c r="V42" i="10" s="1"/>
  <c r="D44" i="10" l="1"/>
  <c r="M43" i="10"/>
  <c r="N43" i="10" s="1"/>
  <c r="O43" i="10" s="1"/>
  <c r="P43" i="10" s="1"/>
  <c r="Q43" i="10" s="1"/>
  <c r="R43" i="10" s="1"/>
  <c r="S43" i="10" s="1"/>
  <c r="T43" i="10" s="1"/>
  <c r="U43" i="10" s="1"/>
  <c r="V43" i="10" s="1"/>
  <c r="D45" i="10" l="1"/>
  <c r="M44" i="10"/>
  <c r="N44" i="10" s="1"/>
  <c r="O44" i="10" s="1"/>
  <c r="P44" i="10" s="1"/>
  <c r="Q44" i="10" s="1"/>
  <c r="R44" i="10" s="1"/>
  <c r="S44" i="10" s="1"/>
  <c r="T44" i="10" s="1"/>
  <c r="U44" i="10" s="1"/>
  <c r="V44" i="10" s="1"/>
  <c r="D46" i="10" l="1"/>
  <c r="M45" i="10"/>
  <c r="N45" i="10" s="1"/>
  <c r="O45" i="10" s="1"/>
  <c r="P45" i="10" s="1"/>
  <c r="Q45" i="10" s="1"/>
  <c r="R45" i="10" s="1"/>
  <c r="S45" i="10" s="1"/>
  <c r="T45" i="10" s="1"/>
  <c r="U45" i="10" s="1"/>
  <c r="V45" i="10" s="1"/>
  <c r="D47" i="10" l="1"/>
  <c r="M46" i="10"/>
  <c r="N46" i="10" s="1"/>
  <c r="O46" i="10" s="1"/>
  <c r="P46" i="10" s="1"/>
  <c r="Q46" i="10" s="1"/>
  <c r="R46" i="10" s="1"/>
  <c r="S46" i="10" s="1"/>
  <c r="T46" i="10" s="1"/>
  <c r="U46" i="10" s="1"/>
  <c r="V46" i="10" s="1"/>
  <c r="D48" i="10" l="1"/>
  <c r="M47" i="10"/>
  <c r="N47" i="10" s="1"/>
  <c r="O47" i="10" s="1"/>
  <c r="P47" i="10" s="1"/>
  <c r="Q47" i="10" s="1"/>
  <c r="R47" i="10" s="1"/>
  <c r="S47" i="10" s="1"/>
  <c r="T47" i="10" s="1"/>
  <c r="U47" i="10" s="1"/>
  <c r="V47" i="10" s="1"/>
  <c r="D49" i="10" l="1"/>
  <c r="M48" i="10"/>
  <c r="N48" i="10" s="1"/>
  <c r="O48" i="10" s="1"/>
  <c r="P48" i="10" s="1"/>
  <c r="Q48" i="10" s="1"/>
  <c r="R48" i="10" s="1"/>
  <c r="S48" i="10" s="1"/>
  <c r="T48" i="10" s="1"/>
  <c r="U48" i="10" s="1"/>
  <c r="V48" i="10" s="1"/>
  <c r="D50" i="10" l="1"/>
  <c r="M49" i="10"/>
  <c r="N49" i="10" s="1"/>
  <c r="O49" i="10" s="1"/>
  <c r="P49" i="10" s="1"/>
  <c r="Q49" i="10" s="1"/>
  <c r="R49" i="10" s="1"/>
  <c r="S49" i="10" s="1"/>
  <c r="T49" i="10" s="1"/>
  <c r="U49" i="10" s="1"/>
  <c r="V49" i="10" s="1"/>
  <c r="D51" i="10" l="1"/>
  <c r="M50" i="10"/>
  <c r="N50" i="10" s="1"/>
  <c r="O50" i="10" s="1"/>
  <c r="P50" i="10" s="1"/>
  <c r="Q50" i="10" s="1"/>
  <c r="R50" i="10" s="1"/>
  <c r="S50" i="10" s="1"/>
  <c r="T50" i="10" s="1"/>
  <c r="U50" i="10" s="1"/>
  <c r="V50" i="10" s="1"/>
  <c r="D52" i="10" l="1"/>
  <c r="M51" i="10"/>
  <c r="N51" i="10" s="1"/>
  <c r="O51" i="10" s="1"/>
  <c r="P51" i="10" s="1"/>
  <c r="Q51" i="10" s="1"/>
  <c r="R51" i="10" s="1"/>
  <c r="S51" i="10" s="1"/>
  <c r="T51" i="10" s="1"/>
  <c r="U51" i="10" s="1"/>
  <c r="V51" i="10" s="1"/>
  <c r="D53" i="10" l="1"/>
  <c r="M52" i="10"/>
  <c r="N52" i="10" s="1"/>
  <c r="O52" i="10" s="1"/>
  <c r="P52" i="10" s="1"/>
  <c r="Q52" i="10" s="1"/>
  <c r="R52" i="10" s="1"/>
  <c r="S52" i="10" s="1"/>
  <c r="T52" i="10" s="1"/>
  <c r="U52" i="10" s="1"/>
  <c r="V52" i="10" s="1"/>
  <c r="D54" i="10" l="1"/>
  <c r="M53" i="10"/>
  <c r="N53" i="10" s="1"/>
  <c r="O53" i="10" s="1"/>
  <c r="P53" i="10" s="1"/>
  <c r="Q53" i="10" s="1"/>
  <c r="R53" i="10" s="1"/>
  <c r="S53" i="10" s="1"/>
  <c r="T53" i="10" s="1"/>
  <c r="U53" i="10" s="1"/>
  <c r="V53" i="10" s="1"/>
  <c r="D55" i="10" l="1"/>
  <c r="M54" i="10"/>
  <c r="N54" i="10" s="1"/>
  <c r="O54" i="10" s="1"/>
  <c r="P54" i="10" s="1"/>
  <c r="Q54" i="10" s="1"/>
  <c r="R54" i="10" s="1"/>
  <c r="S54" i="10" s="1"/>
  <c r="T54" i="10" s="1"/>
  <c r="U54" i="10" s="1"/>
  <c r="V54" i="10" s="1"/>
  <c r="D56" i="10" l="1"/>
  <c r="M55" i="10"/>
  <c r="N55" i="10" s="1"/>
  <c r="O55" i="10" s="1"/>
  <c r="P55" i="10" s="1"/>
  <c r="Q55" i="10" s="1"/>
  <c r="R55" i="10" s="1"/>
  <c r="S55" i="10" s="1"/>
  <c r="T55" i="10" s="1"/>
  <c r="U55" i="10" s="1"/>
  <c r="V55" i="10" s="1"/>
  <c r="D57" i="10" l="1"/>
  <c r="M56" i="10"/>
  <c r="N56" i="10" s="1"/>
  <c r="O56" i="10" s="1"/>
  <c r="P56" i="10" s="1"/>
  <c r="Q56" i="10" s="1"/>
  <c r="R56" i="10" s="1"/>
  <c r="S56" i="10" s="1"/>
  <c r="T56" i="10" s="1"/>
  <c r="U56" i="10" s="1"/>
  <c r="V56" i="10" s="1"/>
  <c r="D58" i="10" l="1"/>
  <c r="M57" i="10"/>
  <c r="N57" i="10" s="1"/>
  <c r="O57" i="10" s="1"/>
  <c r="P57" i="10" s="1"/>
  <c r="Q57" i="10" s="1"/>
  <c r="R57" i="10" s="1"/>
  <c r="S57" i="10" s="1"/>
  <c r="T57" i="10" s="1"/>
  <c r="U57" i="10" s="1"/>
  <c r="V57" i="10" s="1"/>
  <c r="D59" i="10" l="1"/>
  <c r="M58" i="10"/>
  <c r="N58" i="10" s="1"/>
  <c r="O58" i="10" s="1"/>
  <c r="P58" i="10" s="1"/>
  <c r="Q58" i="10" s="1"/>
  <c r="R58" i="10" s="1"/>
  <c r="S58" i="10" s="1"/>
  <c r="T58" i="10" s="1"/>
  <c r="U58" i="10" s="1"/>
  <c r="V58" i="10" s="1"/>
  <c r="D60" i="10" l="1"/>
  <c r="M59" i="10"/>
  <c r="N59" i="10" s="1"/>
  <c r="O59" i="10" s="1"/>
  <c r="P59" i="10" s="1"/>
  <c r="Q59" i="10" s="1"/>
  <c r="R59" i="10" s="1"/>
  <c r="S59" i="10" s="1"/>
  <c r="T59" i="10" s="1"/>
  <c r="U59" i="10" s="1"/>
  <c r="V59" i="10" s="1"/>
  <c r="D61" i="10" l="1"/>
  <c r="M60" i="10"/>
  <c r="N60" i="10" s="1"/>
  <c r="O60" i="10" s="1"/>
  <c r="P60" i="10" s="1"/>
  <c r="Q60" i="10" s="1"/>
  <c r="R60" i="10" s="1"/>
  <c r="S60" i="10" s="1"/>
  <c r="T60" i="10" s="1"/>
  <c r="U60" i="10" s="1"/>
  <c r="V60" i="10" s="1"/>
  <c r="D62" i="10" l="1"/>
  <c r="M61" i="10"/>
  <c r="N61" i="10" s="1"/>
  <c r="O61" i="10" s="1"/>
  <c r="P61" i="10" s="1"/>
  <c r="Q61" i="10" s="1"/>
  <c r="R61" i="10" s="1"/>
  <c r="S61" i="10" s="1"/>
  <c r="T61" i="10" s="1"/>
  <c r="U61" i="10" s="1"/>
  <c r="V61" i="10" s="1"/>
  <c r="D63" i="10" l="1"/>
  <c r="M62" i="10"/>
  <c r="N62" i="10" s="1"/>
  <c r="O62" i="10" s="1"/>
  <c r="P62" i="10" s="1"/>
  <c r="Q62" i="10" s="1"/>
  <c r="R62" i="10" s="1"/>
  <c r="S62" i="10" s="1"/>
  <c r="T62" i="10" s="1"/>
  <c r="U62" i="10" s="1"/>
  <c r="V62" i="10" s="1"/>
  <c r="D64" i="10" l="1"/>
  <c r="M63" i="10"/>
  <c r="N63" i="10" s="1"/>
  <c r="O63" i="10" s="1"/>
  <c r="P63" i="10" s="1"/>
  <c r="Q63" i="10" s="1"/>
  <c r="R63" i="10" s="1"/>
  <c r="S63" i="10" s="1"/>
  <c r="T63" i="10" s="1"/>
  <c r="U63" i="10" s="1"/>
  <c r="V63" i="10" s="1"/>
  <c r="D65" i="10" l="1"/>
  <c r="M64" i="10"/>
  <c r="N64" i="10" s="1"/>
  <c r="O64" i="10" s="1"/>
  <c r="P64" i="10" s="1"/>
  <c r="Q64" i="10" s="1"/>
  <c r="R64" i="10" s="1"/>
  <c r="S64" i="10" s="1"/>
  <c r="T64" i="10" s="1"/>
  <c r="U64" i="10" s="1"/>
  <c r="V64" i="10" s="1"/>
  <c r="D66" i="10" l="1"/>
  <c r="M65" i="10"/>
  <c r="N65" i="10" s="1"/>
  <c r="O65" i="10" s="1"/>
  <c r="P65" i="10" s="1"/>
  <c r="Q65" i="10" s="1"/>
  <c r="R65" i="10" s="1"/>
  <c r="S65" i="10" s="1"/>
  <c r="T65" i="10" s="1"/>
  <c r="U65" i="10" s="1"/>
  <c r="V65" i="10" s="1"/>
  <c r="D67" i="10" l="1"/>
  <c r="M66" i="10"/>
  <c r="N66" i="10" s="1"/>
  <c r="O66" i="10" s="1"/>
  <c r="P66" i="10" s="1"/>
  <c r="Q66" i="10" s="1"/>
  <c r="R66" i="10" s="1"/>
  <c r="S66" i="10" s="1"/>
  <c r="T66" i="10" s="1"/>
  <c r="U66" i="10" s="1"/>
  <c r="V66" i="10" s="1"/>
  <c r="D68" i="10" l="1"/>
  <c r="M67" i="10"/>
  <c r="N67" i="10" s="1"/>
  <c r="O67" i="10" s="1"/>
  <c r="P67" i="10" s="1"/>
  <c r="Q67" i="10" s="1"/>
  <c r="R67" i="10" s="1"/>
  <c r="S67" i="10" s="1"/>
  <c r="T67" i="10" s="1"/>
  <c r="U67" i="10" s="1"/>
  <c r="V67" i="10" s="1"/>
  <c r="D69" i="10" l="1"/>
  <c r="M68" i="10"/>
  <c r="N68" i="10" s="1"/>
  <c r="O68" i="10" s="1"/>
  <c r="P68" i="10" s="1"/>
  <c r="Q68" i="10" s="1"/>
  <c r="R68" i="10" s="1"/>
  <c r="S68" i="10" s="1"/>
  <c r="T68" i="10" s="1"/>
  <c r="U68" i="10" s="1"/>
  <c r="V68" i="10" s="1"/>
  <c r="D70" i="10" l="1"/>
  <c r="M69" i="10"/>
  <c r="N69" i="10" s="1"/>
  <c r="O69" i="10" s="1"/>
  <c r="P69" i="10" s="1"/>
  <c r="Q69" i="10" s="1"/>
  <c r="R69" i="10" s="1"/>
  <c r="S69" i="10" s="1"/>
  <c r="T69" i="10" s="1"/>
  <c r="U69" i="10" s="1"/>
  <c r="V69" i="10" s="1"/>
  <c r="D71" i="10" l="1"/>
  <c r="M70" i="10"/>
  <c r="N70" i="10" s="1"/>
  <c r="O70" i="10" s="1"/>
  <c r="P70" i="10" s="1"/>
  <c r="Q70" i="10" s="1"/>
  <c r="R70" i="10" s="1"/>
  <c r="S70" i="10" s="1"/>
  <c r="T70" i="10" s="1"/>
  <c r="U70" i="10" s="1"/>
  <c r="V70" i="10" s="1"/>
  <c r="D72" i="10" l="1"/>
  <c r="M71" i="10"/>
  <c r="N71" i="10" s="1"/>
  <c r="O71" i="10" s="1"/>
  <c r="P71" i="10" s="1"/>
  <c r="Q71" i="10" s="1"/>
  <c r="R71" i="10" s="1"/>
  <c r="S71" i="10" s="1"/>
  <c r="T71" i="10" s="1"/>
  <c r="U71" i="10" s="1"/>
  <c r="V71" i="10" s="1"/>
  <c r="D73" i="10" l="1"/>
  <c r="M72" i="10"/>
  <c r="N72" i="10" s="1"/>
  <c r="O72" i="10" s="1"/>
  <c r="P72" i="10" s="1"/>
  <c r="Q72" i="10" s="1"/>
  <c r="R72" i="10" s="1"/>
  <c r="S72" i="10" s="1"/>
  <c r="T72" i="10" s="1"/>
  <c r="U72" i="10" s="1"/>
  <c r="V72" i="10" s="1"/>
  <c r="D74" i="10" l="1"/>
  <c r="M73" i="10"/>
  <c r="N73" i="10" s="1"/>
  <c r="O73" i="10" s="1"/>
  <c r="P73" i="10" s="1"/>
  <c r="Q73" i="10" s="1"/>
  <c r="R73" i="10" s="1"/>
  <c r="S73" i="10" s="1"/>
  <c r="T73" i="10" s="1"/>
  <c r="U73" i="10" s="1"/>
  <c r="V73" i="10" s="1"/>
  <c r="D75" i="10" l="1"/>
  <c r="M74" i="10"/>
  <c r="N74" i="10" s="1"/>
  <c r="O74" i="10" s="1"/>
  <c r="P74" i="10" s="1"/>
  <c r="Q74" i="10" s="1"/>
  <c r="R74" i="10" s="1"/>
  <c r="S74" i="10" s="1"/>
  <c r="T74" i="10" s="1"/>
  <c r="U74" i="10" s="1"/>
  <c r="V74" i="10" s="1"/>
  <c r="D76" i="10" l="1"/>
  <c r="M75" i="10"/>
  <c r="N75" i="10" s="1"/>
  <c r="O75" i="10" s="1"/>
  <c r="P75" i="10" s="1"/>
  <c r="Q75" i="10" s="1"/>
  <c r="R75" i="10" s="1"/>
  <c r="S75" i="10" s="1"/>
  <c r="T75" i="10" s="1"/>
  <c r="U75" i="10" s="1"/>
  <c r="V75" i="10" s="1"/>
  <c r="D77" i="10" l="1"/>
  <c r="M76" i="10"/>
  <c r="N76" i="10" s="1"/>
  <c r="O76" i="10" s="1"/>
  <c r="P76" i="10" s="1"/>
  <c r="Q76" i="10" s="1"/>
  <c r="R76" i="10" s="1"/>
  <c r="S76" i="10" s="1"/>
  <c r="T76" i="10" s="1"/>
  <c r="U76" i="10" s="1"/>
  <c r="V76" i="10" s="1"/>
  <c r="D78" i="10" l="1"/>
  <c r="M77" i="10"/>
  <c r="N77" i="10" s="1"/>
  <c r="O77" i="10" s="1"/>
  <c r="P77" i="10" s="1"/>
  <c r="Q77" i="10" s="1"/>
  <c r="R77" i="10" s="1"/>
  <c r="S77" i="10" s="1"/>
  <c r="T77" i="10" s="1"/>
  <c r="U77" i="10" s="1"/>
  <c r="V77" i="10" s="1"/>
  <c r="D79" i="10" l="1"/>
  <c r="M78" i="10"/>
  <c r="N78" i="10" s="1"/>
  <c r="O78" i="10" s="1"/>
  <c r="P78" i="10" s="1"/>
  <c r="Q78" i="10" s="1"/>
  <c r="R78" i="10" s="1"/>
  <c r="S78" i="10" s="1"/>
  <c r="T78" i="10" s="1"/>
  <c r="U78" i="10" s="1"/>
  <c r="V78" i="10" s="1"/>
  <c r="D80" i="10" l="1"/>
  <c r="M79" i="10"/>
  <c r="N79" i="10" s="1"/>
  <c r="O79" i="10" s="1"/>
  <c r="P79" i="10" s="1"/>
  <c r="Q79" i="10" s="1"/>
  <c r="R79" i="10" s="1"/>
  <c r="S79" i="10" s="1"/>
  <c r="T79" i="10" s="1"/>
  <c r="U79" i="10" s="1"/>
  <c r="V79" i="10" s="1"/>
  <c r="D81" i="10" l="1"/>
  <c r="M80" i="10"/>
  <c r="N80" i="10" s="1"/>
  <c r="O80" i="10" s="1"/>
  <c r="P80" i="10" s="1"/>
  <c r="Q80" i="10" s="1"/>
  <c r="R80" i="10" s="1"/>
  <c r="S80" i="10" s="1"/>
  <c r="T80" i="10" s="1"/>
  <c r="U80" i="10" s="1"/>
  <c r="V80" i="10" s="1"/>
  <c r="D82" i="10" l="1"/>
  <c r="M81" i="10"/>
  <c r="N81" i="10" s="1"/>
  <c r="O81" i="10" s="1"/>
  <c r="P81" i="10" s="1"/>
  <c r="Q81" i="10" s="1"/>
  <c r="R81" i="10" s="1"/>
  <c r="S81" i="10" s="1"/>
  <c r="T81" i="10" s="1"/>
  <c r="U81" i="10" s="1"/>
  <c r="V81" i="10" s="1"/>
  <c r="D83" i="10" l="1"/>
  <c r="M82" i="10"/>
  <c r="N82" i="10" s="1"/>
  <c r="O82" i="10" s="1"/>
  <c r="P82" i="10" s="1"/>
  <c r="Q82" i="10" s="1"/>
  <c r="R82" i="10" s="1"/>
  <c r="S82" i="10" s="1"/>
  <c r="T82" i="10" s="1"/>
  <c r="U82" i="10" s="1"/>
  <c r="V82" i="10" s="1"/>
  <c r="D84" i="10" l="1"/>
  <c r="M83" i="10"/>
  <c r="N83" i="10" s="1"/>
  <c r="O83" i="10" s="1"/>
  <c r="P83" i="10" s="1"/>
  <c r="Q83" i="10" s="1"/>
  <c r="R83" i="10" s="1"/>
  <c r="S83" i="10" s="1"/>
  <c r="T83" i="10" s="1"/>
  <c r="U83" i="10" s="1"/>
  <c r="V83" i="10" s="1"/>
  <c r="D85" i="10" l="1"/>
  <c r="M84" i="10"/>
  <c r="N84" i="10" s="1"/>
  <c r="O84" i="10" s="1"/>
  <c r="P84" i="10" s="1"/>
  <c r="Q84" i="10" s="1"/>
  <c r="R84" i="10" s="1"/>
  <c r="S84" i="10" s="1"/>
  <c r="T84" i="10" s="1"/>
  <c r="U84" i="10" s="1"/>
  <c r="V84" i="10" s="1"/>
  <c r="D86" i="10" l="1"/>
  <c r="M85" i="10"/>
  <c r="N85" i="10" s="1"/>
  <c r="O85" i="10" s="1"/>
  <c r="P85" i="10" s="1"/>
  <c r="Q85" i="10" s="1"/>
  <c r="R85" i="10" s="1"/>
  <c r="S85" i="10" s="1"/>
  <c r="T85" i="10" s="1"/>
  <c r="U85" i="10" s="1"/>
  <c r="V85" i="10" s="1"/>
  <c r="D87" i="10" l="1"/>
  <c r="M86" i="10"/>
  <c r="N86" i="10" s="1"/>
  <c r="O86" i="10" s="1"/>
  <c r="P86" i="10" s="1"/>
  <c r="Q86" i="10" s="1"/>
  <c r="R86" i="10" s="1"/>
  <c r="S86" i="10" s="1"/>
  <c r="T86" i="10" s="1"/>
  <c r="U86" i="10" s="1"/>
  <c r="V86" i="10" s="1"/>
  <c r="D88" i="10" l="1"/>
  <c r="M87" i="10"/>
  <c r="N87" i="10" s="1"/>
  <c r="O87" i="10" s="1"/>
  <c r="P87" i="10" s="1"/>
  <c r="Q87" i="10" s="1"/>
  <c r="R87" i="10" s="1"/>
  <c r="S87" i="10" s="1"/>
  <c r="T87" i="10" s="1"/>
  <c r="U87" i="10" s="1"/>
  <c r="V87" i="10" s="1"/>
  <c r="D89" i="10" l="1"/>
  <c r="M88" i="10"/>
  <c r="N88" i="10" s="1"/>
  <c r="O88" i="10" s="1"/>
  <c r="P88" i="10" s="1"/>
  <c r="Q88" i="10" s="1"/>
  <c r="R88" i="10" s="1"/>
  <c r="S88" i="10" s="1"/>
  <c r="T88" i="10" s="1"/>
  <c r="U88" i="10" s="1"/>
  <c r="V88" i="10" s="1"/>
  <c r="D90" i="10" l="1"/>
  <c r="M89" i="10"/>
  <c r="N89" i="10" s="1"/>
  <c r="O89" i="10" s="1"/>
  <c r="P89" i="10" s="1"/>
  <c r="Q89" i="10" s="1"/>
  <c r="R89" i="10" s="1"/>
  <c r="S89" i="10" s="1"/>
  <c r="T89" i="10" s="1"/>
  <c r="U89" i="10" s="1"/>
  <c r="V89" i="10" s="1"/>
  <c r="D91" i="10" l="1"/>
  <c r="M90" i="10"/>
  <c r="N90" i="10" s="1"/>
  <c r="O90" i="10" s="1"/>
  <c r="P90" i="10" s="1"/>
  <c r="Q90" i="10" s="1"/>
  <c r="R90" i="10" s="1"/>
  <c r="S90" i="10" s="1"/>
  <c r="T90" i="10" s="1"/>
  <c r="U90" i="10" s="1"/>
  <c r="V90" i="10" s="1"/>
  <c r="D92" i="10" l="1"/>
  <c r="M91" i="10"/>
  <c r="N91" i="10" s="1"/>
  <c r="O91" i="10" s="1"/>
  <c r="P91" i="10" s="1"/>
  <c r="Q91" i="10" s="1"/>
  <c r="R91" i="10" s="1"/>
  <c r="S91" i="10" s="1"/>
  <c r="T91" i="10" s="1"/>
  <c r="U91" i="10" s="1"/>
  <c r="V91" i="10" s="1"/>
  <c r="D93" i="10" l="1"/>
  <c r="M92" i="10"/>
  <c r="N92" i="10" s="1"/>
  <c r="O92" i="10" s="1"/>
  <c r="P92" i="10" s="1"/>
  <c r="Q92" i="10" s="1"/>
  <c r="R92" i="10" s="1"/>
  <c r="S92" i="10" s="1"/>
  <c r="T92" i="10" s="1"/>
  <c r="U92" i="10" s="1"/>
  <c r="V92" i="10" s="1"/>
  <c r="D94" i="10" l="1"/>
  <c r="M93" i="10"/>
  <c r="N93" i="10" s="1"/>
  <c r="O93" i="10" s="1"/>
  <c r="P93" i="10" s="1"/>
  <c r="Q93" i="10" s="1"/>
  <c r="R93" i="10" s="1"/>
  <c r="S93" i="10" s="1"/>
  <c r="T93" i="10" s="1"/>
  <c r="U93" i="10" s="1"/>
  <c r="V93" i="10" s="1"/>
  <c r="D95" i="10" l="1"/>
  <c r="M94" i="10"/>
  <c r="N94" i="10" s="1"/>
  <c r="O94" i="10" s="1"/>
  <c r="P94" i="10" s="1"/>
  <c r="Q94" i="10" s="1"/>
  <c r="R94" i="10" s="1"/>
  <c r="S94" i="10" s="1"/>
  <c r="T94" i="10" s="1"/>
  <c r="U94" i="10" s="1"/>
  <c r="V94" i="10" s="1"/>
  <c r="D96" i="10" l="1"/>
  <c r="M95" i="10"/>
  <c r="N95" i="10" s="1"/>
  <c r="O95" i="10" s="1"/>
  <c r="P95" i="10" s="1"/>
  <c r="Q95" i="10" s="1"/>
  <c r="R95" i="10" s="1"/>
  <c r="S95" i="10" s="1"/>
  <c r="T95" i="10" s="1"/>
  <c r="U95" i="10" s="1"/>
  <c r="V95" i="10" s="1"/>
  <c r="D97" i="10" l="1"/>
  <c r="M96" i="10"/>
  <c r="N96" i="10" s="1"/>
  <c r="O96" i="10" s="1"/>
  <c r="P96" i="10" s="1"/>
  <c r="Q96" i="10" s="1"/>
  <c r="R96" i="10" s="1"/>
  <c r="S96" i="10" s="1"/>
  <c r="T96" i="10" s="1"/>
  <c r="U96" i="10" s="1"/>
  <c r="V96" i="10" s="1"/>
  <c r="D98" i="10" l="1"/>
  <c r="M97" i="10"/>
  <c r="N97" i="10" s="1"/>
  <c r="O97" i="10" s="1"/>
  <c r="P97" i="10" s="1"/>
  <c r="Q97" i="10" s="1"/>
  <c r="R97" i="10" s="1"/>
  <c r="S97" i="10" s="1"/>
  <c r="T97" i="10" s="1"/>
  <c r="U97" i="10" s="1"/>
  <c r="V97" i="10" s="1"/>
  <c r="D99" i="10" l="1"/>
  <c r="M98" i="10"/>
  <c r="N98" i="10" s="1"/>
  <c r="O98" i="10" s="1"/>
  <c r="P98" i="10" s="1"/>
  <c r="Q98" i="10" s="1"/>
  <c r="R98" i="10" s="1"/>
  <c r="S98" i="10" s="1"/>
  <c r="T98" i="10" s="1"/>
  <c r="U98" i="10" s="1"/>
  <c r="V98" i="10" s="1"/>
  <c r="D100" i="10" l="1"/>
  <c r="M99" i="10"/>
  <c r="N99" i="10" s="1"/>
  <c r="O99" i="10" s="1"/>
  <c r="P99" i="10" s="1"/>
  <c r="Q99" i="10" s="1"/>
  <c r="R99" i="10" s="1"/>
  <c r="S99" i="10" s="1"/>
  <c r="T99" i="10" s="1"/>
  <c r="U99" i="10" s="1"/>
  <c r="V99" i="10" s="1"/>
  <c r="D101" i="10" l="1"/>
  <c r="M100" i="10"/>
  <c r="N100" i="10" s="1"/>
  <c r="O100" i="10" s="1"/>
  <c r="P100" i="10" s="1"/>
  <c r="Q100" i="10" s="1"/>
  <c r="R100" i="10" s="1"/>
  <c r="S100" i="10" s="1"/>
  <c r="T100" i="10" s="1"/>
  <c r="U100" i="10" s="1"/>
  <c r="V100" i="10" s="1"/>
  <c r="D102" i="10" l="1"/>
  <c r="M101" i="10"/>
  <c r="N101" i="10" s="1"/>
  <c r="O101" i="10" s="1"/>
  <c r="P101" i="10" s="1"/>
  <c r="Q101" i="10" s="1"/>
  <c r="R101" i="10" s="1"/>
  <c r="S101" i="10" s="1"/>
  <c r="T101" i="10" s="1"/>
  <c r="U101" i="10" s="1"/>
  <c r="V101" i="10" s="1"/>
  <c r="D103" i="10" l="1"/>
  <c r="M102" i="10"/>
  <c r="N102" i="10" s="1"/>
  <c r="O102" i="10" s="1"/>
  <c r="P102" i="10" s="1"/>
  <c r="Q102" i="10" s="1"/>
  <c r="R102" i="10" s="1"/>
  <c r="S102" i="10" s="1"/>
  <c r="T102" i="10" s="1"/>
  <c r="U102" i="10" s="1"/>
  <c r="V102" i="10" s="1"/>
  <c r="D104" i="10" l="1"/>
  <c r="M103" i="10"/>
  <c r="N103" i="10" s="1"/>
  <c r="O103" i="10" s="1"/>
  <c r="P103" i="10" s="1"/>
  <c r="Q103" i="10" s="1"/>
  <c r="R103" i="10" s="1"/>
  <c r="S103" i="10" s="1"/>
  <c r="T103" i="10" s="1"/>
  <c r="U103" i="10" s="1"/>
  <c r="V103" i="10" s="1"/>
  <c r="D105" i="10" l="1"/>
  <c r="M104" i="10"/>
  <c r="N104" i="10" s="1"/>
  <c r="O104" i="10" s="1"/>
  <c r="P104" i="10" s="1"/>
  <c r="Q104" i="10" s="1"/>
  <c r="R104" i="10" s="1"/>
  <c r="S104" i="10" s="1"/>
  <c r="T104" i="10" s="1"/>
  <c r="U104" i="10" s="1"/>
  <c r="V104" i="10" s="1"/>
  <c r="D106" i="10" l="1"/>
  <c r="M105" i="10"/>
  <c r="N105" i="10" s="1"/>
  <c r="O105" i="10" s="1"/>
  <c r="P105" i="10" s="1"/>
  <c r="Q105" i="10" s="1"/>
  <c r="R105" i="10" s="1"/>
  <c r="S105" i="10" s="1"/>
  <c r="T105" i="10" s="1"/>
  <c r="U105" i="10" s="1"/>
  <c r="V105" i="10" s="1"/>
  <c r="D107" i="10" l="1"/>
  <c r="M106" i="10"/>
  <c r="N106" i="10" s="1"/>
  <c r="O106" i="10" s="1"/>
  <c r="P106" i="10" s="1"/>
  <c r="Q106" i="10" s="1"/>
  <c r="R106" i="10" s="1"/>
  <c r="S106" i="10" s="1"/>
  <c r="T106" i="10" s="1"/>
  <c r="U106" i="10" s="1"/>
  <c r="V106" i="10" s="1"/>
  <c r="D108" i="10" l="1"/>
  <c r="M107" i="10"/>
  <c r="N107" i="10" s="1"/>
  <c r="O107" i="10" s="1"/>
  <c r="P107" i="10" s="1"/>
  <c r="Q107" i="10" s="1"/>
  <c r="R107" i="10" s="1"/>
  <c r="S107" i="10" s="1"/>
  <c r="T107" i="10" s="1"/>
  <c r="U107" i="10" s="1"/>
  <c r="V107" i="10" s="1"/>
  <c r="D109" i="10" l="1"/>
  <c r="M108" i="10"/>
  <c r="N108" i="10" s="1"/>
  <c r="O108" i="10" s="1"/>
  <c r="P108" i="10" s="1"/>
  <c r="Q108" i="10" s="1"/>
  <c r="R108" i="10" s="1"/>
  <c r="S108" i="10" s="1"/>
  <c r="T108" i="10" s="1"/>
  <c r="U108" i="10" s="1"/>
  <c r="V108" i="10" s="1"/>
  <c r="D110" i="10" l="1"/>
  <c r="M109" i="10"/>
  <c r="N109" i="10" s="1"/>
  <c r="O109" i="10" s="1"/>
  <c r="P109" i="10" s="1"/>
  <c r="Q109" i="10" s="1"/>
  <c r="R109" i="10" s="1"/>
  <c r="S109" i="10" s="1"/>
  <c r="T109" i="10" s="1"/>
  <c r="U109" i="10" s="1"/>
  <c r="V109" i="10" s="1"/>
  <c r="D111" i="10" l="1"/>
  <c r="M110" i="10"/>
  <c r="N110" i="10" s="1"/>
  <c r="O110" i="10" s="1"/>
  <c r="P110" i="10" s="1"/>
  <c r="Q110" i="10" s="1"/>
  <c r="R110" i="10" s="1"/>
  <c r="S110" i="10" s="1"/>
  <c r="T110" i="10" s="1"/>
  <c r="U110" i="10" s="1"/>
  <c r="V110" i="10" s="1"/>
  <c r="D112" i="10" l="1"/>
  <c r="M111" i="10"/>
  <c r="N111" i="10" s="1"/>
  <c r="O111" i="10" s="1"/>
  <c r="P111" i="10" s="1"/>
  <c r="Q111" i="10" s="1"/>
  <c r="R111" i="10" s="1"/>
  <c r="S111" i="10" s="1"/>
  <c r="T111" i="10" s="1"/>
  <c r="U111" i="10" s="1"/>
  <c r="V111" i="10" s="1"/>
  <c r="D113" i="10" l="1"/>
  <c r="M112" i="10"/>
  <c r="N112" i="10" s="1"/>
  <c r="O112" i="10" s="1"/>
  <c r="P112" i="10" s="1"/>
  <c r="Q112" i="10" s="1"/>
  <c r="R112" i="10" s="1"/>
  <c r="S112" i="10" s="1"/>
  <c r="T112" i="10" s="1"/>
  <c r="U112" i="10" s="1"/>
  <c r="V112" i="10" s="1"/>
  <c r="D114" i="10" l="1"/>
  <c r="M113" i="10"/>
  <c r="N113" i="10" s="1"/>
  <c r="O113" i="10" s="1"/>
  <c r="P113" i="10" s="1"/>
  <c r="Q113" i="10" s="1"/>
  <c r="R113" i="10" s="1"/>
  <c r="S113" i="10" s="1"/>
  <c r="T113" i="10" s="1"/>
  <c r="U113" i="10" s="1"/>
  <c r="V113" i="10" s="1"/>
  <c r="D115" i="10" l="1"/>
  <c r="M114" i="10"/>
  <c r="N114" i="10" s="1"/>
  <c r="O114" i="10" s="1"/>
  <c r="P114" i="10" s="1"/>
  <c r="Q114" i="10" s="1"/>
  <c r="R114" i="10" s="1"/>
  <c r="S114" i="10" s="1"/>
  <c r="T114" i="10" s="1"/>
  <c r="U114" i="10" s="1"/>
  <c r="V114" i="10" s="1"/>
  <c r="D116" i="10" l="1"/>
  <c r="M115" i="10"/>
  <c r="N115" i="10" s="1"/>
  <c r="O115" i="10" s="1"/>
  <c r="P115" i="10" s="1"/>
  <c r="Q115" i="10" s="1"/>
  <c r="R115" i="10" s="1"/>
  <c r="S115" i="10" s="1"/>
  <c r="T115" i="10" s="1"/>
  <c r="U115" i="10" s="1"/>
  <c r="V115" i="10" s="1"/>
  <c r="D117" i="10" l="1"/>
  <c r="M116" i="10"/>
  <c r="N116" i="10" s="1"/>
  <c r="O116" i="10" s="1"/>
  <c r="P116" i="10" s="1"/>
  <c r="Q116" i="10" s="1"/>
  <c r="R116" i="10" s="1"/>
  <c r="S116" i="10" s="1"/>
  <c r="T116" i="10" s="1"/>
  <c r="U116" i="10" s="1"/>
  <c r="V116" i="10" s="1"/>
  <c r="D118" i="10" l="1"/>
  <c r="M117" i="10"/>
  <c r="N117" i="10" s="1"/>
  <c r="O117" i="10" s="1"/>
  <c r="P117" i="10" s="1"/>
  <c r="Q117" i="10" s="1"/>
  <c r="R117" i="10" s="1"/>
  <c r="S117" i="10" s="1"/>
  <c r="T117" i="10" s="1"/>
  <c r="U117" i="10" s="1"/>
  <c r="V117" i="10" s="1"/>
  <c r="D119" i="10" l="1"/>
  <c r="M118" i="10"/>
  <c r="N118" i="10" s="1"/>
  <c r="O118" i="10" s="1"/>
  <c r="P118" i="10" s="1"/>
  <c r="Q118" i="10" s="1"/>
  <c r="R118" i="10" s="1"/>
  <c r="S118" i="10" s="1"/>
  <c r="T118" i="10" s="1"/>
  <c r="U118" i="10" s="1"/>
  <c r="V118" i="10" s="1"/>
  <c r="D120" i="10" l="1"/>
  <c r="M119" i="10"/>
  <c r="N119" i="10" s="1"/>
  <c r="O119" i="10" s="1"/>
  <c r="P119" i="10" s="1"/>
  <c r="Q119" i="10" s="1"/>
  <c r="R119" i="10" s="1"/>
  <c r="S119" i="10" s="1"/>
  <c r="T119" i="10" s="1"/>
  <c r="U119" i="10" s="1"/>
  <c r="V119" i="10" s="1"/>
  <c r="D121" i="10" l="1"/>
  <c r="M120" i="10"/>
  <c r="N120" i="10" s="1"/>
  <c r="O120" i="10" s="1"/>
  <c r="P120" i="10" s="1"/>
  <c r="Q120" i="10" s="1"/>
  <c r="R120" i="10" s="1"/>
  <c r="S120" i="10" s="1"/>
  <c r="T120" i="10" s="1"/>
  <c r="U120" i="10" s="1"/>
  <c r="V120" i="10" s="1"/>
  <c r="D122" i="10" l="1"/>
  <c r="M121" i="10"/>
  <c r="N121" i="10" s="1"/>
  <c r="O121" i="10" s="1"/>
  <c r="P121" i="10" s="1"/>
  <c r="Q121" i="10" s="1"/>
  <c r="R121" i="10" s="1"/>
  <c r="S121" i="10" s="1"/>
  <c r="T121" i="10" s="1"/>
  <c r="U121" i="10" s="1"/>
  <c r="V121" i="10" s="1"/>
  <c r="D123" i="10" l="1"/>
  <c r="M122" i="10"/>
  <c r="N122" i="10" s="1"/>
  <c r="O122" i="10" s="1"/>
  <c r="P122" i="10" s="1"/>
  <c r="Q122" i="10" s="1"/>
  <c r="R122" i="10" s="1"/>
  <c r="S122" i="10" s="1"/>
  <c r="T122" i="10" s="1"/>
  <c r="U122" i="10" s="1"/>
  <c r="V122" i="10" s="1"/>
  <c r="D124" i="10" l="1"/>
  <c r="M123" i="10"/>
  <c r="N123" i="10" s="1"/>
  <c r="O123" i="10" s="1"/>
  <c r="P123" i="10" s="1"/>
  <c r="Q123" i="10" s="1"/>
  <c r="R123" i="10" s="1"/>
  <c r="S123" i="10" s="1"/>
  <c r="T123" i="10" s="1"/>
  <c r="U123" i="10" s="1"/>
  <c r="V123" i="10" s="1"/>
  <c r="D125" i="10" l="1"/>
  <c r="M124" i="10"/>
  <c r="N124" i="10" s="1"/>
  <c r="O124" i="10" s="1"/>
  <c r="P124" i="10" s="1"/>
  <c r="Q124" i="10" s="1"/>
  <c r="R124" i="10" s="1"/>
  <c r="S124" i="10" s="1"/>
  <c r="T124" i="10" s="1"/>
  <c r="U124" i="10" s="1"/>
  <c r="V124" i="10" s="1"/>
  <c r="D126" i="10" l="1"/>
  <c r="M125" i="10"/>
  <c r="N125" i="10" s="1"/>
  <c r="O125" i="10" s="1"/>
  <c r="P125" i="10" s="1"/>
  <c r="Q125" i="10" s="1"/>
  <c r="R125" i="10" s="1"/>
  <c r="S125" i="10" s="1"/>
  <c r="T125" i="10" s="1"/>
  <c r="U125" i="10" s="1"/>
  <c r="V125" i="10" s="1"/>
  <c r="D127" i="10" l="1"/>
  <c r="M126" i="10"/>
  <c r="N126" i="10" s="1"/>
  <c r="O126" i="10" s="1"/>
  <c r="P126" i="10" s="1"/>
  <c r="Q126" i="10" s="1"/>
  <c r="R126" i="10" s="1"/>
  <c r="S126" i="10" s="1"/>
  <c r="T126" i="10" s="1"/>
  <c r="U126" i="10" s="1"/>
  <c r="V126" i="10" s="1"/>
  <c r="D128" i="10" l="1"/>
  <c r="M127" i="10"/>
  <c r="N127" i="10" s="1"/>
  <c r="O127" i="10" s="1"/>
  <c r="P127" i="10" s="1"/>
  <c r="Q127" i="10" s="1"/>
  <c r="R127" i="10" s="1"/>
  <c r="S127" i="10" s="1"/>
  <c r="T127" i="10" s="1"/>
  <c r="U127" i="10" s="1"/>
  <c r="V127" i="10" s="1"/>
  <c r="D129" i="10" l="1"/>
  <c r="M128" i="10"/>
  <c r="N128" i="10" s="1"/>
  <c r="O128" i="10" s="1"/>
  <c r="P128" i="10" s="1"/>
  <c r="Q128" i="10" s="1"/>
  <c r="R128" i="10" s="1"/>
  <c r="S128" i="10" s="1"/>
  <c r="T128" i="10" s="1"/>
  <c r="U128" i="10" s="1"/>
  <c r="V128" i="10" s="1"/>
  <c r="D130" i="10" l="1"/>
  <c r="M129" i="10"/>
  <c r="N129" i="10" s="1"/>
  <c r="O129" i="10" s="1"/>
  <c r="P129" i="10" s="1"/>
  <c r="Q129" i="10" s="1"/>
  <c r="R129" i="10" s="1"/>
  <c r="S129" i="10" s="1"/>
  <c r="T129" i="10" s="1"/>
  <c r="U129" i="10" s="1"/>
  <c r="V129" i="10" s="1"/>
  <c r="D131" i="10" l="1"/>
  <c r="M130" i="10"/>
  <c r="N130" i="10" s="1"/>
  <c r="O130" i="10" s="1"/>
  <c r="P130" i="10" s="1"/>
  <c r="Q130" i="10" s="1"/>
  <c r="R130" i="10" s="1"/>
  <c r="S130" i="10" s="1"/>
  <c r="T130" i="10" s="1"/>
  <c r="U130" i="10" s="1"/>
  <c r="V130" i="10" s="1"/>
  <c r="D132" i="10" l="1"/>
  <c r="M131" i="10"/>
  <c r="N131" i="10" s="1"/>
  <c r="O131" i="10" s="1"/>
  <c r="P131" i="10" s="1"/>
  <c r="Q131" i="10" s="1"/>
  <c r="R131" i="10" s="1"/>
  <c r="S131" i="10" s="1"/>
  <c r="T131" i="10" s="1"/>
  <c r="U131" i="10" s="1"/>
  <c r="V131" i="10" s="1"/>
  <c r="D133" i="10" l="1"/>
  <c r="M132" i="10"/>
  <c r="N132" i="10" s="1"/>
  <c r="O132" i="10" s="1"/>
  <c r="P132" i="10" s="1"/>
  <c r="Q132" i="10" s="1"/>
  <c r="R132" i="10" s="1"/>
  <c r="S132" i="10" s="1"/>
  <c r="T132" i="10" s="1"/>
  <c r="U132" i="10" s="1"/>
  <c r="V132" i="10" s="1"/>
  <c r="D134" i="10" l="1"/>
  <c r="M133" i="10"/>
  <c r="N133" i="10" s="1"/>
  <c r="O133" i="10" s="1"/>
  <c r="P133" i="10" s="1"/>
  <c r="Q133" i="10" s="1"/>
  <c r="R133" i="10" s="1"/>
  <c r="S133" i="10" s="1"/>
  <c r="T133" i="10" s="1"/>
  <c r="U133" i="10" s="1"/>
  <c r="V133" i="10" s="1"/>
  <c r="D135" i="10" l="1"/>
  <c r="M134" i="10"/>
  <c r="N134" i="10" s="1"/>
  <c r="O134" i="10" s="1"/>
  <c r="P134" i="10" s="1"/>
  <c r="Q134" i="10" s="1"/>
  <c r="R134" i="10" s="1"/>
  <c r="S134" i="10" s="1"/>
  <c r="T134" i="10" s="1"/>
  <c r="U134" i="10" s="1"/>
  <c r="V134" i="10" s="1"/>
  <c r="D136" i="10" l="1"/>
  <c r="M135" i="10"/>
  <c r="N135" i="10" s="1"/>
  <c r="O135" i="10" s="1"/>
  <c r="P135" i="10" s="1"/>
  <c r="Q135" i="10" s="1"/>
  <c r="R135" i="10" s="1"/>
  <c r="S135" i="10" s="1"/>
  <c r="T135" i="10" s="1"/>
  <c r="U135" i="10" s="1"/>
  <c r="V135" i="10" s="1"/>
  <c r="D137" i="10" l="1"/>
  <c r="M136" i="10"/>
  <c r="N136" i="10" s="1"/>
  <c r="O136" i="10" s="1"/>
  <c r="P136" i="10" s="1"/>
  <c r="Q136" i="10" s="1"/>
  <c r="R136" i="10" s="1"/>
  <c r="S136" i="10" s="1"/>
  <c r="T136" i="10" s="1"/>
  <c r="U136" i="10" s="1"/>
  <c r="V136" i="10" s="1"/>
  <c r="D138" i="10" l="1"/>
  <c r="M137" i="10"/>
  <c r="N137" i="10" s="1"/>
  <c r="O137" i="10" s="1"/>
  <c r="P137" i="10" s="1"/>
  <c r="Q137" i="10" s="1"/>
  <c r="R137" i="10" s="1"/>
  <c r="S137" i="10" s="1"/>
  <c r="T137" i="10" s="1"/>
  <c r="U137" i="10" s="1"/>
  <c r="V137" i="10" s="1"/>
  <c r="D139" i="10" l="1"/>
  <c r="M138" i="10"/>
  <c r="N138" i="10" s="1"/>
  <c r="O138" i="10" s="1"/>
  <c r="P138" i="10" s="1"/>
  <c r="Q138" i="10" s="1"/>
  <c r="R138" i="10" s="1"/>
  <c r="S138" i="10" s="1"/>
  <c r="T138" i="10" s="1"/>
  <c r="U138" i="10" s="1"/>
  <c r="V138" i="10" s="1"/>
  <c r="D140" i="10" l="1"/>
  <c r="M139" i="10"/>
  <c r="N139" i="10" s="1"/>
  <c r="O139" i="10" s="1"/>
  <c r="P139" i="10" s="1"/>
  <c r="Q139" i="10" s="1"/>
  <c r="R139" i="10" s="1"/>
  <c r="S139" i="10" s="1"/>
  <c r="T139" i="10" s="1"/>
  <c r="U139" i="10" s="1"/>
  <c r="V139" i="10" s="1"/>
  <c r="D141" i="10" l="1"/>
  <c r="M140" i="10"/>
  <c r="N140" i="10" s="1"/>
  <c r="O140" i="10" s="1"/>
  <c r="P140" i="10" s="1"/>
  <c r="Q140" i="10" s="1"/>
  <c r="R140" i="10" s="1"/>
  <c r="S140" i="10" s="1"/>
  <c r="T140" i="10" s="1"/>
  <c r="U140" i="10" s="1"/>
  <c r="V140" i="10" s="1"/>
  <c r="D142" i="10" l="1"/>
  <c r="M141" i="10"/>
  <c r="N141" i="10" s="1"/>
  <c r="O141" i="10" s="1"/>
  <c r="P141" i="10" s="1"/>
  <c r="Q141" i="10" s="1"/>
  <c r="R141" i="10" s="1"/>
  <c r="S141" i="10" s="1"/>
  <c r="T141" i="10" s="1"/>
  <c r="U141" i="10" s="1"/>
  <c r="V141" i="10" s="1"/>
  <c r="D143" i="10" l="1"/>
  <c r="M142" i="10"/>
  <c r="N142" i="10" s="1"/>
  <c r="O142" i="10" s="1"/>
  <c r="P142" i="10" s="1"/>
  <c r="Q142" i="10" s="1"/>
  <c r="R142" i="10" s="1"/>
  <c r="S142" i="10" s="1"/>
  <c r="T142" i="10" s="1"/>
  <c r="U142" i="10" s="1"/>
  <c r="V142" i="10" s="1"/>
  <c r="D144" i="10" l="1"/>
  <c r="M143" i="10"/>
  <c r="N143" i="10" s="1"/>
  <c r="O143" i="10" s="1"/>
  <c r="P143" i="10" s="1"/>
  <c r="Q143" i="10" s="1"/>
  <c r="R143" i="10" s="1"/>
  <c r="S143" i="10" s="1"/>
  <c r="T143" i="10" s="1"/>
  <c r="U143" i="10" s="1"/>
  <c r="V143" i="10" s="1"/>
  <c r="D145" i="10" l="1"/>
  <c r="M144" i="10"/>
  <c r="N144" i="10" s="1"/>
  <c r="O144" i="10" s="1"/>
  <c r="P144" i="10" s="1"/>
  <c r="Q144" i="10" s="1"/>
  <c r="R144" i="10" s="1"/>
  <c r="S144" i="10" s="1"/>
  <c r="T144" i="10" s="1"/>
  <c r="U144" i="10" s="1"/>
  <c r="V144" i="10" s="1"/>
  <c r="D146" i="10" l="1"/>
  <c r="M145" i="10"/>
  <c r="N145" i="10" s="1"/>
  <c r="O145" i="10" s="1"/>
  <c r="P145" i="10" s="1"/>
  <c r="Q145" i="10" s="1"/>
  <c r="R145" i="10" s="1"/>
  <c r="S145" i="10" s="1"/>
  <c r="T145" i="10" s="1"/>
  <c r="U145" i="10" s="1"/>
  <c r="V145" i="10" s="1"/>
  <c r="D147" i="10" l="1"/>
  <c r="M146" i="10"/>
  <c r="N146" i="10" s="1"/>
  <c r="O146" i="10" s="1"/>
  <c r="P146" i="10" s="1"/>
  <c r="Q146" i="10" s="1"/>
  <c r="R146" i="10" s="1"/>
  <c r="S146" i="10" s="1"/>
  <c r="T146" i="10" s="1"/>
  <c r="U146" i="10" s="1"/>
  <c r="V146" i="10" s="1"/>
  <c r="D148" i="10" l="1"/>
  <c r="M147" i="10"/>
  <c r="N147" i="10" s="1"/>
  <c r="O147" i="10" s="1"/>
  <c r="P147" i="10" s="1"/>
  <c r="Q147" i="10" s="1"/>
  <c r="R147" i="10" s="1"/>
  <c r="S147" i="10" s="1"/>
  <c r="T147" i="10" s="1"/>
  <c r="U147" i="10" s="1"/>
  <c r="V147" i="10" s="1"/>
  <c r="D149" i="10" l="1"/>
  <c r="M148" i="10"/>
  <c r="N148" i="10" s="1"/>
  <c r="O148" i="10" s="1"/>
  <c r="P148" i="10" s="1"/>
  <c r="Q148" i="10" s="1"/>
  <c r="R148" i="10" s="1"/>
  <c r="S148" i="10" s="1"/>
  <c r="T148" i="10" s="1"/>
  <c r="U148" i="10" s="1"/>
  <c r="V148" i="10" s="1"/>
  <c r="D150" i="10" l="1"/>
  <c r="M149" i="10"/>
  <c r="N149" i="10" s="1"/>
  <c r="O149" i="10" s="1"/>
  <c r="P149" i="10" s="1"/>
  <c r="Q149" i="10" s="1"/>
  <c r="R149" i="10" s="1"/>
  <c r="S149" i="10" s="1"/>
  <c r="T149" i="10" s="1"/>
  <c r="U149" i="10" s="1"/>
  <c r="V149" i="10" s="1"/>
  <c r="D151" i="10" l="1"/>
  <c r="M150" i="10"/>
  <c r="N150" i="10" s="1"/>
  <c r="O150" i="10" s="1"/>
  <c r="P150" i="10" s="1"/>
  <c r="Q150" i="10" s="1"/>
  <c r="R150" i="10" s="1"/>
  <c r="S150" i="10" s="1"/>
  <c r="T150" i="10" s="1"/>
  <c r="U150" i="10" s="1"/>
  <c r="V150" i="10" s="1"/>
  <c r="D152" i="10" l="1"/>
  <c r="M151" i="10"/>
  <c r="N151" i="10" s="1"/>
  <c r="O151" i="10" s="1"/>
  <c r="P151" i="10" s="1"/>
  <c r="Q151" i="10" s="1"/>
  <c r="R151" i="10" s="1"/>
  <c r="S151" i="10" s="1"/>
  <c r="T151" i="10" s="1"/>
  <c r="U151" i="10" s="1"/>
  <c r="V151" i="10" s="1"/>
  <c r="D153" i="10" l="1"/>
  <c r="M152" i="10"/>
  <c r="N152" i="10" s="1"/>
  <c r="O152" i="10" s="1"/>
  <c r="P152" i="10" s="1"/>
  <c r="Q152" i="10" s="1"/>
  <c r="R152" i="10" s="1"/>
  <c r="S152" i="10" s="1"/>
  <c r="T152" i="10" s="1"/>
  <c r="U152" i="10" s="1"/>
  <c r="V152" i="10" s="1"/>
  <c r="D154" i="10" l="1"/>
  <c r="M153" i="10"/>
  <c r="N153" i="10" s="1"/>
  <c r="O153" i="10" s="1"/>
  <c r="P153" i="10" s="1"/>
  <c r="Q153" i="10" s="1"/>
  <c r="R153" i="10" s="1"/>
  <c r="S153" i="10" s="1"/>
  <c r="T153" i="10" s="1"/>
  <c r="U153" i="10" s="1"/>
  <c r="V153" i="10" s="1"/>
  <c r="D155" i="10" l="1"/>
  <c r="M154" i="10"/>
  <c r="N154" i="10" s="1"/>
  <c r="O154" i="10" s="1"/>
  <c r="P154" i="10" s="1"/>
  <c r="Q154" i="10" s="1"/>
  <c r="R154" i="10" s="1"/>
  <c r="S154" i="10" s="1"/>
  <c r="T154" i="10" s="1"/>
  <c r="U154" i="10" s="1"/>
  <c r="V154" i="10" s="1"/>
  <c r="D156" i="10" l="1"/>
  <c r="M155" i="10"/>
  <c r="N155" i="10" s="1"/>
  <c r="O155" i="10" s="1"/>
  <c r="P155" i="10" s="1"/>
  <c r="Q155" i="10" s="1"/>
  <c r="R155" i="10" s="1"/>
  <c r="S155" i="10" s="1"/>
  <c r="T155" i="10" s="1"/>
  <c r="U155" i="10" s="1"/>
  <c r="V155" i="10" s="1"/>
  <c r="D157" i="10" l="1"/>
  <c r="M156" i="10"/>
  <c r="N156" i="10" s="1"/>
  <c r="O156" i="10" s="1"/>
  <c r="P156" i="10" s="1"/>
  <c r="Q156" i="10" s="1"/>
  <c r="R156" i="10" s="1"/>
  <c r="S156" i="10" s="1"/>
  <c r="T156" i="10" s="1"/>
  <c r="U156" i="10" s="1"/>
  <c r="V156" i="10" s="1"/>
  <c r="D158" i="10" l="1"/>
  <c r="M157" i="10"/>
  <c r="N157" i="10" s="1"/>
  <c r="O157" i="10" s="1"/>
  <c r="P157" i="10" s="1"/>
  <c r="Q157" i="10" s="1"/>
  <c r="R157" i="10" s="1"/>
  <c r="S157" i="10" s="1"/>
  <c r="T157" i="10" s="1"/>
  <c r="U157" i="10" s="1"/>
  <c r="V157" i="10" s="1"/>
  <c r="D159" i="10" l="1"/>
  <c r="M158" i="10"/>
  <c r="N158" i="10" s="1"/>
  <c r="O158" i="10" s="1"/>
  <c r="P158" i="10" s="1"/>
  <c r="Q158" i="10" s="1"/>
  <c r="R158" i="10" s="1"/>
  <c r="S158" i="10" s="1"/>
  <c r="T158" i="10" s="1"/>
  <c r="U158" i="10" s="1"/>
  <c r="V158" i="10" s="1"/>
  <c r="D160" i="10" l="1"/>
  <c r="M159" i="10"/>
  <c r="N159" i="10" s="1"/>
  <c r="O159" i="10" s="1"/>
  <c r="P159" i="10" s="1"/>
  <c r="Q159" i="10" s="1"/>
  <c r="R159" i="10" s="1"/>
  <c r="S159" i="10" s="1"/>
  <c r="T159" i="10" s="1"/>
  <c r="U159" i="10" s="1"/>
  <c r="V159" i="10" s="1"/>
  <c r="D161" i="10" l="1"/>
  <c r="M160" i="10"/>
  <c r="N160" i="10" s="1"/>
  <c r="O160" i="10" s="1"/>
  <c r="P160" i="10" s="1"/>
  <c r="Q160" i="10" s="1"/>
  <c r="R160" i="10" s="1"/>
  <c r="S160" i="10" s="1"/>
  <c r="T160" i="10" s="1"/>
  <c r="U160" i="10" s="1"/>
  <c r="V160" i="10" s="1"/>
  <c r="D162" i="10" l="1"/>
  <c r="M161" i="10"/>
  <c r="N161" i="10" s="1"/>
  <c r="O161" i="10" s="1"/>
  <c r="P161" i="10" s="1"/>
  <c r="Q161" i="10" s="1"/>
  <c r="R161" i="10" s="1"/>
  <c r="S161" i="10" s="1"/>
  <c r="T161" i="10" s="1"/>
  <c r="U161" i="10" s="1"/>
  <c r="V161" i="10" s="1"/>
  <c r="D163" i="10" l="1"/>
  <c r="M162" i="10"/>
  <c r="N162" i="10" s="1"/>
  <c r="O162" i="10" s="1"/>
  <c r="P162" i="10" s="1"/>
  <c r="Q162" i="10" s="1"/>
  <c r="R162" i="10" s="1"/>
  <c r="S162" i="10" s="1"/>
  <c r="T162" i="10" s="1"/>
  <c r="U162" i="10" s="1"/>
  <c r="V162" i="10" s="1"/>
  <c r="D164" i="10" l="1"/>
  <c r="M163" i="10"/>
  <c r="N163" i="10" s="1"/>
  <c r="O163" i="10" s="1"/>
  <c r="P163" i="10" s="1"/>
  <c r="Q163" i="10" s="1"/>
  <c r="R163" i="10" s="1"/>
  <c r="S163" i="10" s="1"/>
  <c r="T163" i="10" s="1"/>
  <c r="U163" i="10" s="1"/>
  <c r="V163" i="10" s="1"/>
  <c r="D165" i="10" l="1"/>
  <c r="M164" i="10"/>
  <c r="N164" i="10" s="1"/>
  <c r="O164" i="10" s="1"/>
  <c r="P164" i="10" s="1"/>
  <c r="Q164" i="10" s="1"/>
  <c r="R164" i="10" s="1"/>
  <c r="S164" i="10" s="1"/>
  <c r="T164" i="10" s="1"/>
  <c r="U164" i="10" s="1"/>
  <c r="V164" i="10" s="1"/>
  <c r="D166" i="10" l="1"/>
  <c r="M165" i="10"/>
  <c r="N165" i="10" s="1"/>
  <c r="O165" i="10" s="1"/>
  <c r="P165" i="10" s="1"/>
  <c r="Q165" i="10" s="1"/>
  <c r="R165" i="10" s="1"/>
  <c r="S165" i="10" s="1"/>
  <c r="T165" i="10" s="1"/>
  <c r="U165" i="10" s="1"/>
  <c r="V165" i="10" s="1"/>
  <c r="D167" i="10" l="1"/>
  <c r="M166" i="10"/>
  <c r="N166" i="10" s="1"/>
  <c r="O166" i="10" s="1"/>
  <c r="P166" i="10" s="1"/>
  <c r="Q166" i="10" s="1"/>
  <c r="R166" i="10" s="1"/>
  <c r="S166" i="10" s="1"/>
  <c r="T166" i="10" s="1"/>
  <c r="U166" i="10" s="1"/>
  <c r="V166" i="10" s="1"/>
  <c r="D168" i="10" l="1"/>
  <c r="M167" i="10"/>
  <c r="N167" i="10" s="1"/>
  <c r="O167" i="10" s="1"/>
  <c r="P167" i="10" s="1"/>
  <c r="Q167" i="10" s="1"/>
  <c r="R167" i="10" s="1"/>
  <c r="S167" i="10" s="1"/>
  <c r="T167" i="10" s="1"/>
  <c r="U167" i="10" s="1"/>
  <c r="V167" i="10" s="1"/>
  <c r="D169" i="10" l="1"/>
  <c r="M168" i="10"/>
  <c r="N168" i="10" s="1"/>
  <c r="O168" i="10" s="1"/>
  <c r="P168" i="10" s="1"/>
  <c r="Q168" i="10" s="1"/>
  <c r="R168" i="10" s="1"/>
  <c r="S168" i="10" s="1"/>
  <c r="T168" i="10" s="1"/>
  <c r="U168" i="10" s="1"/>
  <c r="V168" i="10" s="1"/>
  <c r="D170" i="10" l="1"/>
  <c r="M169" i="10"/>
  <c r="N169" i="10" s="1"/>
  <c r="O169" i="10" s="1"/>
  <c r="P169" i="10" s="1"/>
  <c r="Q169" i="10" s="1"/>
  <c r="R169" i="10" s="1"/>
  <c r="S169" i="10" s="1"/>
  <c r="T169" i="10" s="1"/>
  <c r="U169" i="10" s="1"/>
  <c r="V169" i="10" s="1"/>
  <c r="D171" i="10" l="1"/>
  <c r="M170" i="10"/>
  <c r="N170" i="10" s="1"/>
  <c r="O170" i="10" s="1"/>
  <c r="P170" i="10" s="1"/>
  <c r="Q170" i="10" s="1"/>
  <c r="R170" i="10" s="1"/>
  <c r="S170" i="10" s="1"/>
  <c r="T170" i="10" s="1"/>
  <c r="U170" i="10" s="1"/>
  <c r="V170" i="10" s="1"/>
  <c r="D172" i="10" l="1"/>
  <c r="M171" i="10"/>
  <c r="N171" i="10" s="1"/>
  <c r="O171" i="10" s="1"/>
  <c r="P171" i="10" s="1"/>
  <c r="Q171" i="10" s="1"/>
  <c r="R171" i="10" s="1"/>
  <c r="S171" i="10" s="1"/>
  <c r="T171" i="10" s="1"/>
  <c r="U171" i="10" s="1"/>
  <c r="V171" i="10" s="1"/>
  <c r="D173" i="10" l="1"/>
  <c r="M172" i="10"/>
  <c r="N172" i="10" s="1"/>
  <c r="O172" i="10" s="1"/>
  <c r="P172" i="10" s="1"/>
  <c r="Q172" i="10" s="1"/>
  <c r="R172" i="10" s="1"/>
  <c r="S172" i="10" s="1"/>
  <c r="T172" i="10" s="1"/>
  <c r="U172" i="10" s="1"/>
  <c r="V172" i="10" s="1"/>
  <c r="D174" i="10" l="1"/>
  <c r="M173" i="10"/>
  <c r="N173" i="10" s="1"/>
  <c r="O173" i="10" s="1"/>
  <c r="P173" i="10" s="1"/>
  <c r="Q173" i="10" s="1"/>
  <c r="R173" i="10" s="1"/>
  <c r="S173" i="10" s="1"/>
  <c r="T173" i="10" s="1"/>
  <c r="U173" i="10" s="1"/>
  <c r="V173" i="10" s="1"/>
  <c r="D175" i="10" l="1"/>
  <c r="M174" i="10"/>
  <c r="N174" i="10" s="1"/>
  <c r="O174" i="10" s="1"/>
  <c r="P174" i="10" s="1"/>
  <c r="Q174" i="10" s="1"/>
  <c r="R174" i="10" s="1"/>
  <c r="S174" i="10" s="1"/>
  <c r="T174" i="10" s="1"/>
  <c r="U174" i="10" s="1"/>
  <c r="V174" i="10" s="1"/>
  <c r="D176" i="10" l="1"/>
  <c r="M175" i="10"/>
  <c r="N175" i="10" s="1"/>
  <c r="O175" i="10" s="1"/>
  <c r="P175" i="10" s="1"/>
  <c r="Q175" i="10" s="1"/>
  <c r="R175" i="10" s="1"/>
  <c r="S175" i="10" s="1"/>
  <c r="T175" i="10" s="1"/>
  <c r="U175" i="10" s="1"/>
  <c r="V175" i="10" s="1"/>
  <c r="D177" i="10" l="1"/>
  <c r="M176" i="10"/>
  <c r="N176" i="10" s="1"/>
  <c r="O176" i="10" s="1"/>
  <c r="P176" i="10" s="1"/>
  <c r="Q176" i="10" s="1"/>
  <c r="R176" i="10" s="1"/>
  <c r="S176" i="10" s="1"/>
  <c r="T176" i="10" s="1"/>
  <c r="U176" i="10" s="1"/>
  <c r="V176" i="10" s="1"/>
  <c r="D178" i="10" l="1"/>
  <c r="M177" i="10"/>
  <c r="N177" i="10" s="1"/>
  <c r="O177" i="10" s="1"/>
  <c r="P177" i="10" s="1"/>
  <c r="Q177" i="10" s="1"/>
  <c r="R177" i="10" s="1"/>
  <c r="S177" i="10" s="1"/>
  <c r="T177" i="10" s="1"/>
  <c r="U177" i="10" s="1"/>
  <c r="V177" i="10" s="1"/>
  <c r="D179" i="10" l="1"/>
  <c r="M178" i="10"/>
  <c r="N178" i="10" s="1"/>
  <c r="O178" i="10" s="1"/>
  <c r="P178" i="10" s="1"/>
  <c r="Q178" i="10" s="1"/>
  <c r="R178" i="10" s="1"/>
  <c r="S178" i="10" s="1"/>
  <c r="T178" i="10" s="1"/>
  <c r="U178" i="10" s="1"/>
  <c r="V178" i="10" s="1"/>
  <c r="D180" i="10" l="1"/>
  <c r="M179" i="10"/>
  <c r="N179" i="10" s="1"/>
  <c r="O179" i="10" s="1"/>
  <c r="P179" i="10" s="1"/>
  <c r="Q179" i="10" s="1"/>
  <c r="R179" i="10" s="1"/>
  <c r="S179" i="10" s="1"/>
  <c r="T179" i="10" s="1"/>
  <c r="U179" i="10" s="1"/>
  <c r="V179" i="10" s="1"/>
  <c r="D181" i="10" l="1"/>
  <c r="M180" i="10"/>
  <c r="N180" i="10" s="1"/>
  <c r="O180" i="10" s="1"/>
  <c r="P180" i="10" s="1"/>
  <c r="Q180" i="10" s="1"/>
  <c r="R180" i="10" s="1"/>
  <c r="S180" i="10" s="1"/>
  <c r="T180" i="10" s="1"/>
  <c r="U180" i="10" s="1"/>
  <c r="V180" i="10" s="1"/>
  <c r="D182" i="10" l="1"/>
  <c r="M181" i="10"/>
  <c r="N181" i="10" s="1"/>
  <c r="O181" i="10" s="1"/>
  <c r="P181" i="10" s="1"/>
  <c r="Q181" i="10" s="1"/>
  <c r="R181" i="10" s="1"/>
  <c r="S181" i="10" s="1"/>
  <c r="T181" i="10" s="1"/>
  <c r="U181" i="10" s="1"/>
  <c r="V181" i="10" s="1"/>
  <c r="D183" i="10" l="1"/>
  <c r="M182" i="10"/>
  <c r="N182" i="10" s="1"/>
  <c r="O182" i="10" s="1"/>
  <c r="P182" i="10" s="1"/>
  <c r="Q182" i="10" s="1"/>
  <c r="R182" i="10" s="1"/>
  <c r="S182" i="10" s="1"/>
  <c r="T182" i="10" s="1"/>
  <c r="U182" i="10" s="1"/>
  <c r="V182" i="10" s="1"/>
  <c r="D184" i="10" l="1"/>
  <c r="M183" i="10"/>
  <c r="N183" i="10" s="1"/>
  <c r="O183" i="10" s="1"/>
  <c r="P183" i="10" s="1"/>
  <c r="Q183" i="10" s="1"/>
  <c r="R183" i="10" s="1"/>
  <c r="S183" i="10" s="1"/>
  <c r="T183" i="10" s="1"/>
  <c r="U183" i="10" s="1"/>
  <c r="V183" i="10" s="1"/>
  <c r="D185" i="10" l="1"/>
  <c r="M184" i="10"/>
  <c r="N184" i="10" s="1"/>
  <c r="O184" i="10" s="1"/>
  <c r="P184" i="10" s="1"/>
  <c r="Q184" i="10" s="1"/>
  <c r="R184" i="10" s="1"/>
  <c r="S184" i="10" s="1"/>
  <c r="T184" i="10" s="1"/>
  <c r="U184" i="10" s="1"/>
  <c r="V184" i="10" s="1"/>
  <c r="D186" i="10" l="1"/>
  <c r="M185" i="10"/>
  <c r="N185" i="10" s="1"/>
  <c r="O185" i="10" s="1"/>
  <c r="P185" i="10" s="1"/>
  <c r="Q185" i="10" s="1"/>
  <c r="R185" i="10" s="1"/>
  <c r="S185" i="10" s="1"/>
  <c r="T185" i="10" s="1"/>
  <c r="U185" i="10" s="1"/>
  <c r="V185" i="10" s="1"/>
  <c r="D187" i="10" l="1"/>
  <c r="M186" i="10"/>
  <c r="N186" i="10" s="1"/>
  <c r="O186" i="10" s="1"/>
  <c r="P186" i="10" s="1"/>
  <c r="Q186" i="10" s="1"/>
  <c r="R186" i="10" s="1"/>
  <c r="S186" i="10" s="1"/>
  <c r="T186" i="10" s="1"/>
  <c r="U186" i="10" s="1"/>
  <c r="V186" i="10" s="1"/>
  <c r="D188" i="10" l="1"/>
  <c r="M187" i="10"/>
  <c r="N187" i="10" s="1"/>
  <c r="O187" i="10" s="1"/>
  <c r="P187" i="10" s="1"/>
  <c r="Q187" i="10" s="1"/>
  <c r="R187" i="10" s="1"/>
  <c r="S187" i="10" s="1"/>
  <c r="T187" i="10" s="1"/>
  <c r="U187" i="10" s="1"/>
  <c r="V187" i="10" s="1"/>
  <c r="D189" i="10" l="1"/>
  <c r="M188" i="10"/>
  <c r="N188" i="10" s="1"/>
  <c r="O188" i="10" s="1"/>
  <c r="P188" i="10" s="1"/>
  <c r="Q188" i="10" s="1"/>
  <c r="R188" i="10" s="1"/>
  <c r="S188" i="10" s="1"/>
  <c r="T188" i="10" s="1"/>
  <c r="U188" i="10" s="1"/>
  <c r="V188" i="10" s="1"/>
  <c r="D190" i="10" l="1"/>
  <c r="M189" i="10"/>
  <c r="N189" i="10" s="1"/>
  <c r="O189" i="10" s="1"/>
  <c r="P189" i="10" s="1"/>
  <c r="Q189" i="10" s="1"/>
  <c r="R189" i="10" s="1"/>
  <c r="S189" i="10" s="1"/>
  <c r="T189" i="10" s="1"/>
  <c r="U189" i="10" s="1"/>
  <c r="V189" i="10" s="1"/>
  <c r="D191" i="10" l="1"/>
  <c r="M190" i="10"/>
  <c r="N190" i="10" s="1"/>
  <c r="O190" i="10" s="1"/>
  <c r="P190" i="10" s="1"/>
  <c r="Q190" i="10" s="1"/>
  <c r="R190" i="10" s="1"/>
  <c r="S190" i="10" s="1"/>
  <c r="T190" i="10" s="1"/>
  <c r="U190" i="10" s="1"/>
  <c r="V190" i="10" s="1"/>
  <c r="D192" i="10" l="1"/>
  <c r="M191" i="10"/>
  <c r="N191" i="10" s="1"/>
  <c r="O191" i="10" s="1"/>
  <c r="P191" i="10" s="1"/>
  <c r="Q191" i="10" s="1"/>
  <c r="R191" i="10" s="1"/>
  <c r="S191" i="10" s="1"/>
  <c r="T191" i="10" s="1"/>
  <c r="U191" i="10" s="1"/>
  <c r="V191" i="10" s="1"/>
  <c r="D193" i="10" l="1"/>
  <c r="M192" i="10"/>
  <c r="N192" i="10" s="1"/>
  <c r="O192" i="10" s="1"/>
  <c r="P192" i="10" s="1"/>
  <c r="Q192" i="10" s="1"/>
  <c r="R192" i="10" s="1"/>
  <c r="S192" i="10" s="1"/>
  <c r="T192" i="10" s="1"/>
  <c r="U192" i="10" s="1"/>
  <c r="V192" i="10" s="1"/>
  <c r="D194" i="10" l="1"/>
  <c r="M193" i="10"/>
  <c r="N193" i="10" s="1"/>
  <c r="O193" i="10" s="1"/>
  <c r="P193" i="10" s="1"/>
  <c r="Q193" i="10" s="1"/>
  <c r="R193" i="10" s="1"/>
  <c r="S193" i="10" s="1"/>
  <c r="T193" i="10" s="1"/>
  <c r="U193" i="10" s="1"/>
  <c r="V193" i="10" s="1"/>
  <c r="D195" i="10" l="1"/>
  <c r="M194" i="10"/>
  <c r="N194" i="10" s="1"/>
  <c r="O194" i="10" s="1"/>
  <c r="P194" i="10" s="1"/>
  <c r="Q194" i="10" s="1"/>
  <c r="R194" i="10" s="1"/>
  <c r="S194" i="10" s="1"/>
  <c r="T194" i="10" s="1"/>
  <c r="U194" i="10" s="1"/>
  <c r="V194" i="10" s="1"/>
  <c r="D196" i="10" l="1"/>
  <c r="M195" i="10"/>
  <c r="N195" i="10" s="1"/>
  <c r="O195" i="10" s="1"/>
  <c r="P195" i="10" s="1"/>
  <c r="Q195" i="10" s="1"/>
  <c r="R195" i="10" s="1"/>
  <c r="S195" i="10" s="1"/>
  <c r="T195" i="10" s="1"/>
  <c r="U195" i="10" s="1"/>
  <c r="V195" i="10" s="1"/>
  <c r="D197" i="10" l="1"/>
  <c r="M196" i="10"/>
  <c r="N196" i="10" s="1"/>
  <c r="O196" i="10" s="1"/>
  <c r="P196" i="10" s="1"/>
  <c r="Q196" i="10" s="1"/>
  <c r="R196" i="10" s="1"/>
  <c r="S196" i="10" s="1"/>
  <c r="T196" i="10" s="1"/>
  <c r="U196" i="10" s="1"/>
  <c r="V196" i="10" s="1"/>
  <c r="D198" i="10" l="1"/>
  <c r="M197" i="10"/>
  <c r="N197" i="10" s="1"/>
  <c r="O197" i="10" s="1"/>
  <c r="P197" i="10" s="1"/>
  <c r="Q197" i="10" s="1"/>
  <c r="R197" i="10" s="1"/>
  <c r="S197" i="10" s="1"/>
  <c r="T197" i="10" s="1"/>
  <c r="U197" i="10" s="1"/>
  <c r="V197" i="10" s="1"/>
  <c r="D199" i="10" l="1"/>
  <c r="M198" i="10"/>
  <c r="N198" i="10" s="1"/>
  <c r="O198" i="10" s="1"/>
  <c r="P198" i="10" s="1"/>
  <c r="Q198" i="10" s="1"/>
  <c r="R198" i="10" s="1"/>
  <c r="S198" i="10" s="1"/>
  <c r="T198" i="10" s="1"/>
  <c r="U198" i="10" s="1"/>
  <c r="V198" i="10" s="1"/>
  <c r="D200" i="10" l="1"/>
  <c r="M199" i="10"/>
  <c r="N199" i="10" s="1"/>
  <c r="O199" i="10" s="1"/>
  <c r="P199" i="10" s="1"/>
  <c r="Q199" i="10" s="1"/>
  <c r="R199" i="10" s="1"/>
  <c r="S199" i="10" s="1"/>
  <c r="T199" i="10" s="1"/>
  <c r="U199" i="10" s="1"/>
  <c r="V199" i="10" s="1"/>
  <c r="D201" i="10" l="1"/>
  <c r="M200" i="10"/>
  <c r="N200" i="10" s="1"/>
  <c r="O200" i="10" s="1"/>
  <c r="P200" i="10" s="1"/>
  <c r="Q200" i="10" s="1"/>
  <c r="R200" i="10" s="1"/>
  <c r="S200" i="10" s="1"/>
  <c r="T200" i="10" s="1"/>
  <c r="U200" i="10" s="1"/>
  <c r="V200" i="10" s="1"/>
  <c r="D202" i="10" l="1"/>
  <c r="M201" i="10"/>
  <c r="N201" i="10" s="1"/>
  <c r="O201" i="10" s="1"/>
  <c r="P201" i="10" s="1"/>
  <c r="Q201" i="10" s="1"/>
  <c r="R201" i="10" s="1"/>
  <c r="S201" i="10" s="1"/>
  <c r="T201" i="10" s="1"/>
  <c r="U201" i="10" s="1"/>
  <c r="V201" i="10" s="1"/>
  <c r="D203" i="10" l="1"/>
  <c r="M202" i="10"/>
  <c r="N202" i="10" s="1"/>
  <c r="O202" i="10" s="1"/>
  <c r="P202" i="10" s="1"/>
  <c r="Q202" i="10" s="1"/>
  <c r="R202" i="10" s="1"/>
  <c r="S202" i="10" s="1"/>
  <c r="T202" i="10" s="1"/>
  <c r="U202" i="10" s="1"/>
  <c r="V202" i="10" s="1"/>
  <c r="D204" i="10" l="1"/>
  <c r="M203" i="10"/>
  <c r="N203" i="10" s="1"/>
  <c r="O203" i="10" s="1"/>
  <c r="P203" i="10" s="1"/>
  <c r="Q203" i="10" s="1"/>
  <c r="R203" i="10" s="1"/>
  <c r="S203" i="10" s="1"/>
  <c r="T203" i="10" s="1"/>
  <c r="U203" i="10" s="1"/>
  <c r="V203" i="10" s="1"/>
  <c r="D205" i="10" l="1"/>
  <c r="M204" i="10"/>
  <c r="N204" i="10" s="1"/>
  <c r="O204" i="10" s="1"/>
  <c r="P204" i="10" s="1"/>
  <c r="Q204" i="10" s="1"/>
  <c r="R204" i="10" s="1"/>
  <c r="S204" i="10" s="1"/>
  <c r="T204" i="10" s="1"/>
  <c r="U204" i="10" s="1"/>
  <c r="V204" i="10" s="1"/>
  <c r="D206" i="10" l="1"/>
  <c r="M205" i="10"/>
  <c r="N205" i="10" s="1"/>
  <c r="O205" i="10" s="1"/>
  <c r="P205" i="10" s="1"/>
  <c r="Q205" i="10" s="1"/>
  <c r="R205" i="10" s="1"/>
  <c r="S205" i="10" s="1"/>
  <c r="T205" i="10" s="1"/>
  <c r="U205" i="10" s="1"/>
  <c r="V205" i="10" s="1"/>
  <c r="D207" i="10" l="1"/>
  <c r="M206" i="10"/>
  <c r="N206" i="10" s="1"/>
  <c r="O206" i="10" s="1"/>
  <c r="P206" i="10" s="1"/>
  <c r="Q206" i="10" s="1"/>
  <c r="R206" i="10" s="1"/>
  <c r="S206" i="10" s="1"/>
  <c r="T206" i="10" s="1"/>
  <c r="U206" i="10" s="1"/>
  <c r="V206" i="10" s="1"/>
  <c r="D208" i="10" l="1"/>
  <c r="M207" i="10"/>
  <c r="N207" i="10" s="1"/>
  <c r="O207" i="10" s="1"/>
  <c r="P207" i="10" s="1"/>
  <c r="Q207" i="10" s="1"/>
  <c r="R207" i="10" s="1"/>
  <c r="S207" i="10" s="1"/>
  <c r="T207" i="10" s="1"/>
  <c r="U207" i="10" s="1"/>
  <c r="V207" i="10" s="1"/>
  <c r="D209" i="10" l="1"/>
  <c r="M208" i="10"/>
  <c r="N208" i="10" s="1"/>
  <c r="O208" i="10" s="1"/>
  <c r="P208" i="10" s="1"/>
  <c r="Q208" i="10" s="1"/>
  <c r="R208" i="10" s="1"/>
  <c r="S208" i="10" s="1"/>
  <c r="T208" i="10" s="1"/>
  <c r="U208" i="10" s="1"/>
  <c r="V208" i="10" s="1"/>
  <c r="D210" i="10" l="1"/>
  <c r="M209" i="10"/>
  <c r="N209" i="10" s="1"/>
  <c r="O209" i="10" s="1"/>
  <c r="P209" i="10" s="1"/>
  <c r="Q209" i="10" s="1"/>
  <c r="R209" i="10" s="1"/>
  <c r="S209" i="10" s="1"/>
  <c r="T209" i="10" s="1"/>
  <c r="U209" i="10" s="1"/>
  <c r="V209" i="10" s="1"/>
  <c r="D211" i="10" l="1"/>
  <c r="M210" i="10"/>
  <c r="N210" i="10" s="1"/>
  <c r="O210" i="10" s="1"/>
  <c r="P210" i="10" s="1"/>
  <c r="Q210" i="10" s="1"/>
  <c r="R210" i="10" s="1"/>
  <c r="S210" i="10" s="1"/>
  <c r="T210" i="10" s="1"/>
  <c r="U210" i="10" s="1"/>
  <c r="V210" i="10" s="1"/>
  <c r="D212" i="10" l="1"/>
  <c r="M211" i="10"/>
  <c r="N211" i="10" s="1"/>
  <c r="O211" i="10" s="1"/>
  <c r="P211" i="10" s="1"/>
  <c r="Q211" i="10" s="1"/>
  <c r="R211" i="10" s="1"/>
  <c r="S211" i="10" s="1"/>
  <c r="T211" i="10" s="1"/>
  <c r="U211" i="10" s="1"/>
  <c r="V211" i="10" s="1"/>
  <c r="D213" i="10" l="1"/>
  <c r="M212" i="10"/>
  <c r="N212" i="10" s="1"/>
  <c r="O212" i="10" s="1"/>
  <c r="P212" i="10" s="1"/>
  <c r="Q212" i="10" s="1"/>
  <c r="R212" i="10" s="1"/>
  <c r="S212" i="10" s="1"/>
  <c r="T212" i="10" s="1"/>
  <c r="U212" i="10" s="1"/>
  <c r="V212" i="10" s="1"/>
  <c r="D214" i="10" l="1"/>
  <c r="M213" i="10"/>
  <c r="N213" i="10" s="1"/>
  <c r="O213" i="10" s="1"/>
  <c r="P213" i="10" s="1"/>
  <c r="Q213" i="10" s="1"/>
  <c r="R213" i="10" s="1"/>
  <c r="S213" i="10" s="1"/>
  <c r="T213" i="10" s="1"/>
  <c r="U213" i="10" s="1"/>
  <c r="V213" i="10" s="1"/>
  <c r="D215" i="10" l="1"/>
  <c r="M214" i="10"/>
  <c r="N214" i="10" s="1"/>
  <c r="O214" i="10" s="1"/>
  <c r="P214" i="10" s="1"/>
  <c r="Q214" i="10" s="1"/>
  <c r="R214" i="10" s="1"/>
  <c r="S214" i="10" s="1"/>
  <c r="T214" i="10" s="1"/>
  <c r="U214" i="10" s="1"/>
  <c r="V214" i="10" s="1"/>
  <c r="D216" i="10" l="1"/>
  <c r="M215" i="10"/>
  <c r="N215" i="10" s="1"/>
  <c r="O215" i="10" s="1"/>
  <c r="P215" i="10" s="1"/>
  <c r="Q215" i="10" s="1"/>
  <c r="R215" i="10" s="1"/>
  <c r="S215" i="10" s="1"/>
  <c r="T215" i="10" s="1"/>
  <c r="U215" i="10" s="1"/>
  <c r="V215" i="10" s="1"/>
  <c r="D217" i="10" l="1"/>
  <c r="M216" i="10"/>
  <c r="N216" i="10" s="1"/>
  <c r="O216" i="10" s="1"/>
  <c r="P216" i="10" s="1"/>
  <c r="Q216" i="10" s="1"/>
  <c r="R216" i="10" s="1"/>
  <c r="S216" i="10" s="1"/>
  <c r="T216" i="10" s="1"/>
  <c r="U216" i="10" s="1"/>
  <c r="V216" i="10" s="1"/>
  <c r="D218" i="10" l="1"/>
  <c r="M217" i="10"/>
  <c r="N217" i="10" s="1"/>
  <c r="O217" i="10" s="1"/>
  <c r="P217" i="10" s="1"/>
  <c r="Q217" i="10" s="1"/>
  <c r="R217" i="10" s="1"/>
  <c r="S217" i="10" s="1"/>
  <c r="T217" i="10" s="1"/>
  <c r="U217" i="10" s="1"/>
  <c r="V217" i="10" s="1"/>
  <c r="D219" i="10" l="1"/>
  <c r="M218" i="10"/>
  <c r="N218" i="10" s="1"/>
  <c r="O218" i="10" s="1"/>
  <c r="P218" i="10" s="1"/>
  <c r="Q218" i="10" s="1"/>
  <c r="R218" i="10" s="1"/>
  <c r="S218" i="10" s="1"/>
  <c r="T218" i="10" s="1"/>
  <c r="U218" i="10" s="1"/>
  <c r="V218" i="10" s="1"/>
  <c r="D220" i="10" l="1"/>
  <c r="M219" i="10"/>
  <c r="N219" i="10" s="1"/>
  <c r="O219" i="10" s="1"/>
  <c r="P219" i="10" s="1"/>
  <c r="Q219" i="10" s="1"/>
  <c r="R219" i="10" s="1"/>
  <c r="S219" i="10" s="1"/>
  <c r="T219" i="10" s="1"/>
  <c r="U219" i="10" s="1"/>
  <c r="V219" i="10" s="1"/>
  <c r="D221" i="10" l="1"/>
  <c r="M220" i="10"/>
  <c r="N220" i="10" s="1"/>
  <c r="O220" i="10" s="1"/>
  <c r="P220" i="10" s="1"/>
  <c r="Q220" i="10" s="1"/>
  <c r="R220" i="10" s="1"/>
  <c r="S220" i="10" s="1"/>
  <c r="T220" i="10" s="1"/>
  <c r="U220" i="10" s="1"/>
  <c r="V220" i="10" s="1"/>
  <c r="D222" i="10" l="1"/>
  <c r="M221" i="10"/>
  <c r="N221" i="10" s="1"/>
  <c r="O221" i="10" s="1"/>
  <c r="P221" i="10" s="1"/>
  <c r="Q221" i="10" s="1"/>
  <c r="R221" i="10" s="1"/>
  <c r="S221" i="10" s="1"/>
  <c r="T221" i="10" s="1"/>
  <c r="U221" i="10" s="1"/>
  <c r="V221" i="10" s="1"/>
  <c r="D223" i="10" l="1"/>
  <c r="M222" i="10"/>
  <c r="N222" i="10" s="1"/>
  <c r="O222" i="10" s="1"/>
  <c r="P222" i="10" s="1"/>
  <c r="Q222" i="10" s="1"/>
  <c r="R222" i="10" s="1"/>
  <c r="S222" i="10" s="1"/>
  <c r="T222" i="10" s="1"/>
  <c r="U222" i="10" s="1"/>
  <c r="V222" i="10" s="1"/>
  <c r="D224" i="10" l="1"/>
  <c r="M223" i="10"/>
  <c r="N223" i="10" s="1"/>
  <c r="O223" i="10" s="1"/>
  <c r="P223" i="10" s="1"/>
  <c r="Q223" i="10" s="1"/>
  <c r="R223" i="10" s="1"/>
  <c r="S223" i="10" s="1"/>
  <c r="T223" i="10" s="1"/>
  <c r="U223" i="10" s="1"/>
  <c r="V223" i="10" s="1"/>
  <c r="D225" i="10" l="1"/>
  <c r="M224" i="10"/>
  <c r="N224" i="10" s="1"/>
  <c r="O224" i="10" s="1"/>
  <c r="P224" i="10" s="1"/>
  <c r="Q224" i="10" s="1"/>
  <c r="R224" i="10" s="1"/>
  <c r="S224" i="10" s="1"/>
  <c r="T224" i="10" s="1"/>
  <c r="U224" i="10" s="1"/>
  <c r="V224" i="10" s="1"/>
  <c r="D226" i="10" l="1"/>
  <c r="M225" i="10"/>
  <c r="N225" i="10" s="1"/>
  <c r="O225" i="10" s="1"/>
  <c r="P225" i="10" s="1"/>
  <c r="Q225" i="10" s="1"/>
  <c r="R225" i="10" s="1"/>
  <c r="S225" i="10" s="1"/>
  <c r="T225" i="10" s="1"/>
  <c r="U225" i="10" s="1"/>
  <c r="V225" i="10" s="1"/>
  <c r="D227" i="10" l="1"/>
  <c r="M226" i="10"/>
  <c r="N226" i="10" s="1"/>
  <c r="O226" i="10" s="1"/>
  <c r="P226" i="10" s="1"/>
  <c r="Q226" i="10" s="1"/>
  <c r="R226" i="10" s="1"/>
  <c r="S226" i="10" s="1"/>
  <c r="T226" i="10" s="1"/>
  <c r="U226" i="10" s="1"/>
  <c r="V226" i="10" s="1"/>
  <c r="D228" i="10" l="1"/>
  <c r="M227" i="10"/>
  <c r="N227" i="10" s="1"/>
  <c r="O227" i="10" s="1"/>
  <c r="P227" i="10" s="1"/>
  <c r="Q227" i="10" s="1"/>
  <c r="R227" i="10" s="1"/>
  <c r="S227" i="10" s="1"/>
  <c r="T227" i="10" s="1"/>
  <c r="U227" i="10" s="1"/>
  <c r="V227" i="10" s="1"/>
  <c r="D229" i="10" l="1"/>
  <c r="M228" i="10"/>
  <c r="N228" i="10" s="1"/>
  <c r="O228" i="10" s="1"/>
  <c r="P228" i="10" s="1"/>
  <c r="Q228" i="10" s="1"/>
  <c r="R228" i="10" s="1"/>
  <c r="S228" i="10" s="1"/>
  <c r="T228" i="10" s="1"/>
  <c r="U228" i="10" s="1"/>
  <c r="V228" i="10" s="1"/>
  <c r="D230" i="10" l="1"/>
  <c r="M229" i="10"/>
  <c r="N229" i="10" s="1"/>
  <c r="O229" i="10" s="1"/>
  <c r="P229" i="10" s="1"/>
  <c r="Q229" i="10" s="1"/>
  <c r="R229" i="10" s="1"/>
  <c r="S229" i="10" s="1"/>
  <c r="T229" i="10" s="1"/>
  <c r="U229" i="10" s="1"/>
  <c r="V229" i="10" s="1"/>
  <c r="D231" i="10" l="1"/>
  <c r="M230" i="10"/>
  <c r="N230" i="10" s="1"/>
  <c r="O230" i="10" s="1"/>
  <c r="P230" i="10" s="1"/>
  <c r="Q230" i="10" s="1"/>
  <c r="R230" i="10" s="1"/>
  <c r="S230" i="10" s="1"/>
  <c r="T230" i="10" s="1"/>
  <c r="U230" i="10" s="1"/>
  <c r="V230" i="10" s="1"/>
  <c r="D232" i="10" l="1"/>
  <c r="M231" i="10"/>
  <c r="N231" i="10" s="1"/>
  <c r="O231" i="10" s="1"/>
  <c r="P231" i="10" s="1"/>
  <c r="Q231" i="10" s="1"/>
  <c r="R231" i="10" s="1"/>
  <c r="S231" i="10" s="1"/>
  <c r="T231" i="10" s="1"/>
  <c r="U231" i="10" s="1"/>
  <c r="V231" i="10" s="1"/>
  <c r="D233" i="10" l="1"/>
  <c r="M232" i="10"/>
  <c r="N232" i="10" s="1"/>
  <c r="O232" i="10" s="1"/>
  <c r="P232" i="10" s="1"/>
  <c r="Q232" i="10" s="1"/>
  <c r="R232" i="10" s="1"/>
  <c r="S232" i="10" s="1"/>
  <c r="T232" i="10" s="1"/>
  <c r="U232" i="10" s="1"/>
  <c r="V232" i="10" s="1"/>
  <c r="D234" i="10" l="1"/>
  <c r="M233" i="10"/>
  <c r="N233" i="10" s="1"/>
  <c r="O233" i="10" s="1"/>
  <c r="P233" i="10" s="1"/>
  <c r="Q233" i="10" s="1"/>
  <c r="R233" i="10" s="1"/>
  <c r="S233" i="10" s="1"/>
  <c r="T233" i="10" s="1"/>
  <c r="U233" i="10" s="1"/>
  <c r="V233" i="10" s="1"/>
  <c r="D235" i="10" l="1"/>
  <c r="M234" i="10"/>
  <c r="N234" i="10" s="1"/>
  <c r="O234" i="10" s="1"/>
  <c r="P234" i="10" s="1"/>
  <c r="Q234" i="10" s="1"/>
  <c r="R234" i="10" s="1"/>
  <c r="S234" i="10" s="1"/>
  <c r="T234" i="10" s="1"/>
  <c r="U234" i="10" s="1"/>
  <c r="V234" i="10" s="1"/>
  <c r="D236" i="10" l="1"/>
  <c r="M235" i="10"/>
  <c r="N235" i="10" s="1"/>
  <c r="O235" i="10" s="1"/>
  <c r="P235" i="10" s="1"/>
  <c r="Q235" i="10" s="1"/>
  <c r="R235" i="10" s="1"/>
  <c r="S235" i="10" s="1"/>
  <c r="T235" i="10" s="1"/>
  <c r="U235" i="10" s="1"/>
  <c r="V235" i="10" s="1"/>
  <c r="D237" i="10" l="1"/>
  <c r="M236" i="10"/>
  <c r="N236" i="10" s="1"/>
  <c r="O236" i="10" s="1"/>
  <c r="P236" i="10" s="1"/>
  <c r="Q236" i="10" s="1"/>
  <c r="R236" i="10" s="1"/>
  <c r="S236" i="10" s="1"/>
  <c r="T236" i="10" s="1"/>
  <c r="U236" i="10" s="1"/>
  <c r="V236" i="10" s="1"/>
  <c r="D238" i="10" l="1"/>
  <c r="M237" i="10"/>
  <c r="N237" i="10" s="1"/>
  <c r="O237" i="10" s="1"/>
  <c r="P237" i="10" s="1"/>
  <c r="Q237" i="10" s="1"/>
  <c r="R237" i="10" s="1"/>
  <c r="S237" i="10" s="1"/>
  <c r="T237" i="10" s="1"/>
  <c r="U237" i="10" s="1"/>
  <c r="V237" i="10" s="1"/>
  <c r="D239" i="10" l="1"/>
  <c r="M238" i="10"/>
  <c r="N238" i="10" s="1"/>
  <c r="O238" i="10" s="1"/>
  <c r="P238" i="10" s="1"/>
  <c r="Q238" i="10" s="1"/>
  <c r="R238" i="10" s="1"/>
  <c r="S238" i="10" s="1"/>
  <c r="T238" i="10" s="1"/>
  <c r="U238" i="10" s="1"/>
  <c r="V238" i="10" s="1"/>
  <c r="D240" i="10" l="1"/>
  <c r="M239" i="10"/>
  <c r="N239" i="10" s="1"/>
  <c r="O239" i="10" s="1"/>
  <c r="P239" i="10" s="1"/>
  <c r="Q239" i="10" s="1"/>
  <c r="R239" i="10" s="1"/>
  <c r="S239" i="10" s="1"/>
  <c r="T239" i="10" s="1"/>
  <c r="U239" i="10" s="1"/>
  <c r="V239" i="10" s="1"/>
  <c r="D241" i="10" l="1"/>
  <c r="M240" i="10"/>
  <c r="N240" i="10" s="1"/>
  <c r="O240" i="10" s="1"/>
  <c r="P240" i="10" s="1"/>
  <c r="Q240" i="10" s="1"/>
  <c r="R240" i="10" s="1"/>
  <c r="S240" i="10" s="1"/>
  <c r="T240" i="10" s="1"/>
  <c r="U240" i="10" s="1"/>
  <c r="V240" i="10" s="1"/>
  <c r="D242" i="10" l="1"/>
  <c r="M241" i="10"/>
  <c r="N241" i="10" s="1"/>
  <c r="O241" i="10" s="1"/>
  <c r="P241" i="10" s="1"/>
  <c r="Q241" i="10" s="1"/>
  <c r="R241" i="10" s="1"/>
  <c r="S241" i="10" s="1"/>
  <c r="T241" i="10" s="1"/>
  <c r="U241" i="10" s="1"/>
  <c r="V241" i="10" s="1"/>
  <c r="D243" i="10" l="1"/>
  <c r="M242" i="10"/>
  <c r="N242" i="10" s="1"/>
  <c r="O242" i="10" s="1"/>
  <c r="P242" i="10" s="1"/>
  <c r="Q242" i="10" s="1"/>
  <c r="R242" i="10" s="1"/>
  <c r="S242" i="10" s="1"/>
  <c r="T242" i="10" s="1"/>
  <c r="U242" i="10" s="1"/>
  <c r="V242" i="10" s="1"/>
  <c r="D244" i="10" l="1"/>
  <c r="M243" i="10"/>
  <c r="N243" i="10" s="1"/>
  <c r="O243" i="10" s="1"/>
  <c r="P243" i="10" s="1"/>
  <c r="Q243" i="10" s="1"/>
  <c r="R243" i="10" s="1"/>
  <c r="S243" i="10" s="1"/>
  <c r="T243" i="10" s="1"/>
  <c r="U243" i="10" s="1"/>
  <c r="V243" i="10" s="1"/>
  <c r="D245" i="10" l="1"/>
  <c r="M244" i="10"/>
  <c r="N244" i="10" s="1"/>
  <c r="O244" i="10" s="1"/>
  <c r="P244" i="10" s="1"/>
  <c r="Q244" i="10" s="1"/>
  <c r="R244" i="10" s="1"/>
  <c r="S244" i="10" s="1"/>
  <c r="T244" i="10" s="1"/>
  <c r="U244" i="10" s="1"/>
  <c r="V244" i="10" s="1"/>
  <c r="D246" i="10" l="1"/>
  <c r="M245" i="10"/>
  <c r="N245" i="10" s="1"/>
  <c r="O245" i="10" s="1"/>
  <c r="P245" i="10" s="1"/>
  <c r="Q245" i="10" s="1"/>
  <c r="R245" i="10" s="1"/>
  <c r="S245" i="10" s="1"/>
  <c r="T245" i="10" s="1"/>
  <c r="U245" i="10" s="1"/>
  <c r="V245" i="10" s="1"/>
  <c r="D247" i="10" l="1"/>
  <c r="M246" i="10"/>
  <c r="N246" i="10" s="1"/>
  <c r="O246" i="10" s="1"/>
  <c r="P246" i="10" s="1"/>
  <c r="Q246" i="10" s="1"/>
  <c r="R246" i="10" s="1"/>
  <c r="S246" i="10" s="1"/>
  <c r="T246" i="10" s="1"/>
  <c r="U246" i="10" s="1"/>
  <c r="V246" i="10" s="1"/>
  <c r="D248" i="10" l="1"/>
  <c r="M247" i="10"/>
  <c r="N247" i="10" s="1"/>
  <c r="O247" i="10" s="1"/>
  <c r="P247" i="10" s="1"/>
  <c r="Q247" i="10" s="1"/>
  <c r="R247" i="10" s="1"/>
  <c r="S247" i="10" s="1"/>
  <c r="T247" i="10" s="1"/>
  <c r="U247" i="10" s="1"/>
  <c r="V247" i="10" s="1"/>
  <c r="D249" i="10" l="1"/>
  <c r="M248" i="10"/>
  <c r="N248" i="10" s="1"/>
  <c r="O248" i="10" s="1"/>
  <c r="P248" i="10" s="1"/>
  <c r="Q248" i="10" s="1"/>
  <c r="R248" i="10" s="1"/>
  <c r="S248" i="10" s="1"/>
  <c r="T248" i="10" s="1"/>
  <c r="U248" i="10" s="1"/>
  <c r="V248" i="10" s="1"/>
  <c r="D250" i="10" l="1"/>
  <c r="M249" i="10"/>
  <c r="N249" i="10" s="1"/>
  <c r="O249" i="10" s="1"/>
  <c r="P249" i="10" s="1"/>
  <c r="Q249" i="10" s="1"/>
  <c r="R249" i="10" s="1"/>
  <c r="S249" i="10" s="1"/>
  <c r="T249" i="10" s="1"/>
  <c r="U249" i="10" s="1"/>
  <c r="V249" i="10" s="1"/>
  <c r="D251" i="10" l="1"/>
  <c r="M250" i="10"/>
  <c r="N250" i="10" s="1"/>
  <c r="O250" i="10" s="1"/>
  <c r="P250" i="10" s="1"/>
  <c r="Q250" i="10" s="1"/>
  <c r="R250" i="10" s="1"/>
  <c r="S250" i="10" s="1"/>
  <c r="T250" i="10" s="1"/>
  <c r="U250" i="10" s="1"/>
  <c r="V250" i="10" s="1"/>
  <c r="D252" i="10" l="1"/>
  <c r="M251" i="10"/>
  <c r="N251" i="10" s="1"/>
  <c r="O251" i="10" s="1"/>
  <c r="P251" i="10" s="1"/>
  <c r="Q251" i="10" s="1"/>
  <c r="R251" i="10" s="1"/>
  <c r="S251" i="10" s="1"/>
  <c r="T251" i="10" s="1"/>
  <c r="U251" i="10" s="1"/>
  <c r="V251" i="10" s="1"/>
  <c r="D253" i="10" l="1"/>
  <c r="M252" i="10"/>
  <c r="N252" i="10" s="1"/>
  <c r="O252" i="10" s="1"/>
  <c r="P252" i="10" s="1"/>
  <c r="Q252" i="10" s="1"/>
  <c r="R252" i="10" s="1"/>
  <c r="S252" i="10" s="1"/>
  <c r="T252" i="10" s="1"/>
  <c r="U252" i="10" s="1"/>
  <c r="V252" i="10" s="1"/>
  <c r="D254" i="10" l="1"/>
  <c r="M253" i="10"/>
  <c r="N253" i="10" s="1"/>
  <c r="O253" i="10" s="1"/>
  <c r="P253" i="10" s="1"/>
  <c r="Q253" i="10" s="1"/>
  <c r="R253" i="10" s="1"/>
  <c r="S253" i="10" s="1"/>
  <c r="T253" i="10" s="1"/>
  <c r="U253" i="10" s="1"/>
  <c r="V253" i="10" s="1"/>
  <c r="D255" i="10" l="1"/>
  <c r="M254" i="10"/>
  <c r="N254" i="10" s="1"/>
  <c r="O254" i="10" s="1"/>
  <c r="P254" i="10" s="1"/>
  <c r="Q254" i="10" s="1"/>
  <c r="R254" i="10" s="1"/>
  <c r="S254" i="10" s="1"/>
  <c r="T254" i="10" s="1"/>
  <c r="U254" i="10" s="1"/>
  <c r="V254" i="10" s="1"/>
  <c r="D256" i="10" l="1"/>
  <c r="M255" i="10"/>
  <c r="N255" i="10" s="1"/>
  <c r="O255" i="10" s="1"/>
  <c r="P255" i="10" s="1"/>
  <c r="Q255" i="10" s="1"/>
  <c r="R255" i="10" s="1"/>
  <c r="S255" i="10" s="1"/>
  <c r="T255" i="10" s="1"/>
  <c r="U255" i="10" s="1"/>
  <c r="V255" i="10" s="1"/>
  <c r="D257" i="10" l="1"/>
  <c r="M256" i="10"/>
  <c r="N256" i="10" s="1"/>
  <c r="O256" i="10" s="1"/>
  <c r="P256" i="10" s="1"/>
  <c r="Q256" i="10" s="1"/>
  <c r="R256" i="10" s="1"/>
  <c r="S256" i="10" s="1"/>
  <c r="T256" i="10" s="1"/>
  <c r="U256" i="10" s="1"/>
  <c r="V256" i="10" s="1"/>
  <c r="D258" i="10" l="1"/>
  <c r="M257" i="10"/>
  <c r="N257" i="10" s="1"/>
  <c r="O257" i="10" s="1"/>
  <c r="P257" i="10" s="1"/>
  <c r="Q257" i="10" s="1"/>
  <c r="R257" i="10" s="1"/>
  <c r="S257" i="10" s="1"/>
  <c r="T257" i="10" s="1"/>
  <c r="U257" i="10" s="1"/>
  <c r="V257" i="10" s="1"/>
  <c r="D259" i="10" l="1"/>
  <c r="M258" i="10"/>
  <c r="N258" i="10" s="1"/>
  <c r="O258" i="10" s="1"/>
  <c r="P258" i="10" s="1"/>
  <c r="Q258" i="10" s="1"/>
  <c r="R258" i="10" s="1"/>
  <c r="S258" i="10" s="1"/>
  <c r="T258" i="10" s="1"/>
  <c r="U258" i="10" s="1"/>
  <c r="V258" i="10" s="1"/>
  <c r="D260" i="10" l="1"/>
  <c r="M259" i="10"/>
  <c r="N259" i="10" s="1"/>
  <c r="O259" i="10" s="1"/>
  <c r="P259" i="10" s="1"/>
  <c r="Q259" i="10" s="1"/>
  <c r="R259" i="10" s="1"/>
  <c r="S259" i="10" s="1"/>
  <c r="T259" i="10" s="1"/>
  <c r="U259" i="10" s="1"/>
  <c r="V259" i="10" s="1"/>
  <c r="D261" i="10" l="1"/>
  <c r="M260" i="10"/>
  <c r="N260" i="10" s="1"/>
  <c r="O260" i="10" s="1"/>
  <c r="P260" i="10" s="1"/>
  <c r="Q260" i="10" s="1"/>
  <c r="R260" i="10" s="1"/>
  <c r="S260" i="10" s="1"/>
  <c r="T260" i="10" s="1"/>
  <c r="U260" i="10" s="1"/>
  <c r="V260" i="10" s="1"/>
  <c r="D262" i="10" l="1"/>
  <c r="M261" i="10"/>
  <c r="N261" i="10" s="1"/>
  <c r="O261" i="10" s="1"/>
  <c r="P261" i="10" s="1"/>
  <c r="Q261" i="10" s="1"/>
  <c r="R261" i="10" s="1"/>
  <c r="S261" i="10" s="1"/>
  <c r="T261" i="10" s="1"/>
  <c r="U261" i="10" s="1"/>
  <c r="V261" i="10" s="1"/>
  <c r="D263" i="10" l="1"/>
  <c r="M262" i="10"/>
  <c r="N262" i="10" s="1"/>
  <c r="O262" i="10" s="1"/>
  <c r="P262" i="10" s="1"/>
  <c r="Q262" i="10" s="1"/>
  <c r="R262" i="10" s="1"/>
  <c r="S262" i="10" s="1"/>
  <c r="T262" i="10" s="1"/>
  <c r="U262" i="10" s="1"/>
  <c r="V262" i="10" s="1"/>
  <c r="D264" i="10" l="1"/>
  <c r="M263" i="10"/>
  <c r="N263" i="10" s="1"/>
  <c r="O263" i="10" s="1"/>
  <c r="P263" i="10" s="1"/>
  <c r="Q263" i="10" s="1"/>
  <c r="R263" i="10" s="1"/>
  <c r="S263" i="10" s="1"/>
  <c r="T263" i="10" s="1"/>
  <c r="U263" i="10" s="1"/>
  <c r="V263" i="10" s="1"/>
  <c r="D265" i="10" l="1"/>
  <c r="M264" i="10"/>
  <c r="N264" i="10" s="1"/>
  <c r="O264" i="10" s="1"/>
  <c r="P264" i="10" s="1"/>
  <c r="Q264" i="10" s="1"/>
  <c r="R264" i="10" s="1"/>
  <c r="S264" i="10" s="1"/>
  <c r="T264" i="10" s="1"/>
  <c r="U264" i="10" s="1"/>
  <c r="V264" i="10" s="1"/>
  <c r="D266" i="10" l="1"/>
  <c r="M265" i="10"/>
  <c r="N265" i="10" s="1"/>
  <c r="O265" i="10" s="1"/>
  <c r="P265" i="10" s="1"/>
  <c r="Q265" i="10" s="1"/>
  <c r="R265" i="10" s="1"/>
  <c r="S265" i="10" s="1"/>
  <c r="T265" i="10" s="1"/>
  <c r="U265" i="10" s="1"/>
  <c r="V265" i="10" s="1"/>
  <c r="D267" i="10" l="1"/>
  <c r="M266" i="10"/>
  <c r="N266" i="10" s="1"/>
  <c r="O266" i="10" s="1"/>
  <c r="P266" i="10" s="1"/>
  <c r="Q266" i="10" s="1"/>
  <c r="R266" i="10" s="1"/>
  <c r="S266" i="10" s="1"/>
  <c r="T266" i="10" s="1"/>
  <c r="U266" i="10" s="1"/>
  <c r="V266" i="10" s="1"/>
  <c r="D268" i="10" l="1"/>
  <c r="M267" i="10"/>
  <c r="N267" i="10" s="1"/>
  <c r="O267" i="10" s="1"/>
  <c r="P267" i="10" s="1"/>
  <c r="Q267" i="10" s="1"/>
  <c r="R267" i="10" s="1"/>
  <c r="S267" i="10" s="1"/>
  <c r="T267" i="10" s="1"/>
  <c r="U267" i="10" s="1"/>
  <c r="V267" i="10" s="1"/>
  <c r="D269" i="10" l="1"/>
  <c r="M268" i="10"/>
  <c r="N268" i="10" s="1"/>
  <c r="O268" i="10" s="1"/>
  <c r="P268" i="10" s="1"/>
  <c r="Q268" i="10" s="1"/>
  <c r="R268" i="10" s="1"/>
  <c r="S268" i="10" s="1"/>
  <c r="T268" i="10" s="1"/>
  <c r="U268" i="10" s="1"/>
  <c r="V268" i="10" s="1"/>
  <c r="D270" i="10" l="1"/>
  <c r="M269" i="10"/>
  <c r="N269" i="10" s="1"/>
  <c r="O269" i="10" s="1"/>
  <c r="P269" i="10" s="1"/>
  <c r="Q269" i="10" s="1"/>
  <c r="R269" i="10" s="1"/>
  <c r="S269" i="10" s="1"/>
  <c r="T269" i="10" s="1"/>
  <c r="U269" i="10" s="1"/>
  <c r="V269" i="10" s="1"/>
  <c r="D271" i="10" l="1"/>
  <c r="M270" i="10"/>
  <c r="N270" i="10" s="1"/>
  <c r="O270" i="10" s="1"/>
  <c r="P270" i="10" s="1"/>
  <c r="Q270" i="10" s="1"/>
  <c r="R270" i="10" s="1"/>
  <c r="S270" i="10" s="1"/>
  <c r="T270" i="10" s="1"/>
  <c r="U270" i="10" s="1"/>
  <c r="V270" i="10" s="1"/>
  <c r="D272" i="10" l="1"/>
  <c r="M271" i="10"/>
  <c r="N271" i="10" s="1"/>
  <c r="O271" i="10" s="1"/>
  <c r="P271" i="10" s="1"/>
  <c r="Q271" i="10" s="1"/>
  <c r="R271" i="10" s="1"/>
  <c r="S271" i="10" s="1"/>
  <c r="T271" i="10" s="1"/>
  <c r="U271" i="10" s="1"/>
  <c r="V271" i="10" s="1"/>
  <c r="D273" i="10" l="1"/>
  <c r="M272" i="10"/>
  <c r="N272" i="10" s="1"/>
  <c r="O272" i="10" s="1"/>
  <c r="P272" i="10" s="1"/>
  <c r="Q272" i="10" s="1"/>
  <c r="R272" i="10" s="1"/>
  <c r="S272" i="10" s="1"/>
  <c r="T272" i="10" s="1"/>
  <c r="U272" i="10" s="1"/>
  <c r="V272" i="10" s="1"/>
  <c r="D274" i="10" l="1"/>
  <c r="M273" i="10"/>
  <c r="N273" i="10" s="1"/>
  <c r="O273" i="10" s="1"/>
  <c r="P273" i="10" s="1"/>
  <c r="Q273" i="10" s="1"/>
  <c r="R273" i="10" s="1"/>
  <c r="S273" i="10" s="1"/>
  <c r="T273" i="10" s="1"/>
  <c r="U273" i="10" s="1"/>
  <c r="V273" i="10" s="1"/>
  <c r="D275" i="10" l="1"/>
  <c r="M274" i="10"/>
  <c r="N274" i="10" s="1"/>
  <c r="O274" i="10" s="1"/>
  <c r="P274" i="10" s="1"/>
  <c r="Q274" i="10" s="1"/>
  <c r="R274" i="10" s="1"/>
  <c r="S274" i="10" s="1"/>
  <c r="T274" i="10" s="1"/>
  <c r="U274" i="10" s="1"/>
  <c r="V274" i="10" s="1"/>
  <c r="D276" i="10" l="1"/>
  <c r="M275" i="10"/>
  <c r="N275" i="10" s="1"/>
  <c r="O275" i="10" s="1"/>
  <c r="P275" i="10" s="1"/>
  <c r="Q275" i="10" s="1"/>
  <c r="R275" i="10" s="1"/>
  <c r="S275" i="10" s="1"/>
  <c r="T275" i="10" s="1"/>
  <c r="U275" i="10" s="1"/>
  <c r="V275" i="10" s="1"/>
  <c r="D277" i="10" l="1"/>
  <c r="M276" i="10"/>
  <c r="N276" i="10" s="1"/>
  <c r="O276" i="10" s="1"/>
  <c r="P276" i="10" s="1"/>
  <c r="Q276" i="10" s="1"/>
  <c r="R276" i="10" s="1"/>
  <c r="S276" i="10" s="1"/>
  <c r="T276" i="10" s="1"/>
  <c r="U276" i="10" s="1"/>
  <c r="V276" i="10" s="1"/>
  <c r="D278" i="10" l="1"/>
  <c r="M277" i="10"/>
  <c r="N277" i="10" s="1"/>
  <c r="O277" i="10" s="1"/>
  <c r="P277" i="10" s="1"/>
  <c r="Q277" i="10" s="1"/>
  <c r="R277" i="10" s="1"/>
  <c r="S277" i="10" s="1"/>
  <c r="T277" i="10" s="1"/>
  <c r="U277" i="10" s="1"/>
  <c r="V277" i="10" s="1"/>
  <c r="D279" i="10" l="1"/>
  <c r="M278" i="10"/>
  <c r="N278" i="10" s="1"/>
  <c r="O278" i="10" s="1"/>
  <c r="P278" i="10" s="1"/>
  <c r="Q278" i="10" s="1"/>
  <c r="R278" i="10" s="1"/>
  <c r="S278" i="10" s="1"/>
  <c r="T278" i="10" s="1"/>
  <c r="U278" i="10" s="1"/>
  <c r="V278" i="10" s="1"/>
  <c r="D280" i="10" l="1"/>
  <c r="M279" i="10"/>
  <c r="N279" i="10" s="1"/>
  <c r="O279" i="10" s="1"/>
  <c r="P279" i="10" s="1"/>
  <c r="Q279" i="10" s="1"/>
  <c r="R279" i="10" s="1"/>
  <c r="S279" i="10" s="1"/>
  <c r="T279" i="10" s="1"/>
  <c r="U279" i="10" s="1"/>
  <c r="V279" i="10" s="1"/>
  <c r="D281" i="10" l="1"/>
  <c r="M280" i="10"/>
  <c r="N280" i="10" s="1"/>
  <c r="O280" i="10" s="1"/>
  <c r="P280" i="10" s="1"/>
  <c r="Q280" i="10" s="1"/>
  <c r="R280" i="10" s="1"/>
  <c r="S280" i="10" s="1"/>
  <c r="T280" i="10" s="1"/>
  <c r="U280" i="10" s="1"/>
  <c r="V280" i="10" s="1"/>
  <c r="D282" i="10" l="1"/>
  <c r="M281" i="10"/>
  <c r="N281" i="10" s="1"/>
  <c r="O281" i="10" s="1"/>
  <c r="P281" i="10" s="1"/>
  <c r="Q281" i="10" s="1"/>
  <c r="R281" i="10" s="1"/>
  <c r="S281" i="10" s="1"/>
  <c r="T281" i="10" s="1"/>
  <c r="U281" i="10" s="1"/>
  <c r="V281" i="10" s="1"/>
  <c r="D283" i="10" l="1"/>
  <c r="M282" i="10"/>
  <c r="N282" i="10" s="1"/>
  <c r="O282" i="10" s="1"/>
  <c r="P282" i="10" s="1"/>
  <c r="Q282" i="10" s="1"/>
  <c r="R282" i="10" s="1"/>
  <c r="S282" i="10" s="1"/>
  <c r="T282" i="10" s="1"/>
  <c r="U282" i="10" s="1"/>
  <c r="V282" i="10" s="1"/>
  <c r="D284" i="10" l="1"/>
  <c r="M283" i="10"/>
  <c r="N283" i="10" s="1"/>
  <c r="O283" i="10" s="1"/>
  <c r="P283" i="10" s="1"/>
  <c r="Q283" i="10" s="1"/>
  <c r="R283" i="10" s="1"/>
  <c r="S283" i="10" s="1"/>
  <c r="T283" i="10" s="1"/>
  <c r="U283" i="10" s="1"/>
  <c r="V283" i="10" s="1"/>
  <c r="D285" i="10" l="1"/>
  <c r="M284" i="10"/>
  <c r="N284" i="10" s="1"/>
  <c r="O284" i="10" s="1"/>
  <c r="P284" i="10" s="1"/>
  <c r="Q284" i="10" s="1"/>
  <c r="R284" i="10" s="1"/>
  <c r="S284" i="10" s="1"/>
  <c r="T284" i="10" s="1"/>
  <c r="U284" i="10" s="1"/>
  <c r="V284" i="10" s="1"/>
  <c r="D286" i="10" l="1"/>
  <c r="M285" i="10"/>
  <c r="N285" i="10" s="1"/>
  <c r="O285" i="10" s="1"/>
  <c r="P285" i="10" s="1"/>
  <c r="Q285" i="10" s="1"/>
  <c r="R285" i="10" s="1"/>
  <c r="S285" i="10" s="1"/>
  <c r="T285" i="10" s="1"/>
  <c r="U285" i="10" s="1"/>
  <c r="V285" i="10" s="1"/>
  <c r="D287" i="10" l="1"/>
  <c r="M286" i="10"/>
  <c r="N286" i="10" s="1"/>
  <c r="O286" i="10" s="1"/>
  <c r="P286" i="10" s="1"/>
  <c r="Q286" i="10" s="1"/>
  <c r="R286" i="10" s="1"/>
  <c r="S286" i="10" s="1"/>
  <c r="T286" i="10" s="1"/>
  <c r="U286" i="10" s="1"/>
  <c r="V286" i="10" s="1"/>
  <c r="D288" i="10" l="1"/>
  <c r="M287" i="10"/>
  <c r="N287" i="10" s="1"/>
  <c r="O287" i="10" s="1"/>
  <c r="P287" i="10" s="1"/>
  <c r="Q287" i="10" s="1"/>
  <c r="R287" i="10" s="1"/>
  <c r="S287" i="10" s="1"/>
  <c r="T287" i="10" s="1"/>
  <c r="U287" i="10" s="1"/>
  <c r="V287" i="10" s="1"/>
  <c r="D289" i="10" l="1"/>
  <c r="M288" i="10"/>
  <c r="N288" i="10" s="1"/>
  <c r="O288" i="10" s="1"/>
  <c r="P288" i="10" s="1"/>
  <c r="Q288" i="10" s="1"/>
  <c r="R288" i="10" s="1"/>
  <c r="S288" i="10" s="1"/>
  <c r="T288" i="10" s="1"/>
  <c r="U288" i="10" s="1"/>
  <c r="V288" i="10" s="1"/>
  <c r="D290" i="10" l="1"/>
  <c r="M289" i="10"/>
  <c r="N289" i="10" s="1"/>
  <c r="O289" i="10" s="1"/>
  <c r="P289" i="10" s="1"/>
  <c r="Q289" i="10" s="1"/>
  <c r="R289" i="10" s="1"/>
  <c r="S289" i="10" s="1"/>
  <c r="T289" i="10" s="1"/>
  <c r="U289" i="10" s="1"/>
  <c r="V289" i="10" s="1"/>
  <c r="D291" i="10" l="1"/>
  <c r="M290" i="10"/>
  <c r="N290" i="10" s="1"/>
  <c r="O290" i="10" s="1"/>
  <c r="P290" i="10" s="1"/>
  <c r="Q290" i="10" s="1"/>
  <c r="R290" i="10" s="1"/>
  <c r="S290" i="10" s="1"/>
  <c r="T290" i="10" s="1"/>
  <c r="U290" i="10" s="1"/>
  <c r="V290" i="10" s="1"/>
  <c r="D292" i="10" l="1"/>
  <c r="M291" i="10"/>
  <c r="N291" i="10" s="1"/>
  <c r="O291" i="10" s="1"/>
  <c r="P291" i="10" s="1"/>
  <c r="Q291" i="10" s="1"/>
  <c r="R291" i="10" s="1"/>
  <c r="S291" i="10" s="1"/>
  <c r="T291" i="10" s="1"/>
  <c r="U291" i="10" s="1"/>
  <c r="V291" i="10" s="1"/>
  <c r="D293" i="10" l="1"/>
  <c r="M292" i="10"/>
  <c r="N292" i="10" s="1"/>
  <c r="O292" i="10" s="1"/>
  <c r="P292" i="10" s="1"/>
  <c r="Q292" i="10" s="1"/>
  <c r="R292" i="10" s="1"/>
  <c r="S292" i="10" s="1"/>
  <c r="T292" i="10" s="1"/>
  <c r="U292" i="10" s="1"/>
  <c r="V292" i="10" s="1"/>
  <c r="D294" i="10" l="1"/>
  <c r="M293" i="10"/>
  <c r="N293" i="10" s="1"/>
  <c r="O293" i="10" s="1"/>
  <c r="P293" i="10" s="1"/>
  <c r="Q293" i="10" s="1"/>
  <c r="R293" i="10" s="1"/>
  <c r="S293" i="10" s="1"/>
  <c r="T293" i="10" s="1"/>
  <c r="U293" i="10" s="1"/>
  <c r="V293" i="10" s="1"/>
  <c r="D295" i="10" l="1"/>
  <c r="M294" i="10"/>
  <c r="N294" i="10" s="1"/>
  <c r="O294" i="10" s="1"/>
  <c r="P294" i="10" s="1"/>
  <c r="Q294" i="10" s="1"/>
  <c r="R294" i="10" s="1"/>
  <c r="S294" i="10" s="1"/>
  <c r="T294" i="10" s="1"/>
  <c r="U294" i="10" s="1"/>
  <c r="V294" i="10" s="1"/>
  <c r="D296" i="10" l="1"/>
  <c r="M295" i="10"/>
  <c r="N295" i="10" s="1"/>
  <c r="O295" i="10" s="1"/>
  <c r="P295" i="10" s="1"/>
  <c r="Q295" i="10" s="1"/>
  <c r="R295" i="10" s="1"/>
  <c r="S295" i="10" s="1"/>
  <c r="T295" i="10" s="1"/>
  <c r="U295" i="10" s="1"/>
  <c r="V295" i="10" s="1"/>
  <c r="D297" i="10" l="1"/>
  <c r="M296" i="10"/>
  <c r="N296" i="10" s="1"/>
  <c r="O296" i="10" s="1"/>
  <c r="P296" i="10" s="1"/>
  <c r="Q296" i="10" s="1"/>
  <c r="R296" i="10" s="1"/>
  <c r="S296" i="10" s="1"/>
  <c r="T296" i="10" s="1"/>
  <c r="U296" i="10" s="1"/>
  <c r="V296" i="10" s="1"/>
  <c r="D298" i="10" l="1"/>
  <c r="M297" i="10"/>
  <c r="N297" i="10" s="1"/>
  <c r="O297" i="10" s="1"/>
  <c r="P297" i="10" s="1"/>
  <c r="Q297" i="10" s="1"/>
  <c r="R297" i="10" s="1"/>
  <c r="S297" i="10" s="1"/>
  <c r="T297" i="10" s="1"/>
  <c r="U297" i="10" s="1"/>
  <c r="V297" i="10" s="1"/>
  <c r="D299" i="10" l="1"/>
  <c r="M298" i="10"/>
  <c r="N298" i="10" s="1"/>
  <c r="O298" i="10" s="1"/>
  <c r="P298" i="10" s="1"/>
  <c r="Q298" i="10" s="1"/>
  <c r="R298" i="10" s="1"/>
  <c r="S298" i="10" s="1"/>
  <c r="T298" i="10" s="1"/>
  <c r="U298" i="10" s="1"/>
  <c r="V298" i="10" s="1"/>
  <c r="D300" i="10" l="1"/>
  <c r="M299" i="10"/>
  <c r="N299" i="10" s="1"/>
  <c r="O299" i="10" s="1"/>
  <c r="P299" i="10" s="1"/>
  <c r="Q299" i="10" s="1"/>
  <c r="R299" i="10" s="1"/>
  <c r="S299" i="10" s="1"/>
  <c r="T299" i="10" s="1"/>
  <c r="U299" i="10" s="1"/>
  <c r="V299" i="10" s="1"/>
  <c r="D301" i="10" l="1"/>
  <c r="M300" i="10"/>
  <c r="N300" i="10" s="1"/>
  <c r="O300" i="10" s="1"/>
  <c r="P300" i="10" s="1"/>
  <c r="Q300" i="10" s="1"/>
  <c r="R300" i="10" s="1"/>
  <c r="S300" i="10" s="1"/>
  <c r="T300" i="10" s="1"/>
  <c r="U300" i="10" s="1"/>
  <c r="V300" i="10" s="1"/>
  <c r="D302" i="10" l="1"/>
  <c r="M301" i="10"/>
  <c r="N301" i="10" s="1"/>
  <c r="O301" i="10" s="1"/>
  <c r="P301" i="10" s="1"/>
  <c r="Q301" i="10" s="1"/>
  <c r="R301" i="10" s="1"/>
  <c r="S301" i="10" s="1"/>
  <c r="T301" i="10" s="1"/>
  <c r="U301" i="10" s="1"/>
  <c r="V301" i="10" s="1"/>
  <c r="D303" i="10" l="1"/>
  <c r="M302" i="10"/>
  <c r="N302" i="10" s="1"/>
  <c r="O302" i="10" s="1"/>
  <c r="P302" i="10" s="1"/>
  <c r="Q302" i="10" s="1"/>
  <c r="R302" i="10" s="1"/>
  <c r="S302" i="10" s="1"/>
  <c r="T302" i="10" s="1"/>
  <c r="U302" i="10" s="1"/>
  <c r="V302" i="10" s="1"/>
  <c r="D304" i="10" l="1"/>
  <c r="M303" i="10"/>
  <c r="N303" i="10" s="1"/>
  <c r="O303" i="10" s="1"/>
  <c r="P303" i="10" s="1"/>
  <c r="Q303" i="10" s="1"/>
  <c r="R303" i="10" s="1"/>
  <c r="S303" i="10" s="1"/>
  <c r="T303" i="10" s="1"/>
  <c r="U303" i="10" s="1"/>
  <c r="V303" i="10" s="1"/>
  <c r="D305" i="10" l="1"/>
  <c r="M304" i="10"/>
  <c r="N304" i="10" s="1"/>
  <c r="O304" i="10" s="1"/>
  <c r="P304" i="10" s="1"/>
  <c r="Q304" i="10" s="1"/>
  <c r="R304" i="10" s="1"/>
  <c r="S304" i="10" s="1"/>
  <c r="T304" i="10" s="1"/>
  <c r="U304" i="10" s="1"/>
  <c r="V304" i="10" s="1"/>
  <c r="D306" i="10" l="1"/>
  <c r="M305" i="10"/>
  <c r="N305" i="10" s="1"/>
  <c r="O305" i="10" s="1"/>
  <c r="P305" i="10" s="1"/>
  <c r="Q305" i="10" s="1"/>
  <c r="R305" i="10" s="1"/>
  <c r="S305" i="10" s="1"/>
  <c r="T305" i="10" s="1"/>
  <c r="U305" i="10" s="1"/>
  <c r="V305" i="10" s="1"/>
  <c r="D307" i="10" l="1"/>
  <c r="M306" i="10"/>
  <c r="N306" i="10" s="1"/>
  <c r="O306" i="10" s="1"/>
  <c r="P306" i="10" s="1"/>
  <c r="Q306" i="10" s="1"/>
  <c r="R306" i="10" s="1"/>
  <c r="S306" i="10" s="1"/>
  <c r="T306" i="10" s="1"/>
  <c r="U306" i="10" s="1"/>
  <c r="V306" i="10" s="1"/>
  <c r="D308" i="10" l="1"/>
  <c r="M307" i="10"/>
  <c r="N307" i="10" s="1"/>
  <c r="O307" i="10" s="1"/>
  <c r="P307" i="10" s="1"/>
  <c r="Q307" i="10" s="1"/>
  <c r="R307" i="10" s="1"/>
  <c r="S307" i="10" s="1"/>
  <c r="T307" i="10" s="1"/>
  <c r="U307" i="10" s="1"/>
  <c r="V307" i="10" s="1"/>
  <c r="D309" i="10" l="1"/>
  <c r="M308" i="10"/>
  <c r="N308" i="10" s="1"/>
  <c r="O308" i="10" s="1"/>
  <c r="P308" i="10" s="1"/>
  <c r="Q308" i="10" s="1"/>
  <c r="R308" i="10" s="1"/>
  <c r="S308" i="10" s="1"/>
  <c r="T308" i="10" s="1"/>
  <c r="U308" i="10" s="1"/>
  <c r="V308" i="10" s="1"/>
  <c r="D310" i="10" l="1"/>
  <c r="M309" i="10"/>
  <c r="N309" i="10" s="1"/>
  <c r="O309" i="10" s="1"/>
  <c r="P309" i="10" s="1"/>
  <c r="Q309" i="10" s="1"/>
  <c r="R309" i="10" s="1"/>
  <c r="S309" i="10" s="1"/>
  <c r="T309" i="10" s="1"/>
  <c r="U309" i="10" s="1"/>
  <c r="V309" i="10" s="1"/>
  <c r="D311" i="10" l="1"/>
  <c r="M310" i="10"/>
  <c r="N310" i="10" s="1"/>
  <c r="O310" i="10" s="1"/>
  <c r="P310" i="10" s="1"/>
  <c r="Q310" i="10" s="1"/>
  <c r="R310" i="10" s="1"/>
  <c r="S310" i="10" s="1"/>
  <c r="T310" i="10" s="1"/>
  <c r="U310" i="10" s="1"/>
  <c r="V310" i="10" s="1"/>
  <c r="D312" i="10" l="1"/>
  <c r="M311" i="10"/>
  <c r="N311" i="10" s="1"/>
  <c r="O311" i="10" s="1"/>
  <c r="P311" i="10" s="1"/>
  <c r="Q311" i="10" s="1"/>
  <c r="R311" i="10" s="1"/>
  <c r="S311" i="10" s="1"/>
  <c r="T311" i="10" s="1"/>
  <c r="U311" i="10" s="1"/>
  <c r="V311" i="10" s="1"/>
  <c r="D313" i="10" l="1"/>
  <c r="M312" i="10"/>
  <c r="N312" i="10" s="1"/>
  <c r="O312" i="10" s="1"/>
  <c r="P312" i="10" s="1"/>
  <c r="Q312" i="10" s="1"/>
  <c r="R312" i="10" s="1"/>
  <c r="S312" i="10" s="1"/>
  <c r="T312" i="10" s="1"/>
  <c r="U312" i="10" s="1"/>
  <c r="V312" i="10" s="1"/>
  <c r="D314" i="10" l="1"/>
  <c r="M313" i="10"/>
  <c r="N313" i="10" s="1"/>
  <c r="O313" i="10" s="1"/>
  <c r="P313" i="10" s="1"/>
  <c r="Q313" i="10" s="1"/>
  <c r="R313" i="10" s="1"/>
  <c r="S313" i="10" s="1"/>
  <c r="T313" i="10" s="1"/>
  <c r="U313" i="10" s="1"/>
  <c r="V313" i="10" s="1"/>
  <c r="D315" i="10" l="1"/>
  <c r="M314" i="10"/>
  <c r="N314" i="10" s="1"/>
  <c r="O314" i="10" s="1"/>
  <c r="P314" i="10" s="1"/>
  <c r="Q314" i="10" s="1"/>
  <c r="R314" i="10" s="1"/>
  <c r="S314" i="10" s="1"/>
  <c r="T314" i="10" s="1"/>
  <c r="U314" i="10" s="1"/>
  <c r="V314" i="10" s="1"/>
  <c r="D316" i="10" l="1"/>
  <c r="M315" i="10"/>
  <c r="N315" i="10" s="1"/>
  <c r="O315" i="10" s="1"/>
  <c r="P315" i="10" s="1"/>
  <c r="Q315" i="10" s="1"/>
  <c r="R315" i="10" s="1"/>
  <c r="S315" i="10" s="1"/>
  <c r="T315" i="10" s="1"/>
  <c r="U315" i="10" s="1"/>
  <c r="V315" i="10" s="1"/>
  <c r="D317" i="10" l="1"/>
  <c r="M316" i="10"/>
  <c r="N316" i="10" s="1"/>
  <c r="O316" i="10" s="1"/>
  <c r="P316" i="10" s="1"/>
  <c r="Q316" i="10" s="1"/>
  <c r="R316" i="10" s="1"/>
  <c r="S316" i="10" s="1"/>
  <c r="T316" i="10" s="1"/>
  <c r="U316" i="10" s="1"/>
  <c r="V316" i="10" s="1"/>
  <c r="D318" i="10" l="1"/>
  <c r="M317" i="10"/>
  <c r="N317" i="10" s="1"/>
  <c r="O317" i="10" s="1"/>
  <c r="P317" i="10" s="1"/>
  <c r="Q317" i="10" s="1"/>
  <c r="R317" i="10" s="1"/>
  <c r="S317" i="10" s="1"/>
  <c r="T317" i="10" s="1"/>
  <c r="U317" i="10" s="1"/>
  <c r="V317" i="10" s="1"/>
  <c r="D319" i="10" l="1"/>
  <c r="M318" i="10"/>
  <c r="N318" i="10" s="1"/>
  <c r="O318" i="10" s="1"/>
  <c r="P318" i="10" s="1"/>
  <c r="Q318" i="10" s="1"/>
  <c r="R318" i="10" s="1"/>
  <c r="S318" i="10" s="1"/>
  <c r="T318" i="10" s="1"/>
  <c r="U318" i="10" s="1"/>
  <c r="V318" i="10" s="1"/>
  <c r="D320" i="10" l="1"/>
  <c r="M319" i="10"/>
  <c r="N319" i="10" s="1"/>
  <c r="O319" i="10" s="1"/>
  <c r="P319" i="10" s="1"/>
  <c r="Q319" i="10" s="1"/>
  <c r="R319" i="10" s="1"/>
  <c r="S319" i="10" s="1"/>
  <c r="T319" i="10" s="1"/>
  <c r="U319" i="10" s="1"/>
  <c r="V319" i="10" s="1"/>
  <c r="D321" i="10" l="1"/>
  <c r="M320" i="10"/>
  <c r="N320" i="10" s="1"/>
  <c r="O320" i="10" s="1"/>
  <c r="P320" i="10" s="1"/>
  <c r="Q320" i="10" s="1"/>
  <c r="R320" i="10" s="1"/>
  <c r="S320" i="10" s="1"/>
  <c r="T320" i="10" s="1"/>
  <c r="U320" i="10" s="1"/>
  <c r="V320" i="10" s="1"/>
  <c r="D322" i="10" l="1"/>
  <c r="M321" i="10"/>
  <c r="N321" i="10" s="1"/>
  <c r="O321" i="10" s="1"/>
  <c r="P321" i="10" s="1"/>
  <c r="Q321" i="10" s="1"/>
  <c r="R321" i="10" s="1"/>
  <c r="S321" i="10" s="1"/>
  <c r="T321" i="10" s="1"/>
  <c r="U321" i="10" s="1"/>
  <c r="V321" i="10" s="1"/>
  <c r="D323" i="10" l="1"/>
  <c r="M322" i="10"/>
  <c r="N322" i="10" s="1"/>
  <c r="O322" i="10" s="1"/>
  <c r="P322" i="10" s="1"/>
  <c r="Q322" i="10" s="1"/>
  <c r="R322" i="10" s="1"/>
  <c r="S322" i="10" s="1"/>
  <c r="T322" i="10" s="1"/>
  <c r="U322" i="10" s="1"/>
  <c r="V322" i="10" s="1"/>
  <c r="D324" i="10" l="1"/>
  <c r="M323" i="10"/>
  <c r="N323" i="10" s="1"/>
  <c r="O323" i="10" s="1"/>
  <c r="P323" i="10" s="1"/>
  <c r="Q323" i="10" s="1"/>
  <c r="R323" i="10" s="1"/>
  <c r="S323" i="10" s="1"/>
  <c r="T323" i="10" s="1"/>
  <c r="U323" i="10" s="1"/>
  <c r="V323" i="10" s="1"/>
  <c r="D325" i="10" l="1"/>
  <c r="M324" i="10"/>
  <c r="N324" i="10" s="1"/>
  <c r="O324" i="10" s="1"/>
  <c r="P324" i="10" s="1"/>
  <c r="Q324" i="10" s="1"/>
  <c r="R324" i="10" s="1"/>
  <c r="S324" i="10" s="1"/>
  <c r="T324" i="10" s="1"/>
  <c r="U324" i="10" s="1"/>
  <c r="V324" i="10" s="1"/>
  <c r="D326" i="10" l="1"/>
  <c r="M325" i="10"/>
  <c r="N325" i="10" s="1"/>
  <c r="O325" i="10" s="1"/>
  <c r="P325" i="10" s="1"/>
  <c r="Q325" i="10" s="1"/>
  <c r="R325" i="10" s="1"/>
  <c r="S325" i="10" s="1"/>
  <c r="T325" i="10" s="1"/>
  <c r="U325" i="10" s="1"/>
  <c r="V325" i="10" s="1"/>
  <c r="D327" i="10" l="1"/>
  <c r="M326" i="10"/>
  <c r="N326" i="10" s="1"/>
  <c r="O326" i="10" s="1"/>
  <c r="P326" i="10" s="1"/>
  <c r="Q326" i="10" s="1"/>
  <c r="R326" i="10" s="1"/>
  <c r="S326" i="10" s="1"/>
  <c r="T326" i="10" s="1"/>
  <c r="U326" i="10" s="1"/>
  <c r="V326" i="10" s="1"/>
  <c r="D328" i="10" l="1"/>
  <c r="M327" i="10"/>
  <c r="N327" i="10" s="1"/>
  <c r="O327" i="10" s="1"/>
  <c r="P327" i="10" s="1"/>
  <c r="Q327" i="10" s="1"/>
  <c r="R327" i="10" s="1"/>
  <c r="S327" i="10" s="1"/>
  <c r="T327" i="10" s="1"/>
  <c r="U327" i="10" s="1"/>
  <c r="V327" i="10" s="1"/>
  <c r="D329" i="10" l="1"/>
  <c r="M328" i="10"/>
  <c r="N328" i="10" s="1"/>
  <c r="O328" i="10" s="1"/>
  <c r="P328" i="10" s="1"/>
  <c r="Q328" i="10" s="1"/>
  <c r="R328" i="10" s="1"/>
  <c r="S328" i="10" s="1"/>
  <c r="T328" i="10" s="1"/>
  <c r="U328" i="10" s="1"/>
  <c r="V328" i="10" s="1"/>
  <c r="D330" i="10" l="1"/>
  <c r="M329" i="10"/>
  <c r="N329" i="10" s="1"/>
  <c r="O329" i="10" s="1"/>
  <c r="P329" i="10" s="1"/>
  <c r="Q329" i="10" s="1"/>
  <c r="R329" i="10" s="1"/>
  <c r="S329" i="10" s="1"/>
  <c r="T329" i="10" s="1"/>
  <c r="U329" i="10" s="1"/>
  <c r="V329" i="10" s="1"/>
  <c r="D331" i="10" l="1"/>
  <c r="M330" i="10"/>
  <c r="N330" i="10" s="1"/>
  <c r="O330" i="10" s="1"/>
  <c r="P330" i="10" s="1"/>
  <c r="Q330" i="10" s="1"/>
  <c r="R330" i="10" s="1"/>
  <c r="S330" i="10" s="1"/>
  <c r="T330" i="10" s="1"/>
  <c r="U330" i="10" s="1"/>
  <c r="V330" i="10" s="1"/>
  <c r="D332" i="10" l="1"/>
  <c r="M331" i="10"/>
  <c r="N331" i="10" s="1"/>
  <c r="O331" i="10" s="1"/>
  <c r="P331" i="10" s="1"/>
  <c r="Q331" i="10" s="1"/>
  <c r="R331" i="10" s="1"/>
  <c r="S331" i="10" s="1"/>
  <c r="T331" i="10" s="1"/>
  <c r="U331" i="10" s="1"/>
  <c r="V331" i="10" s="1"/>
  <c r="D333" i="10" l="1"/>
  <c r="M332" i="10"/>
  <c r="N332" i="10" s="1"/>
  <c r="O332" i="10" s="1"/>
  <c r="P332" i="10" s="1"/>
  <c r="Q332" i="10" s="1"/>
  <c r="R332" i="10" s="1"/>
  <c r="S332" i="10" s="1"/>
  <c r="T332" i="10" s="1"/>
  <c r="U332" i="10" s="1"/>
  <c r="V332" i="10" s="1"/>
  <c r="D334" i="10" l="1"/>
  <c r="M333" i="10"/>
  <c r="N333" i="10" s="1"/>
  <c r="O333" i="10" s="1"/>
  <c r="P333" i="10" s="1"/>
  <c r="Q333" i="10" s="1"/>
  <c r="R333" i="10" s="1"/>
  <c r="S333" i="10" s="1"/>
  <c r="T333" i="10" s="1"/>
  <c r="U333" i="10" s="1"/>
  <c r="V333" i="10" s="1"/>
  <c r="D335" i="10" l="1"/>
  <c r="M334" i="10"/>
  <c r="N334" i="10" s="1"/>
  <c r="O334" i="10" s="1"/>
  <c r="P334" i="10" s="1"/>
  <c r="Q334" i="10" s="1"/>
  <c r="R334" i="10" s="1"/>
  <c r="S334" i="10" s="1"/>
  <c r="T334" i="10" s="1"/>
  <c r="U334" i="10" s="1"/>
  <c r="V334" i="10" s="1"/>
  <c r="D336" i="10" l="1"/>
  <c r="M335" i="10"/>
  <c r="N335" i="10" s="1"/>
  <c r="O335" i="10" s="1"/>
  <c r="P335" i="10" s="1"/>
  <c r="Q335" i="10" s="1"/>
  <c r="R335" i="10" s="1"/>
  <c r="S335" i="10" s="1"/>
  <c r="T335" i="10" s="1"/>
  <c r="U335" i="10" s="1"/>
  <c r="V335" i="10" s="1"/>
  <c r="D337" i="10" l="1"/>
  <c r="M336" i="10"/>
  <c r="N336" i="10" s="1"/>
  <c r="O336" i="10" s="1"/>
  <c r="P336" i="10" s="1"/>
  <c r="Q336" i="10" s="1"/>
  <c r="R336" i="10" s="1"/>
  <c r="S336" i="10" s="1"/>
  <c r="T336" i="10" s="1"/>
  <c r="U336" i="10" s="1"/>
  <c r="V336" i="10" s="1"/>
  <c r="D338" i="10" l="1"/>
  <c r="M337" i="10"/>
  <c r="N337" i="10" s="1"/>
  <c r="O337" i="10" s="1"/>
  <c r="P337" i="10" s="1"/>
  <c r="Q337" i="10" s="1"/>
  <c r="R337" i="10" s="1"/>
  <c r="S337" i="10" s="1"/>
  <c r="T337" i="10" s="1"/>
  <c r="U337" i="10" s="1"/>
  <c r="V337" i="10" s="1"/>
  <c r="D339" i="10" l="1"/>
  <c r="M338" i="10"/>
  <c r="N338" i="10" s="1"/>
  <c r="O338" i="10" s="1"/>
  <c r="P338" i="10" s="1"/>
  <c r="Q338" i="10" s="1"/>
  <c r="R338" i="10" s="1"/>
  <c r="S338" i="10" s="1"/>
  <c r="T338" i="10" s="1"/>
  <c r="U338" i="10" s="1"/>
  <c r="V338" i="10" s="1"/>
  <c r="D340" i="10" l="1"/>
  <c r="M339" i="10"/>
  <c r="N339" i="10" s="1"/>
  <c r="O339" i="10" s="1"/>
  <c r="P339" i="10" s="1"/>
  <c r="Q339" i="10" s="1"/>
  <c r="R339" i="10" s="1"/>
  <c r="S339" i="10" s="1"/>
  <c r="T339" i="10" s="1"/>
  <c r="U339" i="10" s="1"/>
  <c r="V339" i="10" s="1"/>
  <c r="D341" i="10" l="1"/>
  <c r="M340" i="10"/>
  <c r="N340" i="10" s="1"/>
  <c r="O340" i="10" s="1"/>
  <c r="P340" i="10" s="1"/>
  <c r="Q340" i="10" s="1"/>
  <c r="R340" i="10" s="1"/>
  <c r="S340" i="10" s="1"/>
  <c r="T340" i="10" s="1"/>
  <c r="U340" i="10" s="1"/>
  <c r="V340" i="10" s="1"/>
  <c r="D342" i="10" l="1"/>
  <c r="M341" i="10"/>
  <c r="N341" i="10" s="1"/>
  <c r="O341" i="10" s="1"/>
  <c r="P341" i="10" s="1"/>
  <c r="Q341" i="10" s="1"/>
  <c r="R341" i="10" s="1"/>
  <c r="S341" i="10" s="1"/>
  <c r="T341" i="10" s="1"/>
  <c r="U341" i="10" s="1"/>
  <c r="V341" i="10" s="1"/>
  <c r="D343" i="10" l="1"/>
  <c r="M342" i="10"/>
  <c r="N342" i="10" s="1"/>
  <c r="O342" i="10" s="1"/>
  <c r="P342" i="10" s="1"/>
  <c r="Q342" i="10" s="1"/>
  <c r="R342" i="10" s="1"/>
  <c r="S342" i="10" s="1"/>
  <c r="T342" i="10" s="1"/>
  <c r="U342" i="10" s="1"/>
  <c r="V342" i="10" s="1"/>
  <c r="D344" i="10" l="1"/>
  <c r="M343" i="10"/>
  <c r="N343" i="10" s="1"/>
  <c r="O343" i="10" s="1"/>
  <c r="P343" i="10" s="1"/>
  <c r="Q343" i="10" s="1"/>
  <c r="R343" i="10" s="1"/>
  <c r="S343" i="10" s="1"/>
  <c r="T343" i="10" s="1"/>
  <c r="U343" i="10" s="1"/>
  <c r="V343" i="10" s="1"/>
  <c r="D345" i="10" l="1"/>
  <c r="M344" i="10"/>
  <c r="N344" i="10" s="1"/>
  <c r="O344" i="10" s="1"/>
  <c r="P344" i="10" s="1"/>
  <c r="Q344" i="10" s="1"/>
  <c r="R344" i="10" s="1"/>
  <c r="S344" i="10" s="1"/>
  <c r="T344" i="10" s="1"/>
  <c r="U344" i="10" s="1"/>
  <c r="V344" i="10" s="1"/>
  <c r="D346" i="10" l="1"/>
  <c r="M345" i="10"/>
  <c r="N345" i="10" s="1"/>
  <c r="O345" i="10" s="1"/>
  <c r="P345" i="10" s="1"/>
  <c r="Q345" i="10" s="1"/>
  <c r="R345" i="10" s="1"/>
  <c r="S345" i="10" s="1"/>
  <c r="T345" i="10" s="1"/>
  <c r="U345" i="10" s="1"/>
  <c r="V345" i="10" s="1"/>
  <c r="D347" i="10" l="1"/>
  <c r="M346" i="10"/>
  <c r="N346" i="10" s="1"/>
  <c r="O346" i="10" s="1"/>
  <c r="P346" i="10" s="1"/>
  <c r="Q346" i="10" s="1"/>
  <c r="R346" i="10" s="1"/>
  <c r="S346" i="10" s="1"/>
  <c r="T346" i="10" s="1"/>
  <c r="U346" i="10" s="1"/>
  <c r="V346" i="10" s="1"/>
  <c r="D348" i="10" l="1"/>
  <c r="M347" i="10"/>
  <c r="N347" i="10" s="1"/>
  <c r="O347" i="10" s="1"/>
  <c r="P347" i="10" s="1"/>
  <c r="Q347" i="10" s="1"/>
  <c r="R347" i="10" s="1"/>
  <c r="S347" i="10" s="1"/>
  <c r="T347" i="10" s="1"/>
  <c r="U347" i="10" s="1"/>
  <c r="V347" i="10" s="1"/>
  <c r="D349" i="10" l="1"/>
  <c r="M348" i="10"/>
  <c r="N348" i="10" s="1"/>
  <c r="O348" i="10" s="1"/>
  <c r="P348" i="10" s="1"/>
  <c r="Q348" i="10" s="1"/>
  <c r="R348" i="10" s="1"/>
  <c r="S348" i="10" s="1"/>
  <c r="T348" i="10" s="1"/>
  <c r="U348" i="10" s="1"/>
  <c r="V348" i="10" s="1"/>
  <c r="D350" i="10" l="1"/>
  <c r="M349" i="10"/>
  <c r="N349" i="10" s="1"/>
  <c r="O349" i="10" s="1"/>
  <c r="P349" i="10" s="1"/>
  <c r="Q349" i="10" s="1"/>
  <c r="R349" i="10" s="1"/>
  <c r="S349" i="10" s="1"/>
  <c r="T349" i="10" s="1"/>
  <c r="U349" i="10" s="1"/>
  <c r="V349" i="10" s="1"/>
  <c r="D351" i="10" l="1"/>
  <c r="M350" i="10"/>
  <c r="N350" i="10" s="1"/>
  <c r="O350" i="10" s="1"/>
  <c r="P350" i="10" s="1"/>
  <c r="Q350" i="10" s="1"/>
  <c r="R350" i="10" s="1"/>
  <c r="S350" i="10" s="1"/>
  <c r="T350" i="10" s="1"/>
  <c r="U350" i="10" s="1"/>
  <c r="V350" i="10" s="1"/>
  <c r="D352" i="10" l="1"/>
  <c r="M351" i="10"/>
  <c r="N351" i="10" s="1"/>
  <c r="O351" i="10" s="1"/>
  <c r="P351" i="10" s="1"/>
  <c r="Q351" i="10" s="1"/>
  <c r="R351" i="10" s="1"/>
  <c r="S351" i="10" s="1"/>
  <c r="T351" i="10" s="1"/>
  <c r="U351" i="10" s="1"/>
  <c r="V351" i="10" s="1"/>
  <c r="D353" i="10" l="1"/>
  <c r="M352" i="10"/>
  <c r="N352" i="10" s="1"/>
  <c r="O352" i="10" s="1"/>
  <c r="P352" i="10" s="1"/>
  <c r="Q352" i="10" s="1"/>
  <c r="R352" i="10" s="1"/>
  <c r="S352" i="10" s="1"/>
  <c r="T352" i="10" s="1"/>
  <c r="U352" i="10" s="1"/>
  <c r="V352" i="10" s="1"/>
  <c r="D354" i="10" l="1"/>
  <c r="M353" i="10"/>
  <c r="N353" i="10" s="1"/>
  <c r="O353" i="10" s="1"/>
  <c r="P353" i="10" s="1"/>
  <c r="Q353" i="10" s="1"/>
  <c r="R353" i="10" s="1"/>
  <c r="S353" i="10" s="1"/>
  <c r="T353" i="10" s="1"/>
  <c r="U353" i="10" s="1"/>
  <c r="V353" i="10" s="1"/>
  <c r="D355" i="10" l="1"/>
  <c r="M354" i="10"/>
  <c r="N354" i="10" s="1"/>
  <c r="O354" i="10" s="1"/>
  <c r="P354" i="10" s="1"/>
  <c r="Q354" i="10" s="1"/>
  <c r="R354" i="10" s="1"/>
  <c r="S354" i="10" s="1"/>
  <c r="T354" i="10" s="1"/>
  <c r="U354" i="10" s="1"/>
  <c r="V354" i="10" s="1"/>
  <c r="D356" i="10" l="1"/>
  <c r="M355" i="10"/>
  <c r="N355" i="10" s="1"/>
  <c r="O355" i="10" s="1"/>
  <c r="P355" i="10" s="1"/>
  <c r="Q355" i="10" s="1"/>
  <c r="R355" i="10" s="1"/>
  <c r="S355" i="10" s="1"/>
  <c r="T355" i="10" s="1"/>
  <c r="U355" i="10" s="1"/>
  <c r="V355" i="10" s="1"/>
  <c r="D357" i="10" l="1"/>
  <c r="M356" i="10"/>
  <c r="N356" i="10" s="1"/>
  <c r="O356" i="10" s="1"/>
  <c r="P356" i="10" s="1"/>
  <c r="Q356" i="10" s="1"/>
  <c r="R356" i="10" s="1"/>
  <c r="S356" i="10" s="1"/>
  <c r="T356" i="10" s="1"/>
  <c r="U356" i="10" s="1"/>
  <c r="V356" i="10" s="1"/>
  <c r="D358" i="10" l="1"/>
  <c r="M357" i="10"/>
  <c r="N357" i="10" s="1"/>
  <c r="O357" i="10" s="1"/>
  <c r="P357" i="10" s="1"/>
  <c r="Q357" i="10" s="1"/>
  <c r="R357" i="10" s="1"/>
  <c r="S357" i="10" s="1"/>
  <c r="T357" i="10" s="1"/>
  <c r="U357" i="10" s="1"/>
  <c r="V357" i="10" s="1"/>
  <c r="D359" i="10" l="1"/>
  <c r="M358" i="10"/>
  <c r="N358" i="10" s="1"/>
  <c r="O358" i="10" s="1"/>
  <c r="P358" i="10" s="1"/>
  <c r="Q358" i="10" s="1"/>
  <c r="R358" i="10" s="1"/>
  <c r="S358" i="10" s="1"/>
  <c r="T358" i="10" s="1"/>
  <c r="U358" i="10" s="1"/>
  <c r="V358" i="10" s="1"/>
  <c r="D360" i="10" l="1"/>
  <c r="M359" i="10"/>
  <c r="N359" i="10" s="1"/>
  <c r="O359" i="10" s="1"/>
  <c r="P359" i="10" s="1"/>
  <c r="Q359" i="10" s="1"/>
  <c r="R359" i="10" s="1"/>
  <c r="S359" i="10" s="1"/>
  <c r="T359" i="10" s="1"/>
  <c r="U359" i="10" s="1"/>
  <c r="V359" i="10" s="1"/>
  <c r="D361" i="10" l="1"/>
  <c r="M360" i="10"/>
  <c r="N360" i="10" s="1"/>
  <c r="O360" i="10" s="1"/>
  <c r="P360" i="10" s="1"/>
  <c r="Q360" i="10" s="1"/>
  <c r="R360" i="10" s="1"/>
  <c r="S360" i="10" s="1"/>
  <c r="T360" i="10" s="1"/>
  <c r="U360" i="10" s="1"/>
  <c r="V360" i="10" s="1"/>
  <c r="D362" i="10" l="1"/>
  <c r="M361" i="10"/>
  <c r="N361" i="10" s="1"/>
  <c r="O361" i="10" s="1"/>
  <c r="P361" i="10" s="1"/>
  <c r="Q361" i="10" s="1"/>
  <c r="R361" i="10" s="1"/>
  <c r="S361" i="10" s="1"/>
  <c r="T361" i="10" s="1"/>
  <c r="U361" i="10" s="1"/>
  <c r="V361" i="10" s="1"/>
  <c r="D363" i="10" l="1"/>
  <c r="M362" i="10"/>
  <c r="N362" i="10" s="1"/>
  <c r="O362" i="10" s="1"/>
  <c r="P362" i="10" s="1"/>
  <c r="Q362" i="10" s="1"/>
  <c r="R362" i="10" s="1"/>
  <c r="S362" i="10" s="1"/>
  <c r="T362" i="10" s="1"/>
  <c r="U362" i="10" s="1"/>
  <c r="V362" i="10" s="1"/>
  <c r="D364" i="10" l="1"/>
  <c r="M363" i="10"/>
  <c r="N363" i="10" s="1"/>
  <c r="O363" i="10" s="1"/>
  <c r="P363" i="10" s="1"/>
  <c r="Q363" i="10" s="1"/>
  <c r="R363" i="10" s="1"/>
  <c r="S363" i="10" s="1"/>
  <c r="T363" i="10" s="1"/>
  <c r="U363" i="10" s="1"/>
  <c r="V363" i="10" s="1"/>
  <c r="D365" i="10" l="1"/>
  <c r="M364" i="10"/>
  <c r="N364" i="10" s="1"/>
  <c r="O364" i="10" s="1"/>
  <c r="P364" i="10" s="1"/>
  <c r="Q364" i="10" s="1"/>
  <c r="R364" i="10" s="1"/>
  <c r="S364" i="10" s="1"/>
  <c r="T364" i="10" s="1"/>
  <c r="U364" i="10" s="1"/>
  <c r="V364" i="10" s="1"/>
  <c r="D366" i="10" l="1"/>
  <c r="M365" i="10"/>
  <c r="N365" i="10" s="1"/>
  <c r="O365" i="10" s="1"/>
  <c r="P365" i="10" s="1"/>
  <c r="Q365" i="10" s="1"/>
  <c r="R365" i="10" s="1"/>
  <c r="S365" i="10" s="1"/>
  <c r="T365" i="10" s="1"/>
  <c r="U365" i="10" s="1"/>
  <c r="V365" i="10" s="1"/>
  <c r="D367" i="10" l="1"/>
  <c r="M366" i="10"/>
  <c r="N366" i="10" s="1"/>
  <c r="O366" i="10" s="1"/>
  <c r="P366" i="10" s="1"/>
  <c r="Q366" i="10" s="1"/>
  <c r="R366" i="10" s="1"/>
  <c r="S366" i="10" s="1"/>
  <c r="T366" i="10" s="1"/>
  <c r="U366" i="10" s="1"/>
  <c r="V366" i="10" s="1"/>
  <c r="D368" i="10" l="1"/>
  <c r="M367" i="10"/>
  <c r="N367" i="10" s="1"/>
  <c r="O367" i="10" s="1"/>
  <c r="P367" i="10" s="1"/>
  <c r="Q367" i="10" s="1"/>
  <c r="R367" i="10" s="1"/>
  <c r="S367" i="10" s="1"/>
  <c r="T367" i="10" s="1"/>
  <c r="U367" i="10" s="1"/>
  <c r="V367" i="10" s="1"/>
  <c r="D369" i="10" l="1"/>
  <c r="M368" i="10"/>
  <c r="N368" i="10" s="1"/>
  <c r="O368" i="10" s="1"/>
  <c r="P368" i="10" s="1"/>
  <c r="Q368" i="10" s="1"/>
  <c r="R368" i="10" s="1"/>
  <c r="S368" i="10" s="1"/>
  <c r="T368" i="10" s="1"/>
  <c r="U368" i="10" s="1"/>
  <c r="V368" i="10" s="1"/>
  <c r="D370" i="10" l="1"/>
  <c r="M369" i="10"/>
  <c r="N369" i="10" s="1"/>
  <c r="O369" i="10" s="1"/>
  <c r="P369" i="10" s="1"/>
  <c r="Q369" i="10" s="1"/>
  <c r="R369" i="10" s="1"/>
  <c r="S369" i="10" s="1"/>
  <c r="T369" i="10" s="1"/>
  <c r="U369" i="10" s="1"/>
  <c r="V369" i="10" s="1"/>
  <c r="D371" i="10" l="1"/>
  <c r="M370" i="10"/>
  <c r="N370" i="10" s="1"/>
  <c r="O370" i="10" s="1"/>
  <c r="P370" i="10" s="1"/>
  <c r="Q370" i="10" s="1"/>
  <c r="R370" i="10" s="1"/>
  <c r="S370" i="10" s="1"/>
  <c r="T370" i="10" s="1"/>
  <c r="U370" i="10" s="1"/>
  <c r="V370" i="10" s="1"/>
  <c r="D372" i="10" l="1"/>
  <c r="M371" i="10"/>
  <c r="N371" i="10" s="1"/>
  <c r="O371" i="10" s="1"/>
  <c r="P371" i="10" s="1"/>
  <c r="Q371" i="10" s="1"/>
  <c r="R371" i="10" s="1"/>
  <c r="S371" i="10" s="1"/>
  <c r="T371" i="10" s="1"/>
  <c r="U371" i="10" s="1"/>
  <c r="V371" i="10" s="1"/>
  <c r="D373" i="10" l="1"/>
  <c r="M372" i="10"/>
  <c r="N372" i="10" s="1"/>
  <c r="O372" i="10" s="1"/>
  <c r="P372" i="10" s="1"/>
  <c r="Q372" i="10" s="1"/>
  <c r="R372" i="10" s="1"/>
  <c r="S372" i="10" s="1"/>
  <c r="T372" i="10" s="1"/>
  <c r="U372" i="10" s="1"/>
  <c r="V372" i="10" s="1"/>
  <c r="D374" i="10" l="1"/>
  <c r="M373" i="10"/>
  <c r="N373" i="10" s="1"/>
  <c r="O373" i="10" s="1"/>
  <c r="P373" i="10" s="1"/>
  <c r="Q373" i="10" s="1"/>
  <c r="R373" i="10" s="1"/>
  <c r="S373" i="10" s="1"/>
  <c r="T373" i="10" s="1"/>
  <c r="U373" i="10" s="1"/>
  <c r="V373" i="10" s="1"/>
  <c r="D375" i="10" l="1"/>
  <c r="M374" i="10"/>
  <c r="N374" i="10" s="1"/>
  <c r="O374" i="10" s="1"/>
  <c r="P374" i="10" s="1"/>
  <c r="Q374" i="10" s="1"/>
  <c r="R374" i="10" s="1"/>
  <c r="S374" i="10" s="1"/>
  <c r="T374" i="10" s="1"/>
  <c r="U374" i="10" s="1"/>
  <c r="V374" i="10" s="1"/>
  <c r="D376" i="10" l="1"/>
  <c r="M375" i="10"/>
  <c r="N375" i="10" s="1"/>
  <c r="O375" i="10" s="1"/>
  <c r="P375" i="10" s="1"/>
  <c r="Q375" i="10" s="1"/>
  <c r="R375" i="10" s="1"/>
  <c r="S375" i="10" s="1"/>
  <c r="T375" i="10" s="1"/>
  <c r="U375" i="10" s="1"/>
  <c r="V375" i="10" s="1"/>
  <c r="D377" i="10" l="1"/>
  <c r="M376" i="10"/>
  <c r="N376" i="10" s="1"/>
  <c r="O376" i="10" s="1"/>
  <c r="P376" i="10" s="1"/>
  <c r="Q376" i="10" s="1"/>
  <c r="R376" i="10" s="1"/>
  <c r="S376" i="10" s="1"/>
  <c r="T376" i="10" s="1"/>
  <c r="U376" i="10" s="1"/>
  <c r="V376" i="10" s="1"/>
  <c r="D378" i="10" l="1"/>
  <c r="M377" i="10"/>
  <c r="N377" i="10" s="1"/>
  <c r="O377" i="10" s="1"/>
  <c r="P377" i="10" s="1"/>
  <c r="Q377" i="10" s="1"/>
  <c r="R377" i="10" s="1"/>
  <c r="S377" i="10" s="1"/>
  <c r="T377" i="10" s="1"/>
  <c r="U377" i="10" s="1"/>
  <c r="V377" i="10" s="1"/>
  <c r="D379" i="10" l="1"/>
  <c r="M378" i="10"/>
  <c r="N378" i="10" s="1"/>
  <c r="O378" i="10" s="1"/>
  <c r="P378" i="10" s="1"/>
  <c r="Q378" i="10" s="1"/>
  <c r="R378" i="10" s="1"/>
  <c r="S378" i="10" s="1"/>
  <c r="T378" i="10" s="1"/>
  <c r="U378" i="10" s="1"/>
  <c r="V378" i="10" s="1"/>
  <c r="D380" i="10" l="1"/>
  <c r="M379" i="10"/>
  <c r="N379" i="10" s="1"/>
  <c r="O379" i="10" s="1"/>
  <c r="P379" i="10" s="1"/>
  <c r="Q379" i="10" s="1"/>
  <c r="R379" i="10" s="1"/>
  <c r="S379" i="10" s="1"/>
  <c r="T379" i="10" s="1"/>
  <c r="U379" i="10" s="1"/>
  <c r="V379" i="10" s="1"/>
  <c r="D381" i="10" l="1"/>
  <c r="M380" i="10"/>
  <c r="N380" i="10" s="1"/>
  <c r="O380" i="10" s="1"/>
  <c r="P380" i="10" s="1"/>
  <c r="Q380" i="10" s="1"/>
  <c r="R380" i="10" s="1"/>
  <c r="S380" i="10" s="1"/>
  <c r="T380" i="10" s="1"/>
  <c r="U380" i="10" s="1"/>
  <c r="V380" i="10" s="1"/>
  <c r="D382" i="10" l="1"/>
  <c r="M381" i="10"/>
  <c r="N381" i="10" s="1"/>
  <c r="O381" i="10" s="1"/>
  <c r="P381" i="10" s="1"/>
  <c r="Q381" i="10" s="1"/>
  <c r="R381" i="10" s="1"/>
  <c r="S381" i="10" s="1"/>
  <c r="T381" i="10" s="1"/>
  <c r="U381" i="10" s="1"/>
  <c r="V381" i="10" s="1"/>
  <c r="D383" i="10" l="1"/>
  <c r="M382" i="10"/>
  <c r="N382" i="10" s="1"/>
  <c r="O382" i="10" s="1"/>
  <c r="P382" i="10" s="1"/>
  <c r="Q382" i="10" s="1"/>
  <c r="R382" i="10" s="1"/>
  <c r="S382" i="10" s="1"/>
  <c r="T382" i="10" s="1"/>
  <c r="U382" i="10" s="1"/>
  <c r="V382" i="10" s="1"/>
  <c r="D384" i="10" l="1"/>
  <c r="M383" i="10"/>
  <c r="N383" i="10" s="1"/>
  <c r="O383" i="10" s="1"/>
  <c r="P383" i="10" s="1"/>
  <c r="Q383" i="10" s="1"/>
  <c r="R383" i="10" s="1"/>
  <c r="S383" i="10" s="1"/>
  <c r="T383" i="10" s="1"/>
  <c r="U383" i="10" s="1"/>
  <c r="V383" i="10" s="1"/>
  <c r="D385" i="10" l="1"/>
  <c r="M384" i="10"/>
  <c r="N384" i="10" s="1"/>
  <c r="O384" i="10" s="1"/>
  <c r="P384" i="10" s="1"/>
  <c r="Q384" i="10" s="1"/>
  <c r="R384" i="10" s="1"/>
  <c r="S384" i="10" s="1"/>
  <c r="T384" i="10" s="1"/>
  <c r="U384" i="10" s="1"/>
  <c r="V384" i="10" s="1"/>
  <c r="D386" i="10" l="1"/>
  <c r="M385" i="10"/>
  <c r="N385" i="10" s="1"/>
  <c r="O385" i="10" s="1"/>
  <c r="P385" i="10" s="1"/>
  <c r="Q385" i="10" s="1"/>
  <c r="R385" i="10" s="1"/>
  <c r="S385" i="10" s="1"/>
  <c r="T385" i="10" s="1"/>
  <c r="U385" i="10" s="1"/>
  <c r="V385" i="10" s="1"/>
  <c r="D387" i="10" l="1"/>
  <c r="M386" i="10"/>
  <c r="N386" i="10" s="1"/>
  <c r="O386" i="10" s="1"/>
  <c r="P386" i="10" s="1"/>
  <c r="Q386" i="10" s="1"/>
  <c r="R386" i="10" s="1"/>
  <c r="S386" i="10" s="1"/>
  <c r="T386" i="10" s="1"/>
  <c r="U386" i="10" s="1"/>
  <c r="V386" i="10" s="1"/>
  <c r="D388" i="10" l="1"/>
  <c r="M387" i="10"/>
  <c r="N387" i="10" s="1"/>
  <c r="O387" i="10" s="1"/>
  <c r="P387" i="10" s="1"/>
  <c r="Q387" i="10" s="1"/>
  <c r="R387" i="10" s="1"/>
  <c r="S387" i="10" s="1"/>
  <c r="T387" i="10" s="1"/>
  <c r="U387" i="10" s="1"/>
  <c r="V387" i="10" s="1"/>
  <c r="D389" i="10" l="1"/>
  <c r="M388" i="10"/>
  <c r="N388" i="10" s="1"/>
  <c r="O388" i="10" s="1"/>
  <c r="P388" i="10" s="1"/>
  <c r="Q388" i="10" s="1"/>
  <c r="R388" i="10" s="1"/>
  <c r="S388" i="10" s="1"/>
  <c r="T388" i="10" s="1"/>
  <c r="U388" i="10" s="1"/>
  <c r="V388" i="10" s="1"/>
  <c r="D390" i="10" l="1"/>
  <c r="M389" i="10"/>
  <c r="N389" i="10" s="1"/>
  <c r="O389" i="10" s="1"/>
  <c r="P389" i="10" s="1"/>
  <c r="Q389" i="10" s="1"/>
  <c r="R389" i="10" s="1"/>
  <c r="S389" i="10" s="1"/>
  <c r="T389" i="10" s="1"/>
  <c r="U389" i="10" s="1"/>
  <c r="V389" i="10" s="1"/>
  <c r="D391" i="10" l="1"/>
  <c r="M390" i="10"/>
  <c r="N390" i="10" s="1"/>
  <c r="O390" i="10" s="1"/>
  <c r="P390" i="10" s="1"/>
  <c r="Q390" i="10" s="1"/>
  <c r="R390" i="10" s="1"/>
  <c r="S390" i="10" s="1"/>
  <c r="T390" i="10" s="1"/>
  <c r="U390" i="10" s="1"/>
  <c r="V390" i="10" s="1"/>
  <c r="D392" i="10" l="1"/>
  <c r="M391" i="10"/>
  <c r="N391" i="10" s="1"/>
  <c r="O391" i="10" s="1"/>
  <c r="P391" i="10" s="1"/>
  <c r="Q391" i="10" s="1"/>
  <c r="R391" i="10" s="1"/>
  <c r="S391" i="10" s="1"/>
  <c r="T391" i="10" s="1"/>
  <c r="U391" i="10" s="1"/>
  <c r="V391" i="10" s="1"/>
  <c r="D393" i="10" l="1"/>
  <c r="M392" i="10"/>
  <c r="N392" i="10" s="1"/>
  <c r="O392" i="10" s="1"/>
  <c r="P392" i="10" s="1"/>
  <c r="Q392" i="10" s="1"/>
  <c r="R392" i="10" s="1"/>
  <c r="S392" i="10" s="1"/>
  <c r="T392" i="10" s="1"/>
  <c r="U392" i="10" s="1"/>
  <c r="V392" i="10" s="1"/>
  <c r="D394" i="10" l="1"/>
  <c r="M393" i="10"/>
  <c r="N393" i="10" s="1"/>
  <c r="O393" i="10" s="1"/>
  <c r="P393" i="10" s="1"/>
  <c r="Q393" i="10" s="1"/>
  <c r="R393" i="10" s="1"/>
  <c r="S393" i="10" s="1"/>
  <c r="T393" i="10" s="1"/>
  <c r="U393" i="10" s="1"/>
  <c r="V393" i="10" s="1"/>
  <c r="D395" i="10" l="1"/>
  <c r="M394" i="10"/>
  <c r="N394" i="10" s="1"/>
  <c r="O394" i="10" s="1"/>
  <c r="P394" i="10" s="1"/>
  <c r="Q394" i="10" s="1"/>
  <c r="R394" i="10" s="1"/>
  <c r="S394" i="10" s="1"/>
  <c r="T394" i="10" s="1"/>
  <c r="U394" i="10" s="1"/>
  <c r="V394" i="10" s="1"/>
  <c r="D396" i="10" l="1"/>
  <c r="M395" i="10"/>
  <c r="N395" i="10" s="1"/>
  <c r="O395" i="10" s="1"/>
  <c r="P395" i="10" s="1"/>
  <c r="Q395" i="10" s="1"/>
  <c r="R395" i="10" s="1"/>
  <c r="S395" i="10" s="1"/>
  <c r="T395" i="10" s="1"/>
  <c r="U395" i="10" s="1"/>
  <c r="V395" i="10" s="1"/>
  <c r="D397" i="10" l="1"/>
  <c r="M396" i="10"/>
  <c r="N396" i="10" s="1"/>
  <c r="O396" i="10" s="1"/>
  <c r="P396" i="10" s="1"/>
  <c r="Q396" i="10" s="1"/>
  <c r="R396" i="10" s="1"/>
  <c r="S396" i="10" s="1"/>
  <c r="T396" i="10" s="1"/>
  <c r="U396" i="10" s="1"/>
  <c r="V396" i="10" s="1"/>
  <c r="D398" i="10" l="1"/>
  <c r="M397" i="10"/>
  <c r="N397" i="10" s="1"/>
  <c r="O397" i="10" s="1"/>
  <c r="P397" i="10" s="1"/>
  <c r="Q397" i="10" s="1"/>
  <c r="R397" i="10" s="1"/>
  <c r="S397" i="10" s="1"/>
  <c r="T397" i="10" s="1"/>
  <c r="U397" i="10" s="1"/>
  <c r="V397" i="10" s="1"/>
  <c r="D399" i="10" l="1"/>
  <c r="M398" i="10"/>
  <c r="N398" i="10" s="1"/>
  <c r="O398" i="10" s="1"/>
  <c r="P398" i="10" s="1"/>
  <c r="Q398" i="10" s="1"/>
  <c r="R398" i="10" s="1"/>
  <c r="S398" i="10" s="1"/>
  <c r="T398" i="10" s="1"/>
  <c r="U398" i="10" s="1"/>
  <c r="V398" i="10" s="1"/>
  <c r="D400" i="10" l="1"/>
  <c r="M399" i="10"/>
  <c r="N399" i="10" s="1"/>
  <c r="O399" i="10" s="1"/>
  <c r="P399" i="10" s="1"/>
  <c r="Q399" i="10" s="1"/>
  <c r="R399" i="10" s="1"/>
  <c r="S399" i="10" s="1"/>
  <c r="T399" i="10" s="1"/>
  <c r="U399" i="10" s="1"/>
  <c r="V399" i="10" s="1"/>
  <c r="D401" i="10" l="1"/>
  <c r="M400" i="10"/>
  <c r="N400" i="10" s="1"/>
  <c r="O400" i="10" s="1"/>
  <c r="P400" i="10" s="1"/>
  <c r="Q400" i="10" s="1"/>
  <c r="R400" i="10" s="1"/>
  <c r="S400" i="10" s="1"/>
  <c r="T400" i="10" s="1"/>
  <c r="U400" i="10" s="1"/>
  <c r="V400" i="10" s="1"/>
  <c r="D402" i="10" l="1"/>
  <c r="M401" i="10"/>
  <c r="N401" i="10" s="1"/>
  <c r="O401" i="10" s="1"/>
  <c r="P401" i="10" s="1"/>
  <c r="Q401" i="10" s="1"/>
  <c r="R401" i="10" s="1"/>
  <c r="S401" i="10" s="1"/>
  <c r="T401" i="10" s="1"/>
  <c r="U401" i="10" s="1"/>
  <c r="V401" i="10" s="1"/>
  <c r="D403" i="10" l="1"/>
  <c r="M402" i="10"/>
  <c r="N402" i="10" s="1"/>
  <c r="O402" i="10" s="1"/>
  <c r="P402" i="10" s="1"/>
  <c r="Q402" i="10" s="1"/>
  <c r="R402" i="10" s="1"/>
  <c r="S402" i="10" s="1"/>
  <c r="T402" i="10" s="1"/>
  <c r="U402" i="10" s="1"/>
  <c r="V402" i="10" s="1"/>
  <c r="D404" i="10" l="1"/>
  <c r="M403" i="10"/>
  <c r="N403" i="10" s="1"/>
  <c r="O403" i="10" s="1"/>
  <c r="P403" i="10" s="1"/>
  <c r="Q403" i="10" s="1"/>
  <c r="R403" i="10" s="1"/>
  <c r="S403" i="10" s="1"/>
  <c r="T403" i="10" s="1"/>
  <c r="U403" i="10" s="1"/>
  <c r="V403" i="10" s="1"/>
  <c r="D405" i="10" l="1"/>
  <c r="M404" i="10"/>
  <c r="N404" i="10" s="1"/>
  <c r="O404" i="10" s="1"/>
  <c r="P404" i="10" s="1"/>
  <c r="Q404" i="10" s="1"/>
  <c r="R404" i="10" s="1"/>
  <c r="S404" i="10" s="1"/>
  <c r="T404" i="10" s="1"/>
  <c r="U404" i="10" s="1"/>
  <c r="V404" i="10" s="1"/>
  <c r="D406" i="10" l="1"/>
  <c r="M405" i="10"/>
  <c r="N405" i="10" s="1"/>
  <c r="O405" i="10" s="1"/>
  <c r="P405" i="10" s="1"/>
  <c r="Q405" i="10" s="1"/>
  <c r="R405" i="10" s="1"/>
  <c r="S405" i="10" s="1"/>
  <c r="T405" i="10" s="1"/>
  <c r="U405" i="10" s="1"/>
  <c r="V405" i="10" s="1"/>
  <c r="D407" i="10" l="1"/>
  <c r="M406" i="10"/>
  <c r="N406" i="10" s="1"/>
  <c r="O406" i="10" s="1"/>
  <c r="P406" i="10" s="1"/>
  <c r="Q406" i="10" s="1"/>
  <c r="R406" i="10" s="1"/>
  <c r="S406" i="10" s="1"/>
  <c r="T406" i="10" s="1"/>
  <c r="U406" i="10" s="1"/>
  <c r="V406" i="10" s="1"/>
  <c r="D408" i="10" l="1"/>
  <c r="M407" i="10"/>
  <c r="N407" i="10" s="1"/>
  <c r="O407" i="10" s="1"/>
  <c r="P407" i="10" s="1"/>
  <c r="Q407" i="10" s="1"/>
  <c r="R407" i="10" s="1"/>
  <c r="S407" i="10" s="1"/>
  <c r="T407" i="10" s="1"/>
  <c r="U407" i="10" s="1"/>
  <c r="V407" i="10" s="1"/>
  <c r="D409" i="10" l="1"/>
  <c r="M408" i="10"/>
  <c r="N408" i="10" s="1"/>
  <c r="O408" i="10" s="1"/>
  <c r="P408" i="10" s="1"/>
  <c r="Q408" i="10" s="1"/>
  <c r="R408" i="10" s="1"/>
  <c r="S408" i="10" s="1"/>
  <c r="T408" i="10" s="1"/>
  <c r="U408" i="10" s="1"/>
  <c r="V408" i="10" s="1"/>
  <c r="D410" i="10" l="1"/>
  <c r="M409" i="10"/>
  <c r="N409" i="10" s="1"/>
  <c r="O409" i="10" s="1"/>
  <c r="P409" i="10" s="1"/>
  <c r="Q409" i="10" s="1"/>
  <c r="R409" i="10" s="1"/>
  <c r="S409" i="10" s="1"/>
  <c r="T409" i="10" s="1"/>
  <c r="U409" i="10" s="1"/>
  <c r="V409" i="10" s="1"/>
  <c r="D411" i="10" l="1"/>
  <c r="M410" i="10"/>
  <c r="N410" i="10" s="1"/>
  <c r="O410" i="10" s="1"/>
  <c r="P410" i="10" s="1"/>
  <c r="Q410" i="10" s="1"/>
  <c r="R410" i="10" s="1"/>
  <c r="S410" i="10" s="1"/>
  <c r="T410" i="10" s="1"/>
  <c r="U410" i="10" s="1"/>
  <c r="V410" i="10" s="1"/>
  <c r="D412" i="10" l="1"/>
  <c r="M411" i="10"/>
  <c r="N411" i="10" s="1"/>
  <c r="O411" i="10" s="1"/>
  <c r="P411" i="10" s="1"/>
  <c r="Q411" i="10" s="1"/>
  <c r="R411" i="10" s="1"/>
  <c r="S411" i="10" s="1"/>
  <c r="T411" i="10" s="1"/>
  <c r="U411" i="10" s="1"/>
  <c r="V411" i="10" s="1"/>
  <c r="D413" i="10" l="1"/>
  <c r="M412" i="10"/>
  <c r="N412" i="10" s="1"/>
  <c r="O412" i="10" s="1"/>
  <c r="P412" i="10" s="1"/>
  <c r="Q412" i="10" s="1"/>
  <c r="R412" i="10" s="1"/>
  <c r="S412" i="10" s="1"/>
  <c r="T412" i="10" s="1"/>
  <c r="U412" i="10" s="1"/>
  <c r="V412" i="10" s="1"/>
  <c r="D414" i="10" l="1"/>
  <c r="M413" i="10"/>
  <c r="N413" i="10" s="1"/>
  <c r="O413" i="10" s="1"/>
  <c r="P413" i="10" s="1"/>
  <c r="Q413" i="10" s="1"/>
  <c r="R413" i="10" s="1"/>
  <c r="S413" i="10" s="1"/>
  <c r="T413" i="10" s="1"/>
  <c r="U413" i="10" s="1"/>
  <c r="V413" i="10" s="1"/>
  <c r="D415" i="10" l="1"/>
  <c r="M414" i="10"/>
  <c r="N414" i="10" s="1"/>
  <c r="O414" i="10" s="1"/>
  <c r="P414" i="10" s="1"/>
  <c r="Q414" i="10" s="1"/>
  <c r="R414" i="10" s="1"/>
  <c r="S414" i="10" s="1"/>
  <c r="T414" i="10" s="1"/>
  <c r="U414" i="10" s="1"/>
  <c r="V414" i="10" s="1"/>
  <c r="D416" i="10" l="1"/>
  <c r="M415" i="10"/>
  <c r="N415" i="10" s="1"/>
  <c r="O415" i="10" s="1"/>
  <c r="P415" i="10" s="1"/>
  <c r="Q415" i="10" s="1"/>
  <c r="R415" i="10" s="1"/>
  <c r="S415" i="10" s="1"/>
  <c r="T415" i="10" s="1"/>
  <c r="U415" i="10" s="1"/>
  <c r="V415" i="10" s="1"/>
  <c r="D417" i="10" l="1"/>
  <c r="M416" i="10"/>
  <c r="N416" i="10" s="1"/>
  <c r="O416" i="10" s="1"/>
  <c r="P416" i="10" s="1"/>
  <c r="Q416" i="10" s="1"/>
  <c r="R416" i="10" s="1"/>
  <c r="S416" i="10" s="1"/>
  <c r="T416" i="10" s="1"/>
  <c r="U416" i="10" s="1"/>
  <c r="V416" i="10" s="1"/>
  <c r="D418" i="10" l="1"/>
  <c r="M417" i="10"/>
  <c r="N417" i="10" s="1"/>
  <c r="O417" i="10" s="1"/>
  <c r="P417" i="10" s="1"/>
  <c r="Q417" i="10" s="1"/>
  <c r="R417" i="10" s="1"/>
  <c r="S417" i="10" s="1"/>
  <c r="T417" i="10" s="1"/>
  <c r="U417" i="10" s="1"/>
  <c r="V417" i="10" s="1"/>
  <c r="D419" i="10" l="1"/>
  <c r="M418" i="10"/>
  <c r="N418" i="10" s="1"/>
  <c r="O418" i="10" s="1"/>
  <c r="P418" i="10" s="1"/>
  <c r="Q418" i="10" s="1"/>
  <c r="R418" i="10" s="1"/>
  <c r="S418" i="10" s="1"/>
  <c r="T418" i="10" s="1"/>
  <c r="U418" i="10" s="1"/>
  <c r="V418" i="10" s="1"/>
  <c r="D420" i="10" l="1"/>
  <c r="M419" i="10"/>
  <c r="N419" i="10" s="1"/>
  <c r="O419" i="10" s="1"/>
  <c r="P419" i="10" s="1"/>
  <c r="Q419" i="10" s="1"/>
  <c r="R419" i="10" s="1"/>
  <c r="S419" i="10" s="1"/>
  <c r="T419" i="10" s="1"/>
  <c r="U419" i="10" s="1"/>
  <c r="V419" i="10" s="1"/>
  <c r="D421" i="10" l="1"/>
  <c r="M420" i="10"/>
  <c r="N420" i="10" s="1"/>
  <c r="O420" i="10" s="1"/>
  <c r="P420" i="10" s="1"/>
  <c r="Q420" i="10" s="1"/>
  <c r="R420" i="10" s="1"/>
  <c r="S420" i="10" s="1"/>
  <c r="T420" i="10" s="1"/>
  <c r="U420" i="10" s="1"/>
  <c r="V420" i="10" s="1"/>
  <c r="D422" i="10" l="1"/>
  <c r="M421" i="10"/>
  <c r="N421" i="10" s="1"/>
  <c r="O421" i="10" s="1"/>
  <c r="P421" i="10" s="1"/>
  <c r="Q421" i="10" s="1"/>
  <c r="R421" i="10" s="1"/>
  <c r="S421" i="10" s="1"/>
  <c r="T421" i="10" s="1"/>
  <c r="U421" i="10" s="1"/>
  <c r="V421" i="10" s="1"/>
  <c r="D423" i="10" l="1"/>
  <c r="M422" i="10"/>
  <c r="N422" i="10" s="1"/>
  <c r="O422" i="10" s="1"/>
  <c r="P422" i="10" s="1"/>
  <c r="Q422" i="10" s="1"/>
  <c r="R422" i="10" s="1"/>
  <c r="S422" i="10" s="1"/>
  <c r="T422" i="10" s="1"/>
  <c r="U422" i="10" s="1"/>
  <c r="V422" i="10" s="1"/>
  <c r="D424" i="10" l="1"/>
  <c r="M423" i="10"/>
  <c r="N423" i="10" s="1"/>
  <c r="O423" i="10" s="1"/>
  <c r="P423" i="10" s="1"/>
  <c r="Q423" i="10" s="1"/>
  <c r="R423" i="10" s="1"/>
  <c r="S423" i="10" s="1"/>
  <c r="T423" i="10" s="1"/>
  <c r="U423" i="10" s="1"/>
  <c r="V423" i="10" s="1"/>
  <c r="D425" i="10" l="1"/>
  <c r="M424" i="10"/>
  <c r="N424" i="10" s="1"/>
  <c r="O424" i="10" s="1"/>
  <c r="P424" i="10" s="1"/>
  <c r="Q424" i="10" s="1"/>
  <c r="R424" i="10" s="1"/>
  <c r="S424" i="10" s="1"/>
  <c r="T424" i="10" s="1"/>
  <c r="U424" i="10" s="1"/>
  <c r="V424" i="10" s="1"/>
  <c r="D426" i="10" l="1"/>
  <c r="M425" i="10"/>
  <c r="N425" i="10" s="1"/>
  <c r="O425" i="10" s="1"/>
  <c r="P425" i="10" s="1"/>
  <c r="Q425" i="10" s="1"/>
  <c r="R425" i="10" s="1"/>
  <c r="S425" i="10" s="1"/>
  <c r="T425" i="10" s="1"/>
  <c r="U425" i="10" s="1"/>
  <c r="V425" i="10" s="1"/>
  <c r="D427" i="10" l="1"/>
  <c r="M426" i="10"/>
  <c r="N426" i="10" s="1"/>
  <c r="O426" i="10" s="1"/>
  <c r="P426" i="10" s="1"/>
  <c r="Q426" i="10" s="1"/>
  <c r="R426" i="10" s="1"/>
  <c r="S426" i="10" s="1"/>
  <c r="T426" i="10" s="1"/>
  <c r="U426" i="10" s="1"/>
  <c r="V426" i="10" s="1"/>
  <c r="D428" i="10" l="1"/>
  <c r="M427" i="10"/>
  <c r="N427" i="10" s="1"/>
  <c r="O427" i="10" s="1"/>
  <c r="P427" i="10" s="1"/>
  <c r="Q427" i="10" s="1"/>
  <c r="R427" i="10" s="1"/>
  <c r="S427" i="10" s="1"/>
  <c r="T427" i="10" s="1"/>
  <c r="U427" i="10" s="1"/>
  <c r="V427" i="10" s="1"/>
  <c r="D429" i="10" l="1"/>
  <c r="M428" i="10"/>
  <c r="N428" i="10" s="1"/>
  <c r="O428" i="10" s="1"/>
  <c r="P428" i="10" s="1"/>
  <c r="Q428" i="10" s="1"/>
  <c r="R428" i="10" s="1"/>
  <c r="S428" i="10" s="1"/>
  <c r="T428" i="10" s="1"/>
  <c r="U428" i="10" s="1"/>
  <c r="V428" i="10" s="1"/>
  <c r="D430" i="10" l="1"/>
  <c r="M429" i="10"/>
  <c r="N429" i="10" s="1"/>
  <c r="O429" i="10" s="1"/>
  <c r="P429" i="10" s="1"/>
  <c r="Q429" i="10" s="1"/>
  <c r="R429" i="10" s="1"/>
  <c r="S429" i="10" s="1"/>
  <c r="T429" i="10" s="1"/>
  <c r="U429" i="10" s="1"/>
  <c r="V429" i="10" s="1"/>
  <c r="D431" i="10" l="1"/>
  <c r="M430" i="10"/>
  <c r="N430" i="10" s="1"/>
  <c r="O430" i="10" s="1"/>
  <c r="P430" i="10" s="1"/>
  <c r="Q430" i="10" s="1"/>
  <c r="R430" i="10" s="1"/>
  <c r="S430" i="10" s="1"/>
  <c r="T430" i="10" s="1"/>
  <c r="U430" i="10" s="1"/>
  <c r="V430" i="10" s="1"/>
  <c r="D432" i="10" l="1"/>
  <c r="M431" i="10"/>
  <c r="N431" i="10" s="1"/>
  <c r="O431" i="10" s="1"/>
  <c r="P431" i="10" s="1"/>
  <c r="Q431" i="10" s="1"/>
  <c r="R431" i="10" s="1"/>
  <c r="S431" i="10" s="1"/>
  <c r="T431" i="10" s="1"/>
  <c r="U431" i="10" s="1"/>
  <c r="V431" i="10" s="1"/>
  <c r="D433" i="10" l="1"/>
  <c r="M432" i="10"/>
  <c r="N432" i="10" s="1"/>
  <c r="O432" i="10" s="1"/>
  <c r="P432" i="10" s="1"/>
  <c r="Q432" i="10" s="1"/>
  <c r="R432" i="10" s="1"/>
  <c r="S432" i="10" s="1"/>
  <c r="T432" i="10" s="1"/>
  <c r="U432" i="10" s="1"/>
  <c r="V432" i="10" s="1"/>
  <c r="D434" i="10" l="1"/>
  <c r="M433" i="10"/>
  <c r="N433" i="10" s="1"/>
  <c r="O433" i="10" s="1"/>
  <c r="P433" i="10" s="1"/>
  <c r="Q433" i="10" s="1"/>
  <c r="R433" i="10" s="1"/>
  <c r="S433" i="10" s="1"/>
  <c r="T433" i="10" s="1"/>
  <c r="U433" i="10" s="1"/>
  <c r="V433" i="10" s="1"/>
  <c r="D435" i="10" l="1"/>
  <c r="M434" i="10"/>
  <c r="N434" i="10" s="1"/>
  <c r="O434" i="10" s="1"/>
  <c r="P434" i="10" s="1"/>
  <c r="Q434" i="10" s="1"/>
  <c r="R434" i="10" s="1"/>
  <c r="S434" i="10" s="1"/>
  <c r="T434" i="10" s="1"/>
  <c r="U434" i="10" s="1"/>
  <c r="V434" i="10" s="1"/>
  <c r="D436" i="10" l="1"/>
  <c r="M435" i="10"/>
  <c r="N435" i="10" s="1"/>
  <c r="O435" i="10" s="1"/>
  <c r="P435" i="10" s="1"/>
  <c r="Q435" i="10" s="1"/>
  <c r="R435" i="10" s="1"/>
  <c r="S435" i="10" s="1"/>
  <c r="T435" i="10" s="1"/>
  <c r="U435" i="10" s="1"/>
  <c r="V435" i="10" s="1"/>
  <c r="D437" i="10" l="1"/>
  <c r="M436" i="10"/>
  <c r="N436" i="10" s="1"/>
  <c r="O436" i="10" s="1"/>
  <c r="P436" i="10" s="1"/>
  <c r="Q436" i="10" s="1"/>
  <c r="R436" i="10" s="1"/>
  <c r="S436" i="10" s="1"/>
  <c r="T436" i="10" s="1"/>
  <c r="U436" i="10" s="1"/>
  <c r="V436" i="10" s="1"/>
  <c r="D438" i="10" l="1"/>
  <c r="M437" i="10"/>
  <c r="N437" i="10" s="1"/>
  <c r="O437" i="10" s="1"/>
  <c r="P437" i="10" s="1"/>
  <c r="Q437" i="10" s="1"/>
  <c r="R437" i="10" s="1"/>
  <c r="S437" i="10" s="1"/>
  <c r="T437" i="10" s="1"/>
  <c r="U437" i="10" s="1"/>
  <c r="V437" i="10" s="1"/>
  <c r="D439" i="10" l="1"/>
  <c r="M438" i="10"/>
  <c r="N438" i="10" s="1"/>
  <c r="O438" i="10" s="1"/>
  <c r="P438" i="10" s="1"/>
  <c r="Q438" i="10" s="1"/>
  <c r="R438" i="10" s="1"/>
  <c r="S438" i="10" s="1"/>
  <c r="T438" i="10" s="1"/>
  <c r="U438" i="10" s="1"/>
  <c r="V438" i="10" s="1"/>
  <c r="D440" i="10" l="1"/>
  <c r="M439" i="10"/>
  <c r="N439" i="10" s="1"/>
  <c r="O439" i="10" s="1"/>
  <c r="P439" i="10" s="1"/>
  <c r="Q439" i="10" s="1"/>
  <c r="R439" i="10" s="1"/>
  <c r="S439" i="10" s="1"/>
  <c r="T439" i="10" s="1"/>
  <c r="U439" i="10" s="1"/>
  <c r="V439" i="10" s="1"/>
  <c r="D441" i="10" l="1"/>
  <c r="M440" i="10"/>
  <c r="N440" i="10" s="1"/>
  <c r="O440" i="10" s="1"/>
  <c r="P440" i="10" s="1"/>
  <c r="Q440" i="10" s="1"/>
  <c r="R440" i="10" s="1"/>
  <c r="S440" i="10" s="1"/>
  <c r="T440" i="10" s="1"/>
  <c r="U440" i="10" s="1"/>
  <c r="V440" i="10" s="1"/>
  <c r="D442" i="10" l="1"/>
  <c r="M441" i="10"/>
  <c r="N441" i="10" s="1"/>
  <c r="O441" i="10" s="1"/>
  <c r="P441" i="10" s="1"/>
  <c r="Q441" i="10" s="1"/>
  <c r="R441" i="10" s="1"/>
  <c r="S441" i="10" s="1"/>
  <c r="T441" i="10" s="1"/>
  <c r="U441" i="10" s="1"/>
  <c r="V441" i="10" s="1"/>
  <c r="D443" i="10" l="1"/>
  <c r="M442" i="10"/>
  <c r="N442" i="10" s="1"/>
  <c r="O442" i="10" s="1"/>
  <c r="P442" i="10" s="1"/>
  <c r="Q442" i="10" s="1"/>
  <c r="R442" i="10" s="1"/>
  <c r="S442" i="10" s="1"/>
  <c r="T442" i="10" s="1"/>
  <c r="U442" i="10" s="1"/>
  <c r="V442" i="10" s="1"/>
  <c r="D444" i="10" l="1"/>
  <c r="M443" i="10"/>
  <c r="N443" i="10" s="1"/>
  <c r="O443" i="10" s="1"/>
  <c r="P443" i="10" s="1"/>
  <c r="Q443" i="10" s="1"/>
  <c r="R443" i="10" s="1"/>
  <c r="S443" i="10" s="1"/>
  <c r="T443" i="10" s="1"/>
  <c r="U443" i="10" s="1"/>
  <c r="V443" i="10" s="1"/>
  <c r="D445" i="10" l="1"/>
  <c r="M444" i="10"/>
  <c r="N444" i="10" s="1"/>
  <c r="O444" i="10" s="1"/>
  <c r="P444" i="10" s="1"/>
  <c r="Q444" i="10" s="1"/>
  <c r="R444" i="10" s="1"/>
  <c r="S444" i="10" s="1"/>
  <c r="T444" i="10" s="1"/>
  <c r="U444" i="10" s="1"/>
  <c r="V444" i="10" s="1"/>
  <c r="D446" i="10" l="1"/>
  <c r="M445" i="10"/>
  <c r="N445" i="10" s="1"/>
  <c r="O445" i="10" s="1"/>
  <c r="P445" i="10" s="1"/>
  <c r="Q445" i="10" s="1"/>
  <c r="R445" i="10" s="1"/>
  <c r="S445" i="10" s="1"/>
  <c r="T445" i="10" s="1"/>
  <c r="U445" i="10" s="1"/>
  <c r="V445" i="10" s="1"/>
  <c r="D447" i="10" l="1"/>
  <c r="M446" i="10"/>
  <c r="N446" i="10" s="1"/>
  <c r="O446" i="10" s="1"/>
  <c r="P446" i="10" s="1"/>
  <c r="Q446" i="10" s="1"/>
  <c r="R446" i="10" s="1"/>
  <c r="S446" i="10" s="1"/>
  <c r="T446" i="10" s="1"/>
  <c r="U446" i="10" s="1"/>
  <c r="V446" i="10" s="1"/>
  <c r="D448" i="10" l="1"/>
  <c r="M447" i="10"/>
  <c r="N447" i="10" s="1"/>
  <c r="O447" i="10" s="1"/>
  <c r="P447" i="10" s="1"/>
  <c r="Q447" i="10" s="1"/>
  <c r="R447" i="10" s="1"/>
  <c r="S447" i="10" s="1"/>
  <c r="T447" i="10" s="1"/>
  <c r="U447" i="10" s="1"/>
  <c r="V447" i="10" s="1"/>
  <c r="D449" i="10" l="1"/>
  <c r="M448" i="10"/>
  <c r="N448" i="10" s="1"/>
  <c r="O448" i="10" s="1"/>
  <c r="P448" i="10" s="1"/>
  <c r="Q448" i="10" s="1"/>
  <c r="R448" i="10" s="1"/>
  <c r="S448" i="10" s="1"/>
  <c r="T448" i="10" s="1"/>
  <c r="U448" i="10" s="1"/>
  <c r="V448" i="10" s="1"/>
  <c r="D450" i="10" l="1"/>
  <c r="M449" i="10"/>
  <c r="N449" i="10" s="1"/>
  <c r="O449" i="10" s="1"/>
  <c r="P449" i="10" s="1"/>
  <c r="Q449" i="10" s="1"/>
  <c r="R449" i="10" s="1"/>
  <c r="S449" i="10" s="1"/>
  <c r="T449" i="10" s="1"/>
  <c r="U449" i="10" s="1"/>
  <c r="V449" i="10" s="1"/>
  <c r="D451" i="10" l="1"/>
  <c r="M450" i="10"/>
  <c r="N450" i="10" s="1"/>
  <c r="O450" i="10" s="1"/>
  <c r="P450" i="10" s="1"/>
  <c r="Q450" i="10" s="1"/>
  <c r="R450" i="10" s="1"/>
  <c r="S450" i="10" s="1"/>
  <c r="T450" i="10" s="1"/>
  <c r="U450" i="10" s="1"/>
  <c r="V450" i="10" s="1"/>
  <c r="D452" i="10" l="1"/>
  <c r="M451" i="10"/>
  <c r="N451" i="10" s="1"/>
  <c r="O451" i="10" s="1"/>
  <c r="P451" i="10" s="1"/>
  <c r="Q451" i="10" s="1"/>
  <c r="R451" i="10" s="1"/>
  <c r="S451" i="10" s="1"/>
  <c r="T451" i="10" s="1"/>
  <c r="U451" i="10" s="1"/>
  <c r="V451" i="10" s="1"/>
  <c r="D453" i="10" l="1"/>
  <c r="M452" i="10"/>
  <c r="N452" i="10" s="1"/>
  <c r="O452" i="10" s="1"/>
  <c r="P452" i="10" s="1"/>
  <c r="Q452" i="10" s="1"/>
  <c r="R452" i="10" s="1"/>
  <c r="S452" i="10" s="1"/>
  <c r="T452" i="10" s="1"/>
  <c r="U452" i="10" s="1"/>
  <c r="V452" i="10" s="1"/>
  <c r="D454" i="10" l="1"/>
  <c r="M453" i="10"/>
  <c r="N453" i="10" s="1"/>
  <c r="O453" i="10" s="1"/>
  <c r="P453" i="10" s="1"/>
  <c r="Q453" i="10" s="1"/>
  <c r="R453" i="10" s="1"/>
  <c r="S453" i="10" s="1"/>
  <c r="T453" i="10" s="1"/>
  <c r="U453" i="10" s="1"/>
  <c r="V453" i="10" s="1"/>
  <c r="D455" i="10" l="1"/>
  <c r="M454" i="10"/>
  <c r="N454" i="10" s="1"/>
  <c r="O454" i="10" s="1"/>
  <c r="P454" i="10" s="1"/>
  <c r="Q454" i="10" s="1"/>
  <c r="R454" i="10" s="1"/>
  <c r="S454" i="10" s="1"/>
  <c r="T454" i="10" s="1"/>
  <c r="U454" i="10" s="1"/>
  <c r="V454" i="10" s="1"/>
  <c r="D456" i="10" l="1"/>
  <c r="M455" i="10"/>
  <c r="N455" i="10" s="1"/>
  <c r="O455" i="10" s="1"/>
  <c r="P455" i="10" s="1"/>
  <c r="Q455" i="10" s="1"/>
  <c r="R455" i="10" s="1"/>
  <c r="S455" i="10" s="1"/>
  <c r="T455" i="10" s="1"/>
  <c r="U455" i="10" s="1"/>
  <c r="V455" i="10" s="1"/>
  <c r="D457" i="10" l="1"/>
  <c r="M456" i="10"/>
  <c r="N456" i="10" s="1"/>
  <c r="O456" i="10" s="1"/>
  <c r="P456" i="10" s="1"/>
  <c r="Q456" i="10" s="1"/>
  <c r="R456" i="10" s="1"/>
  <c r="S456" i="10" s="1"/>
  <c r="T456" i="10" s="1"/>
  <c r="U456" i="10" s="1"/>
  <c r="V456" i="10" s="1"/>
  <c r="D458" i="10" l="1"/>
  <c r="M457" i="10"/>
  <c r="N457" i="10" s="1"/>
  <c r="O457" i="10" s="1"/>
  <c r="P457" i="10" s="1"/>
  <c r="Q457" i="10" s="1"/>
  <c r="R457" i="10" s="1"/>
  <c r="S457" i="10" s="1"/>
  <c r="T457" i="10" s="1"/>
  <c r="U457" i="10" s="1"/>
  <c r="V457" i="10" s="1"/>
  <c r="D459" i="10" l="1"/>
  <c r="M458" i="10"/>
  <c r="N458" i="10" s="1"/>
  <c r="O458" i="10" s="1"/>
  <c r="P458" i="10" s="1"/>
  <c r="Q458" i="10" s="1"/>
  <c r="R458" i="10" s="1"/>
  <c r="S458" i="10" s="1"/>
  <c r="T458" i="10" s="1"/>
  <c r="U458" i="10" s="1"/>
  <c r="V458" i="10" s="1"/>
  <c r="D460" i="10" l="1"/>
  <c r="M459" i="10"/>
  <c r="N459" i="10" s="1"/>
  <c r="O459" i="10" s="1"/>
  <c r="P459" i="10" s="1"/>
  <c r="Q459" i="10" s="1"/>
  <c r="R459" i="10" s="1"/>
  <c r="S459" i="10" s="1"/>
  <c r="T459" i="10" s="1"/>
  <c r="U459" i="10" s="1"/>
  <c r="V459" i="10" s="1"/>
  <c r="D461" i="10" l="1"/>
  <c r="M460" i="10"/>
  <c r="N460" i="10" s="1"/>
  <c r="O460" i="10" s="1"/>
  <c r="P460" i="10" s="1"/>
  <c r="Q460" i="10" s="1"/>
  <c r="R460" i="10" s="1"/>
  <c r="S460" i="10" s="1"/>
  <c r="T460" i="10" s="1"/>
  <c r="U460" i="10" s="1"/>
  <c r="V460" i="10" s="1"/>
  <c r="D462" i="10" l="1"/>
  <c r="M461" i="10"/>
  <c r="N461" i="10" s="1"/>
  <c r="O461" i="10" s="1"/>
  <c r="P461" i="10" s="1"/>
  <c r="Q461" i="10" s="1"/>
  <c r="R461" i="10" s="1"/>
  <c r="S461" i="10" s="1"/>
  <c r="T461" i="10" s="1"/>
  <c r="U461" i="10" s="1"/>
  <c r="V461" i="10" s="1"/>
  <c r="D463" i="10" l="1"/>
  <c r="M462" i="10"/>
  <c r="N462" i="10" s="1"/>
  <c r="O462" i="10" s="1"/>
  <c r="P462" i="10" s="1"/>
  <c r="Q462" i="10" s="1"/>
  <c r="R462" i="10" s="1"/>
  <c r="S462" i="10" s="1"/>
  <c r="T462" i="10" s="1"/>
  <c r="U462" i="10" s="1"/>
  <c r="V462" i="10" s="1"/>
  <c r="D464" i="10" l="1"/>
  <c r="M463" i="10"/>
  <c r="N463" i="10" s="1"/>
  <c r="O463" i="10" s="1"/>
  <c r="P463" i="10" s="1"/>
  <c r="Q463" i="10" s="1"/>
  <c r="R463" i="10" s="1"/>
  <c r="S463" i="10" s="1"/>
  <c r="T463" i="10" s="1"/>
  <c r="U463" i="10" s="1"/>
  <c r="V463" i="10" s="1"/>
  <c r="D465" i="10" l="1"/>
  <c r="M464" i="10"/>
  <c r="N464" i="10" s="1"/>
  <c r="O464" i="10" s="1"/>
  <c r="P464" i="10" s="1"/>
  <c r="Q464" i="10" s="1"/>
  <c r="R464" i="10" s="1"/>
  <c r="S464" i="10" s="1"/>
  <c r="T464" i="10" s="1"/>
  <c r="U464" i="10" s="1"/>
  <c r="V464" i="10" s="1"/>
  <c r="D466" i="10" l="1"/>
  <c r="M465" i="10"/>
  <c r="N465" i="10" s="1"/>
  <c r="O465" i="10" s="1"/>
  <c r="P465" i="10" s="1"/>
  <c r="Q465" i="10" s="1"/>
  <c r="R465" i="10" s="1"/>
  <c r="S465" i="10" s="1"/>
  <c r="T465" i="10" s="1"/>
  <c r="U465" i="10" s="1"/>
  <c r="V465" i="10" s="1"/>
  <c r="D467" i="10" l="1"/>
  <c r="M466" i="10"/>
  <c r="N466" i="10" s="1"/>
  <c r="O466" i="10" s="1"/>
  <c r="P466" i="10" s="1"/>
  <c r="Q466" i="10" s="1"/>
  <c r="R466" i="10" s="1"/>
  <c r="S466" i="10" s="1"/>
  <c r="T466" i="10" s="1"/>
  <c r="U466" i="10" s="1"/>
  <c r="V466" i="10" s="1"/>
  <c r="D468" i="10" l="1"/>
  <c r="M467" i="10"/>
  <c r="N467" i="10" s="1"/>
  <c r="O467" i="10" s="1"/>
  <c r="P467" i="10" s="1"/>
  <c r="Q467" i="10" s="1"/>
  <c r="R467" i="10" s="1"/>
  <c r="S467" i="10" s="1"/>
  <c r="T467" i="10" s="1"/>
  <c r="U467" i="10" s="1"/>
  <c r="V467" i="10" s="1"/>
  <c r="D469" i="10" l="1"/>
  <c r="M468" i="10"/>
  <c r="N468" i="10" s="1"/>
  <c r="O468" i="10" s="1"/>
  <c r="P468" i="10" s="1"/>
  <c r="Q468" i="10" s="1"/>
  <c r="R468" i="10" s="1"/>
  <c r="S468" i="10" s="1"/>
  <c r="T468" i="10" s="1"/>
  <c r="U468" i="10" s="1"/>
  <c r="V468" i="10" s="1"/>
  <c r="D470" i="10" l="1"/>
  <c r="M469" i="10"/>
  <c r="N469" i="10" s="1"/>
  <c r="O469" i="10" s="1"/>
  <c r="P469" i="10" s="1"/>
  <c r="Q469" i="10" s="1"/>
  <c r="R469" i="10" s="1"/>
  <c r="S469" i="10" s="1"/>
  <c r="T469" i="10" s="1"/>
  <c r="U469" i="10" s="1"/>
  <c r="V469" i="10" s="1"/>
  <c r="D471" i="10" l="1"/>
  <c r="M470" i="10"/>
  <c r="N470" i="10" s="1"/>
  <c r="O470" i="10" s="1"/>
  <c r="P470" i="10" s="1"/>
  <c r="Q470" i="10" s="1"/>
  <c r="R470" i="10" s="1"/>
  <c r="S470" i="10" s="1"/>
  <c r="T470" i="10" s="1"/>
  <c r="U470" i="10" s="1"/>
  <c r="V470" i="10" s="1"/>
  <c r="D472" i="10" l="1"/>
  <c r="M471" i="10"/>
  <c r="N471" i="10" s="1"/>
  <c r="O471" i="10" s="1"/>
  <c r="P471" i="10" s="1"/>
  <c r="Q471" i="10" s="1"/>
  <c r="R471" i="10" s="1"/>
  <c r="S471" i="10" s="1"/>
  <c r="T471" i="10" s="1"/>
  <c r="U471" i="10" s="1"/>
  <c r="V471" i="10" s="1"/>
  <c r="D473" i="10" l="1"/>
  <c r="M472" i="10"/>
  <c r="N472" i="10" s="1"/>
  <c r="O472" i="10" s="1"/>
  <c r="P472" i="10" s="1"/>
  <c r="Q472" i="10" s="1"/>
  <c r="R472" i="10" s="1"/>
  <c r="S472" i="10" s="1"/>
  <c r="T472" i="10" s="1"/>
  <c r="U472" i="10" s="1"/>
  <c r="V472" i="10" s="1"/>
  <c r="D474" i="10" l="1"/>
  <c r="M473" i="10"/>
  <c r="N473" i="10" s="1"/>
  <c r="O473" i="10" s="1"/>
  <c r="P473" i="10" s="1"/>
  <c r="Q473" i="10" s="1"/>
  <c r="R473" i="10" s="1"/>
  <c r="S473" i="10" s="1"/>
  <c r="T473" i="10" s="1"/>
  <c r="U473" i="10" s="1"/>
  <c r="V473" i="10" s="1"/>
  <c r="D475" i="10" l="1"/>
  <c r="M474" i="10"/>
  <c r="N474" i="10" s="1"/>
  <c r="O474" i="10" s="1"/>
  <c r="P474" i="10" s="1"/>
  <c r="Q474" i="10" s="1"/>
  <c r="R474" i="10" s="1"/>
  <c r="S474" i="10" s="1"/>
  <c r="T474" i="10" s="1"/>
  <c r="U474" i="10" s="1"/>
  <c r="V474" i="10" s="1"/>
  <c r="D476" i="10" l="1"/>
  <c r="M475" i="10"/>
  <c r="N475" i="10" s="1"/>
  <c r="O475" i="10" s="1"/>
  <c r="P475" i="10" s="1"/>
  <c r="Q475" i="10" s="1"/>
  <c r="R475" i="10" s="1"/>
  <c r="S475" i="10" s="1"/>
  <c r="T475" i="10" s="1"/>
  <c r="U475" i="10" s="1"/>
  <c r="V475" i="10" s="1"/>
  <c r="D477" i="10" l="1"/>
  <c r="M476" i="10"/>
  <c r="N476" i="10" s="1"/>
  <c r="O476" i="10" s="1"/>
  <c r="P476" i="10" s="1"/>
  <c r="Q476" i="10" s="1"/>
  <c r="R476" i="10" s="1"/>
  <c r="S476" i="10" s="1"/>
  <c r="T476" i="10" s="1"/>
  <c r="U476" i="10" s="1"/>
  <c r="V476" i="10" s="1"/>
  <c r="D478" i="10" l="1"/>
  <c r="M477" i="10"/>
  <c r="N477" i="10" s="1"/>
  <c r="O477" i="10" s="1"/>
  <c r="P477" i="10" s="1"/>
  <c r="Q477" i="10" s="1"/>
  <c r="R477" i="10" s="1"/>
  <c r="S477" i="10" s="1"/>
  <c r="T477" i="10" s="1"/>
  <c r="U477" i="10" s="1"/>
  <c r="V477" i="10" s="1"/>
  <c r="D479" i="10" l="1"/>
  <c r="M478" i="10"/>
  <c r="N478" i="10" s="1"/>
  <c r="O478" i="10" s="1"/>
  <c r="P478" i="10" s="1"/>
  <c r="Q478" i="10" s="1"/>
  <c r="R478" i="10" s="1"/>
  <c r="S478" i="10" s="1"/>
  <c r="T478" i="10" s="1"/>
  <c r="U478" i="10" s="1"/>
  <c r="V478" i="10" s="1"/>
  <c r="D480" i="10" l="1"/>
  <c r="M479" i="10"/>
  <c r="N479" i="10" s="1"/>
  <c r="O479" i="10" s="1"/>
  <c r="P479" i="10" s="1"/>
  <c r="Q479" i="10" s="1"/>
  <c r="R479" i="10" s="1"/>
  <c r="S479" i="10" s="1"/>
  <c r="T479" i="10" s="1"/>
  <c r="U479" i="10" s="1"/>
  <c r="V479" i="10" s="1"/>
  <c r="D481" i="10" l="1"/>
  <c r="M480" i="10"/>
  <c r="N480" i="10" s="1"/>
  <c r="O480" i="10" s="1"/>
  <c r="P480" i="10" s="1"/>
  <c r="Q480" i="10" s="1"/>
  <c r="R480" i="10" s="1"/>
  <c r="S480" i="10" s="1"/>
  <c r="T480" i="10" s="1"/>
  <c r="U480" i="10" s="1"/>
  <c r="V480" i="10" s="1"/>
  <c r="D482" i="10" l="1"/>
  <c r="M481" i="10"/>
  <c r="N481" i="10" s="1"/>
  <c r="O481" i="10" s="1"/>
  <c r="P481" i="10" s="1"/>
  <c r="Q481" i="10" s="1"/>
  <c r="R481" i="10" s="1"/>
  <c r="S481" i="10" s="1"/>
  <c r="T481" i="10" s="1"/>
  <c r="U481" i="10" s="1"/>
  <c r="V481" i="10" s="1"/>
  <c r="D483" i="10" l="1"/>
  <c r="M482" i="10"/>
  <c r="N482" i="10" s="1"/>
  <c r="O482" i="10" s="1"/>
  <c r="P482" i="10" s="1"/>
  <c r="Q482" i="10" s="1"/>
  <c r="R482" i="10" s="1"/>
  <c r="S482" i="10" s="1"/>
  <c r="T482" i="10" s="1"/>
  <c r="U482" i="10" s="1"/>
  <c r="V482" i="10" s="1"/>
  <c r="D484" i="10" l="1"/>
  <c r="M483" i="10"/>
  <c r="N483" i="10" s="1"/>
  <c r="O483" i="10" s="1"/>
  <c r="P483" i="10" s="1"/>
  <c r="Q483" i="10" s="1"/>
  <c r="R483" i="10" s="1"/>
  <c r="S483" i="10" s="1"/>
  <c r="T483" i="10" s="1"/>
  <c r="U483" i="10" s="1"/>
  <c r="V483" i="10" s="1"/>
  <c r="D485" i="10" l="1"/>
  <c r="M484" i="10"/>
  <c r="N484" i="10" s="1"/>
  <c r="O484" i="10" s="1"/>
  <c r="P484" i="10" s="1"/>
  <c r="Q484" i="10" s="1"/>
  <c r="R484" i="10" s="1"/>
  <c r="S484" i="10" s="1"/>
  <c r="T484" i="10" s="1"/>
  <c r="U484" i="10" s="1"/>
  <c r="V484" i="10" s="1"/>
  <c r="D486" i="10" l="1"/>
  <c r="M485" i="10"/>
  <c r="N485" i="10" s="1"/>
  <c r="O485" i="10" s="1"/>
  <c r="P485" i="10" s="1"/>
  <c r="Q485" i="10" s="1"/>
  <c r="R485" i="10" s="1"/>
  <c r="S485" i="10" s="1"/>
  <c r="T485" i="10" s="1"/>
  <c r="U485" i="10" s="1"/>
  <c r="V485" i="10" s="1"/>
  <c r="D487" i="10" l="1"/>
  <c r="M486" i="10"/>
  <c r="N486" i="10" s="1"/>
  <c r="O486" i="10" s="1"/>
  <c r="P486" i="10" s="1"/>
  <c r="Q486" i="10" s="1"/>
  <c r="R486" i="10" s="1"/>
  <c r="S486" i="10" s="1"/>
  <c r="T486" i="10" s="1"/>
  <c r="U486" i="10" s="1"/>
  <c r="V486" i="10" s="1"/>
  <c r="D488" i="10" l="1"/>
  <c r="M487" i="10"/>
  <c r="N487" i="10" s="1"/>
  <c r="O487" i="10" s="1"/>
  <c r="P487" i="10" s="1"/>
  <c r="Q487" i="10" s="1"/>
  <c r="R487" i="10" s="1"/>
  <c r="S487" i="10" s="1"/>
  <c r="T487" i="10" s="1"/>
  <c r="U487" i="10" s="1"/>
  <c r="V487" i="10" s="1"/>
  <c r="D489" i="10" l="1"/>
  <c r="M488" i="10"/>
  <c r="N488" i="10" s="1"/>
  <c r="O488" i="10" s="1"/>
  <c r="P488" i="10" s="1"/>
  <c r="Q488" i="10" s="1"/>
  <c r="R488" i="10" s="1"/>
  <c r="S488" i="10" s="1"/>
  <c r="T488" i="10" s="1"/>
  <c r="U488" i="10" s="1"/>
  <c r="V488" i="10" s="1"/>
  <c r="D490" i="10" l="1"/>
  <c r="M489" i="10"/>
  <c r="N489" i="10" s="1"/>
  <c r="O489" i="10" s="1"/>
  <c r="P489" i="10" s="1"/>
  <c r="Q489" i="10" s="1"/>
  <c r="R489" i="10" s="1"/>
  <c r="S489" i="10" s="1"/>
  <c r="T489" i="10" s="1"/>
  <c r="U489" i="10" s="1"/>
  <c r="V489" i="10" s="1"/>
  <c r="D491" i="10" l="1"/>
  <c r="M490" i="10"/>
  <c r="N490" i="10" s="1"/>
  <c r="O490" i="10" s="1"/>
  <c r="P490" i="10" s="1"/>
  <c r="Q490" i="10" s="1"/>
  <c r="R490" i="10" s="1"/>
  <c r="S490" i="10" s="1"/>
  <c r="T490" i="10" s="1"/>
  <c r="U490" i="10" s="1"/>
  <c r="V490" i="10" s="1"/>
  <c r="D492" i="10" l="1"/>
  <c r="M491" i="10"/>
  <c r="N491" i="10" s="1"/>
  <c r="O491" i="10" s="1"/>
  <c r="P491" i="10" s="1"/>
  <c r="Q491" i="10" s="1"/>
  <c r="R491" i="10" s="1"/>
  <c r="S491" i="10" s="1"/>
  <c r="T491" i="10" s="1"/>
  <c r="U491" i="10" s="1"/>
  <c r="V491" i="10" s="1"/>
  <c r="D493" i="10" l="1"/>
  <c r="M492" i="10"/>
  <c r="N492" i="10" s="1"/>
  <c r="O492" i="10" s="1"/>
  <c r="P492" i="10" s="1"/>
  <c r="Q492" i="10" s="1"/>
  <c r="R492" i="10" s="1"/>
  <c r="S492" i="10" s="1"/>
  <c r="T492" i="10" s="1"/>
  <c r="U492" i="10" s="1"/>
  <c r="V492" i="10" s="1"/>
  <c r="D494" i="10" l="1"/>
  <c r="M493" i="10"/>
  <c r="N493" i="10" s="1"/>
  <c r="O493" i="10" s="1"/>
  <c r="P493" i="10" s="1"/>
  <c r="Q493" i="10" s="1"/>
  <c r="R493" i="10" s="1"/>
  <c r="S493" i="10" s="1"/>
  <c r="T493" i="10" s="1"/>
  <c r="U493" i="10" s="1"/>
  <c r="V493" i="10" s="1"/>
  <c r="D495" i="10" l="1"/>
  <c r="M494" i="10"/>
  <c r="N494" i="10" s="1"/>
  <c r="O494" i="10" s="1"/>
  <c r="P494" i="10" s="1"/>
  <c r="Q494" i="10" s="1"/>
  <c r="R494" i="10" s="1"/>
  <c r="S494" i="10" s="1"/>
  <c r="T494" i="10" s="1"/>
  <c r="U494" i="10" s="1"/>
  <c r="V494" i="10" s="1"/>
  <c r="D496" i="10" l="1"/>
  <c r="M495" i="10"/>
  <c r="N495" i="10" s="1"/>
  <c r="O495" i="10" s="1"/>
  <c r="P495" i="10" s="1"/>
  <c r="Q495" i="10" s="1"/>
  <c r="R495" i="10" s="1"/>
  <c r="S495" i="10" s="1"/>
  <c r="T495" i="10" s="1"/>
  <c r="U495" i="10" s="1"/>
  <c r="V495" i="10" s="1"/>
  <c r="D497" i="10" l="1"/>
  <c r="M496" i="10"/>
  <c r="N496" i="10" s="1"/>
  <c r="O496" i="10" s="1"/>
  <c r="P496" i="10" s="1"/>
  <c r="Q496" i="10" s="1"/>
  <c r="R496" i="10" s="1"/>
  <c r="S496" i="10" s="1"/>
  <c r="T496" i="10" s="1"/>
  <c r="U496" i="10" s="1"/>
  <c r="V496" i="10" s="1"/>
  <c r="D498" i="10" l="1"/>
  <c r="M497" i="10"/>
  <c r="N497" i="10" s="1"/>
  <c r="O497" i="10" s="1"/>
  <c r="P497" i="10" s="1"/>
  <c r="Q497" i="10" s="1"/>
  <c r="R497" i="10" s="1"/>
  <c r="S497" i="10" s="1"/>
  <c r="T497" i="10" s="1"/>
  <c r="U497" i="10" s="1"/>
  <c r="V497" i="10" s="1"/>
  <c r="D499" i="10" l="1"/>
  <c r="M498" i="10"/>
  <c r="N498" i="10" s="1"/>
  <c r="O498" i="10" s="1"/>
  <c r="P498" i="10" s="1"/>
  <c r="Q498" i="10" s="1"/>
  <c r="R498" i="10" s="1"/>
  <c r="S498" i="10" s="1"/>
  <c r="T498" i="10" s="1"/>
  <c r="U498" i="10" s="1"/>
  <c r="V498" i="10" s="1"/>
  <c r="D500" i="10" l="1"/>
  <c r="M499" i="10"/>
  <c r="N499" i="10" s="1"/>
  <c r="O499" i="10" s="1"/>
  <c r="P499" i="10" s="1"/>
  <c r="Q499" i="10" s="1"/>
  <c r="R499" i="10" s="1"/>
  <c r="S499" i="10" s="1"/>
  <c r="T499" i="10" s="1"/>
  <c r="U499" i="10" s="1"/>
  <c r="V499" i="10" s="1"/>
  <c r="D501" i="10" l="1"/>
  <c r="M500" i="10"/>
  <c r="N500" i="10" s="1"/>
  <c r="O500" i="10" s="1"/>
  <c r="P500" i="10" s="1"/>
  <c r="Q500" i="10" s="1"/>
  <c r="R500" i="10" s="1"/>
  <c r="S500" i="10" s="1"/>
  <c r="T500" i="10" s="1"/>
  <c r="U500" i="10" s="1"/>
  <c r="V500" i="10" s="1"/>
  <c r="D502" i="10" l="1"/>
  <c r="M501" i="10"/>
  <c r="N501" i="10" s="1"/>
  <c r="O501" i="10" s="1"/>
  <c r="P501" i="10" s="1"/>
  <c r="Q501" i="10" s="1"/>
  <c r="R501" i="10" s="1"/>
  <c r="S501" i="10" s="1"/>
  <c r="T501" i="10" s="1"/>
  <c r="U501" i="10" s="1"/>
  <c r="V501" i="10" s="1"/>
  <c r="D503" i="10" l="1"/>
  <c r="M502" i="10"/>
  <c r="N502" i="10" s="1"/>
  <c r="O502" i="10" s="1"/>
  <c r="P502" i="10" s="1"/>
  <c r="Q502" i="10" s="1"/>
  <c r="R502" i="10" s="1"/>
  <c r="S502" i="10" s="1"/>
  <c r="T502" i="10" s="1"/>
  <c r="U502" i="10" s="1"/>
  <c r="V502" i="10" s="1"/>
  <c r="D504" i="10" l="1"/>
  <c r="M503" i="10"/>
  <c r="N503" i="10" s="1"/>
  <c r="O503" i="10" s="1"/>
  <c r="P503" i="10" s="1"/>
  <c r="Q503" i="10" s="1"/>
  <c r="R503" i="10" s="1"/>
  <c r="S503" i="10" s="1"/>
  <c r="T503" i="10" s="1"/>
  <c r="U503" i="10" s="1"/>
  <c r="V503" i="10" s="1"/>
  <c r="D505" i="10" l="1"/>
  <c r="M504" i="10"/>
  <c r="N504" i="10" s="1"/>
  <c r="O504" i="10" s="1"/>
  <c r="P504" i="10" s="1"/>
  <c r="Q504" i="10" s="1"/>
  <c r="R504" i="10" s="1"/>
  <c r="S504" i="10" s="1"/>
  <c r="T504" i="10" s="1"/>
  <c r="U504" i="10" s="1"/>
  <c r="V504" i="10" s="1"/>
  <c r="D506" i="10" l="1"/>
  <c r="M505" i="10"/>
  <c r="N505" i="10" s="1"/>
  <c r="O505" i="10" s="1"/>
  <c r="P505" i="10" s="1"/>
  <c r="Q505" i="10" s="1"/>
  <c r="R505" i="10" s="1"/>
  <c r="S505" i="10" s="1"/>
  <c r="T505" i="10" s="1"/>
  <c r="U505" i="10" s="1"/>
  <c r="V505" i="10" s="1"/>
  <c r="D507" i="10" l="1"/>
  <c r="M506" i="10"/>
  <c r="N506" i="10" s="1"/>
  <c r="O506" i="10" s="1"/>
  <c r="P506" i="10" s="1"/>
  <c r="Q506" i="10" s="1"/>
  <c r="R506" i="10" s="1"/>
  <c r="S506" i="10" s="1"/>
  <c r="T506" i="10" s="1"/>
  <c r="U506" i="10" s="1"/>
  <c r="V506" i="10" s="1"/>
  <c r="D508" i="10" l="1"/>
  <c r="M507" i="10"/>
  <c r="N507" i="10" s="1"/>
  <c r="O507" i="10" s="1"/>
  <c r="P507" i="10" s="1"/>
  <c r="Q507" i="10" s="1"/>
  <c r="R507" i="10" s="1"/>
  <c r="S507" i="10" s="1"/>
  <c r="T507" i="10" s="1"/>
  <c r="U507" i="10" s="1"/>
  <c r="V507" i="10" s="1"/>
  <c r="D509" i="10" l="1"/>
  <c r="M508" i="10"/>
  <c r="N508" i="10" s="1"/>
  <c r="O508" i="10" s="1"/>
  <c r="P508" i="10" s="1"/>
  <c r="Q508" i="10" s="1"/>
  <c r="R508" i="10" s="1"/>
  <c r="S508" i="10" s="1"/>
  <c r="T508" i="10" s="1"/>
  <c r="U508" i="10" s="1"/>
  <c r="V508" i="10" s="1"/>
  <c r="D510" i="10" l="1"/>
  <c r="M509" i="10"/>
  <c r="N509" i="10" s="1"/>
  <c r="O509" i="10" s="1"/>
  <c r="P509" i="10" s="1"/>
  <c r="Q509" i="10" s="1"/>
  <c r="R509" i="10" s="1"/>
  <c r="S509" i="10" s="1"/>
  <c r="T509" i="10" s="1"/>
  <c r="U509" i="10" s="1"/>
  <c r="V509" i="10" s="1"/>
  <c r="D511" i="10" l="1"/>
  <c r="M510" i="10"/>
  <c r="N510" i="10" s="1"/>
  <c r="O510" i="10" s="1"/>
  <c r="P510" i="10" s="1"/>
  <c r="Q510" i="10" s="1"/>
  <c r="R510" i="10" s="1"/>
  <c r="S510" i="10" s="1"/>
  <c r="T510" i="10" s="1"/>
  <c r="U510" i="10" s="1"/>
  <c r="V510" i="10" s="1"/>
  <c r="D512" i="10" l="1"/>
  <c r="M511" i="10"/>
  <c r="N511" i="10" s="1"/>
  <c r="O511" i="10" s="1"/>
  <c r="P511" i="10" s="1"/>
  <c r="Q511" i="10" s="1"/>
  <c r="R511" i="10" s="1"/>
  <c r="S511" i="10" s="1"/>
  <c r="T511" i="10" s="1"/>
  <c r="U511" i="10" s="1"/>
  <c r="V511" i="10" s="1"/>
  <c r="D513" i="10" l="1"/>
  <c r="M512" i="10"/>
  <c r="N512" i="10" s="1"/>
  <c r="O512" i="10" s="1"/>
  <c r="P512" i="10" s="1"/>
  <c r="Q512" i="10" s="1"/>
  <c r="R512" i="10" s="1"/>
  <c r="S512" i="10" s="1"/>
  <c r="T512" i="10" s="1"/>
  <c r="U512" i="10" s="1"/>
  <c r="V512" i="10" s="1"/>
  <c r="D514" i="10" l="1"/>
  <c r="M513" i="10"/>
  <c r="N513" i="10" s="1"/>
  <c r="O513" i="10" s="1"/>
  <c r="P513" i="10" s="1"/>
  <c r="Q513" i="10" s="1"/>
  <c r="R513" i="10" s="1"/>
  <c r="S513" i="10" s="1"/>
  <c r="T513" i="10" s="1"/>
  <c r="U513" i="10" s="1"/>
  <c r="V513" i="10" s="1"/>
  <c r="D515" i="10" l="1"/>
  <c r="M514" i="10"/>
  <c r="N514" i="10" s="1"/>
  <c r="O514" i="10" s="1"/>
  <c r="P514" i="10" s="1"/>
  <c r="Q514" i="10" s="1"/>
  <c r="R514" i="10" s="1"/>
  <c r="S514" i="10" s="1"/>
  <c r="T514" i="10" s="1"/>
  <c r="U514" i="10" s="1"/>
  <c r="V514" i="10" s="1"/>
  <c r="D516" i="10" l="1"/>
  <c r="M515" i="10"/>
  <c r="N515" i="10" s="1"/>
  <c r="O515" i="10" s="1"/>
  <c r="P515" i="10" s="1"/>
  <c r="Q515" i="10" s="1"/>
  <c r="R515" i="10" s="1"/>
  <c r="S515" i="10" s="1"/>
  <c r="T515" i="10" s="1"/>
  <c r="U515" i="10" s="1"/>
  <c r="V515" i="10" s="1"/>
  <c r="D517" i="10" l="1"/>
  <c r="M516" i="10"/>
  <c r="N516" i="10" s="1"/>
  <c r="O516" i="10" s="1"/>
  <c r="P516" i="10" s="1"/>
  <c r="Q516" i="10" s="1"/>
  <c r="R516" i="10" s="1"/>
  <c r="S516" i="10" s="1"/>
  <c r="T516" i="10" s="1"/>
  <c r="U516" i="10" s="1"/>
  <c r="V516" i="10" s="1"/>
  <c r="D518" i="10" l="1"/>
  <c r="M517" i="10"/>
  <c r="N517" i="10" s="1"/>
  <c r="O517" i="10" s="1"/>
  <c r="P517" i="10" s="1"/>
  <c r="Q517" i="10" s="1"/>
  <c r="R517" i="10" s="1"/>
  <c r="S517" i="10" s="1"/>
  <c r="T517" i="10" s="1"/>
  <c r="U517" i="10" s="1"/>
  <c r="V517" i="10" s="1"/>
  <c r="D519" i="10" l="1"/>
  <c r="M518" i="10"/>
  <c r="N518" i="10" s="1"/>
  <c r="O518" i="10" s="1"/>
  <c r="P518" i="10" s="1"/>
  <c r="Q518" i="10" s="1"/>
  <c r="R518" i="10" s="1"/>
  <c r="S518" i="10" s="1"/>
  <c r="T518" i="10" s="1"/>
  <c r="U518" i="10" s="1"/>
  <c r="V518" i="10" s="1"/>
  <c r="D520" i="10" l="1"/>
  <c r="M519" i="10"/>
  <c r="N519" i="10" s="1"/>
  <c r="O519" i="10" s="1"/>
  <c r="P519" i="10" s="1"/>
  <c r="Q519" i="10" s="1"/>
  <c r="R519" i="10" s="1"/>
  <c r="S519" i="10" s="1"/>
  <c r="T519" i="10" s="1"/>
  <c r="U519" i="10" s="1"/>
  <c r="V519" i="10" s="1"/>
  <c r="D521" i="10" l="1"/>
  <c r="M520" i="10"/>
  <c r="N520" i="10" s="1"/>
  <c r="O520" i="10" s="1"/>
  <c r="P520" i="10" s="1"/>
  <c r="Q520" i="10" s="1"/>
  <c r="R520" i="10" s="1"/>
  <c r="S520" i="10" s="1"/>
  <c r="T520" i="10" s="1"/>
  <c r="U520" i="10" s="1"/>
  <c r="V520" i="10" s="1"/>
  <c r="D522" i="10" l="1"/>
  <c r="M521" i="10"/>
  <c r="N521" i="10" s="1"/>
  <c r="O521" i="10" s="1"/>
  <c r="P521" i="10" s="1"/>
  <c r="Q521" i="10" s="1"/>
  <c r="R521" i="10" s="1"/>
  <c r="S521" i="10" s="1"/>
  <c r="T521" i="10" s="1"/>
  <c r="U521" i="10" s="1"/>
  <c r="V521" i="10" s="1"/>
  <c r="D523" i="10" l="1"/>
  <c r="M522" i="10"/>
  <c r="N522" i="10" s="1"/>
  <c r="O522" i="10" s="1"/>
  <c r="P522" i="10" s="1"/>
  <c r="Q522" i="10" s="1"/>
  <c r="R522" i="10" s="1"/>
  <c r="S522" i="10" s="1"/>
  <c r="T522" i="10" s="1"/>
  <c r="U522" i="10" s="1"/>
  <c r="V522" i="10" s="1"/>
  <c r="D524" i="10" l="1"/>
  <c r="M523" i="10"/>
  <c r="N523" i="10" s="1"/>
  <c r="O523" i="10" s="1"/>
  <c r="P523" i="10" s="1"/>
  <c r="Q523" i="10" s="1"/>
  <c r="R523" i="10" s="1"/>
  <c r="S523" i="10" s="1"/>
  <c r="T523" i="10" s="1"/>
  <c r="U523" i="10" s="1"/>
  <c r="V523" i="10" s="1"/>
  <c r="D525" i="10" l="1"/>
  <c r="M524" i="10"/>
  <c r="N524" i="10" s="1"/>
  <c r="O524" i="10" s="1"/>
  <c r="P524" i="10" s="1"/>
  <c r="Q524" i="10" s="1"/>
  <c r="R524" i="10" s="1"/>
  <c r="S524" i="10" s="1"/>
  <c r="T524" i="10" s="1"/>
  <c r="U524" i="10" s="1"/>
  <c r="V524" i="10" s="1"/>
  <c r="D526" i="10" l="1"/>
  <c r="M525" i="10"/>
  <c r="N525" i="10" s="1"/>
  <c r="O525" i="10" s="1"/>
  <c r="P525" i="10" s="1"/>
  <c r="Q525" i="10" s="1"/>
  <c r="R525" i="10" s="1"/>
  <c r="S525" i="10" s="1"/>
  <c r="T525" i="10" s="1"/>
  <c r="U525" i="10" s="1"/>
  <c r="V525" i="10" s="1"/>
  <c r="D527" i="10" l="1"/>
  <c r="M526" i="10"/>
  <c r="N526" i="10" s="1"/>
  <c r="O526" i="10" s="1"/>
  <c r="P526" i="10" s="1"/>
  <c r="Q526" i="10" s="1"/>
  <c r="R526" i="10" s="1"/>
  <c r="S526" i="10" s="1"/>
  <c r="T526" i="10" s="1"/>
  <c r="U526" i="10" s="1"/>
  <c r="V526" i="10" s="1"/>
  <c r="D528" i="10" l="1"/>
  <c r="M527" i="10"/>
  <c r="N527" i="10" s="1"/>
  <c r="O527" i="10" s="1"/>
  <c r="P527" i="10" s="1"/>
  <c r="Q527" i="10" s="1"/>
  <c r="R527" i="10" s="1"/>
  <c r="S527" i="10" s="1"/>
  <c r="T527" i="10" s="1"/>
  <c r="U527" i="10" s="1"/>
  <c r="V527" i="10" s="1"/>
  <c r="D529" i="10" l="1"/>
  <c r="M528" i="10"/>
  <c r="N528" i="10" s="1"/>
  <c r="O528" i="10" s="1"/>
  <c r="P528" i="10" s="1"/>
  <c r="Q528" i="10" s="1"/>
  <c r="R528" i="10" s="1"/>
  <c r="S528" i="10" s="1"/>
  <c r="T528" i="10" s="1"/>
  <c r="U528" i="10" s="1"/>
  <c r="V528" i="10" s="1"/>
  <c r="D530" i="10" l="1"/>
  <c r="M529" i="10"/>
  <c r="N529" i="10" s="1"/>
  <c r="O529" i="10" s="1"/>
  <c r="P529" i="10" s="1"/>
  <c r="Q529" i="10" s="1"/>
  <c r="R529" i="10" s="1"/>
  <c r="S529" i="10" s="1"/>
  <c r="T529" i="10" s="1"/>
  <c r="U529" i="10" s="1"/>
  <c r="V529" i="10" s="1"/>
  <c r="D531" i="10" l="1"/>
  <c r="M530" i="10"/>
  <c r="N530" i="10" s="1"/>
  <c r="O530" i="10" s="1"/>
  <c r="P530" i="10" s="1"/>
  <c r="Q530" i="10" s="1"/>
  <c r="R530" i="10" s="1"/>
  <c r="S530" i="10" s="1"/>
  <c r="T530" i="10" s="1"/>
  <c r="U530" i="10" s="1"/>
  <c r="V530" i="10" s="1"/>
  <c r="D532" i="10" l="1"/>
  <c r="M531" i="10"/>
  <c r="N531" i="10" s="1"/>
  <c r="O531" i="10" s="1"/>
  <c r="P531" i="10" s="1"/>
  <c r="Q531" i="10" s="1"/>
  <c r="R531" i="10" s="1"/>
  <c r="S531" i="10" s="1"/>
  <c r="T531" i="10" s="1"/>
  <c r="U531" i="10" s="1"/>
  <c r="V531" i="10" s="1"/>
  <c r="D533" i="10" l="1"/>
  <c r="M532" i="10"/>
  <c r="N532" i="10" s="1"/>
  <c r="O532" i="10" s="1"/>
  <c r="P532" i="10" s="1"/>
  <c r="Q532" i="10" s="1"/>
  <c r="R532" i="10" s="1"/>
  <c r="S532" i="10" s="1"/>
  <c r="T532" i="10" s="1"/>
  <c r="U532" i="10" s="1"/>
  <c r="V532" i="10" s="1"/>
  <c r="D534" i="10" l="1"/>
  <c r="M533" i="10"/>
  <c r="N533" i="10" s="1"/>
  <c r="O533" i="10" s="1"/>
  <c r="P533" i="10" s="1"/>
  <c r="Q533" i="10" s="1"/>
  <c r="R533" i="10" s="1"/>
  <c r="S533" i="10" s="1"/>
  <c r="T533" i="10" s="1"/>
  <c r="U533" i="10" s="1"/>
  <c r="V533" i="10" s="1"/>
  <c r="D535" i="10" l="1"/>
  <c r="M534" i="10"/>
  <c r="N534" i="10" s="1"/>
  <c r="O534" i="10" s="1"/>
  <c r="P534" i="10" s="1"/>
  <c r="Q534" i="10" s="1"/>
  <c r="R534" i="10" s="1"/>
  <c r="S534" i="10" s="1"/>
  <c r="T534" i="10" s="1"/>
  <c r="U534" i="10" s="1"/>
  <c r="V534" i="10" s="1"/>
  <c r="D536" i="10" l="1"/>
  <c r="M535" i="10"/>
  <c r="N535" i="10" s="1"/>
  <c r="O535" i="10" s="1"/>
  <c r="P535" i="10" s="1"/>
  <c r="Q535" i="10" s="1"/>
  <c r="R535" i="10" s="1"/>
  <c r="S535" i="10" s="1"/>
  <c r="T535" i="10" s="1"/>
  <c r="U535" i="10" s="1"/>
  <c r="V535" i="10" s="1"/>
  <c r="D537" i="10" l="1"/>
  <c r="M536" i="10"/>
  <c r="N536" i="10" s="1"/>
  <c r="O536" i="10" s="1"/>
  <c r="P536" i="10" s="1"/>
  <c r="Q536" i="10" s="1"/>
  <c r="R536" i="10" s="1"/>
  <c r="S536" i="10" s="1"/>
  <c r="T536" i="10" s="1"/>
  <c r="U536" i="10" s="1"/>
  <c r="V536" i="10" s="1"/>
  <c r="D538" i="10" l="1"/>
  <c r="M537" i="10"/>
  <c r="N537" i="10" s="1"/>
  <c r="O537" i="10" s="1"/>
  <c r="P537" i="10" s="1"/>
  <c r="Q537" i="10" s="1"/>
  <c r="R537" i="10" s="1"/>
  <c r="S537" i="10" s="1"/>
  <c r="T537" i="10" s="1"/>
  <c r="U537" i="10" s="1"/>
  <c r="V537" i="10" s="1"/>
  <c r="D539" i="10" l="1"/>
  <c r="M538" i="10"/>
  <c r="N538" i="10" s="1"/>
  <c r="O538" i="10" s="1"/>
  <c r="P538" i="10" s="1"/>
  <c r="Q538" i="10" s="1"/>
  <c r="R538" i="10" s="1"/>
  <c r="S538" i="10" s="1"/>
  <c r="T538" i="10" s="1"/>
  <c r="U538" i="10" s="1"/>
  <c r="V538" i="10" s="1"/>
  <c r="D540" i="10" l="1"/>
  <c r="M539" i="10"/>
  <c r="N539" i="10" s="1"/>
  <c r="O539" i="10" s="1"/>
  <c r="P539" i="10" s="1"/>
  <c r="Q539" i="10" s="1"/>
  <c r="R539" i="10" s="1"/>
  <c r="S539" i="10" s="1"/>
  <c r="T539" i="10" s="1"/>
  <c r="U539" i="10" s="1"/>
  <c r="V539" i="10" s="1"/>
  <c r="D541" i="10" l="1"/>
  <c r="M540" i="10"/>
  <c r="N540" i="10" s="1"/>
  <c r="O540" i="10" s="1"/>
  <c r="P540" i="10" s="1"/>
  <c r="Q540" i="10" s="1"/>
  <c r="R540" i="10" s="1"/>
  <c r="S540" i="10" s="1"/>
  <c r="T540" i="10" s="1"/>
  <c r="U540" i="10" s="1"/>
  <c r="V540" i="10" s="1"/>
  <c r="D542" i="10" l="1"/>
  <c r="M541" i="10"/>
  <c r="N541" i="10" s="1"/>
  <c r="O541" i="10" s="1"/>
  <c r="P541" i="10" s="1"/>
  <c r="Q541" i="10" s="1"/>
  <c r="R541" i="10" s="1"/>
  <c r="S541" i="10" s="1"/>
  <c r="T541" i="10" s="1"/>
  <c r="U541" i="10" s="1"/>
  <c r="V541" i="10" s="1"/>
  <c r="D543" i="10" l="1"/>
  <c r="M542" i="10"/>
  <c r="N542" i="10" s="1"/>
  <c r="O542" i="10" s="1"/>
  <c r="P542" i="10" s="1"/>
  <c r="Q542" i="10" s="1"/>
  <c r="R542" i="10" s="1"/>
  <c r="S542" i="10" s="1"/>
  <c r="T542" i="10" s="1"/>
  <c r="U542" i="10" s="1"/>
  <c r="V542" i="10" s="1"/>
  <c r="D544" i="10" l="1"/>
  <c r="M543" i="10"/>
  <c r="N543" i="10" s="1"/>
  <c r="O543" i="10" s="1"/>
  <c r="P543" i="10" s="1"/>
  <c r="Q543" i="10" s="1"/>
  <c r="R543" i="10" s="1"/>
  <c r="S543" i="10" s="1"/>
  <c r="T543" i="10" s="1"/>
  <c r="U543" i="10" s="1"/>
  <c r="V543" i="10" s="1"/>
  <c r="D545" i="10" l="1"/>
  <c r="M544" i="10"/>
  <c r="N544" i="10" s="1"/>
  <c r="O544" i="10" s="1"/>
  <c r="P544" i="10" s="1"/>
  <c r="Q544" i="10" s="1"/>
  <c r="R544" i="10" s="1"/>
  <c r="S544" i="10" s="1"/>
  <c r="T544" i="10" s="1"/>
  <c r="U544" i="10" s="1"/>
  <c r="V544" i="10" s="1"/>
  <c r="D546" i="10" l="1"/>
  <c r="M545" i="10"/>
  <c r="N545" i="10" s="1"/>
  <c r="O545" i="10" s="1"/>
  <c r="P545" i="10" s="1"/>
  <c r="Q545" i="10" s="1"/>
  <c r="R545" i="10" s="1"/>
  <c r="S545" i="10" s="1"/>
  <c r="T545" i="10" s="1"/>
  <c r="U545" i="10" s="1"/>
  <c r="V545" i="10" s="1"/>
  <c r="D547" i="10" l="1"/>
  <c r="M546" i="10"/>
  <c r="N546" i="10" s="1"/>
  <c r="O546" i="10" s="1"/>
  <c r="P546" i="10" s="1"/>
  <c r="Q546" i="10" s="1"/>
  <c r="R546" i="10" s="1"/>
  <c r="S546" i="10" s="1"/>
  <c r="T546" i="10" s="1"/>
  <c r="U546" i="10" s="1"/>
  <c r="V546" i="10" s="1"/>
  <c r="D548" i="10" l="1"/>
  <c r="M547" i="10"/>
  <c r="N547" i="10" s="1"/>
  <c r="O547" i="10" s="1"/>
  <c r="P547" i="10" s="1"/>
  <c r="Q547" i="10" s="1"/>
  <c r="R547" i="10" s="1"/>
  <c r="S547" i="10" s="1"/>
  <c r="T547" i="10" s="1"/>
  <c r="U547" i="10" s="1"/>
  <c r="V547" i="10" s="1"/>
  <c r="D549" i="10" l="1"/>
  <c r="M548" i="10"/>
  <c r="N548" i="10" s="1"/>
  <c r="O548" i="10" s="1"/>
  <c r="P548" i="10" s="1"/>
  <c r="Q548" i="10" s="1"/>
  <c r="R548" i="10" s="1"/>
  <c r="S548" i="10" s="1"/>
  <c r="T548" i="10" s="1"/>
  <c r="U548" i="10" s="1"/>
  <c r="V548" i="10" s="1"/>
  <c r="D550" i="10" l="1"/>
  <c r="M549" i="10"/>
  <c r="N549" i="10" s="1"/>
  <c r="O549" i="10" s="1"/>
  <c r="P549" i="10" s="1"/>
  <c r="Q549" i="10" s="1"/>
  <c r="R549" i="10" s="1"/>
  <c r="S549" i="10" s="1"/>
  <c r="T549" i="10" s="1"/>
  <c r="U549" i="10" s="1"/>
  <c r="V549" i="10" s="1"/>
  <c r="D551" i="10" l="1"/>
  <c r="M550" i="10"/>
  <c r="N550" i="10" s="1"/>
  <c r="O550" i="10" s="1"/>
  <c r="P550" i="10" s="1"/>
  <c r="Q550" i="10" s="1"/>
  <c r="R550" i="10" s="1"/>
  <c r="S550" i="10" s="1"/>
  <c r="T550" i="10" s="1"/>
  <c r="U550" i="10" s="1"/>
  <c r="V550" i="10" s="1"/>
  <c r="D552" i="10" l="1"/>
  <c r="M551" i="10"/>
  <c r="N551" i="10" s="1"/>
  <c r="O551" i="10" s="1"/>
  <c r="P551" i="10" s="1"/>
  <c r="Q551" i="10" s="1"/>
  <c r="R551" i="10" s="1"/>
  <c r="S551" i="10" s="1"/>
  <c r="T551" i="10" s="1"/>
  <c r="U551" i="10" s="1"/>
  <c r="V551" i="10" s="1"/>
  <c r="D553" i="10" l="1"/>
  <c r="M552" i="10"/>
  <c r="N552" i="10" s="1"/>
  <c r="O552" i="10" s="1"/>
  <c r="P552" i="10" s="1"/>
  <c r="Q552" i="10" s="1"/>
  <c r="R552" i="10" s="1"/>
  <c r="S552" i="10" s="1"/>
  <c r="T552" i="10" s="1"/>
  <c r="U552" i="10" s="1"/>
  <c r="V552" i="10" s="1"/>
  <c r="D554" i="10" l="1"/>
  <c r="M553" i="10"/>
  <c r="N553" i="10" s="1"/>
  <c r="O553" i="10" s="1"/>
  <c r="P553" i="10" s="1"/>
  <c r="Q553" i="10" s="1"/>
  <c r="R553" i="10" s="1"/>
  <c r="S553" i="10" s="1"/>
  <c r="T553" i="10" s="1"/>
  <c r="U553" i="10" s="1"/>
  <c r="V553" i="10" s="1"/>
  <c r="D555" i="10" l="1"/>
  <c r="M554" i="10"/>
  <c r="N554" i="10" s="1"/>
  <c r="O554" i="10" s="1"/>
  <c r="P554" i="10" s="1"/>
  <c r="Q554" i="10" s="1"/>
  <c r="R554" i="10" s="1"/>
  <c r="S554" i="10" s="1"/>
  <c r="T554" i="10" s="1"/>
  <c r="U554" i="10" s="1"/>
  <c r="V554" i="10" s="1"/>
  <c r="D556" i="10" l="1"/>
  <c r="M555" i="10"/>
  <c r="N555" i="10" s="1"/>
  <c r="O555" i="10" s="1"/>
  <c r="P555" i="10" s="1"/>
  <c r="Q555" i="10" s="1"/>
  <c r="R555" i="10" s="1"/>
  <c r="S555" i="10" s="1"/>
  <c r="T555" i="10" s="1"/>
  <c r="U555" i="10" s="1"/>
  <c r="V555" i="10" s="1"/>
  <c r="D557" i="10" l="1"/>
  <c r="M556" i="10"/>
  <c r="N556" i="10" s="1"/>
  <c r="O556" i="10" s="1"/>
  <c r="P556" i="10" s="1"/>
  <c r="Q556" i="10" s="1"/>
  <c r="R556" i="10" s="1"/>
  <c r="S556" i="10" s="1"/>
  <c r="T556" i="10" s="1"/>
  <c r="U556" i="10" s="1"/>
  <c r="V556" i="10" s="1"/>
  <c r="D558" i="10" l="1"/>
  <c r="M557" i="10"/>
  <c r="N557" i="10" s="1"/>
  <c r="O557" i="10" s="1"/>
  <c r="P557" i="10" s="1"/>
  <c r="Q557" i="10" s="1"/>
  <c r="R557" i="10" s="1"/>
  <c r="S557" i="10" s="1"/>
  <c r="T557" i="10" s="1"/>
  <c r="U557" i="10" s="1"/>
  <c r="V557" i="10" s="1"/>
  <c r="D559" i="10" l="1"/>
  <c r="M558" i="10"/>
  <c r="N558" i="10" s="1"/>
  <c r="O558" i="10" s="1"/>
  <c r="P558" i="10" s="1"/>
  <c r="Q558" i="10" s="1"/>
  <c r="R558" i="10" s="1"/>
  <c r="S558" i="10" s="1"/>
  <c r="T558" i="10" s="1"/>
  <c r="U558" i="10" s="1"/>
  <c r="V558" i="10" s="1"/>
  <c r="D560" i="10" l="1"/>
  <c r="M559" i="10"/>
  <c r="N559" i="10" s="1"/>
  <c r="O559" i="10" s="1"/>
  <c r="P559" i="10" s="1"/>
  <c r="Q559" i="10" s="1"/>
  <c r="R559" i="10" s="1"/>
  <c r="S559" i="10" s="1"/>
  <c r="T559" i="10" s="1"/>
  <c r="U559" i="10" s="1"/>
  <c r="V559" i="10" s="1"/>
  <c r="D561" i="10" l="1"/>
  <c r="M560" i="10"/>
  <c r="N560" i="10" s="1"/>
  <c r="O560" i="10" s="1"/>
  <c r="P560" i="10" s="1"/>
  <c r="Q560" i="10" s="1"/>
  <c r="R560" i="10" s="1"/>
  <c r="S560" i="10" s="1"/>
  <c r="T560" i="10" s="1"/>
  <c r="U560" i="10" s="1"/>
  <c r="V560" i="10" s="1"/>
  <c r="D562" i="10" l="1"/>
  <c r="M561" i="10"/>
  <c r="N561" i="10" s="1"/>
  <c r="O561" i="10" s="1"/>
  <c r="P561" i="10" s="1"/>
  <c r="Q561" i="10" s="1"/>
  <c r="R561" i="10" s="1"/>
  <c r="S561" i="10" s="1"/>
  <c r="T561" i="10" s="1"/>
  <c r="U561" i="10" s="1"/>
  <c r="V561" i="10" s="1"/>
  <c r="D563" i="10" l="1"/>
  <c r="M562" i="10"/>
  <c r="N562" i="10" s="1"/>
  <c r="O562" i="10" s="1"/>
  <c r="P562" i="10" s="1"/>
  <c r="Q562" i="10" s="1"/>
  <c r="R562" i="10" s="1"/>
  <c r="S562" i="10" s="1"/>
  <c r="T562" i="10" s="1"/>
  <c r="U562" i="10" s="1"/>
  <c r="V562" i="10" s="1"/>
  <c r="D564" i="10" l="1"/>
  <c r="M563" i="10"/>
  <c r="N563" i="10" s="1"/>
  <c r="O563" i="10" s="1"/>
  <c r="P563" i="10" s="1"/>
  <c r="Q563" i="10" s="1"/>
  <c r="R563" i="10" s="1"/>
  <c r="S563" i="10" s="1"/>
  <c r="T563" i="10" s="1"/>
  <c r="U563" i="10" s="1"/>
  <c r="V563" i="10" s="1"/>
  <c r="D565" i="10" l="1"/>
  <c r="M564" i="10"/>
  <c r="N564" i="10" s="1"/>
  <c r="O564" i="10" s="1"/>
  <c r="P564" i="10" s="1"/>
  <c r="Q564" i="10" s="1"/>
  <c r="R564" i="10" s="1"/>
  <c r="S564" i="10" s="1"/>
  <c r="T564" i="10" s="1"/>
  <c r="U564" i="10" s="1"/>
  <c r="V564" i="10" s="1"/>
  <c r="D566" i="10" l="1"/>
  <c r="M565" i="10"/>
  <c r="N565" i="10" s="1"/>
  <c r="O565" i="10" s="1"/>
  <c r="P565" i="10" s="1"/>
  <c r="Q565" i="10" s="1"/>
  <c r="R565" i="10" s="1"/>
  <c r="S565" i="10" s="1"/>
  <c r="T565" i="10" s="1"/>
  <c r="U565" i="10" s="1"/>
  <c r="V565" i="10" s="1"/>
  <c r="D567" i="10" l="1"/>
  <c r="M566" i="10"/>
  <c r="N566" i="10" s="1"/>
  <c r="O566" i="10" s="1"/>
  <c r="P566" i="10" s="1"/>
  <c r="Q566" i="10" s="1"/>
  <c r="R566" i="10" s="1"/>
  <c r="S566" i="10" s="1"/>
  <c r="T566" i="10" s="1"/>
  <c r="U566" i="10" s="1"/>
  <c r="V566" i="10" s="1"/>
  <c r="D568" i="10" l="1"/>
  <c r="M567" i="10"/>
  <c r="N567" i="10" s="1"/>
  <c r="O567" i="10" s="1"/>
  <c r="P567" i="10" s="1"/>
  <c r="Q567" i="10" s="1"/>
  <c r="R567" i="10" s="1"/>
  <c r="S567" i="10" s="1"/>
  <c r="T567" i="10" s="1"/>
  <c r="U567" i="10" s="1"/>
  <c r="V567" i="10" s="1"/>
  <c r="D569" i="10" l="1"/>
  <c r="M568" i="10"/>
  <c r="N568" i="10" s="1"/>
  <c r="O568" i="10" s="1"/>
  <c r="P568" i="10" s="1"/>
  <c r="Q568" i="10" s="1"/>
  <c r="R568" i="10" s="1"/>
  <c r="S568" i="10" s="1"/>
  <c r="T568" i="10" s="1"/>
  <c r="U568" i="10" s="1"/>
  <c r="V568" i="10" s="1"/>
  <c r="D570" i="10" l="1"/>
  <c r="M569" i="10"/>
  <c r="N569" i="10" s="1"/>
  <c r="O569" i="10" s="1"/>
  <c r="P569" i="10" s="1"/>
  <c r="Q569" i="10" s="1"/>
  <c r="R569" i="10" s="1"/>
  <c r="S569" i="10" s="1"/>
  <c r="T569" i="10" s="1"/>
  <c r="U569" i="10" s="1"/>
  <c r="V569" i="10" s="1"/>
  <c r="D571" i="10" l="1"/>
  <c r="M570" i="10"/>
  <c r="N570" i="10" s="1"/>
  <c r="O570" i="10" s="1"/>
  <c r="P570" i="10" s="1"/>
  <c r="Q570" i="10" s="1"/>
  <c r="R570" i="10" s="1"/>
  <c r="S570" i="10" s="1"/>
  <c r="T570" i="10" s="1"/>
  <c r="U570" i="10" s="1"/>
  <c r="V570" i="10" s="1"/>
  <c r="D572" i="10" l="1"/>
  <c r="M571" i="10"/>
  <c r="N571" i="10" s="1"/>
  <c r="O571" i="10" s="1"/>
  <c r="P571" i="10" s="1"/>
  <c r="Q571" i="10" s="1"/>
  <c r="R571" i="10" s="1"/>
  <c r="S571" i="10" s="1"/>
  <c r="T571" i="10" s="1"/>
  <c r="U571" i="10" s="1"/>
  <c r="V571" i="10" s="1"/>
  <c r="D573" i="10" l="1"/>
  <c r="M572" i="10"/>
  <c r="N572" i="10" s="1"/>
  <c r="O572" i="10" s="1"/>
  <c r="P572" i="10" s="1"/>
  <c r="Q572" i="10" s="1"/>
  <c r="R572" i="10" s="1"/>
  <c r="S572" i="10" s="1"/>
  <c r="T572" i="10" s="1"/>
  <c r="U572" i="10" s="1"/>
  <c r="V572" i="10" s="1"/>
  <c r="D574" i="10" l="1"/>
  <c r="M573" i="10"/>
  <c r="N573" i="10" s="1"/>
  <c r="O573" i="10" s="1"/>
  <c r="P573" i="10" s="1"/>
  <c r="Q573" i="10" s="1"/>
  <c r="R573" i="10" s="1"/>
  <c r="S573" i="10" s="1"/>
  <c r="T573" i="10" s="1"/>
  <c r="U573" i="10" s="1"/>
  <c r="V573" i="10" s="1"/>
  <c r="D575" i="10" l="1"/>
  <c r="M574" i="10"/>
  <c r="N574" i="10" s="1"/>
  <c r="O574" i="10" s="1"/>
  <c r="P574" i="10" s="1"/>
  <c r="Q574" i="10" s="1"/>
  <c r="R574" i="10" s="1"/>
  <c r="S574" i="10" s="1"/>
  <c r="T574" i="10" s="1"/>
  <c r="U574" i="10" s="1"/>
  <c r="V574" i="10" s="1"/>
  <c r="D576" i="10" l="1"/>
  <c r="M575" i="10"/>
  <c r="N575" i="10" s="1"/>
  <c r="O575" i="10" s="1"/>
  <c r="P575" i="10" s="1"/>
  <c r="Q575" i="10" s="1"/>
  <c r="R575" i="10" s="1"/>
  <c r="S575" i="10" s="1"/>
  <c r="T575" i="10" s="1"/>
  <c r="U575" i="10" s="1"/>
  <c r="V575" i="10" s="1"/>
  <c r="D577" i="10" l="1"/>
  <c r="M576" i="10"/>
  <c r="N576" i="10" s="1"/>
  <c r="O576" i="10" s="1"/>
  <c r="P576" i="10" s="1"/>
  <c r="Q576" i="10" s="1"/>
  <c r="R576" i="10" s="1"/>
  <c r="S576" i="10" s="1"/>
  <c r="T576" i="10" s="1"/>
  <c r="U576" i="10" s="1"/>
  <c r="V576" i="10" s="1"/>
  <c r="D578" i="10" l="1"/>
  <c r="M577" i="10"/>
  <c r="N577" i="10" s="1"/>
  <c r="O577" i="10" s="1"/>
  <c r="P577" i="10" s="1"/>
  <c r="Q577" i="10" s="1"/>
  <c r="R577" i="10" s="1"/>
  <c r="S577" i="10" s="1"/>
  <c r="T577" i="10" s="1"/>
  <c r="U577" i="10" s="1"/>
  <c r="V577" i="10" s="1"/>
  <c r="D579" i="10" l="1"/>
  <c r="M578" i="10"/>
  <c r="N578" i="10" s="1"/>
  <c r="O578" i="10" s="1"/>
  <c r="P578" i="10" s="1"/>
  <c r="Q578" i="10" s="1"/>
  <c r="R578" i="10" s="1"/>
  <c r="S578" i="10" s="1"/>
  <c r="T578" i="10" s="1"/>
  <c r="U578" i="10" s="1"/>
  <c r="V578" i="10" s="1"/>
  <c r="D580" i="10" l="1"/>
  <c r="M579" i="10"/>
  <c r="N579" i="10" s="1"/>
  <c r="O579" i="10" s="1"/>
  <c r="P579" i="10" s="1"/>
  <c r="Q579" i="10" s="1"/>
  <c r="R579" i="10" s="1"/>
  <c r="S579" i="10" s="1"/>
  <c r="T579" i="10" s="1"/>
  <c r="U579" i="10" s="1"/>
  <c r="V579" i="10" s="1"/>
  <c r="D581" i="10" l="1"/>
  <c r="M580" i="10"/>
  <c r="N580" i="10" s="1"/>
  <c r="O580" i="10" s="1"/>
  <c r="P580" i="10" s="1"/>
  <c r="Q580" i="10" s="1"/>
  <c r="R580" i="10" s="1"/>
  <c r="S580" i="10" s="1"/>
  <c r="T580" i="10" s="1"/>
  <c r="U580" i="10" s="1"/>
  <c r="V580" i="10" s="1"/>
  <c r="D582" i="10" l="1"/>
  <c r="M581" i="10"/>
  <c r="N581" i="10" s="1"/>
  <c r="O581" i="10" s="1"/>
  <c r="P581" i="10" s="1"/>
  <c r="Q581" i="10" s="1"/>
  <c r="R581" i="10" s="1"/>
  <c r="S581" i="10" s="1"/>
  <c r="T581" i="10" s="1"/>
  <c r="U581" i="10" s="1"/>
  <c r="V581" i="10" s="1"/>
  <c r="D583" i="10" l="1"/>
  <c r="M582" i="10"/>
  <c r="N582" i="10" s="1"/>
  <c r="O582" i="10" s="1"/>
  <c r="P582" i="10" s="1"/>
  <c r="Q582" i="10" s="1"/>
  <c r="R582" i="10" s="1"/>
  <c r="S582" i="10" s="1"/>
  <c r="T582" i="10" s="1"/>
  <c r="U582" i="10" s="1"/>
  <c r="V582" i="10" s="1"/>
  <c r="D584" i="10" l="1"/>
  <c r="M583" i="10"/>
  <c r="N583" i="10" s="1"/>
  <c r="O583" i="10" s="1"/>
  <c r="P583" i="10" s="1"/>
  <c r="Q583" i="10" s="1"/>
  <c r="R583" i="10" s="1"/>
  <c r="S583" i="10" s="1"/>
  <c r="T583" i="10" s="1"/>
  <c r="U583" i="10" s="1"/>
  <c r="V583" i="10" s="1"/>
  <c r="D585" i="10" l="1"/>
  <c r="M584" i="10"/>
  <c r="N584" i="10" s="1"/>
  <c r="O584" i="10" s="1"/>
  <c r="P584" i="10" s="1"/>
  <c r="Q584" i="10" s="1"/>
  <c r="R584" i="10" s="1"/>
  <c r="S584" i="10" s="1"/>
  <c r="T584" i="10" s="1"/>
  <c r="U584" i="10" s="1"/>
  <c r="V584" i="10" s="1"/>
  <c r="D586" i="10" l="1"/>
  <c r="M585" i="10"/>
  <c r="N585" i="10" s="1"/>
  <c r="O585" i="10" s="1"/>
  <c r="P585" i="10" s="1"/>
  <c r="Q585" i="10" s="1"/>
  <c r="R585" i="10" s="1"/>
  <c r="S585" i="10" s="1"/>
  <c r="T585" i="10" s="1"/>
  <c r="U585" i="10" s="1"/>
  <c r="V585" i="10" s="1"/>
  <c r="D587" i="10" l="1"/>
  <c r="M586" i="10"/>
  <c r="N586" i="10" s="1"/>
  <c r="O586" i="10" s="1"/>
  <c r="P586" i="10" s="1"/>
  <c r="Q586" i="10" s="1"/>
  <c r="R586" i="10" s="1"/>
  <c r="S586" i="10" s="1"/>
  <c r="T586" i="10" s="1"/>
  <c r="U586" i="10" s="1"/>
  <c r="V586" i="10" s="1"/>
  <c r="D588" i="10" l="1"/>
  <c r="M587" i="10"/>
  <c r="N587" i="10" s="1"/>
  <c r="O587" i="10" s="1"/>
  <c r="P587" i="10" s="1"/>
  <c r="Q587" i="10" s="1"/>
  <c r="R587" i="10" s="1"/>
  <c r="S587" i="10" s="1"/>
  <c r="T587" i="10" s="1"/>
  <c r="U587" i="10" s="1"/>
  <c r="V587" i="10" s="1"/>
  <c r="D589" i="10" l="1"/>
  <c r="M588" i="10"/>
  <c r="N588" i="10" s="1"/>
  <c r="O588" i="10" s="1"/>
  <c r="P588" i="10" s="1"/>
  <c r="Q588" i="10" s="1"/>
  <c r="R588" i="10" s="1"/>
  <c r="S588" i="10" s="1"/>
  <c r="T588" i="10" s="1"/>
  <c r="U588" i="10" s="1"/>
  <c r="V588" i="10" s="1"/>
  <c r="D590" i="10" l="1"/>
  <c r="M589" i="10"/>
  <c r="N589" i="10" s="1"/>
  <c r="O589" i="10" s="1"/>
  <c r="P589" i="10" s="1"/>
  <c r="Q589" i="10" s="1"/>
  <c r="R589" i="10" s="1"/>
  <c r="S589" i="10" s="1"/>
  <c r="T589" i="10" s="1"/>
  <c r="U589" i="10" s="1"/>
  <c r="V589" i="10" s="1"/>
  <c r="D591" i="10" l="1"/>
  <c r="M590" i="10"/>
  <c r="N590" i="10" s="1"/>
  <c r="O590" i="10" s="1"/>
  <c r="P590" i="10" s="1"/>
  <c r="Q590" i="10" s="1"/>
  <c r="R590" i="10" s="1"/>
  <c r="S590" i="10" s="1"/>
  <c r="T590" i="10" s="1"/>
  <c r="U590" i="10" s="1"/>
  <c r="V590" i="10" s="1"/>
  <c r="D592" i="10" l="1"/>
  <c r="M591" i="10"/>
  <c r="N591" i="10" s="1"/>
  <c r="O591" i="10" s="1"/>
  <c r="P591" i="10" s="1"/>
  <c r="Q591" i="10" s="1"/>
  <c r="R591" i="10" s="1"/>
  <c r="S591" i="10" s="1"/>
  <c r="T591" i="10" s="1"/>
  <c r="U591" i="10" s="1"/>
  <c r="V591" i="10" s="1"/>
  <c r="D593" i="10" l="1"/>
  <c r="M592" i="10"/>
  <c r="N592" i="10" s="1"/>
  <c r="O592" i="10" s="1"/>
  <c r="P592" i="10" s="1"/>
  <c r="Q592" i="10" s="1"/>
  <c r="R592" i="10" s="1"/>
  <c r="S592" i="10" s="1"/>
  <c r="T592" i="10" s="1"/>
  <c r="U592" i="10" s="1"/>
  <c r="V592" i="10" s="1"/>
  <c r="D594" i="10" l="1"/>
  <c r="M593" i="10"/>
  <c r="N593" i="10" s="1"/>
  <c r="O593" i="10" s="1"/>
  <c r="P593" i="10" s="1"/>
  <c r="Q593" i="10" s="1"/>
  <c r="R593" i="10" s="1"/>
  <c r="S593" i="10" s="1"/>
  <c r="T593" i="10" s="1"/>
  <c r="U593" i="10" s="1"/>
  <c r="V593" i="10" s="1"/>
  <c r="D595" i="10" l="1"/>
  <c r="M594" i="10"/>
  <c r="N594" i="10" s="1"/>
  <c r="O594" i="10" s="1"/>
  <c r="P594" i="10" s="1"/>
  <c r="Q594" i="10" s="1"/>
  <c r="R594" i="10" s="1"/>
  <c r="S594" i="10" s="1"/>
  <c r="T594" i="10" s="1"/>
  <c r="U594" i="10" s="1"/>
  <c r="V594" i="10" s="1"/>
  <c r="D596" i="10" l="1"/>
  <c r="M595" i="10"/>
  <c r="N595" i="10" s="1"/>
  <c r="O595" i="10" s="1"/>
  <c r="P595" i="10" s="1"/>
  <c r="Q595" i="10" s="1"/>
  <c r="R595" i="10" s="1"/>
  <c r="S595" i="10" s="1"/>
  <c r="T595" i="10" s="1"/>
  <c r="U595" i="10" s="1"/>
  <c r="V595" i="10" s="1"/>
  <c r="D597" i="10" l="1"/>
  <c r="M596" i="10"/>
  <c r="N596" i="10" s="1"/>
  <c r="O596" i="10" s="1"/>
  <c r="P596" i="10" s="1"/>
  <c r="Q596" i="10" s="1"/>
  <c r="R596" i="10" s="1"/>
  <c r="S596" i="10" s="1"/>
  <c r="T596" i="10" s="1"/>
  <c r="U596" i="10" s="1"/>
  <c r="V596" i="10" s="1"/>
  <c r="D598" i="10" l="1"/>
  <c r="M597" i="10"/>
  <c r="N597" i="10" s="1"/>
  <c r="O597" i="10" s="1"/>
  <c r="P597" i="10" s="1"/>
  <c r="Q597" i="10" s="1"/>
  <c r="R597" i="10" s="1"/>
  <c r="S597" i="10" s="1"/>
  <c r="T597" i="10" s="1"/>
  <c r="U597" i="10" s="1"/>
  <c r="V597" i="10" s="1"/>
  <c r="D599" i="10" l="1"/>
  <c r="M598" i="10"/>
  <c r="N598" i="10" s="1"/>
  <c r="O598" i="10" s="1"/>
  <c r="P598" i="10" s="1"/>
  <c r="Q598" i="10" s="1"/>
  <c r="R598" i="10" s="1"/>
  <c r="S598" i="10" s="1"/>
  <c r="T598" i="10" s="1"/>
  <c r="U598" i="10" s="1"/>
  <c r="V598" i="10" s="1"/>
  <c r="D600" i="10" l="1"/>
  <c r="M599" i="10"/>
  <c r="N599" i="10" s="1"/>
  <c r="O599" i="10" s="1"/>
  <c r="P599" i="10" s="1"/>
  <c r="Q599" i="10" s="1"/>
  <c r="R599" i="10" s="1"/>
  <c r="S599" i="10" s="1"/>
  <c r="T599" i="10" s="1"/>
  <c r="U599" i="10" s="1"/>
  <c r="V599" i="10" s="1"/>
  <c r="D601" i="10" l="1"/>
  <c r="M600" i="10"/>
  <c r="N600" i="10" s="1"/>
  <c r="O600" i="10" s="1"/>
  <c r="P600" i="10" s="1"/>
  <c r="Q600" i="10" s="1"/>
  <c r="R600" i="10" s="1"/>
  <c r="S600" i="10" s="1"/>
  <c r="T600" i="10" s="1"/>
  <c r="U600" i="10" s="1"/>
  <c r="V600" i="10" s="1"/>
  <c r="D602" i="10" l="1"/>
  <c r="M601" i="10"/>
  <c r="N601" i="10" s="1"/>
  <c r="O601" i="10" s="1"/>
  <c r="P601" i="10" s="1"/>
  <c r="Q601" i="10" s="1"/>
  <c r="R601" i="10" s="1"/>
  <c r="S601" i="10" s="1"/>
  <c r="T601" i="10" s="1"/>
  <c r="U601" i="10" s="1"/>
  <c r="V601" i="10" s="1"/>
  <c r="D603" i="10" l="1"/>
  <c r="M602" i="10"/>
  <c r="N602" i="10" s="1"/>
  <c r="O602" i="10" s="1"/>
  <c r="P602" i="10" s="1"/>
  <c r="Q602" i="10" s="1"/>
  <c r="R602" i="10" s="1"/>
  <c r="S602" i="10" s="1"/>
  <c r="T602" i="10" s="1"/>
  <c r="U602" i="10" s="1"/>
  <c r="V602" i="10" s="1"/>
  <c r="D604" i="10" l="1"/>
  <c r="M603" i="10"/>
  <c r="N603" i="10" s="1"/>
  <c r="O603" i="10" s="1"/>
  <c r="P603" i="10" s="1"/>
  <c r="Q603" i="10" s="1"/>
  <c r="R603" i="10" s="1"/>
  <c r="S603" i="10" s="1"/>
  <c r="T603" i="10" s="1"/>
  <c r="U603" i="10" s="1"/>
  <c r="V603" i="10" s="1"/>
  <c r="D605" i="10" l="1"/>
  <c r="M604" i="10"/>
  <c r="N604" i="10" s="1"/>
  <c r="O604" i="10" s="1"/>
  <c r="P604" i="10" s="1"/>
  <c r="Q604" i="10" s="1"/>
  <c r="R604" i="10" s="1"/>
  <c r="S604" i="10" s="1"/>
  <c r="T604" i="10" s="1"/>
  <c r="U604" i="10" s="1"/>
  <c r="V604" i="10" s="1"/>
  <c r="D606" i="10" l="1"/>
  <c r="M605" i="10"/>
  <c r="N605" i="10" s="1"/>
  <c r="O605" i="10" s="1"/>
  <c r="P605" i="10" s="1"/>
  <c r="Q605" i="10" s="1"/>
  <c r="R605" i="10" s="1"/>
  <c r="S605" i="10" s="1"/>
  <c r="T605" i="10" s="1"/>
  <c r="U605" i="10" s="1"/>
  <c r="V605" i="10" s="1"/>
  <c r="D607" i="10" l="1"/>
  <c r="M606" i="10"/>
  <c r="N606" i="10" s="1"/>
  <c r="O606" i="10" s="1"/>
  <c r="P606" i="10" s="1"/>
  <c r="Q606" i="10" s="1"/>
  <c r="R606" i="10" s="1"/>
  <c r="S606" i="10" s="1"/>
  <c r="T606" i="10" s="1"/>
  <c r="U606" i="10" s="1"/>
  <c r="V606" i="10" s="1"/>
  <c r="D608" i="10" l="1"/>
  <c r="M607" i="10"/>
  <c r="N607" i="10" s="1"/>
  <c r="O607" i="10" s="1"/>
  <c r="P607" i="10" s="1"/>
  <c r="Q607" i="10" s="1"/>
  <c r="R607" i="10" s="1"/>
  <c r="S607" i="10" s="1"/>
  <c r="T607" i="10" s="1"/>
  <c r="U607" i="10" s="1"/>
  <c r="V607" i="10" s="1"/>
  <c r="D609" i="10" l="1"/>
  <c r="M608" i="10"/>
  <c r="N608" i="10" s="1"/>
  <c r="O608" i="10" s="1"/>
  <c r="P608" i="10" s="1"/>
  <c r="Q608" i="10" s="1"/>
  <c r="R608" i="10" s="1"/>
  <c r="S608" i="10" s="1"/>
  <c r="T608" i="10" s="1"/>
  <c r="U608" i="10" s="1"/>
  <c r="V608" i="10" s="1"/>
  <c r="D610" i="10" l="1"/>
  <c r="M609" i="10"/>
  <c r="N609" i="10" s="1"/>
  <c r="O609" i="10" s="1"/>
  <c r="P609" i="10" s="1"/>
  <c r="Q609" i="10" s="1"/>
  <c r="R609" i="10" s="1"/>
  <c r="S609" i="10" s="1"/>
  <c r="T609" i="10" s="1"/>
  <c r="U609" i="10" s="1"/>
  <c r="V609" i="10" s="1"/>
  <c r="D611" i="10" l="1"/>
  <c r="M610" i="10"/>
  <c r="N610" i="10" s="1"/>
  <c r="O610" i="10" s="1"/>
  <c r="P610" i="10" s="1"/>
  <c r="Q610" i="10" s="1"/>
  <c r="R610" i="10" s="1"/>
  <c r="S610" i="10" s="1"/>
  <c r="T610" i="10" s="1"/>
  <c r="U610" i="10" s="1"/>
  <c r="V610" i="10" s="1"/>
  <c r="D612" i="10" l="1"/>
  <c r="M611" i="10"/>
  <c r="N611" i="10" s="1"/>
  <c r="O611" i="10" s="1"/>
  <c r="P611" i="10" s="1"/>
  <c r="Q611" i="10" s="1"/>
  <c r="R611" i="10" s="1"/>
  <c r="S611" i="10" s="1"/>
  <c r="T611" i="10" s="1"/>
  <c r="U611" i="10" s="1"/>
  <c r="V611" i="10" s="1"/>
  <c r="D613" i="10" l="1"/>
  <c r="M612" i="10"/>
  <c r="N612" i="10" s="1"/>
  <c r="O612" i="10" s="1"/>
  <c r="P612" i="10" s="1"/>
  <c r="Q612" i="10" s="1"/>
  <c r="R612" i="10" s="1"/>
  <c r="S612" i="10" s="1"/>
  <c r="T612" i="10" s="1"/>
  <c r="U612" i="10" s="1"/>
  <c r="V612" i="10" s="1"/>
  <c r="D614" i="10" l="1"/>
  <c r="M613" i="10"/>
  <c r="N613" i="10" s="1"/>
  <c r="O613" i="10" s="1"/>
  <c r="P613" i="10" s="1"/>
  <c r="Q613" i="10" s="1"/>
  <c r="R613" i="10" s="1"/>
  <c r="S613" i="10" s="1"/>
  <c r="T613" i="10" s="1"/>
  <c r="U613" i="10" s="1"/>
  <c r="V613" i="10" s="1"/>
  <c r="D615" i="10" l="1"/>
  <c r="M614" i="10"/>
  <c r="N614" i="10" s="1"/>
  <c r="O614" i="10" s="1"/>
  <c r="P614" i="10" s="1"/>
  <c r="Q614" i="10" s="1"/>
  <c r="R614" i="10" s="1"/>
  <c r="S614" i="10" s="1"/>
  <c r="T614" i="10" s="1"/>
  <c r="U614" i="10" s="1"/>
  <c r="V614" i="10" s="1"/>
  <c r="D616" i="10" l="1"/>
  <c r="M615" i="10"/>
  <c r="N615" i="10" s="1"/>
  <c r="O615" i="10" s="1"/>
  <c r="P615" i="10" s="1"/>
  <c r="Q615" i="10" s="1"/>
  <c r="R615" i="10" s="1"/>
  <c r="S615" i="10" s="1"/>
  <c r="T615" i="10" s="1"/>
  <c r="U615" i="10" s="1"/>
  <c r="V615" i="10" s="1"/>
  <c r="D617" i="10" l="1"/>
  <c r="M616" i="10"/>
  <c r="N616" i="10" s="1"/>
  <c r="O616" i="10" s="1"/>
  <c r="P616" i="10" s="1"/>
  <c r="Q616" i="10" s="1"/>
  <c r="R616" i="10" s="1"/>
  <c r="S616" i="10" s="1"/>
  <c r="T616" i="10" s="1"/>
  <c r="U616" i="10" s="1"/>
  <c r="V616" i="10" s="1"/>
  <c r="D618" i="10" l="1"/>
  <c r="M617" i="10"/>
  <c r="N617" i="10" s="1"/>
  <c r="O617" i="10" s="1"/>
  <c r="P617" i="10" s="1"/>
  <c r="Q617" i="10" s="1"/>
  <c r="R617" i="10" s="1"/>
  <c r="S617" i="10" s="1"/>
  <c r="T617" i="10" s="1"/>
  <c r="U617" i="10" s="1"/>
  <c r="V617" i="10" s="1"/>
  <c r="D619" i="10" l="1"/>
  <c r="M618" i="10"/>
  <c r="N618" i="10" s="1"/>
  <c r="O618" i="10" s="1"/>
  <c r="P618" i="10" s="1"/>
  <c r="Q618" i="10" s="1"/>
  <c r="R618" i="10" s="1"/>
  <c r="S618" i="10" s="1"/>
  <c r="T618" i="10" s="1"/>
  <c r="U618" i="10" s="1"/>
  <c r="V618" i="10" s="1"/>
  <c r="D620" i="10" l="1"/>
  <c r="M619" i="10"/>
  <c r="N619" i="10" s="1"/>
  <c r="O619" i="10" s="1"/>
  <c r="P619" i="10" s="1"/>
  <c r="Q619" i="10" s="1"/>
  <c r="R619" i="10" s="1"/>
  <c r="S619" i="10" s="1"/>
  <c r="T619" i="10" s="1"/>
  <c r="U619" i="10" s="1"/>
  <c r="V619" i="10" s="1"/>
  <c r="D621" i="10" l="1"/>
  <c r="M620" i="10"/>
  <c r="N620" i="10" s="1"/>
  <c r="O620" i="10" s="1"/>
  <c r="P620" i="10" s="1"/>
  <c r="Q620" i="10" s="1"/>
  <c r="R620" i="10" s="1"/>
  <c r="S620" i="10" s="1"/>
  <c r="T620" i="10" s="1"/>
  <c r="U620" i="10" s="1"/>
  <c r="V620" i="10" s="1"/>
  <c r="D622" i="10" l="1"/>
  <c r="M621" i="10"/>
  <c r="N621" i="10" s="1"/>
  <c r="O621" i="10" s="1"/>
  <c r="P621" i="10" s="1"/>
  <c r="Q621" i="10" s="1"/>
  <c r="R621" i="10" s="1"/>
  <c r="S621" i="10" s="1"/>
  <c r="T621" i="10" s="1"/>
  <c r="U621" i="10" s="1"/>
  <c r="V621" i="10" s="1"/>
  <c r="D623" i="10" l="1"/>
  <c r="M622" i="10"/>
  <c r="N622" i="10" s="1"/>
  <c r="O622" i="10" s="1"/>
  <c r="P622" i="10" s="1"/>
  <c r="Q622" i="10" s="1"/>
  <c r="R622" i="10" s="1"/>
  <c r="S622" i="10" s="1"/>
  <c r="T622" i="10" s="1"/>
  <c r="U622" i="10" s="1"/>
  <c r="V622" i="10" s="1"/>
  <c r="D624" i="10" l="1"/>
  <c r="M623" i="10"/>
  <c r="N623" i="10" s="1"/>
  <c r="O623" i="10" s="1"/>
  <c r="P623" i="10" s="1"/>
  <c r="Q623" i="10" s="1"/>
  <c r="R623" i="10" s="1"/>
  <c r="S623" i="10" s="1"/>
  <c r="T623" i="10" s="1"/>
  <c r="U623" i="10" s="1"/>
  <c r="V623" i="10" s="1"/>
  <c r="D625" i="10" l="1"/>
  <c r="M624" i="10"/>
  <c r="N624" i="10" s="1"/>
  <c r="O624" i="10" s="1"/>
  <c r="P624" i="10" s="1"/>
  <c r="Q624" i="10" s="1"/>
  <c r="R624" i="10" s="1"/>
  <c r="S624" i="10" s="1"/>
  <c r="T624" i="10" s="1"/>
  <c r="U624" i="10" s="1"/>
  <c r="V624" i="10" s="1"/>
  <c r="D626" i="10" l="1"/>
  <c r="M625" i="10"/>
  <c r="N625" i="10" s="1"/>
  <c r="O625" i="10" s="1"/>
  <c r="P625" i="10" s="1"/>
  <c r="Q625" i="10" s="1"/>
  <c r="R625" i="10" s="1"/>
  <c r="S625" i="10" s="1"/>
  <c r="T625" i="10" s="1"/>
  <c r="U625" i="10" s="1"/>
  <c r="V625" i="10" s="1"/>
  <c r="D627" i="10" l="1"/>
  <c r="M626" i="10"/>
  <c r="N626" i="10" s="1"/>
  <c r="O626" i="10" s="1"/>
  <c r="P626" i="10" s="1"/>
  <c r="Q626" i="10" s="1"/>
  <c r="R626" i="10" s="1"/>
  <c r="S626" i="10" s="1"/>
  <c r="T626" i="10" s="1"/>
  <c r="U626" i="10" s="1"/>
  <c r="V626" i="10" s="1"/>
  <c r="D628" i="10" l="1"/>
  <c r="M627" i="10"/>
  <c r="N627" i="10" s="1"/>
  <c r="O627" i="10" s="1"/>
  <c r="P627" i="10" s="1"/>
  <c r="Q627" i="10" s="1"/>
  <c r="R627" i="10" s="1"/>
  <c r="S627" i="10" s="1"/>
  <c r="T627" i="10" s="1"/>
  <c r="U627" i="10" s="1"/>
  <c r="V627" i="10" s="1"/>
  <c r="D629" i="10" l="1"/>
  <c r="M628" i="10"/>
  <c r="N628" i="10" s="1"/>
  <c r="O628" i="10" s="1"/>
  <c r="P628" i="10" s="1"/>
  <c r="Q628" i="10" s="1"/>
  <c r="R628" i="10" s="1"/>
  <c r="S628" i="10" s="1"/>
  <c r="T628" i="10" s="1"/>
  <c r="U628" i="10" s="1"/>
  <c r="V628" i="10" s="1"/>
  <c r="D630" i="10" l="1"/>
  <c r="M629" i="10"/>
  <c r="N629" i="10" s="1"/>
  <c r="O629" i="10" s="1"/>
  <c r="P629" i="10" s="1"/>
  <c r="Q629" i="10" s="1"/>
  <c r="R629" i="10" s="1"/>
  <c r="S629" i="10" s="1"/>
  <c r="T629" i="10" s="1"/>
  <c r="U629" i="10" s="1"/>
  <c r="V629" i="10" s="1"/>
  <c r="D631" i="10" l="1"/>
  <c r="M630" i="10"/>
  <c r="N630" i="10" s="1"/>
  <c r="O630" i="10" s="1"/>
  <c r="P630" i="10" s="1"/>
  <c r="Q630" i="10" s="1"/>
  <c r="R630" i="10" s="1"/>
  <c r="S630" i="10" s="1"/>
  <c r="T630" i="10" s="1"/>
  <c r="U630" i="10" s="1"/>
  <c r="V630" i="10" s="1"/>
  <c r="D632" i="10" l="1"/>
  <c r="M631" i="10"/>
  <c r="N631" i="10" s="1"/>
  <c r="O631" i="10" s="1"/>
  <c r="P631" i="10" s="1"/>
  <c r="Q631" i="10" s="1"/>
  <c r="R631" i="10" s="1"/>
  <c r="S631" i="10" s="1"/>
  <c r="T631" i="10" s="1"/>
  <c r="U631" i="10" s="1"/>
  <c r="V631" i="10" s="1"/>
  <c r="D633" i="10" l="1"/>
  <c r="M632" i="10"/>
  <c r="N632" i="10" s="1"/>
  <c r="O632" i="10" s="1"/>
  <c r="P632" i="10" s="1"/>
  <c r="Q632" i="10" s="1"/>
  <c r="R632" i="10" s="1"/>
  <c r="S632" i="10" s="1"/>
  <c r="T632" i="10" s="1"/>
  <c r="U632" i="10" s="1"/>
  <c r="V632" i="10" s="1"/>
  <c r="D634" i="10" l="1"/>
  <c r="M633" i="10"/>
  <c r="N633" i="10" s="1"/>
  <c r="O633" i="10" s="1"/>
  <c r="P633" i="10" s="1"/>
  <c r="Q633" i="10" s="1"/>
  <c r="R633" i="10" s="1"/>
  <c r="S633" i="10" s="1"/>
  <c r="T633" i="10" s="1"/>
  <c r="U633" i="10" s="1"/>
  <c r="V633" i="10" s="1"/>
  <c r="D635" i="10" l="1"/>
  <c r="M634" i="10"/>
  <c r="N634" i="10" s="1"/>
  <c r="O634" i="10" s="1"/>
  <c r="P634" i="10" s="1"/>
  <c r="Q634" i="10" s="1"/>
  <c r="R634" i="10" s="1"/>
  <c r="S634" i="10" s="1"/>
  <c r="T634" i="10" s="1"/>
  <c r="U634" i="10" s="1"/>
  <c r="V634" i="10" s="1"/>
  <c r="D636" i="10" l="1"/>
  <c r="M635" i="10"/>
  <c r="N635" i="10" s="1"/>
  <c r="O635" i="10" s="1"/>
  <c r="P635" i="10" s="1"/>
  <c r="Q635" i="10" s="1"/>
  <c r="R635" i="10" s="1"/>
  <c r="S635" i="10" s="1"/>
  <c r="T635" i="10" s="1"/>
  <c r="U635" i="10" s="1"/>
  <c r="V635" i="10" s="1"/>
  <c r="D637" i="10" l="1"/>
  <c r="M636" i="10"/>
  <c r="N636" i="10" s="1"/>
  <c r="O636" i="10" s="1"/>
  <c r="P636" i="10" s="1"/>
  <c r="Q636" i="10" s="1"/>
  <c r="R636" i="10" s="1"/>
  <c r="S636" i="10" s="1"/>
  <c r="T636" i="10" s="1"/>
  <c r="U636" i="10" s="1"/>
  <c r="V636" i="10" s="1"/>
  <c r="D638" i="10" l="1"/>
  <c r="M637" i="10"/>
  <c r="N637" i="10" s="1"/>
  <c r="O637" i="10" s="1"/>
  <c r="P637" i="10" s="1"/>
  <c r="Q637" i="10" s="1"/>
  <c r="R637" i="10" s="1"/>
  <c r="S637" i="10" s="1"/>
  <c r="T637" i="10" s="1"/>
  <c r="U637" i="10" s="1"/>
  <c r="V637" i="10" s="1"/>
  <c r="D639" i="10" l="1"/>
  <c r="M638" i="10"/>
  <c r="N638" i="10" s="1"/>
  <c r="O638" i="10" s="1"/>
  <c r="P638" i="10" s="1"/>
  <c r="Q638" i="10" s="1"/>
  <c r="R638" i="10" s="1"/>
  <c r="S638" i="10" s="1"/>
  <c r="T638" i="10" s="1"/>
  <c r="U638" i="10" s="1"/>
  <c r="V638" i="10" s="1"/>
  <c r="D640" i="10" l="1"/>
  <c r="M639" i="10"/>
  <c r="N639" i="10" s="1"/>
  <c r="O639" i="10" s="1"/>
  <c r="P639" i="10" s="1"/>
  <c r="Q639" i="10" s="1"/>
  <c r="R639" i="10" s="1"/>
  <c r="S639" i="10" s="1"/>
  <c r="T639" i="10" s="1"/>
  <c r="U639" i="10" s="1"/>
  <c r="V639" i="10" s="1"/>
  <c r="D641" i="10" l="1"/>
  <c r="M640" i="10"/>
  <c r="N640" i="10" s="1"/>
  <c r="O640" i="10" s="1"/>
  <c r="P640" i="10" s="1"/>
  <c r="Q640" i="10" s="1"/>
  <c r="R640" i="10" s="1"/>
  <c r="S640" i="10" s="1"/>
  <c r="T640" i="10" s="1"/>
  <c r="U640" i="10" s="1"/>
  <c r="V640" i="10" s="1"/>
  <c r="D642" i="10" l="1"/>
  <c r="M641" i="10"/>
  <c r="N641" i="10" s="1"/>
  <c r="O641" i="10" s="1"/>
  <c r="P641" i="10" s="1"/>
  <c r="Q641" i="10" s="1"/>
  <c r="R641" i="10" s="1"/>
  <c r="S641" i="10" s="1"/>
  <c r="T641" i="10" s="1"/>
  <c r="U641" i="10" s="1"/>
  <c r="V641" i="10" s="1"/>
  <c r="D643" i="10" l="1"/>
  <c r="M642" i="10"/>
  <c r="N642" i="10" s="1"/>
  <c r="O642" i="10" s="1"/>
  <c r="P642" i="10" s="1"/>
  <c r="Q642" i="10" s="1"/>
  <c r="R642" i="10" s="1"/>
  <c r="S642" i="10" s="1"/>
  <c r="T642" i="10" s="1"/>
  <c r="U642" i="10" s="1"/>
  <c r="V642" i="10" s="1"/>
  <c r="D644" i="10" l="1"/>
  <c r="M643" i="10"/>
  <c r="N643" i="10" s="1"/>
  <c r="O643" i="10" s="1"/>
  <c r="P643" i="10" s="1"/>
  <c r="Q643" i="10" s="1"/>
  <c r="R643" i="10" s="1"/>
  <c r="S643" i="10" s="1"/>
  <c r="T643" i="10" s="1"/>
  <c r="U643" i="10" s="1"/>
  <c r="V643" i="10" s="1"/>
  <c r="D645" i="10" l="1"/>
  <c r="M644" i="10"/>
  <c r="N644" i="10" s="1"/>
  <c r="O644" i="10" s="1"/>
  <c r="P644" i="10" s="1"/>
  <c r="Q644" i="10" s="1"/>
  <c r="R644" i="10" s="1"/>
  <c r="S644" i="10" s="1"/>
  <c r="T644" i="10" s="1"/>
  <c r="U644" i="10" s="1"/>
  <c r="V644" i="10" s="1"/>
  <c r="D646" i="10" l="1"/>
  <c r="M645" i="10"/>
  <c r="N645" i="10" s="1"/>
  <c r="O645" i="10" s="1"/>
  <c r="P645" i="10" s="1"/>
  <c r="Q645" i="10" s="1"/>
  <c r="R645" i="10" s="1"/>
  <c r="S645" i="10" s="1"/>
  <c r="T645" i="10" s="1"/>
  <c r="U645" i="10" s="1"/>
  <c r="V645" i="10" s="1"/>
  <c r="D647" i="10" l="1"/>
  <c r="M646" i="10"/>
  <c r="N646" i="10" s="1"/>
  <c r="O646" i="10" s="1"/>
  <c r="P646" i="10" s="1"/>
  <c r="Q646" i="10" s="1"/>
  <c r="R646" i="10" s="1"/>
  <c r="S646" i="10" s="1"/>
  <c r="T646" i="10" s="1"/>
  <c r="U646" i="10" s="1"/>
  <c r="V646" i="10" s="1"/>
  <c r="D648" i="10" l="1"/>
  <c r="M647" i="10"/>
  <c r="N647" i="10" s="1"/>
  <c r="O647" i="10" s="1"/>
  <c r="P647" i="10" s="1"/>
  <c r="Q647" i="10" s="1"/>
  <c r="R647" i="10" s="1"/>
  <c r="S647" i="10" s="1"/>
  <c r="T647" i="10" s="1"/>
  <c r="U647" i="10" s="1"/>
  <c r="V647" i="10" s="1"/>
  <c r="D649" i="10" l="1"/>
  <c r="M648" i="10"/>
  <c r="N648" i="10" s="1"/>
  <c r="O648" i="10" s="1"/>
  <c r="P648" i="10" s="1"/>
  <c r="Q648" i="10" s="1"/>
  <c r="R648" i="10" s="1"/>
  <c r="S648" i="10" s="1"/>
  <c r="T648" i="10" s="1"/>
  <c r="U648" i="10" s="1"/>
  <c r="V648" i="10" s="1"/>
  <c r="D650" i="10" l="1"/>
  <c r="M649" i="10"/>
  <c r="N649" i="10" s="1"/>
  <c r="O649" i="10" s="1"/>
  <c r="P649" i="10" s="1"/>
  <c r="Q649" i="10" s="1"/>
  <c r="R649" i="10" s="1"/>
  <c r="S649" i="10" s="1"/>
  <c r="T649" i="10" s="1"/>
  <c r="U649" i="10" s="1"/>
  <c r="V649" i="10" s="1"/>
  <c r="D651" i="10" l="1"/>
  <c r="M650" i="10"/>
  <c r="N650" i="10" s="1"/>
  <c r="O650" i="10" s="1"/>
  <c r="P650" i="10" s="1"/>
  <c r="Q650" i="10" s="1"/>
  <c r="R650" i="10" s="1"/>
  <c r="S650" i="10" s="1"/>
  <c r="T650" i="10" s="1"/>
  <c r="U650" i="10" s="1"/>
  <c r="V650" i="10" s="1"/>
  <c r="D652" i="10" l="1"/>
  <c r="M651" i="10"/>
  <c r="N651" i="10" s="1"/>
  <c r="O651" i="10" s="1"/>
  <c r="P651" i="10" s="1"/>
  <c r="Q651" i="10" s="1"/>
  <c r="R651" i="10" s="1"/>
  <c r="S651" i="10" s="1"/>
  <c r="T651" i="10" s="1"/>
  <c r="U651" i="10" s="1"/>
  <c r="V651" i="10" s="1"/>
  <c r="D653" i="10" l="1"/>
  <c r="M652" i="10"/>
  <c r="N652" i="10" s="1"/>
  <c r="O652" i="10" s="1"/>
  <c r="P652" i="10" s="1"/>
  <c r="Q652" i="10" s="1"/>
  <c r="R652" i="10" s="1"/>
  <c r="S652" i="10" s="1"/>
  <c r="T652" i="10" s="1"/>
  <c r="U652" i="10" s="1"/>
  <c r="V652" i="10" s="1"/>
  <c r="D654" i="10" l="1"/>
  <c r="M653" i="10"/>
  <c r="N653" i="10" s="1"/>
  <c r="O653" i="10" s="1"/>
  <c r="P653" i="10" s="1"/>
  <c r="Q653" i="10" s="1"/>
  <c r="R653" i="10" s="1"/>
  <c r="S653" i="10" s="1"/>
  <c r="T653" i="10" s="1"/>
  <c r="U653" i="10" s="1"/>
  <c r="V653" i="10" s="1"/>
  <c r="D655" i="10" l="1"/>
  <c r="M654" i="10"/>
  <c r="N654" i="10" s="1"/>
  <c r="O654" i="10" s="1"/>
  <c r="P654" i="10" s="1"/>
  <c r="Q654" i="10" s="1"/>
  <c r="R654" i="10" s="1"/>
  <c r="S654" i="10" s="1"/>
  <c r="T654" i="10" s="1"/>
  <c r="U654" i="10" s="1"/>
  <c r="V654" i="10" s="1"/>
  <c r="D656" i="10" l="1"/>
  <c r="M655" i="10"/>
  <c r="N655" i="10" s="1"/>
  <c r="O655" i="10" s="1"/>
  <c r="P655" i="10" s="1"/>
  <c r="Q655" i="10" s="1"/>
  <c r="R655" i="10" s="1"/>
  <c r="S655" i="10" s="1"/>
  <c r="T655" i="10" s="1"/>
  <c r="U655" i="10" s="1"/>
  <c r="V655" i="10" s="1"/>
  <c r="D657" i="10" l="1"/>
  <c r="M656" i="10"/>
  <c r="N656" i="10" s="1"/>
  <c r="O656" i="10" s="1"/>
  <c r="P656" i="10" s="1"/>
  <c r="Q656" i="10" s="1"/>
  <c r="R656" i="10" s="1"/>
  <c r="S656" i="10" s="1"/>
  <c r="T656" i="10" s="1"/>
  <c r="U656" i="10" s="1"/>
  <c r="V656" i="10" s="1"/>
  <c r="D658" i="10" l="1"/>
  <c r="M657" i="10"/>
  <c r="N657" i="10" s="1"/>
  <c r="O657" i="10" s="1"/>
  <c r="P657" i="10" s="1"/>
  <c r="Q657" i="10" s="1"/>
  <c r="R657" i="10" s="1"/>
  <c r="S657" i="10" s="1"/>
  <c r="T657" i="10" s="1"/>
  <c r="U657" i="10" s="1"/>
  <c r="V657" i="10" s="1"/>
  <c r="D659" i="10" l="1"/>
  <c r="M658" i="10"/>
  <c r="N658" i="10" s="1"/>
  <c r="O658" i="10" s="1"/>
  <c r="P658" i="10" s="1"/>
  <c r="Q658" i="10" s="1"/>
  <c r="R658" i="10" s="1"/>
  <c r="S658" i="10" s="1"/>
  <c r="T658" i="10" s="1"/>
  <c r="U658" i="10" s="1"/>
  <c r="V658" i="10" s="1"/>
  <c r="D660" i="10" l="1"/>
  <c r="M659" i="10"/>
  <c r="N659" i="10" s="1"/>
  <c r="O659" i="10" s="1"/>
  <c r="P659" i="10" s="1"/>
  <c r="Q659" i="10" s="1"/>
  <c r="R659" i="10" s="1"/>
  <c r="S659" i="10" s="1"/>
  <c r="T659" i="10" s="1"/>
  <c r="U659" i="10" s="1"/>
  <c r="V659" i="10" s="1"/>
  <c r="D661" i="10" l="1"/>
  <c r="M660" i="10"/>
  <c r="N660" i="10" s="1"/>
  <c r="O660" i="10" s="1"/>
  <c r="P660" i="10" s="1"/>
  <c r="Q660" i="10" s="1"/>
  <c r="R660" i="10" s="1"/>
  <c r="S660" i="10" s="1"/>
  <c r="T660" i="10" s="1"/>
  <c r="U660" i="10" s="1"/>
  <c r="V660" i="10" s="1"/>
  <c r="D662" i="10" l="1"/>
  <c r="M661" i="10"/>
  <c r="N661" i="10" s="1"/>
  <c r="O661" i="10" s="1"/>
  <c r="P661" i="10" s="1"/>
  <c r="Q661" i="10" s="1"/>
  <c r="R661" i="10" s="1"/>
  <c r="S661" i="10" s="1"/>
  <c r="T661" i="10" s="1"/>
  <c r="U661" i="10" s="1"/>
  <c r="V661" i="10" s="1"/>
  <c r="D663" i="10" l="1"/>
  <c r="M662" i="10"/>
  <c r="N662" i="10" s="1"/>
  <c r="O662" i="10" s="1"/>
  <c r="P662" i="10" s="1"/>
  <c r="Q662" i="10" s="1"/>
  <c r="R662" i="10" s="1"/>
  <c r="S662" i="10" s="1"/>
  <c r="T662" i="10" s="1"/>
  <c r="U662" i="10" s="1"/>
  <c r="V662" i="10" s="1"/>
  <c r="D664" i="10" l="1"/>
  <c r="M663" i="10"/>
  <c r="N663" i="10" s="1"/>
  <c r="O663" i="10" s="1"/>
  <c r="P663" i="10" s="1"/>
  <c r="Q663" i="10" s="1"/>
  <c r="R663" i="10" s="1"/>
  <c r="S663" i="10" s="1"/>
  <c r="T663" i="10" s="1"/>
  <c r="U663" i="10" s="1"/>
  <c r="V663" i="10" s="1"/>
  <c r="D665" i="10" l="1"/>
  <c r="M664" i="10"/>
  <c r="N664" i="10" s="1"/>
  <c r="O664" i="10" s="1"/>
  <c r="P664" i="10" s="1"/>
  <c r="Q664" i="10" s="1"/>
  <c r="R664" i="10" s="1"/>
  <c r="S664" i="10" s="1"/>
  <c r="T664" i="10" s="1"/>
  <c r="U664" i="10" s="1"/>
  <c r="V664" i="10" s="1"/>
  <c r="D666" i="10" l="1"/>
  <c r="M665" i="10"/>
  <c r="N665" i="10" s="1"/>
  <c r="O665" i="10" s="1"/>
  <c r="P665" i="10" s="1"/>
  <c r="Q665" i="10" s="1"/>
  <c r="R665" i="10" s="1"/>
  <c r="S665" i="10" s="1"/>
  <c r="T665" i="10" s="1"/>
  <c r="U665" i="10" s="1"/>
  <c r="V665" i="10" s="1"/>
  <c r="D667" i="10" l="1"/>
  <c r="M666" i="10"/>
  <c r="N666" i="10" s="1"/>
  <c r="O666" i="10" s="1"/>
  <c r="P666" i="10" s="1"/>
  <c r="Q666" i="10" s="1"/>
  <c r="R666" i="10" s="1"/>
  <c r="S666" i="10" s="1"/>
  <c r="T666" i="10" s="1"/>
  <c r="U666" i="10" s="1"/>
  <c r="V666" i="10" s="1"/>
  <c r="D668" i="10" l="1"/>
  <c r="M667" i="10"/>
  <c r="N667" i="10" s="1"/>
  <c r="O667" i="10" s="1"/>
  <c r="P667" i="10" s="1"/>
  <c r="Q667" i="10" s="1"/>
  <c r="R667" i="10" s="1"/>
  <c r="S667" i="10" s="1"/>
  <c r="T667" i="10" s="1"/>
  <c r="U667" i="10" s="1"/>
  <c r="V667" i="10" s="1"/>
  <c r="D669" i="10" l="1"/>
  <c r="M668" i="10"/>
  <c r="N668" i="10" s="1"/>
  <c r="O668" i="10" s="1"/>
  <c r="P668" i="10" s="1"/>
  <c r="Q668" i="10" s="1"/>
  <c r="R668" i="10" s="1"/>
  <c r="S668" i="10" s="1"/>
  <c r="T668" i="10" s="1"/>
  <c r="U668" i="10" s="1"/>
  <c r="V668" i="10" s="1"/>
  <c r="D670" i="10" l="1"/>
  <c r="M669" i="10"/>
  <c r="N669" i="10" s="1"/>
  <c r="O669" i="10" s="1"/>
  <c r="P669" i="10" s="1"/>
  <c r="Q669" i="10" s="1"/>
  <c r="R669" i="10" s="1"/>
  <c r="S669" i="10" s="1"/>
  <c r="T669" i="10" s="1"/>
  <c r="U669" i="10" s="1"/>
  <c r="V669" i="10" s="1"/>
  <c r="D671" i="10" l="1"/>
  <c r="M670" i="10"/>
  <c r="N670" i="10" s="1"/>
  <c r="O670" i="10" s="1"/>
  <c r="P670" i="10" s="1"/>
  <c r="Q670" i="10" s="1"/>
  <c r="R670" i="10" s="1"/>
  <c r="S670" i="10" s="1"/>
  <c r="T670" i="10" s="1"/>
  <c r="U670" i="10" s="1"/>
  <c r="V670" i="10" s="1"/>
  <c r="D672" i="10" l="1"/>
  <c r="M671" i="10"/>
  <c r="N671" i="10" s="1"/>
  <c r="O671" i="10" s="1"/>
  <c r="P671" i="10" s="1"/>
  <c r="Q671" i="10" s="1"/>
  <c r="R671" i="10" s="1"/>
  <c r="S671" i="10" s="1"/>
  <c r="T671" i="10" s="1"/>
  <c r="U671" i="10" s="1"/>
  <c r="V671" i="10" s="1"/>
  <c r="D673" i="10" l="1"/>
  <c r="M672" i="10"/>
  <c r="N672" i="10" s="1"/>
  <c r="O672" i="10" s="1"/>
  <c r="P672" i="10" s="1"/>
  <c r="Q672" i="10" s="1"/>
  <c r="R672" i="10" s="1"/>
  <c r="S672" i="10" s="1"/>
  <c r="T672" i="10" s="1"/>
  <c r="U672" i="10" s="1"/>
  <c r="V672" i="10" s="1"/>
  <c r="D674" i="10" l="1"/>
  <c r="M673" i="10"/>
  <c r="N673" i="10" s="1"/>
  <c r="O673" i="10" s="1"/>
  <c r="P673" i="10" s="1"/>
  <c r="Q673" i="10" s="1"/>
  <c r="R673" i="10" s="1"/>
  <c r="S673" i="10" s="1"/>
  <c r="T673" i="10" s="1"/>
  <c r="U673" i="10" s="1"/>
  <c r="V673" i="10" s="1"/>
  <c r="D675" i="10" l="1"/>
  <c r="M674" i="10"/>
  <c r="N674" i="10" s="1"/>
  <c r="O674" i="10" s="1"/>
  <c r="P674" i="10" s="1"/>
  <c r="Q674" i="10" s="1"/>
  <c r="R674" i="10" s="1"/>
  <c r="S674" i="10" s="1"/>
  <c r="T674" i="10" s="1"/>
  <c r="U674" i="10" s="1"/>
  <c r="V674" i="10" s="1"/>
  <c r="D676" i="10" l="1"/>
  <c r="M675" i="10"/>
  <c r="N675" i="10" s="1"/>
  <c r="O675" i="10" s="1"/>
  <c r="P675" i="10" s="1"/>
  <c r="Q675" i="10" s="1"/>
  <c r="R675" i="10" s="1"/>
  <c r="S675" i="10" s="1"/>
  <c r="T675" i="10" s="1"/>
  <c r="U675" i="10" s="1"/>
  <c r="V675" i="10" s="1"/>
  <c r="D677" i="10" l="1"/>
  <c r="M676" i="10"/>
  <c r="N676" i="10" s="1"/>
  <c r="O676" i="10" s="1"/>
  <c r="P676" i="10" s="1"/>
  <c r="Q676" i="10" s="1"/>
  <c r="R676" i="10" s="1"/>
  <c r="S676" i="10" s="1"/>
  <c r="T676" i="10" s="1"/>
  <c r="U676" i="10" s="1"/>
  <c r="V676" i="10" s="1"/>
  <c r="D678" i="10" l="1"/>
  <c r="M677" i="10"/>
  <c r="N677" i="10" s="1"/>
  <c r="O677" i="10" s="1"/>
  <c r="P677" i="10" s="1"/>
  <c r="Q677" i="10" s="1"/>
  <c r="R677" i="10" s="1"/>
  <c r="S677" i="10" s="1"/>
  <c r="T677" i="10" s="1"/>
  <c r="U677" i="10" s="1"/>
  <c r="V677" i="10" s="1"/>
  <c r="D679" i="10" l="1"/>
  <c r="M678" i="10"/>
  <c r="N678" i="10" s="1"/>
  <c r="O678" i="10" s="1"/>
  <c r="P678" i="10" s="1"/>
  <c r="Q678" i="10" s="1"/>
  <c r="R678" i="10" s="1"/>
  <c r="S678" i="10" s="1"/>
  <c r="T678" i="10" s="1"/>
  <c r="U678" i="10" s="1"/>
  <c r="V678" i="10" s="1"/>
  <c r="D680" i="10" l="1"/>
  <c r="M679" i="10"/>
  <c r="N679" i="10" s="1"/>
  <c r="O679" i="10" s="1"/>
  <c r="P679" i="10" s="1"/>
  <c r="Q679" i="10" s="1"/>
  <c r="R679" i="10" s="1"/>
  <c r="S679" i="10" s="1"/>
  <c r="T679" i="10" s="1"/>
  <c r="U679" i="10" s="1"/>
  <c r="V679" i="10" s="1"/>
  <c r="D681" i="10" l="1"/>
  <c r="M680" i="10"/>
  <c r="N680" i="10" s="1"/>
  <c r="O680" i="10" s="1"/>
  <c r="P680" i="10" s="1"/>
  <c r="Q680" i="10" s="1"/>
  <c r="R680" i="10" s="1"/>
  <c r="S680" i="10" s="1"/>
  <c r="T680" i="10" s="1"/>
  <c r="U680" i="10" s="1"/>
  <c r="V680" i="10" s="1"/>
  <c r="D682" i="10" l="1"/>
  <c r="M681" i="10"/>
  <c r="N681" i="10" s="1"/>
  <c r="O681" i="10" s="1"/>
  <c r="P681" i="10" s="1"/>
  <c r="Q681" i="10" s="1"/>
  <c r="R681" i="10" s="1"/>
  <c r="S681" i="10" s="1"/>
  <c r="T681" i="10" s="1"/>
  <c r="U681" i="10" s="1"/>
  <c r="V681" i="10" s="1"/>
  <c r="D683" i="10" l="1"/>
  <c r="M682" i="10"/>
  <c r="N682" i="10" s="1"/>
  <c r="O682" i="10" s="1"/>
  <c r="P682" i="10" s="1"/>
  <c r="Q682" i="10" s="1"/>
  <c r="R682" i="10" s="1"/>
  <c r="S682" i="10" s="1"/>
  <c r="T682" i="10" s="1"/>
  <c r="U682" i="10" s="1"/>
  <c r="V682" i="10" s="1"/>
  <c r="D684" i="10" l="1"/>
  <c r="M683" i="10"/>
  <c r="N683" i="10" s="1"/>
  <c r="O683" i="10" s="1"/>
  <c r="P683" i="10" s="1"/>
  <c r="Q683" i="10" s="1"/>
  <c r="R683" i="10" s="1"/>
  <c r="S683" i="10" s="1"/>
  <c r="T683" i="10" s="1"/>
  <c r="U683" i="10" s="1"/>
  <c r="V683" i="10" s="1"/>
  <c r="D685" i="10" l="1"/>
  <c r="M684" i="10"/>
  <c r="N684" i="10" s="1"/>
  <c r="O684" i="10" s="1"/>
  <c r="P684" i="10" s="1"/>
  <c r="Q684" i="10" s="1"/>
  <c r="R684" i="10" s="1"/>
  <c r="S684" i="10" s="1"/>
  <c r="T684" i="10" s="1"/>
  <c r="U684" i="10" s="1"/>
  <c r="V684" i="10" s="1"/>
  <c r="D686" i="10" l="1"/>
  <c r="M685" i="10"/>
  <c r="N685" i="10" s="1"/>
  <c r="O685" i="10" s="1"/>
  <c r="P685" i="10" s="1"/>
  <c r="Q685" i="10" s="1"/>
  <c r="R685" i="10" s="1"/>
  <c r="S685" i="10" s="1"/>
  <c r="T685" i="10" s="1"/>
  <c r="U685" i="10" s="1"/>
  <c r="V685" i="10" s="1"/>
  <c r="D687" i="10" l="1"/>
  <c r="M686" i="10"/>
  <c r="N686" i="10" s="1"/>
  <c r="O686" i="10" s="1"/>
  <c r="P686" i="10" s="1"/>
  <c r="Q686" i="10" s="1"/>
  <c r="R686" i="10" s="1"/>
  <c r="S686" i="10" s="1"/>
  <c r="T686" i="10" s="1"/>
  <c r="U686" i="10" s="1"/>
  <c r="V686" i="10" s="1"/>
  <c r="D688" i="10" l="1"/>
  <c r="M687" i="10"/>
  <c r="N687" i="10" s="1"/>
  <c r="O687" i="10" s="1"/>
  <c r="P687" i="10" s="1"/>
  <c r="Q687" i="10" s="1"/>
  <c r="R687" i="10" s="1"/>
  <c r="S687" i="10" s="1"/>
  <c r="T687" i="10" s="1"/>
  <c r="U687" i="10" s="1"/>
  <c r="V687" i="10" s="1"/>
  <c r="D689" i="10" l="1"/>
  <c r="M688" i="10"/>
  <c r="N688" i="10" s="1"/>
  <c r="O688" i="10" s="1"/>
  <c r="P688" i="10" s="1"/>
  <c r="Q688" i="10" s="1"/>
  <c r="R688" i="10" s="1"/>
  <c r="S688" i="10" s="1"/>
  <c r="T688" i="10" s="1"/>
  <c r="U688" i="10" s="1"/>
  <c r="V688" i="10" s="1"/>
  <c r="D690" i="10" l="1"/>
  <c r="M689" i="10"/>
  <c r="N689" i="10" s="1"/>
  <c r="O689" i="10" s="1"/>
  <c r="P689" i="10" s="1"/>
  <c r="Q689" i="10" s="1"/>
  <c r="R689" i="10" s="1"/>
  <c r="S689" i="10" s="1"/>
  <c r="T689" i="10" s="1"/>
  <c r="U689" i="10" s="1"/>
  <c r="V689" i="10" s="1"/>
  <c r="D691" i="10" l="1"/>
  <c r="M690" i="10"/>
  <c r="N690" i="10" s="1"/>
  <c r="O690" i="10" s="1"/>
  <c r="P690" i="10" s="1"/>
  <c r="Q690" i="10" s="1"/>
  <c r="R690" i="10" s="1"/>
  <c r="S690" i="10" s="1"/>
  <c r="T690" i="10" s="1"/>
  <c r="U690" i="10" s="1"/>
  <c r="V690" i="10" s="1"/>
  <c r="D692" i="10" l="1"/>
  <c r="M691" i="10"/>
  <c r="N691" i="10" s="1"/>
  <c r="O691" i="10" s="1"/>
  <c r="P691" i="10" s="1"/>
  <c r="Q691" i="10" s="1"/>
  <c r="R691" i="10" s="1"/>
  <c r="S691" i="10" s="1"/>
  <c r="T691" i="10" s="1"/>
  <c r="U691" i="10" s="1"/>
  <c r="V691" i="10" s="1"/>
  <c r="D693" i="10" l="1"/>
  <c r="M692" i="10"/>
  <c r="N692" i="10" s="1"/>
  <c r="O692" i="10" s="1"/>
  <c r="P692" i="10" s="1"/>
  <c r="Q692" i="10" s="1"/>
  <c r="R692" i="10" s="1"/>
  <c r="S692" i="10" s="1"/>
  <c r="T692" i="10" s="1"/>
  <c r="U692" i="10" s="1"/>
  <c r="V692" i="10" s="1"/>
  <c r="D694" i="10" l="1"/>
  <c r="M693" i="10"/>
  <c r="N693" i="10" s="1"/>
  <c r="O693" i="10" s="1"/>
  <c r="P693" i="10" s="1"/>
  <c r="Q693" i="10" s="1"/>
  <c r="R693" i="10" s="1"/>
  <c r="S693" i="10" s="1"/>
  <c r="T693" i="10" s="1"/>
  <c r="U693" i="10" s="1"/>
  <c r="V693" i="10" s="1"/>
  <c r="D695" i="10" l="1"/>
  <c r="M694" i="10"/>
  <c r="N694" i="10" s="1"/>
  <c r="O694" i="10" s="1"/>
  <c r="P694" i="10" s="1"/>
  <c r="Q694" i="10" s="1"/>
  <c r="R694" i="10" s="1"/>
  <c r="S694" i="10" s="1"/>
  <c r="T694" i="10" s="1"/>
  <c r="U694" i="10" s="1"/>
  <c r="V694" i="10" s="1"/>
  <c r="D696" i="10" l="1"/>
  <c r="M695" i="10"/>
  <c r="N695" i="10" s="1"/>
  <c r="O695" i="10" s="1"/>
  <c r="P695" i="10" s="1"/>
  <c r="Q695" i="10" s="1"/>
  <c r="R695" i="10" s="1"/>
  <c r="S695" i="10" s="1"/>
  <c r="T695" i="10" s="1"/>
  <c r="U695" i="10" s="1"/>
  <c r="V695" i="10" s="1"/>
  <c r="D697" i="10" l="1"/>
  <c r="M696" i="10"/>
  <c r="N696" i="10" s="1"/>
  <c r="O696" i="10" s="1"/>
  <c r="P696" i="10" s="1"/>
  <c r="Q696" i="10" s="1"/>
  <c r="R696" i="10" s="1"/>
  <c r="S696" i="10" s="1"/>
  <c r="T696" i="10" s="1"/>
  <c r="U696" i="10" s="1"/>
  <c r="V696" i="10" s="1"/>
  <c r="D698" i="10" l="1"/>
  <c r="M697" i="10"/>
  <c r="N697" i="10" s="1"/>
  <c r="O697" i="10" s="1"/>
  <c r="P697" i="10" s="1"/>
  <c r="Q697" i="10" s="1"/>
  <c r="R697" i="10" s="1"/>
  <c r="S697" i="10" s="1"/>
  <c r="T697" i="10" s="1"/>
  <c r="U697" i="10" s="1"/>
  <c r="V697" i="10" s="1"/>
  <c r="D699" i="10" l="1"/>
  <c r="M698" i="10"/>
  <c r="N698" i="10" s="1"/>
  <c r="O698" i="10" s="1"/>
  <c r="P698" i="10" s="1"/>
  <c r="Q698" i="10" s="1"/>
  <c r="R698" i="10" s="1"/>
  <c r="S698" i="10" s="1"/>
  <c r="T698" i="10" s="1"/>
  <c r="U698" i="10" s="1"/>
  <c r="V698" i="10" s="1"/>
  <c r="D700" i="10" l="1"/>
  <c r="M699" i="10"/>
  <c r="N699" i="10" s="1"/>
  <c r="O699" i="10" s="1"/>
  <c r="P699" i="10" s="1"/>
  <c r="Q699" i="10" s="1"/>
  <c r="R699" i="10" s="1"/>
  <c r="S699" i="10" s="1"/>
  <c r="T699" i="10" s="1"/>
  <c r="U699" i="10" s="1"/>
  <c r="V699" i="10" s="1"/>
  <c r="D701" i="10" l="1"/>
  <c r="M700" i="10"/>
  <c r="N700" i="10" s="1"/>
  <c r="O700" i="10" s="1"/>
  <c r="P700" i="10" s="1"/>
  <c r="Q700" i="10" s="1"/>
  <c r="R700" i="10" s="1"/>
  <c r="S700" i="10" s="1"/>
  <c r="T700" i="10" s="1"/>
  <c r="U700" i="10" s="1"/>
  <c r="V700" i="10" s="1"/>
  <c r="D702" i="10" l="1"/>
  <c r="M701" i="10"/>
  <c r="N701" i="10" s="1"/>
  <c r="O701" i="10" s="1"/>
  <c r="P701" i="10" s="1"/>
  <c r="Q701" i="10" s="1"/>
  <c r="R701" i="10" s="1"/>
  <c r="S701" i="10" s="1"/>
  <c r="T701" i="10" s="1"/>
  <c r="U701" i="10" s="1"/>
  <c r="V701" i="10" s="1"/>
  <c r="D703" i="10" l="1"/>
  <c r="M702" i="10"/>
  <c r="N702" i="10" s="1"/>
  <c r="O702" i="10" s="1"/>
  <c r="P702" i="10" s="1"/>
  <c r="Q702" i="10" s="1"/>
  <c r="R702" i="10" s="1"/>
  <c r="S702" i="10" s="1"/>
  <c r="T702" i="10" s="1"/>
  <c r="U702" i="10" s="1"/>
  <c r="V702" i="10" s="1"/>
  <c r="D704" i="10" l="1"/>
  <c r="M703" i="10"/>
  <c r="N703" i="10" s="1"/>
  <c r="O703" i="10" s="1"/>
  <c r="P703" i="10" s="1"/>
  <c r="Q703" i="10" s="1"/>
  <c r="R703" i="10" s="1"/>
  <c r="S703" i="10" s="1"/>
  <c r="T703" i="10" s="1"/>
  <c r="U703" i="10" s="1"/>
  <c r="V703" i="10" s="1"/>
  <c r="D705" i="10" l="1"/>
  <c r="M704" i="10"/>
  <c r="N704" i="10" s="1"/>
  <c r="O704" i="10" s="1"/>
  <c r="P704" i="10" s="1"/>
  <c r="Q704" i="10" s="1"/>
  <c r="R704" i="10" s="1"/>
  <c r="S704" i="10" s="1"/>
  <c r="T704" i="10" s="1"/>
  <c r="U704" i="10" s="1"/>
  <c r="V704" i="10" s="1"/>
  <c r="D706" i="10" l="1"/>
  <c r="M705" i="10"/>
  <c r="N705" i="10" s="1"/>
  <c r="O705" i="10" s="1"/>
  <c r="P705" i="10" s="1"/>
  <c r="Q705" i="10" s="1"/>
  <c r="R705" i="10" s="1"/>
  <c r="S705" i="10" s="1"/>
  <c r="T705" i="10" s="1"/>
  <c r="U705" i="10" s="1"/>
  <c r="V705" i="10" s="1"/>
  <c r="D707" i="10" l="1"/>
  <c r="M706" i="10"/>
  <c r="N706" i="10" s="1"/>
  <c r="O706" i="10" s="1"/>
  <c r="P706" i="10" s="1"/>
  <c r="Q706" i="10" s="1"/>
  <c r="R706" i="10" s="1"/>
  <c r="S706" i="10" s="1"/>
  <c r="T706" i="10" s="1"/>
  <c r="U706" i="10" s="1"/>
  <c r="V706" i="10" s="1"/>
  <c r="D708" i="10" l="1"/>
  <c r="M707" i="10"/>
  <c r="N707" i="10" s="1"/>
  <c r="O707" i="10" s="1"/>
  <c r="P707" i="10" s="1"/>
  <c r="Q707" i="10" s="1"/>
  <c r="R707" i="10" s="1"/>
  <c r="S707" i="10" s="1"/>
  <c r="T707" i="10" s="1"/>
  <c r="U707" i="10" s="1"/>
  <c r="V707" i="10" s="1"/>
  <c r="D709" i="10" l="1"/>
  <c r="M708" i="10"/>
  <c r="N708" i="10" s="1"/>
  <c r="O708" i="10" s="1"/>
  <c r="P708" i="10" s="1"/>
  <c r="Q708" i="10" s="1"/>
  <c r="R708" i="10" s="1"/>
  <c r="S708" i="10" s="1"/>
  <c r="T708" i="10" s="1"/>
  <c r="U708" i="10" s="1"/>
  <c r="V708" i="10" s="1"/>
  <c r="D710" i="10" l="1"/>
  <c r="M709" i="10"/>
  <c r="N709" i="10" s="1"/>
  <c r="O709" i="10" s="1"/>
  <c r="P709" i="10" s="1"/>
  <c r="Q709" i="10" s="1"/>
  <c r="R709" i="10" s="1"/>
  <c r="S709" i="10" s="1"/>
  <c r="T709" i="10" s="1"/>
  <c r="U709" i="10" s="1"/>
  <c r="V709" i="10" s="1"/>
  <c r="D711" i="10" l="1"/>
  <c r="M710" i="10"/>
  <c r="N710" i="10" s="1"/>
  <c r="O710" i="10" s="1"/>
  <c r="P710" i="10" s="1"/>
  <c r="Q710" i="10" s="1"/>
  <c r="R710" i="10" s="1"/>
  <c r="S710" i="10" s="1"/>
  <c r="T710" i="10" s="1"/>
  <c r="U710" i="10" s="1"/>
  <c r="V710" i="10" s="1"/>
  <c r="D712" i="10" l="1"/>
  <c r="M711" i="10"/>
  <c r="N711" i="10" s="1"/>
  <c r="O711" i="10" s="1"/>
  <c r="P711" i="10" s="1"/>
  <c r="Q711" i="10" s="1"/>
  <c r="R711" i="10" s="1"/>
  <c r="S711" i="10" s="1"/>
  <c r="T711" i="10" s="1"/>
  <c r="U711" i="10" s="1"/>
  <c r="V711" i="10" s="1"/>
  <c r="D713" i="10" l="1"/>
  <c r="M712" i="10"/>
  <c r="N712" i="10" s="1"/>
  <c r="O712" i="10" s="1"/>
  <c r="P712" i="10" s="1"/>
  <c r="Q712" i="10" s="1"/>
  <c r="R712" i="10" s="1"/>
  <c r="S712" i="10" s="1"/>
  <c r="T712" i="10" s="1"/>
  <c r="U712" i="10" s="1"/>
  <c r="V712" i="10" s="1"/>
  <c r="D714" i="10" l="1"/>
  <c r="M713" i="10"/>
  <c r="N713" i="10" s="1"/>
  <c r="O713" i="10" s="1"/>
  <c r="P713" i="10" s="1"/>
  <c r="Q713" i="10" s="1"/>
  <c r="R713" i="10" s="1"/>
  <c r="S713" i="10" s="1"/>
  <c r="T713" i="10" s="1"/>
  <c r="U713" i="10" s="1"/>
  <c r="V713" i="10" s="1"/>
  <c r="D715" i="10" l="1"/>
  <c r="M714" i="10"/>
  <c r="N714" i="10" s="1"/>
  <c r="O714" i="10" s="1"/>
  <c r="P714" i="10" s="1"/>
  <c r="Q714" i="10" s="1"/>
  <c r="R714" i="10" s="1"/>
  <c r="S714" i="10" s="1"/>
  <c r="T714" i="10" s="1"/>
  <c r="U714" i="10" s="1"/>
  <c r="V714" i="10" s="1"/>
  <c r="D716" i="10" l="1"/>
  <c r="M715" i="10"/>
  <c r="N715" i="10" s="1"/>
  <c r="O715" i="10" s="1"/>
  <c r="P715" i="10" s="1"/>
  <c r="Q715" i="10" s="1"/>
  <c r="R715" i="10" s="1"/>
  <c r="S715" i="10" s="1"/>
  <c r="T715" i="10" s="1"/>
  <c r="U715" i="10" s="1"/>
  <c r="V715" i="10" s="1"/>
  <c r="D717" i="10" l="1"/>
  <c r="M716" i="10"/>
  <c r="N716" i="10" s="1"/>
  <c r="O716" i="10" s="1"/>
  <c r="P716" i="10" s="1"/>
  <c r="Q716" i="10" s="1"/>
  <c r="R716" i="10" s="1"/>
  <c r="S716" i="10" s="1"/>
  <c r="T716" i="10" s="1"/>
  <c r="U716" i="10" s="1"/>
  <c r="V716" i="10" s="1"/>
  <c r="D718" i="10" l="1"/>
  <c r="M717" i="10"/>
  <c r="N717" i="10" s="1"/>
  <c r="O717" i="10" s="1"/>
  <c r="P717" i="10" s="1"/>
  <c r="Q717" i="10" s="1"/>
  <c r="R717" i="10" s="1"/>
  <c r="S717" i="10" s="1"/>
  <c r="T717" i="10" s="1"/>
  <c r="U717" i="10" s="1"/>
  <c r="V717" i="10" s="1"/>
  <c r="D719" i="10" l="1"/>
  <c r="M718" i="10"/>
  <c r="N718" i="10" s="1"/>
  <c r="O718" i="10" s="1"/>
  <c r="P718" i="10" s="1"/>
  <c r="Q718" i="10" s="1"/>
  <c r="R718" i="10" s="1"/>
  <c r="S718" i="10" s="1"/>
  <c r="T718" i="10" s="1"/>
  <c r="U718" i="10" s="1"/>
  <c r="V718" i="10" s="1"/>
  <c r="D720" i="10" l="1"/>
  <c r="M719" i="10"/>
  <c r="N719" i="10" s="1"/>
  <c r="O719" i="10" s="1"/>
  <c r="P719" i="10" s="1"/>
  <c r="Q719" i="10" s="1"/>
  <c r="R719" i="10" s="1"/>
  <c r="S719" i="10" s="1"/>
  <c r="T719" i="10" s="1"/>
  <c r="U719" i="10" s="1"/>
  <c r="V719" i="10" s="1"/>
  <c r="D721" i="10" l="1"/>
  <c r="M720" i="10"/>
  <c r="N720" i="10" s="1"/>
  <c r="O720" i="10" s="1"/>
  <c r="P720" i="10" s="1"/>
  <c r="Q720" i="10" s="1"/>
  <c r="R720" i="10" s="1"/>
  <c r="S720" i="10" s="1"/>
  <c r="T720" i="10" s="1"/>
  <c r="U720" i="10" s="1"/>
  <c r="V720" i="10" s="1"/>
  <c r="D722" i="10" l="1"/>
  <c r="M721" i="10"/>
  <c r="N721" i="10" s="1"/>
  <c r="O721" i="10" s="1"/>
  <c r="P721" i="10" s="1"/>
  <c r="Q721" i="10" s="1"/>
  <c r="R721" i="10" s="1"/>
  <c r="S721" i="10" s="1"/>
  <c r="T721" i="10" s="1"/>
  <c r="U721" i="10" s="1"/>
  <c r="V721" i="10" s="1"/>
  <c r="D723" i="10" l="1"/>
  <c r="M722" i="10"/>
  <c r="N722" i="10" s="1"/>
  <c r="O722" i="10" s="1"/>
  <c r="P722" i="10" s="1"/>
  <c r="Q722" i="10" s="1"/>
  <c r="R722" i="10" s="1"/>
  <c r="S722" i="10" s="1"/>
  <c r="T722" i="10" s="1"/>
  <c r="U722" i="10" s="1"/>
  <c r="V722" i="10" s="1"/>
  <c r="D724" i="10" l="1"/>
  <c r="M723" i="10"/>
  <c r="N723" i="10" s="1"/>
  <c r="O723" i="10" s="1"/>
  <c r="P723" i="10" s="1"/>
  <c r="Q723" i="10" s="1"/>
  <c r="R723" i="10" s="1"/>
  <c r="S723" i="10" s="1"/>
  <c r="T723" i="10" s="1"/>
  <c r="U723" i="10" s="1"/>
  <c r="V723" i="10" s="1"/>
  <c r="D725" i="10" l="1"/>
  <c r="M724" i="10"/>
  <c r="N724" i="10" s="1"/>
  <c r="O724" i="10" s="1"/>
  <c r="P724" i="10" s="1"/>
  <c r="Q724" i="10" s="1"/>
  <c r="R724" i="10" s="1"/>
  <c r="S724" i="10" s="1"/>
  <c r="T724" i="10" s="1"/>
  <c r="U724" i="10" s="1"/>
  <c r="V724" i="10" s="1"/>
  <c r="D726" i="10" l="1"/>
  <c r="M725" i="10"/>
  <c r="N725" i="10" s="1"/>
  <c r="O725" i="10" s="1"/>
  <c r="P725" i="10" s="1"/>
  <c r="Q725" i="10" s="1"/>
  <c r="R725" i="10" s="1"/>
  <c r="S725" i="10" s="1"/>
  <c r="T725" i="10" s="1"/>
  <c r="U725" i="10" s="1"/>
  <c r="V725" i="10" s="1"/>
  <c r="D727" i="10" l="1"/>
  <c r="M726" i="10"/>
  <c r="N726" i="10" s="1"/>
  <c r="O726" i="10" s="1"/>
  <c r="P726" i="10" s="1"/>
  <c r="Q726" i="10" s="1"/>
  <c r="R726" i="10" s="1"/>
  <c r="S726" i="10" s="1"/>
  <c r="T726" i="10" s="1"/>
  <c r="U726" i="10" s="1"/>
  <c r="V726" i="10" s="1"/>
  <c r="D728" i="10" l="1"/>
  <c r="M727" i="10"/>
  <c r="N727" i="10" s="1"/>
  <c r="O727" i="10" s="1"/>
  <c r="P727" i="10" s="1"/>
  <c r="Q727" i="10" s="1"/>
  <c r="R727" i="10" s="1"/>
  <c r="S727" i="10" s="1"/>
  <c r="T727" i="10" s="1"/>
  <c r="U727" i="10" s="1"/>
  <c r="V727" i="10" s="1"/>
  <c r="D729" i="10" l="1"/>
  <c r="M728" i="10"/>
  <c r="N728" i="10" s="1"/>
  <c r="O728" i="10" s="1"/>
  <c r="P728" i="10" s="1"/>
  <c r="Q728" i="10" s="1"/>
  <c r="R728" i="10" s="1"/>
  <c r="S728" i="10" s="1"/>
  <c r="T728" i="10" s="1"/>
  <c r="U728" i="10" s="1"/>
  <c r="V728" i="10" s="1"/>
  <c r="D730" i="10" l="1"/>
  <c r="M729" i="10"/>
  <c r="N729" i="10" s="1"/>
  <c r="O729" i="10" s="1"/>
  <c r="P729" i="10" s="1"/>
  <c r="Q729" i="10" s="1"/>
  <c r="R729" i="10" s="1"/>
  <c r="S729" i="10" s="1"/>
  <c r="T729" i="10" s="1"/>
  <c r="U729" i="10" s="1"/>
  <c r="V729" i="10" s="1"/>
  <c r="D731" i="10" l="1"/>
  <c r="M730" i="10"/>
  <c r="N730" i="10" s="1"/>
  <c r="O730" i="10" s="1"/>
  <c r="P730" i="10" s="1"/>
  <c r="Q730" i="10" s="1"/>
  <c r="R730" i="10" s="1"/>
  <c r="S730" i="10" s="1"/>
  <c r="T730" i="10" s="1"/>
  <c r="U730" i="10" s="1"/>
  <c r="V730" i="10" s="1"/>
  <c r="D732" i="10" l="1"/>
  <c r="M731" i="10"/>
  <c r="N731" i="10" s="1"/>
  <c r="O731" i="10" s="1"/>
  <c r="P731" i="10" s="1"/>
  <c r="Q731" i="10" s="1"/>
  <c r="R731" i="10" s="1"/>
  <c r="S731" i="10" s="1"/>
  <c r="T731" i="10" s="1"/>
  <c r="U731" i="10" s="1"/>
  <c r="V731" i="10" s="1"/>
  <c r="D733" i="10" l="1"/>
  <c r="M732" i="10"/>
  <c r="N732" i="10" s="1"/>
  <c r="O732" i="10" s="1"/>
  <c r="P732" i="10" s="1"/>
  <c r="Q732" i="10" s="1"/>
  <c r="R732" i="10" s="1"/>
  <c r="S732" i="10" s="1"/>
  <c r="T732" i="10" s="1"/>
  <c r="U732" i="10" s="1"/>
  <c r="V732" i="10" s="1"/>
  <c r="D734" i="10" l="1"/>
  <c r="M733" i="10"/>
  <c r="N733" i="10" s="1"/>
  <c r="O733" i="10" s="1"/>
  <c r="P733" i="10" s="1"/>
  <c r="Q733" i="10" s="1"/>
  <c r="R733" i="10" s="1"/>
  <c r="S733" i="10" s="1"/>
  <c r="T733" i="10" s="1"/>
  <c r="U733" i="10" s="1"/>
  <c r="V733" i="10" s="1"/>
  <c r="D735" i="10" l="1"/>
  <c r="M734" i="10"/>
  <c r="N734" i="10" s="1"/>
  <c r="O734" i="10" s="1"/>
  <c r="P734" i="10" s="1"/>
  <c r="Q734" i="10" s="1"/>
  <c r="R734" i="10" s="1"/>
  <c r="S734" i="10" s="1"/>
  <c r="T734" i="10" s="1"/>
  <c r="U734" i="10" s="1"/>
  <c r="V734" i="10" s="1"/>
  <c r="D736" i="10" l="1"/>
  <c r="M735" i="10"/>
  <c r="N735" i="10" s="1"/>
  <c r="O735" i="10" s="1"/>
  <c r="P735" i="10" s="1"/>
  <c r="Q735" i="10" s="1"/>
  <c r="R735" i="10" s="1"/>
  <c r="S735" i="10" s="1"/>
  <c r="T735" i="10" s="1"/>
  <c r="U735" i="10" s="1"/>
  <c r="V735" i="10" s="1"/>
  <c r="D737" i="10" l="1"/>
  <c r="M736" i="10"/>
  <c r="N736" i="10" s="1"/>
  <c r="O736" i="10" s="1"/>
  <c r="P736" i="10" s="1"/>
  <c r="Q736" i="10" s="1"/>
  <c r="R736" i="10" s="1"/>
  <c r="S736" i="10" s="1"/>
  <c r="T736" i="10" s="1"/>
  <c r="U736" i="10" s="1"/>
  <c r="V736" i="10" s="1"/>
  <c r="D738" i="10" l="1"/>
  <c r="M737" i="10"/>
  <c r="N737" i="10" s="1"/>
  <c r="O737" i="10" s="1"/>
  <c r="P737" i="10" s="1"/>
  <c r="Q737" i="10" s="1"/>
  <c r="R737" i="10" s="1"/>
  <c r="S737" i="10" s="1"/>
  <c r="T737" i="10" s="1"/>
  <c r="U737" i="10" s="1"/>
  <c r="V737" i="10" s="1"/>
  <c r="D739" i="10" l="1"/>
  <c r="M738" i="10"/>
  <c r="N738" i="10" s="1"/>
  <c r="O738" i="10" s="1"/>
  <c r="P738" i="10" s="1"/>
  <c r="Q738" i="10" s="1"/>
  <c r="R738" i="10" s="1"/>
  <c r="S738" i="10" s="1"/>
  <c r="T738" i="10" s="1"/>
  <c r="U738" i="10" s="1"/>
  <c r="V738" i="10" s="1"/>
  <c r="D740" i="10" l="1"/>
  <c r="M739" i="10"/>
  <c r="N739" i="10" s="1"/>
  <c r="O739" i="10" s="1"/>
  <c r="P739" i="10" s="1"/>
  <c r="Q739" i="10" s="1"/>
  <c r="R739" i="10" s="1"/>
  <c r="S739" i="10" s="1"/>
  <c r="T739" i="10" s="1"/>
  <c r="U739" i="10" s="1"/>
  <c r="V739" i="10" s="1"/>
  <c r="D741" i="10" l="1"/>
  <c r="M740" i="10"/>
  <c r="N740" i="10" s="1"/>
  <c r="O740" i="10" s="1"/>
  <c r="P740" i="10" s="1"/>
  <c r="Q740" i="10" s="1"/>
  <c r="R740" i="10" s="1"/>
  <c r="S740" i="10" s="1"/>
  <c r="T740" i="10" s="1"/>
  <c r="U740" i="10" s="1"/>
  <c r="V740" i="10" s="1"/>
  <c r="D742" i="10" l="1"/>
  <c r="M741" i="10"/>
  <c r="N741" i="10" s="1"/>
  <c r="O741" i="10" s="1"/>
  <c r="P741" i="10" s="1"/>
  <c r="Q741" i="10" s="1"/>
  <c r="R741" i="10" s="1"/>
  <c r="S741" i="10" s="1"/>
  <c r="T741" i="10" s="1"/>
  <c r="U741" i="10" s="1"/>
  <c r="V741" i="10" s="1"/>
  <c r="D743" i="10" l="1"/>
  <c r="M742" i="10"/>
  <c r="N742" i="10" s="1"/>
  <c r="O742" i="10" s="1"/>
  <c r="P742" i="10" s="1"/>
  <c r="Q742" i="10" s="1"/>
  <c r="R742" i="10" s="1"/>
  <c r="S742" i="10" s="1"/>
  <c r="T742" i="10" s="1"/>
  <c r="U742" i="10" s="1"/>
  <c r="V742" i="10" s="1"/>
  <c r="D744" i="10" l="1"/>
  <c r="M743" i="10"/>
  <c r="N743" i="10" s="1"/>
  <c r="O743" i="10" s="1"/>
  <c r="P743" i="10" s="1"/>
  <c r="Q743" i="10" s="1"/>
  <c r="R743" i="10" s="1"/>
  <c r="S743" i="10" s="1"/>
  <c r="T743" i="10" s="1"/>
  <c r="U743" i="10" s="1"/>
  <c r="V743" i="10" s="1"/>
  <c r="D745" i="10" l="1"/>
  <c r="M744" i="10"/>
  <c r="N744" i="10" s="1"/>
  <c r="O744" i="10" s="1"/>
  <c r="P744" i="10" s="1"/>
  <c r="Q744" i="10" s="1"/>
  <c r="R744" i="10" s="1"/>
  <c r="S744" i="10" s="1"/>
  <c r="T744" i="10" s="1"/>
  <c r="U744" i="10" s="1"/>
  <c r="V744" i="10" s="1"/>
  <c r="D746" i="10" l="1"/>
  <c r="M745" i="10"/>
  <c r="N745" i="10" s="1"/>
  <c r="O745" i="10" s="1"/>
  <c r="P745" i="10" s="1"/>
  <c r="Q745" i="10" s="1"/>
  <c r="R745" i="10" s="1"/>
  <c r="S745" i="10" s="1"/>
  <c r="T745" i="10" s="1"/>
  <c r="U745" i="10" s="1"/>
  <c r="V745" i="10" s="1"/>
  <c r="D747" i="10" l="1"/>
  <c r="M746" i="10"/>
  <c r="N746" i="10" s="1"/>
  <c r="O746" i="10" s="1"/>
  <c r="P746" i="10" s="1"/>
  <c r="Q746" i="10" s="1"/>
  <c r="R746" i="10" s="1"/>
  <c r="S746" i="10" s="1"/>
  <c r="T746" i="10" s="1"/>
  <c r="U746" i="10" s="1"/>
  <c r="V746" i="10" s="1"/>
  <c r="D748" i="10" l="1"/>
  <c r="M747" i="10"/>
  <c r="N747" i="10" s="1"/>
  <c r="O747" i="10" s="1"/>
  <c r="P747" i="10" s="1"/>
  <c r="Q747" i="10" s="1"/>
  <c r="R747" i="10" s="1"/>
  <c r="S747" i="10" s="1"/>
  <c r="T747" i="10" s="1"/>
  <c r="U747" i="10" s="1"/>
  <c r="V747" i="10" s="1"/>
  <c r="D749" i="10" l="1"/>
  <c r="M748" i="10"/>
  <c r="N748" i="10" s="1"/>
  <c r="O748" i="10" s="1"/>
  <c r="P748" i="10" s="1"/>
  <c r="Q748" i="10" s="1"/>
  <c r="R748" i="10" s="1"/>
  <c r="S748" i="10" s="1"/>
  <c r="T748" i="10" s="1"/>
  <c r="U748" i="10" s="1"/>
  <c r="V748" i="10" s="1"/>
  <c r="D750" i="10" l="1"/>
  <c r="M749" i="10"/>
  <c r="N749" i="10" s="1"/>
  <c r="O749" i="10" s="1"/>
  <c r="P749" i="10" s="1"/>
  <c r="Q749" i="10" s="1"/>
  <c r="R749" i="10" s="1"/>
  <c r="S749" i="10" s="1"/>
  <c r="T749" i="10" s="1"/>
  <c r="U749" i="10" s="1"/>
  <c r="V749" i="10" s="1"/>
  <c r="D751" i="10" l="1"/>
  <c r="M750" i="10"/>
  <c r="N750" i="10" s="1"/>
  <c r="O750" i="10" s="1"/>
  <c r="P750" i="10" s="1"/>
  <c r="Q750" i="10" s="1"/>
  <c r="R750" i="10" s="1"/>
  <c r="S750" i="10" s="1"/>
  <c r="T750" i="10" s="1"/>
  <c r="U750" i="10" s="1"/>
  <c r="V750" i="10" s="1"/>
  <c r="D752" i="10" l="1"/>
  <c r="M751" i="10"/>
  <c r="N751" i="10" s="1"/>
  <c r="O751" i="10" s="1"/>
  <c r="P751" i="10" s="1"/>
  <c r="Q751" i="10" s="1"/>
  <c r="R751" i="10" s="1"/>
  <c r="S751" i="10" s="1"/>
  <c r="T751" i="10" s="1"/>
  <c r="U751" i="10" s="1"/>
  <c r="V751" i="10" s="1"/>
  <c r="D753" i="10" l="1"/>
  <c r="M752" i="10"/>
  <c r="N752" i="10" s="1"/>
  <c r="O752" i="10" s="1"/>
  <c r="P752" i="10" s="1"/>
  <c r="Q752" i="10" s="1"/>
  <c r="R752" i="10" s="1"/>
  <c r="S752" i="10" s="1"/>
  <c r="T752" i="10" s="1"/>
  <c r="U752" i="10" s="1"/>
  <c r="V752" i="10" s="1"/>
  <c r="D754" i="10" l="1"/>
  <c r="M753" i="10"/>
  <c r="N753" i="10" s="1"/>
  <c r="O753" i="10" s="1"/>
  <c r="P753" i="10" s="1"/>
  <c r="Q753" i="10" s="1"/>
  <c r="R753" i="10" s="1"/>
  <c r="S753" i="10" s="1"/>
  <c r="T753" i="10" s="1"/>
  <c r="U753" i="10" s="1"/>
  <c r="V753" i="10" s="1"/>
  <c r="D755" i="10" l="1"/>
  <c r="M754" i="10"/>
  <c r="N754" i="10" s="1"/>
  <c r="O754" i="10" s="1"/>
  <c r="P754" i="10" s="1"/>
  <c r="Q754" i="10" s="1"/>
  <c r="R754" i="10" s="1"/>
  <c r="S754" i="10" s="1"/>
  <c r="T754" i="10" s="1"/>
  <c r="U754" i="10" s="1"/>
  <c r="V754" i="10" s="1"/>
  <c r="D756" i="10" l="1"/>
  <c r="M755" i="10"/>
  <c r="N755" i="10" s="1"/>
  <c r="O755" i="10" s="1"/>
  <c r="P755" i="10" s="1"/>
  <c r="Q755" i="10" s="1"/>
  <c r="R755" i="10" s="1"/>
  <c r="S755" i="10" s="1"/>
  <c r="T755" i="10" s="1"/>
  <c r="U755" i="10" s="1"/>
  <c r="V755" i="10" s="1"/>
  <c r="D757" i="10" l="1"/>
  <c r="M756" i="10"/>
  <c r="N756" i="10" s="1"/>
  <c r="O756" i="10" s="1"/>
  <c r="P756" i="10" s="1"/>
  <c r="Q756" i="10" s="1"/>
  <c r="R756" i="10" s="1"/>
  <c r="S756" i="10" s="1"/>
  <c r="T756" i="10" s="1"/>
  <c r="U756" i="10" s="1"/>
  <c r="V756" i="10" s="1"/>
  <c r="D758" i="10" l="1"/>
  <c r="M757" i="10"/>
  <c r="N757" i="10" s="1"/>
  <c r="O757" i="10" s="1"/>
  <c r="P757" i="10" s="1"/>
  <c r="Q757" i="10" s="1"/>
  <c r="R757" i="10" s="1"/>
  <c r="S757" i="10" s="1"/>
  <c r="T757" i="10" s="1"/>
  <c r="U757" i="10" s="1"/>
  <c r="V757" i="10" s="1"/>
  <c r="D759" i="10" l="1"/>
  <c r="M758" i="10"/>
  <c r="N758" i="10" s="1"/>
  <c r="O758" i="10" s="1"/>
  <c r="P758" i="10" s="1"/>
  <c r="Q758" i="10" s="1"/>
  <c r="R758" i="10" s="1"/>
  <c r="S758" i="10" s="1"/>
  <c r="T758" i="10" s="1"/>
  <c r="U758" i="10" s="1"/>
  <c r="V758" i="10" s="1"/>
  <c r="D760" i="10" l="1"/>
  <c r="M759" i="10"/>
  <c r="N759" i="10" s="1"/>
  <c r="O759" i="10" s="1"/>
  <c r="P759" i="10" s="1"/>
  <c r="Q759" i="10" s="1"/>
  <c r="R759" i="10" s="1"/>
  <c r="S759" i="10" s="1"/>
  <c r="T759" i="10" s="1"/>
  <c r="U759" i="10" s="1"/>
  <c r="V759" i="10" s="1"/>
  <c r="D761" i="10" l="1"/>
  <c r="M760" i="10"/>
  <c r="N760" i="10" s="1"/>
  <c r="O760" i="10" s="1"/>
  <c r="P760" i="10" s="1"/>
  <c r="Q760" i="10" s="1"/>
  <c r="R760" i="10" s="1"/>
  <c r="S760" i="10" s="1"/>
  <c r="T760" i="10" s="1"/>
  <c r="U760" i="10" s="1"/>
  <c r="V760" i="10" s="1"/>
  <c r="D762" i="10" l="1"/>
  <c r="M761" i="10"/>
  <c r="N761" i="10" s="1"/>
  <c r="O761" i="10" s="1"/>
  <c r="P761" i="10" s="1"/>
  <c r="Q761" i="10" s="1"/>
  <c r="R761" i="10" s="1"/>
  <c r="S761" i="10" s="1"/>
  <c r="T761" i="10" s="1"/>
  <c r="U761" i="10" s="1"/>
  <c r="V761" i="10" s="1"/>
  <c r="D763" i="10" l="1"/>
  <c r="M762" i="10"/>
  <c r="N762" i="10" s="1"/>
  <c r="O762" i="10" s="1"/>
  <c r="P762" i="10" s="1"/>
  <c r="Q762" i="10" s="1"/>
  <c r="R762" i="10" s="1"/>
  <c r="S762" i="10" s="1"/>
  <c r="T762" i="10" s="1"/>
  <c r="U762" i="10" s="1"/>
  <c r="V762" i="10" s="1"/>
  <c r="D764" i="10" l="1"/>
  <c r="M763" i="10"/>
  <c r="N763" i="10" s="1"/>
  <c r="O763" i="10" s="1"/>
  <c r="P763" i="10" s="1"/>
  <c r="Q763" i="10" s="1"/>
  <c r="R763" i="10" s="1"/>
  <c r="S763" i="10" s="1"/>
  <c r="T763" i="10" s="1"/>
  <c r="U763" i="10" s="1"/>
  <c r="V763" i="10" s="1"/>
  <c r="D765" i="10" l="1"/>
  <c r="M764" i="10"/>
  <c r="N764" i="10" s="1"/>
  <c r="O764" i="10" s="1"/>
  <c r="P764" i="10" s="1"/>
  <c r="Q764" i="10" s="1"/>
  <c r="R764" i="10" s="1"/>
  <c r="S764" i="10" s="1"/>
  <c r="T764" i="10" s="1"/>
  <c r="U764" i="10" s="1"/>
  <c r="V764" i="10" s="1"/>
  <c r="D766" i="10" l="1"/>
  <c r="M765" i="10"/>
  <c r="N765" i="10" s="1"/>
  <c r="O765" i="10" s="1"/>
  <c r="P765" i="10" s="1"/>
  <c r="Q765" i="10" s="1"/>
  <c r="R765" i="10" s="1"/>
  <c r="S765" i="10" s="1"/>
  <c r="T765" i="10" s="1"/>
  <c r="U765" i="10" s="1"/>
  <c r="V765" i="10" s="1"/>
  <c r="D767" i="10" l="1"/>
  <c r="M766" i="10"/>
  <c r="N766" i="10" s="1"/>
  <c r="O766" i="10" s="1"/>
  <c r="P766" i="10" s="1"/>
  <c r="Q766" i="10" s="1"/>
  <c r="R766" i="10" s="1"/>
  <c r="S766" i="10" s="1"/>
  <c r="T766" i="10" s="1"/>
  <c r="U766" i="10" s="1"/>
  <c r="V766" i="10" s="1"/>
  <c r="D768" i="10" l="1"/>
  <c r="M767" i="10"/>
  <c r="N767" i="10" s="1"/>
  <c r="O767" i="10" s="1"/>
  <c r="P767" i="10" s="1"/>
  <c r="Q767" i="10" s="1"/>
  <c r="R767" i="10" s="1"/>
  <c r="S767" i="10" s="1"/>
  <c r="T767" i="10" s="1"/>
  <c r="U767" i="10" s="1"/>
  <c r="V767" i="10" s="1"/>
  <c r="D769" i="10" l="1"/>
  <c r="M768" i="10"/>
  <c r="N768" i="10" s="1"/>
  <c r="O768" i="10" s="1"/>
  <c r="P768" i="10" s="1"/>
  <c r="Q768" i="10" s="1"/>
  <c r="R768" i="10" s="1"/>
  <c r="S768" i="10" s="1"/>
  <c r="T768" i="10" s="1"/>
  <c r="U768" i="10" s="1"/>
  <c r="V768" i="10" s="1"/>
  <c r="D770" i="10" l="1"/>
  <c r="M769" i="10"/>
  <c r="N769" i="10" s="1"/>
  <c r="O769" i="10" s="1"/>
  <c r="P769" i="10" s="1"/>
  <c r="Q769" i="10" s="1"/>
  <c r="R769" i="10" s="1"/>
  <c r="S769" i="10" s="1"/>
  <c r="T769" i="10" s="1"/>
  <c r="U769" i="10" s="1"/>
  <c r="V769" i="10" s="1"/>
  <c r="D771" i="10" l="1"/>
  <c r="M770" i="10"/>
  <c r="N770" i="10" s="1"/>
  <c r="O770" i="10" s="1"/>
  <c r="P770" i="10" s="1"/>
  <c r="Q770" i="10" s="1"/>
  <c r="R770" i="10" s="1"/>
  <c r="S770" i="10" s="1"/>
  <c r="T770" i="10" s="1"/>
  <c r="U770" i="10" s="1"/>
  <c r="V770" i="10" s="1"/>
  <c r="D772" i="10" l="1"/>
  <c r="M771" i="10"/>
  <c r="N771" i="10" s="1"/>
  <c r="O771" i="10" s="1"/>
  <c r="P771" i="10" s="1"/>
  <c r="Q771" i="10" s="1"/>
  <c r="R771" i="10" s="1"/>
  <c r="S771" i="10" s="1"/>
  <c r="T771" i="10" s="1"/>
  <c r="U771" i="10" s="1"/>
  <c r="V771" i="10" s="1"/>
  <c r="D773" i="10" l="1"/>
  <c r="M772" i="10"/>
  <c r="N772" i="10" s="1"/>
  <c r="O772" i="10" s="1"/>
  <c r="P772" i="10" s="1"/>
  <c r="Q772" i="10" s="1"/>
  <c r="R772" i="10" s="1"/>
  <c r="S772" i="10" s="1"/>
  <c r="T772" i="10" s="1"/>
  <c r="U772" i="10" s="1"/>
  <c r="V772" i="10" s="1"/>
  <c r="D774" i="10" l="1"/>
  <c r="M773" i="10"/>
  <c r="N773" i="10" s="1"/>
  <c r="O773" i="10" s="1"/>
  <c r="P773" i="10" s="1"/>
  <c r="Q773" i="10" s="1"/>
  <c r="R773" i="10" s="1"/>
  <c r="S773" i="10" s="1"/>
  <c r="T773" i="10" s="1"/>
  <c r="U773" i="10" s="1"/>
  <c r="V773" i="10" s="1"/>
  <c r="D775" i="10" l="1"/>
  <c r="M774" i="10"/>
  <c r="N774" i="10" s="1"/>
  <c r="O774" i="10" s="1"/>
  <c r="P774" i="10" s="1"/>
  <c r="Q774" i="10" s="1"/>
  <c r="R774" i="10" s="1"/>
  <c r="S774" i="10" s="1"/>
  <c r="T774" i="10" s="1"/>
  <c r="U774" i="10" s="1"/>
  <c r="V774" i="10" s="1"/>
  <c r="D776" i="10" l="1"/>
  <c r="M775" i="10"/>
  <c r="N775" i="10" s="1"/>
  <c r="O775" i="10" s="1"/>
  <c r="P775" i="10" s="1"/>
  <c r="Q775" i="10" s="1"/>
  <c r="R775" i="10" s="1"/>
  <c r="S775" i="10" s="1"/>
  <c r="T775" i="10" s="1"/>
  <c r="U775" i="10" s="1"/>
  <c r="V775" i="10" s="1"/>
  <c r="D777" i="10" l="1"/>
  <c r="M776" i="10"/>
  <c r="N776" i="10" s="1"/>
  <c r="O776" i="10" s="1"/>
  <c r="P776" i="10" s="1"/>
  <c r="Q776" i="10" s="1"/>
  <c r="R776" i="10" s="1"/>
  <c r="S776" i="10" s="1"/>
  <c r="T776" i="10" s="1"/>
  <c r="U776" i="10" s="1"/>
  <c r="V776" i="10" s="1"/>
  <c r="D778" i="10" l="1"/>
  <c r="M777" i="10"/>
  <c r="N777" i="10" s="1"/>
  <c r="O777" i="10" s="1"/>
  <c r="P777" i="10" s="1"/>
  <c r="Q777" i="10" s="1"/>
  <c r="R777" i="10" s="1"/>
  <c r="S777" i="10" s="1"/>
  <c r="T777" i="10" s="1"/>
  <c r="U777" i="10" s="1"/>
  <c r="V777" i="10" s="1"/>
  <c r="D779" i="10" l="1"/>
  <c r="M778" i="10"/>
  <c r="N778" i="10" s="1"/>
  <c r="O778" i="10" s="1"/>
  <c r="P778" i="10" s="1"/>
  <c r="Q778" i="10" s="1"/>
  <c r="R778" i="10" s="1"/>
  <c r="S778" i="10" s="1"/>
  <c r="T778" i="10" s="1"/>
  <c r="U778" i="10" s="1"/>
  <c r="V778" i="10" s="1"/>
  <c r="D780" i="10" l="1"/>
  <c r="M779" i="10"/>
  <c r="N779" i="10" s="1"/>
  <c r="O779" i="10" s="1"/>
  <c r="P779" i="10" s="1"/>
  <c r="Q779" i="10" s="1"/>
  <c r="R779" i="10" s="1"/>
  <c r="S779" i="10" s="1"/>
  <c r="T779" i="10" s="1"/>
  <c r="U779" i="10" s="1"/>
  <c r="V779" i="10" s="1"/>
  <c r="D781" i="10" l="1"/>
  <c r="M780" i="10"/>
  <c r="N780" i="10" s="1"/>
  <c r="O780" i="10" s="1"/>
  <c r="P780" i="10" s="1"/>
  <c r="Q780" i="10" s="1"/>
  <c r="R780" i="10" s="1"/>
  <c r="S780" i="10" s="1"/>
  <c r="T780" i="10" s="1"/>
  <c r="U780" i="10" s="1"/>
  <c r="V780" i="10" s="1"/>
  <c r="D782" i="10" l="1"/>
  <c r="M781" i="10"/>
  <c r="N781" i="10" s="1"/>
  <c r="O781" i="10" s="1"/>
  <c r="P781" i="10" s="1"/>
  <c r="Q781" i="10" s="1"/>
  <c r="R781" i="10" s="1"/>
  <c r="S781" i="10" s="1"/>
  <c r="T781" i="10" s="1"/>
  <c r="U781" i="10" s="1"/>
  <c r="V781" i="10" s="1"/>
  <c r="D783" i="10" l="1"/>
  <c r="M782" i="10"/>
  <c r="N782" i="10" s="1"/>
  <c r="O782" i="10" s="1"/>
  <c r="P782" i="10" s="1"/>
  <c r="Q782" i="10" s="1"/>
  <c r="R782" i="10" s="1"/>
  <c r="S782" i="10" s="1"/>
  <c r="T782" i="10" s="1"/>
  <c r="U782" i="10" s="1"/>
  <c r="V782" i="10" s="1"/>
  <c r="D784" i="10" l="1"/>
  <c r="M783" i="10"/>
  <c r="N783" i="10" s="1"/>
  <c r="O783" i="10" s="1"/>
  <c r="P783" i="10" s="1"/>
  <c r="Q783" i="10" s="1"/>
  <c r="R783" i="10" s="1"/>
  <c r="S783" i="10" s="1"/>
  <c r="T783" i="10" s="1"/>
  <c r="U783" i="10" s="1"/>
  <c r="V783" i="10" s="1"/>
  <c r="D785" i="10" l="1"/>
  <c r="M784" i="10"/>
  <c r="N784" i="10" s="1"/>
  <c r="O784" i="10" s="1"/>
  <c r="P784" i="10" s="1"/>
  <c r="Q784" i="10" s="1"/>
  <c r="R784" i="10" s="1"/>
  <c r="S784" i="10" s="1"/>
  <c r="T784" i="10" s="1"/>
  <c r="U784" i="10" s="1"/>
  <c r="V784" i="10" s="1"/>
  <c r="D786" i="10" l="1"/>
  <c r="M785" i="10"/>
  <c r="N785" i="10" s="1"/>
  <c r="O785" i="10" s="1"/>
  <c r="P785" i="10" s="1"/>
  <c r="Q785" i="10" s="1"/>
  <c r="R785" i="10" s="1"/>
  <c r="S785" i="10" s="1"/>
  <c r="T785" i="10" s="1"/>
  <c r="U785" i="10" s="1"/>
  <c r="V785" i="10" s="1"/>
  <c r="D787" i="10" l="1"/>
  <c r="M786" i="10"/>
  <c r="N786" i="10" s="1"/>
  <c r="O786" i="10" s="1"/>
  <c r="P786" i="10" s="1"/>
  <c r="Q786" i="10" s="1"/>
  <c r="R786" i="10" s="1"/>
  <c r="S786" i="10" s="1"/>
  <c r="T786" i="10" s="1"/>
  <c r="U786" i="10" s="1"/>
  <c r="V786" i="10" s="1"/>
  <c r="D788" i="10" l="1"/>
  <c r="M787" i="10"/>
  <c r="N787" i="10" s="1"/>
  <c r="O787" i="10" s="1"/>
  <c r="P787" i="10" s="1"/>
  <c r="Q787" i="10" s="1"/>
  <c r="R787" i="10" s="1"/>
  <c r="S787" i="10" s="1"/>
  <c r="T787" i="10" s="1"/>
  <c r="U787" i="10" s="1"/>
  <c r="V787" i="10" s="1"/>
  <c r="D789" i="10" l="1"/>
  <c r="M788" i="10"/>
  <c r="N788" i="10" s="1"/>
  <c r="O788" i="10" s="1"/>
  <c r="P788" i="10" s="1"/>
  <c r="Q788" i="10" s="1"/>
  <c r="R788" i="10" s="1"/>
  <c r="S788" i="10" s="1"/>
  <c r="T788" i="10" s="1"/>
  <c r="U788" i="10" s="1"/>
  <c r="V788" i="10" s="1"/>
  <c r="D790" i="10" l="1"/>
  <c r="M789" i="10"/>
  <c r="N789" i="10" s="1"/>
  <c r="O789" i="10" s="1"/>
  <c r="P789" i="10" s="1"/>
  <c r="Q789" i="10" s="1"/>
  <c r="R789" i="10" s="1"/>
  <c r="S789" i="10" s="1"/>
  <c r="T789" i="10" s="1"/>
  <c r="U789" i="10" s="1"/>
  <c r="V789" i="10" s="1"/>
  <c r="D791" i="10" l="1"/>
  <c r="M790" i="10"/>
  <c r="N790" i="10" s="1"/>
  <c r="O790" i="10" s="1"/>
  <c r="P790" i="10" s="1"/>
  <c r="Q790" i="10" s="1"/>
  <c r="R790" i="10" s="1"/>
  <c r="S790" i="10" s="1"/>
  <c r="T790" i="10" s="1"/>
  <c r="U790" i="10" s="1"/>
  <c r="V790" i="10" s="1"/>
  <c r="D792" i="10" l="1"/>
  <c r="M791" i="10"/>
  <c r="N791" i="10" s="1"/>
  <c r="O791" i="10" s="1"/>
  <c r="P791" i="10" s="1"/>
  <c r="Q791" i="10" s="1"/>
  <c r="R791" i="10" s="1"/>
  <c r="S791" i="10" s="1"/>
  <c r="T791" i="10" s="1"/>
  <c r="U791" i="10" s="1"/>
  <c r="V791" i="10" s="1"/>
  <c r="D793" i="10" l="1"/>
  <c r="M792" i="10"/>
  <c r="N792" i="10" s="1"/>
  <c r="O792" i="10" s="1"/>
  <c r="P792" i="10" s="1"/>
  <c r="Q792" i="10" s="1"/>
  <c r="R792" i="10" s="1"/>
  <c r="S792" i="10" s="1"/>
  <c r="T792" i="10" s="1"/>
  <c r="U792" i="10" s="1"/>
  <c r="V792" i="10" s="1"/>
  <c r="D794" i="10" l="1"/>
  <c r="M793" i="10"/>
  <c r="N793" i="10" s="1"/>
  <c r="O793" i="10" s="1"/>
  <c r="P793" i="10" s="1"/>
  <c r="Q793" i="10" s="1"/>
  <c r="R793" i="10" s="1"/>
  <c r="S793" i="10" s="1"/>
  <c r="T793" i="10" s="1"/>
  <c r="U793" i="10" s="1"/>
  <c r="V793" i="10" s="1"/>
  <c r="D795" i="10" l="1"/>
  <c r="M794" i="10"/>
  <c r="N794" i="10" s="1"/>
  <c r="O794" i="10" s="1"/>
  <c r="P794" i="10" s="1"/>
  <c r="Q794" i="10" s="1"/>
  <c r="R794" i="10" s="1"/>
  <c r="S794" i="10" s="1"/>
  <c r="T794" i="10" s="1"/>
  <c r="U794" i="10" s="1"/>
  <c r="V794" i="10" s="1"/>
  <c r="D796" i="10" l="1"/>
  <c r="M795" i="10"/>
  <c r="N795" i="10" s="1"/>
  <c r="O795" i="10" s="1"/>
  <c r="P795" i="10" s="1"/>
  <c r="Q795" i="10" s="1"/>
  <c r="R795" i="10" s="1"/>
  <c r="S795" i="10" s="1"/>
  <c r="T795" i="10" s="1"/>
  <c r="U795" i="10" s="1"/>
  <c r="V795" i="10" s="1"/>
  <c r="D797" i="10" l="1"/>
  <c r="M796" i="10"/>
  <c r="N796" i="10" s="1"/>
  <c r="O796" i="10" s="1"/>
  <c r="P796" i="10" s="1"/>
  <c r="Q796" i="10" s="1"/>
  <c r="R796" i="10" s="1"/>
  <c r="S796" i="10" s="1"/>
  <c r="T796" i="10" s="1"/>
  <c r="U796" i="10" s="1"/>
  <c r="V796" i="10" s="1"/>
  <c r="D798" i="10" l="1"/>
  <c r="M797" i="10"/>
  <c r="N797" i="10" s="1"/>
  <c r="O797" i="10" s="1"/>
  <c r="P797" i="10" s="1"/>
  <c r="Q797" i="10" s="1"/>
  <c r="R797" i="10" s="1"/>
  <c r="S797" i="10" s="1"/>
  <c r="T797" i="10" s="1"/>
  <c r="U797" i="10" s="1"/>
  <c r="V797" i="10" s="1"/>
  <c r="D799" i="10" l="1"/>
  <c r="M798" i="10"/>
  <c r="N798" i="10" s="1"/>
  <c r="O798" i="10" s="1"/>
  <c r="P798" i="10" s="1"/>
  <c r="Q798" i="10" s="1"/>
  <c r="R798" i="10" s="1"/>
  <c r="S798" i="10" s="1"/>
  <c r="T798" i="10" s="1"/>
  <c r="U798" i="10" s="1"/>
  <c r="V798" i="10" s="1"/>
  <c r="D800" i="10" l="1"/>
  <c r="M799" i="10"/>
  <c r="N799" i="10" s="1"/>
  <c r="O799" i="10" s="1"/>
  <c r="P799" i="10" s="1"/>
  <c r="Q799" i="10" s="1"/>
  <c r="R799" i="10" s="1"/>
  <c r="S799" i="10" s="1"/>
  <c r="T799" i="10" s="1"/>
  <c r="U799" i="10" s="1"/>
  <c r="V799" i="10" s="1"/>
  <c r="D801" i="10" l="1"/>
  <c r="M800" i="10"/>
  <c r="N800" i="10" s="1"/>
  <c r="O800" i="10" s="1"/>
  <c r="P800" i="10" s="1"/>
  <c r="Q800" i="10" s="1"/>
  <c r="R800" i="10" s="1"/>
  <c r="S800" i="10" s="1"/>
  <c r="T800" i="10" s="1"/>
  <c r="U800" i="10" s="1"/>
  <c r="V800" i="10" s="1"/>
  <c r="D802" i="10" l="1"/>
  <c r="M801" i="10"/>
  <c r="N801" i="10" s="1"/>
  <c r="O801" i="10" s="1"/>
  <c r="P801" i="10" s="1"/>
  <c r="Q801" i="10" s="1"/>
  <c r="R801" i="10" s="1"/>
  <c r="S801" i="10" s="1"/>
  <c r="T801" i="10" s="1"/>
  <c r="U801" i="10" s="1"/>
  <c r="V801" i="10" s="1"/>
  <c r="D803" i="10" l="1"/>
  <c r="M802" i="10"/>
  <c r="N802" i="10" s="1"/>
  <c r="O802" i="10" s="1"/>
  <c r="P802" i="10" s="1"/>
  <c r="Q802" i="10" s="1"/>
  <c r="R802" i="10" s="1"/>
  <c r="S802" i="10" s="1"/>
  <c r="T802" i="10" s="1"/>
  <c r="U802" i="10" s="1"/>
  <c r="V802" i="10" s="1"/>
  <c r="D804" i="10" l="1"/>
  <c r="M803" i="10"/>
  <c r="N803" i="10" s="1"/>
  <c r="O803" i="10" s="1"/>
  <c r="P803" i="10" s="1"/>
  <c r="Q803" i="10" s="1"/>
  <c r="R803" i="10" s="1"/>
  <c r="S803" i="10" s="1"/>
  <c r="T803" i="10" s="1"/>
  <c r="U803" i="10" s="1"/>
  <c r="V803" i="10" s="1"/>
  <c r="D805" i="10" l="1"/>
  <c r="M804" i="10"/>
  <c r="N804" i="10" s="1"/>
  <c r="O804" i="10" s="1"/>
  <c r="P804" i="10" s="1"/>
  <c r="Q804" i="10" s="1"/>
  <c r="R804" i="10" s="1"/>
  <c r="S804" i="10" s="1"/>
  <c r="T804" i="10" s="1"/>
  <c r="U804" i="10" s="1"/>
  <c r="V804" i="10" s="1"/>
  <c r="D806" i="10" l="1"/>
  <c r="M805" i="10"/>
  <c r="N805" i="10" s="1"/>
  <c r="O805" i="10" s="1"/>
  <c r="P805" i="10" s="1"/>
  <c r="Q805" i="10" s="1"/>
  <c r="R805" i="10" s="1"/>
  <c r="S805" i="10" s="1"/>
  <c r="T805" i="10" s="1"/>
  <c r="U805" i="10" s="1"/>
  <c r="V805" i="10" s="1"/>
  <c r="D807" i="10" l="1"/>
  <c r="M806" i="10"/>
  <c r="N806" i="10" s="1"/>
  <c r="O806" i="10" s="1"/>
  <c r="P806" i="10" s="1"/>
  <c r="Q806" i="10" s="1"/>
  <c r="R806" i="10" s="1"/>
  <c r="S806" i="10" s="1"/>
  <c r="T806" i="10" s="1"/>
  <c r="U806" i="10" s="1"/>
  <c r="V806" i="10" s="1"/>
  <c r="D808" i="10" l="1"/>
  <c r="M807" i="10"/>
  <c r="N807" i="10" s="1"/>
  <c r="O807" i="10" s="1"/>
  <c r="P807" i="10" s="1"/>
  <c r="Q807" i="10" s="1"/>
  <c r="R807" i="10" s="1"/>
  <c r="S807" i="10" s="1"/>
  <c r="T807" i="10" s="1"/>
  <c r="U807" i="10" s="1"/>
  <c r="V807" i="10" s="1"/>
  <c r="D809" i="10" l="1"/>
  <c r="M808" i="10"/>
  <c r="N808" i="10" s="1"/>
  <c r="O808" i="10" s="1"/>
  <c r="P808" i="10" s="1"/>
  <c r="Q808" i="10" s="1"/>
  <c r="R808" i="10" s="1"/>
  <c r="S808" i="10" s="1"/>
  <c r="T808" i="10" s="1"/>
  <c r="U808" i="10" s="1"/>
  <c r="V808" i="10" s="1"/>
  <c r="D810" i="10" l="1"/>
  <c r="M809" i="10"/>
  <c r="N809" i="10" s="1"/>
  <c r="O809" i="10" s="1"/>
  <c r="P809" i="10" s="1"/>
  <c r="Q809" i="10" s="1"/>
  <c r="R809" i="10" s="1"/>
  <c r="S809" i="10" s="1"/>
  <c r="T809" i="10" s="1"/>
  <c r="U809" i="10" s="1"/>
  <c r="V809" i="10" s="1"/>
  <c r="D811" i="10" l="1"/>
  <c r="M810" i="10"/>
  <c r="N810" i="10" s="1"/>
  <c r="O810" i="10" s="1"/>
  <c r="P810" i="10" s="1"/>
  <c r="Q810" i="10" s="1"/>
  <c r="R810" i="10" s="1"/>
  <c r="S810" i="10" s="1"/>
  <c r="T810" i="10" s="1"/>
  <c r="U810" i="10" s="1"/>
  <c r="V810" i="10" s="1"/>
  <c r="D812" i="10" l="1"/>
  <c r="M811" i="10"/>
  <c r="N811" i="10" s="1"/>
  <c r="O811" i="10" s="1"/>
  <c r="P811" i="10" s="1"/>
  <c r="Q811" i="10" s="1"/>
  <c r="R811" i="10" s="1"/>
  <c r="S811" i="10" s="1"/>
  <c r="T811" i="10" s="1"/>
  <c r="U811" i="10" s="1"/>
  <c r="V811" i="10" s="1"/>
  <c r="D813" i="10" l="1"/>
  <c r="M812" i="10"/>
  <c r="N812" i="10" s="1"/>
  <c r="O812" i="10" s="1"/>
  <c r="P812" i="10" s="1"/>
  <c r="Q812" i="10" s="1"/>
  <c r="R812" i="10" s="1"/>
  <c r="S812" i="10" s="1"/>
  <c r="T812" i="10" s="1"/>
  <c r="U812" i="10" s="1"/>
  <c r="V812" i="10" s="1"/>
  <c r="D814" i="10" l="1"/>
  <c r="M813" i="10"/>
  <c r="N813" i="10" s="1"/>
  <c r="O813" i="10" s="1"/>
  <c r="P813" i="10" s="1"/>
  <c r="Q813" i="10" s="1"/>
  <c r="R813" i="10" s="1"/>
  <c r="S813" i="10" s="1"/>
  <c r="T813" i="10" s="1"/>
  <c r="U813" i="10" s="1"/>
  <c r="V813" i="10" s="1"/>
  <c r="D815" i="10" l="1"/>
  <c r="M814" i="10"/>
  <c r="N814" i="10" s="1"/>
  <c r="O814" i="10" s="1"/>
  <c r="P814" i="10" s="1"/>
  <c r="Q814" i="10" s="1"/>
  <c r="R814" i="10" s="1"/>
  <c r="S814" i="10" s="1"/>
  <c r="T814" i="10" s="1"/>
  <c r="U814" i="10" s="1"/>
  <c r="V814" i="10" s="1"/>
  <c r="D816" i="10" l="1"/>
  <c r="M815" i="10"/>
  <c r="N815" i="10" s="1"/>
  <c r="O815" i="10" s="1"/>
  <c r="P815" i="10" s="1"/>
  <c r="Q815" i="10" s="1"/>
  <c r="R815" i="10" s="1"/>
  <c r="S815" i="10" s="1"/>
  <c r="T815" i="10" s="1"/>
  <c r="U815" i="10" s="1"/>
  <c r="V815" i="10" s="1"/>
  <c r="D817" i="10" l="1"/>
  <c r="M816" i="10"/>
  <c r="N816" i="10" s="1"/>
  <c r="O816" i="10" s="1"/>
  <c r="P816" i="10" s="1"/>
  <c r="Q816" i="10" s="1"/>
  <c r="R816" i="10" s="1"/>
  <c r="S816" i="10" s="1"/>
  <c r="T816" i="10" s="1"/>
  <c r="U816" i="10" s="1"/>
  <c r="V816" i="10" s="1"/>
  <c r="D818" i="10" l="1"/>
  <c r="M817" i="10"/>
  <c r="N817" i="10" s="1"/>
  <c r="O817" i="10" s="1"/>
  <c r="P817" i="10" s="1"/>
  <c r="Q817" i="10" s="1"/>
  <c r="R817" i="10" s="1"/>
  <c r="S817" i="10" s="1"/>
  <c r="T817" i="10" s="1"/>
  <c r="U817" i="10" s="1"/>
  <c r="V817" i="10" s="1"/>
  <c r="D819" i="10" l="1"/>
  <c r="M818" i="10"/>
  <c r="N818" i="10" s="1"/>
  <c r="O818" i="10" s="1"/>
  <c r="P818" i="10" s="1"/>
  <c r="Q818" i="10" s="1"/>
  <c r="R818" i="10" s="1"/>
  <c r="S818" i="10" s="1"/>
  <c r="T818" i="10" s="1"/>
  <c r="U818" i="10" s="1"/>
  <c r="V818" i="10" s="1"/>
  <c r="D820" i="10" l="1"/>
  <c r="M819" i="10"/>
  <c r="N819" i="10" s="1"/>
  <c r="O819" i="10" s="1"/>
  <c r="P819" i="10" s="1"/>
  <c r="Q819" i="10" s="1"/>
  <c r="R819" i="10" s="1"/>
  <c r="S819" i="10" s="1"/>
  <c r="T819" i="10" s="1"/>
  <c r="U819" i="10" s="1"/>
  <c r="V819" i="10" s="1"/>
  <c r="D821" i="10" l="1"/>
  <c r="M820" i="10"/>
  <c r="N820" i="10" s="1"/>
  <c r="O820" i="10" s="1"/>
  <c r="P820" i="10" s="1"/>
  <c r="Q820" i="10" s="1"/>
  <c r="R820" i="10" s="1"/>
  <c r="S820" i="10" s="1"/>
  <c r="T820" i="10" s="1"/>
  <c r="U820" i="10" s="1"/>
  <c r="V820" i="10" s="1"/>
  <c r="D822" i="10" l="1"/>
  <c r="M821" i="10"/>
  <c r="N821" i="10" s="1"/>
  <c r="O821" i="10" s="1"/>
  <c r="P821" i="10" s="1"/>
  <c r="Q821" i="10" s="1"/>
  <c r="R821" i="10" s="1"/>
  <c r="S821" i="10" s="1"/>
  <c r="T821" i="10" s="1"/>
  <c r="U821" i="10" s="1"/>
  <c r="V821" i="10" s="1"/>
  <c r="D823" i="10" l="1"/>
  <c r="M822" i="10"/>
  <c r="N822" i="10" s="1"/>
  <c r="O822" i="10" s="1"/>
  <c r="P822" i="10" s="1"/>
  <c r="Q822" i="10" s="1"/>
  <c r="R822" i="10" s="1"/>
  <c r="S822" i="10" s="1"/>
  <c r="T822" i="10" s="1"/>
  <c r="U822" i="10" s="1"/>
  <c r="V822" i="10" s="1"/>
  <c r="D824" i="10" l="1"/>
  <c r="M823" i="10"/>
  <c r="N823" i="10" s="1"/>
  <c r="O823" i="10" s="1"/>
  <c r="P823" i="10" s="1"/>
  <c r="Q823" i="10" s="1"/>
  <c r="R823" i="10" s="1"/>
  <c r="S823" i="10" s="1"/>
  <c r="T823" i="10" s="1"/>
  <c r="U823" i="10" s="1"/>
  <c r="V823" i="10" s="1"/>
  <c r="D825" i="10" l="1"/>
  <c r="M824" i="10"/>
  <c r="N824" i="10" s="1"/>
  <c r="O824" i="10" s="1"/>
  <c r="P824" i="10" s="1"/>
  <c r="Q824" i="10" s="1"/>
  <c r="R824" i="10" s="1"/>
  <c r="S824" i="10" s="1"/>
  <c r="T824" i="10" s="1"/>
  <c r="U824" i="10" s="1"/>
  <c r="V824" i="10" s="1"/>
  <c r="D826" i="10" l="1"/>
  <c r="M825" i="10"/>
  <c r="N825" i="10" s="1"/>
  <c r="O825" i="10" s="1"/>
  <c r="P825" i="10" s="1"/>
  <c r="Q825" i="10" s="1"/>
  <c r="R825" i="10" s="1"/>
  <c r="S825" i="10" s="1"/>
  <c r="T825" i="10" s="1"/>
  <c r="U825" i="10" s="1"/>
  <c r="V825" i="10" s="1"/>
  <c r="D827" i="10" l="1"/>
  <c r="M826" i="10"/>
  <c r="N826" i="10" s="1"/>
  <c r="O826" i="10" s="1"/>
  <c r="P826" i="10" s="1"/>
  <c r="Q826" i="10" s="1"/>
  <c r="R826" i="10" s="1"/>
  <c r="S826" i="10" s="1"/>
  <c r="T826" i="10" s="1"/>
  <c r="U826" i="10" s="1"/>
  <c r="V826" i="10" s="1"/>
  <c r="D828" i="10" l="1"/>
  <c r="M827" i="10"/>
  <c r="N827" i="10" s="1"/>
  <c r="O827" i="10" s="1"/>
  <c r="P827" i="10" s="1"/>
  <c r="Q827" i="10" s="1"/>
  <c r="R827" i="10" s="1"/>
  <c r="S827" i="10" s="1"/>
  <c r="T827" i="10" s="1"/>
  <c r="U827" i="10" s="1"/>
  <c r="V827" i="10" s="1"/>
  <c r="D829" i="10" l="1"/>
  <c r="M828" i="10"/>
  <c r="N828" i="10" s="1"/>
  <c r="O828" i="10" s="1"/>
  <c r="P828" i="10" s="1"/>
  <c r="Q828" i="10" s="1"/>
  <c r="R828" i="10" s="1"/>
  <c r="S828" i="10" s="1"/>
  <c r="T828" i="10" s="1"/>
  <c r="U828" i="10" s="1"/>
  <c r="V828" i="10" s="1"/>
  <c r="D830" i="10" l="1"/>
  <c r="M829" i="10"/>
  <c r="N829" i="10" s="1"/>
  <c r="O829" i="10" s="1"/>
  <c r="P829" i="10" s="1"/>
  <c r="Q829" i="10" s="1"/>
  <c r="R829" i="10" s="1"/>
  <c r="S829" i="10" s="1"/>
  <c r="T829" i="10" s="1"/>
  <c r="U829" i="10" s="1"/>
  <c r="V829" i="10" s="1"/>
  <c r="D831" i="10" l="1"/>
  <c r="M830" i="10"/>
  <c r="N830" i="10" s="1"/>
  <c r="O830" i="10" s="1"/>
  <c r="P830" i="10" s="1"/>
  <c r="Q830" i="10" s="1"/>
  <c r="R830" i="10" s="1"/>
  <c r="S830" i="10" s="1"/>
  <c r="T830" i="10" s="1"/>
  <c r="U830" i="10" s="1"/>
  <c r="V830" i="10" s="1"/>
  <c r="D832" i="10" l="1"/>
  <c r="M831" i="10"/>
  <c r="N831" i="10" s="1"/>
  <c r="O831" i="10" s="1"/>
  <c r="P831" i="10" s="1"/>
  <c r="Q831" i="10" s="1"/>
  <c r="R831" i="10" s="1"/>
  <c r="S831" i="10" s="1"/>
  <c r="T831" i="10" s="1"/>
  <c r="U831" i="10" s="1"/>
  <c r="V831" i="10" s="1"/>
  <c r="D833" i="10" l="1"/>
  <c r="M832" i="10"/>
  <c r="N832" i="10" s="1"/>
  <c r="O832" i="10" s="1"/>
  <c r="P832" i="10" s="1"/>
  <c r="Q832" i="10" s="1"/>
  <c r="R832" i="10" s="1"/>
  <c r="S832" i="10" s="1"/>
  <c r="T832" i="10" s="1"/>
  <c r="U832" i="10" s="1"/>
  <c r="V832" i="10" s="1"/>
  <c r="D834" i="10" l="1"/>
  <c r="M833" i="10"/>
  <c r="N833" i="10" s="1"/>
  <c r="O833" i="10" s="1"/>
  <c r="P833" i="10" s="1"/>
  <c r="Q833" i="10" s="1"/>
  <c r="R833" i="10" s="1"/>
  <c r="S833" i="10" s="1"/>
  <c r="T833" i="10" s="1"/>
  <c r="U833" i="10" s="1"/>
  <c r="V833" i="10" s="1"/>
  <c r="D835" i="10" l="1"/>
  <c r="M834" i="10"/>
  <c r="N834" i="10" s="1"/>
  <c r="O834" i="10" s="1"/>
  <c r="P834" i="10" s="1"/>
  <c r="Q834" i="10" s="1"/>
  <c r="R834" i="10" s="1"/>
  <c r="S834" i="10" s="1"/>
  <c r="T834" i="10" s="1"/>
  <c r="U834" i="10" s="1"/>
  <c r="V834" i="10" s="1"/>
  <c r="D836" i="10" l="1"/>
  <c r="M835" i="10"/>
  <c r="N835" i="10" s="1"/>
  <c r="O835" i="10" s="1"/>
  <c r="P835" i="10" s="1"/>
  <c r="Q835" i="10" s="1"/>
  <c r="R835" i="10" s="1"/>
  <c r="S835" i="10" s="1"/>
  <c r="T835" i="10" s="1"/>
  <c r="U835" i="10" s="1"/>
  <c r="V835" i="10" s="1"/>
  <c r="D837" i="10" l="1"/>
  <c r="M836" i="10"/>
  <c r="N836" i="10" s="1"/>
  <c r="O836" i="10" s="1"/>
  <c r="P836" i="10" s="1"/>
  <c r="Q836" i="10" s="1"/>
  <c r="R836" i="10" s="1"/>
  <c r="S836" i="10" s="1"/>
  <c r="T836" i="10" s="1"/>
  <c r="U836" i="10" s="1"/>
  <c r="V836" i="10" s="1"/>
  <c r="D838" i="10" l="1"/>
  <c r="M837" i="10"/>
  <c r="N837" i="10" s="1"/>
  <c r="O837" i="10" s="1"/>
  <c r="P837" i="10" s="1"/>
  <c r="Q837" i="10" s="1"/>
  <c r="R837" i="10" s="1"/>
  <c r="S837" i="10" s="1"/>
  <c r="T837" i="10" s="1"/>
  <c r="U837" i="10" s="1"/>
  <c r="V837" i="10" s="1"/>
  <c r="D839" i="10" l="1"/>
  <c r="M838" i="10"/>
  <c r="N838" i="10" s="1"/>
  <c r="O838" i="10" s="1"/>
  <c r="P838" i="10" s="1"/>
  <c r="Q838" i="10" s="1"/>
  <c r="R838" i="10" s="1"/>
  <c r="S838" i="10" s="1"/>
  <c r="T838" i="10" s="1"/>
  <c r="U838" i="10" s="1"/>
  <c r="V838" i="10" s="1"/>
  <c r="D840" i="10" l="1"/>
  <c r="M839" i="10"/>
  <c r="N839" i="10" s="1"/>
  <c r="O839" i="10" s="1"/>
  <c r="P839" i="10" s="1"/>
  <c r="Q839" i="10" s="1"/>
  <c r="R839" i="10" s="1"/>
  <c r="S839" i="10" s="1"/>
  <c r="T839" i="10" s="1"/>
  <c r="U839" i="10" s="1"/>
  <c r="V839" i="10" s="1"/>
  <c r="D841" i="10" l="1"/>
  <c r="M840" i="10"/>
  <c r="N840" i="10" s="1"/>
  <c r="O840" i="10" s="1"/>
  <c r="P840" i="10" s="1"/>
  <c r="Q840" i="10" s="1"/>
  <c r="R840" i="10" s="1"/>
  <c r="S840" i="10" s="1"/>
  <c r="T840" i="10" s="1"/>
  <c r="U840" i="10" s="1"/>
  <c r="V840" i="10" s="1"/>
  <c r="D842" i="10" l="1"/>
  <c r="M841" i="10"/>
  <c r="N841" i="10" s="1"/>
  <c r="O841" i="10" s="1"/>
  <c r="P841" i="10" s="1"/>
  <c r="Q841" i="10" s="1"/>
  <c r="R841" i="10" s="1"/>
  <c r="S841" i="10" s="1"/>
  <c r="T841" i="10" s="1"/>
  <c r="U841" i="10" s="1"/>
  <c r="V841" i="10" s="1"/>
  <c r="D843" i="10" l="1"/>
  <c r="M842" i="10"/>
  <c r="N842" i="10" s="1"/>
  <c r="O842" i="10" s="1"/>
  <c r="P842" i="10" s="1"/>
  <c r="Q842" i="10" s="1"/>
  <c r="R842" i="10" s="1"/>
  <c r="S842" i="10" s="1"/>
  <c r="T842" i="10" s="1"/>
  <c r="U842" i="10" s="1"/>
  <c r="V842" i="10" s="1"/>
  <c r="D844" i="10" l="1"/>
  <c r="M843" i="10"/>
  <c r="N843" i="10" s="1"/>
  <c r="O843" i="10" s="1"/>
  <c r="P843" i="10" s="1"/>
  <c r="Q843" i="10" s="1"/>
  <c r="R843" i="10" s="1"/>
  <c r="S843" i="10" s="1"/>
  <c r="T843" i="10" s="1"/>
  <c r="U843" i="10" s="1"/>
  <c r="V843" i="10" s="1"/>
  <c r="D845" i="10" l="1"/>
  <c r="M844" i="10"/>
  <c r="N844" i="10" s="1"/>
  <c r="O844" i="10" s="1"/>
  <c r="P844" i="10" s="1"/>
  <c r="Q844" i="10" s="1"/>
  <c r="R844" i="10" s="1"/>
  <c r="S844" i="10" s="1"/>
  <c r="T844" i="10" s="1"/>
  <c r="U844" i="10" s="1"/>
  <c r="V844" i="10" s="1"/>
  <c r="D846" i="10" l="1"/>
  <c r="M845" i="10"/>
  <c r="N845" i="10" s="1"/>
  <c r="O845" i="10" s="1"/>
  <c r="P845" i="10" s="1"/>
  <c r="Q845" i="10" s="1"/>
  <c r="R845" i="10" s="1"/>
  <c r="S845" i="10" s="1"/>
  <c r="T845" i="10" s="1"/>
  <c r="U845" i="10" s="1"/>
  <c r="V845" i="10" s="1"/>
  <c r="D847" i="10" l="1"/>
  <c r="M846" i="10"/>
  <c r="N846" i="10" s="1"/>
  <c r="O846" i="10" s="1"/>
  <c r="P846" i="10" s="1"/>
  <c r="Q846" i="10" s="1"/>
  <c r="R846" i="10" s="1"/>
  <c r="S846" i="10" s="1"/>
  <c r="T846" i="10" s="1"/>
  <c r="U846" i="10" s="1"/>
  <c r="V846" i="10" s="1"/>
  <c r="D848" i="10" l="1"/>
  <c r="M847" i="10"/>
  <c r="N847" i="10" s="1"/>
  <c r="O847" i="10" s="1"/>
  <c r="P847" i="10" s="1"/>
  <c r="Q847" i="10" s="1"/>
  <c r="R847" i="10" s="1"/>
  <c r="S847" i="10" s="1"/>
  <c r="T847" i="10" s="1"/>
  <c r="U847" i="10" s="1"/>
  <c r="V847" i="10" s="1"/>
  <c r="D849" i="10" l="1"/>
  <c r="M848" i="10"/>
  <c r="N848" i="10" s="1"/>
  <c r="O848" i="10" s="1"/>
  <c r="P848" i="10" s="1"/>
  <c r="Q848" i="10" s="1"/>
  <c r="R848" i="10" s="1"/>
  <c r="S848" i="10" s="1"/>
  <c r="T848" i="10" s="1"/>
  <c r="U848" i="10" s="1"/>
  <c r="V848" i="10" s="1"/>
  <c r="D850" i="10" l="1"/>
  <c r="M849" i="10"/>
  <c r="N849" i="10" s="1"/>
  <c r="O849" i="10" s="1"/>
  <c r="P849" i="10" s="1"/>
  <c r="Q849" i="10" s="1"/>
  <c r="R849" i="10" s="1"/>
  <c r="S849" i="10" s="1"/>
  <c r="T849" i="10" s="1"/>
  <c r="U849" i="10" s="1"/>
  <c r="V849" i="10" s="1"/>
  <c r="D851" i="10" l="1"/>
  <c r="M850" i="10"/>
  <c r="N850" i="10" s="1"/>
  <c r="O850" i="10" s="1"/>
  <c r="P850" i="10" s="1"/>
  <c r="Q850" i="10" s="1"/>
  <c r="R850" i="10" s="1"/>
  <c r="S850" i="10" s="1"/>
  <c r="T850" i="10" s="1"/>
  <c r="U850" i="10" s="1"/>
  <c r="V850" i="10" s="1"/>
  <c r="D852" i="10" l="1"/>
  <c r="M851" i="10"/>
  <c r="N851" i="10" s="1"/>
  <c r="O851" i="10" s="1"/>
  <c r="P851" i="10" s="1"/>
  <c r="Q851" i="10" s="1"/>
  <c r="R851" i="10" s="1"/>
  <c r="S851" i="10" s="1"/>
  <c r="T851" i="10" s="1"/>
  <c r="U851" i="10" s="1"/>
  <c r="V851" i="10" s="1"/>
  <c r="D853" i="10" l="1"/>
  <c r="M852" i="10"/>
  <c r="N852" i="10" s="1"/>
  <c r="O852" i="10" s="1"/>
  <c r="P852" i="10" s="1"/>
  <c r="Q852" i="10" s="1"/>
  <c r="R852" i="10" s="1"/>
  <c r="S852" i="10" s="1"/>
  <c r="T852" i="10" s="1"/>
  <c r="U852" i="10" s="1"/>
  <c r="V852" i="10" s="1"/>
  <c r="D854" i="10" l="1"/>
  <c r="M853" i="10"/>
  <c r="N853" i="10" s="1"/>
  <c r="O853" i="10" s="1"/>
  <c r="P853" i="10" s="1"/>
  <c r="Q853" i="10" s="1"/>
  <c r="R853" i="10" s="1"/>
  <c r="S853" i="10" s="1"/>
  <c r="T853" i="10" s="1"/>
  <c r="U853" i="10" s="1"/>
  <c r="V853" i="10" s="1"/>
  <c r="D855" i="10" l="1"/>
  <c r="M854" i="10"/>
  <c r="N854" i="10" s="1"/>
  <c r="O854" i="10" s="1"/>
  <c r="P854" i="10" s="1"/>
  <c r="Q854" i="10" s="1"/>
  <c r="R854" i="10" s="1"/>
  <c r="S854" i="10" s="1"/>
  <c r="T854" i="10" s="1"/>
  <c r="U854" i="10" s="1"/>
  <c r="V854" i="10" s="1"/>
  <c r="D856" i="10" l="1"/>
  <c r="M855" i="10"/>
  <c r="N855" i="10" s="1"/>
  <c r="O855" i="10" s="1"/>
  <c r="P855" i="10" s="1"/>
  <c r="Q855" i="10" s="1"/>
  <c r="R855" i="10" s="1"/>
  <c r="S855" i="10" s="1"/>
  <c r="T855" i="10" s="1"/>
  <c r="U855" i="10" s="1"/>
  <c r="V855" i="10" s="1"/>
  <c r="D857" i="10" l="1"/>
  <c r="M856" i="10"/>
  <c r="N856" i="10" s="1"/>
  <c r="O856" i="10" s="1"/>
  <c r="P856" i="10" s="1"/>
  <c r="Q856" i="10" s="1"/>
  <c r="R856" i="10" s="1"/>
  <c r="S856" i="10" s="1"/>
  <c r="T856" i="10" s="1"/>
  <c r="U856" i="10" s="1"/>
  <c r="V856" i="10" s="1"/>
  <c r="D858" i="10" l="1"/>
  <c r="M857" i="10"/>
  <c r="N857" i="10" s="1"/>
  <c r="O857" i="10" s="1"/>
  <c r="P857" i="10" s="1"/>
  <c r="Q857" i="10" s="1"/>
  <c r="R857" i="10" s="1"/>
  <c r="S857" i="10" s="1"/>
  <c r="T857" i="10" s="1"/>
  <c r="U857" i="10" s="1"/>
  <c r="V857" i="10" s="1"/>
  <c r="D859" i="10" l="1"/>
  <c r="M858" i="10"/>
  <c r="N858" i="10" s="1"/>
  <c r="O858" i="10" s="1"/>
  <c r="P858" i="10" s="1"/>
  <c r="Q858" i="10" s="1"/>
  <c r="R858" i="10" s="1"/>
  <c r="S858" i="10" s="1"/>
  <c r="T858" i="10" s="1"/>
  <c r="U858" i="10" s="1"/>
  <c r="V858" i="10" s="1"/>
  <c r="D860" i="10" l="1"/>
  <c r="M859" i="10"/>
  <c r="N859" i="10" s="1"/>
  <c r="O859" i="10" s="1"/>
  <c r="P859" i="10" s="1"/>
  <c r="Q859" i="10" s="1"/>
  <c r="R859" i="10" s="1"/>
  <c r="S859" i="10" s="1"/>
  <c r="T859" i="10" s="1"/>
  <c r="U859" i="10" s="1"/>
  <c r="V859" i="10" s="1"/>
  <c r="D861" i="10" l="1"/>
  <c r="M860" i="10"/>
  <c r="N860" i="10" s="1"/>
  <c r="O860" i="10" s="1"/>
  <c r="P860" i="10" s="1"/>
  <c r="Q860" i="10" s="1"/>
  <c r="R860" i="10" s="1"/>
  <c r="S860" i="10" s="1"/>
  <c r="T860" i="10" s="1"/>
  <c r="U860" i="10" s="1"/>
  <c r="V860" i="10" s="1"/>
  <c r="D862" i="10" l="1"/>
  <c r="M861" i="10"/>
  <c r="N861" i="10" s="1"/>
  <c r="O861" i="10" s="1"/>
  <c r="P861" i="10" s="1"/>
  <c r="Q861" i="10" s="1"/>
  <c r="R861" i="10" s="1"/>
  <c r="S861" i="10" s="1"/>
  <c r="T861" i="10" s="1"/>
  <c r="U861" i="10" s="1"/>
  <c r="V861" i="10" s="1"/>
  <c r="D863" i="10" l="1"/>
  <c r="M862" i="10"/>
  <c r="N862" i="10" s="1"/>
  <c r="O862" i="10" s="1"/>
  <c r="P862" i="10" s="1"/>
  <c r="Q862" i="10" s="1"/>
  <c r="R862" i="10" s="1"/>
  <c r="S862" i="10" s="1"/>
  <c r="T862" i="10" s="1"/>
  <c r="U862" i="10" s="1"/>
  <c r="V862" i="10" s="1"/>
  <c r="D864" i="10" l="1"/>
  <c r="M863" i="10"/>
  <c r="N863" i="10" s="1"/>
  <c r="O863" i="10" s="1"/>
  <c r="P863" i="10" s="1"/>
  <c r="Q863" i="10" s="1"/>
  <c r="R863" i="10" s="1"/>
  <c r="S863" i="10" s="1"/>
  <c r="T863" i="10" s="1"/>
  <c r="U863" i="10" s="1"/>
  <c r="V863" i="10" s="1"/>
  <c r="D865" i="10" l="1"/>
  <c r="M864" i="10"/>
  <c r="N864" i="10" s="1"/>
  <c r="O864" i="10" s="1"/>
  <c r="P864" i="10" s="1"/>
  <c r="Q864" i="10" s="1"/>
  <c r="R864" i="10" s="1"/>
  <c r="S864" i="10" s="1"/>
  <c r="T864" i="10" s="1"/>
  <c r="U864" i="10" s="1"/>
  <c r="V864" i="10" s="1"/>
  <c r="D866" i="10" l="1"/>
  <c r="M865" i="10"/>
  <c r="N865" i="10" s="1"/>
  <c r="O865" i="10" s="1"/>
  <c r="P865" i="10" s="1"/>
  <c r="Q865" i="10" s="1"/>
  <c r="R865" i="10" s="1"/>
  <c r="S865" i="10" s="1"/>
  <c r="T865" i="10" s="1"/>
  <c r="U865" i="10" s="1"/>
  <c r="V865" i="10" s="1"/>
  <c r="D867" i="10" l="1"/>
  <c r="M866" i="10"/>
  <c r="N866" i="10" s="1"/>
  <c r="O866" i="10" s="1"/>
  <c r="P866" i="10" s="1"/>
  <c r="Q866" i="10" s="1"/>
  <c r="R866" i="10" s="1"/>
  <c r="S866" i="10" s="1"/>
  <c r="T866" i="10" s="1"/>
  <c r="U866" i="10" s="1"/>
  <c r="V866" i="10" s="1"/>
  <c r="D868" i="10" l="1"/>
  <c r="M867" i="10"/>
  <c r="N867" i="10" s="1"/>
  <c r="O867" i="10" s="1"/>
  <c r="P867" i="10" s="1"/>
  <c r="Q867" i="10" s="1"/>
  <c r="R867" i="10" s="1"/>
  <c r="S867" i="10" s="1"/>
  <c r="T867" i="10" s="1"/>
  <c r="U867" i="10" s="1"/>
  <c r="V867" i="10" s="1"/>
  <c r="D869" i="10" l="1"/>
  <c r="M868" i="10"/>
  <c r="N868" i="10" s="1"/>
  <c r="O868" i="10" s="1"/>
  <c r="P868" i="10" s="1"/>
  <c r="Q868" i="10" s="1"/>
  <c r="R868" i="10" s="1"/>
  <c r="S868" i="10" s="1"/>
  <c r="T868" i="10" s="1"/>
  <c r="U868" i="10" s="1"/>
  <c r="V868" i="10" s="1"/>
  <c r="D870" i="10" l="1"/>
  <c r="M869" i="10"/>
  <c r="N869" i="10" s="1"/>
  <c r="O869" i="10" s="1"/>
  <c r="P869" i="10" s="1"/>
  <c r="Q869" i="10" s="1"/>
  <c r="R869" i="10" s="1"/>
  <c r="S869" i="10" s="1"/>
  <c r="T869" i="10" s="1"/>
  <c r="U869" i="10" s="1"/>
  <c r="V869" i="10" s="1"/>
  <c r="D871" i="10" l="1"/>
  <c r="M870" i="10"/>
  <c r="N870" i="10" s="1"/>
  <c r="O870" i="10" s="1"/>
  <c r="P870" i="10" s="1"/>
  <c r="Q870" i="10" s="1"/>
  <c r="R870" i="10" s="1"/>
  <c r="S870" i="10" s="1"/>
  <c r="T870" i="10" s="1"/>
  <c r="U870" i="10" s="1"/>
  <c r="V870" i="10" s="1"/>
  <c r="D872" i="10" l="1"/>
  <c r="M871" i="10"/>
  <c r="N871" i="10" s="1"/>
  <c r="O871" i="10" s="1"/>
  <c r="P871" i="10" s="1"/>
  <c r="Q871" i="10" s="1"/>
  <c r="R871" i="10" s="1"/>
  <c r="S871" i="10" s="1"/>
  <c r="T871" i="10" s="1"/>
  <c r="U871" i="10" s="1"/>
  <c r="V871" i="10" s="1"/>
  <c r="D873" i="10" l="1"/>
  <c r="M872" i="10"/>
  <c r="N872" i="10" s="1"/>
  <c r="O872" i="10" s="1"/>
  <c r="P872" i="10" s="1"/>
  <c r="Q872" i="10" s="1"/>
  <c r="R872" i="10" s="1"/>
  <c r="S872" i="10" s="1"/>
  <c r="T872" i="10" s="1"/>
  <c r="U872" i="10" s="1"/>
  <c r="V872" i="10" s="1"/>
  <c r="D874" i="10" l="1"/>
  <c r="M873" i="10"/>
  <c r="N873" i="10" s="1"/>
  <c r="O873" i="10" s="1"/>
  <c r="P873" i="10" s="1"/>
  <c r="Q873" i="10" s="1"/>
  <c r="R873" i="10" s="1"/>
  <c r="S873" i="10" s="1"/>
  <c r="T873" i="10" s="1"/>
  <c r="U873" i="10" s="1"/>
  <c r="V873" i="10" s="1"/>
  <c r="D875" i="10" l="1"/>
  <c r="M874" i="10"/>
  <c r="N874" i="10" s="1"/>
  <c r="O874" i="10" s="1"/>
  <c r="P874" i="10" s="1"/>
  <c r="Q874" i="10" s="1"/>
  <c r="R874" i="10" s="1"/>
  <c r="S874" i="10" s="1"/>
  <c r="T874" i="10" s="1"/>
  <c r="U874" i="10" s="1"/>
  <c r="V874" i="10" s="1"/>
  <c r="D876" i="10" l="1"/>
  <c r="M875" i="10"/>
  <c r="N875" i="10" s="1"/>
  <c r="O875" i="10" s="1"/>
  <c r="P875" i="10" s="1"/>
  <c r="Q875" i="10" s="1"/>
  <c r="R875" i="10" s="1"/>
  <c r="S875" i="10" s="1"/>
  <c r="T875" i="10" s="1"/>
  <c r="U875" i="10" s="1"/>
  <c r="V875" i="10" s="1"/>
  <c r="D877" i="10" l="1"/>
  <c r="M876" i="10"/>
  <c r="N876" i="10" s="1"/>
  <c r="O876" i="10" s="1"/>
  <c r="P876" i="10" s="1"/>
  <c r="Q876" i="10" s="1"/>
  <c r="R876" i="10" s="1"/>
  <c r="S876" i="10" s="1"/>
  <c r="T876" i="10" s="1"/>
  <c r="U876" i="10" s="1"/>
  <c r="V876" i="10" s="1"/>
  <c r="D878" i="10" l="1"/>
  <c r="M877" i="10"/>
  <c r="N877" i="10" s="1"/>
  <c r="O877" i="10" s="1"/>
  <c r="P877" i="10" s="1"/>
  <c r="Q877" i="10" s="1"/>
  <c r="R877" i="10" s="1"/>
  <c r="S877" i="10" s="1"/>
  <c r="T877" i="10" s="1"/>
  <c r="U877" i="10" s="1"/>
  <c r="V877" i="10" s="1"/>
  <c r="D879" i="10" l="1"/>
  <c r="M878" i="10"/>
  <c r="N878" i="10" s="1"/>
  <c r="O878" i="10" s="1"/>
  <c r="P878" i="10" s="1"/>
  <c r="Q878" i="10" s="1"/>
  <c r="R878" i="10" s="1"/>
  <c r="S878" i="10" s="1"/>
  <c r="T878" i="10" s="1"/>
  <c r="U878" i="10" s="1"/>
  <c r="V878" i="10" s="1"/>
  <c r="D880" i="10" l="1"/>
  <c r="M879" i="10"/>
  <c r="N879" i="10" s="1"/>
  <c r="O879" i="10" s="1"/>
  <c r="P879" i="10" s="1"/>
  <c r="Q879" i="10" s="1"/>
  <c r="R879" i="10" s="1"/>
  <c r="S879" i="10" s="1"/>
  <c r="T879" i="10" s="1"/>
  <c r="U879" i="10" s="1"/>
  <c r="V879" i="10" s="1"/>
  <c r="D881" i="10" l="1"/>
  <c r="M880" i="10"/>
  <c r="N880" i="10" s="1"/>
  <c r="O880" i="10" s="1"/>
  <c r="P880" i="10" s="1"/>
  <c r="Q880" i="10" s="1"/>
  <c r="R880" i="10" s="1"/>
  <c r="S880" i="10" s="1"/>
  <c r="T880" i="10" s="1"/>
  <c r="U880" i="10" s="1"/>
  <c r="V880" i="10" s="1"/>
  <c r="D882" i="10" l="1"/>
  <c r="M881" i="10"/>
  <c r="N881" i="10" s="1"/>
  <c r="O881" i="10" s="1"/>
  <c r="P881" i="10" s="1"/>
  <c r="Q881" i="10" s="1"/>
  <c r="R881" i="10" s="1"/>
  <c r="S881" i="10" s="1"/>
  <c r="T881" i="10" s="1"/>
  <c r="U881" i="10" s="1"/>
  <c r="V881" i="10" s="1"/>
  <c r="D883" i="10" l="1"/>
  <c r="M882" i="10"/>
  <c r="N882" i="10" s="1"/>
  <c r="O882" i="10" s="1"/>
  <c r="P882" i="10" s="1"/>
  <c r="Q882" i="10" s="1"/>
  <c r="R882" i="10" s="1"/>
  <c r="S882" i="10" s="1"/>
  <c r="T882" i="10" s="1"/>
  <c r="U882" i="10" s="1"/>
  <c r="V882" i="10" s="1"/>
  <c r="D884" i="10" l="1"/>
  <c r="M883" i="10"/>
  <c r="N883" i="10" s="1"/>
  <c r="O883" i="10" s="1"/>
  <c r="P883" i="10" s="1"/>
  <c r="Q883" i="10" s="1"/>
  <c r="R883" i="10" s="1"/>
  <c r="S883" i="10" s="1"/>
  <c r="T883" i="10" s="1"/>
  <c r="U883" i="10" s="1"/>
  <c r="V883" i="10" s="1"/>
  <c r="D885" i="10" l="1"/>
  <c r="M884" i="10"/>
  <c r="N884" i="10" s="1"/>
  <c r="O884" i="10" s="1"/>
  <c r="P884" i="10" s="1"/>
  <c r="Q884" i="10" s="1"/>
  <c r="R884" i="10" s="1"/>
  <c r="S884" i="10" s="1"/>
  <c r="T884" i="10" s="1"/>
  <c r="U884" i="10" s="1"/>
  <c r="V884" i="10" s="1"/>
  <c r="D886" i="10" l="1"/>
  <c r="M885" i="10"/>
  <c r="N885" i="10" s="1"/>
  <c r="O885" i="10" s="1"/>
  <c r="P885" i="10" s="1"/>
  <c r="Q885" i="10" s="1"/>
  <c r="R885" i="10" s="1"/>
  <c r="S885" i="10" s="1"/>
  <c r="T885" i="10" s="1"/>
  <c r="U885" i="10" s="1"/>
  <c r="V885" i="10" s="1"/>
  <c r="D887" i="10" l="1"/>
  <c r="M886" i="10"/>
  <c r="N886" i="10" s="1"/>
  <c r="O886" i="10" s="1"/>
  <c r="P886" i="10" s="1"/>
  <c r="Q886" i="10" s="1"/>
  <c r="R886" i="10" s="1"/>
  <c r="S886" i="10" s="1"/>
  <c r="T886" i="10" s="1"/>
  <c r="U886" i="10" s="1"/>
  <c r="V886" i="10" s="1"/>
  <c r="D888" i="10" l="1"/>
  <c r="M887" i="10"/>
  <c r="N887" i="10" s="1"/>
  <c r="O887" i="10" s="1"/>
  <c r="P887" i="10" s="1"/>
  <c r="Q887" i="10" s="1"/>
  <c r="R887" i="10" s="1"/>
  <c r="S887" i="10" s="1"/>
  <c r="T887" i="10" s="1"/>
  <c r="U887" i="10" s="1"/>
  <c r="V887" i="10" s="1"/>
  <c r="D889" i="10" l="1"/>
  <c r="M888" i="10"/>
  <c r="N888" i="10" s="1"/>
  <c r="O888" i="10" s="1"/>
  <c r="P888" i="10" s="1"/>
  <c r="Q888" i="10" s="1"/>
  <c r="R888" i="10" s="1"/>
  <c r="S888" i="10" s="1"/>
  <c r="T888" i="10" s="1"/>
  <c r="U888" i="10" s="1"/>
  <c r="V888" i="10" s="1"/>
  <c r="D890" i="10" l="1"/>
  <c r="M889" i="10"/>
  <c r="N889" i="10" s="1"/>
  <c r="O889" i="10" s="1"/>
  <c r="P889" i="10" s="1"/>
  <c r="Q889" i="10" s="1"/>
  <c r="R889" i="10" s="1"/>
  <c r="S889" i="10" s="1"/>
  <c r="T889" i="10" s="1"/>
  <c r="U889" i="10" s="1"/>
  <c r="V889" i="10" s="1"/>
  <c r="D891" i="10" l="1"/>
  <c r="M890" i="10"/>
  <c r="N890" i="10" s="1"/>
  <c r="O890" i="10" s="1"/>
  <c r="P890" i="10" s="1"/>
  <c r="Q890" i="10" s="1"/>
  <c r="R890" i="10" s="1"/>
  <c r="S890" i="10" s="1"/>
  <c r="T890" i="10" s="1"/>
  <c r="U890" i="10" s="1"/>
  <c r="V890" i="10" s="1"/>
  <c r="D892" i="10" l="1"/>
  <c r="M891" i="10"/>
  <c r="N891" i="10" s="1"/>
  <c r="O891" i="10" s="1"/>
  <c r="P891" i="10" s="1"/>
  <c r="Q891" i="10" s="1"/>
  <c r="R891" i="10" s="1"/>
  <c r="S891" i="10" s="1"/>
  <c r="T891" i="10" s="1"/>
  <c r="U891" i="10" s="1"/>
  <c r="V891" i="10" s="1"/>
  <c r="D893" i="10" l="1"/>
  <c r="M892" i="10"/>
  <c r="N892" i="10" s="1"/>
  <c r="O892" i="10" s="1"/>
  <c r="P892" i="10" s="1"/>
  <c r="Q892" i="10" s="1"/>
  <c r="R892" i="10" s="1"/>
  <c r="S892" i="10" s="1"/>
  <c r="T892" i="10" s="1"/>
  <c r="U892" i="10" s="1"/>
  <c r="V892" i="10" s="1"/>
  <c r="D894" i="10" l="1"/>
  <c r="M893" i="10"/>
  <c r="N893" i="10" s="1"/>
  <c r="O893" i="10" s="1"/>
  <c r="P893" i="10" s="1"/>
  <c r="Q893" i="10" s="1"/>
  <c r="R893" i="10" s="1"/>
  <c r="S893" i="10" s="1"/>
  <c r="T893" i="10" s="1"/>
  <c r="U893" i="10" s="1"/>
  <c r="V893" i="10" s="1"/>
  <c r="D895" i="10" l="1"/>
  <c r="M894" i="10"/>
  <c r="N894" i="10" s="1"/>
  <c r="O894" i="10" s="1"/>
  <c r="P894" i="10" s="1"/>
  <c r="Q894" i="10" s="1"/>
  <c r="R894" i="10" s="1"/>
  <c r="S894" i="10" s="1"/>
  <c r="T894" i="10" s="1"/>
  <c r="U894" i="10" s="1"/>
  <c r="V894" i="10" s="1"/>
  <c r="D896" i="10" l="1"/>
  <c r="M895" i="10"/>
  <c r="N895" i="10" s="1"/>
  <c r="O895" i="10" s="1"/>
  <c r="P895" i="10" s="1"/>
  <c r="Q895" i="10" s="1"/>
  <c r="R895" i="10" s="1"/>
  <c r="S895" i="10" s="1"/>
  <c r="T895" i="10" s="1"/>
  <c r="U895" i="10" s="1"/>
  <c r="V895" i="10" s="1"/>
  <c r="D897" i="10" l="1"/>
  <c r="M896" i="10"/>
  <c r="N896" i="10" s="1"/>
  <c r="O896" i="10" s="1"/>
  <c r="P896" i="10" s="1"/>
  <c r="Q896" i="10" s="1"/>
  <c r="R896" i="10" s="1"/>
  <c r="S896" i="10" s="1"/>
  <c r="T896" i="10" s="1"/>
  <c r="U896" i="10" s="1"/>
  <c r="V896" i="10" s="1"/>
  <c r="D898" i="10" l="1"/>
  <c r="M897" i="10"/>
  <c r="N897" i="10" s="1"/>
  <c r="O897" i="10" s="1"/>
  <c r="P897" i="10" s="1"/>
  <c r="Q897" i="10" s="1"/>
  <c r="R897" i="10" s="1"/>
  <c r="S897" i="10" s="1"/>
  <c r="T897" i="10" s="1"/>
  <c r="U897" i="10" s="1"/>
  <c r="V897" i="10" s="1"/>
  <c r="D899" i="10" l="1"/>
  <c r="M898" i="10"/>
  <c r="N898" i="10" s="1"/>
  <c r="O898" i="10" s="1"/>
  <c r="P898" i="10" s="1"/>
  <c r="Q898" i="10" s="1"/>
  <c r="R898" i="10" s="1"/>
  <c r="S898" i="10" s="1"/>
  <c r="T898" i="10" s="1"/>
  <c r="U898" i="10" s="1"/>
  <c r="V898" i="10" s="1"/>
  <c r="D900" i="10" l="1"/>
  <c r="M899" i="10"/>
  <c r="N899" i="10" s="1"/>
  <c r="O899" i="10" s="1"/>
  <c r="P899" i="10" s="1"/>
  <c r="Q899" i="10" s="1"/>
  <c r="R899" i="10" s="1"/>
  <c r="S899" i="10" s="1"/>
  <c r="T899" i="10" s="1"/>
  <c r="U899" i="10" s="1"/>
  <c r="V899" i="10" s="1"/>
  <c r="D901" i="10" l="1"/>
  <c r="M900" i="10"/>
  <c r="N900" i="10" s="1"/>
  <c r="O900" i="10" s="1"/>
  <c r="P900" i="10" s="1"/>
  <c r="Q900" i="10" s="1"/>
  <c r="R900" i="10" s="1"/>
  <c r="S900" i="10" s="1"/>
  <c r="T900" i="10" s="1"/>
  <c r="U900" i="10" s="1"/>
  <c r="V900" i="10" s="1"/>
  <c r="D902" i="10" l="1"/>
  <c r="M901" i="10"/>
  <c r="N901" i="10" s="1"/>
  <c r="O901" i="10" s="1"/>
  <c r="P901" i="10" s="1"/>
  <c r="Q901" i="10" s="1"/>
  <c r="R901" i="10" s="1"/>
  <c r="S901" i="10" s="1"/>
  <c r="T901" i="10" s="1"/>
  <c r="U901" i="10" s="1"/>
  <c r="V901" i="10" s="1"/>
  <c r="D903" i="10" l="1"/>
  <c r="M902" i="10"/>
  <c r="N902" i="10" s="1"/>
  <c r="O902" i="10" s="1"/>
  <c r="P902" i="10" s="1"/>
  <c r="Q902" i="10" s="1"/>
  <c r="R902" i="10" s="1"/>
  <c r="S902" i="10" s="1"/>
  <c r="T902" i="10" s="1"/>
  <c r="U902" i="10" s="1"/>
  <c r="V902" i="10" s="1"/>
  <c r="D904" i="10" l="1"/>
  <c r="M903" i="10"/>
  <c r="N903" i="10" s="1"/>
  <c r="O903" i="10" s="1"/>
  <c r="P903" i="10" s="1"/>
  <c r="Q903" i="10" s="1"/>
  <c r="R903" i="10" s="1"/>
  <c r="S903" i="10" s="1"/>
  <c r="T903" i="10" s="1"/>
  <c r="U903" i="10" s="1"/>
  <c r="V903" i="10" s="1"/>
  <c r="D905" i="10" l="1"/>
  <c r="M904" i="10"/>
  <c r="N904" i="10" s="1"/>
  <c r="O904" i="10" s="1"/>
  <c r="P904" i="10" s="1"/>
  <c r="Q904" i="10" s="1"/>
  <c r="R904" i="10" s="1"/>
  <c r="S904" i="10" s="1"/>
  <c r="T904" i="10" s="1"/>
  <c r="U904" i="10" s="1"/>
  <c r="V904" i="10" s="1"/>
  <c r="D906" i="10" l="1"/>
  <c r="M905" i="10"/>
  <c r="N905" i="10" s="1"/>
  <c r="O905" i="10" s="1"/>
  <c r="P905" i="10" s="1"/>
  <c r="Q905" i="10" s="1"/>
  <c r="R905" i="10" s="1"/>
  <c r="S905" i="10" s="1"/>
  <c r="T905" i="10" s="1"/>
  <c r="U905" i="10" s="1"/>
  <c r="V905" i="10" s="1"/>
  <c r="D907" i="10" l="1"/>
  <c r="M906" i="10"/>
  <c r="N906" i="10" s="1"/>
  <c r="O906" i="10" s="1"/>
  <c r="P906" i="10" s="1"/>
  <c r="Q906" i="10" s="1"/>
  <c r="R906" i="10" s="1"/>
  <c r="S906" i="10" s="1"/>
  <c r="T906" i="10" s="1"/>
  <c r="U906" i="10" s="1"/>
  <c r="V906" i="10" s="1"/>
  <c r="D908" i="10" l="1"/>
  <c r="M907" i="10"/>
  <c r="N907" i="10" s="1"/>
  <c r="O907" i="10" s="1"/>
  <c r="P907" i="10" s="1"/>
  <c r="Q907" i="10" s="1"/>
  <c r="R907" i="10" s="1"/>
  <c r="S907" i="10" s="1"/>
  <c r="T907" i="10" s="1"/>
  <c r="U907" i="10" s="1"/>
  <c r="V907" i="10" s="1"/>
  <c r="D909" i="10" l="1"/>
  <c r="M908" i="10"/>
  <c r="N908" i="10" s="1"/>
  <c r="O908" i="10" s="1"/>
  <c r="P908" i="10" s="1"/>
  <c r="Q908" i="10" s="1"/>
  <c r="R908" i="10" s="1"/>
  <c r="S908" i="10" s="1"/>
  <c r="T908" i="10" s="1"/>
  <c r="U908" i="10" s="1"/>
  <c r="V908" i="10" s="1"/>
  <c r="D910" i="10" l="1"/>
  <c r="M909" i="10"/>
  <c r="N909" i="10" s="1"/>
  <c r="O909" i="10" s="1"/>
  <c r="P909" i="10" s="1"/>
  <c r="Q909" i="10" s="1"/>
  <c r="R909" i="10" s="1"/>
  <c r="S909" i="10" s="1"/>
  <c r="T909" i="10" s="1"/>
  <c r="U909" i="10" s="1"/>
  <c r="V909" i="10" s="1"/>
  <c r="D911" i="10" l="1"/>
  <c r="M910" i="10"/>
  <c r="N910" i="10" s="1"/>
  <c r="O910" i="10" s="1"/>
  <c r="P910" i="10" s="1"/>
  <c r="Q910" i="10" s="1"/>
  <c r="R910" i="10" s="1"/>
  <c r="S910" i="10" s="1"/>
  <c r="T910" i="10" s="1"/>
  <c r="U910" i="10" s="1"/>
  <c r="V910" i="10" s="1"/>
  <c r="D912" i="10" l="1"/>
  <c r="M911" i="10"/>
  <c r="N911" i="10" s="1"/>
  <c r="O911" i="10" s="1"/>
  <c r="P911" i="10" s="1"/>
  <c r="Q911" i="10" s="1"/>
  <c r="R911" i="10" s="1"/>
  <c r="S911" i="10" s="1"/>
  <c r="T911" i="10" s="1"/>
  <c r="U911" i="10" s="1"/>
  <c r="V911" i="10" s="1"/>
  <c r="D913" i="10" l="1"/>
  <c r="M912" i="10"/>
  <c r="N912" i="10" s="1"/>
  <c r="O912" i="10" s="1"/>
  <c r="P912" i="10" s="1"/>
  <c r="Q912" i="10" s="1"/>
  <c r="R912" i="10" s="1"/>
  <c r="S912" i="10" s="1"/>
  <c r="T912" i="10" s="1"/>
  <c r="U912" i="10" s="1"/>
  <c r="V912" i="10" s="1"/>
  <c r="D914" i="10" l="1"/>
  <c r="M913" i="10"/>
  <c r="N913" i="10" s="1"/>
  <c r="O913" i="10" s="1"/>
  <c r="P913" i="10" s="1"/>
  <c r="Q913" i="10" s="1"/>
  <c r="R913" i="10" s="1"/>
  <c r="S913" i="10" s="1"/>
  <c r="T913" i="10" s="1"/>
  <c r="U913" i="10" s="1"/>
  <c r="V913" i="10" s="1"/>
  <c r="D915" i="10" l="1"/>
  <c r="M914" i="10"/>
  <c r="N914" i="10" s="1"/>
  <c r="O914" i="10" s="1"/>
  <c r="P914" i="10" s="1"/>
  <c r="Q914" i="10" s="1"/>
  <c r="R914" i="10" s="1"/>
  <c r="S914" i="10" s="1"/>
  <c r="T914" i="10" s="1"/>
  <c r="U914" i="10" s="1"/>
  <c r="V914" i="10" s="1"/>
  <c r="D916" i="10" l="1"/>
  <c r="M915" i="10"/>
  <c r="N915" i="10" s="1"/>
  <c r="O915" i="10" s="1"/>
  <c r="P915" i="10" s="1"/>
  <c r="Q915" i="10" s="1"/>
  <c r="R915" i="10" s="1"/>
  <c r="S915" i="10" s="1"/>
  <c r="T915" i="10" s="1"/>
  <c r="U915" i="10" s="1"/>
  <c r="V915" i="10" s="1"/>
  <c r="D917" i="10" l="1"/>
  <c r="M916" i="10"/>
  <c r="N916" i="10" s="1"/>
  <c r="O916" i="10" s="1"/>
  <c r="P916" i="10" s="1"/>
  <c r="Q916" i="10" s="1"/>
  <c r="R916" i="10" s="1"/>
  <c r="S916" i="10" s="1"/>
  <c r="T916" i="10" s="1"/>
  <c r="U916" i="10" s="1"/>
  <c r="V916" i="10" s="1"/>
  <c r="D918" i="10" l="1"/>
  <c r="M917" i="10"/>
  <c r="N917" i="10" s="1"/>
  <c r="O917" i="10" s="1"/>
  <c r="P917" i="10" s="1"/>
  <c r="Q917" i="10" s="1"/>
  <c r="R917" i="10" s="1"/>
  <c r="S917" i="10" s="1"/>
  <c r="T917" i="10" s="1"/>
  <c r="U917" i="10" s="1"/>
  <c r="V917" i="10" s="1"/>
  <c r="D919" i="10" l="1"/>
  <c r="M918" i="10"/>
  <c r="N918" i="10" s="1"/>
  <c r="O918" i="10" s="1"/>
  <c r="P918" i="10" s="1"/>
  <c r="Q918" i="10" s="1"/>
  <c r="R918" i="10" s="1"/>
  <c r="S918" i="10" s="1"/>
  <c r="T918" i="10" s="1"/>
  <c r="U918" i="10" s="1"/>
  <c r="V918" i="10" s="1"/>
  <c r="D920" i="10" l="1"/>
  <c r="M919" i="10"/>
  <c r="N919" i="10" s="1"/>
  <c r="O919" i="10" s="1"/>
  <c r="P919" i="10" s="1"/>
  <c r="Q919" i="10" s="1"/>
  <c r="R919" i="10" s="1"/>
  <c r="S919" i="10" s="1"/>
  <c r="T919" i="10" s="1"/>
  <c r="U919" i="10" s="1"/>
  <c r="V919" i="10" s="1"/>
  <c r="D921" i="10" l="1"/>
  <c r="M920" i="10"/>
  <c r="N920" i="10" s="1"/>
  <c r="O920" i="10" s="1"/>
  <c r="P920" i="10" s="1"/>
  <c r="Q920" i="10" s="1"/>
  <c r="R920" i="10" s="1"/>
  <c r="S920" i="10" s="1"/>
  <c r="T920" i="10" s="1"/>
  <c r="U920" i="10" s="1"/>
  <c r="V920" i="10" s="1"/>
  <c r="D922" i="10" l="1"/>
  <c r="M921" i="10"/>
  <c r="N921" i="10" s="1"/>
  <c r="O921" i="10" s="1"/>
  <c r="P921" i="10" s="1"/>
  <c r="Q921" i="10" s="1"/>
  <c r="R921" i="10" s="1"/>
  <c r="S921" i="10" s="1"/>
  <c r="T921" i="10" s="1"/>
  <c r="U921" i="10" s="1"/>
  <c r="V921" i="10" s="1"/>
  <c r="D923" i="10" l="1"/>
  <c r="M922" i="10"/>
  <c r="N922" i="10" s="1"/>
  <c r="O922" i="10" s="1"/>
  <c r="P922" i="10" s="1"/>
  <c r="Q922" i="10" s="1"/>
  <c r="R922" i="10" s="1"/>
  <c r="S922" i="10" s="1"/>
  <c r="T922" i="10" s="1"/>
  <c r="U922" i="10" s="1"/>
  <c r="V922" i="10" s="1"/>
  <c r="D924" i="10" l="1"/>
  <c r="M923" i="10"/>
  <c r="N923" i="10" s="1"/>
  <c r="O923" i="10" s="1"/>
  <c r="P923" i="10" s="1"/>
  <c r="Q923" i="10" s="1"/>
  <c r="R923" i="10" s="1"/>
  <c r="S923" i="10" s="1"/>
  <c r="T923" i="10" s="1"/>
  <c r="U923" i="10" s="1"/>
  <c r="V923" i="10" s="1"/>
  <c r="D925" i="10" l="1"/>
  <c r="M924" i="10"/>
  <c r="N924" i="10" s="1"/>
  <c r="O924" i="10" s="1"/>
  <c r="P924" i="10" s="1"/>
  <c r="Q924" i="10" s="1"/>
  <c r="R924" i="10" s="1"/>
  <c r="S924" i="10" s="1"/>
  <c r="T924" i="10" s="1"/>
  <c r="U924" i="10" s="1"/>
  <c r="V924" i="10" s="1"/>
  <c r="D926" i="10" l="1"/>
  <c r="M925" i="10"/>
  <c r="N925" i="10" s="1"/>
  <c r="O925" i="10" s="1"/>
  <c r="P925" i="10" s="1"/>
  <c r="Q925" i="10" s="1"/>
  <c r="R925" i="10" s="1"/>
  <c r="S925" i="10" s="1"/>
  <c r="T925" i="10" s="1"/>
  <c r="U925" i="10" s="1"/>
  <c r="V925" i="10" s="1"/>
  <c r="D927" i="10" l="1"/>
  <c r="M926" i="10"/>
  <c r="N926" i="10" s="1"/>
  <c r="O926" i="10" s="1"/>
  <c r="P926" i="10" s="1"/>
  <c r="Q926" i="10" s="1"/>
  <c r="R926" i="10" s="1"/>
  <c r="S926" i="10" s="1"/>
  <c r="T926" i="10" s="1"/>
  <c r="U926" i="10" s="1"/>
  <c r="V926" i="10" s="1"/>
  <c r="D928" i="10" l="1"/>
  <c r="M927" i="10"/>
  <c r="N927" i="10" s="1"/>
  <c r="O927" i="10" s="1"/>
  <c r="P927" i="10" s="1"/>
  <c r="Q927" i="10" s="1"/>
  <c r="R927" i="10" s="1"/>
  <c r="S927" i="10" s="1"/>
  <c r="T927" i="10" s="1"/>
  <c r="U927" i="10" s="1"/>
  <c r="V927" i="10" s="1"/>
  <c r="D929" i="10" l="1"/>
  <c r="M928" i="10"/>
  <c r="N928" i="10" s="1"/>
  <c r="O928" i="10" s="1"/>
  <c r="P928" i="10" s="1"/>
  <c r="Q928" i="10" s="1"/>
  <c r="R928" i="10" s="1"/>
  <c r="S928" i="10" s="1"/>
  <c r="T928" i="10" s="1"/>
  <c r="U928" i="10" s="1"/>
  <c r="V928" i="10" s="1"/>
  <c r="D930" i="10" l="1"/>
  <c r="M929" i="10"/>
  <c r="N929" i="10" s="1"/>
  <c r="O929" i="10" s="1"/>
  <c r="P929" i="10" s="1"/>
  <c r="Q929" i="10" s="1"/>
  <c r="R929" i="10" s="1"/>
  <c r="S929" i="10" s="1"/>
  <c r="T929" i="10" s="1"/>
  <c r="U929" i="10" s="1"/>
  <c r="V929" i="10" s="1"/>
  <c r="D931" i="10" l="1"/>
  <c r="M930" i="10"/>
  <c r="N930" i="10" s="1"/>
  <c r="O930" i="10" s="1"/>
  <c r="P930" i="10" s="1"/>
  <c r="Q930" i="10" s="1"/>
  <c r="R930" i="10" s="1"/>
  <c r="S930" i="10" s="1"/>
  <c r="T930" i="10" s="1"/>
  <c r="U930" i="10" s="1"/>
  <c r="V930" i="10" s="1"/>
  <c r="D932" i="10" l="1"/>
  <c r="M931" i="10"/>
  <c r="N931" i="10" s="1"/>
  <c r="O931" i="10" s="1"/>
  <c r="P931" i="10" s="1"/>
  <c r="Q931" i="10" s="1"/>
  <c r="R931" i="10" s="1"/>
  <c r="S931" i="10" s="1"/>
  <c r="T931" i="10" s="1"/>
  <c r="U931" i="10" s="1"/>
  <c r="V931" i="10" s="1"/>
  <c r="D933" i="10" l="1"/>
  <c r="M932" i="10"/>
  <c r="N932" i="10" s="1"/>
  <c r="O932" i="10" s="1"/>
  <c r="P932" i="10" s="1"/>
  <c r="Q932" i="10" s="1"/>
  <c r="R932" i="10" s="1"/>
  <c r="S932" i="10" s="1"/>
  <c r="T932" i="10" s="1"/>
  <c r="U932" i="10" s="1"/>
  <c r="V932" i="10" s="1"/>
  <c r="D934" i="10" l="1"/>
  <c r="M933" i="10"/>
  <c r="N933" i="10" s="1"/>
  <c r="O933" i="10" s="1"/>
  <c r="P933" i="10" s="1"/>
  <c r="Q933" i="10" s="1"/>
  <c r="R933" i="10" s="1"/>
  <c r="S933" i="10" s="1"/>
  <c r="T933" i="10" s="1"/>
  <c r="U933" i="10" s="1"/>
  <c r="V933" i="10" s="1"/>
  <c r="D935" i="10" l="1"/>
  <c r="M934" i="10"/>
  <c r="N934" i="10" s="1"/>
  <c r="O934" i="10" s="1"/>
  <c r="P934" i="10" s="1"/>
  <c r="Q934" i="10" s="1"/>
  <c r="R934" i="10" s="1"/>
  <c r="S934" i="10" s="1"/>
  <c r="T934" i="10" s="1"/>
  <c r="U934" i="10" s="1"/>
  <c r="V934" i="10" s="1"/>
  <c r="D936" i="10" l="1"/>
  <c r="M935" i="10"/>
  <c r="N935" i="10" s="1"/>
  <c r="O935" i="10" s="1"/>
  <c r="P935" i="10" s="1"/>
  <c r="Q935" i="10" s="1"/>
  <c r="R935" i="10" s="1"/>
  <c r="S935" i="10" s="1"/>
  <c r="T935" i="10" s="1"/>
  <c r="U935" i="10" s="1"/>
  <c r="V935" i="10" s="1"/>
  <c r="D937" i="10" l="1"/>
  <c r="M936" i="10"/>
  <c r="N936" i="10" s="1"/>
  <c r="O936" i="10" s="1"/>
  <c r="P936" i="10" s="1"/>
  <c r="Q936" i="10" s="1"/>
  <c r="R936" i="10" s="1"/>
  <c r="S936" i="10" s="1"/>
  <c r="T936" i="10" s="1"/>
  <c r="U936" i="10" s="1"/>
  <c r="V936" i="10" s="1"/>
  <c r="D938" i="10" l="1"/>
  <c r="M937" i="10"/>
  <c r="N937" i="10" s="1"/>
  <c r="O937" i="10" s="1"/>
  <c r="P937" i="10" s="1"/>
  <c r="Q937" i="10" s="1"/>
  <c r="R937" i="10" s="1"/>
  <c r="S937" i="10" s="1"/>
  <c r="T937" i="10" s="1"/>
  <c r="U937" i="10" s="1"/>
  <c r="V937" i="10" s="1"/>
  <c r="D939" i="10" l="1"/>
  <c r="M938" i="10"/>
  <c r="N938" i="10" s="1"/>
  <c r="O938" i="10" s="1"/>
  <c r="P938" i="10" s="1"/>
  <c r="Q938" i="10" s="1"/>
  <c r="R938" i="10" s="1"/>
  <c r="S938" i="10" s="1"/>
  <c r="T938" i="10" s="1"/>
  <c r="U938" i="10" s="1"/>
  <c r="V938" i="10" s="1"/>
  <c r="D940" i="10" l="1"/>
  <c r="M939" i="10"/>
  <c r="N939" i="10" s="1"/>
  <c r="O939" i="10" s="1"/>
  <c r="P939" i="10" s="1"/>
  <c r="Q939" i="10" s="1"/>
  <c r="R939" i="10" s="1"/>
  <c r="S939" i="10" s="1"/>
  <c r="T939" i="10" s="1"/>
  <c r="U939" i="10" s="1"/>
  <c r="V939" i="10" s="1"/>
  <c r="D941" i="10" l="1"/>
  <c r="M940" i="10"/>
  <c r="N940" i="10" s="1"/>
  <c r="O940" i="10" s="1"/>
  <c r="P940" i="10" s="1"/>
  <c r="Q940" i="10" s="1"/>
  <c r="R940" i="10" s="1"/>
  <c r="S940" i="10" s="1"/>
  <c r="T940" i="10" s="1"/>
  <c r="U940" i="10" s="1"/>
  <c r="V940" i="10" s="1"/>
  <c r="D942" i="10" l="1"/>
  <c r="M941" i="10"/>
  <c r="N941" i="10" s="1"/>
  <c r="O941" i="10" s="1"/>
  <c r="P941" i="10" s="1"/>
  <c r="Q941" i="10" s="1"/>
  <c r="R941" i="10" s="1"/>
  <c r="S941" i="10" s="1"/>
  <c r="T941" i="10" s="1"/>
  <c r="U941" i="10" s="1"/>
  <c r="V941" i="10" s="1"/>
  <c r="D943" i="10" l="1"/>
  <c r="M942" i="10"/>
  <c r="N942" i="10" s="1"/>
  <c r="O942" i="10" s="1"/>
  <c r="P942" i="10" s="1"/>
  <c r="Q942" i="10" s="1"/>
  <c r="R942" i="10" s="1"/>
  <c r="S942" i="10" s="1"/>
  <c r="T942" i="10" s="1"/>
  <c r="U942" i="10" s="1"/>
  <c r="V942" i="10" s="1"/>
  <c r="D944" i="10" l="1"/>
  <c r="M943" i="10"/>
  <c r="N943" i="10" s="1"/>
  <c r="O943" i="10" s="1"/>
  <c r="P943" i="10" s="1"/>
  <c r="Q943" i="10" s="1"/>
  <c r="R943" i="10" s="1"/>
  <c r="S943" i="10" s="1"/>
  <c r="T943" i="10" s="1"/>
  <c r="U943" i="10" s="1"/>
  <c r="V943" i="10" s="1"/>
  <c r="D945" i="10" l="1"/>
  <c r="M944" i="10"/>
  <c r="N944" i="10" s="1"/>
  <c r="O944" i="10" s="1"/>
  <c r="P944" i="10" s="1"/>
  <c r="Q944" i="10" s="1"/>
  <c r="R944" i="10" s="1"/>
  <c r="S944" i="10" s="1"/>
  <c r="T944" i="10" s="1"/>
  <c r="U944" i="10" s="1"/>
  <c r="V944" i="10" s="1"/>
  <c r="D946" i="10" l="1"/>
  <c r="M945" i="10"/>
  <c r="N945" i="10" s="1"/>
  <c r="O945" i="10" s="1"/>
  <c r="P945" i="10" s="1"/>
  <c r="Q945" i="10" s="1"/>
  <c r="R945" i="10" s="1"/>
  <c r="S945" i="10" s="1"/>
  <c r="T945" i="10" s="1"/>
  <c r="U945" i="10" s="1"/>
  <c r="V945" i="10" s="1"/>
  <c r="D947" i="10" l="1"/>
  <c r="M946" i="10"/>
  <c r="N946" i="10" s="1"/>
  <c r="O946" i="10" s="1"/>
  <c r="P946" i="10" s="1"/>
  <c r="Q946" i="10" s="1"/>
  <c r="R946" i="10" s="1"/>
  <c r="S946" i="10" s="1"/>
  <c r="T946" i="10" s="1"/>
  <c r="U946" i="10" s="1"/>
  <c r="V946" i="10" s="1"/>
  <c r="D948" i="10" l="1"/>
  <c r="M947" i="10"/>
  <c r="N947" i="10" s="1"/>
  <c r="O947" i="10" s="1"/>
  <c r="P947" i="10" s="1"/>
  <c r="Q947" i="10" s="1"/>
  <c r="R947" i="10" s="1"/>
  <c r="S947" i="10" s="1"/>
  <c r="T947" i="10" s="1"/>
  <c r="U947" i="10" s="1"/>
  <c r="V947" i="10" s="1"/>
  <c r="D949" i="10" l="1"/>
  <c r="M948" i="10"/>
  <c r="N948" i="10" s="1"/>
  <c r="O948" i="10" s="1"/>
  <c r="P948" i="10" s="1"/>
  <c r="Q948" i="10" s="1"/>
  <c r="R948" i="10" s="1"/>
  <c r="S948" i="10" s="1"/>
  <c r="T948" i="10" s="1"/>
  <c r="U948" i="10" s="1"/>
  <c r="V948" i="10" s="1"/>
  <c r="D950" i="10" l="1"/>
  <c r="M949" i="10"/>
  <c r="N949" i="10" s="1"/>
  <c r="O949" i="10" s="1"/>
  <c r="P949" i="10" s="1"/>
  <c r="Q949" i="10" s="1"/>
  <c r="R949" i="10" s="1"/>
  <c r="S949" i="10" s="1"/>
  <c r="T949" i="10" s="1"/>
  <c r="U949" i="10" s="1"/>
  <c r="V949" i="10" s="1"/>
  <c r="D951" i="10" l="1"/>
  <c r="M950" i="10"/>
  <c r="N950" i="10" s="1"/>
  <c r="O950" i="10" s="1"/>
  <c r="P950" i="10" s="1"/>
  <c r="Q950" i="10" s="1"/>
  <c r="R950" i="10" s="1"/>
  <c r="S950" i="10" s="1"/>
  <c r="T950" i="10" s="1"/>
  <c r="U950" i="10" s="1"/>
  <c r="V950" i="10" s="1"/>
  <c r="D952" i="10" l="1"/>
  <c r="M951" i="10"/>
  <c r="N951" i="10" s="1"/>
  <c r="O951" i="10" s="1"/>
  <c r="P951" i="10" s="1"/>
  <c r="Q951" i="10" s="1"/>
  <c r="R951" i="10" s="1"/>
  <c r="S951" i="10" s="1"/>
  <c r="T951" i="10" s="1"/>
  <c r="U951" i="10" s="1"/>
  <c r="V951" i="10" s="1"/>
  <c r="D953" i="10" l="1"/>
  <c r="M952" i="10"/>
  <c r="N952" i="10" s="1"/>
  <c r="O952" i="10" s="1"/>
  <c r="P952" i="10" s="1"/>
  <c r="Q952" i="10" s="1"/>
  <c r="R952" i="10" s="1"/>
  <c r="S952" i="10" s="1"/>
  <c r="T952" i="10" s="1"/>
  <c r="U952" i="10" s="1"/>
  <c r="V952" i="10" s="1"/>
  <c r="D954" i="10" l="1"/>
  <c r="M953" i="10"/>
  <c r="N953" i="10" s="1"/>
  <c r="O953" i="10" s="1"/>
  <c r="P953" i="10" s="1"/>
  <c r="Q953" i="10" s="1"/>
  <c r="R953" i="10" s="1"/>
  <c r="S953" i="10" s="1"/>
  <c r="T953" i="10" s="1"/>
  <c r="U953" i="10" s="1"/>
  <c r="V953" i="10" s="1"/>
  <c r="D955" i="10" l="1"/>
  <c r="M954" i="10"/>
  <c r="N954" i="10" s="1"/>
  <c r="O954" i="10" s="1"/>
  <c r="P954" i="10" s="1"/>
  <c r="Q954" i="10" s="1"/>
  <c r="R954" i="10" s="1"/>
  <c r="S954" i="10" s="1"/>
  <c r="T954" i="10" s="1"/>
  <c r="U954" i="10" s="1"/>
  <c r="V954" i="10" s="1"/>
  <c r="D956" i="10" l="1"/>
  <c r="M955" i="10"/>
  <c r="N955" i="10" s="1"/>
  <c r="O955" i="10" s="1"/>
  <c r="P955" i="10" s="1"/>
  <c r="Q955" i="10" s="1"/>
  <c r="R955" i="10" s="1"/>
  <c r="S955" i="10" s="1"/>
  <c r="T955" i="10" s="1"/>
  <c r="U955" i="10" s="1"/>
  <c r="V955" i="10" s="1"/>
  <c r="D957" i="10" l="1"/>
  <c r="M956" i="10"/>
  <c r="N956" i="10" s="1"/>
  <c r="O956" i="10" s="1"/>
  <c r="P956" i="10" s="1"/>
  <c r="Q956" i="10" s="1"/>
  <c r="R956" i="10" s="1"/>
  <c r="S956" i="10" s="1"/>
  <c r="T956" i="10" s="1"/>
  <c r="U956" i="10" s="1"/>
  <c r="V956" i="10" s="1"/>
  <c r="D958" i="10" l="1"/>
  <c r="M957" i="10"/>
  <c r="N957" i="10" s="1"/>
  <c r="O957" i="10" s="1"/>
  <c r="P957" i="10" s="1"/>
  <c r="Q957" i="10" s="1"/>
  <c r="R957" i="10" s="1"/>
  <c r="S957" i="10" s="1"/>
  <c r="T957" i="10" s="1"/>
  <c r="U957" i="10" s="1"/>
  <c r="V957" i="10" s="1"/>
  <c r="D959" i="10" l="1"/>
  <c r="M958" i="10"/>
  <c r="N958" i="10" s="1"/>
  <c r="O958" i="10" s="1"/>
  <c r="P958" i="10" s="1"/>
  <c r="Q958" i="10" s="1"/>
  <c r="R958" i="10" s="1"/>
  <c r="S958" i="10" s="1"/>
  <c r="T958" i="10" s="1"/>
  <c r="U958" i="10" s="1"/>
  <c r="V958" i="10" s="1"/>
  <c r="D960" i="10" l="1"/>
  <c r="M959" i="10"/>
  <c r="N959" i="10" s="1"/>
  <c r="O959" i="10" s="1"/>
  <c r="P959" i="10" s="1"/>
  <c r="Q959" i="10" s="1"/>
  <c r="R959" i="10" s="1"/>
  <c r="S959" i="10" s="1"/>
  <c r="T959" i="10" s="1"/>
  <c r="U959" i="10" s="1"/>
  <c r="V959" i="10" s="1"/>
  <c r="D961" i="10" l="1"/>
  <c r="M960" i="10"/>
  <c r="N960" i="10" s="1"/>
  <c r="O960" i="10" s="1"/>
  <c r="P960" i="10" s="1"/>
  <c r="Q960" i="10" s="1"/>
  <c r="R960" i="10" s="1"/>
  <c r="S960" i="10" s="1"/>
  <c r="T960" i="10" s="1"/>
  <c r="U960" i="10" s="1"/>
  <c r="V960" i="10" s="1"/>
  <c r="D962" i="10" l="1"/>
  <c r="M961" i="10"/>
  <c r="N961" i="10" s="1"/>
  <c r="O961" i="10" s="1"/>
  <c r="P961" i="10" s="1"/>
  <c r="Q961" i="10" s="1"/>
  <c r="R961" i="10" s="1"/>
  <c r="S961" i="10" s="1"/>
  <c r="T961" i="10" s="1"/>
  <c r="U961" i="10" s="1"/>
  <c r="V961" i="10" s="1"/>
  <c r="D963" i="10" l="1"/>
  <c r="M962" i="10"/>
  <c r="N962" i="10" s="1"/>
  <c r="O962" i="10" s="1"/>
  <c r="P962" i="10" s="1"/>
  <c r="Q962" i="10" s="1"/>
  <c r="R962" i="10" s="1"/>
  <c r="S962" i="10" s="1"/>
  <c r="T962" i="10" s="1"/>
  <c r="U962" i="10" s="1"/>
  <c r="V962" i="10" s="1"/>
  <c r="D964" i="10" l="1"/>
  <c r="M963" i="10"/>
  <c r="N963" i="10" s="1"/>
  <c r="O963" i="10" s="1"/>
  <c r="P963" i="10" s="1"/>
  <c r="Q963" i="10" s="1"/>
  <c r="R963" i="10" s="1"/>
  <c r="S963" i="10" s="1"/>
  <c r="T963" i="10" s="1"/>
  <c r="U963" i="10" s="1"/>
  <c r="V963" i="10" s="1"/>
  <c r="D965" i="10" l="1"/>
  <c r="M964" i="10"/>
  <c r="N964" i="10" s="1"/>
  <c r="O964" i="10" s="1"/>
  <c r="P964" i="10" s="1"/>
  <c r="Q964" i="10" s="1"/>
  <c r="R964" i="10" s="1"/>
  <c r="S964" i="10" s="1"/>
  <c r="T964" i="10" s="1"/>
  <c r="U964" i="10" s="1"/>
  <c r="V964" i="10" s="1"/>
  <c r="D966" i="10" l="1"/>
  <c r="M965" i="10"/>
  <c r="N965" i="10" s="1"/>
  <c r="O965" i="10" s="1"/>
  <c r="P965" i="10" s="1"/>
  <c r="Q965" i="10" s="1"/>
  <c r="R965" i="10" s="1"/>
  <c r="S965" i="10" s="1"/>
  <c r="T965" i="10" s="1"/>
  <c r="U965" i="10" s="1"/>
  <c r="V965" i="10" s="1"/>
  <c r="D967" i="10" l="1"/>
  <c r="M966" i="10"/>
  <c r="N966" i="10" s="1"/>
  <c r="O966" i="10" s="1"/>
  <c r="P966" i="10" s="1"/>
  <c r="Q966" i="10" s="1"/>
  <c r="R966" i="10" s="1"/>
  <c r="S966" i="10" s="1"/>
  <c r="T966" i="10" s="1"/>
  <c r="U966" i="10" s="1"/>
  <c r="V966" i="10" s="1"/>
  <c r="D968" i="10" l="1"/>
  <c r="M967" i="10"/>
  <c r="N967" i="10" s="1"/>
  <c r="O967" i="10" s="1"/>
  <c r="P967" i="10" s="1"/>
  <c r="Q967" i="10" s="1"/>
  <c r="R967" i="10" s="1"/>
  <c r="S967" i="10" s="1"/>
  <c r="T967" i="10" s="1"/>
  <c r="U967" i="10" s="1"/>
  <c r="V967" i="10" s="1"/>
  <c r="D969" i="10" l="1"/>
  <c r="M968" i="10"/>
  <c r="N968" i="10" s="1"/>
  <c r="O968" i="10" s="1"/>
  <c r="P968" i="10" s="1"/>
  <c r="Q968" i="10" s="1"/>
  <c r="R968" i="10" s="1"/>
  <c r="S968" i="10" s="1"/>
  <c r="T968" i="10" s="1"/>
  <c r="U968" i="10" s="1"/>
  <c r="V968" i="10" s="1"/>
  <c r="D970" i="10" l="1"/>
  <c r="M969" i="10"/>
  <c r="N969" i="10" s="1"/>
  <c r="O969" i="10" s="1"/>
  <c r="P969" i="10" s="1"/>
  <c r="Q969" i="10" s="1"/>
  <c r="R969" i="10" s="1"/>
  <c r="S969" i="10" s="1"/>
  <c r="T969" i="10" s="1"/>
  <c r="U969" i="10" s="1"/>
  <c r="V969" i="10" s="1"/>
  <c r="D971" i="10" l="1"/>
  <c r="M970" i="10"/>
  <c r="N970" i="10" s="1"/>
  <c r="O970" i="10" s="1"/>
  <c r="P970" i="10" s="1"/>
  <c r="Q970" i="10" s="1"/>
  <c r="R970" i="10" s="1"/>
  <c r="S970" i="10" s="1"/>
  <c r="T970" i="10" s="1"/>
  <c r="U970" i="10" s="1"/>
  <c r="V970" i="10" s="1"/>
  <c r="D972" i="10" l="1"/>
  <c r="M971" i="10"/>
  <c r="N971" i="10" s="1"/>
  <c r="O971" i="10" s="1"/>
  <c r="P971" i="10" s="1"/>
  <c r="Q971" i="10" s="1"/>
  <c r="R971" i="10" s="1"/>
  <c r="S971" i="10" s="1"/>
  <c r="T971" i="10" s="1"/>
  <c r="U971" i="10" s="1"/>
  <c r="V971" i="10" s="1"/>
  <c r="D973" i="10" l="1"/>
  <c r="M972" i="10"/>
  <c r="N972" i="10" s="1"/>
  <c r="O972" i="10" s="1"/>
  <c r="P972" i="10" s="1"/>
  <c r="Q972" i="10" s="1"/>
  <c r="R972" i="10" s="1"/>
  <c r="S972" i="10" s="1"/>
  <c r="T972" i="10" s="1"/>
  <c r="U972" i="10" s="1"/>
  <c r="V972" i="10" s="1"/>
  <c r="D974" i="10" l="1"/>
  <c r="M973" i="10"/>
  <c r="N973" i="10" s="1"/>
  <c r="O973" i="10" s="1"/>
  <c r="P973" i="10" s="1"/>
  <c r="Q973" i="10" s="1"/>
  <c r="R973" i="10" s="1"/>
  <c r="S973" i="10" s="1"/>
  <c r="T973" i="10" s="1"/>
  <c r="U973" i="10" s="1"/>
  <c r="V973" i="10" s="1"/>
  <c r="D975" i="10" l="1"/>
  <c r="M974" i="10"/>
  <c r="N974" i="10" s="1"/>
  <c r="O974" i="10" s="1"/>
  <c r="P974" i="10" s="1"/>
  <c r="Q974" i="10" s="1"/>
  <c r="R974" i="10" s="1"/>
  <c r="S974" i="10" s="1"/>
  <c r="T974" i="10" s="1"/>
  <c r="U974" i="10" s="1"/>
  <c r="V974" i="10" s="1"/>
  <c r="D976" i="10" l="1"/>
  <c r="M975" i="10"/>
  <c r="N975" i="10" s="1"/>
  <c r="O975" i="10" s="1"/>
  <c r="P975" i="10" s="1"/>
  <c r="Q975" i="10" s="1"/>
  <c r="R975" i="10" s="1"/>
  <c r="S975" i="10" s="1"/>
  <c r="T975" i="10" s="1"/>
  <c r="U975" i="10" s="1"/>
  <c r="V975" i="10" s="1"/>
  <c r="D977" i="10" l="1"/>
  <c r="M976" i="10"/>
  <c r="N976" i="10" s="1"/>
  <c r="O976" i="10" s="1"/>
  <c r="P976" i="10" s="1"/>
  <c r="Q976" i="10" s="1"/>
  <c r="R976" i="10" s="1"/>
  <c r="S976" i="10" s="1"/>
  <c r="T976" i="10" s="1"/>
  <c r="U976" i="10" s="1"/>
  <c r="V976" i="10" s="1"/>
  <c r="D978" i="10" l="1"/>
  <c r="M977" i="10"/>
  <c r="N977" i="10" s="1"/>
  <c r="O977" i="10" s="1"/>
  <c r="P977" i="10" s="1"/>
  <c r="Q977" i="10" s="1"/>
  <c r="R977" i="10" s="1"/>
  <c r="S977" i="10" s="1"/>
  <c r="T977" i="10" s="1"/>
  <c r="U977" i="10" s="1"/>
  <c r="V977" i="10" s="1"/>
  <c r="D979" i="10" l="1"/>
  <c r="M978" i="10"/>
  <c r="N978" i="10" s="1"/>
  <c r="O978" i="10" s="1"/>
  <c r="P978" i="10" s="1"/>
  <c r="Q978" i="10" s="1"/>
  <c r="R978" i="10" s="1"/>
  <c r="S978" i="10" s="1"/>
  <c r="T978" i="10" s="1"/>
  <c r="U978" i="10" s="1"/>
  <c r="V978" i="10" s="1"/>
  <c r="D980" i="10" l="1"/>
  <c r="M979" i="10"/>
  <c r="N979" i="10" s="1"/>
  <c r="O979" i="10" s="1"/>
  <c r="P979" i="10" s="1"/>
  <c r="Q979" i="10" s="1"/>
  <c r="R979" i="10" s="1"/>
  <c r="S979" i="10" s="1"/>
  <c r="T979" i="10" s="1"/>
  <c r="U979" i="10" s="1"/>
  <c r="V979" i="10" s="1"/>
  <c r="D981" i="10" l="1"/>
  <c r="M980" i="10"/>
  <c r="N980" i="10" s="1"/>
  <c r="O980" i="10" s="1"/>
  <c r="P980" i="10" s="1"/>
  <c r="Q980" i="10" s="1"/>
  <c r="R980" i="10" s="1"/>
  <c r="S980" i="10" s="1"/>
  <c r="T980" i="10" s="1"/>
  <c r="U980" i="10" s="1"/>
  <c r="V980" i="10" s="1"/>
  <c r="D982" i="10" l="1"/>
  <c r="M981" i="10"/>
  <c r="N981" i="10" s="1"/>
  <c r="O981" i="10" s="1"/>
  <c r="P981" i="10" s="1"/>
  <c r="Q981" i="10" s="1"/>
  <c r="R981" i="10" s="1"/>
  <c r="S981" i="10" s="1"/>
  <c r="T981" i="10" s="1"/>
  <c r="U981" i="10" s="1"/>
  <c r="V981" i="10" s="1"/>
  <c r="D983" i="10" l="1"/>
  <c r="M982" i="10"/>
  <c r="N982" i="10" s="1"/>
  <c r="O982" i="10" s="1"/>
  <c r="P982" i="10" s="1"/>
  <c r="Q982" i="10" s="1"/>
  <c r="R982" i="10" s="1"/>
  <c r="S982" i="10" s="1"/>
  <c r="T982" i="10" s="1"/>
  <c r="U982" i="10" s="1"/>
  <c r="V982" i="10" s="1"/>
  <c r="D984" i="10" l="1"/>
  <c r="M983" i="10"/>
  <c r="N983" i="10" s="1"/>
  <c r="O983" i="10" s="1"/>
  <c r="P983" i="10" s="1"/>
  <c r="Q983" i="10" s="1"/>
  <c r="R983" i="10" s="1"/>
  <c r="S983" i="10" s="1"/>
  <c r="T983" i="10" s="1"/>
  <c r="U983" i="10" s="1"/>
  <c r="V983" i="10" s="1"/>
  <c r="D985" i="10" l="1"/>
  <c r="M984" i="10"/>
  <c r="N984" i="10" s="1"/>
  <c r="O984" i="10" s="1"/>
  <c r="P984" i="10" s="1"/>
  <c r="Q984" i="10" s="1"/>
  <c r="R984" i="10" s="1"/>
  <c r="S984" i="10" s="1"/>
  <c r="T984" i="10" s="1"/>
  <c r="U984" i="10" s="1"/>
  <c r="V984" i="10" s="1"/>
  <c r="D986" i="10" l="1"/>
  <c r="M985" i="10"/>
  <c r="N985" i="10" s="1"/>
  <c r="O985" i="10" s="1"/>
  <c r="P985" i="10" s="1"/>
  <c r="Q985" i="10" s="1"/>
  <c r="R985" i="10" s="1"/>
  <c r="S985" i="10" s="1"/>
  <c r="T985" i="10" s="1"/>
  <c r="U985" i="10" s="1"/>
  <c r="V985" i="10" s="1"/>
  <c r="D987" i="10" l="1"/>
  <c r="M986" i="10"/>
  <c r="N986" i="10" s="1"/>
  <c r="O986" i="10" s="1"/>
  <c r="P986" i="10" s="1"/>
  <c r="Q986" i="10" s="1"/>
  <c r="R986" i="10" s="1"/>
  <c r="S986" i="10" s="1"/>
  <c r="T986" i="10" s="1"/>
  <c r="U986" i="10" s="1"/>
  <c r="V986" i="10" s="1"/>
  <c r="D988" i="10" l="1"/>
  <c r="M987" i="10"/>
  <c r="N987" i="10" s="1"/>
  <c r="O987" i="10" s="1"/>
  <c r="P987" i="10" s="1"/>
  <c r="Q987" i="10" s="1"/>
  <c r="R987" i="10" s="1"/>
  <c r="S987" i="10" s="1"/>
  <c r="T987" i="10" s="1"/>
  <c r="U987" i="10" s="1"/>
  <c r="V987" i="10" s="1"/>
  <c r="D989" i="10" l="1"/>
  <c r="M988" i="10"/>
  <c r="N988" i="10" s="1"/>
  <c r="O988" i="10" s="1"/>
  <c r="P988" i="10" s="1"/>
  <c r="Q988" i="10" s="1"/>
  <c r="R988" i="10" s="1"/>
  <c r="S988" i="10" s="1"/>
  <c r="T988" i="10" s="1"/>
  <c r="U988" i="10" s="1"/>
  <c r="V988" i="10" s="1"/>
  <c r="D990" i="10" l="1"/>
  <c r="M989" i="10"/>
  <c r="N989" i="10" s="1"/>
  <c r="O989" i="10" s="1"/>
  <c r="P989" i="10" s="1"/>
  <c r="Q989" i="10" s="1"/>
  <c r="R989" i="10" s="1"/>
  <c r="S989" i="10" s="1"/>
  <c r="T989" i="10" s="1"/>
  <c r="U989" i="10" s="1"/>
  <c r="V989" i="10" s="1"/>
  <c r="D991" i="10" l="1"/>
  <c r="M990" i="10"/>
  <c r="N990" i="10" s="1"/>
  <c r="O990" i="10" s="1"/>
  <c r="P990" i="10" s="1"/>
  <c r="Q990" i="10" s="1"/>
  <c r="R990" i="10" s="1"/>
  <c r="S990" i="10" s="1"/>
  <c r="T990" i="10" s="1"/>
  <c r="U990" i="10" s="1"/>
  <c r="V990" i="10" s="1"/>
  <c r="D992" i="10" l="1"/>
  <c r="M991" i="10"/>
  <c r="N991" i="10" s="1"/>
  <c r="O991" i="10" s="1"/>
  <c r="P991" i="10" s="1"/>
  <c r="Q991" i="10" s="1"/>
  <c r="R991" i="10" s="1"/>
  <c r="S991" i="10" s="1"/>
  <c r="T991" i="10" s="1"/>
  <c r="U991" i="10" s="1"/>
  <c r="V991" i="10" s="1"/>
  <c r="D993" i="10" l="1"/>
  <c r="M992" i="10"/>
  <c r="N992" i="10" s="1"/>
  <c r="O992" i="10" s="1"/>
  <c r="P992" i="10" s="1"/>
  <c r="Q992" i="10" s="1"/>
  <c r="R992" i="10" s="1"/>
  <c r="S992" i="10" s="1"/>
  <c r="T992" i="10" s="1"/>
  <c r="U992" i="10" s="1"/>
  <c r="V992" i="10" s="1"/>
  <c r="D994" i="10" l="1"/>
  <c r="M993" i="10"/>
  <c r="N993" i="10" s="1"/>
  <c r="O993" i="10" s="1"/>
  <c r="P993" i="10" s="1"/>
  <c r="Q993" i="10" s="1"/>
  <c r="R993" i="10" s="1"/>
  <c r="S993" i="10" s="1"/>
  <c r="T993" i="10" s="1"/>
  <c r="U993" i="10" s="1"/>
  <c r="V993" i="10" s="1"/>
  <c r="D995" i="10" l="1"/>
  <c r="M994" i="10"/>
  <c r="N994" i="10" s="1"/>
  <c r="O994" i="10" s="1"/>
  <c r="P994" i="10" s="1"/>
  <c r="Q994" i="10" s="1"/>
  <c r="R994" i="10" s="1"/>
  <c r="S994" i="10" s="1"/>
  <c r="T994" i="10" s="1"/>
  <c r="U994" i="10" s="1"/>
  <c r="V994" i="10" s="1"/>
  <c r="D996" i="10" l="1"/>
  <c r="M995" i="10"/>
  <c r="N995" i="10" s="1"/>
  <c r="O995" i="10" s="1"/>
  <c r="P995" i="10" s="1"/>
  <c r="Q995" i="10" s="1"/>
  <c r="R995" i="10" s="1"/>
  <c r="S995" i="10" s="1"/>
  <c r="T995" i="10" s="1"/>
  <c r="U995" i="10" s="1"/>
  <c r="V995" i="10" s="1"/>
  <c r="D997" i="10" l="1"/>
  <c r="M996" i="10"/>
  <c r="N996" i="10" s="1"/>
  <c r="O996" i="10" s="1"/>
  <c r="P996" i="10" s="1"/>
  <c r="Q996" i="10" s="1"/>
  <c r="R996" i="10" s="1"/>
  <c r="S996" i="10" s="1"/>
  <c r="T996" i="10" s="1"/>
  <c r="U996" i="10" s="1"/>
  <c r="V996" i="10" s="1"/>
  <c r="D998" i="10" l="1"/>
  <c r="M997" i="10"/>
  <c r="N997" i="10" s="1"/>
  <c r="O997" i="10" s="1"/>
  <c r="P997" i="10" s="1"/>
  <c r="Q997" i="10" s="1"/>
  <c r="R997" i="10" s="1"/>
  <c r="S997" i="10" s="1"/>
  <c r="T997" i="10" s="1"/>
  <c r="U997" i="10" s="1"/>
  <c r="V997" i="10" s="1"/>
  <c r="D999" i="10" l="1"/>
  <c r="M998" i="10"/>
  <c r="N998" i="10" s="1"/>
  <c r="O998" i="10" s="1"/>
  <c r="P998" i="10" s="1"/>
  <c r="Q998" i="10" s="1"/>
  <c r="R998" i="10" s="1"/>
  <c r="S998" i="10" s="1"/>
  <c r="T998" i="10" s="1"/>
  <c r="U998" i="10" s="1"/>
  <c r="V998" i="10" s="1"/>
  <c r="D1000" i="10" l="1"/>
  <c r="M999" i="10"/>
  <c r="N999" i="10" s="1"/>
  <c r="O999" i="10" s="1"/>
  <c r="P999" i="10" s="1"/>
  <c r="Q999" i="10" s="1"/>
  <c r="R999" i="10" s="1"/>
  <c r="S999" i="10" s="1"/>
  <c r="T999" i="10" s="1"/>
  <c r="U999" i="10" s="1"/>
  <c r="V999" i="10" s="1"/>
  <c r="D1001" i="10" l="1"/>
  <c r="M1000" i="10"/>
  <c r="N1000" i="10" s="1"/>
  <c r="O1000" i="10" s="1"/>
  <c r="P1000" i="10" s="1"/>
  <c r="Q1000" i="10" s="1"/>
  <c r="R1000" i="10" s="1"/>
  <c r="S1000" i="10" s="1"/>
  <c r="T1000" i="10" s="1"/>
  <c r="U1000" i="10" s="1"/>
  <c r="V1000" i="10" s="1"/>
  <c r="D1002" i="10" l="1"/>
  <c r="M1001" i="10"/>
  <c r="N1001" i="10" s="1"/>
  <c r="O1001" i="10" s="1"/>
  <c r="P1001" i="10" s="1"/>
  <c r="Q1001" i="10" s="1"/>
  <c r="R1001" i="10" s="1"/>
  <c r="S1001" i="10" s="1"/>
  <c r="T1001" i="10" s="1"/>
  <c r="U1001" i="10" s="1"/>
  <c r="V1001" i="10" s="1"/>
  <c r="D1003" i="10" l="1"/>
  <c r="M1002" i="10"/>
  <c r="N1002" i="10" s="1"/>
  <c r="O1002" i="10" s="1"/>
  <c r="P1002" i="10" s="1"/>
  <c r="Q1002" i="10" s="1"/>
  <c r="R1002" i="10" s="1"/>
  <c r="S1002" i="10" s="1"/>
  <c r="T1002" i="10" s="1"/>
  <c r="U1002" i="10" s="1"/>
  <c r="V1002" i="10" s="1"/>
  <c r="D1004" i="10" l="1"/>
  <c r="M1003" i="10"/>
  <c r="N1003" i="10" s="1"/>
  <c r="O1003" i="10" s="1"/>
  <c r="P1003" i="10" s="1"/>
  <c r="Q1003" i="10" s="1"/>
  <c r="R1003" i="10" s="1"/>
  <c r="S1003" i="10" s="1"/>
  <c r="T1003" i="10" s="1"/>
  <c r="U1003" i="10" s="1"/>
  <c r="V1003" i="10" s="1"/>
  <c r="D1005" i="10" l="1"/>
  <c r="M1004" i="10"/>
  <c r="N1004" i="10" s="1"/>
  <c r="O1004" i="10" s="1"/>
  <c r="P1004" i="10" s="1"/>
  <c r="Q1004" i="10" s="1"/>
  <c r="R1004" i="10" s="1"/>
  <c r="S1004" i="10" s="1"/>
  <c r="T1004" i="10" s="1"/>
  <c r="U1004" i="10" s="1"/>
  <c r="V1004" i="10" s="1"/>
  <c r="D1006" i="10" l="1"/>
  <c r="M1005" i="10"/>
  <c r="N1005" i="10" s="1"/>
  <c r="O1005" i="10" s="1"/>
  <c r="P1005" i="10" s="1"/>
  <c r="Q1005" i="10" s="1"/>
  <c r="R1005" i="10" s="1"/>
  <c r="S1005" i="10" s="1"/>
  <c r="T1005" i="10" s="1"/>
  <c r="U1005" i="10" s="1"/>
  <c r="V1005" i="10" s="1"/>
  <c r="D1007" i="10" l="1"/>
  <c r="M1006" i="10"/>
  <c r="N1006" i="10" s="1"/>
  <c r="O1006" i="10" s="1"/>
  <c r="P1006" i="10" s="1"/>
  <c r="Q1006" i="10" s="1"/>
  <c r="R1006" i="10" s="1"/>
  <c r="S1006" i="10" s="1"/>
  <c r="T1006" i="10" s="1"/>
  <c r="U1006" i="10" s="1"/>
  <c r="V1006" i="10" s="1"/>
  <c r="D1008" i="10" l="1"/>
  <c r="M1007" i="10"/>
  <c r="N1007" i="10" s="1"/>
  <c r="O1007" i="10" s="1"/>
  <c r="P1007" i="10" s="1"/>
  <c r="Q1007" i="10" s="1"/>
  <c r="R1007" i="10" s="1"/>
  <c r="S1007" i="10" s="1"/>
  <c r="T1007" i="10" s="1"/>
  <c r="U1007" i="10" s="1"/>
  <c r="V1007" i="10" s="1"/>
  <c r="D1009" i="10" l="1"/>
  <c r="M1008" i="10"/>
  <c r="N1008" i="10" s="1"/>
  <c r="O1008" i="10" s="1"/>
  <c r="P1008" i="10" s="1"/>
  <c r="Q1008" i="10" s="1"/>
  <c r="R1008" i="10" s="1"/>
  <c r="S1008" i="10" s="1"/>
  <c r="T1008" i="10" s="1"/>
  <c r="U1008" i="10" s="1"/>
  <c r="V1008" i="10" s="1"/>
  <c r="D1010" i="10" l="1"/>
  <c r="M1009" i="10"/>
  <c r="N1009" i="10" s="1"/>
  <c r="O1009" i="10" s="1"/>
  <c r="P1009" i="10" s="1"/>
  <c r="Q1009" i="10" s="1"/>
  <c r="R1009" i="10" s="1"/>
  <c r="S1009" i="10" s="1"/>
  <c r="T1009" i="10" s="1"/>
  <c r="U1009" i="10" s="1"/>
  <c r="V1009" i="10" s="1"/>
  <c r="D1011" i="10" l="1"/>
  <c r="M1010" i="10"/>
  <c r="N1010" i="10" s="1"/>
  <c r="O1010" i="10" s="1"/>
  <c r="P1010" i="10" s="1"/>
  <c r="Q1010" i="10" s="1"/>
  <c r="R1010" i="10" s="1"/>
  <c r="S1010" i="10" s="1"/>
  <c r="T1010" i="10" s="1"/>
  <c r="U1010" i="10" s="1"/>
  <c r="V1010" i="10" s="1"/>
  <c r="D1012" i="10" l="1"/>
  <c r="M1011" i="10"/>
  <c r="N1011" i="10" s="1"/>
  <c r="O1011" i="10" s="1"/>
  <c r="P1011" i="10" s="1"/>
  <c r="Q1011" i="10" s="1"/>
  <c r="R1011" i="10" s="1"/>
  <c r="S1011" i="10" s="1"/>
  <c r="T1011" i="10" s="1"/>
  <c r="U1011" i="10" s="1"/>
  <c r="V1011" i="10" s="1"/>
  <c r="D1013" i="10" l="1"/>
  <c r="M1012" i="10"/>
  <c r="N1012" i="10" s="1"/>
  <c r="O1012" i="10" s="1"/>
  <c r="P1012" i="10" s="1"/>
  <c r="Q1012" i="10" s="1"/>
  <c r="R1012" i="10" s="1"/>
  <c r="S1012" i="10" s="1"/>
  <c r="T1012" i="10" s="1"/>
  <c r="U1012" i="10" s="1"/>
  <c r="V1012" i="10" s="1"/>
  <c r="D1014" i="10" l="1"/>
  <c r="M1013" i="10"/>
  <c r="N1013" i="10" s="1"/>
  <c r="O1013" i="10" s="1"/>
  <c r="P1013" i="10" s="1"/>
  <c r="Q1013" i="10" s="1"/>
  <c r="R1013" i="10" s="1"/>
  <c r="S1013" i="10" s="1"/>
  <c r="T1013" i="10" s="1"/>
  <c r="U1013" i="10" s="1"/>
  <c r="V1013" i="10" s="1"/>
  <c r="D1015" i="10" l="1"/>
  <c r="M1014" i="10"/>
  <c r="N1014" i="10" s="1"/>
  <c r="O1014" i="10" s="1"/>
  <c r="P1014" i="10" s="1"/>
  <c r="Q1014" i="10" s="1"/>
  <c r="R1014" i="10" s="1"/>
  <c r="S1014" i="10" s="1"/>
  <c r="T1014" i="10" s="1"/>
  <c r="U1014" i="10" s="1"/>
  <c r="V1014" i="10" s="1"/>
  <c r="D1016" i="10" l="1"/>
  <c r="M1015" i="10"/>
  <c r="N1015" i="10" s="1"/>
  <c r="O1015" i="10" s="1"/>
  <c r="P1015" i="10" s="1"/>
  <c r="Q1015" i="10" s="1"/>
  <c r="R1015" i="10" s="1"/>
  <c r="S1015" i="10" s="1"/>
  <c r="T1015" i="10" s="1"/>
  <c r="U1015" i="10" s="1"/>
  <c r="V1015" i="10" s="1"/>
  <c r="D1017" i="10" l="1"/>
  <c r="M1016" i="10"/>
  <c r="N1016" i="10" s="1"/>
  <c r="O1016" i="10" s="1"/>
  <c r="P1016" i="10" s="1"/>
  <c r="Q1016" i="10" s="1"/>
  <c r="R1016" i="10" s="1"/>
  <c r="S1016" i="10" s="1"/>
  <c r="T1016" i="10" s="1"/>
  <c r="U1016" i="10" s="1"/>
  <c r="V1016" i="10" s="1"/>
  <c r="D1018" i="10" l="1"/>
  <c r="M1017" i="10"/>
  <c r="N1017" i="10" s="1"/>
  <c r="O1017" i="10" s="1"/>
  <c r="P1017" i="10" s="1"/>
  <c r="Q1017" i="10" s="1"/>
  <c r="R1017" i="10" s="1"/>
  <c r="S1017" i="10" s="1"/>
  <c r="T1017" i="10" s="1"/>
  <c r="U1017" i="10" s="1"/>
  <c r="V1017" i="10" s="1"/>
  <c r="D1019" i="10" l="1"/>
  <c r="M1018" i="10"/>
  <c r="N1018" i="10" s="1"/>
  <c r="O1018" i="10" s="1"/>
  <c r="P1018" i="10" s="1"/>
  <c r="Q1018" i="10" s="1"/>
  <c r="R1018" i="10" s="1"/>
  <c r="S1018" i="10" s="1"/>
  <c r="T1018" i="10" s="1"/>
  <c r="U1018" i="10" s="1"/>
  <c r="V1018" i="10" s="1"/>
  <c r="D1020" i="10" l="1"/>
  <c r="M1019" i="10"/>
  <c r="N1019" i="10" s="1"/>
  <c r="O1019" i="10" s="1"/>
  <c r="P1019" i="10" s="1"/>
  <c r="Q1019" i="10" s="1"/>
  <c r="R1019" i="10" s="1"/>
  <c r="S1019" i="10" s="1"/>
  <c r="T1019" i="10" s="1"/>
  <c r="U1019" i="10" s="1"/>
  <c r="V1019" i="10" s="1"/>
  <c r="D1021" i="10" l="1"/>
  <c r="M1020" i="10"/>
  <c r="N1020" i="10" s="1"/>
  <c r="O1020" i="10" s="1"/>
  <c r="P1020" i="10" s="1"/>
  <c r="Q1020" i="10" s="1"/>
  <c r="R1020" i="10" s="1"/>
  <c r="S1020" i="10" s="1"/>
  <c r="T1020" i="10" s="1"/>
  <c r="U1020" i="10" s="1"/>
  <c r="V1020" i="10" s="1"/>
  <c r="D1022" i="10" l="1"/>
  <c r="M1021" i="10"/>
  <c r="N1021" i="10" s="1"/>
  <c r="O1021" i="10" s="1"/>
  <c r="P1021" i="10" s="1"/>
  <c r="Q1021" i="10" s="1"/>
  <c r="R1021" i="10" s="1"/>
  <c r="S1021" i="10" s="1"/>
  <c r="T1021" i="10" s="1"/>
  <c r="U1021" i="10" s="1"/>
  <c r="V1021" i="10" s="1"/>
  <c r="D1023" i="10" l="1"/>
  <c r="M1022" i="10"/>
  <c r="N1022" i="10" s="1"/>
  <c r="O1022" i="10" s="1"/>
  <c r="P1022" i="10" s="1"/>
  <c r="Q1022" i="10" s="1"/>
  <c r="R1022" i="10" s="1"/>
  <c r="S1022" i="10" s="1"/>
  <c r="T1022" i="10" s="1"/>
  <c r="U1022" i="10" s="1"/>
  <c r="V1022" i="10" s="1"/>
  <c r="D1024" i="10" l="1"/>
  <c r="M1023" i="10"/>
  <c r="N1023" i="10" s="1"/>
  <c r="O1023" i="10" s="1"/>
  <c r="P1023" i="10" s="1"/>
  <c r="Q1023" i="10" s="1"/>
  <c r="R1023" i="10" s="1"/>
  <c r="S1023" i="10" s="1"/>
  <c r="T1023" i="10" s="1"/>
  <c r="U1023" i="10" s="1"/>
  <c r="V1023" i="10" s="1"/>
  <c r="D1025" i="10" l="1"/>
  <c r="M1024" i="10"/>
  <c r="N1024" i="10" s="1"/>
  <c r="O1024" i="10" s="1"/>
  <c r="P1024" i="10" s="1"/>
  <c r="Q1024" i="10" s="1"/>
  <c r="R1024" i="10" s="1"/>
  <c r="S1024" i="10" s="1"/>
  <c r="T1024" i="10" s="1"/>
  <c r="U1024" i="10" s="1"/>
  <c r="V1024" i="10" s="1"/>
  <c r="D1026" i="10" l="1"/>
  <c r="M1025" i="10"/>
  <c r="N1025" i="10" s="1"/>
  <c r="O1025" i="10" s="1"/>
  <c r="P1025" i="10" s="1"/>
  <c r="Q1025" i="10" s="1"/>
  <c r="R1025" i="10" s="1"/>
  <c r="S1025" i="10" s="1"/>
  <c r="T1025" i="10" s="1"/>
  <c r="U1025" i="10" s="1"/>
  <c r="V1025" i="10" s="1"/>
  <c r="D1027" i="10" l="1"/>
  <c r="M1026" i="10"/>
  <c r="N1026" i="10" s="1"/>
  <c r="O1026" i="10" s="1"/>
  <c r="P1026" i="10" s="1"/>
  <c r="Q1026" i="10" s="1"/>
  <c r="R1026" i="10" s="1"/>
  <c r="S1026" i="10" s="1"/>
  <c r="T1026" i="10" s="1"/>
  <c r="U1026" i="10" s="1"/>
  <c r="V1026" i="10" s="1"/>
  <c r="D1028" i="10" l="1"/>
  <c r="M1027" i="10"/>
  <c r="N1027" i="10" s="1"/>
  <c r="O1027" i="10" s="1"/>
  <c r="P1027" i="10" s="1"/>
  <c r="Q1027" i="10" s="1"/>
  <c r="R1027" i="10" s="1"/>
  <c r="S1027" i="10" s="1"/>
  <c r="T1027" i="10" s="1"/>
  <c r="U1027" i="10" s="1"/>
  <c r="V1027" i="10" s="1"/>
  <c r="D1029" i="10" l="1"/>
  <c r="M1028" i="10"/>
  <c r="N1028" i="10" s="1"/>
  <c r="O1028" i="10" s="1"/>
  <c r="P1028" i="10" s="1"/>
  <c r="Q1028" i="10" s="1"/>
  <c r="R1028" i="10" s="1"/>
  <c r="S1028" i="10" s="1"/>
  <c r="T1028" i="10" s="1"/>
  <c r="U1028" i="10" s="1"/>
  <c r="V1028" i="10" s="1"/>
  <c r="D1030" i="10" l="1"/>
  <c r="M1029" i="10"/>
  <c r="N1029" i="10" s="1"/>
  <c r="O1029" i="10" s="1"/>
  <c r="P1029" i="10" s="1"/>
  <c r="Q1029" i="10" s="1"/>
  <c r="R1029" i="10" s="1"/>
  <c r="S1029" i="10" s="1"/>
  <c r="T1029" i="10" s="1"/>
  <c r="U1029" i="10" s="1"/>
  <c r="V1029" i="10" s="1"/>
  <c r="D1031" i="10" l="1"/>
  <c r="M1030" i="10"/>
  <c r="N1030" i="10" s="1"/>
  <c r="O1030" i="10" s="1"/>
  <c r="P1030" i="10" s="1"/>
  <c r="Q1030" i="10" s="1"/>
  <c r="R1030" i="10" s="1"/>
  <c r="S1030" i="10" s="1"/>
  <c r="T1030" i="10" s="1"/>
  <c r="U1030" i="10" s="1"/>
  <c r="V1030" i="10" s="1"/>
  <c r="D1032" i="10" l="1"/>
  <c r="M1031" i="10"/>
  <c r="N1031" i="10" s="1"/>
  <c r="O1031" i="10" s="1"/>
  <c r="P1031" i="10" s="1"/>
  <c r="Q1031" i="10" s="1"/>
  <c r="R1031" i="10" s="1"/>
  <c r="S1031" i="10" s="1"/>
  <c r="T1031" i="10" s="1"/>
  <c r="U1031" i="10" s="1"/>
  <c r="V1031" i="10" s="1"/>
  <c r="D1033" i="10" l="1"/>
  <c r="M1032" i="10"/>
  <c r="N1032" i="10" s="1"/>
  <c r="O1032" i="10" s="1"/>
  <c r="P1032" i="10" s="1"/>
  <c r="Q1032" i="10" s="1"/>
  <c r="R1032" i="10" s="1"/>
  <c r="S1032" i="10" s="1"/>
  <c r="T1032" i="10" s="1"/>
  <c r="U1032" i="10" s="1"/>
  <c r="V1032" i="10" s="1"/>
  <c r="D1034" i="10" l="1"/>
  <c r="M1033" i="10"/>
  <c r="N1033" i="10" s="1"/>
  <c r="O1033" i="10" s="1"/>
  <c r="P1033" i="10" s="1"/>
  <c r="Q1033" i="10" s="1"/>
  <c r="R1033" i="10" s="1"/>
  <c r="S1033" i="10" s="1"/>
  <c r="T1033" i="10" s="1"/>
  <c r="U1033" i="10" s="1"/>
  <c r="V1033" i="10" s="1"/>
  <c r="D1035" i="10" l="1"/>
  <c r="M1034" i="10"/>
  <c r="N1034" i="10" s="1"/>
  <c r="O1034" i="10" s="1"/>
  <c r="P1034" i="10" s="1"/>
  <c r="Q1034" i="10" s="1"/>
  <c r="R1034" i="10" s="1"/>
  <c r="S1034" i="10" s="1"/>
  <c r="T1034" i="10" s="1"/>
  <c r="U1034" i="10" s="1"/>
  <c r="V1034" i="10" s="1"/>
  <c r="D1036" i="10" l="1"/>
  <c r="M1035" i="10"/>
  <c r="N1035" i="10" s="1"/>
  <c r="O1035" i="10" s="1"/>
  <c r="P1035" i="10" s="1"/>
  <c r="Q1035" i="10" s="1"/>
  <c r="R1035" i="10" s="1"/>
  <c r="S1035" i="10" s="1"/>
  <c r="T1035" i="10" s="1"/>
  <c r="U1035" i="10" s="1"/>
  <c r="V1035" i="10" s="1"/>
  <c r="D1037" i="10" l="1"/>
  <c r="M1036" i="10"/>
  <c r="N1036" i="10" s="1"/>
  <c r="O1036" i="10" s="1"/>
  <c r="P1036" i="10" s="1"/>
  <c r="Q1036" i="10" s="1"/>
  <c r="R1036" i="10" s="1"/>
  <c r="S1036" i="10" s="1"/>
  <c r="T1036" i="10" s="1"/>
  <c r="U1036" i="10" s="1"/>
  <c r="V1036" i="10" s="1"/>
  <c r="D1038" i="10" l="1"/>
  <c r="M1037" i="10"/>
  <c r="N1037" i="10" s="1"/>
  <c r="O1037" i="10" s="1"/>
  <c r="P1037" i="10" s="1"/>
  <c r="Q1037" i="10" s="1"/>
  <c r="R1037" i="10" s="1"/>
  <c r="S1037" i="10" s="1"/>
  <c r="T1037" i="10" s="1"/>
  <c r="U1037" i="10" s="1"/>
  <c r="V1037" i="10" s="1"/>
  <c r="D1039" i="10" l="1"/>
  <c r="M1038" i="10"/>
  <c r="N1038" i="10" s="1"/>
  <c r="O1038" i="10" s="1"/>
  <c r="P1038" i="10" s="1"/>
  <c r="Q1038" i="10" s="1"/>
  <c r="R1038" i="10" s="1"/>
  <c r="S1038" i="10" s="1"/>
  <c r="T1038" i="10" s="1"/>
  <c r="U1038" i="10" s="1"/>
  <c r="V1038" i="10" s="1"/>
  <c r="D1040" i="10" l="1"/>
  <c r="M1039" i="10"/>
  <c r="N1039" i="10" s="1"/>
  <c r="O1039" i="10" s="1"/>
  <c r="P1039" i="10" s="1"/>
  <c r="Q1039" i="10" s="1"/>
  <c r="R1039" i="10" s="1"/>
  <c r="S1039" i="10" s="1"/>
  <c r="T1039" i="10" s="1"/>
  <c r="U1039" i="10" s="1"/>
  <c r="V1039" i="10" s="1"/>
  <c r="D1041" i="10" l="1"/>
  <c r="M1040" i="10"/>
  <c r="N1040" i="10" s="1"/>
  <c r="O1040" i="10" s="1"/>
  <c r="P1040" i="10" s="1"/>
  <c r="Q1040" i="10" s="1"/>
  <c r="R1040" i="10" s="1"/>
  <c r="S1040" i="10" s="1"/>
  <c r="T1040" i="10" s="1"/>
  <c r="U1040" i="10" s="1"/>
  <c r="V1040" i="10" s="1"/>
  <c r="D1042" i="10" l="1"/>
  <c r="M1041" i="10"/>
  <c r="N1041" i="10" s="1"/>
  <c r="O1041" i="10" s="1"/>
  <c r="P1041" i="10" s="1"/>
  <c r="Q1041" i="10" s="1"/>
  <c r="R1041" i="10" s="1"/>
  <c r="S1041" i="10" s="1"/>
  <c r="T1041" i="10" s="1"/>
  <c r="U1041" i="10" s="1"/>
  <c r="V1041" i="10" s="1"/>
  <c r="D1043" i="10" l="1"/>
  <c r="M1042" i="10"/>
  <c r="N1042" i="10" s="1"/>
  <c r="O1042" i="10" s="1"/>
  <c r="P1042" i="10" s="1"/>
  <c r="Q1042" i="10" s="1"/>
  <c r="R1042" i="10" s="1"/>
  <c r="S1042" i="10" s="1"/>
  <c r="T1042" i="10" s="1"/>
  <c r="U1042" i="10" s="1"/>
  <c r="V1042" i="10" s="1"/>
  <c r="D1044" i="10" l="1"/>
  <c r="M1043" i="10"/>
  <c r="N1043" i="10" s="1"/>
  <c r="O1043" i="10" s="1"/>
  <c r="P1043" i="10" s="1"/>
  <c r="Q1043" i="10" s="1"/>
  <c r="R1043" i="10" s="1"/>
  <c r="S1043" i="10" s="1"/>
  <c r="T1043" i="10" s="1"/>
  <c r="U1043" i="10" s="1"/>
  <c r="V1043" i="10" s="1"/>
  <c r="D1045" i="10" l="1"/>
  <c r="M1044" i="10"/>
  <c r="N1044" i="10" s="1"/>
  <c r="O1044" i="10" s="1"/>
  <c r="P1044" i="10" s="1"/>
  <c r="Q1044" i="10" s="1"/>
  <c r="R1044" i="10" s="1"/>
  <c r="S1044" i="10" s="1"/>
  <c r="T1044" i="10" s="1"/>
  <c r="U1044" i="10" s="1"/>
  <c r="V1044" i="10" s="1"/>
  <c r="D1046" i="10" l="1"/>
  <c r="M1045" i="10"/>
  <c r="N1045" i="10" s="1"/>
  <c r="O1045" i="10" s="1"/>
  <c r="P1045" i="10" s="1"/>
  <c r="Q1045" i="10" s="1"/>
  <c r="R1045" i="10" s="1"/>
  <c r="S1045" i="10" s="1"/>
  <c r="T1045" i="10" s="1"/>
  <c r="U1045" i="10" s="1"/>
  <c r="V1045" i="10" s="1"/>
  <c r="D1047" i="10" l="1"/>
  <c r="M1046" i="10"/>
  <c r="N1046" i="10" s="1"/>
  <c r="O1046" i="10" s="1"/>
  <c r="P1046" i="10" s="1"/>
  <c r="Q1046" i="10" s="1"/>
  <c r="R1046" i="10" s="1"/>
  <c r="S1046" i="10" s="1"/>
  <c r="T1046" i="10" s="1"/>
  <c r="U1046" i="10" s="1"/>
  <c r="V1046" i="10" s="1"/>
  <c r="D1048" i="10" l="1"/>
  <c r="M1047" i="10"/>
  <c r="N1047" i="10" s="1"/>
  <c r="O1047" i="10" s="1"/>
  <c r="P1047" i="10" s="1"/>
  <c r="Q1047" i="10" s="1"/>
  <c r="R1047" i="10" s="1"/>
  <c r="S1047" i="10" s="1"/>
  <c r="T1047" i="10" s="1"/>
  <c r="U1047" i="10" s="1"/>
  <c r="V1047" i="10" s="1"/>
  <c r="D1049" i="10" l="1"/>
  <c r="M1048" i="10"/>
  <c r="N1048" i="10" s="1"/>
  <c r="O1048" i="10" s="1"/>
  <c r="P1048" i="10" s="1"/>
  <c r="Q1048" i="10" s="1"/>
  <c r="R1048" i="10" s="1"/>
  <c r="S1048" i="10" s="1"/>
  <c r="T1048" i="10" s="1"/>
  <c r="U1048" i="10" s="1"/>
  <c r="V1048" i="10" s="1"/>
  <c r="D1050" i="10" l="1"/>
  <c r="M1049" i="10"/>
  <c r="N1049" i="10" s="1"/>
  <c r="O1049" i="10" s="1"/>
  <c r="P1049" i="10" s="1"/>
  <c r="Q1049" i="10" s="1"/>
  <c r="R1049" i="10" s="1"/>
  <c r="S1049" i="10" s="1"/>
  <c r="T1049" i="10" s="1"/>
  <c r="U1049" i="10" s="1"/>
  <c r="V1049" i="10" s="1"/>
  <c r="D1051" i="10" l="1"/>
  <c r="M1050" i="10"/>
  <c r="N1050" i="10" s="1"/>
  <c r="O1050" i="10" s="1"/>
  <c r="P1050" i="10" s="1"/>
  <c r="Q1050" i="10" s="1"/>
  <c r="R1050" i="10" s="1"/>
  <c r="S1050" i="10" s="1"/>
  <c r="T1050" i="10" s="1"/>
  <c r="U1050" i="10" s="1"/>
  <c r="V1050" i="10" s="1"/>
  <c r="D1052" i="10" l="1"/>
  <c r="M1051" i="10"/>
  <c r="N1051" i="10" s="1"/>
  <c r="O1051" i="10" s="1"/>
  <c r="P1051" i="10" s="1"/>
  <c r="Q1051" i="10" s="1"/>
  <c r="R1051" i="10" s="1"/>
  <c r="S1051" i="10" s="1"/>
  <c r="T1051" i="10" s="1"/>
  <c r="U1051" i="10" s="1"/>
  <c r="V1051" i="10" s="1"/>
  <c r="D1053" i="10" l="1"/>
  <c r="M1052" i="10"/>
  <c r="N1052" i="10" s="1"/>
  <c r="O1052" i="10" s="1"/>
  <c r="P1052" i="10" s="1"/>
  <c r="Q1052" i="10" s="1"/>
  <c r="R1052" i="10" s="1"/>
  <c r="S1052" i="10" s="1"/>
  <c r="T1052" i="10" s="1"/>
  <c r="U1052" i="10" s="1"/>
  <c r="V1052" i="10" s="1"/>
  <c r="D1054" i="10" l="1"/>
  <c r="M1053" i="10"/>
  <c r="N1053" i="10" s="1"/>
  <c r="O1053" i="10" s="1"/>
  <c r="P1053" i="10" s="1"/>
  <c r="Q1053" i="10" s="1"/>
  <c r="R1053" i="10" s="1"/>
  <c r="S1053" i="10" s="1"/>
  <c r="T1053" i="10" s="1"/>
  <c r="U1053" i="10" s="1"/>
  <c r="V1053" i="10" s="1"/>
  <c r="D1055" i="10" l="1"/>
  <c r="M1054" i="10"/>
  <c r="N1054" i="10" s="1"/>
  <c r="O1054" i="10" s="1"/>
  <c r="P1054" i="10" s="1"/>
  <c r="Q1054" i="10" s="1"/>
  <c r="R1054" i="10" s="1"/>
  <c r="S1054" i="10" s="1"/>
  <c r="T1054" i="10" s="1"/>
  <c r="U1054" i="10" s="1"/>
  <c r="V1054" i="10" s="1"/>
  <c r="D1056" i="10" l="1"/>
  <c r="M1055" i="10"/>
  <c r="N1055" i="10" s="1"/>
  <c r="O1055" i="10" s="1"/>
  <c r="P1055" i="10" s="1"/>
  <c r="Q1055" i="10" s="1"/>
  <c r="R1055" i="10" s="1"/>
  <c r="S1055" i="10" s="1"/>
  <c r="T1055" i="10" s="1"/>
  <c r="U1055" i="10" s="1"/>
  <c r="V1055" i="10" s="1"/>
  <c r="D1057" i="10" l="1"/>
  <c r="M1056" i="10"/>
  <c r="N1056" i="10" s="1"/>
  <c r="O1056" i="10" s="1"/>
  <c r="P1056" i="10" s="1"/>
  <c r="Q1056" i="10" s="1"/>
  <c r="R1056" i="10" s="1"/>
  <c r="S1056" i="10" s="1"/>
  <c r="T1056" i="10" s="1"/>
  <c r="U1056" i="10" s="1"/>
  <c r="V1056" i="10" s="1"/>
  <c r="D1058" i="10" l="1"/>
  <c r="M1057" i="10"/>
  <c r="N1057" i="10" s="1"/>
  <c r="O1057" i="10" s="1"/>
  <c r="P1057" i="10" s="1"/>
  <c r="Q1057" i="10" s="1"/>
  <c r="R1057" i="10" s="1"/>
  <c r="S1057" i="10" s="1"/>
  <c r="T1057" i="10" s="1"/>
  <c r="U1057" i="10" s="1"/>
  <c r="V1057" i="10" s="1"/>
  <c r="D1059" i="10" l="1"/>
  <c r="M1058" i="10"/>
  <c r="N1058" i="10" s="1"/>
  <c r="O1058" i="10" s="1"/>
  <c r="P1058" i="10" s="1"/>
  <c r="Q1058" i="10" s="1"/>
  <c r="R1058" i="10" s="1"/>
  <c r="S1058" i="10" s="1"/>
  <c r="T1058" i="10" s="1"/>
  <c r="U1058" i="10" s="1"/>
  <c r="V1058" i="10" s="1"/>
  <c r="D1060" i="10" l="1"/>
  <c r="M1059" i="10"/>
  <c r="N1059" i="10" s="1"/>
  <c r="O1059" i="10" s="1"/>
  <c r="P1059" i="10" s="1"/>
  <c r="Q1059" i="10" s="1"/>
  <c r="R1059" i="10" s="1"/>
  <c r="S1059" i="10" s="1"/>
  <c r="T1059" i="10" s="1"/>
  <c r="U1059" i="10" s="1"/>
  <c r="V1059" i="10" s="1"/>
  <c r="D1061" i="10" l="1"/>
  <c r="M1060" i="10"/>
  <c r="N1060" i="10" s="1"/>
  <c r="O1060" i="10" s="1"/>
  <c r="P1060" i="10" s="1"/>
  <c r="Q1060" i="10" s="1"/>
  <c r="R1060" i="10" s="1"/>
  <c r="S1060" i="10" s="1"/>
  <c r="T1060" i="10" s="1"/>
  <c r="U1060" i="10" s="1"/>
  <c r="V1060" i="10" s="1"/>
  <c r="D1062" i="10" l="1"/>
  <c r="M1061" i="10"/>
  <c r="N1061" i="10" s="1"/>
  <c r="O1061" i="10" s="1"/>
  <c r="P1061" i="10" s="1"/>
  <c r="Q1061" i="10" s="1"/>
  <c r="R1061" i="10" s="1"/>
  <c r="S1061" i="10" s="1"/>
  <c r="T1061" i="10" s="1"/>
  <c r="U1061" i="10" s="1"/>
  <c r="V1061" i="10" s="1"/>
  <c r="D1063" i="10" l="1"/>
  <c r="M1062" i="10"/>
  <c r="N1062" i="10" s="1"/>
  <c r="O1062" i="10" s="1"/>
  <c r="P1062" i="10" s="1"/>
  <c r="Q1062" i="10" s="1"/>
  <c r="R1062" i="10" s="1"/>
  <c r="S1062" i="10" s="1"/>
  <c r="T1062" i="10" s="1"/>
  <c r="U1062" i="10" s="1"/>
  <c r="V1062" i="10" s="1"/>
  <c r="D1064" i="10" l="1"/>
  <c r="M1063" i="10"/>
  <c r="N1063" i="10" s="1"/>
  <c r="O1063" i="10" s="1"/>
  <c r="P1063" i="10" s="1"/>
  <c r="Q1063" i="10" s="1"/>
  <c r="R1063" i="10" s="1"/>
  <c r="S1063" i="10" s="1"/>
  <c r="T1063" i="10" s="1"/>
  <c r="U1063" i="10" s="1"/>
  <c r="V1063" i="10" s="1"/>
  <c r="D1065" i="10" l="1"/>
  <c r="M1064" i="10"/>
  <c r="N1064" i="10" s="1"/>
  <c r="O1064" i="10" s="1"/>
  <c r="P1064" i="10" s="1"/>
  <c r="Q1064" i="10" s="1"/>
  <c r="R1064" i="10" s="1"/>
  <c r="S1064" i="10" s="1"/>
  <c r="T1064" i="10" s="1"/>
  <c r="U1064" i="10" s="1"/>
  <c r="V1064" i="10" s="1"/>
  <c r="D1066" i="10" l="1"/>
  <c r="M1065" i="10"/>
  <c r="N1065" i="10" s="1"/>
  <c r="O1065" i="10" s="1"/>
  <c r="P1065" i="10" s="1"/>
  <c r="Q1065" i="10" s="1"/>
  <c r="R1065" i="10" s="1"/>
  <c r="S1065" i="10" s="1"/>
  <c r="T1065" i="10" s="1"/>
  <c r="U1065" i="10" s="1"/>
  <c r="V1065" i="10" s="1"/>
  <c r="D1067" i="10" l="1"/>
  <c r="M1066" i="10"/>
  <c r="N1066" i="10" s="1"/>
  <c r="O1066" i="10" s="1"/>
  <c r="P1066" i="10" s="1"/>
  <c r="Q1066" i="10" s="1"/>
  <c r="R1066" i="10" s="1"/>
  <c r="S1066" i="10" s="1"/>
  <c r="T1066" i="10" s="1"/>
  <c r="U1066" i="10" s="1"/>
  <c r="V1066" i="10" s="1"/>
  <c r="D1068" i="10" l="1"/>
  <c r="M1067" i="10"/>
  <c r="N1067" i="10" s="1"/>
  <c r="O1067" i="10" s="1"/>
  <c r="P1067" i="10" s="1"/>
  <c r="Q1067" i="10" s="1"/>
  <c r="R1067" i="10" s="1"/>
  <c r="S1067" i="10" s="1"/>
  <c r="T1067" i="10" s="1"/>
  <c r="U1067" i="10" s="1"/>
  <c r="V1067" i="10" s="1"/>
  <c r="D1069" i="10" l="1"/>
  <c r="M1068" i="10"/>
  <c r="N1068" i="10" s="1"/>
  <c r="O1068" i="10" s="1"/>
  <c r="P1068" i="10" s="1"/>
  <c r="Q1068" i="10" s="1"/>
  <c r="R1068" i="10" s="1"/>
  <c r="S1068" i="10" s="1"/>
  <c r="T1068" i="10" s="1"/>
  <c r="U1068" i="10" s="1"/>
  <c r="V1068" i="10" s="1"/>
  <c r="D1070" i="10" l="1"/>
  <c r="M1069" i="10"/>
  <c r="N1069" i="10" s="1"/>
  <c r="O1069" i="10" s="1"/>
  <c r="P1069" i="10" s="1"/>
  <c r="Q1069" i="10" s="1"/>
  <c r="R1069" i="10" s="1"/>
  <c r="S1069" i="10" s="1"/>
  <c r="T1069" i="10" s="1"/>
  <c r="U1069" i="10" s="1"/>
  <c r="V1069" i="10" s="1"/>
  <c r="D1071" i="10" l="1"/>
  <c r="M1070" i="10"/>
  <c r="N1070" i="10" s="1"/>
  <c r="O1070" i="10" s="1"/>
  <c r="P1070" i="10" s="1"/>
  <c r="Q1070" i="10" s="1"/>
  <c r="R1070" i="10" s="1"/>
  <c r="S1070" i="10" s="1"/>
  <c r="T1070" i="10" s="1"/>
  <c r="U1070" i="10" s="1"/>
  <c r="V1070" i="10" s="1"/>
  <c r="D1072" i="10" l="1"/>
  <c r="M1071" i="10"/>
  <c r="N1071" i="10" s="1"/>
  <c r="O1071" i="10" s="1"/>
  <c r="P1071" i="10" s="1"/>
  <c r="Q1071" i="10" s="1"/>
  <c r="R1071" i="10" s="1"/>
  <c r="S1071" i="10" s="1"/>
  <c r="T1071" i="10" s="1"/>
  <c r="U1071" i="10" s="1"/>
  <c r="V1071" i="10" s="1"/>
  <c r="D1073" i="10" l="1"/>
  <c r="M1072" i="10"/>
  <c r="N1072" i="10" s="1"/>
  <c r="O1072" i="10" s="1"/>
  <c r="P1072" i="10" s="1"/>
  <c r="Q1072" i="10" s="1"/>
  <c r="R1072" i="10" s="1"/>
  <c r="S1072" i="10" s="1"/>
  <c r="T1072" i="10" s="1"/>
  <c r="U1072" i="10" s="1"/>
  <c r="V1072" i="10" s="1"/>
  <c r="D1074" i="10" l="1"/>
  <c r="M1073" i="10"/>
  <c r="N1073" i="10" s="1"/>
  <c r="O1073" i="10" s="1"/>
  <c r="P1073" i="10" s="1"/>
  <c r="Q1073" i="10" s="1"/>
  <c r="R1073" i="10" s="1"/>
  <c r="S1073" i="10" s="1"/>
  <c r="T1073" i="10" s="1"/>
  <c r="U1073" i="10" s="1"/>
  <c r="V1073" i="10" s="1"/>
  <c r="D1075" i="10" l="1"/>
  <c r="M1074" i="10"/>
  <c r="N1074" i="10" s="1"/>
  <c r="O1074" i="10" s="1"/>
  <c r="P1074" i="10" s="1"/>
  <c r="Q1074" i="10" s="1"/>
  <c r="R1074" i="10" s="1"/>
  <c r="S1074" i="10" s="1"/>
  <c r="T1074" i="10" s="1"/>
  <c r="U1074" i="10" s="1"/>
  <c r="V1074" i="10" s="1"/>
  <c r="D1076" i="10" l="1"/>
  <c r="M1075" i="10"/>
  <c r="N1075" i="10" s="1"/>
  <c r="O1075" i="10" s="1"/>
  <c r="P1075" i="10" s="1"/>
  <c r="Q1075" i="10" s="1"/>
  <c r="R1075" i="10" s="1"/>
  <c r="S1075" i="10" s="1"/>
  <c r="T1075" i="10" s="1"/>
  <c r="U1075" i="10" s="1"/>
  <c r="V1075" i="10" s="1"/>
  <c r="D1077" i="10" l="1"/>
  <c r="M1076" i="10"/>
  <c r="N1076" i="10" s="1"/>
  <c r="O1076" i="10" s="1"/>
  <c r="P1076" i="10" s="1"/>
  <c r="Q1076" i="10" s="1"/>
  <c r="R1076" i="10" s="1"/>
  <c r="S1076" i="10" s="1"/>
  <c r="T1076" i="10" s="1"/>
  <c r="U1076" i="10" s="1"/>
  <c r="V1076" i="10" s="1"/>
  <c r="D1078" i="10" l="1"/>
  <c r="M1077" i="10"/>
  <c r="N1077" i="10" s="1"/>
  <c r="O1077" i="10" s="1"/>
  <c r="P1077" i="10" s="1"/>
  <c r="Q1077" i="10" s="1"/>
  <c r="R1077" i="10" s="1"/>
  <c r="S1077" i="10" s="1"/>
  <c r="T1077" i="10" s="1"/>
  <c r="U1077" i="10" s="1"/>
  <c r="V1077" i="10" s="1"/>
  <c r="D1079" i="10" l="1"/>
  <c r="M1078" i="10"/>
  <c r="N1078" i="10" s="1"/>
  <c r="O1078" i="10" s="1"/>
  <c r="P1078" i="10" s="1"/>
  <c r="Q1078" i="10" s="1"/>
  <c r="R1078" i="10" s="1"/>
  <c r="S1078" i="10" s="1"/>
  <c r="T1078" i="10" s="1"/>
  <c r="U1078" i="10" s="1"/>
  <c r="V1078" i="10" s="1"/>
  <c r="D1080" i="10" l="1"/>
  <c r="M1079" i="10"/>
  <c r="N1079" i="10" s="1"/>
  <c r="O1079" i="10" s="1"/>
  <c r="P1079" i="10" s="1"/>
  <c r="Q1079" i="10" s="1"/>
  <c r="R1079" i="10" s="1"/>
  <c r="S1079" i="10" s="1"/>
  <c r="T1079" i="10" s="1"/>
  <c r="U1079" i="10" s="1"/>
  <c r="V1079" i="10" s="1"/>
  <c r="D1081" i="10" l="1"/>
  <c r="M1080" i="10"/>
  <c r="N1080" i="10" s="1"/>
  <c r="O1080" i="10" s="1"/>
  <c r="P1080" i="10" s="1"/>
  <c r="Q1080" i="10" s="1"/>
  <c r="R1080" i="10" s="1"/>
  <c r="S1080" i="10" s="1"/>
  <c r="T1080" i="10" s="1"/>
  <c r="U1080" i="10" s="1"/>
  <c r="V1080" i="10" s="1"/>
  <c r="D1082" i="10" l="1"/>
  <c r="M1081" i="10"/>
  <c r="N1081" i="10" s="1"/>
  <c r="O1081" i="10" s="1"/>
  <c r="P1081" i="10" s="1"/>
  <c r="Q1081" i="10" s="1"/>
  <c r="R1081" i="10" s="1"/>
  <c r="S1081" i="10" s="1"/>
  <c r="T1081" i="10" s="1"/>
  <c r="U1081" i="10" s="1"/>
  <c r="V1081" i="10" s="1"/>
  <c r="D1083" i="10" l="1"/>
  <c r="M1082" i="10"/>
  <c r="N1082" i="10" s="1"/>
  <c r="O1082" i="10" s="1"/>
  <c r="P1082" i="10" s="1"/>
  <c r="Q1082" i="10" s="1"/>
  <c r="R1082" i="10" s="1"/>
  <c r="S1082" i="10" s="1"/>
  <c r="T1082" i="10" s="1"/>
  <c r="U1082" i="10" s="1"/>
  <c r="V1082" i="10" s="1"/>
  <c r="D1084" i="10" l="1"/>
  <c r="M1083" i="10"/>
  <c r="N1083" i="10" s="1"/>
  <c r="O1083" i="10" s="1"/>
  <c r="P1083" i="10" s="1"/>
  <c r="Q1083" i="10" s="1"/>
  <c r="R1083" i="10" s="1"/>
  <c r="S1083" i="10" s="1"/>
  <c r="T1083" i="10" s="1"/>
  <c r="U1083" i="10" s="1"/>
  <c r="V1083" i="10" s="1"/>
  <c r="D1085" i="10" l="1"/>
  <c r="M1084" i="10"/>
  <c r="N1084" i="10" s="1"/>
  <c r="O1084" i="10" s="1"/>
  <c r="P1084" i="10" s="1"/>
  <c r="Q1084" i="10" s="1"/>
  <c r="R1084" i="10" s="1"/>
  <c r="S1084" i="10" s="1"/>
  <c r="T1084" i="10" s="1"/>
  <c r="U1084" i="10" s="1"/>
  <c r="V1084" i="10" s="1"/>
  <c r="D1086" i="10" l="1"/>
  <c r="M1085" i="10"/>
  <c r="N1085" i="10" s="1"/>
  <c r="O1085" i="10" s="1"/>
  <c r="P1085" i="10" s="1"/>
  <c r="Q1085" i="10" s="1"/>
  <c r="R1085" i="10" s="1"/>
  <c r="S1085" i="10" s="1"/>
  <c r="T1085" i="10" s="1"/>
  <c r="U1085" i="10" s="1"/>
  <c r="V1085" i="10" s="1"/>
  <c r="D1087" i="10" l="1"/>
  <c r="M1086" i="10"/>
  <c r="N1086" i="10" s="1"/>
  <c r="O1086" i="10" s="1"/>
  <c r="P1086" i="10" s="1"/>
  <c r="Q1086" i="10" s="1"/>
  <c r="R1086" i="10" s="1"/>
  <c r="S1086" i="10" s="1"/>
  <c r="T1086" i="10" s="1"/>
  <c r="U1086" i="10" s="1"/>
  <c r="V1086" i="10" s="1"/>
  <c r="D1088" i="10" l="1"/>
  <c r="M1087" i="10"/>
  <c r="N1087" i="10" s="1"/>
  <c r="O1087" i="10" s="1"/>
  <c r="P1087" i="10" s="1"/>
  <c r="Q1087" i="10" s="1"/>
  <c r="R1087" i="10" s="1"/>
  <c r="S1087" i="10" s="1"/>
  <c r="T1087" i="10" s="1"/>
  <c r="U1087" i="10" s="1"/>
  <c r="V1087" i="10" s="1"/>
  <c r="D1089" i="10" l="1"/>
  <c r="M1088" i="10"/>
  <c r="N1088" i="10" s="1"/>
  <c r="O1088" i="10" s="1"/>
  <c r="P1088" i="10" s="1"/>
  <c r="Q1088" i="10" s="1"/>
  <c r="R1088" i="10" s="1"/>
  <c r="S1088" i="10" s="1"/>
  <c r="T1088" i="10" s="1"/>
  <c r="U1088" i="10" s="1"/>
  <c r="V1088" i="10" s="1"/>
  <c r="D1090" i="10" l="1"/>
  <c r="M1089" i="10"/>
  <c r="N1089" i="10" s="1"/>
  <c r="O1089" i="10" s="1"/>
  <c r="P1089" i="10" s="1"/>
  <c r="Q1089" i="10" s="1"/>
  <c r="R1089" i="10" s="1"/>
  <c r="S1089" i="10" s="1"/>
  <c r="T1089" i="10" s="1"/>
  <c r="U1089" i="10" s="1"/>
  <c r="V1089" i="10" s="1"/>
  <c r="D1091" i="10" l="1"/>
  <c r="M1090" i="10"/>
  <c r="N1090" i="10" s="1"/>
  <c r="O1090" i="10" s="1"/>
  <c r="P1090" i="10" s="1"/>
  <c r="Q1090" i="10" s="1"/>
  <c r="R1090" i="10" s="1"/>
  <c r="S1090" i="10" s="1"/>
  <c r="T1090" i="10" s="1"/>
  <c r="U1090" i="10" s="1"/>
  <c r="V1090" i="10" s="1"/>
  <c r="D1092" i="10" l="1"/>
  <c r="M1091" i="10"/>
  <c r="N1091" i="10" s="1"/>
  <c r="O1091" i="10" s="1"/>
  <c r="P1091" i="10" s="1"/>
  <c r="Q1091" i="10" s="1"/>
  <c r="R1091" i="10" s="1"/>
  <c r="S1091" i="10" s="1"/>
  <c r="T1091" i="10" s="1"/>
  <c r="U1091" i="10" s="1"/>
  <c r="V1091" i="10" s="1"/>
  <c r="D1093" i="10" l="1"/>
  <c r="M1092" i="10"/>
  <c r="N1092" i="10" s="1"/>
  <c r="O1092" i="10" s="1"/>
  <c r="P1092" i="10" s="1"/>
  <c r="Q1092" i="10" s="1"/>
  <c r="R1092" i="10" s="1"/>
  <c r="S1092" i="10" s="1"/>
  <c r="T1092" i="10" s="1"/>
  <c r="U1092" i="10" s="1"/>
  <c r="V1092" i="10" s="1"/>
  <c r="D1094" i="10" l="1"/>
  <c r="M1093" i="10"/>
  <c r="N1093" i="10" s="1"/>
  <c r="O1093" i="10" s="1"/>
  <c r="P1093" i="10" s="1"/>
  <c r="Q1093" i="10" s="1"/>
  <c r="R1093" i="10" s="1"/>
  <c r="S1093" i="10" s="1"/>
  <c r="T1093" i="10" s="1"/>
  <c r="U1093" i="10" s="1"/>
  <c r="V1093" i="10" s="1"/>
  <c r="D1095" i="10" l="1"/>
  <c r="M1094" i="10"/>
  <c r="N1094" i="10" s="1"/>
  <c r="O1094" i="10" s="1"/>
  <c r="P1094" i="10" s="1"/>
  <c r="Q1094" i="10" s="1"/>
  <c r="R1094" i="10" s="1"/>
  <c r="S1094" i="10" s="1"/>
  <c r="T1094" i="10" s="1"/>
  <c r="U1094" i="10" s="1"/>
  <c r="V1094" i="10" s="1"/>
  <c r="D1096" i="10" l="1"/>
  <c r="M1095" i="10"/>
  <c r="N1095" i="10" s="1"/>
  <c r="O1095" i="10" s="1"/>
  <c r="P1095" i="10" s="1"/>
  <c r="Q1095" i="10" s="1"/>
  <c r="R1095" i="10" s="1"/>
  <c r="S1095" i="10" s="1"/>
  <c r="T1095" i="10" s="1"/>
  <c r="U1095" i="10" s="1"/>
  <c r="V1095" i="10" s="1"/>
  <c r="D1097" i="10" l="1"/>
  <c r="M1096" i="10"/>
  <c r="N1096" i="10" s="1"/>
  <c r="O1096" i="10" s="1"/>
  <c r="P1096" i="10" s="1"/>
  <c r="Q1096" i="10" s="1"/>
  <c r="R1096" i="10" s="1"/>
  <c r="S1096" i="10" s="1"/>
  <c r="T1096" i="10" s="1"/>
  <c r="U1096" i="10" s="1"/>
  <c r="V1096" i="10" s="1"/>
  <c r="D1098" i="10" l="1"/>
  <c r="M1097" i="10"/>
  <c r="N1097" i="10" s="1"/>
  <c r="O1097" i="10" s="1"/>
  <c r="P1097" i="10" s="1"/>
  <c r="Q1097" i="10" s="1"/>
  <c r="R1097" i="10" s="1"/>
  <c r="S1097" i="10" s="1"/>
  <c r="T1097" i="10" s="1"/>
  <c r="U1097" i="10" s="1"/>
  <c r="V1097" i="10" s="1"/>
  <c r="D1099" i="10" l="1"/>
  <c r="M1098" i="10"/>
  <c r="N1098" i="10" s="1"/>
  <c r="O1098" i="10" s="1"/>
  <c r="P1098" i="10" s="1"/>
  <c r="Q1098" i="10" s="1"/>
  <c r="R1098" i="10" s="1"/>
  <c r="S1098" i="10" s="1"/>
  <c r="T1098" i="10" s="1"/>
  <c r="U1098" i="10" s="1"/>
  <c r="V1098" i="10" s="1"/>
  <c r="D1100" i="10" l="1"/>
  <c r="M1099" i="10"/>
  <c r="N1099" i="10" s="1"/>
  <c r="O1099" i="10" s="1"/>
  <c r="P1099" i="10" s="1"/>
  <c r="Q1099" i="10" s="1"/>
  <c r="R1099" i="10" s="1"/>
  <c r="S1099" i="10" s="1"/>
  <c r="T1099" i="10" s="1"/>
  <c r="U1099" i="10" s="1"/>
  <c r="V1099" i="10" s="1"/>
  <c r="D1101" i="10" l="1"/>
  <c r="M1100" i="10"/>
  <c r="N1100" i="10" s="1"/>
  <c r="O1100" i="10" s="1"/>
  <c r="P1100" i="10" s="1"/>
  <c r="Q1100" i="10" s="1"/>
  <c r="R1100" i="10" s="1"/>
  <c r="S1100" i="10" s="1"/>
  <c r="T1100" i="10" s="1"/>
  <c r="U1100" i="10" s="1"/>
  <c r="V1100" i="10" s="1"/>
  <c r="D1102" i="10" l="1"/>
  <c r="M1101" i="10"/>
  <c r="N1101" i="10" s="1"/>
  <c r="O1101" i="10" s="1"/>
  <c r="P1101" i="10" s="1"/>
  <c r="Q1101" i="10" s="1"/>
  <c r="R1101" i="10" s="1"/>
  <c r="S1101" i="10" s="1"/>
  <c r="T1101" i="10" s="1"/>
  <c r="U1101" i="10" s="1"/>
  <c r="V1101" i="10" s="1"/>
  <c r="D1103" i="10" l="1"/>
  <c r="M1102" i="10"/>
  <c r="N1102" i="10" s="1"/>
  <c r="O1102" i="10" s="1"/>
  <c r="P1102" i="10" s="1"/>
  <c r="Q1102" i="10" s="1"/>
  <c r="R1102" i="10" s="1"/>
  <c r="S1102" i="10" s="1"/>
  <c r="T1102" i="10" s="1"/>
  <c r="U1102" i="10" s="1"/>
  <c r="V1102" i="10" s="1"/>
  <c r="D1104" i="10" l="1"/>
  <c r="M1103" i="10"/>
  <c r="N1103" i="10" s="1"/>
  <c r="O1103" i="10" s="1"/>
  <c r="P1103" i="10" s="1"/>
  <c r="Q1103" i="10" s="1"/>
  <c r="R1103" i="10" s="1"/>
  <c r="S1103" i="10" s="1"/>
  <c r="T1103" i="10" s="1"/>
  <c r="U1103" i="10" s="1"/>
  <c r="V1103" i="10" s="1"/>
  <c r="D1105" i="10" l="1"/>
  <c r="M1104" i="10"/>
  <c r="N1104" i="10" s="1"/>
  <c r="O1104" i="10" s="1"/>
  <c r="P1104" i="10" s="1"/>
  <c r="Q1104" i="10" s="1"/>
  <c r="R1104" i="10" s="1"/>
  <c r="S1104" i="10" s="1"/>
  <c r="T1104" i="10" s="1"/>
  <c r="U1104" i="10" s="1"/>
  <c r="V1104" i="10" s="1"/>
  <c r="D1106" i="10" l="1"/>
  <c r="M1105" i="10"/>
  <c r="N1105" i="10" s="1"/>
  <c r="O1105" i="10" s="1"/>
  <c r="P1105" i="10" s="1"/>
  <c r="Q1105" i="10" s="1"/>
  <c r="R1105" i="10" s="1"/>
  <c r="S1105" i="10" s="1"/>
  <c r="T1105" i="10" s="1"/>
  <c r="U1105" i="10" s="1"/>
  <c r="V1105" i="10" s="1"/>
  <c r="D1107" i="10" l="1"/>
  <c r="M1106" i="10"/>
  <c r="N1106" i="10" s="1"/>
  <c r="O1106" i="10" s="1"/>
  <c r="P1106" i="10" s="1"/>
  <c r="Q1106" i="10" s="1"/>
  <c r="R1106" i="10" s="1"/>
  <c r="S1106" i="10" s="1"/>
  <c r="T1106" i="10" s="1"/>
  <c r="U1106" i="10" s="1"/>
  <c r="V1106" i="10" s="1"/>
  <c r="D1108" i="10" l="1"/>
  <c r="M1107" i="10"/>
  <c r="N1107" i="10" s="1"/>
  <c r="O1107" i="10" s="1"/>
  <c r="P1107" i="10" s="1"/>
  <c r="Q1107" i="10" s="1"/>
  <c r="R1107" i="10" s="1"/>
  <c r="S1107" i="10" s="1"/>
  <c r="T1107" i="10" s="1"/>
  <c r="U1107" i="10" s="1"/>
  <c r="V1107" i="10" s="1"/>
  <c r="D1109" i="10" l="1"/>
  <c r="M1108" i="10"/>
  <c r="N1108" i="10" s="1"/>
  <c r="O1108" i="10" s="1"/>
  <c r="P1108" i="10" s="1"/>
  <c r="Q1108" i="10" s="1"/>
  <c r="R1108" i="10" s="1"/>
  <c r="S1108" i="10" s="1"/>
  <c r="T1108" i="10" s="1"/>
  <c r="U1108" i="10" s="1"/>
  <c r="V1108" i="10" s="1"/>
  <c r="D1110" i="10" l="1"/>
  <c r="M1109" i="10"/>
  <c r="N1109" i="10" s="1"/>
  <c r="O1109" i="10" s="1"/>
  <c r="P1109" i="10" s="1"/>
  <c r="Q1109" i="10" s="1"/>
  <c r="R1109" i="10" s="1"/>
  <c r="S1109" i="10" s="1"/>
  <c r="T1109" i="10" s="1"/>
  <c r="U1109" i="10" s="1"/>
  <c r="V1109" i="10" s="1"/>
  <c r="D1111" i="10" l="1"/>
  <c r="M1110" i="10"/>
  <c r="N1110" i="10" s="1"/>
  <c r="O1110" i="10" s="1"/>
  <c r="P1110" i="10" s="1"/>
  <c r="Q1110" i="10" s="1"/>
  <c r="R1110" i="10" s="1"/>
  <c r="S1110" i="10" s="1"/>
  <c r="T1110" i="10" s="1"/>
  <c r="U1110" i="10" s="1"/>
  <c r="V1110" i="10" s="1"/>
  <c r="D1112" i="10" l="1"/>
  <c r="M1111" i="10"/>
  <c r="N1111" i="10" s="1"/>
  <c r="O1111" i="10" s="1"/>
  <c r="P1111" i="10" s="1"/>
  <c r="Q1111" i="10" s="1"/>
  <c r="R1111" i="10" s="1"/>
  <c r="S1111" i="10" s="1"/>
  <c r="T1111" i="10" s="1"/>
  <c r="U1111" i="10" s="1"/>
  <c r="V1111" i="10" s="1"/>
  <c r="D1113" i="10" l="1"/>
  <c r="M1112" i="10"/>
  <c r="N1112" i="10" s="1"/>
  <c r="O1112" i="10" s="1"/>
  <c r="P1112" i="10" s="1"/>
  <c r="Q1112" i="10" s="1"/>
  <c r="R1112" i="10" s="1"/>
  <c r="S1112" i="10" s="1"/>
  <c r="T1112" i="10" s="1"/>
  <c r="U1112" i="10" s="1"/>
  <c r="V1112" i="10" s="1"/>
  <c r="D1114" i="10" l="1"/>
  <c r="M1113" i="10"/>
  <c r="N1113" i="10" s="1"/>
  <c r="O1113" i="10" s="1"/>
  <c r="P1113" i="10" s="1"/>
  <c r="Q1113" i="10" s="1"/>
  <c r="R1113" i="10" s="1"/>
  <c r="S1113" i="10" s="1"/>
  <c r="T1113" i="10" s="1"/>
  <c r="U1113" i="10" s="1"/>
  <c r="V1113" i="10" s="1"/>
  <c r="D1115" i="10" l="1"/>
  <c r="M1114" i="10"/>
  <c r="N1114" i="10" s="1"/>
  <c r="O1114" i="10" s="1"/>
  <c r="P1114" i="10" s="1"/>
  <c r="Q1114" i="10" s="1"/>
  <c r="R1114" i="10" s="1"/>
  <c r="S1114" i="10" s="1"/>
  <c r="T1114" i="10" s="1"/>
  <c r="U1114" i="10" s="1"/>
  <c r="V1114" i="10" s="1"/>
  <c r="D1116" i="10" l="1"/>
  <c r="M1115" i="10"/>
  <c r="N1115" i="10" s="1"/>
  <c r="O1115" i="10" s="1"/>
  <c r="P1115" i="10" s="1"/>
  <c r="Q1115" i="10" s="1"/>
  <c r="R1115" i="10" s="1"/>
  <c r="S1115" i="10" s="1"/>
  <c r="T1115" i="10" s="1"/>
  <c r="U1115" i="10" s="1"/>
  <c r="V1115" i="10" s="1"/>
  <c r="D1117" i="10" l="1"/>
  <c r="M1116" i="10"/>
  <c r="N1116" i="10" s="1"/>
  <c r="O1116" i="10" s="1"/>
  <c r="P1116" i="10" s="1"/>
  <c r="Q1116" i="10" s="1"/>
  <c r="R1116" i="10" s="1"/>
  <c r="S1116" i="10" s="1"/>
  <c r="T1116" i="10" s="1"/>
  <c r="U1116" i="10" s="1"/>
  <c r="V1116" i="10" s="1"/>
  <c r="D1118" i="10" l="1"/>
  <c r="M1117" i="10"/>
  <c r="N1117" i="10" s="1"/>
  <c r="O1117" i="10" s="1"/>
  <c r="P1117" i="10" s="1"/>
  <c r="Q1117" i="10" s="1"/>
  <c r="R1117" i="10" s="1"/>
  <c r="S1117" i="10" s="1"/>
  <c r="T1117" i="10" s="1"/>
  <c r="U1117" i="10" s="1"/>
  <c r="V1117" i="10" s="1"/>
  <c r="D1119" i="10" l="1"/>
  <c r="M1118" i="10"/>
  <c r="N1118" i="10" s="1"/>
  <c r="O1118" i="10" s="1"/>
  <c r="P1118" i="10" s="1"/>
  <c r="Q1118" i="10" s="1"/>
  <c r="R1118" i="10" s="1"/>
  <c r="S1118" i="10" s="1"/>
  <c r="T1118" i="10" s="1"/>
  <c r="U1118" i="10" s="1"/>
  <c r="V1118" i="10" s="1"/>
  <c r="D1120" i="10" l="1"/>
  <c r="M1119" i="10"/>
  <c r="N1119" i="10" s="1"/>
  <c r="O1119" i="10" s="1"/>
  <c r="P1119" i="10" s="1"/>
  <c r="Q1119" i="10" s="1"/>
  <c r="R1119" i="10" s="1"/>
  <c r="S1119" i="10" s="1"/>
  <c r="T1119" i="10" s="1"/>
  <c r="U1119" i="10" s="1"/>
  <c r="V1119" i="10" s="1"/>
  <c r="D1121" i="10" l="1"/>
  <c r="M1120" i="10"/>
  <c r="N1120" i="10" s="1"/>
  <c r="O1120" i="10" s="1"/>
  <c r="P1120" i="10" s="1"/>
  <c r="Q1120" i="10" s="1"/>
  <c r="R1120" i="10" s="1"/>
  <c r="S1120" i="10" s="1"/>
  <c r="T1120" i="10" s="1"/>
  <c r="U1120" i="10" s="1"/>
  <c r="V1120" i="10" s="1"/>
  <c r="D1122" i="10" l="1"/>
  <c r="M1121" i="10"/>
  <c r="N1121" i="10" s="1"/>
  <c r="O1121" i="10" s="1"/>
  <c r="P1121" i="10" s="1"/>
  <c r="Q1121" i="10" s="1"/>
  <c r="R1121" i="10" s="1"/>
  <c r="S1121" i="10" s="1"/>
  <c r="T1121" i="10" s="1"/>
  <c r="U1121" i="10" s="1"/>
  <c r="V1121" i="10" s="1"/>
  <c r="D1123" i="10" l="1"/>
  <c r="M1122" i="10"/>
  <c r="N1122" i="10" s="1"/>
  <c r="O1122" i="10" s="1"/>
  <c r="P1122" i="10" s="1"/>
  <c r="Q1122" i="10" s="1"/>
  <c r="R1122" i="10" s="1"/>
  <c r="S1122" i="10" s="1"/>
  <c r="T1122" i="10" s="1"/>
  <c r="U1122" i="10" s="1"/>
  <c r="V1122" i="10" s="1"/>
  <c r="D1124" i="10" l="1"/>
  <c r="M1123" i="10"/>
  <c r="N1123" i="10" s="1"/>
  <c r="O1123" i="10" s="1"/>
  <c r="P1123" i="10" s="1"/>
  <c r="Q1123" i="10" s="1"/>
  <c r="R1123" i="10" s="1"/>
  <c r="S1123" i="10" s="1"/>
  <c r="T1123" i="10" s="1"/>
  <c r="U1123" i="10" s="1"/>
  <c r="V1123" i="10" s="1"/>
  <c r="D1125" i="10" l="1"/>
  <c r="M1124" i="10"/>
  <c r="N1124" i="10" s="1"/>
  <c r="O1124" i="10" s="1"/>
  <c r="P1124" i="10" s="1"/>
  <c r="Q1124" i="10" s="1"/>
  <c r="R1124" i="10" s="1"/>
  <c r="S1124" i="10" s="1"/>
  <c r="T1124" i="10" s="1"/>
  <c r="U1124" i="10" s="1"/>
  <c r="V1124" i="10" s="1"/>
  <c r="D1126" i="10" l="1"/>
  <c r="M1125" i="10"/>
  <c r="N1125" i="10" s="1"/>
  <c r="O1125" i="10" s="1"/>
  <c r="P1125" i="10" s="1"/>
  <c r="Q1125" i="10" s="1"/>
  <c r="R1125" i="10" s="1"/>
  <c r="S1125" i="10" s="1"/>
  <c r="T1125" i="10" s="1"/>
  <c r="U1125" i="10" s="1"/>
  <c r="V1125" i="10" s="1"/>
  <c r="D1127" i="10" l="1"/>
  <c r="M1126" i="10"/>
  <c r="N1126" i="10" s="1"/>
  <c r="O1126" i="10" s="1"/>
  <c r="P1126" i="10" s="1"/>
  <c r="Q1126" i="10" s="1"/>
  <c r="R1126" i="10" s="1"/>
  <c r="S1126" i="10" s="1"/>
  <c r="T1126" i="10" s="1"/>
  <c r="U1126" i="10" s="1"/>
  <c r="V1126" i="10" s="1"/>
  <c r="D1128" i="10" l="1"/>
  <c r="M1127" i="10"/>
  <c r="N1127" i="10" s="1"/>
  <c r="O1127" i="10" s="1"/>
  <c r="P1127" i="10" s="1"/>
  <c r="Q1127" i="10" s="1"/>
  <c r="R1127" i="10" s="1"/>
  <c r="S1127" i="10" s="1"/>
  <c r="T1127" i="10" s="1"/>
  <c r="U1127" i="10" s="1"/>
  <c r="V1127" i="10" s="1"/>
  <c r="D1129" i="10" l="1"/>
  <c r="M1128" i="10"/>
  <c r="N1128" i="10" s="1"/>
  <c r="O1128" i="10" s="1"/>
  <c r="P1128" i="10" s="1"/>
  <c r="Q1128" i="10" s="1"/>
  <c r="R1128" i="10" s="1"/>
  <c r="S1128" i="10" s="1"/>
  <c r="T1128" i="10" s="1"/>
  <c r="U1128" i="10" s="1"/>
  <c r="V1128" i="10" s="1"/>
  <c r="D1130" i="10" l="1"/>
  <c r="M1129" i="10"/>
  <c r="N1129" i="10" s="1"/>
  <c r="O1129" i="10" s="1"/>
  <c r="P1129" i="10" s="1"/>
  <c r="Q1129" i="10" s="1"/>
  <c r="R1129" i="10" s="1"/>
  <c r="S1129" i="10" s="1"/>
  <c r="T1129" i="10" s="1"/>
  <c r="U1129" i="10" s="1"/>
  <c r="V1129" i="10" s="1"/>
  <c r="D1131" i="10" l="1"/>
  <c r="M1130" i="10"/>
  <c r="N1130" i="10" s="1"/>
  <c r="O1130" i="10" s="1"/>
  <c r="P1130" i="10" s="1"/>
  <c r="Q1130" i="10" s="1"/>
  <c r="R1130" i="10" s="1"/>
  <c r="S1130" i="10" s="1"/>
  <c r="T1130" i="10" s="1"/>
  <c r="U1130" i="10" s="1"/>
  <c r="V1130" i="10" s="1"/>
  <c r="D1132" i="10" l="1"/>
  <c r="M1131" i="10"/>
  <c r="N1131" i="10" s="1"/>
  <c r="O1131" i="10" s="1"/>
  <c r="P1131" i="10" s="1"/>
  <c r="Q1131" i="10" s="1"/>
  <c r="R1131" i="10" s="1"/>
  <c r="S1131" i="10" s="1"/>
  <c r="T1131" i="10" s="1"/>
  <c r="U1131" i="10" s="1"/>
  <c r="V1131" i="10" s="1"/>
  <c r="D1133" i="10" l="1"/>
  <c r="M1132" i="10"/>
  <c r="N1132" i="10" s="1"/>
  <c r="O1132" i="10" s="1"/>
  <c r="P1132" i="10" s="1"/>
  <c r="Q1132" i="10" s="1"/>
  <c r="R1132" i="10" s="1"/>
  <c r="S1132" i="10" s="1"/>
  <c r="T1132" i="10" s="1"/>
  <c r="U1132" i="10" s="1"/>
  <c r="V1132" i="10" s="1"/>
  <c r="D1134" i="10" l="1"/>
  <c r="M1133" i="10"/>
  <c r="N1133" i="10" s="1"/>
  <c r="O1133" i="10" s="1"/>
  <c r="P1133" i="10" s="1"/>
  <c r="Q1133" i="10" s="1"/>
  <c r="R1133" i="10" s="1"/>
  <c r="S1133" i="10" s="1"/>
  <c r="T1133" i="10" s="1"/>
  <c r="U1133" i="10" s="1"/>
  <c r="V1133" i="10" s="1"/>
  <c r="D1135" i="10" l="1"/>
  <c r="M1134" i="10"/>
  <c r="N1134" i="10" s="1"/>
  <c r="O1134" i="10" s="1"/>
  <c r="P1134" i="10" s="1"/>
  <c r="Q1134" i="10" s="1"/>
  <c r="R1134" i="10" s="1"/>
  <c r="S1134" i="10" s="1"/>
  <c r="T1134" i="10" s="1"/>
  <c r="U1134" i="10" s="1"/>
  <c r="V1134" i="10" s="1"/>
  <c r="D1136" i="10" l="1"/>
  <c r="M1135" i="10"/>
  <c r="N1135" i="10" s="1"/>
  <c r="O1135" i="10" s="1"/>
  <c r="P1135" i="10" s="1"/>
  <c r="Q1135" i="10" s="1"/>
  <c r="R1135" i="10" s="1"/>
  <c r="S1135" i="10" s="1"/>
  <c r="T1135" i="10" s="1"/>
  <c r="U1135" i="10" s="1"/>
  <c r="V1135" i="10" s="1"/>
  <c r="D1137" i="10" l="1"/>
  <c r="M1136" i="10"/>
  <c r="N1136" i="10" s="1"/>
  <c r="O1136" i="10" s="1"/>
  <c r="P1136" i="10" s="1"/>
  <c r="Q1136" i="10" s="1"/>
  <c r="R1136" i="10" s="1"/>
  <c r="S1136" i="10" s="1"/>
  <c r="T1136" i="10" s="1"/>
  <c r="U1136" i="10" s="1"/>
  <c r="V1136" i="10" s="1"/>
  <c r="D1138" i="10" l="1"/>
  <c r="M1137" i="10"/>
  <c r="N1137" i="10" s="1"/>
  <c r="O1137" i="10" s="1"/>
  <c r="P1137" i="10" s="1"/>
  <c r="Q1137" i="10" s="1"/>
  <c r="R1137" i="10" s="1"/>
  <c r="S1137" i="10" s="1"/>
  <c r="T1137" i="10" s="1"/>
  <c r="U1137" i="10" s="1"/>
  <c r="V1137" i="10" s="1"/>
  <c r="D1139" i="10" l="1"/>
  <c r="M1138" i="10"/>
  <c r="N1138" i="10" s="1"/>
  <c r="O1138" i="10" s="1"/>
  <c r="P1138" i="10" s="1"/>
  <c r="Q1138" i="10" s="1"/>
  <c r="R1138" i="10" s="1"/>
  <c r="S1138" i="10" s="1"/>
  <c r="T1138" i="10" s="1"/>
  <c r="U1138" i="10" s="1"/>
  <c r="V1138" i="10" s="1"/>
  <c r="D1140" i="10" l="1"/>
  <c r="M1139" i="10"/>
  <c r="N1139" i="10" s="1"/>
  <c r="O1139" i="10" s="1"/>
  <c r="P1139" i="10" s="1"/>
  <c r="Q1139" i="10" s="1"/>
  <c r="R1139" i="10" s="1"/>
  <c r="S1139" i="10" s="1"/>
  <c r="T1139" i="10" s="1"/>
  <c r="U1139" i="10" s="1"/>
  <c r="V1139" i="10" s="1"/>
  <c r="D1141" i="10" l="1"/>
  <c r="M1140" i="10"/>
  <c r="N1140" i="10" s="1"/>
  <c r="O1140" i="10" s="1"/>
  <c r="P1140" i="10" s="1"/>
  <c r="Q1140" i="10" s="1"/>
  <c r="R1140" i="10" s="1"/>
  <c r="S1140" i="10" s="1"/>
  <c r="T1140" i="10" s="1"/>
  <c r="U1140" i="10" s="1"/>
  <c r="V1140" i="10" s="1"/>
  <c r="D1142" i="10" l="1"/>
  <c r="M1141" i="10"/>
  <c r="N1141" i="10" s="1"/>
  <c r="O1141" i="10" s="1"/>
  <c r="P1141" i="10" s="1"/>
  <c r="Q1141" i="10" s="1"/>
  <c r="R1141" i="10" s="1"/>
  <c r="S1141" i="10" s="1"/>
  <c r="T1141" i="10" s="1"/>
  <c r="U1141" i="10" s="1"/>
  <c r="V1141" i="10" s="1"/>
  <c r="D1143" i="10" l="1"/>
  <c r="M1142" i="10"/>
  <c r="N1142" i="10" s="1"/>
  <c r="O1142" i="10" s="1"/>
  <c r="P1142" i="10" s="1"/>
  <c r="Q1142" i="10" s="1"/>
  <c r="R1142" i="10" s="1"/>
  <c r="S1142" i="10" s="1"/>
  <c r="T1142" i="10" s="1"/>
  <c r="U1142" i="10" s="1"/>
  <c r="V1142" i="10" s="1"/>
  <c r="D1144" i="10" l="1"/>
  <c r="M1143" i="10"/>
  <c r="N1143" i="10" s="1"/>
  <c r="O1143" i="10" s="1"/>
  <c r="P1143" i="10" s="1"/>
  <c r="Q1143" i="10" s="1"/>
  <c r="R1143" i="10" s="1"/>
  <c r="S1143" i="10" s="1"/>
  <c r="T1143" i="10" s="1"/>
  <c r="U1143" i="10" s="1"/>
  <c r="V1143" i="10" s="1"/>
  <c r="D1145" i="10" l="1"/>
  <c r="M1144" i="10"/>
  <c r="N1144" i="10" s="1"/>
  <c r="O1144" i="10" s="1"/>
  <c r="P1144" i="10" s="1"/>
  <c r="Q1144" i="10" s="1"/>
  <c r="R1144" i="10" s="1"/>
  <c r="S1144" i="10" s="1"/>
  <c r="T1144" i="10" s="1"/>
  <c r="U1144" i="10" s="1"/>
  <c r="V1144" i="10" s="1"/>
  <c r="D1146" i="10" l="1"/>
  <c r="M1145" i="10"/>
  <c r="N1145" i="10" s="1"/>
  <c r="O1145" i="10" s="1"/>
  <c r="P1145" i="10" s="1"/>
  <c r="Q1145" i="10" s="1"/>
  <c r="R1145" i="10" s="1"/>
  <c r="S1145" i="10" s="1"/>
  <c r="T1145" i="10" s="1"/>
  <c r="U1145" i="10" s="1"/>
  <c r="V1145" i="10" s="1"/>
  <c r="D1147" i="10" l="1"/>
  <c r="M1146" i="10"/>
  <c r="N1146" i="10" s="1"/>
  <c r="O1146" i="10" s="1"/>
  <c r="P1146" i="10" s="1"/>
  <c r="Q1146" i="10" s="1"/>
  <c r="R1146" i="10" s="1"/>
  <c r="S1146" i="10" s="1"/>
  <c r="T1146" i="10" s="1"/>
  <c r="U1146" i="10" s="1"/>
  <c r="V1146" i="10" s="1"/>
  <c r="D1148" i="10" l="1"/>
  <c r="M1147" i="10"/>
  <c r="N1147" i="10" s="1"/>
  <c r="O1147" i="10" s="1"/>
  <c r="P1147" i="10" s="1"/>
  <c r="Q1147" i="10" s="1"/>
  <c r="R1147" i="10" s="1"/>
  <c r="S1147" i="10" s="1"/>
  <c r="T1147" i="10" s="1"/>
  <c r="U1147" i="10" s="1"/>
  <c r="V1147" i="10" s="1"/>
  <c r="D1149" i="10" l="1"/>
  <c r="M1148" i="10"/>
  <c r="N1148" i="10" s="1"/>
  <c r="O1148" i="10" s="1"/>
  <c r="P1148" i="10" s="1"/>
  <c r="Q1148" i="10" s="1"/>
  <c r="R1148" i="10" s="1"/>
  <c r="S1148" i="10" s="1"/>
  <c r="T1148" i="10" s="1"/>
  <c r="U1148" i="10" s="1"/>
  <c r="V1148" i="10" s="1"/>
  <c r="D1150" i="10" l="1"/>
  <c r="M1149" i="10"/>
  <c r="N1149" i="10" s="1"/>
  <c r="O1149" i="10" s="1"/>
  <c r="P1149" i="10" s="1"/>
  <c r="Q1149" i="10" s="1"/>
  <c r="R1149" i="10" s="1"/>
  <c r="S1149" i="10" s="1"/>
  <c r="T1149" i="10" s="1"/>
  <c r="U1149" i="10" s="1"/>
  <c r="V1149" i="10" s="1"/>
  <c r="D1151" i="10" l="1"/>
  <c r="M1150" i="10"/>
  <c r="N1150" i="10" s="1"/>
  <c r="O1150" i="10" s="1"/>
  <c r="P1150" i="10" s="1"/>
  <c r="Q1150" i="10" s="1"/>
  <c r="R1150" i="10" s="1"/>
  <c r="S1150" i="10" s="1"/>
  <c r="T1150" i="10" s="1"/>
  <c r="U1150" i="10" s="1"/>
  <c r="V1150" i="10" s="1"/>
  <c r="D1152" i="10" l="1"/>
  <c r="M1151" i="10"/>
  <c r="N1151" i="10" s="1"/>
  <c r="O1151" i="10" s="1"/>
  <c r="P1151" i="10" s="1"/>
  <c r="Q1151" i="10" s="1"/>
  <c r="R1151" i="10" s="1"/>
  <c r="S1151" i="10" s="1"/>
  <c r="T1151" i="10" s="1"/>
  <c r="U1151" i="10" s="1"/>
  <c r="V1151" i="10" s="1"/>
  <c r="D1153" i="10" l="1"/>
  <c r="M1152" i="10"/>
  <c r="N1152" i="10" s="1"/>
  <c r="O1152" i="10" s="1"/>
  <c r="P1152" i="10" s="1"/>
  <c r="Q1152" i="10" s="1"/>
  <c r="R1152" i="10" s="1"/>
  <c r="S1152" i="10" s="1"/>
  <c r="T1152" i="10" s="1"/>
  <c r="U1152" i="10" s="1"/>
  <c r="V1152" i="10" s="1"/>
  <c r="D1154" i="10" l="1"/>
  <c r="M1153" i="10"/>
  <c r="N1153" i="10" s="1"/>
  <c r="O1153" i="10" s="1"/>
  <c r="P1153" i="10" s="1"/>
  <c r="Q1153" i="10" s="1"/>
  <c r="R1153" i="10" s="1"/>
  <c r="S1153" i="10" s="1"/>
  <c r="T1153" i="10" s="1"/>
  <c r="U1153" i="10" s="1"/>
  <c r="V1153" i="10" s="1"/>
  <c r="D1155" i="10" l="1"/>
  <c r="M1154" i="10"/>
  <c r="N1154" i="10" s="1"/>
  <c r="O1154" i="10" s="1"/>
  <c r="P1154" i="10" s="1"/>
  <c r="Q1154" i="10" s="1"/>
  <c r="R1154" i="10" s="1"/>
  <c r="S1154" i="10" s="1"/>
  <c r="T1154" i="10" s="1"/>
  <c r="U1154" i="10" s="1"/>
  <c r="V1154" i="10" s="1"/>
  <c r="D1156" i="10" l="1"/>
  <c r="M1155" i="10"/>
  <c r="N1155" i="10" s="1"/>
  <c r="O1155" i="10" s="1"/>
  <c r="P1155" i="10" s="1"/>
  <c r="Q1155" i="10" s="1"/>
  <c r="R1155" i="10" s="1"/>
  <c r="S1155" i="10" s="1"/>
  <c r="T1155" i="10" s="1"/>
  <c r="U1155" i="10" s="1"/>
  <c r="V1155" i="10" s="1"/>
  <c r="D1157" i="10" l="1"/>
  <c r="M1156" i="10"/>
  <c r="N1156" i="10" s="1"/>
  <c r="O1156" i="10" s="1"/>
  <c r="P1156" i="10" s="1"/>
  <c r="Q1156" i="10" s="1"/>
  <c r="R1156" i="10" s="1"/>
  <c r="S1156" i="10" s="1"/>
  <c r="T1156" i="10" s="1"/>
  <c r="U1156" i="10" s="1"/>
  <c r="V1156" i="10" s="1"/>
  <c r="D1158" i="10" l="1"/>
  <c r="M1157" i="10"/>
  <c r="N1157" i="10" s="1"/>
  <c r="O1157" i="10" s="1"/>
  <c r="P1157" i="10" s="1"/>
  <c r="Q1157" i="10" s="1"/>
  <c r="R1157" i="10" s="1"/>
  <c r="S1157" i="10" s="1"/>
  <c r="T1157" i="10" s="1"/>
  <c r="U1157" i="10" s="1"/>
  <c r="V1157" i="10" s="1"/>
  <c r="D1159" i="10" l="1"/>
  <c r="M1158" i="10"/>
  <c r="N1158" i="10" s="1"/>
  <c r="O1158" i="10" s="1"/>
  <c r="P1158" i="10" s="1"/>
  <c r="Q1158" i="10" s="1"/>
  <c r="R1158" i="10" s="1"/>
  <c r="S1158" i="10" s="1"/>
  <c r="T1158" i="10" s="1"/>
  <c r="U1158" i="10" s="1"/>
  <c r="V1158" i="10" s="1"/>
  <c r="D1160" i="10" l="1"/>
  <c r="M1159" i="10"/>
  <c r="N1159" i="10" s="1"/>
  <c r="O1159" i="10" s="1"/>
  <c r="P1159" i="10" s="1"/>
  <c r="Q1159" i="10" s="1"/>
  <c r="R1159" i="10" s="1"/>
  <c r="S1159" i="10" s="1"/>
  <c r="T1159" i="10" s="1"/>
  <c r="U1159" i="10" s="1"/>
  <c r="V1159" i="10" s="1"/>
  <c r="D1161" i="10" l="1"/>
  <c r="M1160" i="10"/>
  <c r="N1160" i="10" s="1"/>
  <c r="O1160" i="10" s="1"/>
  <c r="P1160" i="10" s="1"/>
  <c r="Q1160" i="10" s="1"/>
  <c r="R1160" i="10" s="1"/>
  <c r="S1160" i="10" s="1"/>
  <c r="T1160" i="10" s="1"/>
  <c r="U1160" i="10" s="1"/>
  <c r="V1160" i="10" s="1"/>
  <c r="D1162" i="10" l="1"/>
  <c r="M1161" i="10"/>
  <c r="N1161" i="10" s="1"/>
  <c r="O1161" i="10" s="1"/>
  <c r="P1161" i="10" s="1"/>
  <c r="Q1161" i="10" s="1"/>
  <c r="R1161" i="10" s="1"/>
  <c r="S1161" i="10" s="1"/>
  <c r="T1161" i="10" s="1"/>
  <c r="U1161" i="10" s="1"/>
  <c r="V1161" i="10" s="1"/>
  <c r="D1163" i="10" l="1"/>
  <c r="M1162" i="10"/>
  <c r="N1162" i="10" s="1"/>
  <c r="O1162" i="10" s="1"/>
  <c r="P1162" i="10" s="1"/>
  <c r="Q1162" i="10" s="1"/>
  <c r="R1162" i="10" s="1"/>
  <c r="S1162" i="10" s="1"/>
  <c r="T1162" i="10" s="1"/>
  <c r="U1162" i="10" s="1"/>
  <c r="V1162" i="10" s="1"/>
  <c r="D1164" i="10" l="1"/>
  <c r="M1163" i="10"/>
  <c r="N1163" i="10" s="1"/>
  <c r="O1163" i="10" s="1"/>
  <c r="P1163" i="10" s="1"/>
  <c r="Q1163" i="10" s="1"/>
  <c r="R1163" i="10" s="1"/>
  <c r="S1163" i="10" s="1"/>
  <c r="T1163" i="10" s="1"/>
  <c r="U1163" i="10" s="1"/>
  <c r="V1163" i="10" s="1"/>
  <c r="D1165" i="10" l="1"/>
  <c r="M1164" i="10"/>
  <c r="N1164" i="10" s="1"/>
  <c r="O1164" i="10" s="1"/>
  <c r="P1164" i="10" s="1"/>
  <c r="Q1164" i="10" s="1"/>
  <c r="R1164" i="10" s="1"/>
  <c r="S1164" i="10" s="1"/>
  <c r="T1164" i="10" s="1"/>
  <c r="U1164" i="10" s="1"/>
  <c r="V1164" i="10" s="1"/>
  <c r="D1166" i="10" l="1"/>
  <c r="M1165" i="10"/>
  <c r="N1165" i="10" s="1"/>
  <c r="O1165" i="10" s="1"/>
  <c r="P1165" i="10" s="1"/>
  <c r="Q1165" i="10" s="1"/>
  <c r="R1165" i="10" s="1"/>
  <c r="S1165" i="10" s="1"/>
  <c r="T1165" i="10" s="1"/>
  <c r="U1165" i="10" s="1"/>
  <c r="V1165" i="10" s="1"/>
  <c r="D1167" i="10" l="1"/>
  <c r="M1166" i="10"/>
  <c r="N1166" i="10" s="1"/>
  <c r="O1166" i="10" s="1"/>
  <c r="P1166" i="10" s="1"/>
  <c r="Q1166" i="10" s="1"/>
  <c r="R1166" i="10" s="1"/>
  <c r="S1166" i="10" s="1"/>
  <c r="T1166" i="10" s="1"/>
  <c r="U1166" i="10" s="1"/>
  <c r="V1166" i="10" s="1"/>
  <c r="D1168" i="10" l="1"/>
  <c r="M1167" i="10"/>
  <c r="N1167" i="10" s="1"/>
  <c r="O1167" i="10" s="1"/>
  <c r="P1167" i="10" s="1"/>
  <c r="Q1167" i="10" s="1"/>
  <c r="R1167" i="10" s="1"/>
  <c r="S1167" i="10" s="1"/>
  <c r="T1167" i="10" s="1"/>
  <c r="U1167" i="10" s="1"/>
  <c r="V1167" i="10" s="1"/>
  <c r="D1169" i="10" l="1"/>
  <c r="M1168" i="10"/>
  <c r="N1168" i="10" s="1"/>
  <c r="O1168" i="10" s="1"/>
  <c r="P1168" i="10" s="1"/>
  <c r="Q1168" i="10" s="1"/>
  <c r="R1168" i="10" s="1"/>
  <c r="S1168" i="10" s="1"/>
  <c r="T1168" i="10" s="1"/>
  <c r="U1168" i="10" s="1"/>
  <c r="V1168" i="10" s="1"/>
  <c r="D1170" i="10" l="1"/>
  <c r="M1169" i="10"/>
  <c r="N1169" i="10" s="1"/>
  <c r="O1169" i="10" s="1"/>
  <c r="P1169" i="10" s="1"/>
  <c r="Q1169" i="10" s="1"/>
  <c r="R1169" i="10" s="1"/>
  <c r="S1169" i="10" s="1"/>
  <c r="T1169" i="10" s="1"/>
  <c r="U1169" i="10" s="1"/>
  <c r="V1169" i="10" s="1"/>
  <c r="D1171" i="10" l="1"/>
  <c r="M1170" i="10"/>
  <c r="N1170" i="10" s="1"/>
  <c r="O1170" i="10" s="1"/>
  <c r="P1170" i="10" s="1"/>
  <c r="Q1170" i="10" s="1"/>
  <c r="R1170" i="10" s="1"/>
  <c r="S1170" i="10" s="1"/>
  <c r="T1170" i="10" s="1"/>
  <c r="U1170" i="10" s="1"/>
  <c r="V1170" i="10" s="1"/>
  <c r="D1172" i="10" l="1"/>
  <c r="M1171" i="10"/>
  <c r="N1171" i="10" s="1"/>
  <c r="O1171" i="10" s="1"/>
  <c r="P1171" i="10" s="1"/>
  <c r="Q1171" i="10" s="1"/>
  <c r="R1171" i="10" s="1"/>
  <c r="S1171" i="10" s="1"/>
  <c r="T1171" i="10" s="1"/>
  <c r="U1171" i="10" s="1"/>
  <c r="V1171" i="10" s="1"/>
  <c r="D1173" i="10" l="1"/>
  <c r="M1172" i="10"/>
  <c r="N1172" i="10" s="1"/>
  <c r="O1172" i="10" s="1"/>
  <c r="P1172" i="10" s="1"/>
  <c r="Q1172" i="10" s="1"/>
  <c r="R1172" i="10" s="1"/>
  <c r="S1172" i="10" s="1"/>
  <c r="T1172" i="10" s="1"/>
  <c r="U1172" i="10" s="1"/>
  <c r="V1172" i="10" s="1"/>
  <c r="D1174" i="10" l="1"/>
  <c r="M1173" i="10"/>
  <c r="N1173" i="10" s="1"/>
  <c r="O1173" i="10" s="1"/>
  <c r="P1173" i="10" s="1"/>
  <c r="Q1173" i="10" s="1"/>
  <c r="R1173" i="10" s="1"/>
  <c r="S1173" i="10" s="1"/>
  <c r="T1173" i="10" s="1"/>
  <c r="U1173" i="10" s="1"/>
  <c r="V1173" i="10" s="1"/>
  <c r="D1175" i="10" l="1"/>
  <c r="M1174" i="10"/>
  <c r="N1174" i="10" s="1"/>
  <c r="O1174" i="10" s="1"/>
  <c r="P1174" i="10" s="1"/>
  <c r="Q1174" i="10" s="1"/>
  <c r="R1174" i="10" s="1"/>
  <c r="S1174" i="10" s="1"/>
  <c r="T1174" i="10" s="1"/>
  <c r="U1174" i="10" s="1"/>
  <c r="V1174" i="10" s="1"/>
  <c r="D1176" i="10" l="1"/>
  <c r="M1175" i="10"/>
  <c r="N1175" i="10" s="1"/>
  <c r="O1175" i="10" s="1"/>
  <c r="P1175" i="10" s="1"/>
  <c r="Q1175" i="10" s="1"/>
  <c r="R1175" i="10" s="1"/>
  <c r="S1175" i="10" s="1"/>
  <c r="T1175" i="10" s="1"/>
  <c r="U1175" i="10" s="1"/>
  <c r="V1175" i="10" s="1"/>
  <c r="D1177" i="10" l="1"/>
  <c r="M1176" i="10"/>
  <c r="N1176" i="10" s="1"/>
  <c r="O1176" i="10" s="1"/>
  <c r="P1176" i="10" s="1"/>
  <c r="Q1176" i="10" s="1"/>
  <c r="R1176" i="10" s="1"/>
  <c r="S1176" i="10" s="1"/>
  <c r="T1176" i="10" s="1"/>
  <c r="U1176" i="10" s="1"/>
  <c r="V1176" i="10" s="1"/>
  <c r="D1178" i="10" l="1"/>
  <c r="M1177" i="10"/>
  <c r="N1177" i="10" s="1"/>
  <c r="O1177" i="10" s="1"/>
  <c r="P1177" i="10" s="1"/>
  <c r="Q1177" i="10" s="1"/>
  <c r="R1177" i="10" s="1"/>
  <c r="S1177" i="10" s="1"/>
  <c r="T1177" i="10" s="1"/>
  <c r="U1177" i="10" s="1"/>
  <c r="V1177" i="10" s="1"/>
  <c r="D1179" i="10" l="1"/>
  <c r="M1178" i="10"/>
  <c r="N1178" i="10" s="1"/>
  <c r="O1178" i="10" s="1"/>
  <c r="P1178" i="10" s="1"/>
  <c r="Q1178" i="10" s="1"/>
  <c r="R1178" i="10" s="1"/>
  <c r="S1178" i="10" s="1"/>
  <c r="T1178" i="10" s="1"/>
  <c r="U1178" i="10" s="1"/>
  <c r="V1178" i="10" s="1"/>
  <c r="D1180" i="10" l="1"/>
  <c r="M1179" i="10"/>
  <c r="N1179" i="10" s="1"/>
  <c r="O1179" i="10" s="1"/>
  <c r="P1179" i="10" s="1"/>
  <c r="Q1179" i="10" s="1"/>
  <c r="R1179" i="10" s="1"/>
  <c r="S1179" i="10" s="1"/>
  <c r="T1179" i="10" s="1"/>
  <c r="U1179" i="10" s="1"/>
  <c r="V1179" i="10" s="1"/>
  <c r="D1181" i="10" l="1"/>
  <c r="M1180" i="10"/>
  <c r="N1180" i="10" s="1"/>
  <c r="O1180" i="10" s="1"/>
  <c r="P1180" i="10" s="1"/>
  <c r="Q1180" i="10" s="1"/>
  <c r="R1180" i="10" s="1"/>
  <c r="S1180" i="10" s="1"/>
  <c r="T1180" i="10" s="1"/>
  <c r="U1180" i="10" s="1"/>
  <c r="V1180" i="10" s="1"/>
  <c r="D1182" i="10" l="1"/>
  <c r="M1181" i="10"/>
  <c r="N1181" i="10" s="1"/>
  <c r="O1181" i="10" s="1"/>
  <c r="P1181" i="10" s="1"/>
  <c r="Q1181" i="10" s="1"/>
  <c r="R1181" i="10" s="1"/>
  <c r="S1181" i="10" s="1"/>
  <c r="T1181" i="10" s="1"/>
  <c r="U1181" i="10" s="1"/>
  <c r="V1181" i="10" s="1"/>
  <c r="D1183" i="10" l="1"/>
  <c r="M1182" i="10"/>
  <c r="N1182" i="10" s="1"/>
  <c r="O1182" i="10" s="1"/>
  <c r="P1182" i="10" s="1"/>
  <c r="Q1182" i="10" s="1"/>
  <c r="R1182" i="10" s="1"/>
  <c r="S1182" i="10" s="1"/>
  <c r="T1182" i="10" s="1"/>
  <c r="U1182" i="10" s="1"/>
  <c r="V1182" i="10" s="1"/>
  <c r="D1184" i="10" l="1"/>
  <c r="M1183" i="10"/>
  <c r="N1183" i="10" s="1"/>
  <c r="O1183" i="10" s="1"/>
  <c r="P1183" i="10" s="1"/>
  <c r="Q1183" i="10" s="1"/>
  <c r="R1183" i="10" s="1"/>
  <c r="S1183" i="10" s="1"/>
  <c r="T1183" i="10" s="1"/>
  <c r="U1183" i="10" s="1"/>
  <c r="V1183" i="10" s="1"/>
  <c r="D1185" i="10" l="1"/>
  <c r="M1184" i="10"/>
  <c r="N1184" i="10" s="1"/>
  <c r="O1184" i="10" s="1"/>
  <c r="P1184" i="10" s="1"/>
  <c r="Q1184" i="10" s="1"/>
  <c r="R1184" i="10" s="1"/>
  <c r="S1184" i="10" s="1"/>
  <c r="T1184" i="10" s="1"/>
  <c r="U1184" i="10" s="1"/>
  <c r="V1184" i="10" s="1"/>
  <c r="D1186" i="10" l="1"/>
  <c r="M1185" i="10"/>
  <c r="N1185" i="10" s="1"/>
  <c r="O1185" i="10" s="1"/>
  <c r="P1185" i="10" s="1"/>
  <c r="Q1185" i="10" s="1"/>
  <c r="R1185" i="10" s="1"/>
  <c r="S1185" i="10" s="1"/>
  <c r="T1185" i="10" s="1"/>
  <c r="U1185" i="10" s="1"/>
  <c r="V1185" i="10" s="1"/>
  <c r="D1187" i="10" l="1"/>
  <c r="M1186" i="10"/>
  <c r="N1186" i="10" s="1"/>
  <c r="O1186" i="10" s="1"/>
  <c r="P1186" i="10" s="1"/>
  <c r="Q1186" i="10" s="1"/>
  <c r="R1186" i="10" s="1"/>
  <c r="S1186" i="10" s="1"/>
  <c r="T1186" i="10" s="1"/>
  <c r="U1186" i="10" s="1"/>
  <c r="V1186" i="10" s="1"/>
  <c r="D1188" i="10" l="1"/>
  <c r="M1187" i="10"/>
  <c r="N1187" i="10" s="1"/>
  <c r="O1187" i="10" s="1"/>
  <c r="P1187" i="10" s="1"/>
  <c r="Q1187" i="10" s="1"/>
  <c r="R1187" i="10" s="1"/>
  <c r="S1187" i="10" s="1"/>
  <c r="T1187" i="10" s="1"/>
  <c r="U1187" i="10" s="1"/>
  <c r="V1187" i="10" s="1"/>
  <c r="D1189" i="10" l="1"/>
  <c r="M1188" i="10"/>
  <c r="N1188" i="10" s="1"/>
  <c r="O1188" i="10" s="1"/>
  <c r="P1188" i="10" s="1"/>
  <c r="Q1188" i="10" s="1"/>
  <c r="R1188" i="10" s="1"/>
  <c r="S1188" i="10" s="1"/>
  <c r="T1188" i="10" s="1"/>
  <c r="U1188" i="10" s="1"/>
  <c r="V1188" i="10" s="1"/>
  <c r="D1190" i="10" l="1"/>
  <c r="M1189" i="10"/>
  <c r="N1189" i="10" s="1"/>
  <c r="O1189" i="10" s="1"/>
  <c r="P1189" i="10" s="1"/>
  <c r="Q1189" i="10" s="1"/>
  <c r="R1189" i="10" s="1"/>
  <c r="S1189" i="10" s="1"/>
  <c r="T1189" i="10" s="1"/>
  <c r="U1189" i="10" s="1"/>
  <c r="V1189" i="10" s="1"/>
  <c r="D1191" i="10" l="1"/>
  <c r="M1190" i="10"/>
  <c r="N1190" i="10" s="1"/>
  <c r="O1190" i="10" s="1"/>
  <c r="P1190" i="10" s="1"/>
  <c r="Q1190" i="10" s="1"/>
  <c r="R1190" i="10" s="1"/>
  <c r="S1190" i="10" s="1"/>
  <c r="T1190" i="10" s="1"/>
  <c r="U1190" i="10" s="1"/>
  <c r="V1190" i="10" s="1"/>
  <c r="D1192" i="10" l="1"/>
  <c r="M1191" i="10"/>
  <c r="N1191" i="10" s="1"/>
  <c r="O1191" i="10" s="1"/>
  <c r="P1191" i="10" s="1"/>
  <c r="Q1191" i="10" s="1"/>
  <c r="R1191" i="10" s="1"/>
  <c r="S1191" i="10" s="1"/>
  <c r="T1191" i="10" s="1"/>
  <c r="U1191" i="10" s="1"/>
  <c r="V1191" i="10" s="1"/>
  <c r="D1193" i="10" l="1"/>
  <c r="M1192" i="10"/>
  <c r="N1192" i="10" s="1"/>
  <c r="O1192" i="10" s="1"/>
  <c r="P1192" i="10" s="1"/>
  <c r="Q1192" i="10" s="1"/>
  <c r="R1192" i="10" s="1"/>
  <c r="S1192" i="10" s="1"/>
  <c r="T1192" i="10" s="1"/>
  <c r="U1192" i="10" s="1"/>
  <c r="V1192" i="10" s="1"/>
  <c r="D1194" i="10" l="1"/>
  <c r="M1193" i="10"/>
  <c r="N1193" i="10" s="1"/>
  <c r="O1193" i="10" s="1"/>
  <c r="P1193" i="10" s="1"/>
  <c r="Q1193" i="10" s="1"/>
  <c r="R1193" i="10" s="1"/>
  <c r="S1193" i="10" s="1"/>
  <c r="T1193" i="10" s="1"/>
  <c r="U1193" i="10" s="1"/>
  <c r="V1193" i="10" s="1"/>
  <c r="D1195" i="10" l="1"/>
  <c r="M1194" i="10"/>
  <c r="N1194" i="10" s="1"/>
  <c r="O1194" i="10" s="1"/>
  <c r="P1194" i="10" s="1"/>
  <c r="Q1194" i="10" s="1"/>
  <c r="R1194" i="10" s="1"/>
  <c r="S1194" i="10" s="1"/>
  <c r="T1194" i="10" s="1"/>
  <c r="U1194" i="10" s="1"/>
  <c r="V1194" i="10" s="1"/>
  <c r="D1196" i="10" l="1"/>
  <c r="M1195" i="10"/>
  <c r="N1195" i="10" s="1"/>
  <c r="O1195" i="10" s="1"/>
  <c r="P1195" i="10" s="1"/>
  <c r="Q1195" i="10" s="1"/>
  <c r="R1195" i="10" s="1"/>
  <c r="S1195" i="10" s="1"/>
  <c r="T1195" i="10" s="1"/>
  <c r="U1195" i="10" s="1"/>
  <c r="V1195" i="10" s="1"/>
  <c r="D1197" i="10" l="1"/>
  <c r="M1196" i="10"/>
  <c r="N1196" i="10" s="1"/>
  <c r="O1196" i="10" s="1"/>
  <c r="P1196" i="10" s="1"/>
  <c r="Q1196" i="10" s="1"/>
  <c r="R1196" i="10" s="1"/>
  <c r="S1196" i="10" s="1"/>
  <c r="T1196" i="10" s="1"/>
  <c r="U1196" i="10" s="1"/>
  <c r="V1196" i="10" s="1"/>
  <c r="D1198" i="10" l="1"/>
  <c r="M1197" i="10"/>
  <c r="N1197" i="10" s="1"/>
  <c r="O1197" i="10" s="1"/>
  <c r="P1197" i="10" s="1"/>
  <c r="Q1197" i="10" s="1"/>
  <c r="R1197" i="10" s="1"/>
  <c r="S1197" i="10" s="1"/>
  <c r="T1197" i="10" s="1"/>
  <c r="U1197" i="10" s="1"/>
  <c r="V1197" i="10" s="1"/>
  <c r="D1199" i="10" l="1"/>
  <c r="M1198" i="10"/>
  <c r="N1198" i="10" s="1"/>
  <c r="O1198" i="10" s="1"/>
  <c r="P1198" i="10" s="1"/>
  <c r="Q1198" i="10" s="1"/>
  <c r="R1198" i="10" s="1"/>
  <c r="S1198" i="10" s="1"/>
  <c r="T1198" i="10" s="1"/>
  <c r="U1198" i="10" s="1"/>
  <c r="V1198" i="10" s="1"/>
  <c r="D1200" i="10" l="1"/>
  <c r="M1199" i="10"/>
  <c r="N1199" i="10" s="1"/>
  <c r="O1199" i="10" s="1"/>
  <c r="P1199" i="10" s="1"/>
  <c r="Q1199" i="10" s="1"/>
  <c r="R1199" i="10" s="1"/>
  <c r="S1199" i="10" s="1"/>
  <c r="T1199" i="10" s="1"/>
  <c r="U1199" i="10" s="1"/>
  <c r="V1199" i="10" s="1"/>
  <c r="D1201" i="10" l="1"/>
  <c r="M1200" i="10"/>
  <c r="N1200" i="10" s="1"/>
  <c r="O1200" i="10" s="1"/>
  <c r="P1200" i="10" s="1"/>
  <c r="Q1200" i="10" s="1"/>
  <c r="R1200" i="10" s="1"/>
  <c r="S1200" i="10" s="1"/>
  <c r="T1200" i="10" s="1"/>
  <c r="U1200" i="10" s="1"/>
  <c r="V1200" i="10" s="1"/>
  <c r="D1202" i="10" l="1"/>
  <c r="M1201" i="10"/>
  <c r="N1201" i="10" s="1"/>
  <c r="O1201" i="10" s="1"/>
  <c r="P1201" i="10" s="1"/>
  <c r="Q1201" i="10" s="1"/>
  <c r="R1201" i="10" s="1"/>
  <c r="S1201" i="10" s="1"/>
  <c r="T1201" i="10" s="1"/>
  <c r="U1201" i="10" s="1"/>
  <c r="V1201" i="10" s="1"/>
  <c r="D1203" i="10" l="1"/>
  <c r="M1202" i="10"/>
  <c r="N1202" i="10" s="1"/>
  <c r="O1202" i="10" s="1"/>
  <c r="P1202" i="10" s="1"/>
  <c r="Q1202" i="10" s="1"/>
  <c r="R1202" i="10" s="1"/>
  <c r="S1202" i="10" s="1"/>
  <c r="T1202" i="10" s="1"/>
  <c r="U1202" i="10" s="1"/>
  <c r="V1202" i="10" s="1"/>
  <c r="D1204" i="10" l="1"/>
  <c r="M1203" i="10"/>
  <c r="N1203" i="10" s="1"/>
  <c r="O1203" i="10" s="1"/>
  <c r="P1203" i="10" s="1"/>
  <c r="Q1203" i="10" s="1"/>
  <c r="R1203" i="10" s="1"/>
  <c r="S1203" i="10" s="1"/>
  <c r="T1203" i="10" s="1"/>
  <c r="U1203" i="10" s="1"/>
  <c r="V1203" i="10" s="1"/>
  <c r="D1205" i="10" l="1"/>
  <c r="M1204" i="10"/>
  <c r="N1204" i="10" s="1"/>
  <c r="O1204" i="10" s="1"/>
  <c r="P1204" i="10" s="1"/>
  <c r="Q1204" i="10" s="1"/>
  <c r="R1204" i="10" s="1"/>
  <c r="S1204" i="10" s="1"/>
  <c r="T1204" i="10" s="1"/>
  <c r="U1204" i="10" s="1"/>
  <c r="V1204" i="10" s="1"/>
  <c r="D1206" i="10" l="1"/>
  <c r="M1205" i="10"/>
  <c r="N1205" i="10" s="1"/>
  <c r="O1205" i="10" s="1"/>
  <c r="P1205" i="10" s="1"/>
  <c r="Q1205" i="10" s="1"/>
  <c r="R1205" i="10" s="1"/>
  <c r="S1205" i="10" s="1"/>
  <c r="T1205" i="10" s="1"/>
  <c r="U1205" i="10" s="1"/>
  <c r="V1205" i="10" s="1"/>
  <c r="D1207" i="10" l="1"/>
  <c r="M1206" i="10"/>
  <c r="N1206" i="10" s="1"/>
  <c r="O1206" i="10" s="1"/>
  <c r="P1206" i="10" s="1"/>
  <c r="Q1206" i="10" s="1"/>
  <c r="R1206" i="10" s="1"/>
  <c r="S1206" i="10" s="1"/>
  <c r="T1206" i="10" s="1"/>
  <c r="U1206" i="10" s="1"/>
  <c r="V1206" i="10" s="1"/>
  <c r="D1208" i="10" l="1"/>
  <c r="M1207" i="10"/>
  <c r="N1207" i="10" s="1"/>
  <c r="O1207" i="10" s="1"/>
  <c r="P1207" i="10" s="1"/>
  <c r="Q1207" i="10" s="1"/>
  <c r="R1207" i="10" s="1"/>
  <c r="S1207" i="10" s="1"/>
  <c r="T1207" i="10" s="1"/>
  <c r="U1207" i="10" s="1"/>
  <c r="V1207" i="10" s="1"/>
  <c r="D1209" i="10" l="1"/>
  <c r="M1208" i="10"/>
  <c r="N1208" i="10" s="1"/>
  <c r="O1208" i="10" s="1"/>
  <c r="P1208" i="10" s="1"/>
  <c r="Q1208" i="10" s="1"/>
  <c r="R1208" i="10" s="1"/>
  <c r="S1208" i="10" s="1"/>
  <c r="T1208" i="10" s="1"/>
  <c r="U1208" i="10" s="1"/>
  <c r="V1208" i="10" s="1"/>
  <c r="D1210" i="10" l="1"/>
  <c r="M1209" i="10"/>
  <c r="N1209" i="10" s="1"/>
  <c r="O1209" i="10" s="1"/>
  <c r="P1209" i="10" s="1"/>
  <c r="Q1209" i="10" s="1"/>
  <c r="R1209" i="10" s="1"/>
  <c r="S1209" i="10" s="1"/>
  <c r="T1209" i="10" s="1"/>
  <c r="U1209" i="10" s="1"/>
  <c r="V1209" i="10" s="1"/>
  <c r="D1211" i="10" l="1"/>
  <c r="M1210" i="10"/>
  <c r="N1210" i="10" s="1"/>
  <c r="O1210" i="10" s="1"/>
  <c r="P1210" i="10" s="1"/>
  <c r="Q1210" i="10" s="1"/>
  <c r="R1210" i="10" s="1"/>
  <c r="S1210" i="10" s="1"/>
  <c r="T1210" i="10" s="1"/>
  <c r="U1210" i="10" s="1"/>
  <c r="V1210" i="10" s="1"/>
  <c r="D1212" i="10" l="1"/>
  <c r="M1211" i="10"/>
  <c r="N1211" i="10" s="1"/>
  <c r="O1211" i="10" s="1"/>
  <c r="P1211" i="10" s="1"/>
  <c r="Q1211" i="10" s="1"/>
  <c r="R1211" i="10" s="1"/>
  <c r="S1211" i="10" s="1"/>
  <c r="T1211" i="10" s="1"/>
  <c r="U1211" i="10" s="1"/>
  <c r="V1211" i="10" s="1"/>
  <c r="D1213" i="10" l="1"/>
  <c r="M1212" i="10"/>
  <c r="N1212" i="10" s="1"/>
  <c r="O1212" i="10" s="1"/>
  <c r="P1212" i="10" s="1"/>
  <c r="Q1212" i="10" s="1"/>
  <c r="R1212" i="10" s="1"/>
  <c r="S1212" i="10" s="1"/>
  <c r="T1212" i="10" s="1"/>
  <c r="U1212" i="10" s="1"/>
  <c r="V1212" i="10" s="1"/>
  <c r="D1214" i="10" l="1"/>
  <c r="M1213" i="10"/>
  <c r="N1213" i="10" s="1"/>
  <c r="O1213" i="10" s="1"/>
  <c r="P1213" i="10" s="1"/>
  <c r="Q1213" i="10" s="1"/>
  <c r="R1213" i="10" s="1"/>
  <c r="S1213" i="10" s="1"/>
  <c r="T1213" i="10" s="1"/>
  <c r="U1213" i="10" s="1"/>
  <c r="V1213" i="10" s="1"/>
  <c r="D1215" i="10" l="1"/>
  <c r="M1214" i="10"/>
  <c r="N1214" i="10" s="1"/>
  <c r="O1214" i="10" s="1"/>
  <c r="P1214" i="10" s="1"/>
  <c r="Q1214" i="10" s="1"/>
  <c r="R1214" i="10" s="1"/>
  <c r="S1214" i="10" s="1"/>
  <c r="T1214" i="10" s="1"/>
  <c r="U1214" i="10" s="1"/>
  <c r="V1214" i="10" s="1"/>
  <c r="D1216" i="10" l="1"/>
  <c r="M1215" i="10"/>
  <c r="N1215" i="10" s="1"/>
  <c r="O1215" i="10" s="1"/>
  <c r="P1215" i="10" s="1"/>
  <c r="Q1215" i="10" s="1"/>
  <c r="R1215" i="10" s="1"/>
  <c r="S1215" i="10" s="1"/>
  <c r="T1215" i="10" s="1"/>
  <c r="U1215" i="10" s="1"/>
  <c r="V1215" i="10" s="1"/>
  <c r="D1217" i="10" l="1"/>
  <c r="M1216" i="10"/>
  <c r="N1216" i="10" s="1"/>
  <c r="O1216" i="10" s="1"/>
  <c r="P1216" i="10" s="1"/>
  <c r="Q1216" i="10" s="1"/>
  <c r="R1216" i="10" s="1"/>
  <c r="S1216" i="10" s="1"/>
  <c r="T1216" i="10" s="1"/>
  <c r="U1216" i="10" s="1"/>
  <c r="V1216" i="10" s="1"/>
  <c r="D1218" i="10" l="1"/>
  <c r="M1217" i="10"/>
  <c r="N1217" i="10" s="1"/>
  <c r="O1217" i="10" s="1"/>
  <c r="P1217" i="10" s="1"/>
  <c r="Q1217" i="10" s="1"/>
  <c r="R1217" i="10" s="1"/>
  <c r="S1217" i="10" s="1"/>
  <c r="T1217" i="10" s="1"/>
  <c r="U1217" i="10" s="1"/>
  <c r="V1217" i="10" s="1"/>
  <c r="D1219" i="10" l="1"/>
  <c r="M1218" i="10"/>
  <c r="N1218" i="10" s="1"/>
  <c r="O1218" i="10" s="1"/>
  <c r="P1218" i="10" s="1"/>
  <c r="Q1218" i="10" s="1"/>
  <c r="R1218" i="10" s="1"/>
  <c r="S1218" i="10" s="1"/>
  <c r="T1218" i="10" s="1"/>
  <c r="U1218" i="10" s="1"/>
  <c r="V1218" i="10" s="1"/>
  <c r="D1220" i="10" l="1"/>
  <c r="M1219" i="10"/>
  <c r="N1219" i="10" s="1"/>
  <c r="O1219" i="10" s="1"/>
  <c r="P1219" i="10" s="1"/>
  <c r="Q1219" i="10" s="1"/>
  <c r="R1219" i="10" s="1"/>
  <c r="S1219" i="10" s="1"/>
  <c r="T1219" i="10" s="1"/>
  <c r="U1219" i="10" s="1"/>
  <c r="V1219" i="10" s="1"/>
  <c r="D1221" i="10" l="1"/>
  <c r="M1220" i="10"/>
  <c r="N1220" i="10" s="1"/>
  <c r="O1220" i="10" s="1"/>
  <c r="P1220" i="10" s="1"/>
  <c r="Q1220" i="10" s="1"/>
  <c r="R1220" i="10" s="1"/>
  <c r="S1220" i="10" s="1"/>
  <c r="T1220" i="10" s="1"/>
  <c r="U1220" i="10" s="1"/>
  <c r="V1220" i="10" s="1"/>
  <c r="D1222" i="10" l="1"/>
  <c r="M1221" i="10"/>
  <c r="N1221" i="10" s="1"/>
  <c r="O1221" i="10" s="1"/>
  <c r="P1221" i="10" s="1"/>
  <c r="Q1221" i="10" s="1"/>
  <c r="R1221" i="10" s="1"/>
  <c r="S1221" i="10" s="1"/>
  <c r="T1221" i="10" s="1"/>
  <c r="U1221" i="10" s="1"/>
  <c r="V1221" i="10" s="1"/>
  <c r="D1223" i="10" l="1"/>
  <c r="M1222" i="10"/>
  <c r="N1222" i="10" s="1"/>
  <c r="O1222" i="10" s="1"/>
  <c r="P1222" i="10" s="1"/>
  <c r="Q1222" i="10" s="1"/>
  <c r="R1222" i="10" s="1"/>
  <c r="S1222" i="10" s="1"/>
  <c r="T1222" i="10" s="1"/>
  <c r="U1222" i="10" s="1"/>
  <c r="V1222" i="10" s="1"/>
  <c r="D1224" i="10" l="1"/>
  <c r="M1223" i="10"/>
  <c r="N1223" i="10" s="1"/>
  <c r="O1223" i="10" s="1"/>
  <c r="P1223" i="10" s="1"/>
  <c r="Q1223" i="10" s="1"/>
  <c r="R1223" i="10" s="1"/>
  <c r="S1223" i="10" s="1"/>
  <c r="T1223" i="10" s="1"/>
  <c r="U1223" i="10" s="1"/>
  <c r="V1223" i="10" s="1"/>
  <c r="D1225" i="10" l="1"/>
  <c r="M1224" i="10"/>
  <c r="N1224" i="10" s="1"/>
  <c r="O1224" i="10" s="1"/>
  <c r="P1224" i="10" s="1"/>
  <c r="Q1224" i="10" s="1"/>
  <c r="R1224" i="10" s="1"/>
  <c r="S1224" i="10" s="1"/>
  <c r="T1224" i="10" s="1"/>
  <c r="U1224" i="10" s="1"/>
  <c r="V1224" i="10" s="1"/>
  <c r="D1226" i="10" l="1"/>
  <c r="M1225" i="10"/>
  <c r="N1225" i="10" s="1"/>
  <c r="O1225" i="10" s="1"/>
  <c r="P1225" i="10" s="1"/>
  <c r="Q1225" i="10" s="1"/>
  <c r="R1225" i="10" s="1"/>
  <c r="S1225" i="10" s="1"/>
  <c r="T1225" i="10" s="1"/>
  <c r="U1225" i="10" s="1"/>
  <c r="V1225" i="10" s="1"/>
  <c r="D1227" i="10" l="1"/>
  <c r="M1226" i="10"/>
  <c r="N1226" i="10" s="1"/>
  <c r="O1226" i="10" s="1"/>
  <c r="P1226" i="10" s="1"/>
  <c r="Q1226" i="10" s="1"/>
  <c r="R1226" i="10" s="1"/>
  <c r="S1226" i="10" s="1"/>
  <c r="T1226" i="10" s="1"/>
  <c r="U1226" i="10" s="1"/>
  <c r="V1226" i="10" s="1"/>
  <c r="D1228" i="10" l="1"/>
  <c r="M1227" i="10"/>
  <c r="N1227" i="10" s="1"/>
  <c r="O1227" i="10" s="1"/>
  <c r="P1227" i="10" s="1"/>
  <c r="Q1227" i="10" s="1"/>
  <c r="R1227" i="10" s="1"/>
  <c r="S1227" i="10" s="1"/>
  <c r="T1227" i="10" s="1"/>
  <c r="U1227" i="10" s="1"/>
  <c r="V1227" i="10" s="1"/>
  <c r="D1229" i="10" l="1"/>
  <c r="M1228" i="10"/>
  <c r="N1228" i="10" s="1"/>
  <c r="O1228" i="10" s="1"/>
  <c r="P1228" i="10" s="1"/>
  <c r="Q1228" i="10" s="1"/>
  <c r="R1228" i="10" s="1"/>
  <c r="S1228" i="10" s="1"/>
  <c r="T1228" i="10" s="1"/>
  <c r="U1228" i="10" s="1"/>
  <c r="V1228" i="10" s="1"/>
  <c r="D1230" i="10" l="1"/>
  <c r="M1229" i="10"/>
  <c r="N1229" i="10" s="1"/>
  <c r="O1229" i="10" s="1"/>
  <c r="P1229" i="10" s="1"/>
  <c r="Q1229" i="10" s="1"/>
  <c r="R1229" i="10" s="1"/>
  <c r="S1229" i="10" s="1"/>
  <c r="T1229" i="10" s="1"/>
  <c r="U1229" i="10" s="1"/>
  <c r="V1229" i="10" s="1"/>
  <c r="D1231" i="10" l="1"/>
  <c r="M1230" i="10"/>
  <c r="N1230" i="10" s="1"/>
  <c r="O1230" i="10" s="1"/>
  <c r="P1230" i="10" s="1"/>
  <c r="Q1230" i="10" s="1"/>
  <c r="R1230" i="10" s="1"/>
  <c r="S1230" i="10" s="1"/>
  <c r="T1230" i="10" s="1"/>
  <c r="U1230" i="10" s="1"/>
  <c r="V1230" i="10" s="1"/>
  <c r="D1232" i="10" l="1"/>
  <c r="M1231" i="10"/>
  <c r="N1231" i="10" s="1"/>
  <c r="O1231" i="10" s="1"/>
  <c r="P1231" i="10" s="1"/>
  <c r="Q1231" i="10" s="1"/>
  <c r="R1231" i="10" s="1"/>
  <c r="S1231" i="10" s="1"/>
  <c r="T1231" i="10" s="1"/>
  <c r="U1231" i="10" s="1"/>
  <c r="V1231" i="10" s="1"/>
  <c r="D1233" i="10" l="1"/>
  <c r="M1232" i="10"/>
  <c r="N1232" i="10" s="1"/>
  <c r="O1232" i="10" s="1"/>
  <c r="P1232" i="10" s="1"/>
  <c r="Q1232" i="10" s="1"/>
  <c r="R1232" i="10" s="1"/>
  <c r="S1232" i="10" s="1"/>
  <c r="T1232" i="10" s="1"/>
  <c r="U1232" i="10" s="1"/>
  <c r="V1232" i="10" s="1"/>
  <c r="D1234" i="10" l="1"/>
  <c r="M1233" i="10"/>
  <c r="N1233" i="10" s="1"/>
  <c r="O1233" i="10" s="1"/>
  <c r="P1233" i="10" s="1"/>
  <c r="Q1233" i="10" s="1"/>
  <c r="R1233" i="10" s="1"/>
  <c r="S1233" i="10" s="1"/>
  <c r="T1233" i="10" s="1"/>
  <c r="U1233" i="10" s="1"/>
  <c r="V1233" i="10" s="1"/>
  <c r="D1235" i="10" l="1"/>
  <c r="M1234" i="10"/>
  <c r="N1234" i="10" s="1"/>
  <c r="O1234" i="10" s="1"/>
  <c r="P1234" i="10" s="1"/>
  <c r="Q1234" i="10" s="1"/>
  <c r="R1234" i="10" s="1"/>
  <c r="S1234" i="10" s="1"/>
  <c r="T1234" i="10" s="1"/>
  <c r="U1234" i="10" s="1"/>
  <c r="V1234" i="10" s="1"/>
  <c r="D1236" i="10" l="1"/>
  <c r="M1235" i="10"/>
  <c r="N1235" i="10" s="1"/>
  <c r="O1235" i="10" s="1"/>
  <c r="P1235" i="10" s="1"/>
  <c r="Q1235" i="10" s="1"/>
  <c r="R1235" i="10" s="1"/>
  <c r="S1235" i="10" s="1"/>
  <c r="T1235" i="10" s="1"/>
  <c r="U1235" i="10" s="1"/>
  <c r="V1235" i="10" s="1"/>
  <c r="D1237" i="10" l="1"/>
  <c r="M1236" i="10"/>
  <c r="N1236" i="10" s="1"/>
  <c r="O1236" i="10" s="1"/>
  <c r="P1236" i="10" s="1"/>
  <c r="Q1236" i="10" s="1"/>
  <c r="R1236" i="10" s="1"/>
  <c r="S1236" i="10" s="1"/>
  <c r="T1236" i="10" s="1"/>
  <c r="U1236" i="10" s="1"/>
  <c r="V1236" i="10" s="1"/>
  <c r="D1238" i="10" l="1"/>
  <c r="M1237" i="10"/>
  <c r="N1237" i="10" s="1"/>
  <c r="O1237" i="10" s="1"/>
  <c r="P1237" i="10" s="1"/>
  <c r="Q1237" i="10" s="1"/>
  <c r="R1237" i="10" s="1"/>
  <c r="S1237" i="10" s="1"/>
  <c r="T1237" i="10" s="1"/>
  <c r="U1237" i="10" s="1"/>
  <c r="V1237" i="10" s="1"/>
  <c r="D1239" i="10" l="1"/>
  <c r="M1238" i="10"/>
  <c r="N1238" i="10" s="1"/>
  <c r="O1238" i="10" s="1"/>
  <c r="P1238" i="10" s="1"/>
  <c r="Q1238" i="10" s="1"/>
  <c r="R1238" i="10" s="1"/>
  <c r="S1238" i="10" s="1"/>
  <c r="T1238" i="10" s="1"/>
  <c r="U1238" i="10" s="1"/>
  <c r="V1238" i="10" s="1"/>
  <c r="D1240" i="10" l="1"/>
  <c r="M1239" i="10"/>
  <c r="N1239" i="10" s="1"/>
  <c r="O1239" i="10" s="1"/>
  <c r="P1239" i="10" s="1"/>
  <c r="Q1239" i="10" s="1"/>
  <c r="R1239" i="10" s="1"/>
  <c r="S1239" i="10" s="1"/>
  <c r="T1239" i="10" s="1"/>
  <c r="U1239" i="10" s="1"/>
  <c r="V1239" i="10" s="1"/>
  <c r="D1241" i="10" l="1"/>
  <c r="M1240" i="10"/>
  <c r="N1240" i="10" s="1"/>
  <c r="O1240" i="10" s="1"/>
  <c r="P1240" i="10" s="1"/>
  <c r="Q1240" i="10" s="1"/>
  <c r="R1240" i="10" s="1"/>
  <c r="S1240" i="10" s="1"/>
  <c r="T1240" i="10" s="1"/>
  <c r="U1240" i="10" s="1"/>
  <c r="V1240" i="10" s="1"/>
  <c r="D1242" i="10" l="1"/>
  <c r="M1241" i="10"/>
  <c r="N1241" i="10" s="1"/>
  <c r="O1241" i="10" s="1"/>
  <c r="P1241" i="10" s="1"/>
  <c r="Q1241" i="10" s="1"/>
  <c r="R1241" i="10" s="1"/>
  <c r="S1241" i="10" s="1"/>
  <c r="T1241" i="10" s="1"/>
  <c r="U1241" i="10" s="1"/>
  <c r="V1241" i="10" s="1"/>
  <c r="D1243" i="10" l="1"/>
  <c r="M1242" i="10"/>
  <c r="N1242" i="10" s="1"/>
  <c r="O1242" i="10" s="1"/>
  <c r="P1242" i="10" s="1"/>
  <c r="Q1242" i="10" s="1"/>
  <c r="R1242" i="10" s="1"/>
  <c r="S1242" i="10" s="1"/>
  <c r="T1242" i="10" s="1"/>
  <c r="U1242" i="10" s="1"/>
  <c r="V1242" i="10" s="1"/>
  <c r="D1244" i="10" l="1"/>
  <c r="M1243" i="10"/>
  <c r="N1243" i="10" s="1"/>
  <c r="O1243" i="10" s="1"/>
  <c r="P1243" i="10" s="1"/>
  <c r="Q1243" i="10" s="1"/>
  <c r="R1243" i="10" s="1"/>
  <c r="S1243" i="10" s="1"/>
  <c r="T1243" i="10" s="1"/>
  <c r="U1243" i="10" s="1"/>
  <c r="V1243" i="10" s="1"/>
  <c r="D1245" i="10" l="1"/>
  <c r="M1244" i="10"/>
  <c r="N1244" i="10" s="1"/>
  <c r="O1244" i="10" s="1"/>
  <c r="P1244" i="10" s="1"/>
  <c r="Q1244" i="10" s="1"/>
  <c r="R1244" i="10" s="1"/>
  <c r="S1244" i="10" s="1"/>
  <c r="T1244" i="10" s="1"/>
  <c r="U1244" i="10" s="1"/>
  <c r="V1244" i="10" s="1"/>
  <c r="D1246" i="10" l="1"/>
  <c r="M1245" i="10"/>
  <c r="N1245" i="10" s="1"/>
  <c r="O1245" i="10" s="1"/>
  <c r="P1245" i="10" s="1"/>
  <c r="Q1245" i="10" s="1"/>
  <c r="R1245" i="10" s="1"/>
  <c r="S1245" i="10" s="1"/>
  <c r="T1245" i="10" s="1"/>
  <c r="U1245" i="10" s="1"/>
  <c r="V1245" i="10" s="1"/>
  <c r="D1247" i="10" l="1"/>
  <c r="M1246" i="10"/>
  <c r="N1246" i="10" s="1"/>
  <c r="O1246" i="10" s="1"/>
  <c r="P1246" i="10" s="1"/>
  <c r="Q1246" i="10" s="1"/>
  <c r="R1246" i="10" s="1"/>
  <c r="S1246" i="10" s="1"/>
  <c r="T1246" i="10" s="1"/>
  <c r="U1246" i="10" s="1"/>
  <c r="V1246" i="10" s="1"/>
  <c r="D1248" i="10" l="1"/>
  <c r="M1247" i="10"/>
  <c r="N1247" i="10" s="1"/>
  <c r="O1247" i="10" s="1"/>
  <c r="P1247" i="10" s="1"/>
  <c r="Q1247" i="10" s="1"/>
  <c r="R1247" i="10" s="1"/>
  <c r="S1247" i="10" s="1"/>
  <c r="T1247" i="10" s="1"/>
  <c r="U1247" i="10" s="1"/>
  <c r="V1247" i="10" s="1"/>
  <c r="D1249" i="10" l="1"/>
  <c r="M1248" i="10"/>
  <c r="N1248" i="10" s="1"/>
  <c r="O1248" i="10" s="1"/>
  <c r="P1248" i="10" s="1"/>
  <c r="Q1248" i="10" s="1"/>
  <c r="R1248" i="10" s="1"/>
  <c r="S1248" i="10" s="1"/>
  <c r="T1248" i="10" s="1"/>
  <c r="U1248" i="10" s="1"/>
  <c r="V1248" i="10" s="1"/>
  <c r="D1250" i="10" l="1"/>
  <c r="M1249" i="10"/>
  <c r="N1249" i="10" s="1"/>
  <c r="O1249" i="10" s="1"/>
  <c r="P1249" i="10" s="1"/>
  <c r="Q1249" i="10" s="1"/>
  <c r="R1249" i="10" s="1"/>
  <c r="S1249" i="10" s="1"/>
  <c r="T1249" i="10" s="1"/>
  <c r="U1249" i="10" s="1"/>
  <c r="V1249" i="10" s="1"/>
  <c r="D1251" i="10" l="1"/>
  <c r="M1250" i="10"/>
  <c r="N1250" i="10" s="1"/>
  <c r="O1250" i="10" s="1"/>
  <c r="P1250" i="10" s="1"/>
  <c r="Q1250" i="10" s="1"/>
  <c r="R1250" i="10" s="1"/>
  <c r="S1250" i="10" s="1"/>
  <c r="T1250" i="10" s="1"/>
  <c r="U1250" i="10" s="1"/>
  <c r="V1250" i="10" s="1"/>
  <c r="D1252" i="10" l="1"/>
  <c r="M1251" i="10"/>
  <c r="N1251" i="10" s="1"/>
  <c r="O1251" i="10" s="1"/>
  <c r="P1251" i="10" s="1"/>
  <c r="Q1251" i="10" s="1"/>
  <c r="R1251" i="10" s="1"/>
  <c r="S1251" i="10" s="1"/>
  <c r="T1251" i="10" s="1"/>
  <c r="U1251" i="10" s="1"/>
  <c r="V1251" i="10" s="1"/>
  <c r="D1253" i="10" l="1"/>
  <c r="M1252" i="10"/>
  <c r="N1252" i="10" s="1"/>
  <c r="O1252" i="10" s="1"/>
  <c r="P1252" i="10" s="1"/>
  <c r="Q1252" i="10" s="1"/>
  <c r="R1252" i="10" s="1"/>
  <c r="S1252" i="10" s="1"/>
  <c r="T1252" i="10" s="1"/>
  <c r="U1252" i="10" s="1"/>
  <c r="V1252" i="10" s="1"/>
  <c r="D1254" i="10" l="1"/>
  <c r="M1253" i="10"/>
  <c r="N1253" i="10" s="1"/>
  <c r="O1253" i="10" s="1"/>
  <c r="P1253" i="10" s="1"/>
  <c r="Q1253" i="10" s="1"/>
  <c r="R1253" i="10" s="1"/>
  <c r="S1253" i="10" s="1"/>
  <c r="T1253" i="10" s="1"/>
  <c r="U1253" i="10" s="1"/>
  <c r="V1253" i="10" s="1"/>
  <c r="D1255" i="10" l="1"/>
  <c r="M1254" i="10"/>
  <c r="N1254" i="10" s="1"/>
  <c r="O1254" i="10" s="1"/>
  <c r="P1254" i="10" s="1"/>
  <c r="Q1254" i="10" s="1"/>
  <c r="R1254" i="10" s="1"/>
  <c r="S1254" i="10" s="1"/>
  <c r="T1254" i="10" s="1"/>
  <c r="U1254" i="10" s="1"/>
  <c r="V1254" i="10" s="1"/>
  <c r="D1256" i="10" l="1"/>
  <c r="M1255" i="10"/>
  <c r="N1255" i="10" s="1"/>
  <c r="O1255" i="10" s="1"/>
  <c r="P1255" i="10" s="1"/>
  <c r="Q1255" i="10" s="1"/>
  <c r="R1255" i="10" s="1"/>
  <c r="S1255" i="10" s="1"/>
  <c r="T1255" i="10" s="1"/>
  <c r="U1255" i="10" s="1"/>
  <c r="V1255" i="10" s="1"/>
  <c r="D1257" i="10" l="1"/>
  <c r="M1256" i="10"/>
  <c r="N1256" i="10" s="1"/>
  <c r="O1256" i="10" s="1"/>
  <c r="P1256" i="10" s="1"/>
  <c r="Q1256" i="10" s="1"/>
  <c r="R1256" i="10" s="1"/>
  <c r="S1256" i="10" s="1"/>
  <c r="T1256" i="10" s="1"/>
  <c r="U1256" i="10" s="1"/>
  <c r="V1256" i="10" s="1"/>
  <c r="D1258" i="10" l="1"/>
  <c r="M1257" i="10"/>
  <c r="N1257" i="10" s="1"/>
  <c r="O1257" i="10" s="1"/>
  <c r="P1257" i="10" s="1"/>
  <c r="Q1257" i="10" s="1"/>
  <c r="R1257" i="10" s="1"/>
  <c r="S1257" i="10" s="1"/>
  <c r="T1257" i="10" s="1"/>
  <c r="U1257" i="10" s="1"/>
  <c r="V1257" i="10" s="1"/>
  <c r="D1259" i="10" l="1"/>
  <c r="M1258" i="10"/>
  <c r="N1258" i="10" s="1"/>
  <c r="O1258" i="10" s="1"/>
  <c r="P1258" i="10" s="1"/>
  <c r="Q1258" i="10" s="1"/>
  <c r="R1258" i="10" s="1"/>
  <c r="S1258" i="10" s="1"/>
  <c r="T1258" i="10" s="1"/>
  <c r="U1258" i="10" s="1"/>
  <c r="V1258" i="10" s="1"/>
  <c r="D1260" i="10" l="1"/>
  <c r="M1259" i="10"/>
  <c r="N1259" i="10" s="1"/>
  <c r="O1259" i="10" s="1"/>
  <c r="P1259" i="10" s="1"/>
  <c r="Q1259" i="10" s="1"/>
  <c r="R1259" i="10" s="1"/>
  <c r="S1259" i="10" s="1"/>
  <c r="T1259" i="10" s="1"/>
  <c r="U1259" i="10" s="1"/>
  <c r="V1259" i="10" s="1"/>
  <c r="D1261" i="10" l="1"/>
  <c r="M1260" i="10"/>
  <c r="N1260" i="10" s="1"/>
  <c r="O1260" i="10" s="1"/>
  <c r="P1260" i="10" s="1"/>
  <c r="Q1260" i="10" s="1"/>
  <c r="R1260" i="10" s="1"/>
  <c r="S1260" i="10" s="1"/>
  <c r="T1260" i="10" s="1"/>
  <c r="U1260" i="10" s="1"/>
  <c r="V1260" i="10" s="1"/>
  <c r="D1262" i="10" l="1"/>
  <c r="M1261" i="10"/>
  <c r="N1261" i="10" s="1"/>
  <c r="O1261" i="10" s="1"/>
  <c r="P1261" i="10" s="1"/>
  <c r="Q1261" i="10" s="1"/>
  <c r="R1261" i="10" s="1"/>
  <c r="S1261" i="10" s="1"/>
  <c r="T1261" i="10" s="1"/>
  <c r="U1261" i="10" s="1"/>
  <c r="V1261" i="10" s="1"/>
  <c r="D1263" i="10" l="1"/>
  <c r="M1262" i="10"/>
  <c r="N1262" i="10" s="1"/>
  <c r="O1262" i="10" s="1"/>
  <c r="P1262" i="10" s="1"/>
  <c r="Q1262" i="10" s="1"/>
  <c r="R1262" i="10" s="1"/>
  <c r="S1262" i="10" s="1"/>
  <c r="T1262" i="10" s="1"/>
  <c r="U1262" i="10" s="1"/>
  <c r="V1262" i="10" s="1"/>
  <c r="D1264" i="10" l="1"/>
  <c r="M1263" i="10"/>
  <c r="N1263" i="10" s="1"/>
  <c r="O1263" i="10" s="1"/>
  <c r="P1263" i="10" s="1"/>
  <c r="Q1263" i="10" s="1"/>
  <c r="R1263" i="10" s="1"/>
  <c r="S1263" i="10" s="1"/>
  <c r="T1263" i="10" s="1"/>
  <c r="U1263" i="10" s="1"/>
  <c r="V1263" i="10" s="1"/>
  <c r="D1265" i="10" l="1"/>
  <c r="M1264" i="10"/>
  <c r="N1264" i="10" s="1"/>
  <c r="O1264" i="10" s="1"/>
  <c r="P1264" i="10" s="1"/>
  <c r="Q1264" i="10" s="1"/>
  <c r="R1264" i="10" s="1"/>
  <c r="S1264" i="10" s="1"/>
  <c r="T1264" i="10" s="1"/>
  <c r="U1264" i="10" s="1"/>
  <c r="V1264" i="10" s="1"/>
  <c r="D1266" i="10" l="1"/>
  <c r="M1265" i="10"/>
  <c r="N1265" i="10" s="1"/>
  <c r="O1265" i="10" s="1"/>
  <c r="P1265" i="10" s="1"/>
  <c r="Q1265" i="10" s="1"/>
  <c r="R1265" i="10" s="1"/>
  <c r="S1265" i="10" s="1"/>
  <c r="T1265" i="10" s="1"/>
  <c r="U1265" i="10" s="1"/>
  <c r="V1265" i="10" s="1"/>
  <c r="D1267" i="10" l="1"/>
  <c r="M1266" i="10"/>
  <c r="N1266" i="10" s="1"/>
  <c r="O1266" i="10" s="1"/>
  <c r="P1266" i="10" s="1"/>
  <c r="Q1266" i="10" s="1"/>
  <c r="R1266" i="10" s="1"/>
  <c r="S1266" i="10" s="1"/>
  <c r="T1266" i="10" s="1"/>
  <c r="U1266" i="10" s="1"/>
  <c r="V1266" i="10" s="1"/>
  <c r="D1268" i="10" l="1"/>
  <c r="M1267" i="10"/>
  <c r="N1267" i="10" s="1"/>
  <c r="O1267" i="10" s="1"/>
  <c r="P1267" i="10" s="1"/>
  <c r="Q1267" i="10" s="1"/>
  <c r="R1267" i="10" s="1"/>
  <c r="S1267" i="10" s="1"/>
  <c r="T1267" i="10" s="1"/>
  <c r="U1267" i="10" s="1"/>
  <c r="V1267" i="10" s="1"/>
  <c r="D1269" i="10" l="1"/>
  <c r="M1268" i="10"/>
  <c r="N1268" i="10" s="1"/>
  <c r="O1268" i="10" s="1"/>
  <c r="P1268" i="10" s="1"/>
  <c r="Q1268" i="10" s="1"/>
  <c r="R1268" i="10" s="1"/>
  <c r="S1268" i="10" s="1"/>
  <c r="T1268" i="10" s="1"/>
  <c r="U1268" i="10" s="1"/>
  <c r="V1268" i="10" s="1"/>
  <c r="D1270" i="10" l="1"/>
  <c r="M1269" i="10"/>
  <c r="N1269" i="10" s="1"/>
  <c r="O1269" i="10" s="1"/>
  <c r="P1269" i="10" s="1"/>
  <c r="Q1269" i="10" s="1"/>
  <c r="R1269" i="10" s="1"/>
  <c r="S1269" i="10" s="1"/>
  <c r="T1269" i="10" s="1"/>
  <c r="U1269" i="10" s="1"/>
  <c r="V1269" i="10" s="1"/>
  <c r="D1271" i="10" l="1"/>
  <c r="M1270" i="10"/>
  <c r="N1270" i="10" s="1"/>
  <c r="O1270" i="10" s="1"/>
  <c r="P1270" i="10" s="1"/>
  <c r="Q1270" i="10" s="1"/>
  <c r="R1270" i="10" s="1"/>
  <c r="S1270" i="10" s="1"/>
  <c r="T1270" i="10" s="1"/>
  <c r="U1270" i="10" s="1"/>
  <c r="V1270" i="10" s="1"/>
  <c r="D1272" i="10" l="1"/>
  <c r="M1271" i="10"/>
  <c r="N1271" i="10" s="1"/>
  <c r="O1271" i="10" s="1"/>
  <c r="P1271" i="10" s="1"/>
  <c r="Q1271" i="10" s="1"/>
  <c r="R1271" i="10" s="1"/>
  <c r="S1271" i="10" s="1"/>
  <c r="T1271" i="10" s="1"/>
  <c r="U1271" i="10" s="1"/>
  <c r="V1271" i="10" s="1"/>
  <c r="D1273" i="10" l="1"/>
  <c r="M1272" i="10"/>
  <c r="N1272" i="10" s="1"/>
  <c r="O1272" i="10" s="1"/>
  <c r="P1272" i="10" s="1"/>
  <c r="Q1272" i="10" s="1"/>
  <c r="R1272" i="10" s="1"/>
  <c r="S1272" i="10" s="1"/>
  <c r="T1272" i="10" s="1"/>
  <c r="U1272" i="10" s="1"/>
  <c r="V1272" i="10" s="1"/>
  <c r="D1274" i="10" l="1"/>
  <c r="M1273" i="10"/>
  <c r="N1273" i="10" s="1"/>
  <c r="O1273" i="10" s="1"/>
  <c r="P1273" i="10" s="1"/>
  <c r="Q1273" i="10" s="1"/>
  <c r="R1273" i="10" s="1"/>
  <c r="S1273" i="10" s="1"/>
  <c r="T1273" i="10" s="1"/>
  <c r="U1273" i="10" s="1"/>
  <c r="V1273" i="10" s="1"/>
  <c r="D1275" i="10" l="1"/>
  <c r="M1274" i="10"/>
  <c r="N1274" i="10" s="1"/>
  <c r="O1274" i="10" s="1"/>
  <c r="P1274" i="10" s="1"/>
  <c r="Q1274" i="10" s="1"/>
  <c r="R1274" i="10" s="1"/>
  <c r="S1274" i="10" s="1"/>
  <c r="T1274" i="10" s="1"/>
  <c r="U1274" i="10" s="1"/>
  <c r="V1274" i="10" s="1"/>
  <c r="D1276" i="10" l="1"/>
  <c r="M1275" i="10"/>
  <c r="N1275" i="10" s="1"/>
  <c r="O1275" i="10" s="1"/>
  <c r="P1275" i="10" s="1"/>
  <c r="Q1275" i="10" s="1"/>
  <c r="R1275" i="10" s="1"/>
  <c r="S1275" i="10" s="1"/>
  <c r="T1275" i="10" s="1"/>
  <c r="U1275" i="10" s="1"/>
  <c r="V1275" i="10" s="1"/>
  <c r="D1277" i="10" l="1"/>
  <c r="M1276" i="10"/>
  <c r="N1276" i="10" s="1"/>
  <c r="O1276" i="10" s="1"/>
  <c r="P1276" i="10" s="1"/>
  <c r="Q1276" i="10" s="1"/>
  <c r="R1276" i="10" s="1"/>
  <c r="S1276" i="10" s="1"/>
  <c r="T1276" i="10" s="1"/>
  <c r="U1276" i="10" s="1"/>
  <c r="V1276" i="10" s="1"/>
  <c r="D1278" i="10" l="1"/>
  <c r="M1277" i="10"/>
  <c r="N1277" i="10" s="1"/>
  <c r="O1277" i="10" s="1"/>
  <c r="P1277" i="10" s="1"/>
  <c r="Q1277" i="10" s="1"/>
  <c r="R1277" i="10" s="1"/>
  <c r="S1277" i="10" s="1"/>
  <c r="T1277" i="10" s="1"/>
  <c r="U1277" i="10" s="1"/>
  <c r="V1277" i="10" s="1"/>
  <c r="D1279" i="10" l="1"/>
  <c r="M1278" i="10"/>
  <c r="N1278" i="10" s="1"/>
  <c r="O1278" i="10" s="1"/>
  <c r="P1278" i="10" s="1"/>
  <c r="Q1278" i="10" s="1"/>
  <c r="R1278" i="10" s="1"/>
  <c r="S1278" i="10" s="1"/>
  <c r="T1278" i="10" s="1"/>
  <c r="U1278" i="10" s="1"/>
  <c r="V1278" i="10" s="1"/>
  <c r="D1280" i="10" l="1"/>
  <c r="M1279" i="10"/>
  <c r="N1279" i="10" s="1"/>
  <c r="O1279" i="10" s="1"/>
  <c r="P1279" i="10" s="1"/>
  <c r="Q1279" i="10" s="1"/>
  <c r="R1279" i="10" s="1"/>
  <c r="S1279" i="10" s="1"/>
  <c r="T1279" i="10" s="1"/>
  <c r="U1279" i="10" s="1"/>
  <c r="V1279" i="10" s="1"/>
  <c r="D1281" i="10" l="1"/>
  <c r="M1280" i="10"/>
  <c r="N1280" i="10" s="1"/>
  <c r="O1280" i="10" s="1"/>
  <c r="P1280" i="10" s="1"/>
  <c r="Q1280" i="10" s="1"/>
  <c r="R1280" i="10" s="1"/>
  <c r="S1280" i="10" s="1"/>
  <c r="T1280" i="10" s="1"/>
  <c r="U1280" i="10" s="1"/>
  <c r="V1280" i="10" s="1"/>
  <c r="D1282" i="10" l="1"/>
  <c r="M1281" i="10"/>
  <c r="N1281" i="10" s="1"/>
  <c r="O1281" i="10" s="1"/>
  <c r="P1281" i="10" s="1"/>
  <c r="Q1281" i="10" s="1"/>
  <c r="R1281" i="10" s="1"/>
  <c r="S1281" i="10" s="1"/>
  <c r="T1281" i="10" s="1"/>
  <c r="U1281" i="10" s="1"/>
  <c r="V1281" i="10" s="1"/>
  <c r="D1283" i="10" l="1"/>
  <c r="M1282" i="10"/>
  <c r="N1282" i="10" s="1"/>
  <c r="O1282" i="10" s="1"/>
  <c r="P1282" i="10" s="1"/>
  <c r="Q1282" i="10" s="1"/>
  <c r="R1282" i="10" s="1"/>
  <c r="S1282" i="10" s="1"/>
  <c r="T1282" i="10" s="1"/>
  <c r="U1282" i="10" s="1"/>
  <c r="V1282" i="10" s="1"/>
  <c r="D1284" i="10" l="1"/>
  <c r="M1283" i="10"/>
  <c r="N1283" i="10" s="1"/>
  <c r="O1283" i="10" s="1"/>
  <c r="P1283" i="10" s="1"/>
  <c r="Q1283" i="10" s="1"/>
  <c r="R1283" i="10" s="1"/>
  <c r="S1283" i="10" s="1"/>
  <c r="T1283" i="10" s="1"/>
  <c r="U1283" i="10" s="1"/>
  <c r="V1283" i="10" s="1"/>
  <c r="D1285" i="10" l="1"/>
  <c r="M1284" i="10"/>
  <c r="N1284" i="10" s="1"/>
  <c r="O1284" i="10" s="1"/>
  <c r="P1284" i="10" s="1"/>
  <c r="Q1284" i="10" s="1"/>
  <c r="R1284" i="10" s="1"/>
  <c r="S1284" i="10" s="1"/>
  <c r="T1284" i="10" s="1"/>
  <c r="U1284" i="10" s="1"/>
  <c r="V1284" i="10" s="1"/>
  <c r="D1286" i="10" l="1"/>
  <c r="M1285" i="10"/>
  <c r="N1285" i="10" s="1"/>
  <c r="O1285" i="10" s="1"/>
  <c r="P1285" i="10" s="1"/>
  <c r="Q1285" i="10" s="1"/>
  <c r="R1285" i="10" s="1"/>
  <c r="S1285" i="10" s="1"/>
  <c r="T1285" i="10" s="1"/>
  <c r="U1285" i="10" s="1"/>
  <c r="V1285" i="10" s="1"/>
  <c r="D1287" i="10" l="1"/>
  <c r="M1286" i="10"/>
  <c r="N1286" i="10" s="1"/>
  <c r="O1286" i="10" s="1"/>
  <c r="P1286" i="10" s="1"/>
  <c r="Q1286" i="10" s="1"/>
  <c r="R1286" i="10" s="1"/>
  <c r="S1286" i="10" s="1"/>
  <c r="T1286" i="10" s="1"/>
  <c r="U1286" i="10" s="1"/>
  <c r="V1286" i="10" s="1"/>
  <c r="D1288" i="10" l="1"/>
  <c r="M1287" i="10"/>
  <c r="N1287" i="10" s="1"/>
  <c r="O1287" i="10" s="1"/>
  <c r="P1287" i="10" s="1"/>
  <c r="Q1287" i="10" s="1"/>
  <c r="R1287" i="10" s="1"/>
  <c r="S1287" i="10" s="1"/>
  <c r="T1287" i="10" s="1"/>
  <c r="U1287" i="10" s="1"/>
  <c r="V1287" i="10" s="1"/>
  <c r="D1289" i="10" l="1"/>
  <c r="M1288" i="10"/>
  <c r="N1288" i="10" s="1"/>
  <c r="O1288" i="10" s="1"/>
  <c r="P1288" i="10" s="1"/>
  <c r="Q1288" i="10" s="1"/>
  <c r="R1288" i="10" s="1"/>
  <c r="S1288" i="10" s="1"/>
  <c r="T1288" i="10" s="1"/>
  <c r="U1288" i="10" s="1"/>
  <c r="V1288" i="10" s="1"/>
  <c r="D1290" i="10" l="1"/>
  <c r="M1289" i="10"/>
  <c r="N1289" i="10" s="1"/>
  <c r="O1289" i="10" s="1"/>
  <c r="P1289" i="10" s="1"/>
  <c r="Q1289" i="10" s="1"/>
  <c r="R1289" i="10" s="1"/>
  <c r="S1289" i="10" s="1"/>
  <c r="T1289" i="10" s="1"/>
  <c r="U1289" i="10" s="1"/>
  <c r="V1289" i="10" s="1"/>
  <c r="D1291" i="10" l="1"/>
  <c r="M1290" i="10"/>
  <c r="N1290" i="10" s="1"/>
  <c r="O1290" i="10" s="1"/>
  <c r="P1290" i="10" s="1"/>
  <c r="Q1290" i="10" s="1"/>
  <c r="R1290" i="10" s="1"/>
  <c r="S1290" i="10" s="1"/>
  <c r="T1290" i="10" s="1"/>
  <c r="U1290" i="10" s="1"/>
  <c r="V1290" i="10" s="1"/>
  <c r="D1292" i="10" l="1"/>
  <c r="M1291" i="10"/>
  <c r="N1291" i="10" s="1"/>
  <c r="O1291" i="10" s="1"/>
  <c r="P1291" i="10" s="1"/>
  <c r="Q1291" i="10" s="1"/>
  <c r="R1291" i="10" s="1"/>
  <c r="S1291" i="10" s="1"/>
  <c r="T1291" i="10" s="1"/>
  <c r="U1291" i="10" s="1"/>
  <c r="V1291" i="10" s="1"/>
  <c r="D1293" i="10" l="1"/>
  <c r="M1292" i="10"/>
  <c r="N1292" i="10" s="1"/>
  <c r="O1292" i="10" s="1"/>
  <c r="P1292" i="10" s="1"/>
  <c r="Q1292" i="10" s="1"/>
  <c r="R1292" i="10" s="1"/>
  <c r="S1292" i="10" s="1"/>
  <c r="T1292" i="10" s="1"/>
  <c r="U1292" i="10" s="1"/>
  <c r="V1292" i="10" s="1"/>
  <c r="D1294" i="10" l="1"/>
  <c r="M1293" i="10"/>
  <c r="N1293" i="10" s="1"/>
  <c r="O1293" i="10" s="1"/>
  <c r="P1293" i="10" s="1"/>
  <c r="Q1293" i="10" s="1"/>
  <c r="R1293" i="10" s="1"/>
  <c r="S1293" i="10" s="1"/>
  <c r="T1293" i="10" s="1"/>
  <c r="U1293" i="10" s="1"/>
  <c r="V1293" i="10" s="1"/>
  <c r="D1295" i="10" l="1"/>
  <c r="M1294" i="10"/>
  <c r="N1294" i="10" s="1"/>
  <c r="O1294" i="10" s="1"/>
  <c r="P1294" i="10" s="1"/>
  <c r="Q1294" i="10" s="1"/>
  <c r="R1294" i="10" s="1"/>
  <c r="S1294" i="10" s="1"/>
  <c r="T1294" i="10" s="1"/>
  <c r="U1294" i="10" s="1"/>
  <c r="V1294" i="10" s="1"/>
  <c r="D1296" i="10" l="1"/>
  <c r="M1295" i="10"/>
  <c r="N1295" i="10" s="1"/>
  <c r="O1295" i="10" s="1"/>
  <c r="P1295" i="10" s="1"/>
  <c r="Q1295" i="10" s="1"/>
  <c r="R1295" i="10" s="1"/>
  <c r="S1295" i="10" s="1"/>
  <c r="T1295" i="10" s="1"/>
  <c r="U1295" i="10" s="1"/>
  <c r="V1295" i="10" s="1"/>
  <c r="D1297" i="10" l="1"/>
  <c r="M1296" i="10"/>
  <c r="N1296" i="10" s="1"/>
  <c r="O1296" i="10" s="1"/>
  <c r="P1296" i="10" s="1"/>
  <c r="Q1296" i="10" s="1"/>
  <c r="R1296" i="10" s="1"/>
  <c r="S1296" i="10" s="1"/>
  <c r="T1296" i="10" s="1"/>
  <c r="U1296" i="10" s="1"/>
  <c r="V1296" i="10" s="1"/>
  <c r="D1298" i="10" l="1"/>
  <c r="M1297" i="10"/>
  <c r="N1297" i="10" s="1"/>
  <c r="O1297" i="10" s="1"/>
  <c r="P1297" i="10" s="1"/>
  <c r="Q1297" i="10" s="1"/>
  <c r="R1297" i="10" s="1"/>
  <c r="S1297" i="10" s="1"/>
  <c r="T1297" i="10" s="1"/>
  <c r="U1297" i="10" s="1"/>
  <c r="V1297" i="10" s="1"/>
  <c r="D1299" i="10" l="1"/>
  <c r="M1298" i="10"/>
  <c r="N1298" i="10" s="1"/>
  <c r="O1298" i="10" s="1"/>
  <c r="P1298" i="10" s="1"/>
  <c r="Q1298" i="10" s="1"/>
  <c r="R1298" i="10" s="1"/>
  <c r="S1298" i="10" s="1"/>
  <c r="T1298" i="10" s="1"/>
  <c r="U1298" i="10" s="1"/>
  <c r="V1298" i="10" s="1"/>
  <c r="D1300" i="10" l="1"/>
  <c r="M1299" i="10"/>
  <c r="N1299" i="10" s="1"/>
  <c r="O1299" i="10" s="1"/>
  <c r="P1299" i="10" s="1"/>
  <c r="Q1299" i="10" s="1"/>
  <c r="R1299" i="10" s="1"/>
  <c r="S1299" i="10" s="1"/>
  <c r="T1299" i="10" s="1"/>
  <c r="U1299" i="10" s="1"/>
  <c r="V1299" i="10" s="1"/>
  <c r="D1301" i="10" l="1"/>
  <c r="M1300" i="10"/>
  <c r="N1300" i="10" s="1"/>
  <c r="O1300" i="10" s="1"/>
  <c r="P1300" i="10" s="1"/>
  <c r="Q1300" i="10" s="1"/>
  <c r="R1300" i="10" s="1"/>
  <c r="S1300" i="10" s="1"/>
  <c r="T1300" i="10" s="1"/>
  <c r="U1300" i="10" s="1"/>
  <c r="V1300" i="10" s="1"/>
  <c r="D1302" i="10" l="1"/>
  <c r="M1301" i="10"/>
  <c r="N1301" i="10" s="1"/>
  <c r="O1301" i="10" s="1"/>
  <c r="P1301" i="10" s="1"/>
  <c r="Q1301" i="10" s="1"/>
  <c r="R1301" i="10" s="1"/>
  <c r="S1301" i="10" s="1"/>
  <c r="T1301" i="10" s="1"/>
  <c r="U1301" i="10" s="1"/>
  <c r="V1301" i="10" s="1"/>
  <c r="D1303" i="10" l="1"/>
  <c r="M1302" i="10"/>
  <c r="N1302" i="10" s="1"/>
  <c r="O1302" i="10" s="1"/>
  <c r="P1302" i="10" s="1"/>
  <c r="Q1302" i="10" s="1"/>
  <c r="R1302" i="10" s="1"/>
  <c r="S1302" i="10" s="1"/>
  <c r="T1302" i="10" s="1"/>
  <c r="U1302" i="10" s="1"/>
  <c r="V1302" i="10" s="1"/>
  <c r="D1304" i="10" l="1"/>
  <c r="M1303" i="10"/>
  <c r="N1303" i="10" s="1"/>
  <c r="O1303" i="10" s="1"/>
  <c r="P1303" i="10" s="1"/>
  <c r="Q1303" i="10" s="1"/>
  <c r="R1303" i="10" s="1"/>
  <c r="S1303" i="10" s="1"/>
  <c r="T1303" i="10" s="1"/>
  <c r="U1303" i="10" s="1"/>
  <c r="V1303" i="10" s="1"/>
  <c r="D1305" i="10" l="1"/>
  <c r="M1304" i="10"/>
  <c r="N1304" i="10" s="1"/>
  <c r="O1304" i="10" s="1"/>
  <c r="P1304" i="10" s="1"/>
  <c r="Q1304" i="10" s="1"/>
  <c r="R1304" i="10" s="1"/>
  <c r="S1304" i="10" s="1"/>
  <c r="T1304" i="10" s="1"/>
  <c r="U1304" i="10" s="1"/>
  <c r="V1304" i="10" s="1"/>
  <c r="D1306" i="10" l="1"/>
  <c r="M1305" i="10"/>
  <c r="N1305" i="10" s="1"/>
  <c r="O1305" i="10" s="1"/>
  <c r="P1305" i="10" s="1"/>
  <c r="Q1305" i="10" s="1"/>
  <c r="R1305" i="10" s="1"/>
  <c r="S1305" i="10" s="1"/>
  <c r="T1305" i="10" s="1"/>
  <c r="U1305" i="10" s="1"/>
  <c r="V1305" i="10" s="1"/>
  <c r="D1307" i="10" l="1"/>
  <c r="M1306" i="10"/>
  <c r="N1306" i="10" s="1"/>
  <c r="O1306" i="10" s="1"/>
  <c r="P1306" i="10" s="1"/>
  <c r="Q1306" i="10" s="1"/>
  <c r="R1306" i="10" s="1"/>
  <c r="S1306" i="10" s="1"/>
  <c r="T1306" i="10" s="1"/>
  <c r="U1306" i="10" s="1"/>
  <c r="V1306" i="10" s="1"/>
  <c r="D1308" i="10" l="1"/>
  <c r="M1307" i="10"/>
  <c r="N1307" i="10" s="1"/>
  <c r="O1307" i="10" s="1"/>
  <c r="P1307" i="10" s="1"/>
  <c r="Q1307" i="10" s="1"/>
  <c r="R1307" i="10" s="1"/>
  <c r="S1307" i="10" s="1"/>
  <c r="T1307" i="10" s="1"/>
  <c r="U1307" i="10" s="1"/>
  <c r="V1307" i="10" s="1"/>
  <c r="D1309" i="10" l="1"/>
  <c r="M1308" i="10"/>
  <c r="N1308" i="10" s="1"/>
  <c r="O1308" i="10" s="1"/>
  <c r="P1308" i="10" s="1"/>
  <c r="Q1308" i="10" s="1"/>
  <c r="R1308" i="10" s="1"/>
  <c r="S1308" i="10" s="1"/>
  <c r="T1308" i="10" s="1"/>
  <c r="U1308" i="10" s="1"/>
  <c r="V1308" i="10" s="1"/>
  <c r="D1310" i="10" l="1"/>
  <c r="M1309" i="10"/>
  <c r="N1309" i="10" s="1"/>
  <c r="O1309" i="10" s="1"/>
  <c r="P1309" i="10" s="1"/>
  <c r="Q1309" i="10" s="1"/>
  <c r="R1309" i="10" s="1"/>
  <c r="S1309" i="10" s="1"/>
  <c r="T1309" i="10" s="1"/>
  <c r="U1309" i="10" s="1"/>
  <c r="V1309" i="10" s="1"/>
  <c r="D1311" i="10" l="1"/>
  <c r="M1310" i="10"/>
  <c r="N1310" i="10" s="1"/>
  <c r="O1310" i="10" s="1"/>
  <c r="P1310" i="10" s="1"/>
  <c r="Q1310" i="10" s="1"/>
  <c r="R1310" i="10" s="1"/>
  <c r="S1310" i="10" s="1"/>
  <c r="T1310" i="10" s="1"/>
  <c r="U1310" i="10" s="1"/>
  <c r="V1310" i="10" s="1"/>
  <c r="D1312" i="10" l="1"/>
  <c r="M1311" i="10"/>
  <c r="N1311" i="10" s="1"/>
  <c r="O1311" i="10" s="1"/>
  <c r="P1311" i="10" s="1"/>
  <c r="Q1311" i="10" s="1"/>
  <c r="R1311" i="10" s="1"/>
  <c r="S1311" i="10" s="1"/>
  <c r="T1311" i="10" s="1"/>
  <c r="U1311" i="10" s="1"/>
  <c r="V1311" i="10" s="1"/>
  <c r="D1313" i="10" l="1"/>
  <c r="M1312" i="10"/>
  <c r="N1312" i="10" s="1"/>
  <c r="O1312" i="10" s="1"/>
  <c r="P1312" i="10" s="1"/>
  <c r="Q1312" i="10" s="1"/>
  <c r="R1312" i="10" s="1"/>
  <c r="S1312" i="10" s="1"/>
  <c r="T1312" i="10" s="1"/>
  <c r="U1312" i="10" s="1"/>
  <c r="V1312" i="10" s="1"/>
  <c r="D1314" i="10" l="1"/>
  <c r="M1313" i="10"/>
  <c r="N1313" i="10" s="1"/>
  <c r="O1313" i="10" s="1"/>
  <c r="P1313" i="10" s="1"/>
  <c r="Q1313" i="10" s="1"/>
  <c r="R1313" i="10" s="1"/>
  <c r="S1313" i="10" s="1"/>
  <c r="T1313" i="10" s="1"/>
  <c r="U1313" i="10" s="1"/>
  <c r="V1313" i="10" s="1"/>
  <c r="D1315" i="10" l="1"/>
  <c r="M1314" i="10"/>
  <c r="N1314" i="10" s="1"/>
  <c r="O1314" i="10" s="1"/>
  <c r="P1314" i="10" s="1"/>
  <c r="Q1314" i="10" s="1"/>
  <c r="R1314" i="10" s="1"/>
  <c r="S1314" i="10" s="1"/>
  <c r="T1314" i="10" s="1"/>
  <c r="U1314" i="10" s="1"/>
  <c r="V1314" i="10" s="1"/>
  <c r="D1316" i="10" l="1"/>
  <c r="M1315" i="10"/>
  <c r="N1315" i="10" s="1"/>
  <c r="O1315" i="10" s="1"/>
  <c r="P1315" i="10" s="1"/>
  <c r="Q1315" i="10" s="1"/>
  <c r="R1315" i="10" s="1"/>
  <c r="S1315" i="10" s="1"/>
  <c r="T1315" i="10" s="1"/>
  <c r="U1315" i="10" s="1"/>
  <c r="V1315" i="10" s="1"/>
  <c r="D1317" i="10" l="1"/>
  <c r="M1316" i="10"/>
  <c r="N1316" i="10" s="1"/>
  <c r="O1316" i="10" s="1"/>
  <c r="P1316" i="10" s="1"/>
  <c r="Q1316" i="10" s="1"/>
  <c r="R1316" i="10" s="1"/>
  <c r="S1316" i="10" s="1"/>
  <c r="T1316" i="10" s="1"/>
  <c r="U1316" i="10" s="1"/>
  <c r="V1316" i="10" s="1"/>
  <c r="D1318" i="10" l="1"/>
  <c r="M1317" i="10"/>
  <c r="N1317" i="10" s="1"/>
  <c r="O1317" i="10" s="1"/>
  <c r="P1317" i="10" s="1"/>
  <c r="Q1317" i="10" s="1"/>
  <c r="R1317" i="10" s="1"/>
  <c r="S1317" i="10" s="1"/>
  <c r="T1317" i="10" s="1"/>
  <c r="U1317" i="10" s="1"/>
  <c r="V1317" i="10" s="1"/>
  <c r="D1319" i="10" l="1"/>
  <c r="M1318" i="10"/>
  <c r="N1318" i="10" s="1"/>
  <c r="O1318" i="10" s="1"/>
  <c r="P1318" i="10" s="1"/>
  <c r="Q1318" i="10" s="1"/>
  <c r="R1318" i="10" s="1"/>
  <c r="S1318" i="10" s="1"/>
  <c r="T1318" i="10" s="1"/>
  <c r="U1318" i="10" s="1"/>
  <c r="V1318" i="10" s="1"/>
  <c r="D1320" i="10" l="1"/>
  <c r="M1319" i="10"/>
  <c r="N1319" i="10" s="1"/>
  <c r="O1319" i="10" s="1"/>
  <c r="P1319" i="10" s="1"/>
  <c r="Q1319" i="10" s="1"/>
  <c r="R1319" i="10" s="1"/>
  <c r="S1319" i="10" s="1"/>
  <c r="T1319" i="10" s="1"/>
  <c r="U1319" i="10" s="1"/>
  <c r="V1319" i="10" s="1"/>
  <c r="D1321" i="10" l="1"/>
  <c r="M1320" i="10"/>
  <c r="N1320" i="10" s="1"/>
  <c r="O1320" i="10" s="1"/>
  <c r="P1320" i="10" s="1"/>
  <c r="Q1320" i="10" s="1"/>
  <c r="R1320" i="10" s="1"/>
  <c r="S1320" i="10" s="1"/>
  <c r="T1320" i="10" s="1"/>
  <c r="U1320" i="10" s="1"/>
  <c r="V1320" i="10" s="1"/>
  <c r="D1322" i="10" l="1"/>
  <c r="M1321" i="10"/>
  <c r="N1321" i="10" s="1"/>
  <c r="O1321" i="10" s="1"/>
  <c r="P1321" i="10" s="1"/>
  <c r="Q1321" i="10" s="1"/>
  <c r="R1321" i="10" s="1"/>
  <c r="S1321" i="10" s="1"/>
  <c r="T1321" i="10" s="1"/>
  <c r="U1321" i="10" s="1"/>
  <c r="V1321" i="10" s="1"/>
  <c r="D1323" i="10" l="1"/>
  <c r="M1322" i="10"/>
  <c r="N1322" i="10" s="1"/>
  <c r="O1322" i="10" s="1"/>
  <c r="P1322" i="10" s="1"/>
  <c r="Q1322" i="10" s="1"/>
  <c r="R1322" i="10" s="1"/>
  <c r="S1322" i="10" s="1"/>
  <c r="T1322" i="10" s="1"/>
  <c r="U1322" i="10" s="1"/>
  <c r="V1322" i="10" s="1"/>
  <c r="D1324" i="10" l="1"/>
  <c r="M1323" i="10"/>
  <c r="N1323" i="10" s="1"/>
  <c r="O1323" i="10" s="1"/>
  <c r="P1323" i="10" s="1"/>
  <c r="Q1323" i="10" s="1"/>
  <c r="R1323" i="10" s="1"/>
  <c r="S1323" i="10" s="1"/>
  <c r="T1323" i="10" s="1"/>
  <c r="U1323" i="10" s="1"/>
  <c r="V1323" i="10" s="1"/>
  <c r="D1325" i="10" l="1"/>
  <c r="M1324" i="10"/>
  <c r="N1324" i="10" s="1"/>
  <c r="O1324" i="10" s="1"/>
  <c r="P1324" i="10" s="1"/>
  <c r="Q1324" i="10" s="1"/>
  <c r="R1324" i="10" s="1"/>
  <c r="S1324" i="10" s="1"/>
  <c r="T1324" i="10" s="1"/>
  <c r="U1324" i="10" s="1"/>
  <c r="V1324" i="10" s="1"/>
  <c r="D1326" i="10" l="1"/>
  <c r="M1325" i="10"/>
  <c r="N1325" i="10" s="1"/>
  <c r="O1325" i="10" s="1"/>
  <c r="P1325" i="10" s="1"/>
  <c r="Q1325" i="10" s="1"/>
  <c r="R1325" i="10" s="1"/>
  <c r="S1325" i="10" s="1"/>
  <c r="T1325" i="10" s="1"/>
  <c r="U1325" i="10" s="1"/>
  <c r="V1325" i="10" s="1"/>
  <c r="D1327" i="10" l="1"/>
  <c r="M1326" i="10"/>
  <c r="N1326" i="10" s="1"/>
  <c r="O1326" i="10" s="1"/>
  <c r="P1326" i="10" s="1"/>
  <c r="Q1326" i="10" s="1"/>
  <c r="R1326" i="10" s="1"/>
  <c r="S1326" i="10" s="1"/>
  <c r="T1326" i="10" s="1"/>
  <c r="U1326" i="10" s="1"/>
  <c r="V1326" i="10" s="1"/>
  <c r="D1328" i="10" l="1"/>
  <c r="M1327" i="10"/>
  <c r="N1327" i="10" s="1"/>
  <c r="O1327" i="10" s="1"/>
  <c r="P1327" i="10" s="1"/>
  <c r="Q1327" i="10" s="1"/>
  <c r="R1327" i="10" s="1"/>
  <c r="S1327" i="10" s="1"/>
  <c r="T1327" i="10" s="1"/>
  <c r="U1327" i="10" s="1"/>
  <c r="V1327" i="10" s="1"/>
  <c r="D1329" i="10" l="1"/>
  <c r="M1328" i="10"/>
  <c r="N1328" i="10" s="1"/>
  <c r="O1328" i="10" s="1"/>
  <c r="P1328" i="10" s="1"/>
  <c r="Q1328" i="10" s="1"/>
  <c r="R1328" i="10" s="1"/>
  <c r="S1328" i="10" s="1"/>
  <c r="T1328" i="10" s="1"/>
  <c r="U1328" i="10" s="1"/>
  <c r="V1328" i="10" s="1"/>
  <c r="D1330" i="10" l="1"/>
  <c r="M1329" i="10"/>
  <c r="N1329" i="10" s="1"/>
  <c r="O1329" i="10" s="1"/>
  <c r="P1329" i="10" s="1"/>
  <c r="Q1329" i="10" s="1"/>
  <c r="R1329" i="10" s="1"/>
  <c r="S1329" i="10" s="1"/>
  <c r="T1329" i="10" s="1"/>
  <c r="U1329" i="10" s="1"/>
  <c r="V1329" i="10" s="1"/>
  <c r="D1331" i="10" l="1"/>
  <c r="M1330" i="10"/>
  <c r="N1330" i="10" s="1"/>
  <c r="O1330" i="10" s="1"/>
  <c r="P1330" i="10" s="1"/>
  <c r="Q1330" i="10" s="1"/>
  <c r="R1330" i="10" s="1"/>
  <c r="S1330" i="10" s="1"/>
  <c r="T1330" i="10" s="1"/>
  <c r="U1330" i="10" s="1"/>
  <c r="V1330" i="10" s="1"/>
  <c r="D1332" i="10" l="1"/>
  <c r="M1331" i="10"/>
  <c r="N1331" i="10" s="1"/>
  <c r="O1331" i="10" s="1"/>
  <c r="P1331" i="10" s="1"/>
  <c r="Q1331" i="10" s="1"/>
  <c r="R1331" i="10" s="1"/>
  <c r="S1331" i="10" s="1"/>
  <c r="T1331" i="10" s="1"/>
  <c r="U1331" i="10" s="1"/>
  <c r="V1331" i="10" s="1"/>
  <c r="D1333" i="10" l="1"/>
  <c r="M1332" i="10"/>
  <c r="N1332" i="10" s="1"/>
  <c r="O1332" i="10" s="1"/>
  <c r="P1332" i="10" s="1"/>
  <c r="Q1332" i="10" s="1"/>
  <c r="R1332" i="10" s="1"/>
  <c r="S1332" i="10" s="1"/>
  <c r="T1332" i="10" s="1"/>
  <c r="U1332" i="10" s="1"/>
  <c r="V1332" i="10" s="1"/>
  <c r="D1334" i="10" l="1"/>
  <c r="M1333" i="10"/>
  <c r="N1333" i="10" s="1"/>
  <c r="O1333" i="10" s="1"/>
  <c r="P1333" i="10" s="1"/>
  <c r="Q1333" i="10" s="1"/>
  <c r="R1333" i="10" s="1"/>
  <c r="S1333" i="10" s="1"/>
  <c r="T1333" i="10" s="1"/>
  <c r="U1333" i="10" s="1"/>
  <c r="V1333" i="10" s="1"/>
  <c r="D1335" i="10" l="1"/>
  <c r="M1334" i="10"/>
  <c r="N1334" i="10" s="1"/>
  <c r="O1334" i="10" s="1"/>
  <c r="P1334" i="10" s="1"/>
  <c r="Q1334" i="10" s="1"/>
  <c r="R1334" i="10" s="1"/>
  <c r="S1334" i="10" s="1"/>
  <c r="T1334" i="10" s="1"/>
  <c r="U1334" i="10" s="1"/>
  <c r="V1334" i="10" s="1"/>
  <c r="D1336" i="10" l="1"/>
  <c r="M1335" i="10"/>
  <c r="N1335" i="10" s="1"/>
  <c r="O1335" i="10" s="1"/>
  <c r="P1335" i="10" s="1"/>
  <c r="Q1335" i="10" s="1"/>
  <c r="R1335" i="10" s="1"/>
  <c r="S1335" i="10" s="1"/>
  <c r="T1335" i="10" s="1"/>
  <c r="U1335" i="10" s="1"/>
  <c r="V1335" i="10" s="1"/>
  <c r="D1337" i="10" l="1"/>
  <c r="M1336" i="10"/>
  <c r="N1336" i="10" s="1"/>
  <c r="O1336" i="10" s="1"/>
  <c r="P1336" i="10" s="1"/>
  <c r="Q1336" i="10" s="1"/>
  <c r="R1336" i="10" s="1"/>
  <c r="S1336" i="10" s="1"/>
  <c r="T1336" i="10" s="1"/>
  <c r="U1336" i="10" s="1"/>
  <c r="V1336" i="10" s="1"/>
  <c r="D1338" i="10" l="1"/>
  <c r="M1337" i="10"/>
  <c r="N1337" i="10" s="1"/>
  <c r="O1337" i="10" s="1"/>
  <c r="P1337" i="10" s="1"/>
  <c r="Q1337" i="10" s="1"/>
  <c r="R1337" i="10" s="1"/>
  <c r="S1337" i="10" s="1"/>
  <c r="T1337" i="10" s="1"/>
  <c r="U1337" i="10" s="1"/>
  <c r="V1337" i="10" s="1"/>
  <c r="D1339" i="10" l="1"/>
  <c r="M1338" i="10"/>
  <c r="N1338" i="10" s="1"/>
  <c r="O1338" i="10" s="1"/>
  <c r="P1338" i="10" s="1"/>
  <c r="Q1338" i="10" s="1"/>
  <c r="R1338" i="10" s="1"/>
  <c r="S1338" i="10" s="1"/>
  <c r="T1338" i="10" s="1"/>
  <c r="U1338" i="10" s="1"/>
  <c r="V1338" i="10" s="1"/>
  <c r="D1340" i="10" l="1"/>
  <c r="M1339" i="10"/>
  <c r="N1339" i="10" s="1"/>
  <c r="O1339" i="10" s="1"/>
  <c r="P1339" i="10" s="1"/>
  <c r="Q1339" i="10" s="1"/>
  <c r="R1339" i="10" s="1"/>
  <c r="S1339" i="10" s="1"/>
  <c r="T1339" i="10" s="1"/>
  <c r="U1339" i="10" s="1"/>
  <c r="V1339" i="10" s="1"/>
  <c r="D1341" i="10" l="1"/>
  <c r="M1340" i="10"/>
  <c r="N1340" i="10" s="1"/>
  <c r="O1340" i="10" s="1"/>
  <c r="P1340" i="10" s="1"/>
  <c r="Q1340" i="10" s="1"/>
  <c r="R1340" i="10" s="1"/>
  <c r="S1340" i="10" s="1"/>
  <c r="T1340" i="10" s="1"/>
  <c r="U1340" i="10" s="1"/>
  <c r="V1340" i="10" s="1"/>
  <c r="D1342" i="10" l="1"/>
  <c r="M1341" i="10"/>
  <c r="N1341" i="10" s="1"/>
  <c r="O1341" i="10" s="1"/>
  <c r="P1341" i="10" s="1"/>
  <c r="Q1341" i="10" s="1"/>
  <c r="R1341" i="10" s="1"/>
  <c r="S1341" i="10" s="1"/>
  <c r="T1341" i="10" s="1"/>
  <c r="U1341" i="10" s="1"/>
  <c r="V1341" i="10" s="1"/>
  <c r="D1343" i="10" l="1"/>
  <c r="M1342" i="10"/>
  <c r="N1342" i="10" s="1"/>
  <c r="O1342" i="10" s="1"/>
  <c r="P1342" i="10" s="1"/>
  <c r="Q1342" i="10" s="1"/>
  <c r="R1342" i="10" s="1"/>
  <c r="S1342" i="10" s="1"/>
  <c r="T1342" i="10" s="1"/>
  <c r="U1342" i="10" s="1"/>
  <c r="V1342" i="10" s="1"/>
  <c r="D1344" i="10" l="1"/>
  <c r="M1343" i="10"/>
  <c r="N1343" i="10" s="1"/>
  <c r="O1343" i="10" s="1"/>
  <c r="P1343" i="10" s="1"/>
  <c r="Q1343" i="10" s="1"/>
  <c r="R1343" i="10" s="1"/>
  <c r="S1343" i="10" s="1"/>
  <c r="T1343" i="10" s="1"/>
  <c r="U1343" i="10" s="1"/>
  <c r="V1343" i="10" s="1"/>
  <c r="D1345" i="10" l="1"/>
  <c r="M1344" i="10"/>
  <c r="N1344" i="10" s="1"/>
  <c r="O1344" i="10" s="1"/>
  <c r="P1344" i="10" s="1"/>
  <c r="Q1344" i="10" s="1"/>
  <c r="R1344" i="10" s="1"/>
  <c r="S1344" i="10" s="1"/>
  <c r="T1344" i="10" s="1"/>
  <c r="U1344" i="10" s="1"/>
  <c r="V1344" i="10" s="1"/>
  <c r="D1346" i="10" l="1"/>
  <c r="M1345" i="10"/>
  <c r="N1345" i="10" s="1"/>
  <c r="O1345" i="10" s="1"/>
  <c r="P1345" i="10" s="1"/>
  <c r="Q1345" i="10" s="1"/>
  <c r="R1345" i="10" s="1"/>
  <c r="S1345" i="10" s="1"/>
  <c r="T1345" i="10" s="1"/>
  <c r="U1345" i="10" s="1"/>
  <c r="V1345" i="10" s="1"/>
  <c r="D1347" i="10" l="1"/>
  <c r="M1346" i="10"/>
  <c r="N1346" i="10" s="1"/>
  <c r="O1346" i="10" s="1"/>
  <c r="P1346" i="10" s="1"/>
  <c r="Q1346" i="10" s="1"/>
  <c r="R1346" i="10" s="1"/>
  <c r="S1346" i="10" s="1"/>
  <c r="T1346" i="10" s="1"/>
  <c r="U1346" i="10" s="1"/>
  <c r="V1346" i="10" s="1"/>
  <c r="D1348" i="10" l="1"/>
  <c r="M1347" i="10"/>
  <c r="N1347" i="10" s="1"/>
  <c r="O1347" i="10" s="1"/>
  <c r="P1347" i="10" s="1"/>
  <c r="Q1347" i="10" s="1"/>
  <c r="R1347" i="10" s="1"/>
  <c r="S1347" i="10" s="1"/>
  <c r="T1347" i="10" s="1"/>
  <c r="U1347" i="10" s="1"/>
  <c r="V1347" i="10" s="1"/>
  <c r="D1349" i="10" l="1"/>
  <c r="M1348" i="10"/>
  <c r="N1348" i="10" s="1"/>
  <c r="O1348" i="10" s="1"/>
  <c r="P1348" i="10" s="1"/>
  <c r="Q1348" i="10" s="1"/>
  <c r="R1348" i="10" s="1"/>
  <c r="S1348" i="10" s="1"/>
  <c r="T1348" i="10" s="1"/>
  <c r="U1348" i="10" s="1"/>
  <c r="V1348" i="10" s="1"/>
  <c r="D1350" i="10" l="1"/>
  <c r="M1349" i="10"/>
  <c r="N1349" i="10" s="1"/>
  <c r="O1349" i="10" s="1"/>
  <c r="P1349" i="10" s="1"/>
  <c r="Q1349" i="10" s="1"/>
  <c r="R1349" i="10" s="1"/>
  <c r="S1349" i="10" s="1"/>
  <c r="T1349" i="10" s="1"/>
  <c r="U1349" i="10" s="1"/>
  <c r="V1349" i="10" s="1"/>
  <c r="D1351" i="10" l="1"/>
  <c r="M1350" i="10"/>
  <c r="N1350" i="10" s="1"/>
  <c r="O1350" i="10" s="1"/>
  <c r="P1350" i="10" s="1"/>
  <c r="Q1350" i="10" s="1"/>
  <c r="R1350" i="10" s="1"/>
  <c r="S1350" i="10" s="1"/>
  <c r="T1350" i="10" s="1"/>
  <c r="U1350" i="10" s="1"/>
  <c r="V1350" i="10" s="1"/>
  <c r="D1352" i="10" l="1"/>
  <c r="M1351" i="10"/>
  <c r="N1351" i="10" s="1"/>
  <c r="O1351" i="10" s="1"/>
  <c r="P1351" i="10" s="1"/>
  <c r="Q1351" i="10" s="1"/>
  <c r="R1351" i="10" s="1"/>
  <c r="S1351" i="10" s="1"/>
  <c r="T1351" i="10" s="1"/>
  <c r="U1351" i="10" s="1"/>
  <c r="V1351" i="10" s="1"/>
  <c r="D1353" i="10" l="1"/>
  <c r="M1352" i="10"/>
  <c r="N1352" i="10" s="1"/>
  <c r="O1352" i="10" s="1"/>
  <c r="P1352" i="10" s="1"/>
  <c r="Q1352" i="10" s="1"/>
  <c r="R1352" i="10" s="1"/>
  <c r="S1352" i="10" s="1"/>
  <c r="T1352" i="10" s="1"/>
  <c r="U1352" i="10" s="1"/>
  <c r="V1352" i="10" s="1"/>
  <c r="D1354" i="10" l="1"/>
  <c r="M1353" i="10"/>
  <c r="N1353" i="10" s="1"/>
  <c r="O1353" i="10" s="1"/>
  <c r="P1353" i="10" s="1"/>
  <c r="Q1353" i="10" s="1"/>
  <c r="R1353" i="10" s="1"/>
  <c r="S1353" i="10" s="1"/>
  <c r="T1353" i="10" s="1"/>
  <c r="U1353" i="10" s="1"/>
  <c r="V1353" i="10" s="1"/>
  <c r="D1355" i="10" l="1"/>
  <c r="M1354" i="10"/>
  <c r="N1354" i="10" s="1"/>
  <c r="O1354" i="10" s="1"/>
  <c r="P1354" i="10" s="1"/>
  <c r="Q1354" i="10" s="1"/>
  <c r="R1354" i="10" s="1"/>
  <c r="S1354" i="10" s="1"/>
  <c r="T1354" i="10" s="1"/>
  <c r="U1354" i="10" s="1"/>
  <c r="V1354" i="10" s="1"/>
  <c r="D1356" i="10" l="1"/>
  <c r="M1355" i="10"/>
  <c r="N1355" i="10" s="1"/>
  <c r="O1355" i="10" s="1"/>
  <c r="P1355" i="10" s="1"/>
  <c r="Q1355" i="10" s="1"/>
  <c r="R1355" i="10" s="1"/>
  <c r="S1355" i="10" s="1"/>
  <c r="T1355" i="10" s="1"/>
  <c r="U1355" i="10" s="1"/>
  <c r="V1355" i="10" s="1"/>
  <c r="D1357" i="10" l="1"/>
  <c r="M1356" i="10"/>
  <c r="N1356" i="10" s="1"/>
  <c r="O1356" i="10" s="1"/>
  <c r="P1356" i="10" s="1"/>
  <c r="Q1356" i="10" s="1"/>
  <c r="R1356" i="10" s="1"/>
  <c r="S1356" i="10" s="1"/>
  <c r="T1356" i="10" s="1"/>
  <c r="U1356" i="10" s="1"/>
  <c r="V1356" i="10" s="1"/>
  <c r="D1358" i="10" l="1"/>
  <c r="M1357" i="10"/>
  <c r="N1357" i="10" s="1"/>
  <c r="O1357" i="10" s="1"/>
  <c r="P1357" i="10" s="1"/>
  <c r="Q1357" i="10" s="1"/>
  <c r="R1357" i="10" s="1"/>
  <c r="S1357" i="10" s="1"/>
  <c r="T1357" i="10" s="1"/>
  <c r="U1357" i="10" s="1"/>
  <c r="V1357" i="10" s="1"/>
  <c r="D1359" i="10" l="1"/>
  <c r="M1358" i="10"/>
  <c r="N1358" i="10" s="1"/>
  <c r="O1358" i="10" s="1"/>
  <c r="P1358" i="10" s="1"/>
  <c r="Q1358" i="10" s="1"/>
  <c r="R1358" i="10" s="1"/>
  <c r="S1358" i="10" s="1"/>
  <c r="T1358" i="10" s="1"/>
  <c r="U1358" i="10" s="1"/>
  <c r="V1358" i="10" s="1"/>
  <c r="D1360" i="10" l="1"/>
  <c r="M1359" i="10"/>
  <c r="N1359" i="10" s="1"/>
  <c r="O1359" i="10" s="1"/>
  <c r="P1359" i="10" s="1"/>
  <c r="Q1359" i="10" s="1"/>
  <c r="R1359" i="10" s="1"/>
  <c r="S1359" i="10" s="1"/>
  <c r="T1359" i="10" s="1"/>
  <c r="U1359" i="10" s="1"/>
  <c r="V1359" i="10" s="1"/>
  <c r="D1361" i="10" l="1"/>
  <c r="M1360" i="10"/>
  <c r="N1360" i="10" s="1"/>
  <c r="O1360" i="10" s="1"/>
  <c r="P1360" i="10" s="1"/>
  <c r="Q1360" i="10" s="1"/>
  <c r="R1360" i="10" s="1"/>
  <c r="S1360" i="10" s="1"/>
  <c r="T1360" i="10" s="1"/>
  <c r="U1360" i="10" s="1"/>
  <c r="V1360" i="10" s="1"/>
  <c r="D1362" i="10" l="1"/>
  <c r="M1361" i="10"/>
  <c r="N1361" i="10" s="1"/>
  <c r="O1361" i="10" s="1"/>
  <c r="P1361" i="10" s="1"/>
  <c r="Q1361" i="10" s="1"/>
  <c r="R1361" i="10" s="1"/>
  <c r="S1361" i="10" s="1"/>
  <c r="T1361" i="10" s="1"/>
  <c r="U1361" i="10" s="1"/>
  <c r="V1361" i="10" s="1"/>
  <c r="D1363" i="10" l="1"/>
  <c r="M1362" i="10"/>
  <c r="N1362" i="10" s="1"/>
  <c r="O1362" i="10" s="1"/>
  <c r="P1362" i="10" s="1"/>
  <c r="Q1362" i="10" s="1"/>
  <c r="R1362" i="10" s="1"/>
  <c r="S1362" i="10" s="1"/>
  <c r="T1362" i="10" s="1"/>
  <c r="U1362" i="10" s="1"/>
  <c r="V1362" i="10" s="1"/>
  <c r="D1364" i="10" l="1"/>
  <c r="M1363" i="10"/>
  <c r="N1363" i="10" s="1"/>
  <c r="O1363" i="10" s="1"/>
  <c r="P1363" i="10" s="1"/>
  <c r="Q1363" i="10" s="1"/>
  <c r="R1363" i="10" s="1"/>
  <c r="S1363" i="10" s="1"/>
  <c r="T1363" i="10" s="1"/>
  <c r="U1363" i="10" s="1"/>
  <c r="V1363" i="10" s="1"/>
  <c r="D1365" i="10" l="1"/>
  <c r="M1364" i="10"/>
  <c r="N1364" i="10" s="1"/>
  <c r="O1364" i="10" s="1"/>
  <c r="P1364" i="10" s="1"/>
  <c r="Q1364" i="10" s="1"/>
  <c r="R1364" i="10" s="1"/>
  <c r="S1364" i="10" s="1"/>
  <c r="T1364" i="10" s="1"/>
  <c r="U1364" i="10" s="1"/>
  <c r="V1364" i="10" s="1"/>
  <c r="D1366" i="10" l="1"/>
  <c r="M1365" i="10"/>
  <c r="N1365" i="10" s="1"/>
  <c r="O1365" i="10" s="1"/>
  <c r="P1365" i="10" s="1"/>
  <c r="Q1365" i="10" s="1"/>
  <c r="R1365" i="10" s="1"/>
  <c r="S1365" i="10" s="1"/>
  <c r="T1365" i="10" s="1"/>
  <c r="U1365" i="10" s="1"/>
  <c r="V1365" i="10" s="1"/>
  <c r="D1367" i="10" l="1"/>
  <c r="M1366" i="10"/>
  <c r="N1366" i="10" s="1"/>
  <c r="O1366" i="10" s="1"/>
  <c r="P1366" i="10" s="1"/>
  <c r="Q1366" i="10" s="1"/>
  <c r="R1366" i="10" s="1"/>
  <c r="S1366" i="10" s="1"/>
  <c r="T1366" i="10" s="1"/>
  <c r="U1366" i="10" s="1"/>
  <c r="V1366" i="10" s="1"/>
  <c r="D1368" i="10" l="1"/>
  <c r="M1367" i="10"/>
  <c r="N1367" i="10" s="1"/>
  <c r="O1367" i="10" s="1"/>
  <c r="P1367" i="10" s="1"/>
  <c r="Q1367" i="10" s="1"/>
  <c r="R1367" i="10" s="1"/>
  <c r="S1367" i="10" s="1"/>
  <c r="T1367" i="10" s="1"/>
  <c r="U1367" i="10" s="1"/>
  <c r="V1367" i="10" s="1"/>
  <c r="D1369" i="10" l="1"/>
  <c r="M1368" i="10"/>
  <c r="N1368" i="10" s="1"/>
  <c r="O1368" i="10" s="1"/>
  <c r="P1368" i="10" s="1"/>
  <c r="Q1368" i="10" s="1"/>
  <c r="R1368" i="10" s="1"/>
  <c r="S1368" i="10" s="1"/>
  <c r="T1368" i="10" s="1"/>
  <c r="U1368" i="10" s="1"/>
  <c r="V1368" i="10" s="1"/>
  <c r="D1370" i="10" l="1"/>
  <c r="M1369" i="10"/>
  <c r="N1369" i="10" s="1"/>
  <c r="O1369" i="10" s="1"/>
  <c r="P1369" i="10" s="1"/>
  <c r="Q1369" i="10" s="1"/>
  <c r="R1369" i="10" s="1"/>
  <c r="S1369" i="10" s="1"/>
  <c r="T1369" i="10" s="1"/>
  <c r="U1369" i="10" s="1"/>
  <c r="V1369" i="10" s="1"/>
  <c r="D1371" i="10" l="1"/>
  <c r="M1370" i="10"/>
  <c r="N1370" i="10" s="1"/>
  <c r="O1370" i="10" s="1"/>
  <c r="P1370" i="10" s="1"/>
  <c r="Q1370" i="10" s="1"/>
  <c r="R1370" i="10" s="1"/>
  <c r="S1370" i="10" s="1"/>
  <c r="T1370" i="10" s="1"/>
  <c r="U1370" i="10" s="1"/>
  <c r="V1370" i="10" s="1"/>
  <c r="D1372" i="10" l="1"/>
  <c r="M1371" i="10"/>
  <c r="N1371" i="10" s="1"/>
  <c r="O1371" i="10" s="1"/>
  <c r="P1371" i="10" s="1"/>
  <c r="Q1371" i="10" s="1"/>
  <c r="R1371" i="10" s="1"/>
  <c r="S1371" i="10" s="1"/>
  <c r="T1371" i="10" s="1"/>
  <c r="U1371" i="10" s="1"/>
  <c r="V1371" i="10" s="1"/>
  <c r="D1373" i="10" l="1"/>
  <c r="M1372" i="10"/>
  <c r="N1372" i="10" s="1"/>
  <c r="O1372" i="10" s="1"/>
  <c r="P1372" i="10" s="1"/>
  <c r="Q1372" i="10" s="1"/>
  <c r="R1372" i="10" s="1"/>
  <c r="S1372" i="10" s="1"/>
  <c r="T1372" i="10" s="1"/>
  <c r="U1372" i="10" s="1"/>
  <c r="V1372" i="10" s="1"/>
  <c r="D1374" i="10" l="1"/>
  <c r="M1373" i="10"/>
  <c r="N1373" i="10" s="1"/>
  <c r="O1373" i="10" s="1"/>
  <c r="P1373" i="10" s="1"/>
  <c r="Q1373" i="10" s="1"/>
  <c r="R1373" i="10" s="1"/>
  <c r="S1373" i="10" s="1"/>
  <c r="T1373" i="10" s="1"/>
  <c r="U1373" i="10" s="1"/>
  <c r="V1373" i="10" s="1"/>
  <c r="D1375" i="10" l="1"/>
  <c r="M1374" i="10"/>
  <c r="N1374" i="10" s="1"/>
  <c r="O1374" i="10" s="1"/>
  <c r="P1374" i="10" s="1"/>
  <c r="Q1374" i="10" s="1"/>
  <c r="R1374" i="10" s="1"/>
  <c r="S1374" i="10" s="1"/>
  <c r="T1374" i="10" s="1"/>
  <c r="U1374" i="10" s="1"/>
  <c r="V1374" i="10" s="1"/>
  <c r="D1376" i="10" l="1"/>
  <c r="M1375" i="10"/>
  <c r="N1375" i="10" s="1"/>
  <c r="O1375" i="10" s="1"/>
  <c r="P1375" i="10" s="1"/>
  <c r="Q1375" i="10" s="1"/>
  <c r="R1375" i="10" s="1"/>
  <c r="S1375" i="10" s="1"/>
  <c r="T1375" i="10" s="1"/>
  <c r="U1375" i="10" s="1"/>
  <c r="V1375" i="10" s="1"/>
  <c r="D1377" i="10" l="1"/>
  <c r="M1376" i="10"/>
  <c r="N1376" i="10" s="1"/>
  <c r="O1376" i="10" s="1"/>
  <c r="P1376" i="10" s="1"/>
  <c r="Q1376" i="10" s="1"/>
  <c r="R1376" i="10" s="1"/>
  <c r="S1376" i="10" s="1"/>
  <c r="T1376" i="10" s="1"/>
  <c r="U1376" i="10" s="1"/>
  <c r="V1376" i="10" s="1"/>
  <c r="D1378" i="10" l="1"/>
  <c r="M1377" i="10"/>
  <c r="N1377" i="10" s="1"/>
  <c r="O1377" i="10" s="1"/>
  <c r="P1377" i="10" s="1"/>
  <c r="Q1377" i="10" s="1"/>
  <c r="R1377" i="10" s="1"/>
  <c r="S1377" i="10" s="1"/>
  <c r="T1377" i="10" s="1"/>
  <c r="U1377" i="10" s="1"/>
  <c r="V1377" i="10" s="1"/>
  <c r="D1379" i="10" l="1"/>
  <c r="M1378" i="10"/>
  <c r="N1378" i="10" s="1"/>
  <c r="O1378" i="10" s="1"/>
  <c r="P1378" i="10" s="1"/>
  <c r="Q1378" i="10" s="1"/>
  <c r="R1378" i="10" s="1"/>
  <c r="S1378" i="10" s="1"/>
  <c r="T1378" i="10" s="1"/>
  <c r="U1378" i="10" s="1"/>
  <c r="V1378" i="10" s="1"/>
  <c r="D1380" i="10" l="1"/>
  <c r="M1379" i="10"/>
  <c r="N1379" i="10" s="1"/>
  <c r="O1379" i="10" s="1"/>
  <c r="P1379" i="10" s="1"/>
  <c r="Q1379" i="10" s="1"/>
  <c r="R1379" i="10" s="1"/>
  <c r="S1379" i="10" s="1"/>
  <c r="T1379" i="10" s="1"/>
  <c r="U1379" i="10" s="1"/>
  <c r="V1379" i="10" s="1"/>
  <c r="D1381" i="10" l="1"/>
  <c r="M1380" i="10"/>
  <c r="N1380" i="10" s="1"/>
  <c r="O1380" i="10" s="1"/>
  <c r="P1380" i="10" s="1"/>
  <c r="Q1380" i="10" s="1"/>
  <c r="R1380" i="10" s="1"/>
  <c r="S1380" i="10" s="1"/>
  <c r="T1380" i="10" s="1"/>
  <c r="U1380" i="10" s="1"/>
  <c r="V1380" i="10" s="1"/>
  <c r="D1382" i="10" l="1"/>
  <c r="M1381" i="10"/>
  <c r="N1381" i="10" s="1"/>
  <c r="O1381" i="10" s="1"/>
  <c r="P1381" i="10" s="1"/>
  <c r="Q1381" i="10" s="1"/>
  <c r="R1381" i="10" s="1"/>
  <c r="S1381" i="10" s="1"/>
  <c r="T1381" i="10" s="1"/>
  <c r="U1381" i="10" s="1"/>
  <c r="V1381" i="10" s="1"/>
  <c r="D1383" i="10" l="1"/>
  <c r="M1382" i="10"/>
  <c r="N1382" i="10" s="1"/>
  <c r="O1382" i="10" s="1"/>
  <c r="P1382" i="10" s="1"/>
  <c r="Q1382" i="10" s="1"/>
  <c r="R1382" i="10" s="1"/>
  <c r="S1382" i="10" s="1"/>
  <c r="T1382" i="10" s="1"/>
  <c r="U1382" i="10" s="1"/>
  <c r="V1382" i="10" s="1"/>
  <c r="D1384" i="10" l="1"/>
  <c r="M1383" i="10"/>
  <c r="N1383" i="10" s="1"/>
  <c r="O1383" i="10" s="1"/>
  <c r="P1383" i="10" s="1"/>
  <c r="Q1383" i="10" s="1"/>
  <c r="R1383" i="10" s="1"/>
  <c r="S1383" i="10" s="1"/>
  <c r="T1383" i="10" s="1"/>
  <c r="U1383" i="10" s="1"/>
  <c r="V1383" i="10" s="1"/>
  <c r="D1385" i="10" l="1"/>
  <c r="M1384" i="10"/>
  <c r="N1384" i="10" s="1"/>
  <c r="O1384" i="10" s="1"/>
  <c r="P1384" i="10" s="1"/>
  <c r="Q1384" i="10" s="1"/>
  <c r="R1384" i="10" s="1"/>
  <c r="S1384" i="10" s="1"/>
  <c r="T1384" i="10" s="1"/>
  <c r="U1384" i="10" s="1"/>
  <c r="V1384" i="10" s="1"/>
  <c r="D1386" i="10" l="1"/>
  <c r="M1385" i="10"/>
  <c r="N1385" i="10" s="1"/>
  <c r="O1385" i="10" s="1"/>
  <c r="P1385" i="10" s="1"/>
  <c r="Q1385" i="10" s="1"/>
  <c r="R1385" i="10" s="1"/>
  <c r="S1385" i="10" s="1"/>
  <c r="T1385" i="10" s="1"/>
  <c r="U1385" i="10" s="1"/>
  <c r="V1385" i="10" s="1"/>
  <c r="D1387" i="10" l="1"/>
  <c r="M1386" i="10"/>
  <c r="N1386" i="10" s="1"/>
  <c r="O1386" i="10" s="1"/>
  <c r="P1386" i="10" s="1"/>
  <c r="Q1386" i="10" s="1"/>
  <c r="R1386" i="10" s="1"/>
  <c r="S1386" i="10" s="1"/>
  <c r="T1386" i="10" s="1"/>
  <c r="U1386" i="10" s="1"/>
  <c r="V1386" i="10" s="1"/>
  <c r="D1388" i="10" l="1"/>
  <c r="M1387" i="10"/>
  <c r="N1387" i="10" s="1"/>
  <c r="O1387" i="10" s="1"/>
  <c r="P1387" i="10" s="1"/>
  <c r="Q1387" i="10" s="1"/>
  <c r="R1387" i="10" s="1"/>
  <c r="S1387" i="10" s="1"/>
  <c r="T1387" i="10" s="1"/>
  <c r="U1387" i="10" s="1"/>
  <c r="V1387" i="10" s="1"/>
  <c r="D1389" i="10" l="1"/>
  <c r="M1388" i="10"/>
  <c r="N1388" i="10" s="1"/>
  <c r="O1388" i="10" s="1"/>
  <c r="P1388" i="10" s="1"/>
  <c r="Q1388" i="10" s="1"/>
  <c r="R1388" i="10" s="1"/>
  <c r="S1388" i="10" s="1"/>
  <c r="T1388" i="10" s="1"/>
  <c r="U1388" i="10" s="1"/>
  <c r="V1388" i="10" s="1"/>
  <c r="D1390" i="10" l="1"/>
  <c r="M1389" i="10"/>
  <c r="N1389" i="10" s="1"/>
  <c r="O1389" i="10" s="1"/>
  <c r="P1389" i="10" s="1"/>
  <c r="Q1389" i="10" s="1"/>
  <c r="R1389" i="10" s="1"/>
  <c r="S1389" i="10" s="1"/>
  <c r="T1389" i="10" s="1"/>
  <c r="U1389" i="10" s="1"/>
  <c r="V1389" i="10" s="1"/>
  <c r="D1391" i="10" l="1"/>
  <c r="M1390" i="10"/>
  <c r="N1390" i="10" s="1"/>
  <c r="O1390" i="10" s="1"/>
  <c r="P1390" i="10" s="1"/>
  <c r="Q1390" i="10" s="1"/>
  <c r="R1390" i="10" s="1"/>
  <c r="S1390" i="10" s="1"/>
  <c r="T1390" i="10" s="1"/>
  <c r="U1390" i="10" s="1"/>
  <c r="V1390" i="10" s="1"/>
  <c r="D1392" i="10" l="1"/>
  <c r="M1391" i="10"/>
  <c r="N1391" i="10" s="1"/>
  <c r="O1391" i="10" s="1"/>
  <c r="P1391" i="10" s="1"/>
  <c r="Q1391" i="10" s="1"/>
  <c r="R1391" i="10" s="1"/>
  <c r="S1391" i="10" s="1"/>
  <c r="T1391" i="10" s="1"/>
  <c r="U1391" i="10" s="1"/>
  <c r="V1391" i="10" s="1"/>
  <c r="D1393" i="10" l="1"/>
  <c r="M1392" i="10"/>
  <c r="N1392" i="10" s="1"/>
  <c r="O1392" i="10" s="1"/>
  <c r="P1392" i="10" s="1"/>
  <c r="Q1392" i="10" s="1"/>
  <c r="R1392" i="10" s="1"/>
  <c r="S1392" i="10" s="1"/>
  <c r="T1392" i="10" s="1"/>
  <c r="U1392" i="10" s="1"/>
  <c r="V1392" i="10" s="1"/>
  <c r="D1394" i="10" l="1"/>
  <c r="M1393" i="10"/>
  <c r="N1393" i="10" s="1"/>
  <c r="O1393" i="10" s="1"/>
  <c r="P1393" i="10" s="1"/>
  <c r="Q1393" i="10" s="1"/>
  <c r="R1393" i="10" s="1"/>
  <c r="S1393" i="10" s="1"/>
  <c r="T1393" i="10" s="1"/>
  <c r="U1393" i="10" s="1"/>
  <c r="V1393" i="10" s="1"/>
  <c r="D1395" i="10" l="1"/>
  <c r="M1394" i="10"/>
  <c r="N1394" i="10" s="1"/>
  <c r="O1394" i="10" s="1"/>
  <c r="P1394" i="10" s="1"/>
  <c r="Q1394" i="10" s="1"/>
  <c r="R1394" i="10" s="1"/>
  <c r="S1394" i="10" s="1"/>
  <c r="T1394" i="10" s="1"/>
  <c r="U1394" i="10" s="1"/>
  <c r="V1394" i="10" s="1"/>
  <c r="D1396" i="10" l="1"/>
  <c r="M1395" i="10"/>
  <c r="N1395" i="10" s="1"/>
  <c r="O1395" i="10" s="1"/>
  <c r="P1395" i="10" s="1"/>
  <c r="Q1395" i="10" s="1"/>
  <c r="R1395" i="10" s="1"/>
  <c r="S1395" i="10" s="1"/>
  <c r="T1395" i="10" s="1"/>
  <c r="U1395" i="10" s="1"/>
  <c r="V1395" i="10" s="1"/>
  <c r="D1397" i="10" l="1"/>
  <c r="M1396" i="10"/>
  <c r="N1396" i="10" s="1"/>
  <c r="O1396" i="10" s="1"/>
  <c r="P1396" i="10" s="1"/>
  <c r="Q1396" i="10" s="1"/>
  <c r="R1396" i="10" s="1"/>
  <c r="S1396" i="10" s="1"/>
  <c r="T1396" i="10" s="1"/>
  <c r="U1396" i="10" s="1"/>
  <c r="V1396" i="10" s="1"/>
  <c r="D1398" i="10" l="1"/>
  <c r="M1397" i="10"/>
  <c r="N1397" i="10" s="1"/>
  <c r="O1397" i="10" s="1"/>
  <c r="P1397" i="10" s="1"/>
  <c r="Q1397" i="10" s="1"/>
  <c r="R1397" i="10" s="1"/>
  <c r="S1397" i="10" s="1"/>
  <c r="T1397" i="10" s="1"/>
  <c r="U1397" i="10" s="1"/>
  <c r="V1397" i="10" s="1"/>
  <c r="D1399" i="10" l="1"/>
  <c r="M1398" i="10"/>
  <c r="N1398" i="10" s="1"/>
  <c r="O1398" i="10" s="1"/>
  <c r="P1398" i="10" s="1"/>
  <c r="Q1398" i="10" s="1"/>
  <c r="R1398" i="10" s="1"/>
  <c r="S1398" i="10" s="1"/>
  <c r="T1398" i="10" s="1"/>
  <c r="U1398" i="10" s="1"/>
  <c r="V1398" i="10" s="1"/>
  <c r="D1400" i="10" l="1"/>
  <c r="M1399" i="10"/>
  <c r="N1399" i="10" s="1"/>
  <c r="O1399" i="10" s="1"/>
  <c r="P1399" i="10" s="1"/>
  <c r="Q1399" i="10" s="1"/>
  <c r="R1399" i="10" s="1"/>
  <c r="S1399" i="10" s="1"/>
  <c r="T1399" i="10" s="1"/>
  <c r="U1399" i="10" s="1"/>
  <c r="V1399" i="10" s="1"/>
  <c r="D1401" i="10" l="1"/>
  <c r="M1400" i="10"/>
  <c r="N1400" i="10" s="1"/>
  <c r="O1400" i="10" s="1"/>
  <c r="P1400" i="10" s="1"/>
  <c r="Q1400" i="10" s="1"/>
  <c r="R1400" i="10" s="1"/>
  <c r="S1400" i="10" s="1"/>
  <c r="T1400" i="10" s="1"/>
  <c r="U1400" i="10" s="1"/>
  <c r="V1400" i="10" s="1"/>
  <c r="D1402" i="10" l="1"/>
  <c r="M1401" i="10"/>
  <c r="N1401" i="10" s="1"/>
  <c r="O1401" i="10" s="1"/>
  <c r="P1401" i="10" s="1"/>
  <c r="Q1401" i="10" s="1"/>
  <c r="R1401" i="10" s="1"/>
  <c r="S1401" i="10" s="1"/>
  <c r="T1401" i="10" s="1"/>
  <c r="U1401" i="10" s="1"/>
  <c r="V1401" i="10" s="1"/>
  <c r="D1403" i="10" l="1"/>
  <c r="M1402" i="10"/>
  <c r="N1402" i="10" s="1"/>
  <c r="O1402" i="10" s="1"/>
  <c r="P1402" i="10" s="1"/>
  <c r="Q1402" i="10" s="1"/>
  <c r="R1402" i="10" s="1"/>
  <c r="S1402" i="10" s="1"/>
  <c r="T1402" i="10" s="1"/>
  <c r="U1402" i="10" s="1"/>
  <c r="V1402" i="10" s="1"/>
  <c r="D1404" i="10" l="1"/>
  <c r="M1403" i="10"/>
  <c r="N1403" i="10" s="1"/>
  <c r="O1403" i="10" s="1"/>
  <c r="P1403" i="10" s="1"/>
  <c r="Q1403" i="10" s="1"/>
  <c r="R1403" i="10" s="1"/>
  <c r="S1403" i="10" s="1"/>
  <c r="T1403" i="10" s="1"/>
  <c r="U1403" i="10" s="1"/>
  <c r="V1403" i="10" s="1"/>
  <c r="D1405" i="10" l="1"/>
  <c r="M1404" i="10"/>
  <c r="N1404" i="10" s="1"/>
  <c r="O1404" i="10" s="1"/>
  <c r="P1404" i="10" s="1"/>
  <c r="Q1404" i="10" s="1"/>
  <c r="R1404" i="10" s="1"/>
  <c r="S1404" i="10" s="1"/>
  <c r="T1404" i="10" s="1"/>
  <c r="U1404" i="10" s="1"/>
  <c r="V1404" i="10" s="1"/>
  <c r="D1406" i="10" l="1"/>
  <c r="M1405" i="10"/>
  <c r="N1405" i="10" s="1"/>
  <c r="O1405" i="10" s="1"/>
  <c r="P1405" i="10" s="1"/>
  <c r="Q1405" i="10" s="1"/>
  <c r="R1405" i="10" s="1"/>
  <c r="S1405" i="10" s="1"/>
  <c r="T1405" i="10" s="1"/>
  <c r="U1405" i="10" s="1"/>
  <c r="V1405" i="10" s="1"/>
  <c r="D1407" i="10" l="1"/>
  <c r="M1406" i="10"/>
  <c r="N1406" i="10" s="1"/>
  <c r="O1406" i="10" s="1"/>
  <c r="P1406" i="10" s="1"/>
  <c r="Q1406" i="10" s="1"/>
  <c r="R1406" i="10" s="1"/>
  <c r="S1406" i="10" s="1"/>
  <c r="T1406" i="10" s="1"/>
  <c r="U1406" i="10" s="1"/>
  <c r="V1406" i="10" s="1"/>
  <c r="D1408" i="10" l="1"/>
  <c r="M1407" i="10"/>
  <c r="N1407" i="10" s="1"/>
  <c r="O1407" i="10" s="1"/>
  <c r="P1407" i="10" s="1"/>
  <c r="Q1407" i="10" s="1"/>
  <c r="R1407" i="10" s="1"/>
  <c r="S1407" i="10" s="1"/>
  <c r="T1407" i="10" s="1"/>
  <c r="U1407" i="10" s="1"/>
  <c r="V1407" i="10" s="1"/>
  <c r="D1409" i="10" l="1"/>
  <c r="M1408" i="10"/>
  <c r="N1408" i="10" s="1"/>
  <c r="O1408" i="10" s="1"/>
  <c r="P1408" i="10" s="1"/>
  <c r="Q1408" i="10" s="1"/>
  <c r="R1408" i="10" s="1"/>
  <c r="S1408" i="10" s="1"/>
  <c r="T1408" i="10" s="1"/>
  <c r="U1408" i="10" s="1"/>
  <c r="V1408" i="10" s="1"/>
  <c r="D1410" i="10" l="1"/>
  <c r="M1409" i="10"/>
  <c r="N1409" i="10" s="1"/>
  <c r="O1409" i="10" s="1"/>
  <c r="P1409" i="10" s="1"/>
  <c r="Q1409" i="10" s="1"/>
  <c r="R1409" i="10" s="1"/>
  <c r="S1409" i="10" s="1"/>
  <c r="T1409" i="10" s="1"/>
  <c r="U1409" i="10" s="1"/>
  <c r="V1409" i="10" s="1"/>
  <c r="D1411" i="10" l="1"/>
  <c r="M1410" i="10"/>
  <c r="N1410" i="10" s="1"/>
  <c r="O1410" i="10" s="1"/>
  <c r="P1410" i="10" s="1"/>
  <c r="Q1410" i="10" s="1"/>
  <c r="R1410" i="10" s="1"/>
  <c r="S1410" i="10" s="1"/>
  <c r="T1410" i="10" s="1"/>
  <c r="U1410" i="10" s="1"/>
  <c r="V1410" i="10" s="1"/>
  <c r="D1412" i="10" l="1"/>
  <c r="M1411" i="10"/>
  <c r="N1411" i="10" s="1"/>
  <c r="O1411" i="10" s="1"/>
  <c r="P1411" i="10" s="1"/>
  <c r="Q1411" i="10" s="1"/>
  <c r="R1411" i="10" s="1"/>
  <c r="S1411" i="10" s="1"/>
  <c r="T1411" i="10" s="1"/>
  <c r="U1411" i="10" s="1"/>
  <c r="V1411" i="10" s="1"/>
  <c r="D1413" i="10" l="1"/>
  <c r="M1412" i="10"/>
  <c r="N1412" i="10" s="1"/>
  <c r="O1412" i="10" s="1"/>
  <c r="P1412" i="10" s="1"/>
  <c r="Q1412" i="10" s="1"/>
  <c r="R1412" i="10" s="1"/>
  <c r="S1412" i="10" s="1"/>
  <c r="T1412" i="10" s="1"/>
  <c r="U1412" i="10" s="1"/>
  <c r="V1412" i="10" s="1"/>
  <c r="D1414" i="10" l="1"/>
  <c r="M1413" i="10"/>
  <c r="N1413" i="10" s="1"/>
  <c r="O1413" i="10" s="1"/>
  <c r="P1413" i="10" s="1"/>
  <c r="Q1413" i="10" s="1"/>
  <c r="R1413" i="10" s="1"/>
  <c r="S1413" i="10" s="1"/>
  <c r="T1413" i="10" s="1"/>
  <c r="U1413" i="10" s="1"/>
  <c r="V1413" i="10" s="1"/>
  <c r="D1415" i="10" l="1"/>
  <c r="M1414" i="10"/>
  <c r="N1414" i="10" s="1"/>
  <c r="O1414" i="10" s="1"/>
  <c r="P1414" i="10" s="1"/>
  <c r="Q1414" i="10" s="1"/>
  <c r="R1414" i="10" s="1"/>
  <c r="S1414" i="10" s="1"/>
  <c r="T1414" i="10" s="1"/>
  <c r="U1414" i="10" s="1"/>
  <c r="V1414" i="10" s="1"/>
  <c r="D1416" i="10" l="1"/>
  <c r="M1415" i="10"/>
  <c r="N1415" i="10" s="1"/>
  <c r="O1415" i="10" s="1"/>
  <c r="P1415" i="10" s="1"/>
  <c r="Q1415" i="10" s="1"/>
  <c r="R1415" i="10" s="1"/>
  <c r="S1415" i="10" s="1"/>
  <c r="T1415" i="10" s="1"/>
  <c r="U1415" i="10" s="1"/>
  <c r="V1415" i="10" s="1"/>
  <c r="D1417" i="10" l="1"/>
  <c r="M1416" i="10"/>
  <c r="N1416" i="10" s="1"/>
  <c r="O1416" i="10" s="1"/>
  <c r="P1416" i="10" s="1"/>
  <c r="Q1416" i="10" s="1"/>
  <c r="R1416" i="10" s="1"/>
  <c r="S1416" i="10" s="1"/>
  <c r="T1416" i="10" s="1"/>
  <c r="U1416" i="10" s="1"/>
  <c r="V1416" i="10" s="1"/>
  <c r="D1418" i="10" l="1"/>
  <c r="M1417" i="10"/>
  <c r="N1417" i="10" s="1"/>
  <c r="O1417" i="10" s="1"/>
  <c r="P1417" i="10" s="1"/>
  <c r="Q1417" i="10" s="1"/>
  <c r="R1417" i="10" s="1"/>
  <c r="S1417" i="10" s="1"/>
  <c r="T1417" i="10" s="1"/>
  <c r="U1417" i="10" s="1"/>
  <c r="V1417" i="10" s="1"/>
  <c r="D1419" i="10" l="1"/>
  <c r="M1418" i="10"/>
  <c r="N1418" i="10" s="1"/>
  <c r="O1418" i="10" s="1"/>
  <c r="P1418" i="10" s="1"/>
  <c r="Q1418" i="10" s="1"/>
  <c r="R1418" i="10" s="1"/>
  <c r="S1418" i="10" s="1"/>
  <c r="T1418" i="10" s="1"/>
  <c r="U1418" i="10" s="1"/>
  <c r="V1418" i="10" s="1"/>
  <c r="D1420" i="10" l="1"/>
  <c r="M1419" i="10"/>
  <c r="N1419" i="10" s="1"/>
  <c r="O1419" i="10" s="1"/>
  <c r="P1419" i="10" s="1"/>
  <c r="Q1419" i="10" s="1"/>
  <c r="R1419" i="10" s="1"/>
  <c r="S1419" i="10" s="1"/>
  <c r="T1419" i="10" s="1"/>
  <c r="U1419" i="10" s="1"/>
  <c r="V1419" i="10" s="1"/>
  <c r="D1421" i="10" l="1"/>
  <c r="M1420" i="10"/>
  <c r="N1420" i="10" s="1"/>
  <c r="O1420" i="10" s="1"/>
  <c r="P1420" i="10" s="1"/>
  <c r="Q1420" i="10" s="1"/>
  <c r="R1420" i="10" s="1"/>
  <c r="S1420" i="10" s="1"/>
  <c r="T1420" i="10" s="1"/>
  <c r="U1420" i="10" s="1"/>
  <c r="V1420" i="10" s="1"/>
  <c r="D1422" i="10" l="1"/>
  <c r="M1421" i="10"/>
  <c r="N1421" i="10" s="1"/>
  <c r="O1421" i="10" s="1"/>
  <c r="P1421" i="10" s="1"/>
  <c r="Q1421" i="10" s="1"/>
  <c r="R1421" i="10" s="1"/>
  <c r="S1421" i="10" s="1"/>
  <c r="T1421" i="10" s="1"/>
  <c r="U1421" i="10" s="1"/>
  <c r="V1421" i="10" s="1"/>
  <c r="D1423" i="10" l="1"/>
  <c r="M1422" i="10"/>
  <c r="N1422" i="10" s="1"/>
  <c r="O1422" i="10" s="1"/>
  <c r="P1422" i="10" s="1"/>
  <c r="Q1422" i="10" s="1"/>
  <c r="R1422" i="10" s="1"/>
  <c r="S1422" i="10" s="1"/>
  <c r="T1422" i="10" s="1"/>
  <c r="U1422" i="10" s="1"/>
  <c r="V1422" i="10" s="1"/>
  <c r="D1424" i="10" l="1"/>
  <c r="M1423" i="10"/>
  <c r="N1423" i="10" s="1"/>
  <c r="O1423" i="10" s="1"/>
  <c r="P1423" i="10" s="1"/>
  <c r="Q1423" i="10" s="1"/>
  <c r="R1423" i="10" s="1"/>
  <c r="S1423" i="10" s="1"/>
  <c r="T1423" i="10" s="1"/>
  <c r="U1423" i="10" s="1"/>
  <c r="V1423" i="10" s="1"/>
  <c r="D1425" i="10" l="1"/>
  <c r="M1424" i="10"/>
  <c r="N1424" i="10" s="1"/>
  <c r="O1424" i="10" s="1"/>
  <c r="P1424" i="10" s="1"/>
  <c r="Q1424" i="10" s="1"/>
  <c r="R1424" i="10" s="1"/>
  <c r="S1424" i="10" s="1"/>
  <c r="T1424" i="10" s="1"/>
  <c r="U1424" i="10" s="1"/>
  <c r="V1424" i="10" s="1"/>
  <c r="D1426" i="10" l="1"/>
  <c r="M1425" i="10"/>
  <c r="N1425" i="10" s="1"/>
  <c r="O1425" i="10" s="1"/>
  <c r="P1425" i="10" s="1"/>
  <c r="Q1425" i="10" s="1"/>
  <c r="R1425" i="10" s="1"/>
  <c r="S1425" i="10" s="1"/>
  <c r="T1425" i="10" s="1"/>
  <c r="U1425" i="10" s="1"/>
  <c r="V1425" i="10" s="1"/>
  <c r="D1427" i="10" l="1"/>
  <c r="M1426" i="10"/>
  <c r="N1426" i="10" s="1"/>
  <c r="O1426" i="10" s="1"/>
  <c r="P1426" i="10" s="1"/>
  <c r="Q1426" i="10" s="1"/>
  <c r="R1426" i="10" s="1"/>
  <c r="S1426" i="10" s="1"/>
  <c r="T1426" i="10" s="1"/>
  <c r="U1426" i="10" s="1"/>
  <c r="V1426" i="10" s="1"/>
  <c r="D1428" i="10" l="1"/>
  <c r="M1427" i="10"/>
  <c r="N1427" i="10" s="1"/>
  <c r="O1427" i="10" s="1"/>
  <c r="P1427" i="10" s="1"/>
  <c r="Q1427" i="10" s="1"/>
  <c r="R1427" i="10" s="1"/>
  <c r="S1427" i="10" s="1"/>
  <c r="T1427" i="10" s="1"/>
  <c r="U1427" i="10" s="1"/>
  <c r="V1427" i="10" s="1"/>
  <c r="D1429" i="10" l="1"/>
  <c r="M1428" i="10"/>
  <c r="N1428" i="10" s="1"/>
  <c r="O1428" i="10" s="1"/>
  <c r="P1428" i="10" s="1"/>
  <c r="Q1428" i="10" s="1"/>
  <c r="R1428" i="10" s="1"/>
  <c r="S1428" i="10" s="1"/>
  <c r="T1428" i="10" s="1"/>
  <c r="U1428" i="10" s="1"/>
  <c r="V1428" i="10" s="1"/>
  <c r="D1430" i="10" l="1"/>
  <c r="M1429" i="10"/>
  <c r="N1429" i="10" s="1"/>
  <c r="O1429" i="10" s="1"/>
  <c r="P1429" i="10" s="1"/>
  <c r="Q1429" i="10" s="1"/>
  <c r="R1429" i="10" s="1"/>
  <c r="S1429" i="10" s="1"/>
  <c r="T1429" i="10" s="1"/>
  <c r="U1429" i="10" s="1"/>
  <c r="V1429" i="10" s="1"/>
  <c r="D1431" i="10" l="1"/>
  <c r="M1430" i="10"/>
  <c r="N1430" i="10" s="1"/>
  <c r="O1430" i="10" s="1"/>
  <c r="P1430" i="10" s="1"/>
  <c r="Q1430" i="10" s="1"/>
  <c r="R1430" i="10" s="1"/>
  <c r="S1430" i="10" s="1"/>
  <c r="T1430" i="10" s="1"/>
  <c r="U1430" i="10" s="1"/>
  <c r="V1430" i="10" s="1"/>
  <c r="D1432" i="10" l="1"/>
  <c r="M1431" i="10"/>
  <c r="N1431" i="10" s="1"/>
  <c r="O1431" i="10" s="1"/>
  <c r="P1431" i="10" s="1"/>
  <c r="Q1431" i="10" s="1"/>
  <c r="R1431" i="10" s="1"/>
  <c r="S1431" i="10" s="1"/>
  <c r="T1431" i="10" s="1"/>
  <c r="U1431" i="10" s="1"/>
  <c r="V1431" i="10" s="1"/>
  <c r="D1433" i="10" l="1"/>
  <c r="M1432" i="10"/>
  <c r="N1432" i="10" s="1"/>
  <c r="O1432" i="10" s="1"/>
  <c r="P1432" i="10" s="1"/>
  <c r="Q1432" i="10" s="1"/>
  <c r="R1432" i="10" s="1"/>
  <c r="S1432" i="10" s="1"/>
  <c r="T1432" i="10" s="1"/>
  <c r="U1432" i="10" s="1"/>
  <c r="V1432" i="10" s="1"/>
  <c r="D1434" i="10" l="1"/>
  <c r="M1433" i="10"/>
  <c r="N1433" i="10" s="1"/>
  <c r="O1433" i="10" s="1"/>
  <c r="P1433" i="10" s="1"/>
  <c r="Q1433" i="10" s="1"/>
  <c r="R1433" i="10" s="1"/>
  <c r="S1433" i="10" s="1"/>
  <c r="T1433" i="10" s="1"/>
  <c r="U1433" i="10" s="1"/>
  <c r="V1433" i="10" s="1"/>
  <c r="D1435" i="10" l="1"/>
  <c r="M1434" i="10"/>
  <c r="N1434" i="10" s="1"/>
  <c r="O1434" i="10" s="1"/>
  <c r="P1434" i="10" s="1"/>
  <c r="Q1434" i="10" s="1"/>
  <c r="R1434" i="10" s="1"/>
  <c r="S1434" i="10" s="1"/>
  <c r="T1434" i="10" s="1"/>
  <c r="U1434" i="10" s="1"/>
  <c r="V1434" i="10" s="1"/>
  <c r="D1436" i="10" l="1"/>
  <c r="M1435" i="10"/>
  <c r="N1435" i="10" s="1"/>
  <c r="O1435" i="10" s="1"/>
  <c r="P1435" i="10" s="1"/>
  <c r="Q1435" i="10" s="1"/>
  <c r="R1435" i="10" s="1"/>
  <c r="S1435" i="10" s="1"/>
  <c r="T1435" i="10" s="1"/>
  <c r="U1435" i="10" s="1"/>
  <c r="V1435" i="10" s="1"/>
  <c r="D1437" i="10" l="1"/>
  <c r="M1436" i="10"/>
  <c r="N1436" i="10" s="1"/>
  <c r="O1436" i="10" s="1"/>
  <c r="P1436" i="10" s="1"/>
  <c r="Q1436" i="10" s="1"/>
  <c r="R1436" i="10" s="1"/>
  <c r="S1436" i="10" s="1"/>
  <c r="T1436" i="10" s="1"/>
  <c r="U1436" i="10" s="1"/>
  <c r="V1436" i="10" s="1"/>
  <c r="D1438" i="10" l="1"/>
  <c r="M1437" i="10"/>
  <c r="N1437" i="10" s="1"/>
  <c r="O1437" i="10" s="1"/>
  <c r="P1437" i="10" s="1"/>
  <c r="Q1437" i="10" s="1"/>
  <c r="R1437" i="10" s="1"/>
  <c r="S1437" i="10" s="1"/>
  <c r="T1437" i="10" s="1"/>
  <c r="U1437" i="10" s="1"/>
  <c r="V1437" i="10" s="1"/>
  <c r="D1439" i="10" l="1"/>
  <c r="M1438" i="10"/>
  <c r="N1438" i="10" s="1"/>
  <c r="O1438" i="10" s="1"/>
  <c r="P1438" i="10" s="1"/>
  <c r="Q1438" i="10" s="1"/>
  <c r="R1438" i="10" s="1"/>
  <c r="S1438" i="10" s="1"/>
  <c r="T1438" i="10" s="1"/>
  <c r="U1438" i="10" s="1"/>
  <c r="V1438" i="10" s="1"/>
  <c r="D1440" i="10" l="1"/>
  <c r="M1439" i="10"/>
  <c r="N1439" i="10" s="1"/>
  <c r="O1439" i="10" s="1"/>
  <c r="P1439" i="10" s="1"/>
  <c r="Q1439" i="10" s="1"/>
  <c r="R1439" i="10" s="1"/>
  <c r="S1439" i="10" s="1"/>
  <c r="T1439" i="10" s="1"/>
  <c r="U1439" i="10" s="1"/>
  <c r="V1439" i="10" s="1"/>
  <c r="D1441" i="10" l="1"/>
  <c r="M1440" i="10"/>
  <c r="N1440" i="10" s="1"/>
  <c r="O1440" i="10" s="1"/>
  <c r="P1440" i="10" s="1"/>
  <c r="Q1440" i="10" s="1"/>
  <c r="R1440" i="10" s="1"/>
  <c r="S1440" i="10" s="1"/>
  <c r="T1440" i="10" s="1"/>
  <c r="U1440" i="10" s="1"/>
  <c r="V1440" i="10" s="1"/>
  <c r="D1442" i="10" l="1"/>
  <c r="M1441" i="10"/>
  <c r="N1441" i="10" s="1"/>
  <c r="O1441" i="10" s="1"/>
  <c r="P1441" i="10" s="1"/>
  <c r="Q1441" i="10" s="1"/>
  <c r="R1441" i="10" s="1"/>
  <c r="S1441" i="10" s="1"/>
  <c r="T1441" i="10" s="1"/>
  <c r="U1441" i="10" s="1"/>
  <c r="V1441" i="10" s="1"/>
  <c r="D1443" i="10" l="1"/>
  <c r="M1442" i="10"/>
  <c r="N1442" i="10" s="1"/>
  <c r="O1442" i="10" s="1"/>
  <c r="P1442" i="10" s="1"/>
  <c r="Q1442" i="10" s="1"/>
  <c r="R1442" i="10" s="1"/>
  <c r="S1442" i="10" s="1"/>
  <c r="T1442" i="10" s="1"/>
  <c r="U1442" i="10" s="1"/>
  <c r="V1442" i="10" s="1"/>
  <c r="D1444" i="10" l="1"/>
  <c r="M1443" i="10"/>
  <c r="N1443" i="10" s="1"/>
  <c r="O1443" i="10" s="1"/>
  <c r="P1443" i="10" s="1"/>
  <c r="Q1443" i="10" s="1"/>
  <c r="R1443" i="10" s="1"/>
  <c r="S1443" i="10" s="1"/>
  <c r="T1443" i="10" s="1"/>
  <c r="U1443" i="10" s="1"/>
  <c r="V1443" i="10" s="1"/>
  <c r="D1445" i="10" l="1"/>
  <c r="M1444" i="10"/>
  <c r="N1444" i="10" s="1"/>
  <c r="O1444" i="10" s="1"/>
  <c r="P1444" i="10" s="1"/>
  <c r="Q1444" i="10" s="1"/>
  <c r="R1444" i="10" s="1"/>
  <c r="S1444" i="10" s="1"/>
  <c r="T1444" i="10" s="1"/>
  <c r="U1444" i="10" s="1"/>
  <c r="V1444" i="10" s="1"/>
  <c r="D1446" i="10" l="1"/>
  <c r="M1445" i="10"/>
  <c r="N1445" i="10" s="1"/>
  <c r="O1445" i="10" s="1"/>
  <c r="P1445" i="10" s="1"/>
  <c r="Q1445" i="10" s="1"/>
  <c r="R1445" i="10" s="1"/>
  <c r="S1445" i="10" s="1"/>
  <c r="T1445" i="10" s="1"/>
  <c r="U1445" i="10" s="1"/>
  <c r="V1445" i="10" s="1"/>
  <c r="D1447" i="10" l="1"/>
  <c r="M1446" i="10"/>
  <c r="N1446" i="10" s="1"/>
  <c r="O1446" i="10" s="1"/>
  <c r="P1446" i="10" s="1"/>
  <c r="Q1446" i="10" s="1"/>
  <c r="R1446" i="10" s="1"/>
  <c r="S1446" i="10" s="1"/>
  <c r="T1446" i="10" s="1"/>
  <c r="U1446" i="10" s="1"/>
  <c r="V1446" i="10" s="1"/>
  <c r="D1448" i="10" l="1"/>
  <c r="M1447" i="10"/>
  <c r="N1447" i="10" s="1"/>
  <c r="O1447" i="10" s="1"/>
  <c r="P1447" i="10" s="1"/>
  <c r="Q1447" i="10" s="1"/>
  <c r="R1447" i="10" s="1"/>
  <c r="S1447" i="10" s="1"/>
  <c r="T1447" i="10" s="1"/>
  <c r="U1447" i="10" s="1"/>
  <c r="V1447" i="10" s="1"/>
  <c r="D1449" i="10" l="1"/>
  <c r="M1448" i="10"/>
  <c r="N1448" i="10" s="1"/>
  <c r="O1448" i="10" s="1"/>
  <c r="P1448" i="10" s="1"/>
  <c r="Q1448" i="10" s="1"/>
  <c r="R1448" i="10" s="1"/>
  <c r="S1448" i="10" s="1"/>
  <c r="T1448" i="10" s="1"/>
  <c r="U1448" i="10" s="1"/>
  <c r="V1448" i="10" s="1"/>
  <c r="D1450" i="10" l="1"/>
  <c r="M1449" i="10"/>
  <c r="N1449" i="10" s="1"/>
  <c r="O1449" i="10" s="1"/>
  <c r="P1449" i="10" s="1"/>
  <c r="Q1449" i="10" s="1"/>
  <c r="R1449" i="10" s="1"/>
  <c r="S1449" i="10" s="1"/>
  <c r="T1449" i="10" s="1"/>
  <c r="U1449" i="10" s="1"/>
  <c r="V1449" i="10" s="1"/>
  <c r="D1451" i="10" l="1"/>
  <c r="M1450" i="10"/>
  <c r="N1450" i="10" s="1"/>
  <c r="O1450" i="10" s="1"/>
  <c r="P1450" i="10" s="1"/>
  <c r="Q1450" i="10" s="1"/>
  <c r="R1450" i="10" s="1"/>
  <c r="S1450" i="10" s="1"/>
  <c r="T1450" i="10" s="1"/>
  <c r="U1450" i="10" s="1"/>
  <c r="V1450" i="10" s="1"/>
  <c r="D1452" i="10" l="1"/>
  <c r="M1451" i="10"/>
  <c r="N1451" i="10" s="1"/>
  <c r="O1451" i="10" s="1"/>
  <c r="P1451" i="10" s="1"/>
  <c r="Q1451" i="10" s="1"/>
  <c r="R1451" i="10" s="1"/>
  <c r="S1451" i="10" s="1"/>
  <c r="T1451" i="10" s="1"/>
  <c r="U1451" i="10" s="1"/>
  <c r="V1451" i="10" s="1"/>
  <c r="D1453" i="10" l="1"/>
  <c r="M1452" i="10"/>
  <c r="N1452" i="10" s="1"/>
  <c r="O1452" i="10" s="1"/>
  <c r="P1452" i="10" s="1"/>
  <c r="Q1452" i="10" s="1"/>
  <c r="R1452" i="10" s="1"/>
  <c r="S1452" i="10" s="1"/>
  <c r="T1452" i="10" s="1"/>
  <c r="U1452" i="10" s="1"/>
  <c r="V1452" i="10" s="1"/>
  <c r="D1454" i="10" l="1"/>
  <c r="M1453" i="10"/>
  <c r="N1453" i="10" s="1"/>
  <c r="O1453" i="10" s="1"/>
  <c r="P1453" i="10" s="1"/>
  <c r="Q1453" i="10" s="1"/>
  <c r="R1453" i="10" s="1"/>
  <c r="S1453" i="10" s="1"/>
  <c r="T1453" i="10" s="1"/>
  <c r="U1453" i="10" s="1"/>
  <c r="V1453" i="10" s="1"/>
  <c r="D1455" i="10" l="1"/>
  <c r="M1454" i="10"/>
  <c r="N1454" i="10" s="1"/>
  <c r="O1454" i="10" s="1"/>
  <c r="P1454" i="10" s="1"/>
  <c r="Q1454" i="10" s="1"/>
  <c r="R1454" i="10" s="1"/>
  <c r="S1454" i="10" s="1"/>
  <c r="T1454" i="10" s="1"/>
  <c r="U1454" i="10" s="1"/>
  <c r="V1454" i="10" s="1"/>
  <c r="D1456" i="10" l="1"/>
  <c r="M1455" i="10"/>
  <c r="N1455" i="10" s="1"/>
  <c r="O1455" i="10" s="1"/>
  <c r="P1455" i="10" s="1"/>
  <c r="Q1455" i="10" s="1"/>
  <c r="R1455" i="10" s="1"/>
  <c r="S1455" i="10" s="1"/>
  <c r="T1455" i="10" s="1"/>
  <c r="U1455" i="10" s="1"/>
  <c r="V1455" i="10" s="1"/>
  <c r="D1457" i="10" l="1"/>
  <c r="M1456" i="10"/>
  <c r="N1456" i="10" s="1"/>
  <c r="O1456" i="10" s="1"/>
  <c r="P1456" i="10" s="1"/>
  <c r="Q1456" i="10" s="1"/>
  <c r="R1456" i="10" s="1"/>
  <c r="S1456" i="10" s="1"/>
  <c r="T1456" i="10" s="1"/>
  <c r="U1456" i="10" s="1"/>
  <c r="V1456" i="10" s="1"/>
  <c r="D1458" i="10" l="1"/>
  <c r="M1457" i="10"/>
  <c r="N1457" i="10" s="1"/>
  <c r="O1457" i="10" s="1"/>
  <c r="P1457" i="10" s="1"/>
  <c r="Q1457" i="10" s="1"/>
  <c r="R1457" i="10" s="1"/>
  <c r="S1457" i="10" s="1"/>
  <c r="T1457" i="10" s="1"/>
  <c r="U1457" i="10" s="1"/>
  <c r="V1457" i="10" s="1"/>
  <c r="D1459" i="10" l="1"/>
  <c r="M1458" i="10"/>
  <c r="N1458" i="10" s="1"/>
  <c r="O1458" i="10" s="1"/>
  <c r="P1458" i="10" s="1"/>
  <c r="Q1458" i="10" s="1"/>
  <c r="R1458" i="10" s="1"/>
  <c r="S1458" i="10" s="1"/>
  <c r="T1458" i="10" s="1"/>
  <c r="U1458" i="10" s="1"/>
  <c r="V1458" i="10" s="1"/>
  <c r="D1460" i="10" l="1"/>
  <c r="M1459" i="10"/>
  <c r="N1459" i="10" s="1"/>
  <c r="O1459" i="10" s="1"/>
  <c r="P1459" i="10" s="1"/>
  <c r="Q1459" i="10" s="1"/>
  <c r="R1459" i="10" s="1"/>
  <c r="S1459" i="10" s="1"/>
  <c r="T1459" i="10" s="1"/>
  <c r="U1459" i="10" s="1"/>
  <c r="V1459" i="10" s="1"/>
  <c r="D1461" i="10" l="1"/>
  <c r="M1460" i="10"/>
  <c r="N1460" i="10" s="1"/>
  <c r="O1460" i="10" s="1"/>
  <c r="P1460" i="10" s="1"/>
  <c r="Q1460" i="10" s="1"/>
  <c r="R1460" i="10" s="1"/>
  <c r="S1460" i="10" s="1"/>
  <c r="T1460" i="10" s="1"/>
  <c r="U1460" i="10" s="1"/>
  <c r="V1460" i="10" s="1"/>
  <c r="D1462" i="10" l="1"/>
  <c r="M1461" i="10"/>
  <c r="N1461" i="10" s="1"/>
  <c r="O1461" i="10" s="1"/>
  <c r="P1461" i="10" s="1"/>
  <c r="Q1461" i="10" s="1"/>
  <c r="R1461" i="10" s="1"/>
  <c r="S1461" i="10" s="1"/>
  <c r="T1461" i="10" s="1"/>
  <c r="U1461" i="10" s="1"/>
  <c r="V1461" i="10" s="1"/>
  <c r="D1463" i="10" l="1"/>
  <c r="M1462" i="10"/>
  <c r="N1462" i="10" s="1"/>
  <c r="O1462" i="10" s="1"/>
  <c r="P1462" i="10" s="1"/>
  <c r="Q1462" i="10" s="1"/>
  <c r="R1462" i="10" s="1"/>
  <c r="S1462" i="10" s="1"/>
  <c r="T1462" i="10" s="1"/>
  <c r="U1462" i="10" s="1"/>
  <c r="V1462" i="10" s="1"/>
  <c r="D1464" i="10" l="1"/>
  <c r="M1463" i="10"/>
  <c r="N1463" i="10" s="1"/>
  <c r="O1463" i="10" s="1"/>
  <c r="P1463" i="10" s="1"/>
  <c r="Q1463" i="10" s="1"/>
  <c r="R1463" i="10" s="1"/>
  <c r="S1463" i="10" s="1"/>
  <c r="T1463" i="10" s="1"/>
  <c r="U1463" i="10" s="1"/>
  <c r="V1463" i="10" s="1"/>
  <c r="D1465" i="10" l="1"/>
  <c r="M1464" i="10"/>
  <c r="N1464" i="10" s="1"/>
  <c r="O1464" i="10" s="1"/>
  <c r="P1464" i="10" s="1"/>
  <c r="Q1464" i="10" s="1"/>
  <c r="R1464" i="10" s="1"/>
  <c r="S1464" i="10" s="1"/>
  <c r="T1464" i="10" s="1"/>
  <c r="U1464" i="10" s="1"/>
  <c r="V1464" i="10" s="1"/>
  <c r="D1466" i="10" l="1"/>
  <c r="M1465" i="10"/>
  <c r="N1465" i="10" s="1"/>
  <c r="O1465" i="10" s="1"/>
  <c r="P1465" i="10" s="1"/>
  <c r="Q1465" i="10" s="1"/>
  <c r="R1465" i="10" s="1"/>
  <c r="S1465" i="10" s="1"/>
  <c r="T1465" i="10" s="1"/>
  <c r="U1465" i="10" s="1"/>
  <c r="V1465" i="10" s="1"/>
  <c r="D1467" i="10" l="1"/>
  <c r="M1466" i="10"/>
  <c r="N1466" i="10" s="1"/>
  <c r="O1466" i="10" s="1"/>
  <c r="P1466" i="10" s="1"/>
  <c r="Q1466" i="10" s="1"/>
  <c r="R1466" i="10" s="1"/>
  <c r="S1466" i="10" s="1"/>
  <c r="T1466" i="10" s="1"/>
  <c r="U1466" i="10" s="1"/>
  <c r="V1466" i="10" s="1"/>
  <c r="D1468" i="10" l="1"/>
  <c r="M1467" i="10"/>
  <c r="N1467" i="10" s="1"/>
  <c r="O1467" i="10" s="1"/>
  <c r="P1467" i="10" s="1"/>
  <c r="Q1467" i="10" s="1"/>
  <c r="R1467" i="10" s="1"/>
  <c r="S1467" i="10" s="1"/>
  <c r="T1467" i="10" s="1"/>
  <c r="U1467" i="10" s="1"/>
  <c r="V1467" i="10" s="1"/>
  <c r="D1469" i="10" l="1"/>
  <c r="M1468" i="10"/>
  <c r="N1468" i="10" s="1"/>
  <c r="O1468" i="10" s="1"/>
  <c r="P1468" i="10" s="1"/>
  <c r="Q1468" i="10" s="1"/>
  <c r="R1468" i="10" s="1"/>
  <c r="S1468" i="10" s="1"/>
  <c r="T1468" i="10" s="1"/>
  <c r="U1468" i="10" s="1"/>
  <c r="V1468" i="10" s="1"/>
  <c r="D1470" i="10" l="1"/>
  <c r="M1469" i="10"/>
  <c r="N1469" i="10" s="1"/>
  <c r="O1469" i="10" s="1"/>
  <c r="P1469" i="10" s="1"/>
  <c r="Q1469" i="10" s="1"/>
  <c r="R1469" i="10" s="1"/>
  <c r="S1469" i="10" s="1"/>
  <c r="T1469" i="10" s="1"/>
  <c r="U1469" i="10" s="1"/>
  <c r="V1469" i="10" s="1"/>
  <c r="D1471" i="10" l="1"/>
  <c r="M1470" i="10"/>
  <c r="N1470" i="10" s="1"/>
  <c r="O1470" i="10" s="1"/>
  <c r="P1470" i="10" s="1"/>
  <c r="Q1470" i="10" s="1"/>
  <c r="R1470" i="10" s="1"/>
  <c r="S1470" i="10" s="1"/>
  <c r="T1470" i="10" s="1"/>
  <c r="U1470" i="10" s="1"/>
  <c r="V1470" i="10" s="1"/>
  <c r="D1472" i="10" l="1"/>
  <c r="M1471" i="10"/>
  <c r="N1471" i="10" s="1"/>
  <c r="O1471" i="10" s="1"/>
  <c r="P1471" i="10" s="1"/>
  <c r="Q1471" i="10" s="1"/>
  <c r="R1471" i="10" s="1"/>
  <c r="S1471" i="10" s="1"/>
  <c r="T1471" i="10" s="1"/>
  <c r="U1471" i="10" s="1"/>
  <c r="V1471" i="10" s="1"/>
  <c r="D1473" i="10" l="1"/>
  <c r="M1472" i="10"/>
  <c r="N1472" i="10" s="1"/>
  <c r="O1472" i="10" s="1"/>
  <c r="P1472" i="10" s="1"/>
  <c r="Q1472" i="10" s="1"/>
  <c r="R1472" i="10" s="1"/>
  <c r="S1472" i="10" s="1"/>
  <c r="T1472" i="10" s="1"/>
  <c r="U1472" i="10" s="1"/>
  <c r="V1472" i="10" s="1"/>
  <c r="D1474" i="10" l="1"/>
  <c r="M1473" i="10"/>
  <c r="N1473" i="10" s="1"/>
  <c r="O1473" i="10" s="1"/>
  <c r="P1473" i="10" s="1"/>
  <c r="Q1473" i="10" s="1"/>
  <c r="R1473" i="10" s="1"/>
  <c r="S1473" i="10" s="1"/>
  <c r="T1473" i="10" s="1"/>
  <c r="U1473" i="10" s="1"/>
  <c r="V1473" i="10" s="1"/>
  <c r="D1475" i="10" l="1"/>
  <c r="M1474" i="10"/>
  <c r="N1474" i="10" s="1"/>
  <c r="O1474" i="10" s="1"/>
  <c r="P1474" i="10" s="1"/>
  <c r="Q1474" i="10" s="1"/>
  <c r="R1474" i="10" s="1"/>
  <c r="S1474" i="10" s="1"/>
  <c r="T1474" i="10" s="1"/>
  <c r="U1474" i="10" s="1"/>
  <c r="V1474" i="10" s="1"/>
  <c r="D1476" i="10" l="1"/>
  <c r="M1475" i="10"/>
  <c r="N1475" i="10" s="1"/>
  <c r="O1475" i="10" s="1"/>
  <c r="P1475" i="10" s="1"/>
  <c r="Q1475" i="10" s="1"/>
  <c r="R1475" i="10" s="1"/>
  <c r="S1475" i="10" s="1"/>
  <c r="T1475" i="10" s="1"/>
  <c r="U1475" i="10" s="1"/>
  <c r="V1475" i="10" s="1"/>
  <c r="D1477" i="10" l="1"/>
  <c r="M1476" i="10"/>
  <c r="N1476" i="10" s="1"/>
  <c r="O1476" i="10" s="1"/>
  <c r="P1476" i="10" s="1"/>
  <c r="Q1476" i="10" s="1"/>
  <c r="R1476" i="10" s="1"/>
  <c r="S1476" i="10" s="1"/>
  <c r="T1476" i="10" s="1"/>
  <c r="U1476" i="10" s="1"/>
  <c r="V1476" i="10" s="1"/>
  <c r="D1478" i="10" l="1"/>
  <c r="M1477" i="10"/>
  <c r="N1477" i="10" s="1"/>
  <c r="O1477" i="10" s="1"/>
  <c r="P1477" i="10" s="1"/>
  <c r="Q1477" i="10" s="1"/>
  <c r="R1477" i="10" s="1"/>
  <c r="S1477" i="10" s="1"/>
  <c r="T1477" i="10" s="1"/>
  <c r="U1477" i="10" s="1"/>
  <c r="V1477" i="10" s="1"/>
  <c r="D1479" i="10" l="1"/>
  <c r="M1478" i="10"/>
  <c r="N1478" i="10" s="1"/>
  <c r="O1478" i="10" s="1"/>
  <c r="P1478" i="10" s="1"/>
  <c r="Q1478" i="10" s="1"/>
  <c r="R1478" i="10" s="1"/>
  <c r="S1478" i="10" s="1"/>
  <c r="T1478" i="10" s="1"/>
  <c r="U1478" i="10" s="1"/>
  <c r="V1478" i="10" s="1"/>
  <c r="D1480" i="10" l="1"/>
  <c r="M1479" i="10"/>
  <c r="N1479" i="10" s="1"/>
  <c r="O1479" i="10" s="1"/>
  <c r="P1479" i="10" s="1"/>
  <c r="Q1479" i="10" s="1"/>
  <c r="R1479" i="10" s="1"/>
  <c r="S1479" i="10" s="1"/>
  <c r="T1479" i="10" s="1"/>
  <c r="U1479" i="10" s="1"/>
  <c r="V1479" i="10" s="1"/>
  <c r="D1481" i="10" l="1"/>
  <c r="M1480" i="10"/>
  <c r="N1480" i="10" s="1"/>
  <c r="O1480" i="10" s="1"/>
  <c r="P1480" i="10" s="1"/>
  <c r="Q1480" i="10" s="1"/>
  <c r="R1480" i="10" s="1"/>
  <c r="S1480" i="10" s="1"/>
  <c r="T1480" i="10" s="1"/>
  <c r="U1480" i="10" s="1"/>
  <c r="V1480" i="10" s="1"/>
  <c r="D1482" i="10" l="1"/>
  <c r="M1481" i="10"/>
  <c r="N1481" i="10" s="1"/>
  <c r="O1481" i="10" s="1"/>
  <c r="P1481" i="10" s="1"/>
  <c r="Q1481" i="10" s="1"/>
  <c r="R1481" i="10" s="1"/>
  <c r="S1481" i="10" s="1"/>
  <c r="T1481" i="10" s="1"/>
  <c r="U1481" i="10" s="1"/>
  <c r="V1481" i="10" s="1"/>
  <c r="D1483" i="10" l="1"/>
  <c r="M1482" i="10"/>
  <c r="N1482" i="10" s="1"/>
  <c r="O1482" i="10" s="1"/>
  <c r="P1482" i="10" s="1"/>
  <c r="Q1482" i="10" s="1"/>
  <c r="R1482" i="10" s="1"/>
  <c r="S1482" i="10" s="1"/>
  <c r="T1482" i="10" s="1"/>
  <c r="U1482" i="10" s="1"/>
  <c r="V1482" i="10" s="1"/>
  <c r="D1484" i="10" l="1"/>
  <c r="M1483" i="10"/>
  <c r="N1483" i="10" s="1"/>
  <c r="O1483" i="10" s="1"/>
  <c r="P1483" i="10" s="1"/>
  <c r="Q1483" i="10" s="1"/>
  <c r="R1483" i="10" s="1"/>
  <c r="S1483" i="10" s="1"/>
  <c r="T1483" i="10" s="1"/>
  <c r="U1483" i="10" s="1"/>
  <c r="V1483" i="10" s="1"/>
  <c r="D1485" i="10" l="1"/>
  <c r="M1484" i="10"/>
  <c r="N1484" i="10" s="1"/>
  <c r="O1484" i="10" s="1"/>
  <c r="P1484" i="10" s="1"/>
  <c r="Q1484" i="10" s="1"/>
  <c r="R1484" i="10" s="1"/>
  <c r="S1484" i="10" s="1"/>
  <c r="T1484" i="10" s="1"/>
  <c r="U1484" i="10" s="1"/>
  <c r="V1484" i="10" s="1"/>
  <c r="D1486" i="10" l="1"/>
  <c r="M1485" i="10"/>
  <c r="N1485" i="10" s="1"/>
  <c r="O1485" i="10" s="1"/>
  <c r="P1485" i="10" s="1"/>
  <c r="Q1485" i="10" s="1"/>
  <c r="R1485" i="10" s="1"/>
  <c r="S1485" i="10" s="1"/>
  <c r="T1485" i="10" s="1"/>
  <c r="U1485" i="10" s="1"/>
  <c r="V1485" i="10" s="1"/>
  <c r="D1487" i="10" l="1"/>
  <c r="M1486" i="10"/>
  <c r="N1486" i="10" s="1"/>
  <c r="O1486" i="10" s="1"/>
  <c r="P1486" i="10" s="1"/>
  <c r="Q1486" i="10" s="1"/>
  <c r="R1486" i="10" s="1"/>
  <c r="S1486" i="10" s="1"/>
  <c r="T1486" i="10" s="1"/>
  <c r="U1486" i="10" s="1"/>
  <c r="V1486" i="10" s="1"/>
  <c r="D1488" i="10" l="1"/>
  <c r="M1487" i="10"/>
  <c r="N1487" i="10" s="1"/>
  <c r="O1487" i="10" s="1"/>
  <c r="P1487" i="10" s="1"/>
  <c r="Q1487" i="10" s="1"/>
  <c r="R1487" i="10" s="1"/>
  <c r="S1487" i="10" s="1"/>
  <c r="T1487" i="10" s="1"/>
  <c r="U1487" i="10" s="1"/>
  <c r="V1487" i="10" s="1"/>
  <c r="D1489" i="10" l="1"/>
  <c r="M1488" i="10"/>
  <c r="N1488" i="10" s="1"/>
  <c r="O1488" i="10" s="1"/>
  <c r="P1488" i="10" s="1"/>
  <c r="Q1488" i="10" s="1"/>
  <c r="R1488" i="10" s="1"/>
  <c r="S1488" i="10" s="1"/>
  <c r="T1488" i="10" s="1"/>
  <c r="U1488" i="10" s="1"/>
  <c r="V1488" i="10" s="1"/>
  <c r="D1490" i="10" l="1"/>
  <c r="M1489" i="10"/>
  <c r="N1489" i="10" s="1"/>
  <c r="O1489" i="10" s="1"/>
  <c r="P1489" i="10" s="1"/>
  <c r="Q1489" i="10" s="1"/>
  <c r="R1489" i="10" s="1"/>
  <c r="S1489" i="10" s="1"/>
  <c r="T1489" i="10" s="1"/>
  <c r="U1489" i="10" s="1"/>
  <c r="V1489" i="10" s="1"/>
  <c r="D1491" i="10" l="1"/>
  <c r="M1490" i="10"/>
  <c r="N1490" i="10" s="1"/>
  <c r="O1490" i="10" s="1"/>
  <c r="P1490" i="10" s="1"/>
  <c r="Q1490" i="10" s="1"/>
  <c r="R1490" i="10" s="1"/>
  <c r="S1490" i="10" s="1"/>
  <c r="T1490" i="10" s="1"/>
  <c r="U1490" i="10" s="1"/>
  <c r="V1490" i="10" s="1"/>
  <c r="D1492" i="10" l="1"/>
  <c r="M1491" i="10"/>
  <c r="N1491" i="10" s="1"/>
  <c r="O1491" i="10" s="1"/>
  <c r="P1491" i="10" s="1"/>
  <c r="Q1491" i="10" s="1"/>
  <c r="R1491" i="10" s="1"/>
  <c r="S1491" i="10" s="1"/>
  <c r="T1491" i="10" s="1"/>
  <c r="U1491" i="10" s="1"/>
  <c r="V1491" i="10" s="1"/>
  <c r="D1493" i="10" l="1"/>
  <c r="M1492" i="10"/>
  <c r="N1492" i="10" s="1"/>
  <c r="O1492" i="10" s="1"/>
  <c r="P1492" i="10" s="1"/>
  <c r="Q1492" i="10" s="1"/>
  <c r="R1492" i="10" s="1"/>
  <c r="S1492" i="10" s="1"/>
  <c r="T1492" i="10" s="1"/>
  <c r="U1492" i="10" s="1"/>
  <c r="V1492" i="10" s="1"/>
  <c r="D1494" i="10" l="1"/>
  <c r="M1493" i="10"/>
  <c r="N1493" i="10" s="1"/>
  <c r="O1493" i="10" s="1"/>
  <c r="P1493" i="10" s="1"/>
  <c r="Q1493" i="10" s="1"/>
  <c r="R1493" i="10" s="1"/>
  <c r="S1493" i="10" s="1"/>
  <c r="T1493" i="10" s="1"/>
  <c r="U1493" i="10" s="1"/>
  <c r="V1493" i="10" s="1"/>
  <c r="D1495" i="10" l="1"/>
  <c r="M1494" i="10"/>
  <c r="N1494" i="10" s="1"/>
  <c r="O1494" i="10" s="1"/>
  <c r="P1494" i="10" s="1"/>
  <c r="Q1494" i="10" s="1"/>
  <c r="R1494" i="10" s="1"/>
  <c r="S1494" i="10" s="1"/>
  <c r="T1494" i="10" s="1"/>
  <c r="U1494" i="10" s="1"/>
  <c r="V1494" i="10" s="1"/>
  <c r="D1496" i="10" l="1"/>
  <c r="M1495" i="10"/>
  <c r="N1495" i="10" s="1"/>
  <c r="O1495" i="10" s="1"/>
  <c r="P1495" i="10" s="1"/>
  <c r="Q1495" i="10" s="1"/>
  <c r="R1495" i="10" s="1"/>
  <c r="S1495" i="10" s="1"/>
  <c r="T1495" i="10" s="1"/>
  <c r="U1495" i="10" s="1"/>
  <c r="V1495" i="10" s="1"/>
  <c r="D1497" i="10" l="1"/>
  <c r="M1496" i="10"/>
  <c r="N1496" i="10" s="1"/>
  <c r="O1496" i="10" s="1"/>
  <c r="P1496" i="10" s="1"/>
  <c r="Q1496" i="10" s="1"/>
  <c r="R1496" i="10" s="1"/>
  <c r="S1496" i="10" s="1"/>
  <c r="T1496" i="10" s="1"/>
  <c r="U1496" i="10" s="1"/>
  <c r="V1496" i="10" s="1"/>
  <c r="D1498" i="10" l="1"/>
  <c r="M1497" i="10"/>
  <c r="N1497" i="10" s="1"/>
  <c r="O1497" i="10" s="1"/>
  <c r="P1497" i="10" s="1"/>
  <c r="Q1497" i="10" s="1"/>
  <c r="R1497" i="10" s="1"/>
  <c r="S1497" i="10" s="1"/>
  <c r="T1497" i="10" s="1"/>
  <c r="U1497" i="10" s="1"/>
  <c r="V1497" i="10" s="1"/>
  <c r="D1499" i="10" l="1"/>
  <c r="M1498" i="10"/>
  <c r="N1498" i="10" s="1"/>
  <c r="O1498" i="10" s="1"/>
  <c r="P1498" i="10" s="1"/>
  <c r="Q1498" i="10" s="1"/>
  <c r="R1498" i="10" s="1"/>
  <c r="S1498" i="10" s="1"/>
  <c r="T1498" i="10" s="1"/>
  <c r="U1498" i="10" s="1"/>
  <c r="V1498" i="10" s="1"/>
  <c r="D1500" i="10" l="1"/>
  <c r="M1499" i="10"/>
  <c r="N1499" i="10" s="1"/>
  <c r="O1499" i="10" s="1"/>
  <c r="P1499" i="10" s="1"/>
  <c r="Q1499" i="10" s="1"/>
  <c r="R1499" i="10" s="1"/>
  <c r="S1499" i="10" s="1"/>
  <c r="T1499" i="10" s="1"/>
  <c r="U1499" i="10" s="1"/>
  <c r="V1499" i="10" s="1"/>
  <c r="D1501" i="10" l="1"/>
  <c r="M1500" i="10"/>
  <c r="N1500" i="10" s="1"/>
  <c r="O1500" i="10" s="1"/>
  <c r="P1500" i="10" s="1"/>
  <c r="Q1500" i="10" s="1"/>
  <c r="R1500" i="10" s="1"/>
  <c r="S1500" i="10" s="1"/>
  <c r="T1500" i="10" s="1"/>
  <c r="U1500" i="10" s="1"/>
  <c r="V1500" i="10" s="1"/>
  <c r="D1502" i="10" l="1"/>
  <c r="M1501" i="10"/>
  <c r="N1501" i="10" s="1"/>
  <c r="O1501" i="10" s="1"/>
  <c r="P1501" i="10" s="1"/>
  <c r="Q1501" i="10" s="1"/>
  <c r="R1501" i="10" s="1"/>
  <c r="S1501" i="10" s="1"/>
  <c r="T1501" i="10" s="1"/>
  <c r="U1501" i="10" s="1"/>
  <c r="V1501" i="10" s="1"/>
  <c r="D1503" i="10" l="1"/>
  <c r="M1502" i="10"/>
  <c r="N1502" i="10" s="1"/>
  <c r="O1502" i="10" s="1"/>
  <c r="P1502" i="10" s="1"/>
  <c r="Q1502" i="10" s="1"/>
  <c r="R1502" i="10" s="1"/>
  <c r="S1502" i="10" s="1"/>
  <c r="T1502" i="10" s="1"/>
  <c r="U1502" i="10" s="1"/>
  <c r="V1502" i="10" s="1"/>
  <c r="D1504" i="10" l="1"/>
  <c r="M1503" i="10"/>
  <c r="N1503" i="10" s="1"/>
  <c r="O1503" i="10" s="1"/>
  <c r="P1503" i="10" s="1"/>
  <c r="Q1503" i="10" s="1"/>
  <c r="R1503" i="10" s="1"/>
  <c r="S1503" i="10" s="1"/>
  <c r="T1503" i="10" s="1"/>
  <c r="U1503" i="10" s="1"/>
  <c r="V1503" i="10" s="1"/>
  <c r="D1505" i="10" l="1"/>
  <c r="M1504" i="10"/>
  <c r="N1504" i="10" s="1"/>
  <c r="O1504" i="10" s="1"/>
  <c r="P1504" i="10" s="1"/>
  <c r="Q1504" i="10" s="1"/>
  <c r="R1504" i="10" s="1"/>
  <c r="S1504" i="10" s="1"/>
  <c r="T1504" i="10" s="1"/>
  <c r="U1504" i="10" s="1"/>
  <c r="V1504" i="10" s="1"/>
  <c r="D1506" i="10" l="1"/>
  <c r="M1505" i="10"/>
  <c r="N1505" i="10" s="1"/>
  <c r="O1505" i="10" s="1"/>
  <c r="P1505" i="10" s="1"/>
  <c r="Q1505" i="10" s="1"/>
  <c r="R1505" i="10" s="1"/>
  <c r="S1505" i="10" s="1"/>
  <c r="T1505" i="10" s="1"/>
  <c r="U1505" i="10" s="1"/>
  <c r="V1505" i="10" s="1"/>
  <c r="D1507" i="10" l="1"/>
  <c r="M1506" i="10"/>
  <c r="N1506" i="10" s="1"/>
  <c r="O1506" i="10" s="1"/>
  <c r="P1506" i="10" s="1"/>
  <c r="Q1506" i="10" s="1"/>
  <c r="R1506" i="10" s="1"/>
  <c r="S1506" i="10" s="1"/>
  <c r="T1506" i="10" s="1"/>
  <c r="U1506" i="10" s="1"/>
  <c r="V1506" i="10" s="1"/>
  <c r="D1508" i="10" l="1"/>
  <c r="M1507" i="10"/>
  <c r="N1507" i="10" s="1"/>
  <c r="O1507" i="10" s="1"/>
  <c r="P1507" i="10" s="1"/>
  <c r="Q1507" i="10" s="1"/>
  <c r="R1507" i="10" s="1"/>
  <c r="S1507" i="10" s="1"/>
  <c r="T1507" i="10" s="1"/>
  <c r="U1507" i="10" s="1"/>
  <c r="V1507" i="10" s="1"/>
  <c r="D1509" i="10" l="1"/>
  <c r="M1508" i="10"/>
  <c r="N1508" i="10" s="1"/>
  <c r="O1508" i="10" s="1"/>
  <c r="P1508" i="10" s="1"/>
  <c r="Q1508" i="10" s="1"/>
  <c r="R1508" i="10" s="1"/>
  <c r="S1508" i="10" s="1"/>
  <c r="T1508" i="10" s="1"/>
  <c r="U1508" i="10" s="1"/>
  <c r="V1508" i="10" s="1"/>
  <c r="D1510" i="10" l="1"/>
  <c r="M1509" i="10"/>
  <c r="N1509" i="10" s="1"/>
  <c r="O1509" i="10" s="1"/>
  <c r="P1509" i="10" s="1"/>
  <c r="Q1509" i="10" s="1"/>
  <c r="R1509" i="10" s="1"/>
  <c r="S1509" i="10" s="1"/>
  <c r="T1509" i="10" s="1"/>
  <c r="U1509" i="10" s="1"/>
  <c r="V1509" i="10" s="1"/>
  <c r="D1511" i="10" l="1"/>
  <c r="M1510" i="10"/>
  <c r="N1510" i="10" s="1"/>
  <c r="O1510" i="10" s="1"/>
  <c r="P1510" i="10" s="1"/>
  <c r="Q1510" i="10" s="1"/>
  <c r="R1510" i="10" s="1"/>
  <c r="S1510" i="10" s="1"/>
  <c r="T1510" i="10" s="1"/>
  <c r="U1510" i="10" s="1"/>
  <c r="V1510" i="10" s="1"/>
  <c r="D1512" i="10" l="1"/>
  <c r="M1511" i="10"/>
  <c r="N1511" i="10" s="1"/>
  <c r="O1511" i="10" s="1"/>
  <c r="P1511" i="10" s="1"/>
  <c r="Q1511" i="10" s="1"/>
  <c r="R1511" i="10" s="1"/>
  <c r="S1511" i="10" s="1"/>
  <c r="T1511" i="10" s="1"/>
  <c r="U1511" i="10" s="1"/>
  <c r="V1511" i="10" s="1"/>
  <c r="D1513" i="10" l="1"/>
  <c r="M1512" i="10"/>
  <c r="N1512" i="10" s="1"/>
  <c r="O1512" i="10" s="1"/>
  <c r="P1512" i="10" s="1"/>
  <c r="Q1512" i="10" s="1"/>
  <c r="R1512" i="10" s="1"/>
  <c r="S1512" i="10" s="1"/>
  <c r="T1512" i="10" s="1"/>
  <c r="U1512" i="10" s="1"/>
  <c r="V1512" i="10" s="1"/>
  <c r="D1514" i="10" l="1"/>
  <c r="M1513" i="10"/>
  <c r="N1513" i="10" s="1"/>
  <c r="O1513" i="10" s="1"/>
  <c r="P1513" i="10" s="1"/>
  <c r="Q1513" i="10" s="1"/>
  <c r="R1513" i="10" s="1"/>
  <c r="S1513" i="10" s="1"/>
  <c r="T1513" i="10" s="1"/>
  <c r="U1513" i="10" s="1"/>
  <c r="V1513" i="10" s="1"/>
  <c r="D1515" i="10" l="1"/>
  <c r="M1514" i="10"/>
  <c r="N1514" i="10" s="1"/>
  <c r="O1514" i="10" s="1"/>
  <c r="P1514" i="10" s="1"/>
  <c r="Q1514" i="10" s="1"/>
  <c r="R1514" i="10" s="1"/>
  <c r="S1514" i="10" s="1"/>
  <c r="T1514" i="10" s="1"/>
  <c r="U1514" i="10" s="1"/>
  <c r="V1514" i="10" s="1"/>
  <c r="D1516" i="10" l="1"/>
  <c r="M1515" i="10"/>
  <c r="N1515" i="10" s="1"/>
  <c r="O1515" i="10" s="1"/>
  <c r="P1515" i="10" s="1"/>
  <c r="Q1515" i="10" s="1"/>
  <c r="R1515" i="10" s="1"/>
  <c r="S1515" i="10" s="1"/>
  <c r="T1515" i="10" s="1"/>
  <c r="U1515" i="10" s="1"/>
  <c r="V1515" i="10" s="1"/>
  <c r="D1517" i="10" l="1"/>
  <c r="M1516" i="10"/>
  <c r="N1516" i="10" s="1"/>
  <c r="O1516" i="10" s="1"/>
  <c r="P1516" i="10" s="1"/>
  <c r="Q1516" i="10" s="1"/>
  <c r="R1516" i="10" s="1"/>
  <c r="S1516" i="10" s="1"/>
  <c r="T1516" i="10" s="1"/>
  <c r="U1516" i="10" s="1"/>
  <c r="V1516" i="10" s="1"/>
  <c r="D1518" i="10" l="1"/>
  <c r="M1517" i="10"/>
  <c r="N1517" i="10" s="1"/>
  <c r="O1517" i="10" s="1"/>
  <c r="P1517" i="10" s="1"/>
  <c r="Q1517" i="10" s="1"/>
  <c r="R1517" i="10" s="1"/>
  <c r="S1517" i="10" s="1"/>
  <c r="T1517" i="10" s="1"/>
  <c r="U1517" i="10" s="1"/>
  <c r="V1517" i="10" s="1"/>
  <c r="D1519" i="10" l="1"/>
  <c r="M1518" i="10"/>
  <c r="N1518" i="10" s="1"/>
  <c r="O1518" i="10" s="1"/>
  <c r="P1518" i="10" s="1"/>
  <c r="Q1518" i="10" s="1"/>
  <c r="R1518" i="10" s="1"/>
  <c r="S1518" i="10" s="1"/>
  <c r="T1518" i="10" s="1"/>
  <c r="U1518" i="10" s="1"/>
  <c r="V1518" i="10" s="1"/>
  <c r="D1520" i="10" l="1"/>
  <c r="M1519" i="10"/>
  <c r="N1519" i="10" s="1"/>
  <c r="O1519" i="10" s="1"/>
  <c r="P1519" i="10" s="1"/>
  <c r="Q1519" i="10" s="1"/>
  <c r="R1519" i="10" s="1"/>
  <c r="S1519" i="10" s="1"/>
  <c r="T1519" i="10" s="1"/>
  <c r="U1519" i="10" s="1"/>
  <c r="V1519" i="10" s="1"/>
  <c r="D1521" i="10" l="1"/>
  <c r="M1520" i="10"/>
  <c r="N1520" i="10" s="1"/>
  <c r="O1520" i="10" s="1"/>
  <c r="P1520" i="10" s="1"/>
  <c r="Q1520" i="10" s="1"/>
  <c r="R1520" i="10" s="1"/>
  <c r="S1520" i="10" s="1"/>
  <c r="T1520" i="10" s="1"/>
  <c r="U1520" i="10" s="1"/>
  <c r="V1520" i="10" s="1"/>
  <c r="D1522" i="10" l="1"/>
  <c r="M1521" i="10"/>
  <c r="N1521" i="10" s="1"/>
  <c r="O1521" i="10" s="1"/>
  <c r="P1521" i="10" s="1"/>
  <c r="Q1521" i="10" s="1"/>
  <c r="R1521" i="10" s="1"/>
  <c r="S1521" i="10" s="1"/>
  <c r="T1521" i="10" s="1"/>
  <c r="U1521" i="10" s="1"/>
  <c r="V1521" i="10" s="1"/>
  <c r="D1523" i="10" l="1"/>
  <c r="M1522" i="10"/>
  <c r="N1522" i="10" s="1"/>
  <c r="O1522" i="10" s="1"/>
  <c r="P1522" i="10" s="1"/>
  <c r="Q1522" i="10" s="1"/>
  <c r="R1522" i="10" s="1"/>
  <c r="S1522" i="10" s="1"/>
  <c r="T1522" i="10" s="1"/>
  <c r="U1522" i="10" s="1"/>
  <c r="V1522" i="10" s="1"/>
  <c r="D1524" i="10" l="1"/>
  <c r="M1523" i="10"/>
  <c r="N1523" i="10" s="1"/>
  <c r="O1523" i="10" s="1"/>
  <c r="P1523" i="10" s="1"/>
  <c r="Q1523" i="10" s="1"/>
  <c r="R1523" i="10" s="1"/>
  <c r="S1523" i="10" s="1"/>
  <c r="T1523" i="10" s="1"/>
  <c r="U1523" i="10" s="1"/>
  <c r="V1523" i="10" s="1"/>
  <c r="D1525" i="10" l="1"/>
  <c r="M1524" i="10"/>
  <c r="N1524" i="10" s="1"/>
  <c r="O1524" i="10" s="1"/>
  <c r="P1524" i="10" s="1"/>
  <c r="Q1524" i="10" s="1"/>
  <c r="R1524" i="10" s="1"/>
  <c r="S1524" i="10" s="1"/>
  <c r="T1524" i="10" s="1"/>
  <c r="U1524" i="10" s="1"/>
  <c r="V1524" i="10" s="1"/>
  <c r="D1526" i="10" l="1"/>
  <c r="M1525" i="10"/>
  <c r="N1525" i="10" s="1"/>
  <c r="O1525" i="10" s="1"/>
  <c r="P1525" i="10" s="1"/>
  <c r="Q1525" i="10" s="1"/>
  <c r="R1525" i="10" s="1"/>
  <c r="S1525" i="10" s="1"/>
  <c r="T1525" i="10" s="1"/>
  <c r="U1525" i="10" s="1"/>
  <c r="V1525" i="10" s="1"/>
  <c r="D1527" i="10" l="1"/>
  <c r="M1526" i="10"/>
  <c r="N1526" i="10" s="1"/>
  <c r="O1526" i="10" s="1"/>
  <c r="P1526" i="10" s="1"/>
  <c r="Q1526" i="10" s="1"/>
  <c r="R1526" i="10" s="1"/>
  <c r="S1526" i="10" s="1"/>
  <c r="T1526" i="10" s="1"/>
  <c r="U1526" i="10" s="1"/>
  <c r="V1526" i="10" s="1"/>
  <c r="D1528" i="10" l="1"/>
  <c r="M1527" i="10"/>
  <c r="N1527" i="10" s="1"/>
  <c r="O1527" i="10" s="1"/>
  <c r="P1527" i="10" s="1"/>
  <c r="Q1527" i="10" s="1"/>
  <c r="R1527" i="10" s="1"/>
  <c r="S1527" i="10" s="1"/>
  <c r="T1527" i="10" s="1"/>
  <c r="U1527" i="10" s="1"/>
  <c r="V1527" i="10" s="1"/>
  <c r="D1529" i="10" l="1"/>
  <c r="M1528" i="10"/>
  <c r="N1528" i="10" s="1"/>
  <c r="O1528" i="10" s="1"/>
  <c r="P1528" i="10" s="1"/>
  <c r="Q1528" i="10" s="1"/>
  <c r="R1528" i="10" s="1"/>
  <c r="S1528" i="10" s="1"/>
  <c r="T1528" i="10" s="1"/>
  <c r="U1528" i="10" s="1"/>
  <c r="V1528" i="10" s="1"/>
  <c r="D1530" i="10" l="1"/>
  <c r="M1529" i="10"/>
  <c r="N1529" i="10" s="1"/>
  <c r="O1529" i="10" s="1"/>
  <c r="P1529" i="10" s="1"/>
  <c r="Q1529" i="10" s="1"/>
  <c r="R1529" i="10" s="1"/>
  <c r="S1529" i="10" s="1"/>
  <c r="T1529" i="10" s="1"/>
  <c r="U1529" i="10" s="1"/>
  <c r="V1529" i="10" s="1"/>
  <c r="D1531" i="10" l="1"/>
  <c r="M1530" i="10"/>
  <c r="N1530" i="10" s="1"/>
  <c r="O1530" i="10" s="1"/>
  <c r="P1530" i="10" s="1"/>
  <c r="Q1530" i="10" s="1"/>
  <c r="R1530" i="10" s="1"/>
  <c r="S1530" i="10" s="1"/>
  <c r="T1530" i="10" s="1"/>
  <c r="U1530" i="10" s="1"/>
  <c r="V1530" i="10" s="1"/>
  <c r="D1532" i="10" l="1"/>
  <c r="M1531" i="10"/>
  <c r="N1531" i="10" s="1"/>
  <c r="O1531" i="10" s="1"/>
  <c r="P1531" i="10" s="1"/>
  <c r="Q1531" i="10" s="1"/>
  <c r="R1531" i="10" s="1"/>
  <c r="S1531" i="10" s="1"/>
  <c r="T1531" i="10" s="1"/>
  <c r="U1531" i="10" s="1"/>
  <c r="V1531" i="10" s="1"/>
  <c r="D1533" i="10" l="1"/>
  <c r="M1532" i="10"/>
  <c r="N1532" i="10" s="1"/>
  <c r="O1532" i="10" s="1"/>
  <c r="P1532" i="10" s="1"/>
  <c r="Q1532" i="10" s="1"/>
  <c r="R1532" i="10" s="1"/>
  <c r="S1532" i="10" s="1"/>
  <c r="T1532" i="10" s="1"/>
  <c r="U1532" i="10" s="1"/>
  <c r="V1532" i="10" s="1"/>
  <c r="D1534" i="10" l="1"/>
  <c r="M1533" i="10"/>
  <c r="N1533" i="10" s="1"/>
  <c r="O1533" i="10" s="1"/>
  <c r="P1533" i="10" s="1"/>
  <c r="Q1533" i="10" s="1"/>
  <c r="R1533" i="10" s="1"/>
  <c r="S1533" i="10" s="1"/>
  <c r="T1533" i="10" s="1"/>
  <c r="U1533" i="10" s="1"/>
  <c r="V1533" i="10" s="1"/>
  <c r="D1535" i="10" l="1"/>
  <c r="M1534" i="10"/>
  <c r="N1534" i="10" s="1"/>
  <c r="O1534" i="10" s="1"/>
  <c r="P1534" i="10" s="1"/>
  <c r="Q1534" i="10" s="1"/>
  <c r="R1534" i="10" s="1"/>
  <c r="S1534" i="10" s="1"/>
  <c r="T1534" i="10" s="1"/>
  <c r="U1534" i="10" s="1"/>
  <c r="V1534" i="10" s="1"/>
  <c r="D1536" i="10" l="1"/>
  <c r="M1535" i="10"/>
  <c r="N1535" i="10" s="1"/>
  <c r="O1535" i="10" s="1"/>
  <c r="P1535" i="10" s="1"/>
  <c r="Q1535" i="10" s="1"/>
  <c r="R1535" i="10" s="1"/>
  <c r="S1535" i="10" s="1"/>
  <c r="T1535" i="10" s="1"/>
  <c r="U1535" i="10" s="1"/>
  <c r="V1535" i="10" s="1"/>
  <c r="D1537" i="10" l="1"/>
  <c r="M1536" i="10"/>
  <c r="N1536" i="10" s="1"/>
  <c r="O1536" i="10" s="1"/>
  <c r="P1536" i="10" s="1"/>
  <c r="Q1536" i="10" s="1"/>
  <c r="R1536" i="10" s="1"/>
  <c r="S1536" i="10" s="1"/>
  <c r="T1536" i="10" s="1"/>
  <c r="U1536" i="10" s="1"/>
  <c r="V1536" i="10" s="1"/>
  <c r="D1538" i="10" l="1"/>
  <c r="M1537" i="10"/>
  <c r="N1537" i="10" s="1"/>
  <c r="O1537" i="10" s="1"/>
  <c r="P1537" i="10" s="1"/>
  <c r="Q1537" i="10" s="1"/>
  <c r="R1537" i="10" s="1"/>
  <c r="S1537" i="10" s="1"/>
  <c r="T1537" i="10" s="1"/>
  <c r="U1537" i="10" s="1"/>
  <c r="V1537" i="10" s="1"/>
  <c r="D1539" i="10" l="1"/>
  <c r="M1538" i="10"/>
  <c r="N1538" i="10" s="1"/>
  <c r="O1538" i="10" s="1"/>
  <c r="P1538" i="10" s="1"/>
  <c r="Q1538" i="10" s="1"/>
  <c r="R1538" i="10" s="1"/>
  <c r="S1538" i="10" s="1"/>
  <c r="T1538" i="10" s="1"/>
  <c r="U1538" i="10" s="1"/>
  <c r="V1538" i="10" s="1"/>
  <c r="D1540" i="10" l="1"/>
  <c r="M1539" i="10"/>
  <c r="N1539" i="10" s="1"/>
  <c r="O1539" i="10" s="1"/>
  <c r="P1539" i="10" s="1"/>
  <c r="Q1539" i="10" s="1"/>
  <c r="R1539" i="10" s="1"/>
  <c r="S1539" i="10" s="1"/>
  <c r="T1539" i="10" s="1"/>
  <c r="U1539" i="10" s="1"/>
  <c r="V1539" i="10" s="1"/>
  <c r="D1541" i="10" l="1"/>
  <c r="M1540" i="10"/>
  <c r="N1540" i="10" s="1"/>
  <c r="O1540" i="10" s="1"/>
  <c r="P1540" i="10" s="1"/>
  <c r="Q1540" i="10" s="1"/>
  <c r="R1540" i="10" s="1"/>
  <c r="S1540" i="10" s="1"/>
  <c r="T1540" i="10" s="1"/>
  <c r="U1540" i="10" s="1"/>
  <c r="V1540" i="10" s="1"/>
  <c r="D1542" i="10" l="1"/>
  <c r="M1541" i="10"/>
  <c r="N1541" i="10" s="1"/>
  <c r="O1541" i="10" s="1"/>
  <c r="P1541" i="10" s="1"/>
  <c r="Q1541" i="10" s="1"/>
  <c r="R1541" i="10" s="1"/>
  <c r="S1541" i="10" s="1"/>
  <c r="T1541" i="10" s="1"/>
  <c r="U1541" i="10" s="1"/>
  <c r="V1541" i="10" s="1"/>
  <c r="D1543" i="10" l="1"/>
  <c r="M1542" i="10"/>
  <c r="N1542" i="10" s="1"/>
  <c r="O1542" i="10" s="1"/>
  <c r="P1542" i="10" s="1"/>
  <c r="Q1542" i="10" s="1"/>
  <c r="R1542" i="10" s="1"/>
  <c r="S1542" i="10" s="1"/>
  <c r="T1542" i="10" s="1"/>
  <c r="U1542" i="10" s="1"/>
  <c r="V1542" i="10" s="1"/>
  <c r="D1544" i="10" l="1"/>
  <c r="M1543" i="10"/>
  <c r="N1543" i="10" s="1"/>
  <c r="O1543" i="10" s="1"/>
  <c r="P1543" i="10" s="1"/>
  <c r="Q1543" i="10" s="1"/>
  <c r="R1543" i="10" s="1"/>
  <c r="S1543" i="10" s="1"/>
  <c r="T1543" i="10" s="1"/>
  <c r="U1543" i="10" s="1"/>
  <c r="V1543" i="10" s="1"/>
  <c r="D1545" i="10" l="1"/>
  <c r="M1544" i="10"/>
  <c r="N1544" i="10" s="1"/>
  <c r="O1544" i="10" s="1"/>
  <c r="P1544" i="10" s="1"/>
  <c r="Q1544" i="10" s="1"/>
  <c r="R1544" i="10" s="1"/>
  <c r="S1544" i="10" s="1"/>
  <c r="T1544" i="10" s="1"/>
  <c r="U1544" i="10" s="1"/>
  <c r="V1544" i="10" s="1"/>
  <c r="D1546" i="10" l="1"/>
  <c r="M1545" i="10"/>
  <c r="N1545" i="10" s="1"/>
  <c r="O1545" i="10" s="1"/>
  <c r="P1545" i="10" s="1"/>
  <c r="Q1545" i="10" s="1"/>
  <c r="R1545" i="10" s="1"/>
  <c r="S1545" i="10" s="1"/>
  <c r="T1545" i="10" s="1"/>
  <c r="U1545" i="10" s="1"/>
  <c r="V1545" i="10" s="1"/>
  <c r="D1547" i="10" l="1"/>
  <c r="M1546" i="10"/>
  <c r="N1546" i="10" s="1"/>
  <c r="O1546" i="10" s="1"/>
  <c r="P1546" i="10" s="1"/>
  <c r="Q1546" i="10" s="1"/>
  <c r="R1546" i="10" s="1"/>
  <c r="S1546" i="10" s="1"/>
  <c r="T1546" i="10" s="1"/>
  <c r="U1546" i="10" s="1"/>
  <c r="V1546" i="10" s="1"/>
  <c r="D1548" i="10" l="1"/>
  <c r="M1547" i="10"/>
  <c r="N1547" i="10" s="1"/>
  <c r="O1547" i="10" s="1"/>
  <c r="P1547" i="10" s="1"/>
  <c r="Q1547" i="10" s="1"/>
  <c r="R1547" i="10" s="1"/>
  <c r="S1547" i="10" s="1"/>
  <c r="T1547" i="10" s="1"/>
  <c r="U1547" i="10" s="1"/>
  <c r="V1547" i="10" s="1"/>
  <c r="D1549" i="10" l="1"/>
  <c r="M1548" i="10"/>
  <c r="N1548" i="10" s="1"/>
  <c r="O1548" i="10" s="1"/>
  <c r="P1548" i="10" s="1"/>
  <c r="Q1548" i="10" s="1"/>
  <c r="R1548" i="10" s="1"/>
  <c r="S1548" i="10" s="1"/>
  <c r="T1548" i="10" s="1"/>
  <c r="U1548" i="10" s="1"/>
  <c r="V1548" i="10" s="1"/>
  <c r="D1550" i="10" l="1"/>
  <c r="M1549" i="10"/>
  <c r="N1549" i="10" s="1"/>
  <c r="O1549" i="10" s="1"/>
  <c r="P1549" i="10" s="1"/>
  <c r="Q1549" i="10" s="1"/>
  <c r="R1549" i="10" s="1"/>
  <c r="S1549" i="10" s="1"/>
  <c r="T1549" i="10" s="1"/>
  <c r="U1549" i="10" s="1"/>
  <c r="V1549" i="10" s="1"/>
  <c r="D1551" i="10" l="1"/>
  <c r="M1550" i="10"/>
  <c r="N1550" i="10" s="1"/>
  <c r="O1550" i="10" s="1"/>
  <c r="P1550" i="10" s="1"/>
  <c r="Q1550" i="10" s="1"/>
  <c r="R1550" i="10" s="1"/>
  <c r="S1550" i="10" s="1"/>
  <c r="T1550" i="10" s="1"/>
  <c r="U1550" i="10" s="1"/>
  <c r="V1550" i="10" s="1"/>
  <c r="D1552" i="10" l="1"/>
  <c r="M1551" i="10"/>
  <c r="N1551" i="10" s="1"/>
  <c r="O1551" i="10" s="1"/>
  <c r="P1551" i="10" s="1"/>
  <c r="Q1551" i="10" s="1"/>
  <c r="R1551" i="10" s="1"/>
  <c r="S1551" i="10" s="1"/>
  <c r="T1551" i="10" s="1"/>
  <c r="U1551" i="10" s="1"/>
  <c r="V1551" i="10" s="1"/>
  <c r="D1553" i="10" l="1"/>
  <c r="M1552" i="10"/>
  <c r="N1552" i="10" s="1"/>
  <c r="O1552" i="10" s="1"/>
  <c r="P1552" i="10" s="1"/>
  <c r="Q1552" i="10" s="1"/>
  <c r="R1552" i="10" s="1"/>
  <c r="S1552" i="10" s="1"/>
  <c r="T1552" i="10" s="1"/>
  <c r="U1552" i="10" s="1"/>
  <c r="V1552" i="10" s="1"/>
  <c r="D1554" i="10" l="1"/>
  <c r="M1553" i="10"/>
  <c r="N1553" i="10" s="1"/>
  <c r="O1553" i="10" s="1"/>
  <c r="P1553" i="10" s="1"/>
  <c r="Q1553" i="10" s="1"/>
  <c r="R1553" i="10" s="1"/>
  <c r="S1553" i="10" s="1"/>
  <c r="T1553" i="10" s="1"/>
  <c r="U1553" i="10" s="1"/>
  <c r="V1553" i="10" s="1"/>
  <c r="D1555" i="10" l="1"/>
  <c r="M1554" i="10"/>
  <c r="N1554" i="10" s="1"/>
  <c r="O1554" i="10" s="1"/>
  <c r="P1554" i="10" s="1"/>
  <c r="Q1554" i="10" s="1"/>
  <c r="R1554" i="10" s="1"/>
  <c r="S1554" i="10" s="1"/>
  <c r="T1554" i="10" s="1"/>
  <c r="U1554" i="10" s="1"/>
  <c r="V1554" i="10" s="1"/>
  <c r="D1556" i="10" l="1"/>
  <c r="M1555" i="10"/>
  <c r="N1555" i="10" s="1"/>
  <c r="O1555" i="10" s="1"/>
  <c r="P1555" i="10" s="1"/>
  <c r="Q1555" i="10" s="1"/>
  <c r="R1555" i="10" s="1"/>
  <c r="S1555" i="10" s="1"/>
  <c r="T1555" i="10" s="1"/>
  <c r="U1555" i="10" s="1"/>
  <c r="V1555" i="10" s="1"/>
  <c r="D1557" i="10" l="1"/>
  <c r="M1556" i="10"/>
  <c r="N1556" i="10" s="1"/>
  <c r="O1556" i="10" s="1"/>
  <c r="P1556" i="10" s="1"/>
  <c r="Q1556" i="10" s="1"/>
  <c r="R1556" i="10" s="1"/>
  <c r="S1556" i="10" s="1"/>
  <c r="T1556" i="10" s="1"/>
  <c r="U1556" i="10" s="1"/>
  <c r="V1556" i="10" s="1"/>
  <c r="D1558" i="10" l="1"/>
  <c r="M1557" i="10"/>
  <c r="N1557" i="10" s="1"/>
  <c r="O1557" i="10" s="1"/>
  <c r="P1557" i="10" s="1"/>
  <c r="Q1557" i="10" s="1"/>
  <c r="R1557" i="10" s="1"/>
  <c r="S1557" i="10" s="1"/>
  <c r="T1557" i="10" s="1"/>
  <c r="U1557" i="10" s="1"/>
  <c r="V1557" i="10" s="1"/>
  <c r="D1559" i="10" l="1"/>
  <c r="M1558" i="10"/>
  <c r="N1558" i="10" s="1"/>
  <c r="O1558" i="10" s="1"/>
  <c r="P1558" i="10" s="1"/>
  <c r="Q1558" i="10" s="1"/>
  <c r="R1558" i="10" s="1"/>
  <c r="S1558" i="10" s="1"/>
  <c r="T1558" i="10" s="1"/>
  <c r="U1558" i="10" s="1"/>
  <c r="V1558" i="10" s="1"/>
  <c r="D1560" i="10" l="1"/>
  <c r="M1559" i="10"/>
  <c r="N1559" i="10" s="1"/>
  <c r="O1559" i="10" s="1"/>
  <c r="P1559" i="10" s="1"/>
  <c r="Q1559" i="10" s="1"/>
  <c r="R1559" i="10" s="1"/>
  <c r="S1559" i="10" s="1"/>
  <c r="T1559" i="10" s="1"/>
  <c r="U1559" i="10" s="1"/>
  <c r="V1559" i="10" s="1"/>
  <c r="D1561" i="10" l="1"/>
  <c r="M1560" i="10"/>
  <c r="N1560" i="10" s="1"/>
  <c r="O1560" i="10" s="1"/>
  <c r="P1560" i="10" s="1"/>
  <c r="Q1560" i="10" s="1"/>
  <c r="R1560" i="10" s="1"/>
  <c r="S1560" i="10" s="1"/>
  <c r="T1560" i="10" s="1"/>
  <c r="U1560" i="10" s="1"/>
  <c r="V1560" i="10" s="1"/>
  <c r="D1562" i="10" l="1"/>
  <c r="M1561" i="10"/>
  <c r="N1561" i="10" s="1"/>
  <c r="O1561" i="10" s="1"/>
  <c r="P1561" i="10" s="1"/>
  <c r="Q1561" i="10" s="1"/>
  <c r="R1561" i="10" s="1"/>
  <c r="S1561" i="10" s="1"/>
  <c r="T1561" i="10" s="1"/>
  <c r="U1561" i="10" s="1"/>
  <c r="V1561" i="10" s="1"/>
  <c r="D1563" i="10" l="1"/>
  <c r="M1562" i="10"/>
  <c r="N1562" i="10" s="1"/>
  <c r="O1562" i="10" s="1"/>
  <c r="P1562" i="10" s="1"/>
  <c r="Q1562" i="10" s="1"/>
  <c r="R1562" i="10" s="1"/>
  <c r="S1562" i="10" s="1"/>
  <c r="T1562" i="10" s="1"/>
  <c r="U1562" i="10" s="1"/>
  <c r="V1562" i="10" s="1"/>
  <c r="D1564" i="10" l="1"/>
  <c r="M1563" i="10"/>
  <c r="N1563" i="10" s="1"/>
  <c r="O1563" i="10" s="1"/>
  <c r="P1563" i="10" s="1"/>
  <c r="Q1563" i="10" s="1"/>
  <c r="R1563" i="10" s="1"/>
  <c r="S1563" i="10" s="1"/>
  <c r="T1563" i="10" s="1"/>
  <c r="U1563" i="10" s="1"/>
  <c r="V1563" i="10" s="1"/>
  <c r="D1565" i="10" l="1"/>
  <c r="M1564" i="10"/>
  <c r="N1564" i="10" s="1"/>
  <c r="O1564" i="10" s="1"/>
  <c r="P1564" i="10" s="1"/>
  <c r="Q1564" i="10" s="1"/>
  <c r="R1564" i="10" s="1"/>
  <c r="S1564" i="10" s="1"/>
  <c r="T1564" i="10" s="1"/>
  <c r="U1564" i="10" s="1"/>
  <c r="V1564" i="10" s="1"/>
  <c r="D1566" i="10" l="1"/>
  <c r="M1565" i="10"/>
  <c r="N1565" i="10" s="1"/>
  <c r="O1565" i="10" s="1"/>
  <c r="P1565" i="10" s="1"/>
  <c r="Q1565" i="10" s="1"/>
  <c r="R1565" i="10" s="1"/>
  <c r="S1565" i="10" s="1"/>
  <c r="T1565" i="10" s="1"/>
  <c r="U1565" i="10" s="1"/>
  <c r="V1565" i="10" s="1"/>
  <c r="D1567" i="10" l="1"/>
  <c r="M1566" i="10"/>
  <c r="N1566" i="10" s="1"/>
  <c r="O1566" i="10" s="1"/>
  <c r="P1566" i="10" s="1"/>
  <c r="Q1566" i="10" s="1"/>
  <c r="R1566" i="10" s="1"/>
  <c r="S1566" i="10" s="1"/>
  <c r="T1566" i="10" s="1"/>
  <c r="U1566" i="10" s="1"/>
  <c r="V1566" i="10" s="1"/>
  <c r="D1568" i="10" l="1"/>
  <c r="M1567" i="10"/>
  <c r="N1567" i="10" s="1"/>
  <c r="O1567" i="10" s="1"/>
  <c r="P1567" i="10" s="1"/>
  <c r="Q1567" i="10" s="1"/>
  <c r="R1567" i="10" s="1"/>
  <c r="S1567" i="10" s="1"/>
  <c r="T1567" i="10" s="1"/>
  <c r="U1567" i="10" s="1"/>
  <c r="V1567" i="10" s="1"/>
  <c r="D1569" i="10" l="1"/>
  <c r="M1568" i="10"/>
  <c r="N1568" i="10" s="1"/>
  <c r="O1568" i="10" s="1"/>
  <c r="P1568" i="10" s="1"/>
  <c r="Q1568" i="10" s="1"/>
  <c r="R1568" i="10" s="1"/>
  <c r="S1568" i="10" s="1"/>
  <c r="T1568" i="10" s="1"/>
  <c r="U1568" i="10" s="1"/>
  <c r="V1568" i="10" s="1"/>
  <c r="D1570" i="10" l="1"/>
  <c r="M1569" i="10"/>
  <c r="N1569" i="10" s="1"/>
  <c r="O1569" i="10" s="1"/>
  <c r="P1569" i="10" s="1"/>
  <c r="Q1569" i="10" s="1"/>
  <c r="R1569" i="10" s="1"/>
  <c r="S1569" i="10" s="1"/>
  <c r="T1569" i="10" s="1"/>
  <c r="U1569" i="10" s="1"/>
  <c r="V1569" i="10" s="1"/>
  <c r="D1571" i="10" l="1"/>
  <c r="M1570" i="10"/>
  <c r="N1570" i="10" s="1"/>
  <c r="O1570" i="10" s="1"/>
  <c r="P1570" i="10" s="1"/>
  <c r="Q1570" i="10" s="1"/>
  <c r="R1570" i="10" s="1"/>
  <c r="S1570" i="10" s="1"/>
  <c r="T1570" i="10" s="1"/>
  <c r="U1570" i="10" s="1"/>
  <c r="V1570" i="10" s="1"/>
  <c r="D1572" i="10" l="1"/>
  <c r="M1571" i="10"/>
  <c r="N1571" i="10" s="1"/>
  <c r="O1571" i="10" s="1"/>
  <c r="P1571" i="10" s="1"/>
  <c r="Q1571" i="10" s="1"/>
  <c r="R1571" i="10" s="1"/>
  <c r="S1571" i="10" s="1"/>
  <c r="T1571" i="10" s="1"/>
  <c r="U1571" i="10" s="1"/>
  <c r="V1571" i="10" s="1"/>
  <c r="D1573" i="10" l="1"/>
  <c r="M1572" i="10"/>
  <c r="N1572" i="10" s="1"/>
  <c r="O1572" i="10" s="1"/>
  <c r="P1572" i="10" s="1"/>
  <c r="Q1572" i="10" s="1"/>
  <c r="R1572" i="10" s="1"/>
  <c r="S1572" i="10" s="1"/>
  <c r="T1572" i="10" s="1"/>
  <c r="U1572" i="10" s="1"/>
  <c r="V1572" i="10" s="1"/>
  <c r="D1574" i="10" l="1"/>
  <c r="M1573" i="10"/>
  <c r="N1573" i="10" s="1"/>
  <c r="O1573" i="10" s="1"/>
  <c r="P1573" i="10" s="1"/>
  <c r="Q1573" i="10" s="1"/>
  <c r="R1573" i="10" s="1"/>
  <c r="S1573" i="10" s="1"/>
  <c r="T1573" i="10" s="1"/>
  <c r="U1573" i="10" s="1"/>
  <c r="V1573" i="10" s="1"/>
  <c r="D1575" i="10" l="1"/>
  <c r="M1574" i="10"/>
  <c r="N1574" i="10" s="1"/>
  <c r="O1574" i="10" s="1"/>
  <c r="P1574" i="10" s="1"/>
  <c r="Q1574" i="10" s="1"/>
  <c r="R1574" i="10" s="1"/>
  <c r="S1574" i="10" s="1"/>
  <c r="T1574" i="10" s="1"/>
  <c r="U1574" i="10" s="1"/>
  <c r="V1574" i="10" s="1"/>
  <c r="D1576" i="10" l="1"/>
  <c r="M1575" i="10"/>
  <c r="N1575" i="10" s="1"/>
  <c r="O1575" i="10" s="1"/>
  <c r="P1575" i="10" s="1"/>
  <c r="Q1575" i="10" s="1"/>
  <c r="R1575" i="10" s="1"/>
  <c r="S1575" i="10" s="1"/>
  <c r="T1575" i="10" s="1"/>
  <c r="U1575" i="10" s="1"/>
  <c r="V1575" i="10" s="1"/>
  <c r="D1577" i="10" l="1"/>
  <c r="M1576" i="10"/>
  <c r="N1576" i="10" s="1"/>
  <c r="O1576" i="10" s="1"/>
  <c r="P1576" i="10" s="1"/>
  <c r="Q1576" i="10" s="1"/>
  <c r="R1576" i="10" s="1"/>
  <c r="S1576" i="10" s="1"/>
  <c r="T1576" i="10" s="1"/>
  <c r="U1576" i="10" s="1"/>
  <c r="V1576" i="10" s="1"/>
  <c r="D1578" i="10" l="1"/>
  <c r="M1577" i="10"/>
  <c r="N1577" i="10" s="1"/>
  <c r="O1577" i="10" s="1"/>
  <c r="P1577" i="10" s="1"/>
  <c r="Q1577" i="10" s="1"/>
  <c r="R1577" i="10" s="1"/>
  <c r="S1577" i="10" s="1"/>
  <c r="T1577" i="10" s="1"/>
  <c r="U1577" i="10" s="1"/>
  <c r="V1577" i="10" s="1"/>
  <c r="D1579" i="10" l="1"/>
  <c r="M1578" i="10"/>
  <c r="N1578" i="10" s="1"/>
  <c r="O1578" i="10" s="1"/>
  <c r="P1578" i="10" s="1"/>
  <c r="Q1578" i="10" s="1"/>
  <c r="R1578" i="10" s="1"/>
  <c r="S1578" i="10" s="1"/>
  <c r="T1578" i="10" s="1"/>
  <c r="U1578" i="10" s="1"/>
  <c r="V1578" i="10" s="1"/>
  <c r="D1580" i="10" l="1"/>
  <c r="M1579" i="10"/>
  <c r="N1579" i="10" s="1"/>
  <c r="O1579" i="10" s="1"/>
  <c r="P1579" i="10" s="1"/>
  <c r="Q1579" i="10" s="1"/>
  <c r="R1579" i="10" s="1"/>
  <c r="S1579" i="10" s="1"/>
  <c r="T1579" i="10" s="1"/>
  <c r="U1579" i="10" s="1"/>
  <c r="V1579" i="10" s="1"/>
  <c r="D1581" i="10" l="1"/>
  <c r="M1580" i="10"/>
  <c r="N1580" i="10" s="1"/>
  <c r="O1580" i="10" s="1"/>
  <c r="P1580" i="10" s="1"/>
  <c r="Q1580" i="10" s="1"/>
  <c r="R1580" i="10" s="1"/>
  <c r="S1580" i="10" s="1"/>
  <c r="T1580" i="10" s="1"/>
  <c r="U1580" i="10" s="1"/>
  <c r="V1580" i="10" s="1"/>
  <c r="D1582" i="10" l="1"/>
  <c r="M1581" i="10"/>
  <c r="N1581" i="10" s="1"/>
  <c r="O1581" i="10" s="1"/>
  <c r="P1581" i="10" s="1"/>
  <c r="Q1581" i="10" s="1"/>
  <c r="R1581" i="10" s="1"/>
  <c r="S1581" i="10" s="1"/>
  <c r="T1581" i="10" s="1"/>
  <c r="U1581" i="10" s="1"/>
  <c r="V1581" i="10" s="1"/>
  <c r="D1583" i="10" l="1"/>
  <c r="M1582" i="10"/>
  <c r="N1582" i="10" s="1"/>
  <c r="O1582" i="10" s="1"/>
  <c r="P1582" i="10" s="1"/>
  <c r="Q1582" i="10" s="1"/>
  <c r="R1582" i="10" s="1"/>
  <c r="S1582" i="10" s="1"/>
  <c r="T1582" i="10" s="1"/>
  <c r="U1582" i="10" s="1"/>
  <c r="V1582" i="10" s="1"/>
  <c r="D1584" i="10" l="1"/>
  <c r="M1583" i="10"/>
  <c r="N1583" i="10" s="1"/>
  <c r="O1583" i="10" s="1"/>
  <c r="P1583" i="10" s="1"/>
  <c r="Q1583" i="10" s="1"/>
  <c r="R1583" i="10" s="1"/>
  <c r="S1583" i="10" s="1"/>
  <c r="T1583" i="10" s="1"/>
  <c r="U1583" i="10" s="1"/>
  <c r="V1583" i="10" s="1"/>
  <c r="D1585" i="10" l="1"/>
  <c r="M1584" i="10"/>
  <c r="N1584" i="10" s="1"/>
  <c r="O1584" i="10" s="1"/>
  <c r="P1584" i="10" s="1"/>
  <c r="Q1584" i="10" s="1"/>
  <c r="R1584" i="10" s="1"/>
  <c r="S1584" i="10" s="1"/>
  <c r="T1584" i="10" s="1"/>
  <c r="U1584" i="10" s="1"/>
  <c r="V1584" i="10" s="1"/>
  <c r="D1586" i="10" l="1"/>
  <c r="M1585" i="10"/>
  <c r="N1585" i="10" s="1"/>
  <c r="O1585" i="10" s="1"/>
  <c r="P1585" i="10" s="1"/>
  <c r="Q1585" i="10" s="1"/>
  <c r="R1585" i="10" s="1"/>
  <c r="S1585" i="10" s="1"/>
  <c r="T1585" i="10" s="1"/>
  <c r="U1585" i="10" s="1"/>
  <c r="V1585" i="10" s="1"/>
  <c r="D1587" i="10" l="1"/>
  <c r="M1586" i="10"/>
  <c r="N1586" i="10" s="1"/>
  <c r="O1586" i="10" s="1"/>
  <c r="P1586" i="10" s="1"/>
  <c r="Q1586" i="10" s="1"/>
  <c r="R1586" i="10" s="1"/>
  <c r="S1586" i="10" s="1"/>
  <c r="T1586" i="10" s="1"/>
  <c r="U1586" i="10" s="1"/>
  <c r="V1586" i="10" s="1"/>
  <c r="D1588" i="10" l="1"/>
  <c r="M1587" i="10"/>
  <c r="N1587" i="10" s="1"/>
  <c r="O1587" i="10" s="1"/>
  <c r="P1587" i="10" s="1"/>
  <c r="Q1587" i="10" s="1"/>
  <c r="R1587" i="10" s="1"/>
  <c r="S1587" i="10" s="1"/>
  <c r="T1587" i="10" s="1"/>
  <c r="U1587" i="10" s="1"/>
  <c r="V1587" i="10" s="1"/>
  <c r="D1589" i="10" l="1"/>
  <c r="M1588" i="10"/>
  <c r="N1588" i="10" s="1"/>
  <c r="O1588" i="10" s="1"/>
  <c r="P1588" i="10" s="1"/>
  <c r="Q1588" i="10" s="1"/>
  <c r="R1588" i="10" s="1"/>
  <c r="S1588" i="10" s="1"/>
  <c r="T1588" i="10" s="1"/>
  <c r="U1588" i="10" s="1"/>
  <c r="V1588" i="10" s="1"/>
  <c r="D1590" i="10" l="1"/>
  <c r="M1589" i="10"/>
  <c r="N1589" i="10" s="1"/>
  <c r="O1589" i="10" s="1"/>
  <c r="P1589" i="10" s="1"/>
  <c r="Q1589" i="10" s="1"/>
  <c r="R1589" i="10" s="1"/>
  <c r="S1589" i="10" s="1"/>
  <c r="T1589" i="10" s="1"/>
  <c r="U1589" i="10" s="1"/>
  <c r="V1589" i="10" s="1"/>
  <c r="D1591" i="10" l="1"/>
  <c r="M1590" i="10"/>
  <c r="N1590" i="10" s="1"/>
  <c r="O1590" i="10" s="1"/>
  <c r="P1590" i="10" s="1"/>
  <c r="Q1590" i="10" s="1"/>
  <c r="R1590" i="10" s="1"/>
  <c r="S1590" i="10" s="1"/>
  <c r="T1590" i="10" s="1"/>
  <c r="U1590" i="10" s="1"/>
  <c r="V1590" i="10" s="1"/>
  <c r="D1592" i="10" l="1"/>
  <c r="M1591" i="10"/>
  <c r="N1591" i="10" s="1"/>
  <c r="O1591" i="10" s="1"/>
  <c r="P1591" i="10" s="1"/>
  <c r="Q1591" i="10" s="1"/>
  <c r="R1591" i="10" s="1"/>
  <c r="S1591" i="10" s="1"/>
  <c r="T1591" i="10" s="1"/>
  <c r="U1591" i="10" s="1"/>
  <c r="V1591" i="10" s="1"/>
  <c r="D1593" i="10" l="1"/>
  <c r="M1592" i="10"/>
  <c r="N1592" i="10" s="1"/>
  <c r="O1592" i="10" s="1"/>
  <c r="P1592" i="10" s="1"/>
  <c r="Q1592" i="10" s="1"/>
  <c r="R1592" i="10" s="1"/>
  <c r="S1592" i="10" s="1"/>
  <c r="T1592" i="10" s="1"/>
  <c r="U1592" i="10" s="1"/>
  <c r="V1592" i="10" s="1"/>
  <c r="D1594" i="10" l="1"/>
  <c r="M1593" i="10"/>
  <c r="N1593" i="10" s="1"/>
  <c r="O1593" i="10" s="1"/>
  <c r="P1593" i="10" s="1"/>
  <c r="Q1593" i="10" s="1"/>
  <c r="R1593" i="10" s="1"/>
  <c r="S1593" i="10" s="1"/>
  <c r="T1593" i="10" s="1"/>
  <c r="U1593" i="10" s="1"/>
  <c r="V1593" i="10" s="1"/>
  <c r="D1595" i="10" l="1"/>
  <c r="M1594" i="10"/>
  <c r="N1594" i="10" s="1"/>
  <c r="O1594" i="10" s="1"/>
  <c r="P1594" i="10" s="1"/>
  <c r="Q1594" i="10" s="1"/>
  <c r="R1594" i="10" s="1"/>
  <c r="S1594" i="10" s="1"/>
  <c r="T1594" i="10" s="1"/>
  <c r="U1594" i="10" s="1"/>
  <c r="V1594" i="10" s="1"/>
  <c r="D1596" i="10" l="1"/>
  <c r="M1595" i="10"/>
  <c r="N1595" i="10" s="1"/>
  <c r="O1595" i="10" s="1"/>
  <c r="P1595" i="10" s="1"/>
  <c r="Q1595" i="10" s="1"/>
  <c r="R1595" i="10" s="1"/>
  <c r="S1595" i="10" s="1"/>
  <c r="T1595" i="10" s="1"/>
  <c r="U1595" i="10" s="1"/>
  <c r="V1595" i="10" s="1"/>
  <c r="D1597" i="10" l="1"/>
  <c r="M1596" i="10"/>
  <c r="N1596" i="10" s="1"/>
  <c r="O1596" i="10" s="1"/>
  <c r="P1596" i="10" s="1"/>
  <c r="Q1596" i="10" s="1"/>
  <c r="R1596" i="10" s="1"/>
  <c r="S1596" i="10" s="1"/>
  <c r="T1596" i="10" s="1"/>
  <c r="U1596" i="10" s="1"/>
  <c r="V1596" i="10" s="1"/>
  <c r="D1598" i="10" l="1"/>
  <c r="M1597" i="10"/>
  <c r="N1597" i="10" s="1"/>
  <c r="O1597" i="10" s="1"/>
  <c r="P1597" i="10" s="1"/>
  <c r="Q1597" i="10" s="1"/>
  <c r="R1597" i="10" s="1"/>
  <c r="S1597" i="10" s="1"/>
  <c r="T1597" i="10" s="1"/>
  <c r="U1597" i="10" s="1"/>
  <c r="V1597" i="10" s="1"/>
  <c r="D1599" i="10" l="1"/>
  <c r="M1598" i="10"/>
  <c r="N1598" i="10" s="1"/>
  <c r="O1598" i="10" s="1"/>
  <c r="P1598" i="10" s="1"/>
  <c r="Q1598" i="10" s="1"/>
  <c r="R1598" i="10" s="1"/>
  <c r="S1598" i="10" s="1"/>
  <c r="T1598" i="10" s="1"/>
  <c r="U1598" i="10" s="1"/>
  <c r="V1598" i="10" s="1"/>
  <c r="D1600" i="10" l="1"/>
  <c r="M1599" i="10"/>
  <c r="N1599" i="10" s="1"/>
  <c r="O1599" i="10" s="1"/>
  <c r="P1599" i="10" s="1"/>
  <c r="Q1599" i="10" s="1"/>
  <c r="R1599" i="10" s="1"/>
  <c r="S1599" i="10" s="1"/>
  <c r="T1599" i="10" s="1"/>
  <c r="U1599" i="10" s="1"/>
  <c r="V1599" i="10" s="1"/>
  <c r="D1601" i="10" l="1"/>
  <c r="M1600" i="10"/>
  <c r="N1600" i="10" s="1"/>
  <c r="O1600" i="10" s="1"/>
  <c r="P1600" i="10" s="1"/>
  <c r="Q1600" i="10" s="1"/>
  <c r="R1600" i="10" s="1"/>
  <c r="S1600" i="10" s="1"/>
  <c r="T1600" i="10" s="1"/>
  <c r="U1600" i="10" s="1"/>
  <c r="V1600" i="10" s="1"/>
  <c r="D1602" i="10" l="1"/>
  <c r="M1601" i="10"/>
  <c r="N1601" i="10" s="1"/>
  <c r="O1601" i="10" s="1"/>
  <c r="P1601" i="10" s="1"/>
  <c r="Q1601" i="10" s="1"/>
  <c r="R1601" i="10" s="1"/>
  <c r="S1601" i="10" s="1"/>
  <c r="T1601" i="10" s="1"/>
  <c r="U1601" i="10" s="1"/>
  <c r="V1601" i="10" s="1"/>
  <c r="D1603" i="10" l="1"/>
  <c r="M1602" i="10"/>
  <c r="N1602" i="10" s="1"/>
  <c r="O1602" i="10" s="1"/>
  <c r="P1602" i="10" s="1"/>
  <c r="Q1602" i="10" s="1"/>
  <c r="R1602" i="10" s="1"/>
  <c r="S1602" i="10" s="1"/>
  <c r="T1602" i="10" s="1"/>
  <c r="U1602" i="10" s="1"/>
  <c r="V1602" i="10" s="1"/>
  <c r="D1604" i="10" l="1"/>
  <c r="M1603" i="10"/>
  <c r="N1603" i="10" s="1"/>
  <c r="O1603" i="10" s="1"/>
  <c r="P1603" i="10" s="1"/>
  <c r="Q1603" i="10" s="1"/>
  <c r="R1603" i="10" s="1"/>
  <c r="S1603" i="10" s="1"/>
  <c r="T1603" i="10" s="1"/>
  <c r="U1603" i="10" s="1"/>
  <c r="V1603" i="10" s="1"/>
  <c r="D1605" i="10" l="1"/>
  <c r="M1604" i="10"/>
  <c r="N1604" i="10" s="1"/>
  <c r="O1604" i="10" s="1"/>
  <c r="P1604" i="10" s="1"/>
  <c r="Q1604" i="10" s="1"/>
  <c r="R1604" i="10" s="1"/>
  <c r="S1604" i="10" s="1"/>
  <c r="T1604" i="10" s="1"/>
  <c r="U1604" i="10" s="1"/>
  <c r="V1604" i="10" s="1"/>
  <c r="D1606" i="10" l="1"/>
  <c r="M1605" i="10"/>
  <c r="N1605" i="10" s="1"/>
  <c r="O1605" i="10" s="1"/>
  <c r="P1605" i="10" s="1"/>
  <c r="Q1605" i="10" s="1"/>
  <c r="R1605" i="10" s="1"/>
  <c r="S1605" i="10" s="1"/>
  <c r="T1605" i="10" s="1"/>
  <c r="U1605" i="10" s="1"/>
  <c r="V1605" i="10" s="1"/>
  <c r="D1607" i="10" l="1"/>
  <c r="M1606" i="10"/>
  <c r="N1606" i="10" s="1"/>
  <c r="O1606" i="10" s="1"/>
  <c r="P1606" i="10" s="1"/>
  <c r="Q1606" i="10" s="1"/>
  <c r="R1606" i="10" s="1"/>
  <c r="S1606" i="10" s="1"/>
  <c r="T1606" i="10" s="1"/>
  <c r="U1606" i="10" s="1"/>
  <c r="V1606" i="10" s="1"/>
  <c r="D1608" i="10" l="1"/>
  <c r="M1607" i="10"/>
  <c r="N1607" i="10" s="1"/>
  <c r="O1607" i="10" s="1"/>
  <c r="P1607" i="10" s="1"/>
  <c r="Q1607" i="10" s="1"/>
  <c r="R1607" i="10" s="1"/>
  <c r="S1607" i="10" s="1"/>
  <c r="T1607" i="10" s="1"/>
  <c r="U1607" i="10" s="1"/>
  <c r="V1607" i="10" s="1"/>
  <c r="D1609" i="10" l="1"/>
  <c r="M1608" i="10"/>
  <c r="N1608" i="10" s="1"/>
  <c r="O1608" i="10" s="1"/>
  <c r="P1608" i="10" s="1"/>
  <c r="Q1608" i="10" s="1"/>
  <c r="R1608" i="10" s="1"/>
  <c r="S1608" i="10" s="1"/>
  <c r="T1608" i="10" s="1"/>
  <c r="U1608" i="10" s="1"/>
  <c r="V1608" i="10" s="1"/>
  <c r="D1610" i="10" l="1"/>
  <c r="M1609" i="10"/>
  <c r="N1609" i="10" s="1"/>
  <c r="O1609" i="10" s="1"/>
  <c r="P1609" i="10" s="1"/>
  <c r="Q1609" i="10" s="1"/>
  <c r="R1609" i="10" s="1"/>
  <c r="S1609" i="10" s="1"/>
  <c r="T1609" i="10" s="1"/>
  <c r="U1609" i="10" s="1"/>
  <c r="V1609" i="10" s="1"/>
  <c r="D1611" i="10" l="1"/>
  <c r="M1610" i="10"/>
  <c r="N1610" i="10" s="1"/>
  <c r="O1610" i="10" s="1"/>
  <c r="P1610" i="10" s="1"/>
  <c r="Q1610" i="10" s="1"/>
  <c r="R1610" i="10" s="1"/>
  <c r="S1610" i="10" s="1"/>
  <c r="T1610" i="10" s="1"/>
  <c r="U1610" i="10" s="1"/>
  <c r="V1610" i="10" s="1"/>
  <c r="D1612" i="10" l="1"/>
  <c r="M1611" i="10"/>
  <c r="N1611" i="10" s="1"/>
  <c r="O1611" i="10" s="1"/>
  <c r="P1611" i="10" s="1"/>
  <c r="Q1611" i="10" s="1"/>
  <c r="R1611" i="10" s="1"/>
  <c r="S1611" i="10" s="1"/>
  <c r="T1611" i="10" s="1"/>
  <c r="U1611" i="10" s="1"/>
  <c r="V1611" i="10" s="1"/>
  <c r="D1613" i="10" l="1"/>
  <c r="M1612" i="10"/>
  <c r="N1612" i="10" s="1"/>
  <c r="O1612" i="10" s="1"/>
  <c r="P1612" i="10" s="1"/>
  <c r="Q1612" i="10" s="1"/>
  <c r="R1612" i="10" s="1"/>
  <c r="S1612" i="10" s="1"/>
  <c r="T1612" i="10" s="1"/>
  <c r="U1612" i="10" s="1"/>
  <c r="V1612" i="10" s="1"/>
  <c r="D1614" i="10" l="1"/>
  <c r="M1613" i="10"/>
  <c r="N1613" i="10" s="1"/>
  <c r="O1613" i="10" s="1"/>
  <c r="P1613" i="10" s="1"/>
  <c r="Q1613" i="10" s="1"/>
  <c r="R1613" i="10" s="1"/>
  <c r="S1613" i="10" s="1"/>
  <c r="T1613" i="10" s="1"/>
  <c r="U1613" i="10" s="1"/>
  <c r="V1613" i="10" s="1"/>
  <c r="D1615" i="10" l="1"/>
  <c r="M1614" i="10"/>
  <c r="N1614" i="10" s="1"/>
  <c r="O1614" i="10" s="1"/>
  <c r="P1614" i="10" s="1"/>
  <c r="Q1614" i="10" s="1"/>
  <c r="R1614" i="10" s="1"/>
  <c r="S1614" i="10" s="1"/>
  <c r="T1614" i="10" s="1"/>
  <c r="U1614" i="10" s="1"/>
  <c r="V1614" i="10" s="1"/>
  <c r="D1616" i="10" l="1"/>
  <c r="M1615" i="10"/>
  <c r="N1615" i="10" s="1"/>
  <c r="O1615" i="10" s="1"/>
  <c r="P1615" i="10" s="1"/>
  <c r="Q1615" i="10" s="1"/>
  <c r="R1615" i="10" s="1"/>
  <c r="S1615" i="10" s="1"/>
  <c r="T1615" i="10" s="1"/>
  <c r="U1615" i="10" s="1"/>
  <c r="V1615" i="10" s="1"/>
  <c r="D1617" i="10" l="1"/>
  <c r="M1616" i="10"/>
  <c r="N1616" i="10" s="1"/>
  <c r="O1616" i="10" s="1"/>
  <c r="P1616" i="10" s="1"/>
  <c r="Q1616" i="10" s="1"/>
  <c r="R1616" i="10" s="1"/>
  <c r="S1616" i="10" s="1"/>
  <c r="T1616" i="10" s="1"/>
  <c r="U1616" i="10" s="1"/>
  <c r="V1616" i="10" s="1"/>
  <c r="D1618" i="10" l="1"/>
  <c r="M1617" i="10"/>
  <c r="N1617" i="10" s="1"/>
  <c r="O1617" i="10" s="1"/>
  <c r="P1617" i="10" s="1"/>
  <c r="Q1617" i="10" s="1"/>
  <c r="R1617" i="10" s="1"/>
  <c r="S1617" i="10" s="1"/>
  <c r="T1617" i="10" s="1"/>
  <c r="U1617" i="10" s="1"/>
  <c r="V1617" i="10" s="1"/>
  <c r="D1619" i="10" l="1"/>
  <c r="M1618" i="10"/>
  <c r="N1618" i="10" s="1"/>
  <c r="O1618" i="10" s="1"/>
  <c r="P1618" i="10" s="1"/>
  <c r="Q1618" i="10" s="1"/>
  <c r="R1618" i="10" s="1"/>
  <c r="S1618" i="10" s="1"/>
  <c r="T1618" i="10" s="1"/>
  <c r="U1618" i="10" s="1"/>
  <c r="V1618" i="10" s="1"/>
  <c r="D1620" i="10" l="1"/>
  <c r="M1619" i="10"/>
  <c r="N1619" i="10" s="1"/>
  <c r="O1619" i="10" s="1"/>
  <c r="P1619" i="10" s="1"/>
  <c r="Q1619" i="10" s="1"/>
  <c r="R1619" i="10" s="1"/>
  <c r="S1619" i="10" s="1"/>
  <c r="T1619" i="10" s="1"/>
  <c r="U1619" i="10" s="1"/>
  <c r="V1619" i="10" s="1"/>
  <c r="D1621" i="10" l="1"/>
  <c r="M1620" i="10"/>
  <c r="N1620" i="10" s="1"/>
  <c r="O1620" i="10" s="1"/>
  <c r="P1620" i="10" s="1"/>
  <c r="Q1620" i="10" s="1"/>
  <c r="R1620" i="10" s="1"/>
  <c r="S1620" i="10" s="1"/>
  <c r="T1620" i="10" s="1"/>
  <c r="U1620" i="10" s="1"/>
  <c r="V1620" i="10" s="1"/>
  <c r="D1622" i="10" l="1"/>
  <c r="M1621" i="10"/>
  <c r="N1621" i="10" s="1"/>
  <c r="O1621" i="10" s="1"/>
  <c r="P1621" i="10" s="1"/>
  <c r="Q1621" i="10" s="1"/>
  <c r="R1621" i="10" s="1"/>
  <c r="S1621" i="10" s="1"/>
  <c r="T1621" i="10" s="1"/>
  <c r="U1621" i="10" s="1"/>
  <c r="V1621" i="10" s="1"/>
  <c r="D1623" i="10" l="1"/>
  <c r="M1622" i="10"/>
  <c r="N1622" i="10" s="1"/>
  <c r="O1622" i="10" s="1"/>
  <c r="P1622" i="10" s="1"/>
  <c r="Q1622" i="10" s="1"/>
  <c r="R1622" i="10" s="1"/>
  <c r="S1622" i="10" s="1"/>
  <c r="T1622" i="10" s="1"/>
  <c r="U1622" i="10" s="1"/>
  <c r="V1622" i="10" s="1"/>
  <c r="D1624" i="10" l="1"/>
  <c r="M1623" i="10"/>
  <c r="N1623" i="10" s="1"/>
  <c r="O1623" i="10" s="1"/>
  <c r="P1623" i="10" s="1"/>
  <c r="Q1623" i="10" s="1"/>
  <c r="R1623" i="10" s="1"/>
  <c r="S1623" i="10" s="1"/>
  <c r="T1623" i="10" s="1"/>
  <c r="U1623" i="10" s="1"/>
  <c r="V1623" i="10" s="1"/>
  <c r="D1625" i="10" l="1"/>
  <c r="M1624" i="10"/>
  <c r="N1624" i="10" s="1"/>
  <c r="O1624" i="10" s="1"/>
  <c r="P1624" i="10" s="1"/>
  <c r="Q1624" i="10" s="1"/>
  <c r="R1624" i="10" s="1"/>
  <c r="S1624" i="10" s="1"/>
  <c r="T1624" i="10" s="1"/>
  <c r="U1624" i="10" s="1"/>
  <c r="V1624" i="10" s="1"/>
  <c r="D1626" i="10" l="1"/>
  <c r="M1625" i="10"/>
  <c r="N1625" i="10" s="1"/>
  <c r="O1625" i="10" s="1"/>
  <c r="P1625" i="10" s="1"/>
  <c r="Q1625" i="10" s="1"/>
  <c r="R1625" i="10" s="1"/>
  <c r="S1625" i="10" s="1"/>
  <c r="T1625" i="10" s="1"/>
  <c r="U1625" i="10" s="1"/>
  <c r="V1625" i="10" s="1"/>
  <c r="D1627" i="10" l="1"/>
  <c r="M1626" i="10"/>
  <c r="N1626" i="10" s="1"/>
  <c r="O1626" i="10" s="1"/>
  <c r="P1626" i="10" s="1"/>
  <c r="Q1626" i="10" s="1"/>
  <c r="R1626" i="10" s="1"/>
  <c r="S1626" i="10" s="1"/>
  <c r="T1626" i="10" s="1"/>
  <c r="U1626" i="10" s="1"/>
  <c r="V1626" i="10" s="1"/>
  <c r="D1628" i="10" l="1"/>
  <c r="M1627" i="10"/>
  <c r="N1627" i="10" s="1"/>
  <c r="O1627" i="10" s="1"/>
  <c r="P1627" i="10" s="1"/>
  <c r="Q1627" i="10" s="1"/>
  <c r="R1627" i="10" s="1"/>
  <c r="S1627" i="10" s="1"/>
  <c r="T1627" i="10" s="1"/>
  <c r="U1627" i="10" s="1"/>
  <c r="V1627" i="10" s="1"/>
  <c r="D1629" i="10" l="1"/>
  <c r="M1628" i="10"/>
  <c r="N1628" i="10" s="1"/>
  <c r="O1628" i="10" s="1"/>
  <c r="P1628" i="10" s="1"/>
  <c r="Q1628" i="10" s="1"/>
  <c r="R1628" i="10" s="1"/>
  <c r="S1628" i="10" s="1"/>
  <c r="T1628" i="10" s="1"/>
  <c r="U1628" i="10" s="1"/>
  <c r="V1628" i="10" s="1"/>
  <c r="D1630" i="10" l="1"/>
  <c r="M1629" i="10"/>
  <c r="N1629" i="10" s="1"/>
  <c r="O1629" i="10" s="1"/>
  <c r="P1629" i="10" s="1"/>
  <c r="Q1629" i="10" s="1"/>
  <c r="R1629" i="10" s="1"/>
  <c r="S1629" i="10" s="1"/>
  <c r="T1629" i="10" s="1"/>
  <c r="U1629" i="10" s="1"/>
  <c r="V1629" i="10" s="1"/>
  <c r="D1631" i="10" l="1"/>
  <c r="M1630" i="10"/>
  <c r="N1630" i="10" s="1"/>
  <c r="O1630" i="10" s="1"/>
  <c r="P1630" i="10" s="1"/>
  <c r="Q1630" i="10" s="1"/>
  <c r="R1630" i="10" s="1"/>
  <c r="S1630" i="10" s="1"/>
  <c r="T1630" i="10" s="1"/>
  <c r="U1630" i="10" s="1"/>
  <c r="V1630" i="10" s="1"/>
  <c r="D1632" i="10" l="1"/>
  <c r="M1631" i="10"/>
  <c r="N1631" i="10" s="1"/>
  <c r="O1631" i="10" s="1"/>
  <c r="P1631" i="10" s="1"/>
  <c r="Q1631" i="10" s="1"/>
  <c r="R1631" i="10" s="1"/>
  <c r="S1631" i="10" s="1"/>
  <c r="T1631" i="10" s="1"/>
  <c r="U1631" i="10" s="1"/>
  <c r="V1631" i="10" s="1"/>
  <c r="D1633" i="10" l="1"/>
  <c r="M1632" i="10"/>
  <c r="N1632" i="10" s="1"/>
  <c r="O1632" i="10" s="1"/>
  <c r="P1632" i="10" s="1"/>
  <c r="Q1632" i="10" s="1"/>
  <c r="R1632" i="10" s="1"/>
  <c r="S1632" i="10" s="1"/>
  <c r="T1632" i="10" s="1"/>
  <c r="U1632" i="10" s="1"/>
  <c r="V1632" i="10" s="1"/>
  <c r="D1634" i="10" l="1"/>
  <c r="M1633" i="10"/>
  <c r="N1633" i="10" s="1"/>
  <c r="O1633" i="10" s="1"/>
  <c r="P1633" i="10" s="1"/>
  <c r="Q1633" i="10" s="1"/>
  <c r="R1633" i="10" s="1"/>
  <c r="S1633" i="10" s="1"/>
  <c r="T1633" i="10" s="1"/>
  <c r="U1633" i="10" s="1"/>
  <c r="V1633" i="10" s="1"/>
  <c r="D1635" i="10" l="1"/>
  <c r="M1634" i="10"/>
  <c r="N1634" i="10" s="1"/>
  <c r="O1634" i="10" s="1"/>
  <c r="P1634" i="10" s="1"/>
  <c r="Q1634" i="10" s="1"/>
  <c r="R1634" i="10" s="1"/>
  <c r="S1634" i="10" s="1"/>
  <c r="T1634" i="10" s="1"/>
  <c r="U1634" i="10" s="1"/>
  <c r="V1634" i="10" s="1"/>
  <c r="D1636" i="10" l="1"/>
  <c r="M1635" i="10"/>
  <c r="N1635" i="10" s="1"/>
  <c r="O1635" i="10" s="1"/>
  <c r="P1635" i="10" s="1"/>
  <c r="Q1635" i="10" s="1"/>
  <c r="R1635" i="10" s="1"/>
  <c r="S1635" i="10" s="1"/>
  <c r="T1635" i="10" s="1"/>
  <c r="U1635" i="10" s="1"/>
  <c r="V1635" i="10" s="1"/>
  <c r="D1637" i="10" l="1"/>
  <c r="M1636" i="10"/>
  <c r="N1636" i="10" s="1"/>
  <c r="O1636" i="10" s="1"/>
  <c r="P1636" i="10" s="1"/>
  <c r="Q1636" i="10" s="1"/>
  <c r="R1636" i="10" s="1"/>
  <c r="S1636" i="10" s="1"/>
  <c r="T1636" i="10" s="1"/>
  <c r="U1636" i="10" s="1"/>
  <c r="V1636" i="10" s="1"/>
  <c r="D1638" i="10" l="1"/>
  <c r="M1637" i="10"/>
  <c r="N1637" i="10" s="1"/>
  <c r="O1637" i="10" s="1"/>
  <c r="P1637" i="10" s="1"/>
  <c r="Q1637" i="10" s="1"/>
  <c r="R1637" i="10" s="1"/>
  <c r="S1637" i="10" s="1"/>
  <c r="T1637" i="10" s="1"/>
  <c r="U1637" i="10" s="1"/>
  <c r="V1637" i="10" s="1"/>
  <c r="D1639" i="10" l="1"/>
  <c r="M1638" i="10"/>
  <c r="N1638" i="10" s="1"/>
  <c r="O1638" i="10" s="1"/>
  <c r="P1638" i="10" s="1"/>
  <c r="Q1638" i="10" s="1"/>
  <c r="R1638" i="10" s="1"/>
  <c r="S1638" i="10" s="1"/>
  <c r="T1638" i="10" s="1"/>
  <c r="U1638" i="10" s="1"/>
  <c r="V1638" i="10" s="1"/>
  <c r="D1640" i="10" l="1"/>
  <c r="M1639" i="10"/>
  <c r="N1639" i="10" s="1"/>
  <c r="O1639" i="10" s="1"/>
  <c r="P1639" i="10" s="1"/>
  <c r="Q1639" i="10" s="1"/>
  <c r="R1639" i="10" s="1"/>
  <c r="S1639" i="10" s="1"/>
  <c r="T1639" i="10" s="1"/>
  <c r="U1639" i="10" s="1"/>
  <c r="V1639" i="10" s="1"/>
  <c r="D1641" i="10" l="1"/>
  <c r="M1640" i="10"/>
  <c r="N1640" i="10" s="1"/>
  <c r="O1640" i="10" s="1"/>
  <c r="P1640" i="10" s="1"/>
  <c r="Q1640" i="10" s="1"/>
  <c r="R1640" i="10" s="1"/>
  <c r="S1640" i="10" s="1"/>
  <c r="T1640" i="10" s="1"/>
  <c r="U1640" i="10" s="1"/>
  <c r="V1640" i="10" s="1"/>
  <c r="D1642" i="10" l="1"/>
  <c r="M1641" i="10"/>
  <c r="N1641" i="10" s="1"/>
  <c r="O1641" i="10" s="1"/>
  <c r="P1641" i="10" s="1"/>
  <c r="Q1641" i="10" s="1"/>
  <c r="R1641" i="10" s="1"/>
  <c r="S1641" i="10" s="1"/>
  <c r="T1641" i="10" s="1"/>
  <c r="U1641" i="10" s="1"/>
  <c r="V1641" i="10" s="1"/>
  <c r="D1643" i="10" l="1"/>
  <c r="M1642" i="10"/>
  <c r="N1642" i="10" s="1"/>
  <c r="O1642" i="10" s="1"/>
  <c r="P1642" i="10" s="1"/>
  <c r="Q1642" i="10" s="1"/>
  <c r="R1642" i="10" s="1"/>
  <c r="S1642" i="10" s="1"/>
  <c r="T1642" i="10" s="1"/>
  <c r="U1642" i="10" s="1"/>
  <c r="V1642" i="10" s="1"/>
  <c r="D1644" i="10" l="1"/>
  <c r="M1643" i="10"/>
  <c r="N1643" i="10" s="1"/>
  <c r="O1643" i="10" s="1"/>
  <c r="P1643" i="10" s="1"/>
  <c r="Q1643" i="10" s="1"/>
  <c r="R1643" i="10" s="1"/>
  <c r="S1643" i="10" s="1"/>
  <c r="T1643" i="10" s="1"/>
  <c r="U1643" i="10" s="1"/>
  <c r="V1643" i="10" s="1"/>
  <c r="D1645" i="10" l="1"/>
  <c r="M1644" i="10"/>
  <c r="N1644" i="10" s="1"/>
  <c r="O1644" i="10" s="1"/>
  <c r="P1644" i="10" s="1"/>
  <c r="Q1644" i="10" s="1"/>
  <c r="R1644" i="10" s="1"/>
  <c r="S1644" i="10" s="1"/>
  <c r="T1644" i="10" s="1"/>
  <c r="U1644" i="10" s="1"/>
  <c r="V1644" i="10" s="1"/>
  <c r="D1646" i="10" l="1"/>
  <c r="M1645" i="10"/>
  <c r="N1645" i="10" s="1"/>
  <c r="O1645" i="10" s="1"/>
  <c r="P1645" i="10" s="1"/>
  <c r="Q1645" i="10" s="1"/>
  <c r="R1645" i="10" s="1"/>
  <c r="S1645" i="10" s="1"/>
  <c r="T1645" i="10" s="1"/>
  <c r="U1645" i="10" s="1"/>
  <c r="V1645" i="10" s="1"/>
  <c r="D1647" i="10" l="1"/>
  <c r="M1646" i="10"/>
  <c r="N1646" i="10" s="1"/>
  <c r="O1646" i="10" s="1"/>
  <c r="P1646" i="10" s="1"/>
  <c r="Q1646" i="10" s="1"/>
  <c r="R1646" i="10" s="1"/>
  <c r="S1646" i="10" s="1"/>
  <c r="T1646" i="10" s="1"/>
  <c r="U1646" i="10" s="1"/>
  <c r="V1646" i="10" s="1"/>
  <c r="D1648" i="10" l="1"/>
  <c r="M1647" i="10"/>
  <c r="N1647" i="10" s="1"/>
  <c r="O1647" i="10" s="1"/>
  <c r="P1647" i="10" s="1"/>
  <c r="Q1647" i="10" s="1"/>
  <c r="R1647" i="10" s="1"/>
  <c r="S1647" i="10" s="1"/>
  <c r="T1647" i="10" s="1"/>
  <c r="U1647" i="10" s="1"/>
  <c r="V1647" i="10" s="1"/>
  <c r="D1649" i="10" l="1"/>
  <c r="M1648" i="10"/>
  <c r="N1648" i="10" s="1"/>
  <c r="O1648" i="10" s="1"/>
  <c r="P1648" i="10" s="1"/>
  <c r="Q1648" i="10" s="1"/>
  <c r="R1648" i="10" s="1"/>
  <c r="S1648" i="10" s="1"/>
  <c r="T1648" i="10" s="1"/>
  <c r="U1648" i="10" s="1"/>
  <c r="V1648" i="10" s="1"/>
  <c r="D1650" i="10" l="1"/>
  <c r="M1649" i="10"/>
  <c r="N1649" i="10" s="1"/>
  <c r="O1649" i="10" s="1"/>
  <c r="P1649" i="10" s="1"/>
  <c r="Q1649" i="10" s="1"/>
  <c r="R1649" i="10" s="1"/>
  <c r="S1649" i="10" s="1"/>
  <c r="T1649" i="10" s="1"/>
  <c r="U1649" i="10" s="1"/>
  <c r="V1649" i="10" s="1"/>
  <c r="D1651" i="10" l="1"/>
  <c r="M1650" i="10"/>
  <c r="N1650" i="10" s="1"/>
  <c r="O1650" i="10" s="1"/>
  <c r="P1650" i="10" s="1"/>
  <c r="Q1650" i="10" s="1"/>
  <c r="R1650" i="10" s="1"/>
  <c r="S1650" i="10" s="1"/>
  <c r="T1650" i="10" s="1"/>
  <c r="U1650" i="10" s="1"/>
  <c r="V1650" i="10" s="1"/>
  <c r="D1652" i="10" l="1"/>
  <c r="M1651" i="10"/>
  <c r="N1651" i="10" s="1"/>
  <c r="O1651" i="10" s="1"/>
  <c r="P1651" i="10" s="1"/>
  <c r="Q1651" i="10" s="1"/>
  <c r="R1651" i="10" s="1"/>
  <c r="S1651" i="10" s="1"/>
  <c r="T1651" i="10" s="1"/>
  <c r="U1651" i="10" s="1"/>
  <c r="V1651" i="10" s="1"/>
  <c r="D1653" i="10" l="1"/>
  <c r="M1652" i="10"/>
  <c r="N1652" i="10" s="1"/>
  <c r="O1652" i="10" s="1"/>
  <c r="P1652" i="10" s="1"/>
  <c r="Q1652" i="10" s="1"/>
  <c r="R1652" i="10" s="1"/>
  <c r="S1652" i="10" s="1"/>
  <c r="T1652" i="10" s="1"/>
  <c r="U1652" i="10" s="1"/>
  <c r="V1652" i="10" s="1"/>
  <c r="D1654" i="10" l="1"/>
  <c r="M1653" i="10"/>
  <c r="N1653" i="10" s="1"/>
  <c r="O1653" i="10" s="1"/>
  <c r="P1653" i="10" s="1"/>
  <c r="Q1653" i="10" s="1"/>
  <c r="R1653" i="10" s="1"/>
  <c r="S1653" i="10" s="1"/>
  <c r="T1653" i="10" s="1"/>
  <c r="U1653" i="10" s="1"/>
  <c r="V1653" i="10" s="1"/>
  <c r="D1655" i="10" l="1"/>
  <c r="M1654" i="10"/>
  <c r="N1654" i="10" s="1"/>
  <c r="O1654" i="10" s="1"/>
  <c r="P1654" i="10" s="1"/>
  <c r="Q1654" i="10" s="1"/>
  <c r="R1654" i="10" s="1"/>
  <c r="S1654" i="10" s="1"/>
  <c r="T1654" i="10" s="1"/>
  <c r="U1654" i="10" s="1"/>
  <c r="V1654" i="10" s="1"/>
  <c r="D1656" i="10" l="1"/>
  <c r="M1655" i="10"/>
  <c r="N1655" i="10" s="1"/>
  <c r="O1655" i="10" s="1"/>
  <c r="P1655" i="10" s="1"/>
  <c r="Q1655" i="10" s="1"/>
  <c r="R1655" i="10" s="1"/>
  <c r="S1655" i="10" s="1"/>
  <c r="T1655" i="10" s="1"/>
  <c r="U1655" i="10" s="1"/>
  <c r="V1655" i="10" s="1"/>
  <c r="D1657" i="10" l="1"/>
  <c r="M1656" i="10"/>
  <c r="N1656" i="10" s="1"/>
  <c r="O1656" i="10" s="1"/>
  <c r="P1656" i="10" s="1"/>
  <c r="Q1656" i="10" s="1"/>
  <c r="R1656" i="10" s="1"/>
  <c r="S1656" i="10" s="1"/>
  <c r="T1656" i="10" s="1"/>
  <c r="U1656" i="10" s="1"/>
  <c r="V1656" i="10" s="1"/>
  <c r="D1658" i="10" l="1"/>
  <c r="M1657" i="10"/>
  <c r="N1657" i="10" s="1"/>
  <c r="O1657" i="10" s="1"/>
  <c r="P1657" i="10" s="1"/>
  <c r="Q1657" i="10" s="1"/>
  <c r="R1657" i="10" s="1"/>
  <c r="S1657" i="10" s="1"/>
  <c r="T1657" i="10" s="1"/>
  <c r="U1657" i="10" s="1"/>
  <c r="V1657" i="10" s="1"/>
  <c r="D1659" i="10" l="1"/>
  <c r="M1658" i="10"/>
  <c r="N1658" i="10" s="1"/>
  <c r="O1658" i="10" s="1"/>
  <c r="P1658" i="10" s="1"/>
  <c r="Q1658" i="10" s="1"/>
  <c r="R1658" i="10" s="1"/>
  <c r="S1658" i="10" s="1"/>
  <c r="T1658" i="10" s="1"/>
  <c r="U1658" i="10" s="1"/>
  <c r="V1658" i="10" s="1"/>
  <c r="D1660" i="10" l="1"/>
  <c r="M1659" i="10"/>
  <c r="N1659" i="10" s="1"/>
  <c r="O1659" i="10" s="1"/>
  <c r="P1659" i="10" s="1"/>
  <c r="Q1659" i="10" s="1"/>
  <c r="R1659" i="10" s="1"/>
  <c r="S1659" i="10" s="1"/>
  <c r="T1659" i="10" s="1"/>
  <c r="U1659" i="10" s="1"/>
  <c r="V1659" i="10" s="1"/>
  <c r="D1661" i="10" l="1"/>
  <c r="M1660" i="10"/>
  <c r="N1660" i="10" s="1"/>
  <c r="O1660" i="10" s="1"/>
  <c r="P1660" i="10" s="1"/>
  <c r="Q1660" i="10" s="1"/>
  <c r="R1660" i="10" s="1"/>
  <c r="S1660" i="10" s="1"/>
  <c r="T1660" i="10" s="1"/>
  <c r="U1660" i="10" s="1"/>
  <c r="V1660" i="10" s="1"/>
  <c r="D1662" i="10" l="1"/>
  <c r="M1661" i="10"/>
  <c r="N1661" i="10" s="1"/>
  <c r="O1661" i="10" s="1"/>
  <c r="P1661" i="10" s="1"/>
  <c r="Q1661" i="10" s="1"/>
  <c r="R1661" i="10" s="1"/>
  <c r="S1661" i="10" s="1"/>
  <c r="T1661" i="10" s="1"/>
  <c r="U1661" i="10" s="1"/>
  <c r="V1661" i="10" s="1"/>
  <c r="D1663" i="10" l="1"/>
  <c r="M1662" i="10"/>
  <c r="N1662" i="10" s="1"/>
  <c r="O1662" i="10" s="1"/>
  <c r="P1662" i="10" s="1"/>
  <c r="Q1662" i="10" s="1"/>
  <c r="R1662" i="10" s="1"/>
  <c r="S1662" i="10" s="1"/>
  <c r="T1662" i="10" s="1"/>
  <c r="U1662" i="10" s="1"/>
  <c r="V1662" i="10" s="1"/>
  <c r="D1664" i="10" l="1"/>
  <c r="M1663" i="10"/>
  <c r="N1663" i="10" s="1"/>
  <c r="O1663" i="10" s="1"/>
  <c r="P1663" i="10" s="1"/>
  <c r="Q1663" i="10" s="1"/>
  <c r="R1663" i="10" s="1"/>
  <c r="S1663" i="10" s="1"/>
  <c r="T1663" i="10" s="1"/>
  <c r="U1663" i="10" s="1"/>
  <c r="V1663" i="10" s="1"/>
  <c r="D1665" i="10" l="1"/>
  <c r="M1664" i="10"/>
  <c r="N1664" i="10" s="1"/>
  <c r="O1664" i="10" s="1"/>
  <c r="P1664" i="10" s="1"/>
  <c r="Q1664" i="10" s="1"/>
  <c r="R1664" i="10" s="1"/>
  <c r="S1664" i="10" s="1"/>
  <c r="T1664" i="10" s="1"/>
  <c r="U1664" i="10" s="1"/>
  <c r="V1664" i="10" s="1"/>
  <c r="D1666" i="10" l="1"/>
  <c r="M1665" i="10"/>
  <c r="N1665" i="10" s="1"/>
  <c r="O1665" i="10" s="1"/>
  <c r="P1665" i="10" s="1"/>
  <c r="Q1665" i="10" s="1"/>
  <c r="R1665" i="10" s="1"/>
  <c r="S1665" i="10" s="1"/>
  <c r="T1665" i="10" s="1"/>
  <c r="U1665" i="10" s="1"/>
  <c r="V1665" i="10" s="1"/>
  <c r="D1667" i="10" l="1"/>
  <c r="M1666" i="10"/>
  <c r="N1666" i="10" s="1"/>
  <c r="O1666" i="10" s="1"/>
  <c r="P1666" i="10" s="1"/>
  <c r="Q1666" i="10" s="1"/>
  <c r="R1666" i="10" s="1"/>
  <c r="S1666" i="10" s="1"/>
  <c r="T1666" i="10" s="1"/>
  <c r="U1666" i="10" s="1"/>
  <c r="V1666" i="10" s="1"/>
  <c r="D1668" i="10" l="1"/>
  <c r="M1667" i="10"/>
  <c r="N1667" i="10" s="1"/>
  <c r="O1667" i="10" s="1"/>
  <c r="P1667" i="10" s="1"/>
  <c r="Q1667" i="10" s="1"/>
  <c r="R1667" i="10" s="1"/>
  <c r="S1667" i="10" s="1"/>
  <c r="T1667" i="10" s="1"/>
  <c r="U1667" i="10" s="1"/>
  <c r="V1667" i="10" s="1"/>
  <c r="D1669" i="10" l="1"/>
  <c r="M1668" i="10"/>
  <c r="N1668" i="10" s="1"/>
  <c r="O1668" i="10" s="1"/>
  <c r="P1668" i="10" s="1"/>
  <c r="Q1668" i="10" s="1"/>
  <c r="R1668" i="10" s="1"/>
  <c r="S1668" i="10" s="1"/>
  <c r="T1668" i="10" s="1"/>
  <c r="U1668" i="10" s="1"/>
  <c r="V1668" i="10" s="1"/>
  <c r="D1670" i="10" l="1"/>
  <c r="M1669" i="10"/>
  <c r="N1669" i="10" s="1"/>
  <c r="O1669" i="10" s="1"/>
  <c r="P1669" i="10" s="1"/>
  <c r="Q1669" i="10" s="1"/>
  <c r="R1669" i="10" s="1"/>
  <c r="S1669" i="10" s="1"/>
  <c r="T1669" i="10" s="1"/>
  <c r="U1669" i="10" s="1"/>
  <c r="V1669" i="10" s="1"/>
  <c r="D1671" i="10" l="1"/>
  <c r="M1670" i="10"/>
  <c r="N1670" i="10" s="1"/>
  <c r="O1670" i="10" s="1"/>
  <c r="P1670" i="10" s="1"/>
  <c r="Q1670" i="10" s="1"/>
  <c r="R1670" i="10" s="1"/>
  <c r="S1670" i="10" s="1"/>
  <c r="T1670" i="10" s="1"/>
  <c r="U1670" i="10" s="1"/>
  <c r="V1670" i="10" s="1"/>
  <c r="D1672" i="10" l="1"/>
  <c r="M1671" i="10"/>
  <c r="N1671" i="10" s="1"/>
  <c r="O1671" i="10" s="1"/>
  <c r="P1671" i="10" s="1"/>
  <c r="Q1671" i="10" s="1"/>
  <c r="R1671" i="10" s="1"/>
  <c r="S1671" i="10" s="1"/>
  <c r="T1671" i="10" s="1"/>
  <c r="U1671" i="10" s="1"/>
  <c r="V1671" i="10" s="1"/>
  <c r="D1673" i="10" l="1"/>
  <c r="M1672" i="10"/>
  <c r="N1672" i="10" s="1"/>
  <c r="O1672" i="10" s="1"/>
  <c r="P1672" i="10" s="1"/>
  <c r="Q1672" i="10" s="1"/>
  <c r="R1672" i="10" s="1"/>
  <c r="S1672" i="10" s="1"/>
  <c r="T1672" i="10" s="1"/>
  <c r="U1672" i="10" s="1"/>
  <c r="V1672" i="10" s="1"/>
  <c r="D1674" i="10" l="1"/>
  <c r="M1673" i="10"/>
  <c r="N1673" i="10" s="1"/>
  <c r="O1673" i="10" s="1"/>
  <c r="P1673" i="10" s="1"/>
  <c r="Q1673" i="10" s="1"/>
  <c r="R1673" i="10" s="1"/>
  <c r="S1673" i="10" s="1"/>
  <c r="T1673" i="10" s="1"/>
  <c r="U1673" i="10" s="1"/>
  <c r="V1673" i="10" s="1"/>
  <c r="D1675" i="10" l="1"/>
  <c r="M1674" i="10"/>
  <c r="N1674" i="10" s="1"/>
  <c r="O1674" i="10" s="1"/>
  <c r="P1674" i="10" s="1"/>
  <c r="Q1674" i="10" s="1"/>
  <c r="R1674" i="10" s="1"/>
  <c r="S1674" i="10" s="1"/>
  <c r="T1674" i="10" s="1"/>
  <c r="U1674" i="10" s="1"/>
  <c r="V1674" i="10" s="1"/>
  <c r="D1676" i="10" l="1"/>
  <c r="M1675" i="10"/>
  <c r="N1675" i="10" s="1"/>
  <c r="O1675" i="10" s="1"/>
  <c r="P1675" i="10" s="1"/>
  <c r="Q1675" i="10" s="1"/>
  <c r="R1675" i="10" s="1"/>
  <c r="S1675" i="10" s="1"/>
  <c r="T1675" i="10" s="1"/>
  <c r="U1675" i="10" s="1"/>
  <c r="V1675" i="10" s="1"/>
  <c r="D1677" i="10" l="1"/>
  <c r="M1676" i="10"/>
  <c r="N1676" i="10" s="1"/>
  <c r="O1676" i="10" s="1"/>
  <c r="P1676" i="10" s="1"/>
  <c r="Q1676" i="10" s="1"/>
  <c r="R1676" i="10" s="1"/>
  <c r="S1676" i="10" s="1"/>
  <c r="T1676" i="10" s="1"/>
  <c r="U1676" i="10" s="1"/>
  <c r="V1676" i="10" s="1"/>
  <c r="D1678" i="10" l="1"/>
  <c r="M1677" i="10"/>
  <c r="N1677" i="10" s="1"/>
  <c r="O1677" i="10" s="1"/>
  <c r="P1677" i="10" s="1"/>
  <c r="Q1677" i="10" s="1"/>
  <c r="R1677" i="10" s="1"/>
  <c r="S1677" i="10" s="1"/>
  <c r="T1677" i="10" s="1"/>
  <c r="U1677" i="10" s="1"/>
  <c r="V1677" i="10" s="1"/>
  <c r="D1679" i="10" l="1"/>
  <c r="M1678" i="10"/>
  <c r="N1678" i="10" s="1"/>
  <c r="O1678" i="10" s="1"/>
  <c r="P1678" i="10" s="1"/>
  <c r="Q1678" i="10" s="1"/>
  <c r="R1678" i="10" s="1"/>
  <c r="S1678" i="10" s="1"/>
  <c r="T1678" i="10" s="1"/>
  <c r="U1678" i="10" s="1"/>
  <c r="V1678" i="10" s="1"/>
  <c r="D1680" i="10" l="1"/>
  <c r="M1679" i="10"/>
  <c r="N1679" i="10" s="1"/>
  <c r="O1679" i="10" s="1"/>
  <c r="P1679" i="10" s="1"/>
  <c r="Q1679" i="10" s="1"/>
  <c r="R1679" i="10" s="1"/>
  <c r="S1679" i="10" s="1"/>
  <c r="T1679" i="10" s="1"/>
  <c r="U1679" i="10" s="1"/>
  <c r="V1679" i="10" s="1"/>
  <c r="D1681" i="10" l="1"/>
  <c r="M1680" i="10"/>
  <c r="N1680" i="10" s="1"/>
  <c r="O1680" i="10" s="1"/>
  <c r="P1680" i="10" s="1"/>
  <c r="Q1680" i="10" s="1"/>
  <c r="R1680" i="10" s="1"/>
  <c r="S1680" i="10" s="1"/>
  <c r="T1680" i="10" s="1"/>
  <c r="U1680" i="10" s="1"/>
  <c r="V1680" i="10" s="1"/>
  <c r="D1682" i="10" l="1"/>
  <c r="M1681" i="10"/>
  <c r="N1681" i="10" s="1"/>
  <c r="O1681" i="10" s="1"/>
  <c r="P1681" i="10" s="1"/>
  <c r="Q1681" i="10" s="1"/>
  <c r="R1681" i="10" s="1"/>
  <c r="S1681" i="10" s="1"/>
  <c r="T1681" i="10" s="1"/>
  <c r="U1681" i="10" s="1"/>
  <c r="V1681" i="10" s="1"/>
  <c r="D1683" i="10" l="1"/>
  <c r="M1682" i="10"/>
  <c r="N1682" i="10" s="1"/>
  <c r="O1682" i="10" s="1"/>
  <c r="P1682" i="10" s="1"/>
  <c r="Q1682" i="10" s="1"/>
  <c r="R1682" i="10" s="1"/>
  <c r="S1682" i="10" s="1"/>
  <c r="T1682" i="10" s="1"/>
  <c r="U1682" i="10" s="1"/>
  <c r="V1682" i="10" s="1"/>
  <c r="D1684" i="10" l="1"/>
  <c r="M1683" i="10"/>
  <c r="N1683" i="10" s="1"/>
  <c r="O1683" i="10" s="1"/>
  <c r="P1683" i="10" s="1"/>
  <c r="Q1683" i="10" s="1"/>
  <c r="R1683" i="10" s="1"/>
  <c r="S1683" i="10" s="1"/>
  <c r="T1683" i="10" s="1"/>
  <c r="U1683" i="10" s="1"/>
  <c r="V1683" i="10" s="1"/>
  <c r="D1685" i="10" l="1"/>
  <c r="M1684" i="10"/>
  <c r="N1684" i="10" s="1"/>
  <c r="O1684" i="10" s="1"/>
  <c r="P1684" i="10" s="1"/>
  <c r="Q1684" i="10" s="1"/>
  <c r="R1684" i="10" s="1"/>
  <c r="S1684" i="10" s="1"/>
  <c r="T1684" i="10" s="1"/>
  <c r="U1684" i="10" s="1"/>
  <c r="V1684" i="10" s="1"/>
  <c r="D1686" i="10" l="1"/>
  <c r="M1685" i="10"/>
  <c r="N1685" i="10" s="1"/>
  <c r="O1685" i="10" s="1"/>
  <c r="P1685" i="10" s="1"/>
  <c r="Q1685" i="10" s="1"/>
  <c r="R1685" i="10" s="1"/>
  <c r="S1685" i="10" s="1"/>
  <c r="T1685" i="10" s="1"/>
  <c r="U1685" i="10" s="1"/>
  <c r="V1685" i="10" s="1"/>
  <c r="D1687" i="10" l="1"/>
  <c r="M1686" i="10"/>
  <c r="N1686" i="10" s="1"/>
  <c r="O1686" i="10" s="1"/>
  <c r="P1686" i="10" s="1"/>
  <c r="Q1686" i="10" s="1"/>
  <c r="R1686" i="10" s="1"/>
  <c r="S1686" i="10" s="1"/>
  <c r="T1686" i="10" s="1"/>
  <c r="U1686" i="10" s="1"/>
  <c r="V1686" i="10" s="1"/>
  <c r="D1688" i="10" l="1"/>
  <c r="M1687" i="10"/>
  <c r="N1687" i="10" s="1"/>
  <c r="O1687" i="10" s="1"/>
  <c r="P1687" i="10" s="1"/>
  <c r="Q1687" i="10" s="1"/>
  <c r="R1687" i="10" s="1"/>
  <c r="S1687" i="10" s="1"/>
  <c r="T1687" i="10" s="1"/>
  <c r="U1687" i="10" s="1"/>
  <c r="V1687" i="10" s="1"/>
  <c r="D1689" i="10" l="1"/>
  <c r="M1688" i="10"/>
  <c r="N1688" i="10" s="1"/>
  <c r="O1688" i="10" s="1"/>
  <c r="P1688" i="10" s="1"/>
  <c r="Q1688" i="10" s="1"/>
  <c r="R1688" i="10" s="1"/>
  <c r="S1688" i="10" s="1"/>
  <c r="T1688" i="10" s="1"/>
  <c r="U1688" i="10" s="1"/>
  <c r="V1688" i="10" s="1"/>
  <c r="D1690" i="10" l="1"/>
  <c r="M1689" i="10"/>
  <c r="N1689" i="10" s="1"/>
  <c r="O1689" i="10" s="1"/>
  <c r="P1689" i="10" s="1"/>
  <c r="Q1689" i="10" s="1"/>
  <c r="R1689" i="10" s="1"/>
  <c r="S1689" i="10" s="1"/>
  <c r="T1689" i="10" s="1"/>
  <c r="U1689" i="10" s="1"/>
  <c r="V1689" i="10" s="1"/>
  <c r="D1691" i="10" l="1"/>
  <c r="M1690" i="10"/>
  <c r="N1690" i="10" s="1"/>
  <c r="O1690" i="10" s="1"/>
  <c r="P1690" i="10" s="1"/>
  <c r="Q1690" i="10" s="1"/>
  <c r="R1690" i="10" s="1"/>
  <c r="S1690" i="10" s="1"/>
  <c r="T1690" i="10" s="1"/>
  <c r="U1690" i="10" s="1"/>
  <c r="V1690" i="10" s="1"/>
  <c r="D1692" i="10" l="1"/>
  <c r="M1691" i="10"/>
  <c r="N1691" i="10" s="1"/>
  <c r="O1691" i="10" s="1"/>
  <c r="P1691" i="10" s="1"/>
  <c r="Q1691" i="10" s="1"/>
  <c r="R1691" i="10" s="1"/>
  <c r="S1691" i="10" s="1"/>
  <c r="T1691" i="10" s="1"/>
  <c r="U1691" i="10" s="1"/>
  <c r="V1691" i="10" s="1"/>
  <c r="D1693" i="10" l="1"/>
  <c r="M1692" i="10"/>
  <c r="N1692" i="10" s="1"/>
  <c r="O1692" i="10" s="1"/>
  <c r="P1692" i="10" s="1"/>
  <c r="Q1692" i="10" s="1"/>
  <c r="R1692" i="10" s="1"/>
  <c r="S1692" i="10" s="1"/>
  <c r="T1692" i="10" s="1"/>
  <c r="U1692" i="10" s="1"/>
  <c r="V1692" i="10" s="1"/>
  <c r="D1694" i="10" l="1"/>
  <c r="M1693" i="10"/>
  <c r="N1693" i="10" s="1"/>
  <c r="O1693" i="10" s="1"/>
  <c r="P1693" i="10" s="1"/>
  <c r="Q1693" i="10" s="1"/>
  <c r="R1693" i="10" s="1"/>
  <c r="S1693" i="10" s="1"/>
  <c r="T1693" i="10" s="1"/>
  <c r="U1693" i="10" s="1"/>
  <c r="V1693" i="10" s="1"/>
  <c r="D1695" i="10" l="1"/>
  <c r="M1694" i="10"/>
  <c r="N1694" i="10" s="1"/>
  <c r="O1694" i="10" s="1"/>
  <c r="P1694" i="10" s="1"/>
  <c r="Q1694" i="10" s="1"/>
  <c r="R1694" i="10" s="1"/>
  <c r="S1694" i="10" s="1"/>
  <c r="T1694" i="10" s="1"/>
  <c r="U1694" i="10" s="1"/>
  <c r="V1694" i="10" s="1"/>
  <c r="D1696" i="10" l="1"/>
  <c r="M1695" i="10"/>
  <c r="N1695" i="10" s="1"/>
  <c r="O1695" i="10" s="1"/>
  <c r="P1695" i="10" s="1"/>
  <c r="Q1695" i="10" s="1"/>
  <c r="R1695" i="10" s="1"/>
  <c r="S1695" i="10" s="1"/>
  <c r="T1695" i="10" s="1"/>
  <c r="U1695" i="10" s="1"/>
  <c r="V1695" i="10" s="1"/>
  <c r="D1697" i="10" l="1"/>
  <c r="M1696" i="10"/>
  <c r="N1696" i="10" s="1"/>
  <c r="O1696" i="10" s="1"/>
  <c r="P1696" i="10" s="1"/>
  <c r="Q1696" i="10" s="1"/>
  <c r="R1696" i="10" s="1"/>
  <c r="S1696" i="10" s="1"/>
  <c r="T1696" i="10" s="1"/>
  <c r="U1696" i="10" s="1"/>
  <c r="V1696" i="10" s="1"/>
  <c r="D1698" i="10" l="1"/>
  <c r="M1697" i="10"/>
  <c r="N1697" i="10" s="1"/>
  <c r="O1697" i="10" s="1"/>
  <c r="P1697" i="10" s="1"/>
  <c r="Q1697" i="10" s="1"/>
  <c r="R1697" i="10" s="1"/>
  <c r="S1697" i="10" s="1"/>
  <c r="T1697" i="10" s="1"/>
  <c r="U1697" i="10" s="1"/>
  <c r="V1697" i="10" s="1"/>
  <c r="D1699" i="10" l="1"/>
  <c r="M1698" i="10"/>
  <c r="N1698" i="10" s="1"/>
  <c r="O1698" i="10" s="1"/>
  <c r="P1698" i="10" s="1"/>
  <c r="Q1698" i="10" s="1"/>
  <c r="R1698" i="10" s="1"/>
  <c r="S1698" i="10" s="1"/>
  <c r="T1698" i="10" s="1"/>
  <c r="U1698" i="10" s="1"/>
  <c r="V1698" i="10" s="1"/>
  <c r="D1700" i="10" l="1"/>
  <c r="M1699" i="10"/>
  <c r="N1699" i="10" s="1"/>
  <c r="O1699" i="10" s="1"/>
  <c r="P1699" i="10" s="1"/>
  <c r="Q1699" i="10" s="1"/>
  <c r="R1699" i="10" s="1"/>
  <c r="S1699" i="10" s="1"/>
  <c r="T1699" i="10" s="1"/>
  <c r="U1699" i="10" s="1"/>
  <c r="V1699" i="10" s="1"/>
  <c r="D1701" i="10" l="1"/>
  <c r="M1700" i="10"/>
  <c r="N1700" i="10" s="1"/>
  <c r="O1700" i="10" s="1"/>
  <c r="P1700" i="10" s="1"/>
  <c r="Q1700" i="10" s="1"/>
  <c r="R1700" i="10" s="1"/>
  <c r="S1700" i="10" s="1"/>
  <c r="T1700" i="10" s="1"/>
  <c r="U1700" i="10" s="1"/>
  <c r="V1700" i="10" s="1"/>
  <c r="D1702" i="10" l="1"/>
  <c r="M1701" i="10"/>
  <c r="N1701" i="10" s="1"/>
  <c r="O1701" i="10" s="1"/>
  <c r="P1701" i="10" s="1"/>
  <c r="Q1701" i="10" s="1"/>
  <c r="R1701" i="10" s="1"/>
  <c r="S1701" i="10" s="1"/>
  <c r="T1701" i="10" s="1"/>
  <c r="U1701" i="10" s="1"/>
  <c r="V1701" i="10" s="1"/>
  <c r="D1703" i="10" l="1"/>
  <c r="M1702" i="10"/>
  <c r="N1702" i="10" s="1"/>
  <c r="O1702" i="10" s="1"/>
  <c r="P1702" i="10" s="1"/>
  <c r="Q1702" i="10" s="1"/>
  <c r="R1702" i="10" s="1"/>
  <c r="S1702" i="10" s="1"/>
  <c r="T1702" i="10" s="1"/>
  <c r="U1702" i="10" s="1"/>
  <c r="V1702" i="10" s="1"/>
  <c r="D1704" i="10" l="1"/>
  <c r="M1703" i="10"/>
  <c r="N1703" i="10" s="1"/>
  <c r="O1703" i="10" s="1"/>
  <c r="P1703" i="10" s="1"/>
  <c r="Q1703" i="10" s="1"/>
  <c r="R1703" i="10" s="1"/>
  <c r="S1703" i="10" s="1"/>
  <c r="T1703" i="10" s="1"/>
  <c r="U1703" i="10" s="1"/>
  <c r="V1703" i="10" s="1"/>
  <c r="D1705" i="10" l="1"/>
  <c r="M1704" i="10"/>
  <c r="N1704" i="10" s="1"/>
  <c r="O1704" i="10" s="1"/>
  <c r="P1704" i="10" s="1"/>
  <c r="Q1704" i="10" s="1"/>
  <c r="R1704" i="10" s="1"/>
  <c r="S1704" i="10" s="1"/>
  <c r="T1704" i="10" s="1"/>
  <c r="U1704" i="10" s="1"/>
  <c r="V1704" i="10" s="1"/>
  <c r="D1706" i="10" l="1"/>
  <c r="M1705" i="10"/>
  <c r="N1705" i="10" s="1"/>
  <c r="O1705" i="10" s="1"/>
  <c r="P1705" i="10" s="1"/>
  <c r="Q1705" i="10" s="1"/>
  <c r="R1705" i="10" s="1"/>
  <c r="S1705" i="10" s="1"/>
  <c r="T1705" i="10" s="1"/>
  <c r="U1705" i="10" s="1"/>
  <c r="V1705" i="10" s="1"/>
  <c r="D1707" i="10" l="1"/>
  <c r="M1706" i="10"/>
  <c r="N1706" i="10" s="1"/>
  <c r="O1706" i="10" s="1"/>
  <c r="P1706" i="10" s="1"/>
  <c r="Q1706" i="10" s="1"/>
  <c r="R1706" i="10" s="1"/>
  <c r="S1706" i="10" s="1"/>
  <c r="T1706" i="10" s="1"/>
  <c r="U1706" i="10" s="1"/>
  <c r="V1706" i="10" s="1"/>
  <c r="D1708" i="10" l="1"/>
  <c r="M1707" i="10"/>
  <c r="N1707" i="10" s="1"/>
  <c r="O1707" i="10" s="1"/>
  <c r="P1707" i="10" s="1"/>
  <c r="Q1707" i="10" s="1"/>
  <c r="R1707" i="10" s="1"/>
  <c r="S1707" i="10" s="1"/>
  <c r="T1707" i="10" s="1"/>
  <c r="U1707" i="10" s="1"/>
  <c r="V1707" i="10" s="1"/>
  <c r="D1709" i="10" l="1"/>
  <c r="M1708" i="10"/>
  <c r="N1708" i="10" s="1"/>
  <c r="O1708" i="10" s="1"/>
  <c r="P1708" i="10" s="1"/>
  <c r="Q1708" i="10" s="1"/>
  <c r="R1708" i="10" s="1"/>
  <c r="S1708" i="10" s="1"/>
  <c r="T1708" i="10" s="1"/>
  <c r="U1708" i="10" s="1"/>
  <c r="V1708" i="10" s="1"/>
  <c r="D1710" i="10" l="1"/>
  <c r="M1709" i="10"/>
  <c r="N1709" i="10" s="1"/>
  <c r="O1709" i="10" s="1"/>
  <c r="P1709" i="10" s="1"/>
  <c r="Q1709" i="10" s="1"/>
  <c r="R1709" i="10" s="1"/>
  <c r="S1709" i="10" s="1"/>
  <c r="T1709" i="10" s="1"/>
  <c r="U1709" i="10" s="1"/>
  <c r="V1709" i="10" s="1"/>
  <c r="D1711" i="10" l="1"/>
  <c r="M1710" i="10"/>
  <c r="N1710" i="10" s="1"/>
  <c r="O1710" i="10" s="1"/>
  <c r="P1710" i="10" s="1"/>
  <c r="Q1710" i="10" s="1"/>
  <c r="R1710" i="10" s="1"/>
  <c r="S1710" i="10" s="1"/>
  <c r="T1710" i="10" s="1"/>
  <c r="U1710" i="10" s="1"/>
  <c r="V1710" i="10" s="1"/>
  <c r="D1712" i="10" l="1"/>
  <c r="M1711" i="10"/>
  <c r="N1711" i="10" s="1"/>
  <c r="O1711" i="10" s="1"/>
  <c r="P1711" i="10" s="1"/>
  <c r="Q1711" i="10" s="1"/>
  <c r="R1711" i="10" s="1"/>
  <c r="S1711" i="10" s="1"/>
  <c r="T1711" i="10" s="1"/>
  <c r="U1711" i="10" s="1"/>
  <c r="V1711" i="10" s="1"/>
  <c r="D1713" i="10" l="1"/>
  <c r="M1712" i="10"/>
  <c r="N1712" i="10" s="1"/>
  <c r="O1712" i="10" s="1"/>
  <c r="P1712" i="10" s="1"/>
  <c r="Q1712" i="10" s="1"/>
  <c r="R1712" i="10" s="1"/>
  <c r="S1712" i="10" s="1"/>
  <c r="T1712" i="10" s="1"/>
  <c r="U1712" i="10" s="1"/>
  <c r="V1712" i="10" s="1"/>
  <c r="D1714" i="10" l="1"/>
  <c r="M1713" i="10"/>
  <c r="N1713" i="10" s="1"/>
  <c r="O1713" i="10" s="1"/>
  <c r="P1713" i="10" s="1"/>
  <c r="Q1713" i="10" s="1"/>
  <c r="R1713" i="10" s="1"/>
  <c r="S1713" i="10" s="1"/>
  <c r="T1713" i="10" s="1"/>
  <c r="U1713" i="10" s="1"/>
  <c r="V1713" i="10" s="1"/>
  <c r="D1715" i="10" l="1"/>
  <c r="M1714" i="10"/>
  <c r="N1714" i="10" s="1"/>
  <c r="O1714" i="10" s="1"/>
  <c r="P1714" i="10" s="1"/>
  <c r="Q1714" i="10" s="1"/>
  <c r="R1714" i="10" s="1"/>
  <c r="S1714" i="10" s="1"/>
  <c r="T1714" i="10" s="1"/>
  <c r="U1714" i="10" s="1"/>
  <c r="V1714" i="10" s="1"/>
  <c r="D1716" i="10" l="1"/>
  <c r="M1715" i="10"/>
  <c r="N1715" i="10" s="1"/>
  <c r="O1715" i="10" s="1"/>
  <c r="P1715" i="10" s="1"/>
  <c r="Q1715" i="10" s="1"/>
  <c r="R1715" i="10" s="1"/>
  <c r="S1715" i="10" s="1"/>
  <c r="T1715" i="10" s="1"/>
  <c r="U1715" i="10" s="1"/>
  <c r="V1715" i="10" s="1"/>
  <c r="D1717" i="10" l="1"/>
  <c r="M1716" i="10"/>
  <c r="N1716" i="10" s="1"/>
  <c r="O1716" i="10" s="1"/>
  <c r="P1716" i="10" s="1"/>
  <c r="Q1716" i="10" s="1"/>
  <c r="R1716" i="10" s="1"/>
  <c r="S1716" i="10" s="1"/>
  <c r="T1716" i="10" s="1"/>
  <c r="U1716" i="10" s="1"/>
  <c r="V1716" i="10" s="1"/>
  <c r="D1718" i="10" l="1"/>
  <c r="M1717" i="10"/>
  <c r="N1717" i="10" s="1"/>
  <c r="O1717" i="10" s="1"/>
  <c r="P1717" i="10" s="1"/>
  <c r="Q1717" i="10" s="1"/>
  <c r="R1717" i="10" s="1"/>
  <c r="S1717" i="10" s="1"/>
  <c r="T1717" i="10" s="1"/>
  <c r="U1717" i="10" s="1"/>
  <c r="V1717" i="10" s="1"/>
  <c r="D1719" i="10" l="1"/>
  <c r="M1718" i="10"/>
  <c r="N1718" i="10" s="1"/>
  <c r="O1718" i="10" s="1"/>
  <c r="P1718" i="10" s="1"/>
  <c r="Q1718" i="10" s="1"/>
  <c r="R1718" i="10" s="1"/>
  <c r="S1718" i="10" s="1"/>
  <c r="T1718" i="10" s="1"/>
  <c r="U1718" i="10" s="1"/>
  <c r="V1718" i="10" s="1"/>
  <c r="D1720" i="10" l="1"/>
  <c r="M1719" i="10"/>
  <c r="N1719" i="10" s="1"/>
  <c r="O1719" i="10" s="1"/>
  <c r="P1719" i="10" s="1"/>
  <c r="Q1719" i="10" s="1"/>
  <c r="R1719" i="10" s="1"/>
  <c r="S1719" i="10" s="1"/>
  <c r="T1719" i="10" s="1"/>
  <c r="U1719" i="10" s="1"/>
  <c r="V1719" i="10" s="1"/>
  <c r="D1721" i="10" l="1"/>
  <c r="M1720" i="10"/>
  <c r="N1720" i="10" s="1"/>
  <c r="O1720" i="10" s="1"/>
  <c r="P1720" i="10" s="1"/>
  <c r="Q1720" i="10" s="1"/>
  <c r="R1720" i="10" s="1"/>
  <c r="S1720" i="10" s="1"/>
  <c r="T1720" i="10" s="1"/>
  <c r="U1720" i="10" s="1"/>
  <c r="V1720" i="10" s="1"/>
  <c r="D1722" i="10" l="1"/>
  <c r="M1721" i="10"/>
  <c r="N1721" i="10" s="1"/>
  <c r="O1721" i="10" s="1"/>
  <c r="P1721" i="10" s="1"/>
  <c r="Q1721" i="10" s="1"/>
  <c r="R1721" i="10" s="1"/>
  <c r="S1721" i="10" s="1"/>
  <c r="T1721" i="10" s="1"/>
  <c r="U1721" i="10" s="1"/>
  <c r="V1721" i="10" s="1"/>
  <c r="D1723" i="10" l="1"/>
  <c r="M1722" i="10"/>
  <c r="N1722" i="10" s="1"/>
  <c r="O1722" i="10" s="1"/>
  <c r="P1722" i="10" s="1"/>
  <c r="Q1722" i="10" s="1"/>
  <c r="R1722" i="10" s="1"/>
  <c r="S1722" i="10" s="1"/>
  <c r="T1722" i="10" s="1"/>
  <c r="U1722" i="10" s="1"/>
  <c r="V1722" i="10" s="1"/>
  <c r="D1724" i="10" l="1"/>
  <c r="M1723" i="10"/>
  <c r="N1723" i="10" s="1"/>
  <c r="O1723" i="10" s="1"/>
  <c r="P1723" i="10" s="1"/>
  <c r="Q1723" i="10" s="1"/>
  <c r="R1723" i="10" s="1"/>
  <c r="S1723" i="10" s="1"/>
  <c r="T1723" i="10" s="1"/>
  <c r="U1723" i="10" s="1"/>
  <c r="V1723" i="10" s="1"/>
  <c r="D1725" i="10" l="1"/>
  <c r="M1724" i="10"/>
  <c r="N1724" i="10" s="1"/>
  <c r="O1724" i="10" s="1"/>
  <c r="P1724" i="10" s="1"/>
  <c r="Q1724" i="10" s="1"/>
  <c r="R1724" i="10" s="1"/>
  <c r="S1724" i="10" s="1"/>
  <c r="T1724" i="10" s="1"/>
  <c r="U1724" i="10" s="1"/>
  <c r="V1724" i="10" s="1"/>
  <c r="D1726" i="10" l="1"/>
  <c r="M1725" i="10"/>
  <c r="N1725" i="10" s="1"/>
  <c r="O1725" i="10" s="1"/>
  <c r="P1725" i="10" s="1"/>
  <c r="Q1725" i="10" s="1"/>
  <c r="R1725" i="10" s="1"/>
  <c r="S1725" i="10" s="1"/>
  <c r="T1725" i="10" s="1"/>
  <c r="U1725" i="10" s="1"/>
  <c r="V1725" i="10" s="1"/>
  <c r="D1727" i="10" l="1"/>
  <c r="M1726" i="10"/>
  <c r="N1726" i="10" s="1"/>
  <c r="O1726" i="10" s="1"/>
  <c r="P1726" i="10" s="1"/>
  <c r="Q1726" i="10" s="1"/>
  <c r="R1726" i="10" s="1"/>
  <c r="S1726" i="10" s="1"/>
  <c r="T1726" i="10" s="1"/>
  <c r="U1726" i="10" s="1"/>
  <c r="V1726" i="10" s="1"/>
  <c r="D1728" i="10" l="1"/>
  <c r="M1727" i="10"/>
  <c r="N1727" i="10" s="1"/>
  <c r="O1727" i="10" s="1"/>
  <c r="P1727" i="10" s="1"/>
  <c r="Q1727" i="10" s="1"/>
  <c r="R1727" i="10" s="1"/>
  <c r="S1727" i="10" s="1"/>
  <c r="T1727" i="10" s="1"/>
  <c r="U1727" i="10" s="1"/>
  <c r="V1727" i="10" s="1"/>
  <c r="D1729" i="10" l="1"/>
  <c r="M1728" i="10"/>
  <c r="N1728" i="10" s="1"/>
  <c r="O1728" i="10" s="1"/>
  <c r="P1728" i="10" s="1"/>
  <c r="Q1728" i="10" s="1"/>
  <c r="R1728" i="10" s="1"/>
  <c r="S1728" i="10" s="1"/>
  <c r="T1728" i="10" s="1"/>
  <c r="U1728" i="10" s="1"/>
  <c r="V1728" i="10" s="1"/>
  <c r="D1730" i="10" l="1"/>
  <c r="M1729" i="10"/>
  <c r="N1729" i="10" s="1"/>
  <c r="O1729" i="10" s="1"/>
  <c r="P1729" i="10" s="1"/>
  <c r="Q1729" i="10" s="1"/>
  <c r="R1729" i="10" s="1"/>
  <c r="S1729" i="10" s="1"/>
  <c r="T1729" i="10" s="1"/>
  <c r="U1729" i="10" s="1"/>
  <c r="V1729" i="10" s="1"/>
  <c r="D1731" i="10" l="1"/>
  <c r="M1730" i="10"/>
  <c r="N1730" i="10" s="1"/>
  <c r="O1730" i="10" s="1"/>
  <c r="P1730" i="10" s="1"/>
  <c r="Q1730" i="10" s="1"/>
  <c r="R1730" i="10" s="1"/>
  <c r="S1730" i="10" s="1"/>
  <c r="T1730" i="10" s="1"/>
  <c r="U1730" i="10" s="1"/>
  <c r="V1730" i="10" s="1"/>
  <c r="D1732" i="10" l="1"/>
  <c r="M1731" i="10"/>
  <c r="N1731" i="10" s="1"/>
  <c r="O1731" i="10" s="1"/>
  <c r="P1731" i="10" s="1"/>
  <c r="Q1731" i="10" s="1"/>
  <c r="R1731" i="10" s="1"/>
  <c r="S1731" i="10" s="1"/>
  <c r="T1731" i="10" s="1"/>
  <c r="U1731" i="10" s="1"/>
  <c r="V1731" i="10" s="1"/>
  <c r="D1733" i="10" l="1"/>
  <c r="M1732" i="10"/>
  <c r="N1732" i="10" s="1"/>
  <c r="O1732" i="10" s="1"/>
  <c r="P1732" i="10" s="1"/>
  <c r="Q1732" i="10" s="1"/>
  <c r="R1732" i="10" s="1"/>
  <c r="S1732" i="10" s="1"/>
  <c r="T1732" i="10" s="1"/>
  <c r="U1732" i="10" s="1"/>
  <c r="V1732" i="10" s="1"/>
  <c r="D1734" i="10" l="1"/>
  <c r="M1733" i="10"/>
  <c r="N1733" i="10" s="1"/>
  <c r="O1733" i="10" s="1"/>
  <c r="P1733" i="10" s="1"/>
  <c r="Q1733" i="10" s="1"/>
  <c r="R1733" i="10" s="1"/>
  <c r="S1733" i="10" s="1"/>
  <c r="T1733" i="10" s="1"/>
  <c r="U1733" i="10" s="1"/>
  <c r="V1733" i="10" s="1"/>
  <c r="D1735" i="10" l="1"/>
  <c r="M1734" i="10"/>
  <c r="N1734" i="10" s="1"/>
  <c r="O1734" i="10" s="1"/>
  <c r="P1734" i="10" s="1"/>
  <c r="Q1734" i="10" s="1"/>
  <c r="R1734" i="10" s="1"/>
  <c r="S1734" i="10" s="1"/>
  <c r="T1734" i="10" s="1"/>
  <c r="U1734" i="10" s="1"/>
  <c r="V1734" i="10" s="1"/>
  <c r="D1736" i="10" l="1"/>
  <c r="M1735" i="10"/>
  <c r="N1735" i="10" s="1"/>
  <c r="O1735" i="10" s="1"/>
  <c r="P1735" i="10" s="1"/>
  <c r="Q1735" i="10" s="1"/>
  <c r="R1735" i="10" s="1"/>
  <c r="S1735" i="10" s="1"/>
  <c r="T1735" i="10" s="1"/>
  <c r="U1735" i="10" s="1"/>
  <c r="V1735" i="10" s="1"/>
  <c r="D1737" i="10" l="1"/>
  <c r="M1736" i="10"/>
  <c r="N1736" i="10" s="1"/>
  <c r="O1736" i="10" s="1"/>
  <c r="P1736" i="10" s="1"/>
  <c r="Q1736" i="10" s="1"/>
  <c r="R1736" i="10" s="1"/>
  <c r="S1736" i="10" s="1"/>
  <c r="T1736" i="10" s="1"/>
  <c r="U1736" i="10" s="1"/>
  <c r="V1736" i="10" s="1"/>
  <c r="D1738" i="10" l="1"/>
  <c r="M1737" i="10"/>
  <c r="N1737" i="10" s="1"/>
  <c r="O1737" i="10" s="1"/>
  <c r="P1737" i="10" s="1"/>
  <c r="Q1737" i="10" s="1"/>
  <c r="R1737" i="10" s="1"/>
  <c r="S1737" i="10" s="1"/>
  <c r="T1737" i="10" s="1"/>
  <c r="U1737" i="10" s="1"/>
  <c r="V1737" i="10" s="1"/>
  <c r="D1739" i="10" l="1"/>
  <c r="M1738" i="10"/>
  <c r="N1738" i="10" s="1"/>
  <c r="O1738" i="10" s="1"/>
  <c r="P1738" i="10" s="1"/>
  <c r="Q1738" i="10" s="1"/>
  <c r="R1738" i="10" s="1"/>
  <c r="S1738" i="10" s="1"/>
  <c r="T1738" i="10" s="1"/>
  <c r="U1738" i="10" s="1"/>
  <c r="V1738" i="10" s="1"/>
  <c r="D1740" i="10" l="1"/>
  <c r="M1739" i="10"/>
  <c r="N1739" i="10" s="1"/>
  <c r="O1739" i="10" s="1"/>
  <c r="P1739" i="10" s="1"/>
  <c r="Q1739" i="10" s="1"/>
  <c r="R1739" i="10" s="1"/>
  <c r="S1739" i="10" s="1"/>
  <c r="T1739" i="10" s="1"/>
  <c r="U1739" i="10" s="1"/>
  <c r="V1739" i="10" s="1"/>
  <c r="D1741" i="10" l="1"/>
  <c r="M1740" i="10"/>
  <c r="N1740" i="10" s="1"/>
  <c r="O1740" i="10" s="1"/>
  <c r="P1740" i="10" s="1"/>
  <c r="Q1740" i="10" s="1"/>
  <c r="R1740" i="10" s="1"/>
  <c r="S1740" i="10" s="1"/>
  <c r="T1740" i="10" s="1"/>
  <c r="U1740" i="10" s="1"/>
  <c r="V1740" i="10" s="1"/>
  <c r="D1742" i="10" l="1"/>
  <c r="M1741" i="10"/>
  <c r="N1741" i="10" s="1"/>
  <c r="O1741" i="10" s="1"/>
  <c r="P1741" i="10" s="1"/>
  <c r="Q1741" i="10" s="1"/>
  <c r="R1741" i="10" s="1"/>
  <c r="S1741" i="10" s="1"/>
  <c r="T1741" i="10" s="1"/>
  <c r="U1741" i="10" s="1"/>
  <c r="V1741" i="10" s="1"/>
  <c r="D1743" i="10" l="1"/>
  <c r="M1742" i="10"/>
  <c r="N1742" i="10" s="1"/>
  <c r="O1742" i="10" s="1"/>
  <c r="P1742" i="10" s="1"/>
  <c r="Q1742" i="10" s="1"/>
  <c r="R1742" i="10" s="1"/>
  <c r="S1742" i="10" s="1"/>
  <c r="T1742" i="10" s="1"/>
  <c r="U1742" i="10" s="1"/>
  <c r="V1742" i="10" s="1"/>
  <c r="D1744" i="10" l="1"/>
  <c r="M1743" i="10"/>
  <c r="N1743" i="10" s="1"/>
  <c r="O1743" i="10" s="1"/>
  <c r="P1743" i="10" s="1"/>
  <c r="Q1743" i="10" s="1"/>
  <c r="R1743" i="10" s="1"/>
  <c r="S1743" i="10" s="1"/>
  <c r="T1743" i="10" s="1"/>
  <c r="U1743" i="10" s="1"/>
  <c r="V1743" i="10" s="1"/>
  <c r="D1745" i="10" l="1"/>
  <c r="M1744" i="10"/>
  <c r="N1744" i="10" s="1"/>
  <c r="O1744" i="10" s="1"/>
  <c r="P1744" i="10" s="1"/>
  <c r="Q1744" i="10" s="1"/>
  <c r="R1744" i="10" s="1"/>
  <c r="S1744" i="10" s="1"/>
  <c r="T1744" i="10" s="1"/>
  <c r="U1744" i="10" s="1"/>
  <c r="V1744" i="10" s="1"/>
  <c r="D1746" i="10" l="1"/>
  <c r="M1745" i="10"/>
  <c r="N1745" i="10" s="1"/>
  <c r="O1745" i="10" s="1"/>
  <c r="P1745" i="10" s="1"/>
  <c r="Q1745" i="10" s="1"/>
  <c r="R1745" i="10" s="1"/>
  <c r="S1745" i="10" s="1"/>
  <c r="T1745" i="10" s="1"/>
  <c r="U1745" i="10" s="1"/>
  <c r="V1745" i="10" s="1"/>
  <c r="D1747" i="10" l="1"/>
  <c r="M1746" i="10"/>
  <c r="N1746" i="10" s="1"/>
  <c r="O1746" i="10" s="1"/>
  <c r="P1746" i="10" s="1"/>
  <c r="Q1746" i="10" s="1"/>
  <c r="R1746" i="10" s="1"/>
  <c r="S1746" i="10" s="1"/>
  <c r="T1746" i="10" s="1"/>
  <c r="U1746" i="10" s="1"/>
  <c r="V1746" i="10" s="1"/>
  <c r="D1748" i="10" l="1"/>
  <c r="M1747" i="10"/>
  <c r="N1747" i="10" s="1"/>
  <c r="O1747" i="10" s="1"/>
  <c r="P1747" i="10" s="1"/>
  <c r="Q1747" i="10" s="1"/>
  <c r="R1747" i="10" s="1"/>
  <c r="S1747" i="10" s="1"/>
  <c r="T1747" i="10" s="1"/>
  <c r="U1747" i="10" s="1"/>
  <c r="V1747" i="10" s="1"/>
  <c r="D1749" i="10" l="1"/>
  <c r="M1748" i="10"/>
  <c r="N1748" i="10" s="1"/>
  <c r="O1748" i="10" s="1"/>
  <c r="P1748" i="10" s="1"/>
  <c r="Q1748" i="10" s="1"/>
  <c r="R1748" i="10" s="1"/>
  <c r="S1748" i="10" s="1"/>
  <c r="T1748" i="10" s="1"/>
  <c r="U1748" i="10" s="1"/>
  <c r="V1748" i="10" s="1"/>
  <c r="D1750" i="10" l="1"/>
  <c r="M1749" i="10"/>
  <c r="N1749" i="10" s="1"/>
  <c r="O1749" i="10" s="1"/>
  <c r="P1749" i="10" s="1"/>
  <c r="Q1749" i="10" s="1"/>
  <c r="R1749" i="10" s="1"/>
  <c r="S1749" i="10" s="1"/>
  <c r="T1749" i="10" s="1"/>
  <c r="U1749" i="10" s="1"/>
  <c r="V1749" i="10" s="1"/>
  <c r="D1751" i="10" l="1"/>
  <c r="M1750" i="10"/>
  <c r="N1750" i="10" s="1"/>
  <c r="O1750" i="10" s="1"/>
  <c r="P1750" i="10" s="1"/>
  <c r="Q1750" i="10" s="1"/>
  <c r="R1750" i="10" s="1"/>
  <c r="S1750" i="10" s="1"/>
  <c r="T1750" i="10" s="1"/>
  <c r="U1750" i="10" s="1"/>
  <c r="V1750" i="10" s="1"/>
  <c r="D1752" i="10" l="1"/>
  <c r="M1751" i="10"/>
  <c r="N1751" i="10" s="1"/>
  <c r="O1751" i="10" s="1"/>
  <c r="P1751" i="10" s="1"/>
  <c r="Q1751" i="10" s="1"/>
  <c r="R1751" i="10" s="1"/>
  <c r="S1751" i="10" s="1"/>
  <c r="T1751" i="10" s="1"/>
  <c r="U1751" i="10" s="1"/>
  <c r="V1751" i="10" s="1"/>
  <c r="D1753" i="10" l="1"/>
  <c r="M1752" i="10"/>
  <c r="N1752" i="10" s="1"/>
  <c r="O1752" i="10" s="1"/>
  <c r="P1752" i="10" s="1"/>
  <c r="Q1752" i="10" s="1"/>
  <c r="R1752" i="10" s="1"/>
  <c r="S1752" i="10" s="1"/>
  <c r="T1752" i="10" s="1"/>
  <c r="U1752" i="10" s="1"/>
  <c r="V1752" i="10" s="1"/>
  <c r="D1754" i="10" l="1"/>
  <c r="M1753" i="10"/>
  <c r="N1753" i="10" s="1"/>
  <c r="O1753" i="10" s="1"/>
  <c r="P1753" i="10" s="1"/>
  <c r="Q1753" i="10" s="1"/>
  <c r="R1753" i="10" s="1"/>
  <c r="S1753" i="10" s="1"/>
  <c r="T1753" i="10" s="1"/>
  <c r="U1753" i="10" s="1"/>
  <c r="V1753" i="10" s="1"/>
  <c r="D1755" i="10" l="1"/>
  <c r="M1754" i="10"/>
  <c r="N1754" i="10" s="1"/>
  <c r="O1754" i="10" s="1"/>
  <c r="P1754" i="10" s="1"/>
  <c r="Q1754" i="10" s="1"/>
  <c r="R1754" i="10" s="1"/>
  <c r="S1754" i="10" s="1"/>
  <c r="T1754" i="10" s="1"/>
  <c r="U1754" i="10" s="1"/>
  <c r="V1754" i="10" s="1"/>
  <c r="D1756" i="10" l="1"/>
  <c r="M1755" i="10"/>
  <c r="N1755" i="10" s="1"/>
  <c r="O1755" i="10" s="1"/>
  <c r="P1755" i="10" s="1"/>
  <c r="Q1755" i="10" s="1"/>
  <c r="R1755" i="10" s="1"/>
  <c r="S1755" i="10" s="1"/>
  <c r="T1755" i="10" s="1"/>
  <c r="U1755" i="10" s="1"/>
  <c r="V1755" i="10" s="1"/>
  <c r="D1757" i="10" l="1"/>
  <c r="M1756" i="10"/>
  <c r="N1756" i="10" s="1"/>
  <c r="O1756" i="10" s="1"/>
  <c r="P1756" i="10" s="1"/>
  <c r="Q1756" i="10" s="1"/>
  <c r="R1756" i="10" s="1"/>
  <c r="S1756" i="10" s="1"/>
  <c r="T1756" i="10" s="1"/>
  <c r="U1756" i="10" s="1"/>
  <c r="V1756" i="10" s="1"/>
  <c r="D1758" i="10" l="1"/>
  <c r="M1757" i="10"/>
  <c r="N1757" i="10" s="1"/>
  <c r="O1757" i="10" s="1"/>
  <c r="P1757" i="10" s="1"/>
  <c r="Q1757" i="10" s="1"/>
  <c r="R1757" i="10" s="1"/>
  <c r="S1757" i="10" s="1"/>
  <c r="T1757" i="10" s="1"/>
  <c r="U1757" i="10" s="1"/>
  <c r="V1757" i="10" s="1"/>
  <c r="D1759" i="10" l="1"/>
  <c r="M1758" i="10"/>
  <c r="N1758" i="10" s="1"/>
  <c r="O1758" i="10" s="1"/>
  <c r="P1758" i="10" s="1"/>
  <c r="Q1758" i="10" s="1"/>
  <c r="R1758" i="10" s="1"/>
  <c r="S1758" i="10" s="1"/>
  <c r="T1758" i="10" s="1"/>
  <c r="U1758" i="10" s="1"/>
  <c r="V1758" i="10" s="1"/>
  <c r="D1760" i="10" l="1"/>
  <c r="M1759" i="10"/>
  <c r="N1759" i="10" s="1"/>
  <c r="O1759" i="10" s="1"/>
  <c r="P1759" i="10" s="1"/>
  <c r="Q1759" i="10" s="1"/>
  <c r="R1759" i="10" s="1"/>
  <c r="S1759" i="10" s="1"/>
  <c r="T1759" i="10" s="1"/>
  <c r="U1759" i="10" s="1"/>
  <c r="V1759" i="10" s="1"/>
  <c r="D1761" i="10" l="1"/>
  <c r="M1760" i="10"/>
  <c r="N1760" i="10" s="1"/>
  <c r="O1760" i="10" s="1"/>
  <c r="P1760" i="10" s="1"/>
  <c r="Q1760" i="10" s="1"/>
  <c r="R1760" i="10" s="1"/>
  <c r="S1760" i="10" s="1"/>
  <c r="T1760" i="10" s="1"/>
  <c r="U1760" i="10" s="1"/>
  <c r="V1760" i="10" s="1"/>
  <c r="D1762" i="10" l="1"/>
  <c r="M1761" i="10"/>
  <c r="N1761" i="10" s="1"/>
  <c r="O1761" i="10" s="1"/>
  <c r="P1761" i="10" s="1"/>
  <c r="Q1761" i="10" s="1"/>
  <c r="R1761" i="10" s="1"/>
  <c r="S1761" i="10" s="1"/>
  <c r="T1761" i="10" s="1"/>
  <c r="U1761" i="10" s="1"/>
  <c r="V1761" i="10" s="1"/>
  <c r="D1763" i="10" l="1"/>
  <c r="M1762" i="10"/>
  <c r="N1762" i="10" s="1"/>
  <c r="O1762" i="10" s="1"/>
  <c r="P1762" i="10" s="1"/>
  <c r="Q1762" i="10" s="1"/>
  <c r="R1762" i="10" s="1"/>
  <c r="S1762" i="10" s="1"/>
  <c r="T1762" i="10" s="1"/>
  <c r="U1762" i="10" s="1"/>
  <c r="V1762" i="10" s="1"/>
  <c r="D1764" i="10" l="1"/>
  <c r="M1763" i="10"/>
  <c r="N1763" i="10" s="1"/>
  <c r="O1763" i="10" s="1"/>
  <c r="P1763" i="10" s="1"/>
  <c r="Q1763" i="10" s="1"/>
  <c r="R1763" i="10" s="1"/>
  <c r="S1763" i="10" s="1"/>
  <c r="T1763" i="10" s="1"/>
  <c r="U1763" i="10" s="1"/>
  <c r="V1763" i="10" s="1"/>
  <c r="D1765" i="10" l="1"/>
  <c r="M1764" i="10"/>
  <c r="N1764" i="10" s="1"/>
  <c r="O1764" i="10" s="1"/>
  <c r="P1764" i="10" s="1"/>
  <c r="Q1764" i="10" s="1"/>
  <c r="R1764" i="10" s="1"/>
  <c r="S1764" i="10" s="1"/>
  <c r="T1764" i="10" s="1"/>
  <c r="U1764" i="10" s="1"/>
  <c r="V1764" i="10" s="1"/>
  <c r="D1766" i="10" l="1"/>
  <c r="M1765" i="10"/>
  <c r="N1765" i="10" s="1"/>
  <c r="O1765" i="10" s="1"/>
  <c r="P1765" i="10" s="1"/>
  <c r="Q1765" i="10" s="1"/>
  <c r="R1765" i="10" s="1"/>
  <c r="S1765" i="10" s="1"/>
  <c r="T1765" i="10" s="1"/>
  <c r="U1765" i="10" s="1"/>
  <c r="V1765" i="10" s="1"/>
  <c r="D1767" i="10" l="1"/>
  <c r="M1766" i="10"/>
  <c r="N1766" i="10" s="1"/>
  <c r="O1766" i="10" s="1"/>
  <c r="P1766" i="10" s="1"/>
  <c r="Q1766" i="10" s="1"/>
  <c r="R1766" i="10" s="1"/>
  <c r="S1766" i="10" s="1"/>
  <c r="T1766" i="10" s="1"/>
  <c r="U1766" i="10" s="1"/>
  <c r="V1766" i="10" s="1"/>
  <c r="D1768" i="10" l="1"/>
  <c r="M1767" i="10"/>
  <c r="N1767" i="10" s="1"/>
  <c r="O1767" i="10" s="1"/>
  <c r="P1767" i="10" s="1"/>
  <c r="Q1767" i="10" s="1"/>
  <c r="R1767" i="10" s="1"/>
  <c r="S1767" i="10" s="1"/>
  <c r="T1767" i="10" s="1"/>
  <c r="U1767" i="10" s="1"/>
  <c r="V1767" i="10" s="1"/>
  <c r="D1769" i="10" l="1"/>
  <c r="M1768" i="10"/>
  <c r="N1768" i="10" s="1"/>
  <c r="O1768" i="10" s="1"/>
  <c r="P1768" i="10" s="1"/>
  <c r="Q1768" i="10" s="1"/>
  <c r="R1768" i="10" s="1"/>
  <c r="S1768" i="10" s="1"/>
  <c r="T1768" i="10" s="1"/>
  <c r="U1768" i="10" s="1"/>
  <c r="V1768" i="10" s="1"/>
  <c r="D1770" i="10" l="1"/>
  <c r="M1769" i="10"/>
  <c r="N1769" i="10" s="1"/>
  <c r="O1769" i="10" s="1"/>
  <c r="P1769" i="10" s="1"/>
  <c r="Q1769" i="10" s="1"/>
  <c r="R1769" i="10" s="1"/>
  <c r="S1769" i="10" s="1"/>
  <c r="T1769" i="10" s="1"/>
  <c r="U1769" i="10" s="1"/>
  <c r="V1769" i="10" s="1"/>
  <c r="D1771" i="10" l="1"/>
  <c r="M1770" i="10"/>
  <c r="N1770" i="10" s="1"/>
  <c r="O1770" i="10" s="1"/>
  <c r="P1770" i="10" s="1"/>
  <c r="Q1770" i="10" s="1"/>
  <c r="R1770" i="10" s="1"/>
  <c r="S1770" i="10" s="1"/>
  <c r="T1770" i="10" s="1"/>
  <c r="U1770" i="10" s="1"/>
  <c r="V1770" i="10" s="1"/>
  <c r="D1772" i="10" l="1"/>
  <c r="M1771" i="10"/>
  <c r="N1771" i="10" s="1"/>
  <c r="O1771" i="10" s="1"/>
  <c r="P1771" i="10" s="1"/>
  <c r="Q1771" i="10" s="1"/>
  <c r="R1771" i="10" s="1"/>
  <c r="S1771" i="10" s="1"/>
  <c r="T1771" i="10" s="1"/>
  <c r="U1771" i="10" s="1"/>
  <c r="V1771" i="10" s="1"/>
  <c r="D1773" i="10" l="1"/>
  <c r="M1772" i="10"/>
  <c r="N1772" i="10" s="1"/>
  <c r="O1772" i="10" s="1"/>
  <c r="P1772" i="10" s="1"/>
  <c r="Q1772" i="10" s="1"/>
  <c r="R1772" i="10" s="1"/>
  <c r="S1772" i="10" s="1"/>
  <c r="T1772" i="10" s="1"/>
  <c r="U1772" i="10" s="1"/>
  <c r="V1772" i="10" s="1"/>
  <c r="D1774" i="10" l="1"/>
  <c r="M1773" i="10"/>
  <c r="N1773" i="10" s="1"/>
  <c r="O1773" i="10" s="1"/>
  <c r="P1773" i="10" s="1"/>
  <c r="Q1773" i="10" s="1"/>
  <c r="R1773" i="10" s="1"/>
  <c r="S1773" i="10" s="1"/>
  <c r="T1773" i="10" s="1"/>
  <c r="U1773" i="10" s="1"/>
  <c r="V1773" i="10" s="1"/>
  <c r="D1775" i="10" l="1"/>
  <c r="M1774" i="10"/>
  <c r="N1774" i="10" s="1"/>
  <c r="O1774" i="10" s="1"/>
  <c r="P1774" i="10" s="1"/>
  <c r="Q1774" i="10" s="1"/>
  <c r="R1774" i="10" s="1"/>
  <c r="S1774" i="10" s="1"/>
  <c r="T1774" i="10" s="1"/>
  <c r="U1774" i="10" s="1"/>
  <c r="V1774" i="10" s="1"/>
  <c r="D1776" i="10" l="1"/>
  <c r="M1775" i="10"/>
  <c r="N1775" i="10" s="1"/>
  <c r="O1775" i="10" s="1"/>
  <c r="P1775" i="10" s="1"/>
  <c r="Q1775" i="10" s="1"/>
  <c r="R1775" i="10" s="1"/>
  <c r="S1775" i="10" s="1"/>
  <c r="T1775" i="10" s="1"/>
  <c r="U1775" i="10" s="1"/>
  <c r="V1775" i="10" s="1"/>
  <c r="D1777" i="10" l="1"/>
  <c r="M1776" i="10"/>
  <c r="N1776" i="10" s="1"/>
  <c r="O1776" i="10" s="1"/>
  <c r="P1776" i="10" s="1"/>
  <c r="Q1776" i="10" s="1"/>
  <c r="R1776" i="10" s="1"/>
  <c r="S1776" i="10" s="1"/>
  <c r="T1776" i="10" s="1"/>
  <c r="U1776" i="10" s="1"/>
  <c r="V1776" i="10" s="1"/>
  <c r="D1778" i="10" l="1"/>
  <c r="M1777" i="10"/>
  <c r="N1777" i="10" s="1"/>
  <c r="O1777" i="10" s="1"/>
  <c r="P1777" i="10" s="1"/>
  <c r="Q1777" i="10" s="1"/>
  <c r="R1777" i="10" s="1"/>
  <c r="S1777" i="10" s="1"/>
  <c r="T1777" i="10" s="1"/>
  <c r="U1777" i="10" s="1"/>
  <c r="V1777" i="10" s="1"/>
  <c r="D1779" i="10" l="1"/>
  <c r="M1778" i="10"/>
  <c r="N1778" i="10" s="1"/>
  <c r="O1778" i="10" s="1"/>
  <c r="P1778" i="10" s="1"/>
  <c r="Q1778" i="10" s="1"/>
  <c r="R1778" i="10" s="1"/>
  <c r="S1778" i="10" s="1"/>
  <c r="T1778" i="10" s="1"/>
  <c r="U1778" i="10" s="1"/>
  <c r="V1778" i="10" s="1"/>
  <c r="D1780" i="10" l="1"/>
  <c r="M1779" i="10"/>
  <c r="N1779" i="10" s="1"/>
  <c r="O1779" i="10" s="1"/>
  <c r="P1779" i="10" s="1"/>
  <c r="Q1779" i="10" s="1"/>
  <c r="R1779" i="10" s="1"/>
  <c r="S1779" i="10" s="1"/>
  <c r="T1779" i="10" s="1"/>
  <c r="U1779" i="10" s="1"/>
  <c r="V1779" i="10" s="1"/>
  <c r="D1781" i="10" l="1"/>
  <c r="M1780" i="10"/>
  <c r="N1780" i="10" s="1"/>
  <c r="O1780" i="10" s="1"/>
  <c r="P1780" i="10" s="1"/>
  <c r="Q1780" i="10" s="1"/>
  <c r="R1780" i="10" s="1"/>
  <c r="S1780" i="10" s="1"/>
  <c r="T1780" i="10" s="1"/>
  <c r="U1780" i="10" s="1"/>
  <c r="V1780" i="10" s="1"/>
  <c r="D1782" i="10" l="1"/>
  <c r="M1781" i="10"/>
  <c r="N1781" i="10" s="1"/>
  <c r="O1781" i="10" s="1"/>
  <c r="P1781" i="10" s="1"/>
  <c r="Q1781" i="10" s="1"/>
  <c r="R1781" i="10" s="1"/>
  <c r="S1781" i="10" s="1"/>
  <c r="T1781" i="10" s="1"/>
  <c r="U1781" i="10" s="1"/>
  <c r="V1781" i="10" s="1"/>
  <c r="D1783" i="10" l="1"/>
  <c r="M1782" i="10"/>
  <c r="N1782" i="10" s="1"/>
  <c r="O1782" i="10" s="1"/>
  <c r="P1782" i="10" s="1"/>
  <c r="Q1782" i="10" s="1"/>
  <c r="R1782" i="10" s="1"/>
  <c r="S1782" i="10" s="1"/>
  <c r="T1782" i="10" s="1"/>
  <c r="U1782" i="10" s="1"/>
  <c r="V1782" i="10" s="1"/>
  <c r="D1784" i="10" l="1"/>
  <c r="M1783" i="10"/>
  <c r="N1783" i="10" s="1"/>
  <c r="O1783" i="10" s="1"/>
  <c r="P1783" i="10" s="1"/>
  <c r="Q1783" i="10" s="1"/>
  <c r="R1783" i="10" s="1"/>
  <c r="S1783" i="10" s="1"/>
  <c r="T1783" i="10" s="1"/>
  <c r="U1783" i="10" s="1"/>
  <c r="V1783" i="10" s="1"/>
  <c r="D1785" i="10" l="1"/>
  <c r="M1784" i="10"/>
  <c r="N1784" i="10" s="1"/>
  <c r="O1784" i="10" s="1"/>
  <c r="P1784" i="10" s="1"/>
  <c r="Q1784" i="10" s="1"/>
  <c r="R1784" i="10" s="1"/>
  <c r="S1784" i="10" s="1"/>
  <c r="T1784" i="10" s="1"/>
  <c r="U1784" i="10" s="1"/>
  <c r="V1784" i="10" s="1"/>
  <c r="D1786" i="10" l="1"/>
  <c r="M1785" i="10"/>
  <c r="N1785" i="10" s="1"/>
  <c r="O1785" i="10" s="1"/>
  <c r="P1785" i="10" s="1"/>
  <c r="Q1785" i="10" s="1"/>
  <c r="R1785" i="10" s="1"/>
  <c r="S1785" i="10" s="1"/>
  <c r="T1785" i="10" s="1"/>
  <c r="U1785" i="10" s="1"/>
  <c r="V1785" i="10" s="1"/>
  <c r="D1787" i="10" l="1"/>
  <c r="M1786" i="10"/>
  <c r="N1786" i="10" s="1"/>
  <c r="O1786" i="10" s="1"/>
  <c r="P1786" i="10" s="1"/>
  <c r="Q1786" i="10" s="1"/>
  <c r="R1786" i="10" s="1"/>
  <c r="S1786" i="10" s="1"/>
  <c r="T1786" i="10" s="1"/>
  <c r="U1786" i="10" s="1"/>
  <c r="V1786" i="10" s="1"/>
  <c r="D1788" i="10" l="1"/>
  <c r="M1787" i="10"/>
  <c r="N1787" i="10" s="1"/>
  <c r="O1787" i="10" s="1"/>
  <c r="P1787" i="10" s="1"/>
  <c r="Q1787" i="10" s="1"/>
  <c r="R1787" i="10" s="1"/>
  <c r="S1787" i="10" s="1"/>
  <c r="T1787" i="10" s="1"/>
  <c r="U1787" i="10" s="1"/>
  <c r="V1787" i="10" s="1"/>
  <c r="D1789" i="10" l="1"/>
  <c r="M1788" i="10"/>
  <c r="N1788" i="10" s="1"/>
  <c r="O1788" i="10" s="1"/>
  <c r="P1788" i="10" s="1"/>
  <c r="Q1788" i="10" s="1"/>
  <c r="R1788" i="10" s="1"/>
  <c r="S1788" i="10" s="1"/>
  <c r="T1788" i="10" s="1"/>
  <c r="U1788" i="10" s="1"/>
  <c r="V1788" i="10" s="1"/>
  <c r="D1790" i="10" l="1"/>
  <c r="M1789" i="10"/>
  <c r="N1789" i="10" s="1"/>
  <c r="O1789" i="10" s="1"/>
  <c r="P1789" i="10" s="1"/>
  <c r="Q1789" i="10" s="1"/>
  <c r="R1789" i="10" s="1"/>
  <c r="S1789" i="10" s="1"/>
  <c r="T1789" i="10" s="1"/>
  <c r="U1789" i="10" s="1"/>
  <c r="V1789" i="10" s="1"/>
  <c r="D1791" i="10" l="1"/>
  <c r="M1790" i="10"/>
  <c r="N1790" i="10" s="1"/>
  <c r="O1790" i="10" s="1"/>
  <c r="P1790" i="10" s="1"/>
  <c r="Q1790" i="10" s="1"/>
  <c r="R1790" i="10" s="1"/>
  <c r="S1790" i="10" s="1"/>
  <c r="T1790" i="10" s="1"/>
  <c r="U1790" i="10" s="1"/>
  <c r="V1790" i="10" s="1"/>
  <c r="D1792" i="10" l="1"/>
  <c r="M1791" i="10"/>
  <c r="N1791" i="10" s="1"/>
  <c r="O1791" i="10" s="1"/>
  <c r="P1791" i="10" s="1"/>
  <c r="Q1791" i="10" s="1"/>
  <c r="R1791" i="10" s="1"/>
  <c r="S1791" i="10" s="1"/>
  <c r="T1791" i="10" s="1"/>
  <c r="U1791" i="10" s="1"/>
  <c r="V1791" i="10" s="1"/>
  <c r="D1793" i="10" l="1"/>
  <c r="M1792" i="10"/>
  <c r="N1792" i="10" s="1"/>
  <c r="O1792" i="10" s="1"/>
  <c r="P1792" i="10" s="1"/>
  <c r="Q1792" i="10" s="1"/>
  <c r="R1792" i="10" s="1"/>
  <c r="S1792" i="10" s="1"/>
  <c r="T1792" i="10" s="1"/>
  <c r="U1792" i="10" s="1"/>
  <c r="V1792" i="10" s="1"/>
  <c r="D1794" i="10" l="1"/>
  <c r="M1793" i="10"/>
  <c r="N1793" i="10" s="1"/>
  <c r="O1793" i="10" s="1"/>
  <c r="P1793" i="10" s="1"/>
  <c r="Q1793" i="10" s="1"/>
  <c r="R1793" i="10" s="1"/>
  <c r="S1793" i="10" s="1"/>
  <c r="T1793" i="10" s="1"/>
  <c r="U1793" i="10" s="1"/>
  <c r="V1793" i="10" s="1"/>
  <c r="D1795" i="10" l="1"/>
  <c r="M1794" i="10"/>
  <c r="N1794" i="10" s="1"/>
  <c r="O1794" i="10" s="1"/>
  <c r="P1794" i="10" s="1"/>
  <c r="Q1794" i="10" s="1"/>
  <c r="R1794" i="10" s="1"/>
  <c r="S1794" i="10" s="1"/>
  <c r="T1794" i="10" s="1"/>
  <c r="U1794" i="10" s="1"/>
  <c r="V1794" i="10" s="1"/>
  <c r="D1796" i="10" l="1"/>
  <c r="M1795" i="10"/>
  <c r="N1795" i="10" s="1"/>
  <c r="O1795" i="10" s="1"/>
  <c r="P1795" i="10" s="1"/>
  <c r="Q1795" i="10" s="1"/>
  <c r="R1795" i="10" s="1"/>
  <c r="S1795" i="10" s="1"/>
  <c r="T1795" i="10" s="1"/>
  <c r="U1795" i="10" s="1"/>
  <c r="V1795" i="10" s="1"/>
  <c r="D1797" i="10" l="1"/>
  <c r="M1796" i="10"/>
  <c r="N1796" i="10" s="1"/>
  <c r="O1796" i="10" s="1"/>
  <c r="P1796" i="10" s="1"/>
  <c r="Q1796" i="10" s="1"/>
  <c r="R1796" i="10" s="1"/>
  <c r="S1796" i="10" s="1"/>
  <c r="T1796" i="10" s="1"/>
  <c r="U1796" i="10" s="1"/>
  <c r="V1796" i="10" s="1"/>
  <c r="D1798" i="10" l="1"/>
  <c r="M1797" i="10"/>
  <c r="N1797" i="10" s="1"/>
  <c r="O1797" i="10" s="1"/>
  <c r="P1797" i="10" s="1"/>
  <c r="Q1797" i="10" s="1"/>
  <c r="R1797" i="10" s="1"/>
  <c r="S1797" i="10" s="1"/>
  <c r="T1797" i="10" s="1"/>
  <c r="U1797" i="10" s="1"/>
  <c r="V1797" i="10" s="1"/>
  <c r="D1799" i="10" l="1"/>
  <c r="M1798" i="10"/>
  <c r="N1798" i="10" s="1"/>
  <c r="O1798" i="10" s="1"/>
  <c r="P1798" i="10" s="1"/>
  <c r="Q1798" i="10" s="1"/>
  <c r="R1798" i="10" s="1"/>
  <c r="S1798" i="10" s="1"/>
  <c r="T1798" i="10" s="1"/>
  <c r="U1798" i="10" s="1"/>
  <c r="V1798" i="10" s="1"/>
  <c r="D1800" i="10" l="1"/>
  <c r="M1799" i="10"/>
  <c r="N1799" i="10" s="1"/>
  <c r="O1799" i="10" s="1"/>
  <c r="P1799" i="10" s="1"/>
  <c r="Q1799" i="10" s="1"/>
  <c r="R1799" i="10" s="1"/>
  <c r="S1799" i="10" s="1"/>
  <c r="T1799" i="10" s="1"/>
  <c r="U1799" i="10" s="1"/>
  <c r="V1799" i="10" s="1"/>
  <c r="D1801" i="10" l="1"/>
  <c r="M1800" i="10"/>
  <c r="N1800" i="10" s="1"/>
  <c r="O1800" i="10" s="1"/>
  <c r="P1800" i="10" s="1"/>
  <c r="Q1800" i="10" s="1"/>
  <c r="R1800" i="10" s="1"/>
  <c r="S1800" i="10" s="1"/>
  <c r="T1800" i="10" s="1"/>
  <c r="U1800" i="10" s="1"/>
  <c r="V1800" i="10" s="1"/>
  <c r="D1802" i="10" l="1"/>
  <c r="M1801" i="10"/>
  <c r="N1801" i="10" s="1"/>
  <c r="O1801" i="10" s="1"/>
  <c r="P1801" i="10" s="1"/>
  <c r="Q1801" i="10" s="1"/>
  <c r="R1801" i="10" s="1"/>
  <c r="S1801" i="10" s="1"/>
  <c r="T1801" i="10" s="1"/>
  <c r="U1801" i="10" s="1"/>
  <c r="V1801" i="10" s="1"/>
  <c r="D1803" i="10" l="1"/>
  <c r="M1802" i="10"/>
  <c r="N1802" i="10" s="1"/>
  <c r="O1802" i="10" s="1"/>
  <c r="P1802" i="10" s="1"/>
  <c r="Q1802" i="10" s="1"/>
  <c r="R1802" i="10" s="1"/>
  <c r="S1802" i="10" s="1"/>
  <c r="T1802" i="10" s="1"/>
  <c r="U1802" i="10" s="1"/>
  <c r="V1802" i="10" s="1"/>
  <c r="D1804" i="10" l="1"/>
  <c r="M1803" i="10"/>
  <c r="N1803" i="10" s="1"/>
  <c r="O1803" i="10" s="1"/>
  <c r="P1803" i="10" s="1"/>
  <c r="Q1803" i="10" s="1"/>
  <c r="R1803" i="10" s="1"/>
  <c r="S1803" i="10" s="1"/>
  <c r="T1803" i="10" s="1"/>
  <c r="U1803" i="10" s="1"/>
  <c r="V1803" i="10" s="1"/>
  <c r="D1805" i="10" l="1"/>
  <c r="M1804" i="10"/>
  <c r="N1804" i="10" s="1"/>
  <c r="O1804" i="10" s="1"/>
  <c r="P1804" i="10" s="1"/>
  <c r="Q1804" i="10" s="1"/>
  <c r="R1804" i="10" s="1"/>
  <c r="S1804" i="10" s="1"/>
  <c r="T1804" i="10" s="1"/>
  <c r="U1804" i="10" s="1"/>
  <c r="V1804" i="10" s="1"/>
  <c r="D1806" i="10" l="1"/>
  <c r="M1805" i="10"/>
  <c r="N1805" i="10" s="1"/>
  <c r="O1805" i="10" s="1"/>
  <c r="P1805" i="10" s="1"/>
  <c r="Q1805" i="10" s="1"/>
  <c r="R1805" i="10" s="1"/>
  <c r="S1805" i="10" s="1"/>
  <c r="T1805" i="10" s="1"/>
  <c r="U1805" i="10" s="1"/>
  <c r="V1805" i="10" s="1"/>
  <c r="D1807" i="10" l="1"/>
  <c r="M1806" i="10"/>
  <c r="N1806" i="10" s="1"/>
  <c r="O1806" i="10" s="1"/>
  <c r="P1806" i="10" s="1"/>
  <c r="Q1806" i="10" s="1"/>
  <c r="R1806" i="10" s="1"/>
  <c r="S1806" i="10" s="1"/>
  <c r="T1806" i="10" s="1"/>
  <c r="U1806" i="10" s="1"/>
  <c r="V1806" i="10" s="1"/>
  <c r="D1808" i="10" l="1"/>
  <c r="M1807" i="10"/>
  <c r="N1807" i="10" s="1"/>
  <c r="O1807" i="10" s="1"/>
  <c r="P1807" i="10" s="1"/>
  <c r="Q1807" i="10" s="1"/>
  <c r="R1807" i="10" s="1"/>
  <c r="S1807" i="10" s="1"/>
  <c r="T1807" i="10" s="1"/>
  <c r="U1807" i="10" s="1"/>
  <c r="V1807" i="10" s="1"/>
  <c r="D1809" i="10" l="1"/>
  <c r="M1808" i="10"/>
  <c r="N1808" i="10" s="1"/>
  <c r="O1808" i="10" s="1"/>
  <c r="P1808" i="10" s="1"/>
  <c r="Q1808" i="10" s="1"/>
  <c r="R1808" i="10" s="1"/>
  <c r="S1808" i="10" s="1"/>
  <c r="T1808" i="10" s="1"/>
  <c r="U1808" i="10" s="1"/>
  <c r="V1808" i="10" s="1"/>
  <c r="D1810" i="10" l="1"/>
  <c r="M1809" i="10"/>
  <c r="N1809" i="10" s="1"/>
  <c r="O1809" i="10" s="1"/>
  <c r="P1809" i="10" s="1"/>
  <c r="Q1809" i="10" s="1"/>
  <c r="R1809" i="10" s="1"/>
  <c r="S1809" i="10" s="1"/>
  <c r="T1809" i="10" s="1"/>
  <c r="U1809" i="10" s="1"/>
  <c r="V1809" i="10" s="1"/>
  <c r="D1811" i="10" l="1"/>
  <c r="M1810" i="10"/>
  <c r="N1810" i="10" s="1"/>
  <c r="O1810" i="10" s="1"/>
  <c r="P1810" i="10" s="1"/>
  <c r="Q1810" i="10" s="1"/>
  <c r="R1810" i="10" s="1"/>
  <c r="S1810" i="10" s="1"/>
  <c r="T1810" i="10" s="1"/>
  <c r="U1810" i="10" s="1"/>
  <c r="V1810" i="10" s="1"/>
  <c r="D1812" i="10" l="1"/>
  <c r="M1811" i="10"/>
  <c r="N1811" i="10" s="1"/>
  <c r="O1811" i="10" s="1"/>
  <c r="P1811" i="10" s="1"/>
  <c r="Q1811" i="10" s="1"/>
  <c r="R1811" i="10" s="1"/>
  <c r="S1811" i="10" s="1"/>
  <c r="T1811" i="10" s="1"/>
  <c r="U1811" i="10" s="1"/>
  <c r="V1811" i="10" s="1"/>
  <c r="D1813" i="10" l="1"/>
  <c r="M1812" i="10"/>
  <c r="N1812" i="10" s="1"/>
  <c r="O1812" i="10" s="1"/>
  <c r="P1812" i="10" s="1"/>
  <c r="Q1812" i="10" s="1"/>
  <c r="R1812" i="10" s="1"/>
  <c r="S1812" i="10" s="1"/>
  <c r="T1812" i="10" s="1"/>
  <c r="U1812" i="10" s="1"/>
  <c r="V1812" i="10" s="1"/>
  <c r="D1814" i="10" l="1"/>
  <c r="M1813" i="10"/>
  <c r="N1813" i="10" s="1"/>
  <c r="O1813" i="10" s="1"/>
  <c r="P1813" i="10" s="1"/>
  <c r="Q1813" i="10" s="1"/>
  <c r="R1813" i="10" s="1"/>
  <c r="S1813" i="10" s="1"/>
  <c r="T1813" i="10" s="1"/>
  <c r="U1813" i="10" s="1"/>
  <c r="V1813" i="10" s="1"/>
  <c r="D1815" i="10" l="1"/>
  <c r="M1814" i="10"/>
  <c r="N1814" i="10" s="1"/>
  <c r="O1814" i="10" s="1"/>
  <c r="P1814" i="10" s="1"/>
  <c r="Q1814" i="10" s="1"/>
  <c r="R1814" i="10" s="1"/>
  <c r="S1814" i="10" s="1"/>
  <c r="T1814" i="10" s="1"/>
  <c r="U1814" i="10" s="1"/>
  <c r="V1814" i="10" s="1"/>
  <c r="D1816" i="10" l="1"/>
  <c r="M1815" i="10"/>
  <c r="N1815" i="10" s="1"/>
  <c r="O1815" i="10" s="1"/>
  <c r="P1815" i="10" s="1"/>
  <c r="Q1815" i="10" s="1"/>
  <c r="R1815" i="10" s="1"/>
  <c r="S1815" i="10" s="1"/>
  <c r="T1815" i="10" s="1"/>
  <c r="U1815" i="10" s="1"/>
  <c r="V1815" i="10" s="1"/>
  <c r="D1817" i="10" l="1"/>
  <c r="M1816" i="10"/>
  <c r="N1816" i="10" s="1"/>
  <c r="O1816" i="10" s="1"/>
  <c r="P1816" i="10" s="1"/>
  <c r="Q1816" i="10" s="1"/>
  <c r="R1816" i="10" s="1"/>
  <c r="S1816" i="10" s="1"/>
  <c r="T1816" i="10" s="1"/>
  <c r="U1816" i="10" s="1"/>
  <c r="V1816" i="10" s="1"/>
  <c r="D1818" i="10" l="1"/>
  <c r="M1817" i="10"/>
  <c r="N1817" i="10" s="1"/>
  <c r="O1817" i="10" s="1"/>
  <c r="P1817" i="10" s="1"/>
  <c r="Q1817" i="10" s="1"/>
  <c r="R1817" i="10" s="1"/>
  <c r="S1817" i="10" s="1"/>
  <c r="T1817" i="10" s="1"/>
  <c r="U1817" i="10" s="1"/>
  <c r="V1817" i="10" s="1"/>
  <c r="D1819" i="10" l="1"/>
  <c r="M1818" i="10"/>
  <c r="N1818" i="10" s="1"/>
  <c r="O1818" i="10" s="1"/>
  <c r="P1818" i="10" s="1"/>
  <c r="Q1818" i="10" s="1"/>
  <c r="R1818" i="10" s="1"/>
  <c r="S1818" i="10" s="1"/>
  <c r="T1818" i="10" s="1"/>
  <c r="U1818" i="10" s="1"/>
  <c r="V1818" i="10" s="1"/>
  <c r="D1820" i="10" l="1"/>
  <c r="M1819" i="10"/>
  <c r="N1819" i="10" s="1"/>
  <c r="O1819" i="10" s="1"/>
  <c r="P1819" i="10" s="1"/>
  <c r="Q1819" i="10" s="1"/>
  <c r="R1819" i="10" s="1"/>
  <c r="S1819" i="10" s="1"/>
  <c r="T1819" i="10" s="1"/>
  <c r="U1819" i="10" s="1"/>
  <c r="V1819" i="10" s="1"/>
  <c r="D1821" i="10" l="1"/>
  <c r="M1820" i="10"/>
  <c r="N1820" i="10" s="1"/>
  <c r="O1820" i="10" s="1"/>
  <c r="P1820" i="10" s="1"/>
  <c r="Q1820" i="10" s="1"/>
  <c r="R1820" i="10" s="1"/>
  <c r="S1820" i="10" s="1"/>
  <c r="T1820" i="10" s="1"/>
  <c r="U1820" i="10" s="1"/>
  <c r="V1820" i="10" s="1"/>
  <c r="D1822" i="10" l="1"/>
  <c r="M1821" i="10"/>
  <c r="N1821" i="10" s="1"/>
  <c r="O1821" i="10" s="1"/>
  <c r="P1821" i="10" s="1"/>
  <c r="Q1821" i="10" s="1"/>
  <c r="R1821" i="10" s="1"/>
  <c r="S1821" i="10" s="1"/>
  <c r="T1821" i="10" s="1"/>
  <c r="U1821" i="10" s="1"/>
  <c r="V1821" i="10" s="1"/>
  <c r="D1823" i="10" l="1"/>
  <c r="M1822" i="10"/>
  <c r="N1822" i="10" s="1"/>
  <c r="O1822" i="10" s="1"/>
  <c r="P1822" i="10" s="1"/>
  <c r="Q1822" i="10" s="1"/>
  <c r="R1822" i="10" s="1"/>
  <c r="S1822" i="10" s="1"/>
  <c r="T1822" i="10" s="1"/>
  <c r="U1822" i="10" s="1"/>
  <c r="V1822" i="10" s="1"/>
  <c r="D1824" i="10" l="1"/>
  <c r="M1823" i="10"/>
  <c r="N1823" i="10" s="1"/>
  <c r="O1823" i="10" s="1"/>
  <c r="P1823" i="10" s="1"/>
  <c r="Q1823" i="10" s="1"/>
  <c r="R1823" i="10" s="1"/>
  <c r="S1823" i="10" s="1"/>
  <c r="T1823" i="10" s="1"/>
  <c r="U1823" i="10" s="1"/>
  <c r="V1823" i="10" s="1"/>
  <c r="D1825" i="10" l="1"/>
  <c r="M1824" i="10"/>
  <c r="N1824" i="10" s="1"/>
  <c r="O1824" i="10" s="1"/>
  <c r="P1824" i="10" s="1"/>
  <c r="Q1824" i="10" s="1"/>
  <c r="R1824" i="10" s="1"/>
  <c r="S1824" i="10" s="1"/>
  <c r="T1824" i="10" s="1"/>
  <c r="U1824" i="10" s="1"/>
  <c r="V1824" i="10" s="1"/>
  <c r="D1826" i="10" l="1"/>
  <c r="M1825" i="10"/>
  <c r="N1825" i="10" s="1"/>
  <c r="O1825" i="10" s="1"/>
  <c r="P1825" i="10" s="1"/>
  <c r="Q1825" i="10" s="1"/>
  <c r="R1825" i="10" s="1"/>
  <c r="S1825" i="10" s="1"/>
  <c r="T1825" i="10" s="1"/>
  <c r="U1825" i="10" s="1"/>
  <c r="V1825" i="10" s="1"/>
  <c r="D1827" i="10" l="1"/>
  <c r="M1826" i="10"/>
  <c r="N1826" i="10" s="1"/>
  <c r="O1826" i="10" s="1"/>
  <c r="P1826" i="10" s="1"/>
  <c r="Q1826" i="10" s="1"/>
  <c r="R1826" i="10" s="1"/>
  <c r="S1826" i="10" s="1"/>
  <c r="T1826" i="10" s="1"/>
  <c r="U1826" i="10" s="1"/>
  <c r="V1826" i="10" s="1"/>
  <c r="D1828" i="10" l="1"/>
  <c r="M1827" i="10"/>
  <c r="N1827" i="10" s="1"/>
  <c r="O1827" i="10" s="1"/>
  <c r="P1827" i="10" s="1"/>
  <c r="Q1827" i="10" s="1"/>
  <c r="R1827" i="10" s="1"/>
  <c r="S1827" i="10" s="1"/>
  <c r="T1827" i="10" s="1"/>
  <c r="U1827" i="10" s="1"/>
  <c r="V1827" i="10" s="1"/>
  <c r="D1829" i="10" l="1"/>
  <c r="M1828" i="10"/>
  <c r="N1828" i="10" s="1"/>
  <c r="O1828" i="10" s="1"/>
  <c r="P1828" i="10" s="1"/>
  <c r="Q1828" i="10" s="1"/>
  <c r="R1828" i="10" s="1"/>
  <c r="S1828" i="10" s="1"/>
  <c r="T1828" i="10" s="1"/>
  <c r="U1828" i="10" s="1"/>
  <c r="V1828" i="10" s="1"/>
  <c r="D1830" i="10" l="1"/>
  <c r="M1829" i="10"/>
  <c r="N1829" i="10" s="1"/>
  <c r="O1829" i="10" s="1"/>
  <c r="P1829" i="10" s="1"/>
  <c r="Q1829" i="10" s="1"/>
  <c r="R1829" i="10" s="1"/>
  <c r="S1829" i="10" s="1"/>
  <c r="T1829" i="10" s="1"/>
  <c r="U1829" i="10" s="1"/>
  <c r="V1829" i="10" s="1"/>
  <c r="D1831" i="10" l="1"/>
  <c r="M1830" i="10"/>
  <c r="N1830" i="10" s="1"/>
  <c r="O1830" i="10" s="1"/>
  <c r="P1830" i="10" s="1"/>
  <c r="Q1830" i="10" s="1"/>
  <c r="R1830" i="10" s="1"/>
  <c r="S1830" i="10" s="1"/>
  <c r="T1830" i="10" s="1"/>
  <c r="U1830" i="10" s="1"/>
  <c r="V1830" i="10" s="1"/>
  <c r="D1832" i="10" l="1"/>
  <c r="M1831" i="10"/>
  <c r="N1831" i="10" s="1"/>
  <c r="O1831" i="10" s="1"/>
  <c r="P1831" i="10" s="1"/>
  <c r="Q1831" i="10" s="1"/>
  <c r="R1831" i="10" s="1"/>
  <c r="S1831" i="10" s="1"/>
  <c r="T1831" i="10" s="1"/>
  <c r="U1831" i="10" s="1"/>
  <c r="V1831" i="10" s="1"/>
  <c r="D1833" i="10" l="1"/>
  <c r="M1832" i="10"/>
  <c r="N1832" i="10" s="1"/>
  <c r="O1832" i="10" s="1"/>
  <c r="P1832" i="10" s="1"/>
  <c r="Q1832" i="10" s="1"/>
  <c r="R1832" i="10" s="1"/>
  <c r="S1832" i="10" s="1"/>
  <c r="T1832" i="10" s="1"/>
  <c r="U1832" i="10" s="1"/>
  <c r="V1832" i="10" s="1"/>
  <c r="D1834" i="10" l="1"/>
  <c r="M1833" i="10"/>
  <c r="N1833" i="10" s="1"/>
  <c r="O1833" i="10" s="1"/>
  <c r="P1833" i="10" s="1"/>
  <c r="Q1833" i="10" s="1"/>
  <c r="R1833" i="10" s="1"/>
  <c r="S1833" i="10" s="1"/>
  <c r="T1833" i="10" s="1"/>
  <c r="U1833" i="10" s="1"/>
  <c r="V1833" i="10" s="1"/>
  <c r="D1835" i="10" l="1"/>
  <c r="M1834" i="10"/>
  <c r="N1834" i="10" s="1"/>
  <c r="O1834" i="10" s="1"/>
  <c r="P1834" i="10" s="1"/>
  <c r="Q1834" i="10" s="1"/>
  <c r="R1834" i="10" s="1"/>
  <c r="S1834" i="10" s="1"/>
  <c r="T1834" i="10" s="1"/>
  <c r="U1834" i="10" s="1"/>
  <c r="V1834" i="10" s="1"/>
  <c r="D1836" i="10" l="1"/>
  <c r="M1835" i="10"/>
  <c r="N1835" i="10" s="1"/>
  <c r="O1835" i="10" s="1"/>
  <c r="P1835" i="10" s="1"/>
  <c r="Q1835" i="10" s="1"/>
  <c r="R1835" i="10" s="1"/>
  <c r="S1835" i="10" s="1"/>
  <c r="T1835" i="10" s="1"/>
  <c r="U1835" i="10" s="1"/>
  <c r="V1835" i="10" s="1"/>
  <c r="D1837" i="10" l="1"/>
  <c r="M1836" i="10"/>
  <c r="N1836" i="10" s="1"/>
  <c r="O1836" i="10" s="1"/>
  <c r="P1836" i="10" s="1"/>
  <c r="Q1836" i="10" s="1"/>
  <c r="R1836" i="10" s="1"/>
  <c r="S1836" i="10" s="1"/>
  <c r="T1836" i="10" s="1"/>
  <c r="U1836" i="10" s="1"/>
  <c r="V1836" i="10" s="1"/>
  <c r="D1838" i="10" l="1"/>
  <c r="M1837" i="10"/>
  <c r="N1837" i="10" s="1"/>
  <c r="O1837" i="10" s="1"/>
  <c r="P1837" i="10" s="1"/>
  <c r="Q1837" i="10" s="1"/>
  <c r="R1837" i="10" s="1"/>
  <c r="S1837" i="10" s="1"/>
  <c r="T1837" i="10" s="1"/>
  <c r="U1837" i="10" s="1"/>
  <c r="V1837" i="10" s="1"/>
  <c r="D1839" i="10" l="1"/>
  <c r="M1838" i="10"/>
  <c r="N1838" i="10" s="1"/>
  <c r="O1838" i="10" s="1"/>
  <c r="P1838" i="10" s="1"/>
  <c r="Q1838" i="10" s="1"/>
  <c r="R1838" i="10" s="1"/>
  <c r="S1838" i="10" s="1"/>
  <c r="T1838" i="10" s="1"/>
  <c r="U1838" i="10" s="1"/>
  <c r="V1838" i="10" s="1"/>
  <c r="D1840" i="10" l="1"/>
  <c r="M1839" i="10"/>
  <c r="N1839" i="10" s="1"/>
  <c r="O1839" i="10" s="1"/>
  <c r="P1839" i="10" s="1"/>
  <c r="Q1839" i="10" s="1"/>
  <c r="R1839" i="10" s="1"/>
  <c r="S1839" i="10" s="1"/>
  <c r="T1839" i="10" s="1"/>
  <c r="U1839" i="10" s="1"/>
  <c r="V1839" i="10" s="1"/>
  <c r="D1841" i="10" l="1"/>
  <c r="M1840" i="10"/>
  <c r="N1840" i="10" s="1"/>
  <c r="O1840" i="10" s="1"/>
  <c r="P1840" i="10" s="1"/>
  <c r="Q1840" i="10" s="1"/>
  <c r="R1840" i="10" s="1"/>
  <c r="S1840" i="10" s="1"/>
  <c r="T1840" i="10" s="1"/>
  <c r="U1840" i="10" s="1"/>
  <c r="V1840" i="10" s="1"/>
  <c r="D1842" i="10" l="1"/>
  <c r="M1841" i="10"/>
  <c r="N1841" i="10" s="1"/>
  <c r="O1841" i="10" s="1"/>
  <c r="P1841" i="10" s="1"/>
  <c r="Q1841" i="10" s="1"/>
  <c r="R1841" i="10" s="1"/>
  <c r="S1841" i="10" s="1"/>
  <c r="T1841" i="10" s="1"/>
  <c r="U1841" i="10" s="1"/>
  <c r="V1841" i="10" s="1"/>
  <c r="D1843" i="10" l="1"/>
  <c r="M1842" i="10"/>
  <c r="N1842" i="10" s="1"/>
  <c r="O1842" i="10" s="1"/>
  <c r="P1842" i="10" s="1"/>
  <c r="Q1842" i="10" s="1"/>
  <c r="R1842" i="10" s="1"/>
  <c r="S1842" i="10" s="1"/>
  <c r="T1842" i="10" s="1"/>
  <c r="U1842" i="10" s="1"/>
  <c r="V1842" i="10" s="1"/>
  <c r="D1844" i="10" l="1"/>
  <c r="M1843" i="10"/>
  <c r="N1843" i="10" s="1"/>
  <c r="O1843" i="10" s="1"/>
  <c r="P1843" i="10" s="1"/>
  <c r="Q1843" i="10" s="1"/>
  <c r="R1843" i="10" s="1"/>
  <c r="S1843" i="10" s="1"/>
  <c r="T1843" i="10" s="1"/>
  <c r="U1843" i="10" s="1"/>
  <c r="V1843" i="10" s="1"/>
  <c r="D1845" i="10" l="1"/>
  <c r="M1844" i="10"/>
  <c r="N1844" i="10" s="1"/>
  <c r="O1844" i="10" s="1"/>
  <c r="P1844" i="10" s="1"/>
  <c r="Q1844" i="10" s="1"/>
  <c r="R1844" i="10" s="1"/>
  <c r="S1844" i="10" s="1"/>
  <c r="T1844" i="10" s="1"/>
  <c r="U1844" i="10" s="1"/>
  <c r="V1844" i="10" s="1"/>
  <c r="D1846" i="10" l="1"/>
  <c r="M1845" i="10"/>
  <c r="N1845" i="10" s="1"/>
  <c r="O1845" i="10" s="1"/>
  <c r="P1845" i="10" s="1"/>
  <c r="Q1845" i="10" s="1"/>
  <c r="R1845" i="10" s="1"/>
  <c r="S1845" i="10" s="1"/>
  <c r="T1845" i="10" s="1"/>
  <c r="U1845" i="10" s="1"/>
  <c r="V1845" i="10" s="1"/>
  <c r="D1847" i="10" l="1"/>
  <c r="M1846" i="10"/>
  <c r="N1846" i="10" s="1"/>
  <c r="O1846" i="10" s="1"/>
  <c r="P1846" i="10" s="1"/>
  <c r="Q1846" i="10" s="1"/>
  <c r="R1846" i="10" s="1"/>
  <c r="S1846" i="10" s="1"/>
  <c r="T1846" i="10" s="1"/>
  <c r="U1846" i="10" s="1"/>
  <c r="V1846" i="10" s="1"/>
  <c r="D1848" i="10" l="1"/>
  <c r="M1847" i="10"/>
  <c r="N1847" i="10" s="1"/>
  <c r="O1847" i="10" s="1"/>
  <c r="P1847" i="10" s="1"/>
  <c r="Q1847" i="10" s="1"/>
  <c r="R1847" i="10" s="1"/>
  <c r="S1847" i="10" s="1"/>
  <c r="T1847" i="10" s="1"/>
  <c r="U1847" i="10" s="1"/>
  <c r="V1847" i="10" s="1"/>
  <c r="D1849" i="10" l="1"/>
  <c r="M1848" i="10"/>
  <c r="N1848" i="10" s="1"/>
  <c r="O1848" i="10" s="1"/>
  <c r="P1848" i="10" s="1"/>
  <c r="Q1848" i="10" s="1"/>
  <c r="R1848" i="10" s="1"/>
  <c r="S1848" i="10" s="1"/>
  <c r="T1848" i="10" s="1"/>
  <c r="U1848" i="10" s="1"/>
  <c r="V1848" i="10" s="1"/>
  <c r="D1850" i="10" l="1"/>
  <c r="M1849" i="10"/>
  <c r="N1849" i="10" s="1"/>
  <c r="O1849" i="10" s="1"/>
  <c r="P1849" i="10" s="1"/>
  <c r="Q1849" i="10" s="1"/>
  <c r="R1849" i="10" s="1"/>
  <c r="S1849" i="10" s="1"/>
  <c r="T1849" i="10" s="1"/>
  <c r="U1849" i="10" s="1"/>
  <c r="V1849" i="10" s="1"/>
  <c r="D1851" i="10" l="1"/>
  <c r="M1850" i="10"/>
  <c r="N1850" i="10" s="1"/>
  <c r="O1850" i="10" s="1"/>
  <c r="P1850" i="10" s="1"/>
  <c r="Q1850" i="10" s="1"/>
  <c r="R1850" i="10" s="1"/>
  <c r="S1850" i="10" s="1"/>
  <c r="T1850" i="10" s="1"/>
  <c r="U1850" i="10" s="1"/>
  <c r="V1850" i="10" s="1"/>
  <c r="D1852" i="10" l="1"/>
  <c r="M1851" i="10"/>
  <c r="N1851" i="10" s="1"/>
  <c r="O1851" i="10" s="1"/>
  <c r="P1851" i="10" s="1"/>
  <c r="Q1851" i="10" s="1"/>
  <c r="R1851" i="10" s="1"/>
  <c r="S1851" i="10" s="1"/>
  <c r="T1851" i="10" s="1"/>
  <c r="U1851" i="10" s="1"/>
  <c r="V1851" i="10" s="1"/>
  <c r="D1853" i="10" l="1"/>
  <c r="M1852" i="10"/>
  <c r="N1852" i="10" s="1"/>
  <c r="O1852" i="10" s="1"/>
  <c r="P1852" i="10" s="1"/>
  <c r="Q1852" i="10" s="1"/>
  <c r="R1852" i="10" s="1"/>
  <c r="S1852" i="10" s="1"/>
  <c r="T1852" i="10" s="1"/>
  <c r="U1852" i="10" s="1"/>
  <c r="V1852" i="10" s="1"/>
  <c r="D1854" i="10" l="1"/>
  <c r="M1853" i="10"/>
  <c r="N1853" i="10" s="1"/>
  <c r="O1853" i="10" s="1"/>
  <c r="P1853" i="10" s="1"/>
  <c r="Q1853" i="10" s="1"/>
  <c r="R1853" i="10" s="1"/>
  <c r="S1853" i="10" s="1"/>
  <c r="T1853" i="10" s="1"/>
  <c r="U1853" i="10" s="1"/>
  <c r="V1853" i="10" s="1"/>
  <c r="D1855" i="10" l="1"/>
  <c r="M1854" i="10"/>
  <c r="N1854" i="10" s="1"/>
  <c r="O1854" i="10" s="1"/>
  <c r="P1854" i="10" s="1"/>
  <c r="Q1854" i="10" s="1"/>
  <c r="R1854" i="10" s="1"/>
  <c r="S1854" i="10" s="1"/>
  <c r="T1854" i="10" s="1"/>
  <c r="U1854" i="10" s="1"/>
  <c r="V1854" i="10" s="1"/>
  <c r="D1856" i="10" l="1"/>
  <c r="M1855" i="10"/>
  <c r="N1855" i="10" s="1"/>
  <c r="O1855" i="10" s="1"/>
  <c r="P1855" i="10" s="1"/>
  <c r="Q1855" i="10" s="1"/>
  <c r="R1855" i="10" s="1"/>
  <c r="S1855" i="10" s="1"/>
  <c r="T1855" i="10" s="1"/>
  <c r="U1855" i="10" s="1"/>
  <c r="V1855" i="10" s="1"/>
  <c r="D1857" i="10" l="1"/>
  <c r="M1856" i="10"/>
  <c r="N1856" i="10" s="1"/>
  <c r="O1856" i="10" s="1"/>
  <c r="P1856" i="10" s="1"/>
  <c r="Q1856" i="10" s="1"/>
  <c r="R1856" i="10" s="1"/>
  <c r="S1856" i="10" s="1"/>
  <c r="T1856" i="10" s="1"/>
  <c r="U1856" i="10" s="1"/>
  <c r="V1856" i="10" s="1"/>
  <c r="D1858" i="10" l="1"/>
  <c r="M1857" i="10"/>
  <c r="N1857" i="10" s="1"/>
  <c r="O1857" i="10" s="1"/>
  <c r="P1857" i="10" s="1"/>
  <c r="Q1857" i="10" s="1"/>
  <c r="R1857" i="10" s="1"/>
  <c r="S1857" i="10" s="1"/>
  <c r="T1857" i="10" s="1"/>
  <c r="U1857" i="10" s="1"/>
  <c r="V1857" i="10" s="1"/>
  <c r="D1859" i="10" l="1"/>
  <c r="M1858" i="10"/>
  <c r="N1858" i="10" s="1"/>
  <c r="O1858" i="10" s="1"/>
  <c r="P1858" i="10" s="1"/>
  <c r="Q1858" i="10" s="1"/>
  <c r="R1858" i="10" s="1"/>
  <c r="S1858" i="10" s="1"/>
  <c r="T1858" i="10" s="1"/>
  <c r="U1858" i="10" s="1"/>
  <c r="V1858" i="10" s="1"/>
  <c r="D1860" i="10" l="1"/>
  <c r="M1859" i="10"/>
  <c r="N1859" i="10" s="1"/>
  <c r="O1859" i="10" s="1"/>
  <c r="P1859" i="10" s="1"/>
  <c r="Q1859" i="10" s="1"/>
  <c r="R1859" i="10" s="1"/>
  <c r="S1859" i="10" s="1"/>
  <c r="T1859" i="10" s="1"/>
  <c r="U1859" i="10" s="1"/>
  <c r="V1859" i="10" s="1"/>
  <c r="D1861" i="10" l="1"/>
  <c r="M1860" i="10"/>
  <c r="N1860" i="10" s="1"/>
  <c r="O1860" i="10" s="1"/>
  <c r="P1860" i="10" s="1"/>
  <c r="Q1860" i="10" s="1"/>
  <c r="R1860" i="10" s="1"/>
  <c r="S1860" i="10" s="1"/>
  <c r="T1860" i="10" s="1"/>
  <c r="U1860" i="10" s="1"/>
  <c r="V1860" i="10" s="1"/>
  <c r="D1862" i="10" l="1"/>
  <c r="M1861" i="10"/>
  <c r="N1861" i="10" s="1"/>
  <c r="O1861" i="10" s="1"/>
  <c r="P1861" i="10" s="1"/>
  <c r="Q1861" i="10" s="1"/>
  <c r="R1861" i="10" s="1"/>
  <c r="S1861" i="10" s="1"/>
  <c r="T1861" i="10" s="1"/>
  <c r="U1861" i="10" s="1"/>
  <c r="V1861" i="10" s="1"/>
  <c r="D1863" i="10" l="1"/>
  <c r="M1862" i="10"/>
  <c r="N1862" i="10" s="1"/>
  <c r="O1862" i="10" s="1"/>
  <c r="P1862" i="10" s="1"/>
  <c r="Q1862" i="10" s="1"/>
  <c r="R1862" i="10" s="1"/>
  <c r="S1862" i="10" s="1"/>
  <c r="T1862" i="10" s="1"/>
  <c r="U1862" i="10" s="1"/>
  <c r="V1862" i="10" s="1"/>
  <c r="D1864" i="10" l="1"/>
  <c r="M1863" i="10"/>
  <c r="N1863" i="10" s="1"/>
  <c r="O1863" i="10" s="1"/>
  <c r="P1863" i="10" s="1"/>
  <c r="Q1863" i="10" s="1"/>
  <c r="R1863" i="10" s="1"/>
  <c r="S1863" i="10" s="1"/>
  <c r="T1863" i="10" s="1"/>
  <c r="U1863" i="10" s="1"/>
  <c r="V1863" i="10" s="1"/>
  <c r="D1865" i="10" l="1"/>
  <c r="M1864" i="10"/>
  <c r="N1864" i="10" s="1"/>
  <c r="O1864" i="10" s="1"/>
  <c r="P1864" i="10" s="1"/>
  <c r="Q1864" i="10" s="1"/>
  <c r="R1864" i="10" s="1"/>
  <c r="S1864" i="10" s="1"/>
  <c r="T1864" i="10" s="1"/>
  <c r="U1864" i="10" s="1"/>
  <c r="V1864" i="10" s="1"/>
  <c r="D1866" i="10" l="1"/>
  <c r="M1865" i="10"/>
  <c r="N1865" i="10" s="1"/>
  <c r="O1865" i="10" s="1"/>
  <c r="P1865" i="10" s="1"/>
  <c r="Q1865" i="10" s="1"/>
  <c r="R1865" i="10" s="1"/>
  <c r="S1865" i="10" s="1"/>
  <c r="T1865" i="10" s="1"/>
  <c r="U1865" i="10" s="1"/>
  <c r="V1865" i="10" s="1"/>
  <c r="D1867" i="10" l="1"/>
  <c r="M1866" i="10"/>
  <c r="N1866" i="10" s="1"/>
  <c r="O1866" i="10" s="1"/>
  <c r="P1866" i="10" s="1"/>
  <c r="Q1866" i="10" s="1"/>
  <c r="R1866" i="10" s="1"/>
  <c r="S1866" i="10" s="1"/>
  <c r="T1866" i="10" s="1"/>
  <c r="U1866" i="10" s="1"/>
  <c r="V1866" i="10" s="1"/>
  <c r="D1868" i="10" l="1"/>
  <c r="M1867" i="10"/>
  <c r="N1867" i="10" s="1"/>
  <c r="O1867" i="10" s="1"/>
  <c r="P1867" i="10" s="1"/>
  <c r="Q1867" i="10" s="1"/>
  <c r="R1867" i="10" s="1"/>
  <c r="S1867" i="10" s="1"/>
  <c r="T1867" i="10" s="1"/>
  <c r="U1867" i="10" s="1"/>
  <c r="V1867" i="10" s="1"/>
  <c r="D1869" i="10" l="1"/>
  <c r="M1868" i="10"/>
  <c r="N1868" i="10" s="1"/>
  <c r="O1868" i="10" s="1"/>
  <c r="P1868" i="10" s="1"/>
  <c r="Q1868" i="10" s="1"/>
  <c r="R1868" i="10" s="1"/>
  <c r="S1868" i="10" s="1"/>
  <c r="T1868" i="10" s="1"/>
  <c r="U1868" i="10" s="1"/>
  <c r="V1868" i="10" s="1"/>
  <c r="D1870" i="10" l="1"/>
  <c r="M1869" i="10"/>
  <c r="N1869" i="10" s="1"/>
  <c r="O1869" i="10" s="1"/>
  <c r="P1869" i="10" s="1"/>
  <c r="Q1869" i="10" s="1"/>
  <c r="R1869" i="10" s="1"/>
  <c r="S1869" i="10" s="1"/>
  <c r="T1869" i="10" s="1"/>
  <c r="U1869" i="10" s="1"/>
  <c r="V1869" i="10" s="1"/>
  <c r="D1871" i="10" l="1"/>
  <c r="M1870" i="10"/>
  <c r="N1870" i="10" s="1"/>
  <c r="O1870" i="10" s="1"/>
  <c r="P1870" i="10" s="1"/>
  <c r="Q1870" i="10" s="1"/>
  <c r="R1870" i="10" s="1"/>
  <c r="S1870" i="10" s="1"/>
  <c r="T1870" i="10" s="1"/>
  <c r="U1870" i="10" s="1"/>
  <c r="V1870" i="10" s="1"/>
  <c r="D1872" i="10" l="1"/>
  <c r="M1871" i="10"/>
  <c r="N1871" i="10" s="1"/>
  <c r="O1871" i="10" s="1"/>
  <c r="P1871" i="10" s="1"/>
  <c r="Q1871" i="10" s="1"/>
  <c r="R1871" i="10" s="1"/>
  <c r="S1871" i="10" s="1"/>
  <c r="T1871" i="10" s="1"/>
  <c r="U1871" i="10" s="1"/>
  <c r="V1871" i="10" s="1"/>
  <c r="D1873" i="10" l="1"/>
  <c r="M1872" i="10"/>
  <c r="N1872" i="10" s="1"/>
  <c r="O1872" i="10" s="1"/>
  <c r="P1872" i="10" s="1"/>
  <c r="Q1872" i="10" s="1"/>
  <c r="R1872" i="10" s="1"/>
  <c r="S1872" i="10" s="1"/>
  <c r="T1872" i="10" s="1"/>
  <c r="U1872" i="10" s="1"/>
  <c r="V1872" i="10" s="1"/>
  <c r="D1874" i="10" l="1"/>
  <c r="M1873" i="10"/>
  <c r="N1873" i="10" s="1"/>
  <c r="O1873" i="10" s="1"/>
  <c r="P1873" i="10" s="1"/>
  <c r="Q1873" i="10" s="1"/>
  <c r="R1873" i="10" s="1"/>
  <c r="S1873" i="10" s="1"/>
  <c r="T1873" i="10" s="1"/>
  <c r="U1873" i="10" s="1"/>
  <c r="V1873" i="10" s="1"/>
  <c r="D1875" i="10" l="1"/>
  <c r="M1874" i="10"/>
  <c r="N1874" i="10" s="1"/>
  <c r="O1874" i="10" s="1"/>
  <c r="P1874" i="10" s="1"/>
  <c r="Q1874" i="10" s="1"/>
  <c r="R1874" i="10" s="1"/>
  <c r="S1874" i="10" s="1"/>
  <c r="T1874" i="10" s="1"/>
  <c r="U1874" i="10" s="1"/>
  <c r="V1874" i="10" s="1"/>
  <c r="D1876" i="10" l="1"/>
  <c r="M1875" i="10"/>
  <c r="N1875" i="10" s="1"/>
  <c r="O1875" i="10" s="1"/>
  <c r="P1875" i="10" s="1"/>
  <c r="Q1875" i="10" s="1"/>
  <c r="R1875" i="10" s="1"/>
  <c r="S1875" i="10" s="1"/>
  <c r="T1875" i="10" s="1"/>
  <c r="U1875" i="10" s="1"/>
  <c r="V1875" i="10" s="1"/>
  <c r="D1877" i="10" l="1"/>
  <c r="M1876" i="10"/>
  <c r="N1876" i="10" s="1"/>
  <c r="O1876" i="10" s="1"/>
  <c r="P1876" i="10" s="1"/>
  <c r="Q1876" i="10" s="1"/>
  <c r="R1876" i="10" s="1"/>
  <c r="S1876" i="10" s="1"/>
  <c r="T1876" i="10" s="1"/>
  <c r="U1876" i="10" s="1"/>
  <c r="V1876" i="10" s="1"/>
  <c r="D1878" i="10" l="1"/>
  <c r="M1877" i="10"/>
  <c r="N1877" i="10" s="1"/>
  <c r="O1877" i="10" s="1"/>
  <c r="P1877" i="10" s="1"/>
  <c r="Q1877" i="10" s="1"/>
  <c r="R1877" i="10" s="1"/>
  <c r="S1877" i="10" s="1"/>
  <c r="T1877" i="10" s="1"/>
  <c r="U1877" i="10" s="1"/>
  <c r="V1877" i="10" s="1"/>
  <c r="D1879" i="10" l="1"/>
  <c r="M1878" i="10"/>
  <c r="N1878" i="10" s="1"/>
  <c r="O1878" i="10" s="1"/>
  <c r="P1878" i="10" s="1"/>
  <c r="Q1878" i="10" s="1"/>
  <c r="R1878" i="10" s="1"/>
  <c r="S1878" i="10" s="1"/>
  <c r="T1878" i="10" s="1"/>
  <c r="U1878" i="10" s="1"/>
  <c r="V1878" i="10" s="1"/>
  <c r="D1880" i="10" l="1"/>
  <c r="M1879" i="10"/>
  <c r="N1879" i="10" s="1"/>
  <c r="O1879" i="10" s="1"/>
  <c r="P1879" i="10" s="1"/>
  <c r="Q1879" i="10" s="1"/>
  <c r="R1879" i="10" s="1"/>
  <c r="S1879" i="10" s="1"/>
  <c r="T1879" i="10" s="1"/>
  <c r="U1879" i="10" s="1"/>
  <c r="V1879" i="10" s="1"/>
  <c r="D1881" i="10" l="1"/>
  <c r="M1880" i="10"/>
  <c r="N1880" i="10" s="1"/>
  <c r="O1880" i="10" s="1"/>
  <c r="P1880" i="10" s="1"/>
  <c r="Q1880" i="10" s="1"/>
  <c r="R1880" i="10" s="1"/>
  <c r="S1880" i="10" s="1"/>
  <c r="T1880" i="10" s="1"/>
  <c r="U1880" i="10" s="1"/>
  <c r="V1880" i="10" s="1"/>
  <c r="D1882" i="10" l="1"/>
  <c r="M1881" i="10"/>
  <c r="N1881" i="10" s="1"/>
  <c r="O1881" i="10" s="1"/>
  <c r="P1881" i="10" s="1"/>
  <c r="Q1881" i="10" s="1"/>
  <c r="R1881" i="10" s="1"/>
  <c r="S1881" i="10" s="1"/>
  <c r="T1881" i="10" s="1"/>
  <c r="U1881" i="10" s="1"/>
  <c r="V1881" i="10" s="1"/>
  <c r="D1883" i="10" l="1"/>
  <c r="M1882" i="10"/>
  <c r="N1882" i="10" s="1"/>
  <c r="O1882" i="10" s="1"/>
  <c r="P1882" i="10" s="1"/>
  <c r="Q1882" i="10" s="1"/>
  <c r="R1882" i="10" s="1"/>
  <c r="S1882" i="10" s="1"/>
  <c r="T1882" i="10" s="1"/>
  <c r="U1882" i="10" s="1"/>
  <c r="V1882" i="10" s="1"/>
  <c r="D1884" i="10" l="1"/>
  <c r="M1883" i="10"/>
  <c r="N1883" i="10" s="1"/>
  <c r="O1883" i="10" s="1"/>
  <c r="P1883" i="10" s="1"/>
  <c r="Q1883" i="10" s="1"/>
  <c r="R1883" i="10" s="1"/>
  <c r="S1883" i="10" s="1"/>
  <c r="T1883" i="10" s="1"/>
  <c r="U1883" i="10" s="1"/>
  <c r="V1883" i="10" s="1"/>
  <c r="D1885" i="10" l="1"/>
  <c r="M1884" i="10"/>
  <c r="N1884" i="10" s="1"/>
  <c r="O1884" i="10" s="1"/>
  <c r="P1884" i="10" s="1"/>
  <c r="Q1884" i="10" s="1"/>
  <c r="R1884" i="10" s="1"/>
  <c r="S1884" i="10" s="1"/>
  <c r="T1884" i="10" s="1"/>
  <c r="U1884" i="10" s="1"/>
  <c r="V1884" i="10" s="1"/>
  <c r="D1886" i="10" l="1"/>
  <c r="M1885" i="10"/>
  <c r="N1885" i="10" s="1"/>
  <c r="O1885" i="10" s="1"/>
  <c r="P1885" i="10" s="1"/>
  <c r="Q1885" i="10" s="1"/>
  <c r="R1885" i="10" s="1"/>
  <c r="S1885" i="10" s="1"/>
  <c r="T1885" i="10" s="1"/>
  <c r="U1885" i="10" s="1"/>
  <c r="V1885" i="10" s="1"/>
  <c r="D1887" i="10" l="1"/>
  <c r="M1886" i="10"/>
  <c r="N1886" i="10" s="1"/>
  <c r="O1886" i="10" s="1"/>
  <c r="P1886" i="10" s="1"/>
  <c r="Q1886" i="10" s="1"/>
  <c r="R1886" i="10" s="1"/>
  <c r="S1886" i="10" s="1"/>
  <c r="T1886" i="10" s="1"/>
  <c r="U1886" i="10" s="1"/>
  <c r="V1886" i="10" s="1"/>
  <c r="D1888" i="10" l="1"/>
  <c r="M1887" i="10"/>
  <c r="N1887" i="10" s="1"/>
  <c r="O1887" i="10" s="1"/>
  <c r="P1887" i="10" s="1"/>
  <c r="Q1887" i="10" s="1"/>
  <c r="R1887" i="10" s="1"/>
  <c r="S1887" i="10" s="1"/>
  <c r="T1887" i="10" s="1"/>
  <c r="U1887" i="10" s="1"/>
  <c r="V1887" i="10" s="1"/>
  <c r="D1889" i="10" l="1"/>
  <c r="M1888" i="10"/>
  <c r="N1888" i="10" s="1"/>
  <c r="O1888" i="10" s="1"/>
  <c r="P1888" i="10" s="1"/>
  <c r="Q1888" i="10" s="1"/>
  <c r="R1888" i="10" s="1"/>
  <c r="S1888" i="10" s="1"/>
  <c r="T1888" i="10" s="1"/>
  <c r="U1888" i="10" s="1"/>
  <c r="V1888" i="10" s="1"/>
  <c r="D1890" i="10" l="1"/>
  <c r="M1889" i="10"/>
  <c r="N1889" i="10" s="1"/>
  <c r="O1889" i="10" s="1"/>
  <c r="P1889" i="10" s="1"/>
  <c r="Q1889" i="10" s="1"/>
  <c r="R1889" i="10" s="1"/>
  <c r="S1889" i="10" s="1"/>
  <c r="T1889" i="10" s="1"/>
  <c r="U1889" i="10" s="1"/>
  <c r="V1889" i="10" s="1"/>
  <c r="D1891" i="10" l="1"/>
  <c r="M1890" i="10"/>
  <c r="N1890" i="10" s="1"/>
  <c r="O1890" i="10" s="1"/>
  <c r="P1890" i="10" s="1"/>
  <c r="Q1890" i="10" s="1"/>
  <c r="R1890" i="10" s="1"/>
  <c r="S1890" i="10" s="1"/>
  <c r="T1890" i="10" s="1"/>
  <c r="U1890" i="10" s="1"/>
  <c r="V1890" i="10" s="1"/>
  <c r="D1892" i="10" l="1"/>
  <c r="M1891" i="10"/>
  <c r="N1891" i="10" s="1"/>
  <c r="O1891" i="10" s="1"/>
  <c r="P1891" i="10" s="1"/>
  <c r="Q1891" i="10" s="1"/>
  <c r="R1891" i="10" s="1"/>
  <c r="S1891" i="10" s="1"/>
  <c r="T1891" i="10" s="1"/>
  <c r="U1891" i="10" s="1"/>
  <c r="V1891" i="10" s="1"/>
  <c r="D1893" i="10" l="1"/>
  <c r="M1892" i="10"/>
  <c r="N1892" i="10" s="1"/>
  <c r="O1892" i="10" s="1"/>
  <c r="P1892" i="10" s="1"/>
  <c r="Q1892" i="10" s="1"/>
  <c r="R1892" i="10" s="1"/>
  <c r="S1892" i="10" s="1"/>
  <c r="T1892" i="10" s="1"/>
  <c r="U1892" i="10" s="1"/>
  <c r="V1892" i="10" s="1"/>
  <c r="D1894" i="10" l="1"/>
  <c r="M1893" i="10"/>
  <c r="N1893" i="10" s="1"/>
  <c r="O1893" i="10" s="1"/>
  <c r="P1893" i="10" s="1"/>
  <c r="Q1893" i="10" s="1"/>
  <c r="R1893" i="10" s="1"/>
  <c r="S1893" i="10" s="1"/>
  <c r="T1893" i="10" s="1"/>
  <c r="U1893" i="10" s="1"/>
  <c r="V1893" i="10" s="1"/>
  <c r="D1895" i="10" l="1"/>
  <c r="M1894" i="10"/>
  <c r="N1894" i="10" s="1"/>
  <c r="O1894" i="10" s="1"/>
  <c r="P1894" i="10" s="1"/>
  <c r="Q1894" i="10" s="1"/>
  <c r="R1894" i="10" s="1"/>
  <c r="S1894" i="10" s="1"/>
  <c r="T1894" i="10" s="1"/>
  <c r="U1894" i="10" s="1"/>
  <c r="V1894" i="10" s="1"/>
  <c r="D1896" i="10" l="1"/>
  <c r="M1895" i="10"/>
  <c r="N1895" i="10" s="1"/>
  <c r="O1895" i="10" s="1"/>
  <c r="P1895" i="10" s="1"/>
  <c r="Q1895" i="10" s="1"/>
  <c r="R1895" i="10" s="1"/>
  <c r="S1895" i="10" s="1"/>
  <c r="T1895" i="10" s="1"/>
  <c r="U1895" i="10" s="1"/>
  <c r="V1895" i="10" s="1"/>
  <c r="D1897" i="10" l="1"/>
  <c r="M1896" i="10"/>
  <c r="N1896" i="10" s="1"/>
  <c r="O1896" i="10" s="1"/>
  <c r="P1896" i="10" s="1"/>
  <c r="Q1896" i="10" s="1"/>
  <c r="R1896" i="10" s="1"/>
  <c r="S1896" i="10" s="1"/>
  <c r="T1896" i="10" s="1"/>
  <c r="U1896" i="10" s="1"/>
  <c r="V1896" i="10" s="1"/>
  <c r="D1898" i="10" l="1"/>
  <c r="M1897" i="10"/>
  <c r="N1897" i="10" s="1"/>
  <c r="O1897" i="10" s="1"/>
  <c r="P1897" i="10" s="1"/>
  <c r="Q1897" i="10" s="1"/>
  <c r="R1897" i="10" s="1"/>
  <c r="S1897" i="10" s="1"/>
  <c r="T1897" i="10" s="1"/>
  <c r="U1897" i="10" s="1"/>
  <c r="V1897" i="10" s="1"/>
  <c r="D1899" i="10" l="1"/>
  <c r="M1898" i="10"/>
  <c r="N1898" i="10" s="1"/>
  <c r="O1898" i="10" s="1"/>
  <c r="P1898" i="10" s="1"/>
  <c r="Q1898" i="10" s="1"/>
  <c r="R1898" i="10" s="1"/>
  <c r="S1898" i="10" s="1"/>
  <c r="T1898" i="10" s="1"/>
  <c r="U1898" i="10" s="1"/>
  <c r="V1898" i="10" s="1"/>
  <c r="D1900" i="10" l="1"/>
  <c r="M1899" i="10"/>
  <c r="N1899" i="10" s="1"/>
  <c r="O1899" i="10" s="1"/>
  <c r="P1899" i="10" s="1"/>
  <c r="Q1899" i="10" s="1"/>
  <c r="R1899" i="10" s="1"/>
  <c r="S1899" i="10" s="1"/>
  <c r="T1899" i="10" s="1"/>
  <c r="U1899" i="10" s="1"/>
  <c r="V1899" i="10" s="1"/>
  <c r="D1901" i="10" l="1"/>
  <c r="M1900" i="10"/>
  <c r="N1900" i="10" s="1"/>
  <c r="O1900" i="10" s="1"/>
  <c r="P1900" i="10" s="1"/>
  <c r="Q1900" i="10" s="1"/>
  <c r="R1900" i="10" s="1"/>
  <c r="S1900" i="10" s="1"/>
  <c r="T1900" i="10" s="1"/>
  <c r="U1900" i="10" s="1"/>
  <c r="V1900" i="10" s="1"/>
  <c r="D1902" i="10" l="1"/>
  <c r="M1901" i="10"/>
  <c r="N1901" i="10" s="1"/>
  <c r="O1901" i="10" s="1"/>
  <c r="P1901" i="10" s="1"/>
  <c r="Q1901" i="10" s="1"/>
  <c r="R1901" i="10" s="1"/>
  <c r="S1901" i="10" s="1"/>
  <c r="T1901" i="10" s="1"/>
  <c r="U1901" i="10" s="1"/>
  <c r="V1901" i="10" s="1"/>
  <c r="D1903" i="10" l="1"/>
  <c r="M1902" i="10"/>
  <c r="N1902" i="10" s="1"/>
  <c r="O1902" i="10" s="1"/>
  <c r="P1902" i="10" s="1"/>
  <c r="Q1902" i="10" s="1"/>
  <c r="R1902" i="10" s="1"/>
  <c r="S1902" i="10" s="1"/>
  <c r="T1902" i="10" s="1"/>
  <c r="U1902" i="10" s="1"/>
  <c r="V1902" i="10" s="1"/>
  <c r="D1904" i="10" l="1"/>
  <c r="M1903" i="10"/>
  <c r="N1903" i="10" s="1"/>
  <c r="O1903" i="10" s="1"/>
  <c r="P1903" i="10" s="1"/>
  <c r="Q1903" i="10" s="1"/>
  <c r="R1903" i="10" s="1"/>
  <c r="S1903" i="10" s="1"/>
  <c r="T1903" i="10" s="1"/>
  <c r="U1903" i="10" s="1"/>
  <c r="V1903" i="10" s="1"/>
  <c r="D1905" i="10" l="1"/>
  <c r="M1904" i="10"/>
  <c r="N1904" i="10" s="1"/>
  <c r="O1904" i="10" s="1"/>
  <c r="P1904" i="10" s="1"/>
  <c r="Q1904" i="10" s="1"/>
  <c r="R1904" i="10" s="1"/>
  <c r="S1904" i="10" s="1"/>
  <c r="T1904" i="10" s="1"/>
  <c r="U1904" i="10" s="1"/>
  <c r="V1904" i="10" s="1"/>
  <c r="D1906" i="10" l="1"/>
  <c r="M1905" i="10"/>
  <c r="N1905" i="10" s="1"/>
  <c r="O1905" i="10" s="1"/>
  <c r="P1905" i="10" s="1"/>
  <c r="Q1905" i="10" s="1"/>
  <c r="R1905" i="10" s="1"/>
  <c r="S1905" i="10" s="1"/>
  <c r="T1905" i="10" s="1"/>
  <c r="U1905" i="10" s="1"/>
  <c r="V1905" i="10" s="1"/>
  <c r="D1907" i="10" l="1"/>
  <c r="M1906" i="10"/>
  <c r="N1906" i="10" s="1"/>
  <c r="O1906" i="10" s="1"/>
  <c r="P1906" i="10" s="1"/>
  <c r="Q1906" i="10" s="1"/>
  <c r="R1906" i="10" s="1"/>
  <c r="S1906" i="10" s="1"/>
  <c r="T1906" i="10" s="1"/>
  <c r="U1906" i="10" s="1"/>
  <c r="V1906" i="10" s="1"/>
  <c r="D1908" i="10" l="1"/>
  <c r="M1907" i="10"/>
  <c r="N1907" i="10" s="1"/>
  <c r="O1907" i="10" s="1"/>
  <c r="P1907" i="10" s="1"/>
  <c r="Q1907" i="10" s="1"/>
  <c r="R1907" i="10" s="1"/>
  <c r="S1907" i="10" s="1"/>
  <c r="T1907" i="10" s="1"/>
  <c r="U1907" i="10" s="1"/>
  <c r="V1907" i="10" s="1"/>
  <c r="D1909" i="10" l="1"/>
  <c r="M1908" i="10"/>
  <c r="N1908" i="10" s="1"/>
  <c r="O1908" i="10" s="1"/>
  <c r="P1908" i="10" s="1"/>
  <c r="Q1908" i="10" s="1"/>
  <c r="R1908" i="10" s="1"/>
  <c r="S1908" i="10" s="1"/>
  <c r="T1908" i="10" s="1"/>
  <c r="U1908" i="10" s="1"/>
  <c r="V1908" i="10" s="1"/>
  <c r="D1910" i="10" l="1"/>
  <c r="M1909" i="10"/>
  <c r="N1909" i="10" s="1"/>
  <c r="O1909" i="10" s="1"/>
  <c r="P1909" i="10" s="1"/>
  <c r="Q1909" i="10" s="1"/>
  <c r="R1909" i="10" s="1"/>
  <c r="S1909" i="10" s="1"/>
  <c r="T1909" i="10" s="1"/>
  <c r="U1909" i="10" s="1"/>
  <c r="V1909" i="10" s="1"/>
  <c r="D1911" i="10" l="1"/>
  <c r="M1910" i="10"/>
  <c r="N1910" i="10" s="1"/>
  <c r="O1910" i="10" s="1"/>
  <c r="P1910" i="10" s="1"/>
  <c r="Q1910" i="10" s="1"/>
  <c r="R1910" i="10" s="1"/>
  <c r="S1910" i="10" s="1"/>
  <c r="T1910" i="10" s="1"/>
  <c r="U1910" i="10" s="1"/>
  <c r="V1910" i="10" s="1"/>
  <c r="D1912" i="10" l="1"/>
  <c r="M1911" i="10"/>
  <c r="N1911" i="10" s="1"/>
  <c r="O1911" i="10" s="1"/>
  <c r="P1911" i="10" s="1"/>
  <c r="Q1911" i="10" s="1"/>
  <c r="R1911" i="10" s="1"/>
  <c r="S1911" i="10" s="1"/>
  <c r="T1911" i="10" s="1"/>
  <c r="U1911" i="10" s="1"/>
  <c r="V1911" i="10" s="1"/>
  <c r="D1913" i="10" l="1"/>
  <c r="M1912" i="10"/>
  <c r="N1912" i="10" s="1"/>
  <c r="O1912" i="10" s="1"/>
  <c r="P1912" i="10" s="1"/>
  <c r="Q1912" i="10" s="1"/>
  <c r="R1912" i="10" s="1"/>
  <c r="S1912" i="10" s="1"/>
  <c r="T1912" i="10" s="1"/>
  <c r="U1912" i="10" s="1"/>
  <c r="V1912" i="10" s="1"/>
  <c r="D1914" i="10" l="1"/>
  <c r="M1913" i="10"/>
  <c r="N1913" i="10" s="1"/>
  <c r="O1913" i="10" s="1"/>
  <c r="P1913" i="10" s="1"/>
  <c r="Q1913" i="10" s="1"/>
  <c r="R1913" i="10" s="1"/>
  <c r="S1913" i="10" s="1"/>
  <c r="T1913" i="10" s="1"/>
  <c r="U1913" i="10" s="1"/>
  <c r="V1913" i="10" s="1"/>
  <c r="D1915" i="10" l="1"/>
  <c r="M1914" i="10"/>
  <c r="N1914" i="10" s="1"/>
  <c r="O1914" i="10" s="1"/>
  <c r="P1914" i="10" s="1"/>
  <c r="Q1914" i="10" s="1"/>
  <c r="R1914" i="10" s="1"/>
  <c r="S1914" i="10" s="1"/>
  <c r="T1914" i="10" s="1"/>
  <c r="U1914" i="10" s="1"/>
  <c r="V1914" i="10" s="1"/>
  <c r="D1916" i="10" l="1"/>
  <c r="M1915" i="10"/>
  <c r="N1915" i="10" s="1"/>
  <c r="O1915" i="10" s="1"/>
  <c r="P1915" i="10" s="1"/>
  <c r="Q1915" i="10" s="1"/>
  <c r="R1915" i="10" s="1"/>
  <c r="S1915" i="10" s="1"/>
  <c r="T1915" i="10" s="1"/>
  <c r="U1915" i="10" s="1"/>
  <c r="V1915" i="10" s="1"/>
  <c r="D1917" i="10" l="1"/>
  <c r="M1916" i="10"/>
  <c r="N1916" i="10" s="1"/>
  <c r="O1916" i="10" s="1"/>
  <c r="P1916" i="10" s="1"/>
  <c r="Q1916" i="10" s="1"/>
  <c r="R1916" i="10" s="1"/>
  <c r="S1916" i="10" s="1"/>
  <c r="T1916" i="10" s="1"/>
  <c r="U1916" i="10" s="1"/>
  <c r="V1916" i="10" s="1"/>
  <c r="D1918" i="10" l="1"/>
  <c r="M1917" i="10"/>
  <c r="N1917" i="10" s="1"/>
  <c r="O1917" i="10" s="1"/>
  <c r="P1917" i="10" s="1"/>
  <c r="Q1917" i="10" s="1"/>
  <c r="R1917" i="10" s="1"/>
  <c r="S1917" i="10" s="1"/>
  <c r="T1917" i="10" s="1"/>
  <c r="U1917" i="10" s="1"/>
  <c r="V1917" i="10" s="1"/>
  <c r="D1919" i="10" l="1"/>
  <c r="M1918" i="10"/>
  <c r="N1918" i="10" s="1"/>
  <c r="O1918" i="10" s="1"/>
  <c r="P1918" i="10" s="1"/>
  <c r="Q1918" i="10" s="1"/>
  <c r="R1918" i="10" s="1"/>
  <c r="S1918" i="10" s="1"/>
  <c r="T1918" i="10" s="1"/>
  <c r="U1918" i="10" s="1"/>
  <c r="V1918" i="10" s="1"/>
  <c r="D1920" i="10" l="1"/>
  <c r="M1919" i="10"/>
  <c r="N1919" i="10" s="1"/>
  <c r="O1919" i="10" s="1"/>
  <c r="P1919" i="10" s="1"/>
  <c r="Q1919" i="10" s="1"/>
  <c r="R1919" i="10" s="1"/>
  <c r="S1919" i="10" s="1"/>
  <c r="T1919" i="10" s="1"/>
  <c r="U1919" i="10" s="1"/>
  <c r="V1919" i="10" s="1"/>
  <c r="D1921" i="10" l="1"/>
  <c r="M1920" i="10"/>
  <c r="N1920" i="10" s="1"/>
  <c r="O1920" i="10" s="1"/>
  <c r="P1920" i="10" s="1"/>
  <c r="Q1920" i="10" s="1"/>
  <c r="R1920" i="10" s="1"/>
  <c r="S1920" i="10" s="1"/>
  <c r="T1920" i="10" s="1"/>
  <c r="U1920" i="10" s="1"/>
  <c r="V1920" i="10" s="1"/>
  <c r="D1922" i="10" l="1"/>
  <c r="M1921" i="10"/>
  <c r="N1921" i="10" s="1"/>
  <c r="O1921" i="10" s="1"/>
  <c r="P1921" i="10" s="1"/>
  <c r="Q1921" i="10" s="1"/>
  <c r="R1921" i="10" s="1"/>
  <c r="S1921" i="10" s="1"/>
  <c r="T1921" i="10" s="1"/>
  <c r="U1921" i="10" s="1"/>
  <c r="V1921" i="10" s="1"/>
  <c r="D1923" i="10" l="1"/>
  <c r="M1922" i="10"/>
  <c r="N1922" i="10" s="1"/>
  <c r="O1922" i="10" s="1"/>
  <c r="P1922" i="10" s="1"/>
  <c r="Q1922" i="10" s="1"/>
  <c r="R1922" i="10" s="1"/>
  <c r="S1922" i="10" s="1"/>
  <c r="T1922" i="10" s="1"/>
  <c r="U1922" i="10" s="1"/>
  <c r="V1922" i="10" s="1"/>
  <c r="D1924" i="10" l="1"/>
  <c r="M1923" i="10"/>
  <c r="N1923" i="10" s="1"/>
  <c r="O1923" i="10" s="1"/>
  <c r="P1923" i="10" s="1"/>
  <c r="Q1923" i="10" s="1"/>
  <c r="R1923" i="10" s="1"/>
  <c r="S1923" i="10" s="1"/>
  <c r="T1923" i="10" s="1"/>
  <c r="U1923" i="10" s="1"/>
  <c r="V1923" i="10" s="1"/>
  <c r="D1925" i="10" l="1"/>
  <c r="M1924" i="10"/>
  <c r="N1924" i="10" s="1"/>
  <c r="O1924" i="10" s="1"/>
  <c r="P1924" i="10" s="1"/>
  <c r="Q1924" i="10" s="1"/>
  <c r="R1924" i="10" s="1"/>
  <c r="S1924" i="10" s="1"/>
  <c r="T1924" i="10" s="1"/>
  <c r="U1924" i="10" s="1"/>
  <c r="V1924" i="10" s="1"/>
  <c r="D1926" i="10" l="1"/>
  <c r="M1925" i="10"/>
  <c r="N1925" i="10" s="1"/>
  <c r="O1925" i="10" s="1"/>
  <c r="P1925" i="10" s="1"/>
  <c r="Q1925" i="10" s="1"/>
  <c r="R1925" i="10" s="1"/>
  <c r="S1925" i="10" s="1"/>
  <c r="T1925" i="10" s="1"/>
  <c r="U1925" i="10" s="1"/>
  <c r="V1925" i="10" s="1"/>
  <c r="D1927" i="10" l="1"/>
  <c r="M1926" i="10"/>
  <c r="N1926" i="10" s="1"/>
  <c r="O1926" i="10" s="1"/>
  <c r="P1926" i="10" s="1"/>
  <c r="Q1926" i="10" s="1"/>
  <c r="R1926" i="10" s="1"/>
  <c r="S1926" i="10" s="1"/>
  <c r="T1926" i="10" s="1"/>
  <c r="U1926" i="10" s="1"/>
  <c r="V1926" i="10" s="1"/>
  <c r="D1928" i="10" l="1"/>
  <c r="M1927" i="10"/>
  <c r="N1927" i="10" s="1"/>
  <c r="O1927" i="10" s="1"/>
  <c r="P1927" i="10" s="1"/>
  <c r="Q1927" i="10" s="1"/>
  <c r="R1927" i="10" s="1"/>
  <c r="S1927" i="10" s="1"/>
  <c r="T1927" i="10" s="1"/>
  <c r="U1927" i="10" s="1"/>
  <c r="V1927" i="10" s="1"/>
  <c r="D1929" i="10" l="1"/>
  <c r="M1928" i="10"/>
  <c r="N1928" i="10" s="1"/>
  <c r="O1928" i="10" s="1"/>
  <c r="P1928" i="10" s="1"/>
  <c r="Q1928" i="10" s="1"/>
  <c r="R1928" i="10" s="1"/>
  <c r="S1928" i="10" s="1"/>
  <c r="T1928" i="10" s="1"/>
  <c r="U1928" i="10" s="1"/>
  <c r="V1928" i="10" s="1"/>
  <c r="D1930" i="10" l="1"/>
  <c r="M1929" i="10"/>
  <c r="N1929" i="10" s="1"/>
  <c r="O1929" i="10" s="1"/>
  <c r="P1929" i="10" s="1"/>
  <c r="Q1929" i="10" s="1"/>
  <c r="R1929" i="10" s="1"/>
  <c r="S1929" i="10" s="1"/>
  <c r="T1929" i="10" s="1"/>
  <c r="U1929" i="10" s="1"/>
  <c r="V1929" i="10" s="1"/>
  <c r="D1931" i="10" l="1"/>
  <c r="M1930" i="10"/>
  <c r="N1930" i="10" s="1"/>
  <c r="O1930" i="10" s="1"/>
  <c r="P1930" i="10" s="1"/>
  <c r="Q1930" i="10" s="1"/>
  <c r="R1930" i="10" s="1"/>
  <c r="S1930" i="10" s="1"/>
  <c r="T1930" i="10" s="1"/>
  <c r="U1930" i="10" s="1"/>
  <c r="V1930" i="10" s="1"/>
  <c r="D1932" i="10" l="1"/>
  <c r="M1931" i="10"/>
  <c r="N1931" i="10" s="1"/>
  <c r="O1931" i="10" s="1"/>
  <c r="P1931" i="10" s="1"/>
  <c r="Q1931" i="10" s="1"/>
  <c r="R1931" i="10" s="1"/>
  <c r="S1931" i="10" s="1"/>
  <c r="T1931" i="10" s="1"/>
  <c r="U1931" i="10" s="1"/>
  <c r="V1931" i="10" s="1"/>
  <c r="D1933" i="10" l="1"/>
  <c r="M1932" i="10"/>
  <c r="N1932" i="10" s="1"/>
  <c r="O1932" i="10" s="1"/>
  <c r="P1932" i="10" s="1"/>
  <c r="Q1932" i="10" s="1"/>
  <c r="R1932" i="10" s="1"/>
  <c r="S1932" i="10" s="1"/>
  <c r="T1932" i="10" s="1"/>
  <c r="U1932" i="10" s="1"/>
  <c r="V1932" i="10" s="1"/>
  <c r="D1934" i="10" l="1"/>
  <c r="M1933" i="10"/>
  <c r="N1933" i="10" s="1"/>
  <c r="O1933" i="10" s="1"/>
  <c r="P1933" i="10" s="1"/>
  <c r="Q1933" i="10" s="1"/>
  <c r="R1933" i="10" s="1"/>
  <c r="S1933" i="10" s="1"/>
  <c r="T1933" i="10" s="1"/>
  <c r="U1933" i="10" s="1"/>
  <c r="V1933" i="10" s="1"/>
  <c r="D1935" i="10" l="1"/>
  <c r="M1934" i="10"/>
  <c r="N1934" i="10" s="1"/>
  <c r="O1934" i="10" s="1"/>
  <c r="P1934" i="10" s="1"/>
  <c r="Q1934" i="10" s="1"/>
  <c r="R1934" i="10" s="1"/>
  <c r="S1934" i="10" s="1"/>
  <c r="T1934" i="10" s="1"/>
  <c r="U1934" i="10" s="1"/>
  <c r="V1934" i="10" s="1"/>
  <c r="D1936" i="10" l="1"/>
  <c r="M1935" i="10"/>
  <c r="N1935" i="10" s="1"/>
  <c r="O1935" i="10" s="1"/>
  <c r="P1935" i="10" s="1"/>
  <c r="Q1935" i="10" s="1"/>
  <c r="R1935" i="10" s="1"/>
  <c r="S1935" i="10" s="1"/>
  <c r="T1935" i="10" s="1"/>
  <c r="U1935" i="10" s="1"/>
  <c r="V1935" i="10" s="1"/>
  <c r="D1937" i="10" l="1"/>
  <c r="M1936" i="10"/>
  <c r="N1936" i="10" s="1"/>
  <c r="O1936" i="10" s="1"/>
  <c r="P1936" i="10" s="1"/>
  <c r="Q1936" i="10" s="1"/>
  <c r="R1936" i="10" s="1"/>
  <c r="S1936" i="10" s="1"/>
  <c r="T1936" i="10" s="1"/>
  <c r="U1936" i="10" s="1"/>
  <c r="V1936" i="10" s="1"/>
  <c r="D1938" i="10" l="1"/>
  <c r="M1937" i="10"/>
  <c r="N1937" i="10" s="1"/>
  <c r="O1937" i="10" s="1"/>
  <c r="P1937" i="10" s="1"/>
  <c r="Q1937" i="10" s="1"/>
  <c r="R1937" i="10" s="1"/>
  <c r="S1937" i="10" s="1"/>
  <c r="T1937" i="10" s="1"/>
  <c r="U1937" i="10" s="1"/>
  <c r="V1937" i="10" s="1"/>
  <c r="D1939" i="10" l="1"/>
  <c r="M1938" i="10"/>
  <c r="N1938" i="10" s="1"/>
  <c r="O1938" i="10" s="1"/>
  <c r="P1938" i="10" s="1"/>
  <c r="Q1938" i="10" s="1"/>
  <c r="R1938" i="10" s="1"/>
  <c r="S1938" i="10" s="1"/>
  <c r="T1938" i="10" s="1"/>
  <c r="U1938" i="10" s="1"/>
  <c r="V1938" i="10" s="1"/>
  <c r="D1940" i="10" l="1"/>
  <c r="M1939" i="10"/>
  <c r="N1939" i="10" s="1"/>
  <c r="O1939" i="10" s="1"/>
  <c r="P1939" i="10" s="1"/>
  <c r="Q1939" i="10" s="1"/>
  <c r="R1939" i="10" s="1"/>
  <c r="S1939" i="10" s="1"/>
  <c r="T1939" i="10" s="1"/>
  <c r="U1939" i="10" s="1"/>
  <c r="V1939" i="10" s="1"/>
  <c r="D1941" i="10" l="1"/>
  <c r="M1940" i="10"/>
  <c r="N1940" i="10" s="1"/>
  <c r="O1940" i="10" s="1"/>
  <c r="P1940" i="10" s="1"/>
  <c r="Q1940" i="10" s="1"/>
  <c r="R1940" i="10" s="1"/>
  <c r="S1940" i="10" s="1"/>
  <c r="T1940" i="10" s="1"/>
  <c r="U1940" i="10" s="1"/>
  <c r="V1940" i="10" s="1"/>
  <c r="D1942" i="10" l="1"/>
  <c r="M1941" i="10"/>
  <c r="N1941" i="10" s="1"/>
  <c r="O1941" i="10" s="1"/>
  <c r="P1941" i="10" s="1"/>
  <c r="Q1941" i="10" s="1"/>
  <c r="R1941" i="10" s="1"/>
  <c r="S1941" i="10" s="1"/>
  <c r="T1941" i="10" s="1"/>
  <c r="U1941" i="10" s="1"/>
  <c r="V1941" i="10" s="1"/>
  <c r="D1943" i="10" l="1"/>
  <c r="M1942" i="10"/>
  <c r="N1942" i="10" s="1"/>
  <c r="O1942" i="10" s="1"/>
  <c r="P1942" i="10" s="1"/>
  <c r="Q1942" i="10" s="1"/>
  <c r="R1942" i="10" s="1"/>
  <c r="S1942" i="10" s="1"/>
  <c r="T1942" i="10" s="1"/>
  <c r="U1942" i="10" s="1"/>
  <c r="V1942" i="10" s="1"/>
  <c r="D1944" i="10" l="1"/>
  <c r="M1943" i="10"/>
  <c r="N1943" i="10" s="1"/>
  <c r="O1943" i="10" s="1"/>
  <c r="P1943" i="10" s="1"/>
  <c r="Q1943" i="10" s="1"/>
  <c r="R1943" i="10" s="1"/>
  <c r="S1943" i="10" s="1"/>
  <c r="T1943" i="10" s="1"/>
  <c r="U1943" i="10" s="1"/>
  <c r="V1943" i="10" s="1"/>
  <c r="D1945" i="10" l="1"/>
  <c r="M1944" i="10"/>
  <c r="N1944" i="10" s="1"/>
  <c r="O1944" i="10" s="1"/>
  <c r="P1944" i="10" s="1"/>
  <c r="Q1944" i="10" s="1"/>
  <c r="R1944" i="10" s="1"/>
  <c r="S1944" i="10" s="1"/>
  <c r="T1944" i="10" s="1"/>
  <c r="U1944" i="10" s="1"/>
  <c r="V1944" i="10" s="1"/>
  <c r="D1946" i="10" l="1"/>
  <c r="M1945" i="10"/>
  <c r="N1945" i="10" s="1"/>
  <c r="O1945" i="10" s="1"/>
  <c r="P1945" i="10" s="1"/>
  <c r="Q1945" i="10" s="1"/>
  <c r="R1945" i="10" s="1"/>
  <c r="S1945" i="10" s="1"/>
  <c r="T1945" i="10" s="1"/>
  <c r="U1945" i="10" s="1"/>
  <c r="V1945" i="10" s="1"/>
  <c r="D1947" i="10" l="1"/>
  <c r="M1946" i="10"/>
  <c r="N1946" i="10" s="1"/>
  <c r="O1946" i="10" s="1"/>
  <c r="P1946" i="10" s="1"/>
  <c r="Q1946" i="10" s="1"/>
  <c r="R1946" i="10" s="1"/>
  <c r="S1946" i="10" s="1"/>
  <c r="T1946" i="10" s="1"/>
  <c r="U1946" i="10" s="1"/>
  <c r="V1946" i="10" s="1"/>
  <c r="D1948" i="10" l="1"/>
  <c r="M1947" i="10"/>
  <c r="N1947" i="10" s="1"/>
  <c r="O1947" i="10" s="1"/>
  <c r="P1947" i="10" s="1"/>
  <c r="Q1947" i="10" s="1"/>
  <c r="R1947" i="10" s="1"/>
  <c r="S1947" i="10" s="1"/>
  <c r="T1947" i="10" s="1"/>
  <c r="U1947" i="10" s="1"/>
  <c r="V1947" i="10" s="1"/>
  <c r="D1949" i="10" l="1"/>
  <c r="M1948" i="10"/>
  <c r="N1948" i="10" s="1"/>
  <c r="O1948" i="10" s="1"/>
  <c r="P1948" i="10" s="1"/>
  <c r="Q1948" i="10" s="1"/>
  <c r="R1948" i="10" s="1"/>
  <c r="S1948" i="10" s="1"/>
  <c r="T1948" i="10" s="1"/>
  <c r="U1948" i="10" s="1"/>
  <c r="V1948" i="10" s="1"/>
  <c r="D1950" i="10" l="1"/>
  <c r="M1949" i="10"/>
  <c r="N1949" i="10" s="1"/>
  <c r="O1949" i="10" s="1"/>
  <c r="P1949" i="10" s="1"/>
  <c r="Q1949" i="10" s="1"/>
  <c r="R1949" i="10" s="1"/>
  <c r="S1949" i="10" s="1"/>
  <c r="T1949" i="10" s="1"/>
  <c r="U1949" i="10" s="1"/>
  <c r="V1949" i="10" s="1"/>
  <c r="D1951" i="10" l="1"/>
  <c r="M1950" i="10"/>
  <c r="N1950" i="10" s="1"/>
  <c r="O1950" i="10" s="1"/>
  <c r="P1950" i="10" s="1"/>
  <c r="Q1950" i="10" s="1"/>
  <c r="R1950" i="10" s="1"/>
  <c r="S1950" i="10" s="1"/>
  <c r="T1950" i="10" s="1"/>
  <c r="U1950" i="10" s="1"/>
  <c r="V1950" i="10" s="1"/>
  <c r="D1952" i="10" l="1"/>
  <c r="M1951" i="10"/>
  <c r="N1951" i="10" s="1"/>
  <c r="O1951" i="10" s="1"/>
  <c r="P1951" i="10" s="1"/>
  <c r="Q1951" i="10" s="1"/>
  <c r="R1951" i="10" s="1"/>
  <c r="S1951" i="10" s="1"/>
  <c r="T1951" i="10" s="1"/>
  <c r="U1951" i="10" s="1"/>
  <c r="V1951" i="10" s="1"/>
  <c r="D1953" i="10" l="1"/>
  <c r="M1952" i="10"/>
  <c r="N1952" i="10" s="1"/>
  <c r="O1952" i="10" s="1"/>
  <c r="P1952" i="10" s="1"/>
  <c r="Q1952" i="10" s="1"/>
  <c r="R1952" i="10" s="1"/>
  <c r="S1952" i="10" s="1"/>
  <c r="T1952" i="10" s="1"/>
  <c r="U1952" i="10" s="1"/>
  <c r="V1952" i="10" s="1"/>
  <c r="D1954" i="10" l="1"/>
  <c r="M1953" i="10"/>
  <c r="N1953" i="10" s="1"/>
  <c r="O1953" i="10" s="1"/>
  <c r="P1953" i="10" s="1"/>
  <c r="Q1953" i="10" s="1"/>
  <c r="R1953" i="10" s="1"/>
  <c r="S1953" i="10" s="1"/>
  <c r="T1953" i="10" s="1"/>
  <c r="U1953" i="10" s="1"/>
  <c r="V1953" i="10" s="1"/>
  <c r="D1955" i="10" l="1"/>
  <c r="M1954" i="10"/>
  <c r="N1954" i="10" s="1"/>
  <c r="O1954" i="10" s="1"/>
  <c r="P1954" i="10" s="1"/>
  <c r="Q1954" i="10" s="1"/>
  <c r="R1954" i="10" s="1"/>
  <c r="S1954" i="10" s="1"/>
  <c r="T1954" i="10" s="1"/>
  <c r="U1954" i="10" s="1"/>
  <c r="V1954" i="10" s="1"/>
  <c r="D1956" i="10" l="1"/>
  <c r="M1955" i="10"/>
  <c r="N1955" i="10" s="1"/>
  <c r="O1955" i="10" s="1"/>
  <c r="P1955" i="10" s="1"/>
  <c r="Q1955" i="10" s="1"/>
  <c r="R1955" i="10" s="1"/>
  <c r="S1955" i="10" s="1"/>
  <c r="T1955" i="10" s="1"/>
  <c r="U1955" i="10" s="1"/>
  <c r="V1955" i="10" s="1"/>
  <c r="D1957" i="10" l="1"/>
  <c r="M1956" i="10"/>
  <c r="N1956" i="10" s="1"/>
  <c r="O1956" i="10" s="1"/>
  <c r="P1956" i="10" s="1"/>
  <c r="Q1956" i="10" s="1"/>
  <c r="R1956" i="10" s="1"/>
  <c r="S1956" i="10" s="1"/>
  <c r="T1956" i="10" s="1"/>
  <c r="U1956" i="10" s="1"/>
  <c r="V1956" i="10" s="1"/>
  <c r="D1958" i="10" l="1"/>
  <c r="M1957" i="10"/>
  <c r="N1957" i="10" s="1"/>
  <c r="O1957" i="10" s="1"/>
  <c r="P1957" i="10" s="1"/>
  <c r="Q1957" i="10" s="1"/>
  <c r="R1957" i="10" s="1"/>
  <c r="S1957" i="10" s="1"/>
  <c r="T1957" i="10" s="1"/>
  <c r="U1957" i="10" s="1"/>
  <c r="V1957" i="10" s="1"/>
  <c r="D1959" i="10" l="1"/>
  <c r="M1958" i="10"/>
  <c r="N1958" i="10" s="1"/>
  <c r="O1958" i="10" s="1"/>
  <c r="P1958" i="10" s="1"/>
  <c r="Q1958" i="10" s="1"/>
  <c r="R1958" i="10" s="1"/>
  <c r="S1958" i="10" s="1"/>
  <c r="T1958" i="10" s="1"/>
  <c r="U1958" i="10" s="1"/>
  <c r="V1958" i="10" s="1"/>
  <c r="D1960" i="10" l="1"/>
  <c r="M1959" i="10"/>
  <c r="N1959" i="10" s="1"/>
  <c r="O1959" i="10" s="1"/>
  <c r="P1959" i="10" s="1"/>
  <c r="Q1959" i="10" s="1"/>
  <c r="R1959" i="10" s="1"/>
  <c r="S1959" i="10" s="1"/>
  <c r="T1959" i="10" s="1"/>
  <c r="U1959" i="10" s="1"/>
  <c r="V1959" i="10" s="1"/>
  <c r="D1961" i="10" l="1"/>
  <c r="M1960" i="10"/>
  <c r="N1960" i="10" s="1"/>
  <c r="O1960" i="10" s="1"/>
  <c r="P1960" i="10" s="1"/>
  <c r="Q1960" i="10" s="1"/>
  <c r="R1960" i="10" s="1"/>
  <c r="S1960" i="10" s="1"/>
  <c r="T1960" i="10" s="1"/>
  <c r="U1960" i="10" s="1"/>
  <c r="V1960" i="10" s="1"/>
  <c r="D1962" i="10" l="1"/>
  <c r="M1961" i="10"/>
  <c r="N1961" i="10" s="1"/>
  <c r="O1961" i="10" s="1"/>
  <c r="P1961" i="10" s="1"/>
  <c r="Q1961" i="10" s="1"/>
  <c r="R1961" i="10" s="1"/>
  <c r="S1961" i="10" s="1"/>
  <c r="T1961" i="10" s="1"/>
  <c r="U1961" i="10" s="1"/>
  <c r="V1961" i="10" s="1"/>
  <c r="D1963" i="10" l="1"/>
  <c r="M1962" i="10"/>
  <c r="N1962" i="10" s="1"/>
  <c r="O1962" i="10" s="1"/>
  <c r="P1962" i="10" s="1"/>
  <c r="Q1962" i="10" s="1"/>
  <c r="R1962" i="10" s="1"/>
  <c r="S1962" i="10" s="1"/>
  <c r="T1962" i="10" s="1"/>
  <c r="U1962" i="10" s="1"/>
  <c r="V1962" i="10" s="1"/>
  <c r="D1964" i="10" l="1"/>
  <c r="M1963" i="10"/>
  <c r="N1963" i="10" s="1"/>
  <c r="O1963" i="10" s="1"/>
  <c r="P1963" i="10" s="1"/>
  <c r="Q1963" i="10" s="1"/>
  <c r="R1963" i="10" s="1"/>
  <c r="S1963" i="10" s="1"/>
  <c r="T1963" i="10" s="1"/>
  <c r="U1963" i="10" s="1"/>
  <c r="V1963" i="10" s="1"/>
  <c r="D1965" i="10" l="1"/>
  <c r="M1964" i="10"/>
  <c r="N1964" i="10" s="1"/>
  <c r="O1964" i="10" s="1"/>
  <c r="P1964" i="10" s="1"/>
  <c r="Q1964" i="10" s="1"/>
  <c r="R1964" i="10" s="1"/>
  <c r="S1964" i="10" s="1"/>
  <c r="T1964" i="10" s="1"/>
  <c r="U1964" i="10" s="1"/>
  <c r="V1964" i="10" s="1"/>
  <c r="D1966" i="10" l="1"/>
  <c r="M1965" i="10"/>
  <c r="N1965" i="10" s="1"/>
  <c r="O1965" i="10" s="1"/>
  <c r="P1965" i="10" s="1"/>
  <c r="Q1965" i="10" s="1"/>
  <c r="R1965" i="10" s="1"/>
  <c r="S1965" i="10" s="1"/>
  <c r="T1965" i="10" s="1"/>
  <c r="U1965" i="10" s="1"/>
  <c r="V1965" i="10" s="1"/>
  <c r="D1967" i="10" l="1"/>
  <c r="M1966" i="10"/>
  <c r="N1966" i="10" s="1"/>
  <c r="O1966" i="10" s="1"/>
  <c r="P1966" i="10" s="1"/>
  <c r="Q1966" i="10" s="1"/>
  <c r="R1966" i="10" s="1"/>
  <c r="S1966" i="10" s="1"/>
  <c r="T1966" i="10" s="1"/>
  <c r="U1966" i="10" s="1"/>
  <c r="V1966" i="10" s="1"/>
  <c r="D1968" i="10" l="1"/>
  <c r="M1967" i="10"/>
  <c r="N1967" i="10" s="1"/>
  <c r="O1967" i="10" s="1"/>
  <c r="P1967" i="10" s="1"/>
  <c r="Q1967" i="10" s="1"/>
  <c r="R1967" i="10" s="1"/>
  <c r="S1967" i="10" s="1"/>
  <c r="T1967" i="10" s="1"/>
  <c r="U1967" i="10" s="1"/>
  <c r="V1967" i="10" s="1"/>
  <c r="D1969" i="10" l="1"/>
  <c r="M1968" i="10"/>
  <c r="N1968" i="10" s="1"/>
  <c r="O1968" i="10" s="1"/>
  <c r="P1968" i="10" s="1"/>
  <c r="Q1968" i="10" s="1"/>
  <c r="R1968" i="10" s="1"/>
  <c r="S1968" i="10" s="1"/>
  <c r="T1968" i="10" s="1"/>
  <c r="U1968" i="10" s="1"/>
  <c r="V1968" i="10" s="1"/>
  <c r="D1970" i="10" l="1"/>
  <c r="M1969" i="10"/>
  <c r="N1969" i="10" s="1"/>
  <c r="O1969" i="10" s="1"/>
  <c r="P1969" i="10" s="1"/>
  <c r="Q1969" i="10" s="1"/>
  <c r="R1969" i="10" s="1"/>
  <c r="S1969" i="10" s="1"/>
  <c r="T1969" i="10" s="1"/>
  <c r="U1969" i="10" s="1"/>
  <c r="V1969" i="10" s="1"/>
  <c r="D1971" i="10" l="1"/>
  <c r="M1970" i="10"/>
  <c r="N1970" i="10" s="1"/>
  <c r="O1970" i="10" s="1"/>
  <c r="P1970" i="10" s="1"/>
  <c r="Q1970" i="10" s="1"/>
  <c r="R1970" i="10" s="1"/>
  <c r="S1970" i="10" s="1"/>
  <c r="T1970" i="10" s="1"/>
  <c r="U1970" i="10" s="1"/>
  <c r="V1970" i="10" s="1"/>
  <c r="D1972" i="10" l="1"/>
  <c r="M1971" i="10"/>
  <c r="N1971" i="10" s="1"/>
  <c r="O1971" i="10" s="1"/>
  <c r="P1971" i="10" s="1"/>
  <c r="Q1971" i="10" s="1"/>
  <c r="R1971" i="10" s="1"/>
  <c r="S1971" i="10" s="1"/>
  <c r="T1971" i="10" s="1"/>
  <c r="U1971" i="10" s="1"/>
  <c r="V1971" i="10" s="1"/>
  <c r="D1973" i="10" l="1"/>
  <c r="M1972" i="10"/>
  <c r="N1972" i="10" s="1"/>
  <c r="O1972" i="10" s="1"/>
  <c r="P1972" i="10" s="1"/>
  <c r="Q1972" i="10" s="1"/>
  <c r="R1972" i="10" s="1"/>
  <c r="S1972" i="10" s="1"/>
  <c r="T1972" i="10" s="1"/>
  <c r="U1972" i="10" s="1"/>
  <c r="V1972" i="10" s="1"/>
  <c r="D1974" i="10" l="1"/>
  <c r="M1973" i="10"/>
  <c r="N1973" i="10" s="1"/>
  <c r="O1973" i="10" s="1"/>
  <c r="P1973" i="10" s="1"/>
  <c r="Q1973" i="10" s="1"/>
  <c r="R1973" i="10" s="1"/>
  <c r="S1973" i="10" s="1"/>
  <c r="T1973" i="10" s="1"/>
  <c r="U1973" i="10" s="1"/>
  <c r="V1973" i="10" s="1"/>
  <c r="D1975" i="10" l="1"/>
  <c r="M1974" i="10"/>
  <c r="N1974" i="10" s="1"/>
  <c r="O1974" i="10" s="1"/>
  <c r="P1974" i="10" s="1"/>
  <c r="Q1974" i="10" s="1"/>
  <c r="R1974" i="10" s="1"/>
  <c r="S1974" i="10" s="1"/>
  <c r="T1974" i="10" s="1"/>
  <c r="U1974" i="10" s="1"/>
  <c r="V1974" i="10" s="1"/>
  <c r="D1976" i="10" l="1"/>
  <c r="M1975" i="10"/>
  <c r="N1975" i="10" s="1"/>
  <c r="O1975" i="10" s="1"/>
  <c r="P1975" i="10" s="1"/>
  <c r="Q1975" i="10" s="1"/>
  <c r="R1975" i="10" s="1"/>
  <c r="S1975" i="10" s="1"/>
  <c r="T1975" i="10" s="1"/>
  <c r="U1975" i="10" s="1"/>
  <c r="V1975" i="10" s="1"/>
  <c r="D1977" i="10" l="1"/>
  <c r="M1976" i="10"/>
  <c r="N1976" i="10" s="1"/>
  <c r="O1976" i="10" s="1"/>
  <c r="P1976" i="10" s="1"/>
  <c r="Q1976" i="10" s="1"/>
  <c r="R1976" i="10" s="1"/>
  <c r="S1976" i="10" s="1"/>
  <c r="T1976" i="10" s="1"/>
  <c r="U1976" i="10" s="1"/>
  <c r="V1976" i="10" s="1"/>
  <c r="D1978" i="10" l="1"/>
  <c r="M1977" i="10"/>
  <c r="N1977" i="10" s="1"/>
  <c r="O1977" i="10" s="1"/>
  <c r="P1977" i="10" s="1"/>
  <c r="Q1977" i="10" s="1"/>
  <c r="R1977" i="10" s="1"/>
  <c r="S1977" i="10" s="1"/>
  <c r="T1977" i="10" s="1"/>
  <c r="U1977" i="10" s="1"/>
  <c r="V1977" i="10" s="1"/>
  <c r="D1979" i="10" l="1"/>
  <c r="M1978" i="10"/>
  <c r="N1978" i="10" s="1"/>
  <c r="O1978" i="10" s="1"/>
  <c r="P1978" i="10" s="1"/>
  <c r="Q1978" i="10" s="1"/>
  <c r="R1978" i="10" s="1"/>
  <c r="S1978" i="10" s="1"/>
  <c r="T1978" i="10" s="1"/>
  <c r="U1978" i="10" s="1"/>
  <c r="V1978" i="10" s="1"/>
  <c r="D1980" i="10" l="1"/>
  <c r="M1979" i="10"/>
  <c r="N1979" i="10" s="1"/>
  <c r="O1979" i="10" s="1"/>
  <c r="P1979" i="10" s="1"/>
  <c r="Q1979" i="10" s="1"/>
  <c r="R1979" i="10" s="1"/>
  <c r="S1979" i="10" s="1"/>
  <c r="T1979" i="10" s="1"/>
  <c r="U1979" i="10" s="1"/>
  <c r="V1979" i="10" s="1"/>
  <c r="D1981" i="10" l="1"/>
  <c r="M1980" i="10"/>
  <c r="N1980" i="10" s="1"/>
  <c r="O1980" i="10" s="1"/>
  <c r="P1980" i="10" s="1"/>
  <c r="Q1980" i="10" s="1"/>
  <c r="R1980" i="10" s="1"/>
  <c r="S1980" i="10" s="1"/>
  <c r="T1980" i="10" s="1"/>
  <c r="U1980" i="10" s="1"/>
  <c r="V1980" i="10" s="1"/>
  <c r="D1982" i="10" l="1"/>
  <c r="M1981" i="10"/>
  <c r="N1981" i="10" s="1"/>
  <c r="O1981" i="10" s="1"/>
  <c r="P1981" i="10" s="1"/>
  <c r="Q1981" i="10" s="1"/>
  <c r="R1981" i="10" s="1"/>
  <c r="S1981" i="10" s="1"/>
  <c r="T1981" i="10" s="1"/>
  <c r="U1981" i="10" s="1"/>
  <c r="V1981" i="10" s="1"/>
  <c r="D1983" i="10" l="1"/>
  <c r="M1982" i="10"/>
  <c r="N1982" i="10" s="1"/>
  <c r="O1982" i="10" s="1"/>
  <c r="P1982" i="10" s="1"/>
  <c r="Q1982" i="10" s="1"/>
  <c r="R1982" i="10" s="1"/>
  <c r="S1982" i="10" s="1"/>
  <c r="T1982" i="10" s="1"/>
  <c r="U1982" i="10" s="1"/>
  <c r="V1982" i="10" s="1"/>
  <c r="D1984" i="10" l="1"/>
  <c r="M1983" i="10"/>
  <c r="N1983" i="10" s="1"/>
  <c r="O1983" i="10" s="1"/>
  <c r="P1983" i="10" s="1"/>
  <c r="Q1983" i="10" s="1"/>
  <c r="R1983" i="10" s="1"/>
  <c r="S1983" i="10" s="1"/>
  <c r="T1983" i="10" s="1"/>
  <c r="U1983" i="10" s="1"/>
  <c r="V1983" i="10" s="1"/>
  <c r="D1985" i="10" l="1"/>
  <c r="M1984" i="10"/>
  <c r="N1984" i="10" s="1"/>
  <c r="O1984" i="10" s="1"/>
  <c r="P1984" i="10" s="1"/>
  <c r="Q1984" i="10" s="1"/>
  <c r="R1984" i="10" s="1"/>
  <c r="S1984" i="10" s="1"/>
  <c r="T1984" i="10" s="1"/>
  <c r="U1984" i="10" s="1"/>
  <c r="V1984" i="10" s="1"/>
  <c r="D1986" i="10" l="1"/>
  <c r="M1985" i="10"/>
  <c r="N1985" i="10" s="1"/>
  <c r="O1985" i="10" s="1"/>
  <c r="P1985" i="10" s="1"/>
  <c r="Q1985" i="10" s="1"/>
  <c r="R1985" i="10" s="1"/>
  <c r="S1985" i="10" s="1"/>
  <c r="T1985" i="10" s="1"/>
  <c r="U1985" i="10" s="1"/>
  <c r="V1985" i="10" s="1"/>
  <c r="D1987" i="10" l="1"/>
  <c r="M1986" i="10"/>
  <c r="N1986" i="10" s="1"/>
  <c r="O1986" i="10" s="1"/>
  <c r="P1986" i="10" s="1"/>
  <c r="Q1986" i="10" s="1"/>
  <c r="R1986" i="10" s="1"/>
  <c r="S1986" i="10" s="1"/>
  <c r="T1986" i="10" s="1"/>
  <c r="U1986" i="10" s="1"/>
  <c r="V1986" i="10" s="1"/>
  <c r="D1988" i="10" l="1"/>
  <c r="M1987" i="10"/>
  <c r="N1987" i="10" s="1"/>
  <c r="O1987" i="10" s="1"/>
  <c r="P1987" i="10" s="1"/>
  <c r="Q1987" i="10" s="1"/>
  <c r="R1987" i="10" s="1"/>
  <c r="S1987" i="10" s="1"/>
  <c r="T1987" i="10" s="1"/>
  <c r="U1987" i="10" s="1"/>
  <c r="V1987" i="10" s="1"/>
  <c r="D1989" i="10" l="1"/>
  <c r="M1988" i="10"/>
  <c r="N1988" i="10" s="1"/>
  <c r="O1988" i="10" s="1"/>
  <c r="P1988" i="10" s="1"/>
  <c r="Q1988" i="10" s="1"/>
  <c r="R1988" i="10" s="1"/>
  <c r="S1988" i="10" s="1"/>
  <c r="T1988" i="10" s="1"/>
  <c r="U1988" i="10" s="1"/>
  <c r="V1988" i="10" s="1"/>
  <c r="D1990" i="10" l="1"/>
  <c r="M1989" i="10"/>
  <c r="N1989" i="10" s="1"/>
  <c r="O1989" i="10" s="1"/>
  <c r="P1989" i="10" s="1"/>
  <c r="Q1989" i="10" s="1"/>
  <c r="R1989" i="10" s="1"/>
  <c r="S1989" i="10" s="1"/>
  <c r="T1989" i="10" s="1"/>
  <c r="U1989" i="10" s="1"/>
  <c r="V1989" i="10" s="1"/>
  <c r="D1991" i="10" l="1"/>
  <c r="M1990" i="10"/>
  <c r="N1990" i="10" s="1"/>
  <c r="O1990" i="10" s="1"/>
  <c r="P1990" i="10" s="1"/>
  <c r="Q1990" i="10" s="1"/>
  <c r="R1990" i="10" s="1"/>
  <c r="S1990" i="10" s="1"/>
  <c r="T1990" i="10" s="1"/>
  <c r="U1990" i="10" s="1"/>
  <c r="V1990" i="10" s="1"/>
  <c r="D1992" i="10" l="1"/>
  <c r="M1991" i="10"/>
  <c r="N1991" i="10" s="1"/>
  <c r="O1991" i="10" s="1"/>
  <c r="P1991" i="10" s="1"/>
  <c r="Q1991" i="10" s="1"/>
  <c r="R1991" i="10" s="1"/>
  <c r="S1991" i="10" s="1"/>
  <c r="T1991" i="10" s="1"/>
  <c r="U1991" i="10" s="1"/>
  <c r="V1991" i="10" s="1"/>
  <c r="D1993" i="10" l="1"/>
  <c r="M1992" i="10"/>
  <c r="N1992" i="10" s="1"/>
  <c r="O1992" i="10" s="1"/>
  <c r="P1992" i="10" s="1"/>
  <c r="Q1992" i="10" s="1"/>
  <c r="R1992" i="10" s="1"/>
  <c r="S1992" i="10" s="1"/>
  <c r="T1992" i="10" s="1"/>
  <c r="U1992" i="10" s="1"/>
  <c r="V1992" i="10" s="1"/>
  <c r="D1994" i="10" l="1"/>
  <c r="M1993" i="10"/>
  <c r="N1993" i="10" s="1"/>
  <c r="O1993" i="10" s="1"/>
  <c r="P1993" i="10" s="1"/>
  <c r="Q1993" i="10" s="1"/>
  <c r="R1993" i="10" s="1"/>
  <c r="S1993" i="10" s="1"/>
  <c r="T1993" i="10" s="1"/>
  <c r="U1993" i="10" s="1"/>
  <c r="V1993" i="10" s="1"/>
  <c r="D1995" i="10" l="1"/>
  <c r="M1994" i="10"/>
  <c r="N1994" i="10" s="1"/>
  <c r="O1994" i="10" s="1"/>
  <c r="P1994" i="10" s="1"/>
  <c r="Q1994" i="10" s="1"/>
  <c r="R1994" i="10" s="1"/>
  <c r="S1994" i="10" s="1"/>
  <c r="T1994" i="10" s="1"/>
  <c r="U1994" i="10" s="1"/>
  <c r="V1994" i="10" s="1"/>
  <c r="D1996" i="10" l="1"/>
  <c r="M1995" i="10"/>
  <c r="N1995" i="10" s="1"/>
  <c r="O1995" i="10" s="1"/>
  <c r="P1995" i="10" s="1"/>
  <c r="Q1995" i="10" s="1"/>
  <c r="R1995" i="10" s="1"/>
  <c r="S1995" i="10" s="1"/>
  <c r="T1995" i="10" s="1"/>
  <c r="U1995" i="10" s="1"/>
  <c r="V1995" i="10" s="1"/>
  <c r="D1997" i="10" l="1"/>
  <c r="M1996" i="10"/>
  <c r="N1996" i="10" s="1"/>
  <c r="O1996" i="10" s="1"/>
  <c r="P1996" i="10" s="1"/>
  <c r="Q1996" i="10" s="1"/>
  <c r="R1996" i="10" s="1"/>
  <c r="S1996" i="10" s="1"/>
  <c r="T1996" i="10" s="1"/>
  <c r="U1996" i="10" s="1"/>
  <c r="V1996" i="10" s="1"/>
  <c r="D1998" i="10" l="1"/>
  <c r="M1997" i="10"/>
  <c r="N1997" i="10" s="1"/>
  <c r="O1997" i="10" s="1"/>
  <c r="P1997" i="10" s="1"/>
  <c r="Q1997" i="10" s="1"/>
  <c r="R1997" i="10" s="1"/>
  <c r="S1997" i="10" s="1"/>
  <c r="T1997" i="10" s="1"/>
  <c r="U1997" i="10" s="1"/>
  <c r="V1997" i="10" s="1"/>
  <c r="D1999" i="10" l="1"/>
  <c r="M1998" i="10"/>
  <c r="N1998" i="10" s="1"/>
  <c r="O1998" i="10" s="1"/>
  <c r="P1998" i="10" s="1"/>
  <c r="Q1998" i="10" s="1"/>
  <c r="R1998" i="10" s="1"/>
  <c r="S1998" i="10" s="1"/>
  <c r="T1998" i="10" s="1"/>
  <c r="U1998" i="10" s="1"/>
  <c r="V1998" i="10" s="1"/>
  <c r="D2000" i="10" l="1"/>
  <c r="M1999" i="10"/>
  <c r="N1999" i="10" s="1"/>
  <c r="O1999" i="10" s="1"/>
  <c r="P1999" i="10" s="1"/>
  <c r="Q1999" i="10" s="1"/>
  <c r="R1999" i="10" s="1"/>
  <c r="S1999" i="10" s="1"/>
  <c r="T1999" i="10" s="1"/>
  <c r="U1999" i="10" s="1"/>
  <c r="V1999" i="10" s="1"/>
  <c r="D2001" i="10" l="1"/>
  <c r="M2000" i="10"/>
  <c r="N2000" i="10" s="1"/>
  <c r="O2000" i="10" s="1"/>
  <c r="P2000" i="10" s="1"/>
  <c r="Q2000" i="10" s="1"/>
  <c r="R2000" i="10" s="1"/>
  <c r="S2000" i="10" s="1"/>
  <c r="T2000" i="10" s="1"/>
  <c r="U2000" i="10" s="1"/>
  <c r="V2000" i="10" s="1"/>
  <c r="D2002" i="10" l="1"/>
  <c r="M2001" i="10"/>
  <c r="N2001" i="10" s="1"/>
  <c r="O2001" i="10" s="1"/>
  <c r="P2001" i="10" s="1"/>
  <c r="Q2001" i="10" s="1"/>
  <c r="R2001" i="10" s="1"/>
  <c r="S2001" i="10" s="1"/>
  <c r="T2001" i="10" s="1"/>
  <c r="U2001" i="10" s="1"/>
  <c r="V2001" i="10" s="1"/>
  <c r="D2003" i="10" l="1"/>
  <c r="M2002" i="10"/>
  <c r="N2002" i="10" s="1"/>
  <c r="O2002" i="10" s="1"/>
  <c r="P2002" i="10" s="1"/>
  <c r="Q2002" i="10" s="1"/>
  <c r="R2002" i="10" s="1"/>
  <c r="S2002" i="10" s="1"/>
  <c r="T2002" i="10" s="1"/>
  <c r="U2002" i="10" s="1"/>
  <c r="V2002" i="10" s="1"/>
  <c r="D2004" i="10" l="1"/>
  <c r="M2003" i="10"/>
  <c r="N2003" i="10" s="1"/>
  <c r="O2003" i="10" s="1"/>
  <c r="P2003" i="10" s="1"/>
  <c r="Q2003" i="10" s="1"/>
  <c r="R2003" i="10" s="1"/>
  <c r="S2003" i="10" s="1"/>
  <c r="T2003" i="10" s="1"/>
  <c r="U2003" i="10" s="1"/>
  <c r="V2003" i="10" s="1"/>
  <c r="D2005" i="10" l="1"/>
  <c r="M2004" i="10"/>
  <c r="N2004" i="10" s="1"/>
  <c r="O2004" i="10" s="1"/>
  <c r="P2004" i="10" s="1"/>
  <c r="Q2004" i="10" s="1"/>
  <c r="R2004" i="10" s="1"/>
  <c r="S2004" i="10" s="1"/>
  <c r="T2004" i="10" s="1"/>
  <c r="U2004" i="10" s="1"/>
  <c r="V2004" i="10" s="1"/>
  <c r="D2006" i="10" l="1"/>
  <c r="M2005" i="10"/>
  <c r="N2005" i="10" s="1"/>
  <c r="O2005" i="10" s="1"/>
  <c r="P2005" i="10" s="1"/>
  <c r="Q2005" i="10" s="1"/>
  <c r="R2005" i="10" s="1"/>
  <c r="S2005" i="10" s="1"/>
  <c r="T2005" i="10" s="1"/>
  <c r="U2005" i="10" s="1"/>
  <c r="V2005" i="10" s="1"/>
  <c r="D2007" i="10" l="1"/>
  <c r="M2006" i="10"/>
  <c r="N2006" i="10" s="1"/>
  <c r="O2006" i="10" s="1"/>
  <c r="P2006" i="10" s="1"/>
  <c r="Q2006" i="10" s="1"/>
  <c r="R2006" i="10" s="1"/>
  <c r="S2006" i="10" s="1"/>
  <c r="T2006" i="10" s="1"/>
  <c r="U2006" i="10" s="1"/>
  <c r="V2006" i="10" s="1"/>
  <c r="D2008" i="10" l="1"/>
  <c r="M2007" i="10"/>
  <c r="N2007" i="10" s="1"/>
  <c r="O2007" i="10" s="1"/>
  <c r="P2007" i="10" s="1"/>
  <c r="Q2007" i="10" s="1"/>
  <c r="R2007" i="10" s="1"/>
  <c r="S2007" i="10" s="1"/>
  <c r="T2007" i="10" s="1"/>
  <c r="U2007" i="10" s="1"/>
  <c r="V2007" i="10" s="1"/>
  <c r="D2009" i="10" l="1"/>
  <c r="M2008" i="10"/>
  <c r="N2008" i="10" s="1"/>
  <c r="O2008" i="10" s="1"/>
  <c r="P2008" i="10" s="1"/>
  <c r="Q2008" i="10" s="1"/>
  <c r="R2008" i="10" s="1"/>
  <c r="S2008" i="10" s="1"/>
  <c r="T2008" i="10" s="1"/>
  <c r="U2008" i="10" s="1"/>
  <c r="V2008" i="10" s="1"/>
  <c r="D2010" i="10" l="1"/>
  <c r="M2009" i="10"/>
  <c r="N2009" i="10" s="1"/>
  <c r="O2009" i="10" s="1"/>
  <c r="P2009" i="10" s="1"/>
  <c r="Q2009" i="10" s="1"/>
  <c r="R2009" i="10" s="1"/>
  <c r="S2009" i="10" s="1"/>
  <c r="T2009" i="10" s="1"/>
  <c r="U2009" i="10" s="1"/>
  <c r="V2009" i="10" s="1"/>
  <c r="D2011" i="10" l="1"/>
  <c r="M2010" i="10"/>
  <c r="N2010" i="10" s="1"/>
  <c r="O2010" i="10" s="1"/>
  <c r="P2010" i="10" s="1"/>
  <c r="Q2010" i="10" s="1"/>
  <c r="R2010" i="10" s="1"/>
  <c r="S2010" i="10" s="1"/>
  <c r="T2010" i="10" s="1"/>
  <c r="U2010" i="10" s="1"/>
  <c r="V2010" i="10" s="1"/>
  <c r="D2012" i="10" l="1"/>
  <c r="M2011" i="10"/>
  <c r="N2011" i="10" s="1"/>
  <c r="O2011" i="10" s="1"/>
  <c r="P2011" i="10" s="1"/>
  <c r="Q2011" i="10" s="1"/>
  <c r="R2011" i="10" s="1"/>
  <c r="S2011" i="10" s="1"/>
  <c r="T2011" i="10" s="1"/>
  <c r="U2011" i="10" s="1"/>
  <c r="V2011" i="10" s="1"/>
  <c r="D2013" i="10" l="1"/>
  <c r="M2012" i="10"/>
  <c r="N2012" i="10" s="1"/>
  <c r="O2012" i="10" s="1"/>
  <c r="P2012" i="10" s="1"/>
  <c r="Q2012" i="10" s="1"/>
  <c r="R2012" i="10" s="1"/>
  <c r="S2012" i="10" s="1"/>
  <c r="T2012" i="10" s="1"/>
  <c r="U2012" i="10" s="1"/>
  <c r="V2012" i="10" s="1"/>
  <c r="D2014" i="10" l="1"/>
  <c r="M2013" i="10"/>
  <c r="N2013" i="10" s="1"/>
  <c r="O2013" i="10" s="1"/>
  <c r="P2013" i="10" s="1"/>
  <c r="Q2013" i="10" s="1"/>
  <c r="R2013" i="10" s="1"/>
  <c r="S2013" i="10" s="1"/>
  <c r="T2013" i="10" s="1"/>
  <c r="U2013" i="10" s="1"/>
  <c r="V2013" i="10" s="1"/>
  <c r="D2015" i="10" l="1"/>
  <c r="M2014" i="10"/>
  <c r="N2014" i="10" s="1"/>
  <c r="O2014" i="10" s="1"/>
  <c r="P2014" i="10" s="1"/>
  <c r="Q2014" i="10" s="1"/>
  <c r="R2014" i="10" s="1"/>
  <c r="S2014" i="10" s="1"/>
  <c r="T2014" i="10" s="1"/>
  <c r="U2014" i="10" s="1"/>
  <c r="V2014" i="10" s="1"/>
  <c r="D2016" i="10" l="1"/>
  <c r="M2015" i="10"/>
  <c r="N2015" i="10" s="1"/>
  <c r="O2015" i="10" s="1"/>
  <c r="P2015" i="10" s="1"/>
  <c r="Q2015" i="10" s="1"/>
  <c r="R2015" i="10" s="1"/>
  <c r="S2015" i="10" s="1"/>
  <c r="T2015" i="10" s="1"/>
  <c r="U2015" i="10" s="1"/>
  <c r="V2015" i="10" s="1"/>
  <c r="D2017" i="10" l="1"/>
  <c r="M2016" i="10"/>
  <c r="N2016" i="10" s="1"/>
  <c r="O2016" i="10" s="1"/>
  <c r="P2016" i="10" s="1"/>
  <c r="Q2016" i="10" s="1"/>
  <c r="R2016" i="10" s="1"/>
  <c r="S2016" i="10" s="1"/>
  <c r="T2016" i="10" s="1"/>
  <c r="U2016" i="10" s="1"/>
  <c r="V2016" i="10" s="1"/>
  <c r="D2018" i="10" l="1"/>
  <c r="M2017" i="10"/>
  <c r="N2017" i="10" s="1"/>
  <c r="O2017" i="10" s="1"/>
  <c r="P2017" i="10" s="1"/>
  <c r="Q2017" i="10" s="1"/>
  <c r="R2017" i="10" s="1"/>
  <c r="S2017" i="10" s="1"/>
  <c r="T2017" i="10" s="1"/>
  <c r="U2017" i="10" s="1"/>
  <c r="V2017" i="10" s="1"/>
  <c r="D2019" i="10" l="1"/>
  <c r="M2018" i="10"/>
  <c r="N2018" i="10" s="1"/>
  <c r="O2018" i="10" s="1"/>
  <c r="P2018" i="10" s="1"/>
  <c r="Q2018" i="10" s="1"/>
  <c r="R2018" i="10" s="1"/>
  <c r="S2018" i="10" s="1"/>
  <c r="T2018" i="10" s="1"/>
  <c r="U2018" i="10" s="1"/>
  <c r="V2018" i="10" s="1"/>
  <c r="D2020" i="10" l="1"/>
  <c r="M2019" i="10"/>
  <c r="N2019" i="10" s="1"/>
  <c r="O2019" i="10" s="1"/>
  <c r="P2019" i="10" s="1"/>
  <c r="Q2019" i="10" s="1"/>
  <c r="R2019" i="10" s="1"/>
  <c r="S2019" i="10" s="1"/>
  <c r="T2019" i="10" s="1"/>
  <c r="U2019" i="10" s="1"/>
  <c r="V2019" i="10" s="1"/>
  <c r="D2021" i="10" l="1"/>
  <c r="M2020" i="10"/>
  <c r="N2020" i="10" s="1"/>
  <c r="O2020" i="10" s="1"/>
  <c r="P2020" i="10" s="1"/>
  <c r="Q2020" i="10" s="1"/>
  <c r="R2020" i="10" s="1"/>
  <c r="S2020" i="10" s="1"/>
  <c r="T2020" i="10" s="1"/>
  <c r="U2020" i="10" s="1"/>
  <c r="V2020" i="10" s="1"/>
  <c r="D2022" i="10" l="1"/>
  <c r="M2021" i="10"/>
  <c r="N2021" i="10" s="1"/>
  <c r="O2021" i="10" s="1"/>
  <c r="P2021" i="10" s="1"/>
  <c r="Q2021" i="10" s="1"/>
  <c r="R2021" i="10" s="1"/>
  <c r="S2021" i="10" s="1"/>
  <c r="T2021" i="10" s="1"/>
  <c r="U2021" i="10" s="1"/>
  <c r="V2021" i="10" s="1"/>
  <c r="D2023" i="10" l="1"/>
  <c r="M2022" i="10"/>
  <c r="N2022" i="10" s="1"/>
  <c r="O2022" i="10" s="1"/>
  <c r="P2022" i="10" s="1"/>
  <c r="Q2022" i="10" s="1"/>
  <c r="R2022" i="10" s="1"/>
  <c r="S2022" i="10" s="1"/>
  <c r="T2022" i="10" s="1"/>
  <c r="U2022" i="10" s="1"/>
  <c r="V2022" i="10" s="1"/>
  <c r="D2024" i="10" l="1"/>
  <c r="M2023" i="10"/>
  <c r="N2023" i="10" s="1"/>
  <c r="O2023" i="10" s="1"/>
  <c r="P2023" i="10" s="1"/>
  <c r="Q2023" i="10" s="1"/>
  <c r="R2023" i="10" s="1"/>
  <c r="S2023" i="10" s="1"/>
  <c r="T2023" i="10" s="1"/>
  <c r="U2023" i="10" s="1"/>
  <c r="V2023" i="10" s="1"/>
  <c r="D2025" i="10" l="1"/>
  <c r="M2024" i="10"/>
  <c r="N2024" i="10" s="1"/>
  <c r="O2024" i="10" s="1"/>
  <c r="P2024" i="10" s="1"/>
  <c r="Q2024" i="10" s="1"/>
  <c r="R2024" i="10" s="1"/>
  <c r="S2024" i="10" s="1"/>
  <c r="T2024" i="10" s="1"/>
  <c r="U2024" i="10" s="1"/>
  <c r="V2024" i="10" s="1"/>
  <c r="D2026" i="10" l="1"/>
  <c r="M2025" i="10"/>
  <c r="N2025" i="10" s="1"/>
  <c r="O2025" i="10" s="1"/>
  <c r="P2025" i="10" s="1"/>
  <c r="Q2025" i="10" s="1"/>
  <c r="R2025" i="10" s="1"/>
  <c r="S2025" i="10" s="1"/>
  <c r="T2025" i="10" s="1"/>
  <c r="U2025" i="10" s="1"/>
  <c r="V2025" i="10" s="1"/>
  <c r="D2027" i="10" l="1"/>
  <c r="M2026" i="10"/>
  <c r="N2026" i="10" s="1"/>
  <c r="O2026" i="10" s="1"/>
  <c r="P2026" i="10" s="1"/>
  <c r="Q2026" i="10" s="1"/>
  <c r="R2026" i="10" s="1"/>
  <c r="S2026" i="10" s="1"/>
  <c r="T2026" i="10" s="1"/>
  <c r="U2026" i="10" s="1"/>
  <c r="V2026" i="10" s="1"/>
  <c r="D2028" i="10" l="1"/>
  <c r="M2027" i="10"/>
  <c r="N2027" i="10" s="1"/>
  <c r="O2027" i="10" s="1"/>
  <c r="P2027" i="10" s="1"/>
  <c r="Q2027" i="10" s="1"/>
  <c r="R2027" i="10" s="1"/>
  <c r="S2027" i="10" s="1"/>
  <c r="T2027" i="10" s="1"/>
  <c r="U2027" i="10" s="1"/>
  <c r="V2027" i="10" s="1"/>
  <c r="D2029" i="10" l="1"/>
  <c r="M2028" i="10"/>
  <c r="N2028" i="10" s="1"/>
  <c r="O2028" i="10" s="1"/>
  <c r="P2028" i="10" s="1"/>
  <c r="Q2028" i="10" s="1"/>
  <c r="R2028" i="10" s="1"/>
  <c r="S2028" i="10" s="1"/>
  <c r="T2028" i="10" s="1"/>
  <c r="U2028" i="10" s="1"/>
  <c r="V2028" i="10" s="1"/>
  <c r="D2030" i="10" l="1"/>
  <c r="M2029" i="10"/>
  <c r="N2029" i="10" s="1"/>
  <c r="O2029" i="10" s="1"/>
  <c r="P2029" i="10" s="1"/>
  <c r="Q2029" i="10" s="1"/>
  <c r="R2029" i="10" s="1"/>
  <c r="S2029" i="10" s="1"/>
  <c r="T2029" i="10" s="1"/>
  <c r="U2029" i="10" s="1"/>
  <c r="V2029" i="10" s="1"/>
  <c r="D2031" i="10" l="1"/>
  <c r="M2030" i="10"/>
  <c r="N2030" i="10" s="1"/>
  <c r="O2030" i="10" s="1"/>
  <c r="P2030" i="10" s="1"/>
  <c r="Q2030" i="10" s="1"/>
  <c r="R2030" i="10" s="1"/>
  <c r="S2030" i="10" s="1"/>
  <c r="T2030" i="10" s="1"/>
  <c r="U2030" i="10" s="1"/>
  <c r="V2030" i="10" s="1"/>
  <c r="D2032" i="10" l="1"/>
  <c r="M2031" i="10"/>
  <c r="N2031" i="10" s="1"/>
  <c r="O2031" i="10" s="1"/>
  <c r="P2031" i="10" s="1"/>
  <c r="Q2031" i="10" s="1"/>
  <c r="R2031" i="10" s="1"/>
  <c r="S2031" i="10" s="1"/>
  <c r="T2031" i="10" s="1"/>
  <c r="U2031" i="10" s="1"/>
  <c r="V2031" i="10" s="1"/>
  <c r="D2033" i="10" l="1"/>
  <c r="M2032" i="10"/>
  <c r="N2032" i="10" s="1"/>
  <c r="O2032" i="10" s="1"/>
  <c r="P2032" i="10" s="1"/>
  <c r="Q2032" i="10" s="1"/>
  <c r="R2032" i="10" s="1"/>
  <c r="S2032" i="10" s="1"/>
  <c r="T2032" i="10" s="1"/>
  <c r="U2032" i="10" s="1"/>
  <c r="V2032" i="10" s="1"/>
  <c r="D2034" i="10" l="1"/>
  <c r="M2033" i="10"/>
  <c r="N2033" i="10" s="1"/>
  <c r="O2033" i="10" s="1"/>
  <c r="P2033" i="10" s="1"/>
  <c r="Q2033" i="10" s="1"/>
  <c r="R2033" i="10" s="1"/>
  <c r="S2033" i="10" s="1"/>
  <c r="T2033" i="10" s="1"/>
  <c r="U2033" i="10" s="1"/>
  <c r="V2033" i="10" s="1"/>
  <c r="D2035" i="10" l="1"/>
  <c r="M2034" i="10"/>
  <c r="N2034" i="10" s="1"/>
  <c r="O2034" i="10" s="1"/>
  <c r="P2034" i="10" s="1"/>
  <c r="Q2034" i="10" s="1"/>
  <c r="R2034" i="10" s="1"/>
  <c r="S2034" i="10" s="1"/>
  <c r="T2034" i="10" s="1"/>
  <c r="U2034" i="10" s="1"/>
  <c r="V2034" i="10" s="1"/>
  <c r="D2036" i="10" l="1"/>
  <c r="M2035" i="10"/>
  <c r="N2035" i="10" s="1"/>
  <c r="O2035" i="10" s="1"/>
  <c r="P2035" i="10" s="1"/>
  <c r="Q2035" i="10" s="1"/>
  <c r="R2035" i="10" s="1"/>
  <c r="S2035" i="10" s="1"/>
  <c r="T2035" i="10" s="1"/>
  <c r="U2035" i="10" s="1"/>
  <c r="V2035" i="10" s="1"/>
  <c r="D2037" i="10" l="1"/>
  <c r="M2036" i="10"/>
  <c r="N2036" i="10" s="1"/>
  <c r="O2036" i="10" s="1"/>
  <c r="P2036" i="10" s="1"/>
  <c r="Q2036" i="10" s="1"/>
  <c r="R2036" i="10" s="1"/>
  <c r="S2036" i="10" s="1"/>
  <c r="T2036" i="10" s="1"/>
  <c r="U2036" i="10" s="1"/>
  <c r="V2036" i="10" s="1"/>
  <c r="D2038" i="10" l="1"/>
  <c r="M2037" i="10"/>
  <c r="N2037" i="10" s="1"/>
  <c r="O2037" i="10" s="1"/>
  <c r="P2037" i="10" s="1"/>
  <c r="Q2037" i="10" s="1"/>
  <c r="R2037" i="10" s="1"/>
  <c r="S2037" i="10" s="1"/>
  <c r="T2037" i="10" s="1"/>
  <c r="U2037" i="10" s="1"/>
  <c r="V2037" i="10" s="1"/>
  <c r="D2039" i="10" l="1"/>
  <c r="M2038" i="10"/>
  <c r="N2038" i="10" s="1"/>
  <c r="O2038" i="10" s="1"/>
  <c r="P2038" i="10" s="1"/>
  <c r="Q2038" i="10" s="1"/>
  <c r="R2038" i="10" s="1"/>
  <c r="S2038" i="10" s="1"/>
  <c r="T2038" i="10" s="1"/>
  <c r="U2038" i="10" s="1"/>
  <c r="V2038" i="10" s="1"/>
  <c r="D2040" i="10" l="1"/>
  <c r="M2039" i="10"/>
  <c r="N2039" i="10" s="1"/>
  <c r="O2039" i="10" s="1"/>
  <c r="P2039" i="10" s="1"/>
  <c r="Q2039" i="10" s="1"/>
  <c r="R2039" i="10" s="1"/>
  <c r="S2039" i="10" s="1"/>
  <c r="T2039" i="10" s="1"/>
  <c r="U2039" i="10" s="1"/>
  <c r="V2039" i="10" s="1"/>
  <c r="D2041" i="10" l="1"/>
  <c r="M2040" i="10"/>
  <c r="N2040" i="10" s="1"/>
  <c r="O2040" i="10" s="1"/>
  <c r="P2040" i="10" s="1"/>
  <c r="Q2040" i="10" s="1"/>
  <c r="R2040" i="10" s="1"/>
  <c r="S2040" i="10" s="1"/>
  <c r="T2040" i="10" s="1"/>
  <c r="U2040" i="10" s="1"/>
  <c r="V2040" i="10" s="1"/>
  <c r="D2042" i="10" l="1"/>
  <c r="M2041" i="10"/>
  <c r="N2041" i="10" s="1"/>
  <c r="O2041" i="10" s="1"/>
  <c r="P2041" i="10" s="1"/>
  <c r="Q2041" i="10" s="1"/>
  <c r="R2041" i="10" s="1"/>
  <c r="S2041" i="10" s="1"/>
  <c r="T2041" i="10" s="1"/>
  <c r="U2041" i="10" s="1"/>
  <c r="V2041" i="10" s="1"/>
  <c r="D2043" i="10" l="1"/>
  <c r="M2042" i="10"/>
  <c r="N2042" i="10" s="1"/>
  <c r="O2042" i="10" s="1"/>
  <c r="P2042" i="10" s="1"/>
  <c r="Q2042" i="10" s="1"/>
  <c r="R2042" i="10" s="1"/>
  <c r="S2042" i="10" s="1"/>
  <c r="T2042" i="10" s="1"/>
  <c r="U2042" i="10" s="1"/>
  <c r="V2042" i="10" s="1"/>
  <c r="D2044" i="10" l="1"/>
  <c r="M2043" i="10"/>
  <c r="N2043" i="10" s="1"/>
  <c r="O2043" i="10" s="1"/>
  <c r="P2043" i="10" s="1"/>
  <c r="Q2043" i="10" s="1"/>
  <c r="R2043" i="10" s="1"/>
  <c r="S2043" i="10" s="1"/>
  <c r="T2043" i="10" s="1"/>
  <c r="U2043" i="10" s="1"/>
  <c r="V2043" i="10" s="1"/>
  <c r="D2045" i="10" l="1"/>
  <c r="M2044" i="10"/>
  <c r="N2044" i="10" s="1"/>
  <c r="O2044" i="10" s="1"/>
  <c r="P2044" i="10" s="1"/>
  <c r="Q2044" i="10" s="1"/>
  <c r="R2044" i="10" s="1"/>
  <c r="S2044" i="10" s="1"/>
  <c r="T2044" i="10" s="1"/>
  <c r="U2044" i="10" s="1"/>
  <c r="V2044" i="10" s="1"/>
  <c r="D2046" i="10" l="1"/>
  <c r="M2045" i="10"/>
  <c r="N2045" i="10" s="1"/>
  <c r="O2045" i="10" s="1"/>
  <c r="P2045" i="10" s="1"/>
  <c r="Q2045" i="10" s="1"/>
  <c r="R2045" i="10" s="1"/>
  <c r="S2045" i="10" s="1"/>
  <c r="T2045" i="10" s="1"/>
  <c r="U2045" i="10" s="1"/>
  <c r="V2045" i="10" s="1"/>
  <c r="D2047" i="10" l="1"/>
  <c r="M2046" i="10"/>
  <c r="N2046" i="10" s="1"/>
  <c r="O2046" i="10" s="1"/>
  <c r="P2046" i="10" s="1"/>
  <c r="Q2046" i="10" s="1"/>
  <c r="R2046" i="10" s="1"/>
  <c r="S2046" i="10" s="1"/>
  <c r="T2046" i="10" s="1"/>
  <c r="U2046" i="10" s="1"/>
  <c r="V2046" i="10" s="1"/>
  <c r="D2048" i="10" l="1"/>
  <c r="M2047" i="10"/>
  <c r="N2047" i="10" s="1"/>
  <c r="O2047" i="10" s="1"/>
  <c r="P2047" i="10" s="1"/>
  <c r="Q2047" i="10" s="1"/>
  <c r="R2047" i="10" s="1"/>
  <c r="S2047" i="10" s="1"/>
  <c r="T2047" i="10" s="1"/>
  <c r="U2047" i="10" s="1"/>
  <c r="V2047" i="10" s="1"/>
  <c r="D2049" i="10" l="1"/>
  <c r="M2048" i="10"/>
  <c r="N2048" i="10" s="1"/>
  <c r="O2048" i="10" s="1"/>
  <c r="P2048" i="10" s="1"/>
  <c r="Q2048" i="10" s="1"/>
  <c r="R2048" i="10" s="1"/>
  <c r="S2048" i="10" s="1"/>
  <c r="T2048" i="10" s="1"/>
  <c r="U2048" i="10" s="1"/>
  <c r="V2048" i="10" s="1"/>
  <c r="D2050" i="10" l="1"/>
  <c r="M2049" i="10"/>
  <c r="N2049" i="10" s="1"/>
  <c r="O2049" i="10" s="1"/>
  <c r="P2049" i="10" s="1"/>
  <c r="Q2049" i="10" s="1"/>
  <c r="R2049" i="10" s="1"/>
  <c r="S2049" i="10" s="1"/>
  <c r="T2049" i="10" s="1"/>
  <c r="U2049" i="10" s="1"/>
  <c r="V2049" i="10" s="1"/>
  <c r="D2051" i="10" l="1"/>
  <c r="M2050" i="10"/>
  <c r="N2050" i="10" s="1"/>
  <c r="O2050" i="10" s="1"/>
  <c r="P2050" i="10" s="1"/>
  <c r="Q2050" i="10" s="1"/>
  <c r="R2050" i="10" s="1"/>
  <c r="S2050" i="10" s="1"/>
  <c r="T2050" i="10" s="1"/>
  <c r="U2050" i="10" s="1"/>
  <c r="V2050" i="10" s="1"/>
  <c r="D2052" i="10" l="1"/>
  <c r="M2051" i="10"/>
  <c r="N2051" i="10" s="1"/>
  <c r="O2051" i="10" s="1"/>
  <c r="P2051" i="10" s="1"/>
  <c r="Q2051" i="10" s="1"/>
  <c r="R2051" i="10" s="1"/>
  <c r="S2051" i="10" s="1"/>
  <c r="T2051" i="10" s="1"/>
  <c r="U2051" i="10" s="1"/>
  <c r="V2051" i="10" s="1"/>
  <c r="D2053" i="10" l="1"/>
  <c r="M2052" i="10"/>
  <c r="N2052" i="10" s="1"/>
  <c r="O2052" i="10" s="1"/>
  <c r="P2052" i="10" s="1"/>
  <c r="Q2052" i="10" s="1"/>
  <c r="R2052" i="10" s="1"/>
  <c r="S2052" i="10" s="1"/>
  <c r="T2052" i="10" s="1"/>
  <c r="U2052" i="10" s="1"/>
  <c r="V2052" i="10" s="1"/>
  <c r="D2054" i="10" l="1"/>
  <c r="M2053" i="10"/>
  <c r="N2053" i="10" s="1"/>
  <c r="O2053" i="10" s="1"/>
  <c r="P2053" i="10" s="1"/>
  <c r="Q2053" i="10" s="1"/>
  <c r="R2053" i="10" s="1"/>
  <c r="S2053" i="10" s="1"/>
  <c r="T2053" i="10" s="1"/>
  <c r="U2053" i="10" s="1"/>
  <c r="V2053" i="10" s="1"/>
  <c r="D2055" i="10" l="1"/>
  <c r="M2054" i="10"/>
  <c r="N2054" i="10" s="1"/>
  <c r="O2054" i="10" s="1"/>
  <c r="P2054" i="10" s="1"/>
  <c r="Q2054" i="10" s="1"/>
  <c r="R2054" i="10" s="1"/>
  <c r="S2054" i="10" s="1"/>
  <c r="T2054" i="10" s="1"/>
  <c r="U2054" i="10" s="1"/>
  <c r="V2054" i="10" s="1"/>
  <c r="D2056" i="10" l="1"/>
  <c r="M2055" i="10"/>
  <c r="N2055" i="10" s="1"/>
  <c r="O2055" i="10" s="1"/>
  <c r="P2055" i="10" s="1"/>
  <c r="Q2055" i="10" s="1"/>
  <c r="R2055" i="10" s="1"/>
  <c r="S2055" i="10" s="1"/>
  <c r="T2055" i="10" s="1"/>
  <c r="U2055" i="10" s="1"/>
  <c r="V2055" i="10" s="1"/>
  <c r="D2057" i="10" l="1"/>
  <c r="M2056" i="10"/>
  <c r="N2056" i="10" s="1"/>
  <c r="O2056" i="10" s="1"/>
  <c r="P2056" i="10" s="1"/>
  <c r="Q2056" i="10" s="1"/>
  <c r="R2056" i="10" s="1"/>
  <c r="S2056" i="10" s="1"/>
  <c r="T2056" i="10" s="1"/>
  <c r="U2056" i="10" s="1"/>
  <c r="V2056" i="10" s="1"/>
  <c r="D2058" i="10" l="1"/>
  <c r="M2057" i="10"/>
  <c r="N2057" i="10" s="1"/>
  <c r="O2057" i="10" s="1"/>
  <c r="P2057" i="10" s="1"/>
  <c r="Q2057" i="10" s="1"/>
  <c r="R2057" i="10" s="1"/>
  <c r="S2057" i="10" s="1"/>
  <c r="T2057" i="10" s="1"/>
  <c r="U2057" i="10" s="1"/>
  <c r="V2057" i="10" s="1"/>
  <c r="D2059" i="10" l="1"/>
  <c r="M2058" i="10"/>
  <c r="N2058" i="10" s="1"/>
  <c r="O2058" i="10" s="1"/>
  <c r="P2058" i="10" s="1"/>
  <c r="Q2058" i="10" s="1"/>
  <c r="R2058" i="10" s="1"/>
  <c r="S2058" i="10" s="1"/>
  <c r="T2058" i="10" s="1"/>
  <c r="U2058" i="10" s="1"/>
  <c r="V2058" i="10" s="1"/>
  <c r="D2060" i="10" l="1"/>
  <c r="M2059" i="10"/>
  <c r="N2059" i="10" s="1"/>
  <c r="O2059" i="10" s="1"/>
  <c r="P2059" i="10" s="1"/>
  <c r="Q2059" i="10" s="1"/>
  <c r="R2059" i="10" s="1"/>
  <c r="S2059" i="10" s="1"/>
  <c r="T2059" i="10" s="1"/>
  <c r="U2059" i="10" s="1"/>
  <c r="V2059" i="10" s="1"/>
  <c r="D2061" i="10" l="1"/>
  <c r="M2060" i="10"/>
  <c r="N2060" i="10" s="1"/>
  <c r="O2060" i="10" s="1"/>
  <c r="P2060" i="10" s="1"/>
  <c r="Q2060" i="10" s="1"/>
  <c r="R2060" i="10" s="1"/>
  <c r="S2060" i="10" s="1"/>
  <c r="T2060" i="10" s="1"/>
  <c r="U2060" i="10" s="1"/>
  <c r="V2060" i="10" s="1"/>
  <c r="D2062" i="10" l="1"/>
  <c r="M2061" i="10"/>
  <c r="N2061" i="10" s="1"/>
  <c r="O2061" i="10" s="1"/>
  <c r="P2061" i="10" s="1"/>
  <c r="Q2061" i="10" s="1"/>
  <c r="R2061" i="10" s="1"/>
  <c r="S2061" i="10" s="1"/>
  <c r="T2061" i="10" s="1"/>
  <c r="U2061" i="10" s="1"/>
  <c r="V2061" i="10" s="1"/>
  <c r="D2063" i="10" l="1"/>
  <c r="M2062" i="10"/>
  <c r="N2062" i="10" s="1"/>
  <c r="O2062" i="10" s="1"/>
  <c r="P2062" i="10" s="1"/>
  <c r="Q2062" i="10" s="1"/>
  <c r="R2062" i="10" s="1"/>
  <c r="S2062" i="10" s="1"/>
  <c r="T2062" i="10" s="1"/>
  <c r="U2062" i="10" s="1"/>
  <c r="V2062" i="10" s="1"/>
  <c r="D2064" i="10" l="1"/>
  <c r="M2063" i="10"/>
  <c r="N2063" i="10" s="1"/>
  <c r="O2063" i="10" s="1"/>
  <c r="P2063" i="10" s="1"/>
  <c r="Q2063" i="10" s="1"/>
  <c r="R2063" i="10" s="1"/>
  <c r="S2063" i="10" s="1"/>
  <c r="T2063" i="10" s="1"/>
  <c r="U2063" i="10" s="1"/>
  <c r="V2063" i="10" s="1"/>
  <c r="D2065" i="10" l="1"/>
  <c r="M2064" i="10"/>
  <c r="N2064" i="10" s="1"/>
  <c r="O2064" i="10" s="1"/>
  <c r="P2064" i="10" s="1"/>
  <c r="Q2064" i="10" s="1"/>
  <c r="R2064" i="10" s="1"/>
  <c r="S2064" i="10" s="1"/>
  <c r="T2064" i="10" s="1"/>
  <c r="U2064" i="10" s="1"/>
  <c r="V2064" i="10" s="1"/>
  <c r="D2066" i="10" l="1"/>
  <c r="M2065" i="10"/>
  <c r="N2065" i="10" s="1"/>
  <c r="O2065" i="10" s="1"/>
  <c r="P2065" i="10" s="1"/>
  <c r="Q2065" i="10" s="1"/>
  <c r="R2065" i="10" s="1"/>
  <c r="S2065" i="10" s="1"/>
  <c r="T2065" i="10" s="1"/>
  <c r="U2065" i="10" s="1"/>
  <c r="V2065" i="10" s="1"/>
  <c r="D2067" i="10" l="1"/>
  <c r="M2066" i="10"/>
  <c r="N2066" i="10" s="1"/>
  <c r="O2066" i="10" s="1"/>
  <c r="P2066" i="10" s="1"/>
  <c r="Q2066" i="10" s="1"/>
  <c r="R2066" i="10" s="1"/>
  <c r="S2066" i="10" s="1"/>
  <c r="T2066" i="10" s="1"/>
  <c r="U2066" i="10" s="1"/>
  <c r="V2066" i="10" s="1"/>
  <c r="D2068" i="10" l="1"/>
  <c r="M2067" i="10"/>
  <c r="N2067" i="10" s="1"/>
  <c r="O2067" i="10" s="1"/>
  <c r="P2067" i="10" s="1"/>
  <c r="Q2067" i="10" s="1"/>
  <c r="R2067" i="10" s="1"/>
  <c r="S2067" i="10" s="1"/>
  <c r="T2067" i="10" s="1"/>
  <c r="U2067" i="10" s="1"/>
  <c r="V2067" i="10" s="1"/>
  <c r="D2069" i="10" l="1"/>
  <c r="M2068" i="10"/>
  <c r="N2068" i="10" s="1"/>
  <c r="O2068" i="10" s="1"/>
  <c r="P2068" i="10" s="1"/>
  <c r="Q2068" i="10" s="1"/>
  <c r="R2068" i="10" s="1"/>
  <c r="S2068" i="10" s="1"/>
  <c r="T2068" i="10" s="1"/>
  <c r="U2068" i="10" s="1"/>
  <c r="V2068" i="10" s="1"/>
  <c r="D2070" i="10" l="1"/>
  <c r="M2069" i="10"/>
  <c r="N2069" i="10" s="1"/>
  <c r="O2069" i="10" s="1"/>
  <c r="P2069" i="10" s="1"/>
  <c r="Q2069" i="10" s="1"/>
  <c r="R2069" i="10" s="1"/>
  <c r="S2069" i="10" s="1"/>
  <c r="T2069" i="10" s="1"/>
  <c r="U2069" i="10" s="1"/>
  <c r="V2069" i="10" s="1"/>
  <c r="D2071" i="10" l="1"/>
  <c r="M2070" i="10"/>
  <c r="N2070" i="10" s="1"/>
  <c r="O2070" i="10" s="1"/>
  <c r="P2070" i="10" s="1"/>
  <c r="Q2070" i="10" s="1"/>
  <c r="R2070" i="10" s="1"/>
  <c r="S2070" i="10" s="1"/>
  <c r="T2070" i="10" s="1"/>
  <c r="U2070" i="10" s="1"/>
  <c r="V2070" i="10" s="1"/>
  <c r="D2072" i="10" l="1"/>
  <c r="M2071" i="10"/>
  <c r="N2071" i="10" s="1"/>
  <c r="O2071" i="10" s="1"/>
  <c r="P2071" i="10" s="1"/>
  <c r="Q2071" i="10" s="1"/>
  <c r="R2071" i="10" s="1"/>
  <c r="S2071" i="10" s="1"/>
  <c r="T2071" i="10" s="1"/>
  <c r="U2071" i="10" s="1"/>
  <c r="V2071" i="10" s="1"/>
  <c r="D2073" i="10" l="1"/>
  <c r="M2072" i="10"/>
  <c r="N2072" i="10" s="1"/>
  <c r="O2072" i="10" s="1"/>
  <c r="P2072" i="10" s="1"/>
  <c r="Q2072" i="10" s="1"/>
  <c r="R2072" i="10" s="1"/>
  <c r="S2072" i="10" s="1"/>
  <c r="T2072" i="10" s="1"/>
  <c r="U2072" i="10" s="1"/>
  <c r="V2072" i="10" s="1"/>
  <c r="D2074" i="10" l="1"/>
  <c r="M2073" i="10"/>
  <c r="N2073" i="10" s="1"/>
  <c r="O2073" i="10" s="1"/>
  <c r="P2073" i="10" s="1"/>
  <c r="Q2073" i="10" s="1"/>
  <c r="R2073" i="10" s="1"/>
  <c r="S2073" i="10" s="1"/>
  <c r="T2073" i="10" s="1"/>
  <c r="U2073" i="10" s="1"/>
  <c r="V2073" i="10" s="1"/>
  <c r="D2075" i="10" l="1"/>
  <c r="M2074" i="10"/>
  <c r="N2074" i="10" s="1"/>
  <c r="O2074" i="10" s="1"/>
  <c r="P2074" i="10" s="1"/>
  <c r="Q2074" i="10" s="1"/>
  <c r="R2074" i="10" s="1"/>
  <c r="S2074" i="10" s="1"/>
  <c r="T2074" i="10" s="1"/>
  <c r="U2074" i="10" s="1"/>
  <c r="V2074" i="10" s="1"/>
  <c r="D2076" i="10" l="1"/>
  <c r="M2075" i="10"/>
  <c r="N2075" i="10" s="1"/>
  <c r="O2075" i="10" s="1"/>
  <c r="P2075" i="10" s="1"/>
  <c r="Q2075" i="10" s="1"/>
  <c r="R2075" i="10" s="1"/>
  <c r="S2075" i="10" s="1"/>
  <c r="T2075" i="10" s="1"/>
  <c r="U2075" i="10" s="1"/>
  <c r="V2075" i="10" s="1"/>
  <c r="D2077" i="10" l="1"/>
  <c r="M2076" i="10"/>
  <c r="N2076" i="10" s="1"/>
  <c r="O2076" i="10" s="1"/>
  <c r="P2076" i="10" s="1"/>
  <c r="Q2076" i="10" s="1"/>
  <c r="R2076" i="10" s="1"/>
  <c r="S2076" i="10" s="1"/>
  <c r="T2076" i="10" s="1"/>
  <c r="U2076" i="10" s="1"/>
  <c r="V2076" i="10" s="1"/>
  <c r="D2078" i="10" l="1"/>
  <c r="M2077" i="10"/>
  <c r="N2077" i="10" s="1"/>
  <c r="O2077" i="10" s="1"/>
  <c r="P2077" i="10" s="1"/>
  <c r="Q2077" i="10" s="1"/>
  <c r="R2077" i="10" s="1"/>
  <c r="S2077" i="10" s="1"/>
  <c r="T2077" i="10" s="1"/>
  <c r="U2077" i="10" s="1"/>
  <c r="V2077" i="10" s="1"/>
  <c r="D2079" i="10" l="1"/>
  <c r="M2078" i="10"/>
  <c r="N2078" i="10" s="1"/>
  <c r="O2078" i="10" s="1"/>
  <c r="P2078" i="10" s="1"/>
  <c r="Q2078" i="10" s="1"/>
  <c r="R2078" i="10" s="1"/>
  <c r="S2078" i="10" s="1"/>
  <c r="T2078" i="10" s="1"/>
  <c r="U2078" i="10" s="1"/>
  <c r="V2078" i="10" s="1"/>
  <c r="D2080" i="10" l="1"/>
  <c r="M2079" i="10"/>
  <c r="N2079" i="10" s="1"/>
  <c r="O2079" i="10" s="1"/>
  <c r="P2079" i="10" s="1"/>
  <c r="Q2079" i="10" s="1"/>
  <c r="R2079" i="10" s="1"/>
  <c r="S2079" i="10" s="1"/>
  <c r="T2079" i="10" s="1"/>
  <c r="U2079" i="10" s="1"/>
  <c r="V2079" i="10" s="1"/>
  <c r="D2081" i="10" l="1"/>
  <c r="M2080" i="10"/>
  <c r="N2080" i="10" s="1"/>
  <c r="O2080" i="10" s="1"/>
  <c r="P2080" i="10" s="1"/>
  <c r="Q2080" i="10" s="1"/>
  <c r="R2080" i="10" s="1"/>
  <c r="S2080" i="10" s="1"/>
  <c r="T2080" i="10" s="1"/>
  <c r="U2080" i="10" s="1"/>
  <c r="V2080" i="10" s="1"/>
  <c r="D2082" i="10" l="1"/>
  <c r="M2081" i="10"/>
  <c r="N2081" i="10" s="1"/>
  <c r="O2081" i="10" s="1"/>
  <c r="P2081" i="10" s="1"/>
  <c r="Q2081" i="10" s="1"/>
  <c r="R2081" i="10" s="1"/>
  <c r="S2081" i="10" s="1"/>
  <c r="T2081" i="10" s="1"/>
  <c r="U2081" i="10" s="1"/>
  <c r="V2081" i="10" s="1"/>
  <c r="D2083" i="10" l="1"/>
  <c r="M2082" i="10"/>
  <c r="N2082" i="10" s="1"/>
  <c r="O2082" i="10" s="1"/>
  <c r="P2082" i="10" s="1"/>
  <c r="Q2082" i="10" s="1"/>
  <c r="R2082" i="10" s="1"/>
  <c r="S2082" i="10" s="1"/>
  <c r="T2082" i="10" s="1"/>
  <c r="U2082" i="10" s="1"/>
  <c r="V2082" i="10" s="1"/>
  <c r="D2084" i="10" l="1"/>
  <c r="M2083" i="10"/>
  <c r="N2083" i="10" s="1"/>
  <c r="O2083" i="10" s="1"/>
  <c r="P2083" i="10" s="1"/>
  <c r="Q2083" i="10" s="1"/>
  <c r="R2083" i="10" s="1"/>
  <c r="S2083" i="10" s="1"/>
  <c r="T2083" i="10" s="1"/>
  <c r="U2083" i="10" s="1"/>
  <c r="V2083" i="10" s="1"/>
  <c r="D2085" i="10" l="1"/>
  <c r="M2084" i="10"/>
  <c r="N2084" i="10" s="1"/>
  <c r="O2084" i="10" s="1"/>
  <c r="P2084" i="10" s="1"/>
  <c r="Q2084" i="10" s="1"/>
  <c r="R2084" i="10" s="1"/>
  <c r="S2084" i="10" s="1"/>
  <c r="T2084" i="10" s="1"/>
  <c r="U2084" i="10" s="1"/>
  <c r="V2084" i="10" s="1"/>
  <c r="D2086" i="10" l="1"/>
  <c r="M2085" i="10"/>
  <c r="N2085" i="10" s="1"/>
  <c r="O2085" i="10" s="1"/>
  <c r="P2085" i="10" s="1"/>
  <c r="Q2085" i="10" s="1"/>
  <c r="R2085" i="10" s="1"/>
  <c r="S2085" i="10" s="1"/>
  <c r="T2085" i="10" s="1"/>
  <c r="U2085" i="10" s="1"/>
  <c r="V2085" i="10" s="1"/>
  <c r="D2087" i="10" l="1"/>
  <c r="M2086" i="10"/>
  <c r="N2086" i="10" s="1"/>
  <c r="O2086" i="10" s="1"/>
  <c r="P2086" i="10" s="1"/>
  <c r="Q2086" i="10" s="1"/>
  <c r="R2086" i="10" s="1"/>
  <c r="S2086" i="10" s="1"/>
  <c r="T2086" i="10" s="1"/>
  <c r="U2086" i="10" s="1"/>
  <c r="V2086" i="10" s="1"/>
  <c r="D2088" i="10" l="1"/>
  <c r="M2087" i="10"/>
  <c r="N2087" i="10" s="1"/>
  <c r="O2087" i="10" s="1"/>
  <c r="P2087" i="10" s="1"/>
  <c r="Q2087" i="10" s="1"/>
  <c r="R2087" i="10" s="1"/>
  <c r="S2087" i="10" s="1"/>
  <c r="T2087" i="10" s="1"/>
  <c r="U2087" i="10" s="1"/>
  <c r="V2087" i="10" s="1"/>
  <c r="D2089" i="10" l="1"/>
  <c r="M2088" i="10"/>
  <c r="N2088" i="10" s="1"/>
  <c r="O2088" i="10" s="1"/>
  <c r="P2088" i="10" s="1"/>
  <c r="Q2088" i="10" s="1"/>
  <c r="R2088" i="10" s="1"/>
  <c r="S2088" i="10" s="1"/>
  <c r="T2088" i="10" s="1"/>
  <c r="U2088" i="10" s="1"/>
  <c r="V2088" i="10" s="1"/>
  <c r="D2090" i="10" l="1"/>
  <c r="M2089" i="10"/>
  <c r="N2089" i="10" s="1"/>
  <c r="O2089" i="10" s="1"/>
  <c r="P2089" i="10" s="1"/>
  <c r="Q2089" i="10" s="1"/>
  <c r="R2089" i="10" s="1"/>
  <c r="S2089" i="10" s="1"/>
  <c r="T2089" i="10" s="1"/>
  <c r="U2089" i="10" s="1"/>
  <c r="V2089" i="10" s="1"/>
  <c r="D2091" i="10" l="1"/>
  <c r="M2090" i="10"/>
  <c r="N2090" i="10" s="1"/>
  <c r="O2090" i="10" s="1"/>
  <c r="P2090" i="10" s="1"/>
  <c r="Q2090" i="10" s="1"/>
  <c r="R2090" i="10" s="1"/>
  <c r="S2090" i="10" s="1"/>
  <c r="T2090" i="10" s="1"/>
  <c r="U2090" i="10" s="1"/>
  <c r="V2090" i="10" s="1"/>
  <c r="D2092" i="10" l="1"/>
  <c r="M2091" i="10"/>
  <c r="N2091" i="10" s="1"/>
  <c r="O2091" i="10" s="1"/>
  <c r="P2091" i="10" s="1"/>
  <c r="Q2091" i="10" s="1"/>
  <c r="R2091" i="10" s="1"/>
  <c r="S2091" i="10" s="1"/>
  <c r="T2091" i="10" s="1"/>
  <c r="U2091" i="10" s="1"/>
  <c r="V2091" i="10" s="1"/>
  <c r="D2093" i="10" l="1"/>
  <c r="M2092" i="10"/>
  <c r="N2092" i="10" s="1"/>
  <c r="O2092" i="10" s="1"/>
  <c r="P2092" i="10" s="1"/>
  <c r="Q2092" i="10" s="1"/>
  <c r="R2092" i="10" s="1"/>
  <c r="S2092" i="10" s="1"/>
  <c r="T2092" i="10" s="1"/>
  <c r="U2092" i="10" s="1"/>
  <c r="V2092" i="10" s="1"/>
  <c r="D2094" i="10" l="1"/>
  <c r="M2093" i="10"/>
  <c r="N2093" i="10" s="1"/>
  <c r="O2093" i="10" s="1"/>
  <c r="P2093" i="10" s="1"/>
  <c r="Q2093" i="10" s="1"/>
  <c r="R2093" i="10" s="1"/>
  <c r="S2093" i="10" s="1"/>
  <c r="T2093" i="10" s="1"/>
  <c r="U2093" i="10" s="1"/>
  <c r="V2093" i="10" s="1"/>
  <c r="D2095" i="10" l="1"/>
  <c r="M2094" i="10"/>
  <c r="N2094" i="10" s="1"/>
  <c r="O2094" i="10" s="1"/>
  <c r="P2094" i="10" s="1"/>
  <c r="Q2094" i="10" s="1"/>
  <c r="R2094" i="10" s="1"/>
  <c r="S2094" i="10" s="1"/>
  <c r="T2094" i="10" s="1"/>
  <c r="U2094" i="10" s="1"/>
  <c r="V2094" i="10" s="1"/>
  <c r="D2096" i="10" l="1"/>
  <c r="M2095" i="10"/>
  <c r="N2095" i="10" s="1"/>
  <c r="O2095" i="10" s="1"/>
  <c r="P2095" i="10" s="1"/>
  <c r="Q2095" i="10" s="1"/>
  <c r="R2095" i="10" s="1"/>
  <c r="S2095" i="10" s="1"/>
  <c r="T2095" i="10" s="1"/>
  <c r="U2095" i="10" s="1"/>
  <c r="V2095" i="10" s="1"/>
  <c r="D2097" i="10" l="1"/>
  <c r="M2096" i="10"/>
  <c r="N2096" i="10" s="1"/>
  <c r="O2096" i="10" s="1"/>
  <c r="P2096" i="10" s="1"/>
  <c r="Q2096" i="10" s="1"/>
  <c r="R2096" i="10" s="1"/>
  <c r="S2096" i="10" s="1"/>
  <c r="T2096" i="10" s="1"/>
  <c r="U2096" i="10" s="1"/>
  <c r="V2096" i="10" s="1"/>
  <c r="D2098" i="10" l="1"/>
  <c r="M2097" i="10"/>
  <c r="N2097" i="10" s="1"/>
  <c r="O2097" i="10" s="1"/>
  <c r="P2097" i="10" s="1"/>
  <c r="Q2097" i="10" s="1"/>
  <c r="R2097" i="10" s="1"/>
  <c r="S2097" i="10" s="1"/>
  <c r="T2097" i="10" s="1"/>
  <c r="U2097" i="10" s="1"/>
  <c r="V2097" i="10" s="1"/>
  <c r="D2099" i="10" l="1"/>
  <c r="M2098" i="10"/>
  <c r="N2098" i="10" s="1"/>
  <c r="O2098" i="10" s="1"/>
  <c r="P2098" i="10" s="1"/>
  <c r="Q2098" i="10" s="1"/>
  <c r="R2098" i="10" s="1"/>
  <c r="S2098" i="10" s="1"/>
  <c r="T2098" i="10" s="1"/>
  <c r="U2098" i="10" s="1"/>
  <c r="V2098" i="10" s="1"/>
  <c r="D2100" i="10" l="1"/>
  <c r="M2099" i="10"/>
  <c r="N2099" i="10" s="1"/>
  <c r="O2099" i="10" s="1"/>
  <c r="P2099" i="10" s="1"/>
  <c r="Q2099" i="10" s="1"/>
  <c r="R2099" i="10" s="1"/>
  <c r="S2099" i="10" s="1"/>
  <c r="T2099" i="10" s="1"/>
  <c r="U2099" i="10" s="1"/>
  <c r="V2099" i="10" s="1"/>
  <c r="D2101" i="10" l="1"/>
  <c r="M2100" i="10"/>
  <c r="N2100" i="10" s="1"/>
  <c r="O2100" i="10" s="1"/>
  <c r="P2100" i="10" s="1"/>
  <c r="Q2100" i="10" s="1"/>
  <c r="R2100" i="10" s="1"/>
  <c r="S2100" i="10" s="1"/>
  <c r="T2100" i="10" s="1"/>
  <c r="U2100" i="10" s="1"/>
  <c r="V2100" i="10" s="1"/>
  <c r="D2102" i="10" l="1"/>
  <c r="M2101" i="10"/>
  <c r="N2101" i="10" s="1"/>
  <c r="O2101" i="10" s="1"/>
  <c r="P2101" i="10" s="1"/>
  <c r="Q2101" i="10" s="1"/>
  <c r="R2101" i="10" s="1"/>
  <c r="S2101" i="10" s="1"/>
  <c r="T2101" i="10" s="1"/>
  <c r="U2101" i="10" s="1"/>
  <c r="V2101" i="10" s="1"/>
  <c r="D2103" i="10" l="1"/>
  <c r="M2102" i="10"/>
  <c r="N2102" i="10" s="1"/>
  <c r="O2102" i="10" s="1"/>
  <c r="P2102" i="10" s="1"/>
  <c r="Q2102" i="10" s="1"/>
  <c r="R2102" i="10" s="1"/>
  <c r="S2102" i="10" s="1"/>
  <c r="T2102" i="10" s="1"/>
  <c r="U2102" i="10" s="1"/>
  <c r="V2102" i="10" s="1"/>
  <c r="D2104" i="10" l="1"/>
  <c r="M2103" i="10"/>
  <c r="N2103" i="10" s="1"/>
  <c r="O2103" i="10" s="1"/>
  <c r="P2103" i="10" s="1"/>
  <c r="Q2103" i="10" s="1"/>
  <c r="R2103" i="10" s="1"/>
  <c r="S2103" i="10" s="1"/>
  <c r="T2103" i="10" s="1"/>
  <c r="U2103" i="10" s="1"/>
  <c r="V2103" i="10" s="1"/>
  <c r="D2105" i="10" l="1"/>
  <c r="M2104" i="10"/>
  <c r="N2104" i="10" s="1"/>
  <c r="O2104" i="10" s="1"/>
  <c r="P2104" i="10" s="1"/>
  <c r="Q2104" i="10" s="1"/>
  <c r="R2104" i="10" s="1"/>
  <c r="S2104" i="10" s="1"/>
  <c r="T2104" i="10" s="1"/>
  <c r="U2104" i="10" s="1"/>
  <c r="V2104" i="10" s="1"/>
  <c r="D2106" i="10" l="1"/>
  <c r="M2105" i="10"/>
  <c r="N2105" i="10" s="1"/>
  <c r="O2105" i="10" s="1"/>
  <c r="P2105" i="10" s="1"/>
  <c r="Q2105" i="10" s="1"/>
  <c r="R2105" i="10" s="1"/>
  <c r="S2105" i="10" s="1"/>
  <c r="T2105" i="10" s="1"/>
  <c r="U2105" i="10" s="1"/>
  <c r="V2105" i="10" s="1"/>
  <c r="D2107" i="10" l="1"/>
  <c r="M2106" i="10"/>
  <c r="N2106" i="10" s="1"/>
  <c r="O2106" i="10" s="1"/>
  <c r="P2106" i="10" s="1"/>
  <c r="Q2106" i="10" s="1"/>
  <c r="R2106" i="10" s="1"/>
  <c r="S2106" i="10" s="1"/>
  <c r="T2106" i="10" s="1"/>
  <c r="U2106" i="10" s="1"/>
  <c r="V2106" i="10" s="1"/>
  <c r="D2108" i="10" l="1"/>
  <c r="M2107" i="10"/>
  <c r="N2107" i="10" s="1"/>
  <c r="O2107" i="10" s="1"/>
  <c r="P2107" i="10" s="1"/>
  <c r="Q2107" i="10" s="1"/>
  <c r="R2107" i="10" s="1"/>
  <c r="S2107" i="10" s="1"/>
  <c r="T2107" i="10" s="1"/>
  <c r="U2107" i="10" s="1"/>
  <c r="V2107" i="10" s="1"/>
  <c r="D2109" i="10" l="1"/>
  <c r="M2108" i="10"/>
  <c r="N2108" i="10" s="1"/>
  <c r="O2108" i="10" s="1"/>
  <c r="P2108" i="10" s="1"/>
  <c r="Q2108" i="10" s="1"/>
  <c r="R2108" i="10" s="1"/>
  <c r="S2108" i="10" s="1"/>
  <c r="T2108" i="10" s="1"/>
  <c r="U2108" i="10" s="1"/>
  <c r="V2108" i="10" s="1"/>
  <c r="D2110" i="10" l="1"/>
  <c r="M2109" i="10"/>
  <c r="N2109" i="10" s="1"/>
  <c r="O2109" i="10" s="1"/>
  <c r="P2109" i="10" s="1"/>
  <c r="Q2109" i="10" s="1"/>
  <c r="R2109" i="10" s="1"/>
  <c r="S2109" i="10" s="1"/>
  <c r="T2109" i="10" s="1"/>
  <c r="U2109" i="10" s="1"/>
  <c r="V2109" i="10" s="1"/>
  <c r="D2111" i="10" l="1"/>
  <c r="M2110" i="10"/>
  <c r="N2110" i="10" s="1"/>
  <c r="O2110" i="10" s="1"/>
  <c r="P2110" i="10" s="1"/>
  <c r="Q2110" i="10" s="1"/>
  <c r="R2110" i="10" s="1"/>
  <c r="S2110" i="10" s="1"/>
  <c r="T2110" i="10" s="1"/>
  <c r="U2110" i="10" s="1"/>
  <c r="V2110" i="10" s="1"/>
  <c r="D2112" i="10" l="1"/>
  <c r="M2111" i="10"/>
  <c r="N2111" i="10" s="1"/>
  <c r="O2111" i="10" s="1"/>
  <c r="P2111" i="10" s="1"/>
  <c r="Q2111" i="10" s="1"/>
  <c r="R2111" i="10" s="1"/>
  <c r="S2111" i="10" s="1"/>
  <c r="T2111" i="10" s="1"/>
  <c r="U2111" i="10" s="1"/>
  <c r="V2111" i="10" s="1"/>
  <c r="D2113" i="10" l="1"/>
  <c r="M2112" i="10"/>
  <c r="N2112" i="10" s="1"/>
  <c r="O2112" i="10" s="1"/>
  <c r="P2112" i="10" s="1"/>
  <c r="Q2112" i="10" s="1"/>
  <c r="R2112" i="10" s="1"/>
  <c r="S2112" i="10" s="1"/>
  <c r="T2112" i="10" s="1"/>
  <c r="U2112" i="10" s="1"/>
  <c r="V2112" i="10" s="1"/>
  <c r="D2114" i="10" l="1"/>
  <c r="M2113" i="10"/>
  <c r="N2113" i="10" s="1"/>
  <c r="O2113" i="10" s="1"/>
  <c r="P2113" i="10" s="1"/>
  <c r="Q2113" i="10" s="1"/>
  <c r="R2113" i="10" s="1"/>
  <c r="S2113" i="10" s="1"/>
  <c r="T2113" i="10" s="1"/>
  <c r="U2113" i="10" s="1"/>
  <c r="V2113" i="10" s="1"/>
  <c r="D2115" i="10" l="1"/>
  <c r="M2114" i="10"/>
  <c r="N2114" i="10" s="1"/>
  <c r="O2114" i="10" s="1"/>
  <c r="P2114" i="10" s="1"/>
  <c r="Q2114" i="10" s="1"/>
  <c r="R2114" i="10" s="1"/>
  <c r="S2114" i="10" s="1"/>
  <c r="T2114" i="10" s="1"/>
  <c r="U2114" i="10" s="1"/>
  <c r="V2114" i="10" s="1"/>
  <c r="D2116" i="10" l="1"/>
  <c r="M2115" i="10"/>
  <c r="N2115" i="10" s="1"/>
  <c r="O2115" i="10" s="1"/>
  <c r="P2115" i="10" s="1"/>
  <c r="Q2115" i="10" s="1"/>
  <c r="R2115" i="10" s="1"/>
  <c r="S2115" i="10" s="1"/>
  <c r="T2115" i="10" s="1"/>
  <c r="U2115" i="10" s="1"/>
  <c r="V2115" i="10" s="1"/>
  <c r="D2117" i="10" l="1"/>
  <c r="M2116" i="10"/>
  <c r="N2116" i="10" s="1"/>
  <c r="O2116" i="10" s="1"/>
  <c r="P2116" i="10" s="1"/>
  <c r="Q2116" i="10" s="1"/>
  <c r="R2116" i="10" s="1"/>
  <c r="S2116" i="10" s="1"/>
  <c r="T2116" i="10" s="1"/>
  <c r="U2116" i="10" s="1"/>
  <c r="V2116" i="10" s="1"/>
  <c r="D2118" i="10" l="1"/>
  <c r="M2117" i="10"/>
  <c r="N2117" i="10" s="1"/>
  <c r="O2117" i="10" s="1"/>
  <c r="P2117" i="10" s="1"/>
  <c r="Q2117" i="10" s="1"/>
  <c r="R2117" i="10" s="1"/>
  <c r="S2117" i="10" s="1"/>
  <c r="T2117" i="10" s="1"/>
  <c r="U2117" i="10" s="1"/>
  <c r="V2117" i="10" s="1"/>
  <c r="D2119" i="10" l="1"/>
  <c r="M2118" i="10"/>
  <c r="N2118" i="10" s="1"/>
  <c r="O2118" i="10" s="1"/>
  <c r="P2118" i="10" s="1"/>
  <c r="Q2118" i="10" s="1"/>
  <c r="R2118" i="10" s="1"/>
  <c r="S2118" i="10" s="1"/>
  <c r="T2118" i="10" s="1"/>
  <c r="U2118" i="10" s="1"/>
  <c r="V2118" i="10" s="1"/>
  <c r="D2120" i="10" l="1"/>
  <c r="M2119" i="10"/>
  <c r="N2119" i="10" s="1"/>
  <c r="O2119" i="10" s="1"/>
  <c r="P2119" i="10" s="1"/>
  <c r="Q2119" i="10" s="1"/>
  <c r="R2119" i="10" s="1"/>
  <c r="S2119" i="10" s="1"/>
  <c r="T2119" i="10" s="1"/>
  <c r="U2119" i="10" s="1"/>
  <c r="V2119" i="10" s="1"/>
  <c r="D2121" i="10" l="1"/>
  <c r="M2120" i="10"/>
  <c r="N2120" i="10" s="1"/>
  <c r="O2120" i="10" s="1"/>
  <c r="P2120" i="10" s="1"/>
  <c r="Q2120" i="10" s="1"/>
  <c r="R2120" i="10" s="1"/>
  <c r="S2120" i="10" s="1"/>
  <c r="T2120" i="10" s="1"/>
  <c r="U2120" i="10" s="1"/>
  <c r="V2120" i="10" s="1"/>
  <c r="D2122" i="10" l="1"/>
  <c r="M2121" i="10"/>
  <c r="N2121" i="10" s="1"/>
  <c r="O2121" i="10" s="1"/>
  <c r="P2121" i="10" s="1"/>
  <c r="Q2121" i="10" s="1"/>
  <c r="R2121" i="10" s="1"/>
  <c r="S2121" i="10" s="1"/>
  <c r="T2121" i="10" s="1"/>
  <c r="U2121" i="10" s="1"/>
  <c r="V2121" i="10" s="1"/>
  <c r="D2123" i="10" l="1"/>
  <c r="M2122" i="10"/>
  <c r="N2122" i="10" s="1"/>
  <c r="O2122" i="10" s="1"/>
  <c r="P2122" i="10" s="1"/>
  <c r="Q2122" i="10" s="1"/>
  <c r="R2122" i="10" s="1"/>
  <c r="S2122" i="10" s="1"/>
  <c r="T2122" i="10" s="1"/>
  <c r="U2122" i="10" s="1"/>
  <c r="V2122" i="10" s="1"/>
  <c r="D2124" i="10" l="1"/>
  <c r="M2123" i="10"/>
  <c r="N2123" i="10" s="1"/>
  <c r="O2123" i="10" s="1"/>
  <c r="P2123" i="10" s="1"/>
  <c r="Q2123" i="10" s="1"/>
  <c r="R2123" i="10" s="1"/>
  <c r="S2123" i="10" s="1"/>
  <c r="T2123" i="10" s="1"/>
  <c r="U2123" i="10" s="1"/>
  <c r="V2123" i="10" s="1"/>
  <c r="D2125" i="10" l="1"/>
  <c r="M2124" i="10"/>
  <c r="N2124" i="10" s="1"/>
  <c r="O2124" i="10" s="1"/>
  <c r="P2124" i="10" s="1"/>
  <c r="Q2124" i="10" s="1"/>
  <c r="R2124" i="10" s="1"/>
  <c r="S2124" i="10" s="1"/>
  <c r="T2124" i="10" s="1"/>
  <c r="U2124" i="10" s="1"/>
  <c r="V2124" i="10" s="1"/>
  <c r="D2126" i="10" l="1"/>
  <c r="M2125" i="10"/>
  <c r="N2125" i="10" s="1"/>
  <c r="O2125" i="10" s="1"/>
  <c r="P2125" i="10" s="1"/>
  <c r="Q2125" i="10" s="1"/>
  <c r="R2125" i="10" s="1"/>
  <c r="S2125" i="10" s="1"/>
  <c r="T2125" i="10" s="1"/>
  <c r="U2125" i="10" s="1"/>
  <c r="V2125" i="10" s="1"/>
  <c r="D2127" i="10" l="1"/>
  <c r="M2126" i="10"/>
  <c r="N2126" i="10" s="1"/>
  <c r="O2126" i="10" s="1"/>
  <c r="P2126" i="10" s="1"/>
  <c r="Q2126" i="10" s="1"/>
  <c r="R2126" i="10" s="1"/>
  <c r="S2126" i="10" s="1"/>
  <c r="T2126" i="10" s="1"/>
  <c r="U2126" i="10" s="1"/>
  <c r="V2126" i="10" s="1"/>
  <c r="D2128" i="10" l="1"/>
  <c r="M2127" i="10"/>
  <c r="N2127" i="10" s="1"/>
  <c r="O2127" i="10" s="1"/>
  <c r="P2127" i="10" s="1"/>
  <c r="Q2127" i="10" s="1"/>
  <c r="R2127" i="10" s="1"/>
  <c r="S2127" i="10" s="1"/>
  <c r="T2127" i="10" s="1"/>
  <c r="U2127" i="10" s="1"/>
  <c r="V2127" i="10" s="1"/>
  <c r="D2129" i="10" l="1"/>
  <c r="M2128" i="10"/>
  <c r="N2128" i="10" s="1"/>
  <c r="O2128" i="10" s="1"/>
  <c r="P2128" i="10" s="1"/>
  <c r="Q2128" i="10" s="1"/>
  <c r="R2128" i="10" s="1"/>
  <c r="S2128" i="10" s="1"/>
  <c r="T2128" i="10" s="1"/>
  <c r="U2128" i="10" s="1"/>
  <c r="V2128" i="10" s="1"/>
  <c r="D2130" i="10" l="1"/>
  <c r="M2129" i="10"/>
  <c r="N2129" i="10" s="1"/>
  <c r="O2129" i="10" s="1"/>
  <c r="P2129" i="10" s="1"/>
  <c r="Q2129" i="10" s="1"/>
  <c r="R2129" i="10" s="1"/>
  <c r="S2129" i="10" s="1"/>
  <c r="T2129" i="10" s="1"/>
  <c r="U2129" i="10" s="1"/>
  <c r="V2129" i="10" s="1"/>
  <c r="D2131" i="10" l="1"/>
  <c r="M2130" i="10"/>
  <c r="N2130" i="10" s="1"/>
  <c r="O2130" i="10" s="1"/>
  <c r="P2130" i="10" s="1"/>
  <c r="Q2130" i="10" s="1"/>
  <c r="R2130" i="10" s="1"/>
  <c r="S2130" i="10" s="1"/>
  <c r="T2130" i="10" s="1"/>
  <c r="U2130" i="10" s="1"/>
  <c r="V2130" i="10" s="1"/>
  <c r="D2132" i="10" l="1"/>
  <c r="M2131" i="10"/>
  <c r="N2131" i="10" s="1"/>
  <c r="O2131" i="10" s="1"/>
  <c r="P2131" i="10" s="1"/>
  <c r="Q2131" i="10" s="1"/>
  <c r="R2131" i="10" s="1"/>
  <c r="S2131" i="10" s="1"/>
  <c r="T2131" i="10" s="1"/>
  <c r="U2131" i="10" s="1"/>
  <c r="V2131" i="10" s="1"/>
  <c r="D2133" i="10" l="1"/>
  <c r="M2132" i="10"/>
  <c r="N2132" i="10" s="1"/>
  <c r="O2132" i="10" s="1"/>
  <c r="P2132" i="10" s="1"/>
  <c r="Q2132" i="10" s="1"/>
  <c r="R2132" i="10" s="1"/>
  <c r="S2132" i="10" s="1"/>
  <c r="T2132" i="10" s="1"/>
  <c r="U2132" i="10" s="1"/>
  <c r="V2132" i="10" s="1"/>
  <c r="D2134" i="10" l="1"/>
  <c r="M2133" i="10"/>
  <c r="N2133" i="10" s="1"/>
  <c r="O2133" i="10" s="1"/>
  <c r="P2133" i="10" s="1"/>
  <c r="Q2133" i="10" s="1"/>
  <c r="R2133" i="10" s="1"/>
  <c r="S2133" i="10" s="1"/>
  <c r="T2133" i="10" s="1"/>
  <c r="U2133" i="10" s="1"/>
  <c r="V2133" i="10" s="1"/>
  <c r="D2135" i="10" l="1"/>
  <c r="M2134" i="10"/>
  <c r="N2134" i="10" s="1"/>
  <c r="O2134" i="10" s="1"/>
  <c r="P2134" i="10" s="1"/>
  <c r="Q2134" i="10" s="1"/>
  <c r="R2134" i="10" s="1"/>
  <c r="S2134" i="10" s="1"/>
  <c r="T2134" i="10" s="1"/>
  <c r="U2134" i="10" s="1"/>
  <c r="V2134" i="10" s="1"/>
  <c r="D2136" i="10" l="1"/>
  <c r="M2135" i="10"/>
  <c r="N2135" i="10" s="1"/>
  <c r="O2135" i="10" s="1"/>
  <c r="P2135" i="10" s="1"/>
  <c r="Q2135" i="10" s="1"/>
  <c r="R2135" i="10" s="1"/>
  <c r="S2135" i="10" s="1"/>
  <c r="T2135" i="10" s="1"/>
  <c r="U2135" i="10" s="1"/>
  <c r="V2135" i="10" s="1"/>
  <c r="D2137" i="10" l="1"/>
  <c r="M2136" i="10"/>
  <c r="N2136" i="10" s="1"/>
  <c r="O2136" i="10" s="1"/>
  <c r="P2136" i="10" s="1"/>
  <c r="Q2136" i="10" s="1"/>
  <c r="R2136" i="10" s="1"/>
  <c r="S2136" i="10" s="1"/>
  <c r="T2136" i="10" s="1"/>
  <c r="U2136" i="10" s="1"/>
  <c r="V2136" i="10" s="1"/>
  <c r="D2138" i="10" l="1"/>
  <c r="M2137" i="10"/>
  <c r="N2137" i="10" s="1"/>
  <c r="O2137" i="10" s="1"/>
  <c r="P2137" i="10" s="1"/>
  <c r="Q2137" i="10" s="1"/>
  <c r="R2137" i="10" s="1"/>
  <c r="S2137" i="10" s="1"/>
  <c r="T2137" i="10" s="1"/>
  <c r="U2137" i="10" s="1"/>
  <c r="V2137" i="10" s="1"/>
  <c r="D2139" i="10" l="1"/>
  <c r="M2138" i="10"/>
  <c r="N2138" i="10" s="1"/>
  <c r="O2138" i="10" s="1"/>
  <c r="P2138" i="10" s="1"/>
  <c r="Q2138" i="10" s="1"/>
  <c r="R2138" i="10" s="1"/>
  <c r="S2138" i="10" s="1"/>
  <c r="T2138" i="10" s="1"/>
  <c r="U2138" i="10" s="1"/>
  <c r="V2138" i="10" s="1"/>
  <c r="D2140" i="10" l="1"/>
  <c r="M2139" i="10"/>
  <c r="N2139" i="10" s="1"/>
  <c r="O2139" i="10" s="1"/>
  <c r="P2139" i="10" s="1"/>
  <c r="Q2139" i="10" s="1"/>
  <c r="R2139" i="10" s="1"/>
  <c r="S2139" i="10" s="1"/>
  <c r="T2139" i="10" s="1"/>
  <c r="U2139" i="10" s="1"/>
  <c r="V2139" i="10" s="1"/>
  <c r="D2141" i="10" l="1"/>
  <c r="M2140" i="10"/>
  <c r="N2140" i="10" s="1"/>
  <c r="O2140" i="10" s="1"/>
  <c r="P2140" i="10" s="1"/>
  <c r="Q2140" i="10" s="1"/>
  <c r="R2140" i="10" s="1"/>
  <c r="S2140" i="10" s="1"/>
  <c r="T2140" i="10" s="1"/>
  <c r="U2140" i="10" s="1"/>
  <c r="V2140" i="10" s="1"/>
  <c r="D2142" i="10" l="1"/>
  <c r="M2141" i="10"/>
  <c r="N2141" i="10" s="1"/>
  <c r="O2141" i="10" s="1"/>
  <c r="P2141" i="10" s="1"/>
  <c r="Q2141" i="10" s="1"/>
  <c r="R2141" i="10" s="1"/>
  <c r="S2141" i="10" s="1"/>
  <c r="T2141" i="10" s="1"/>
  <c r="U2141" i="10" s="1"/>
  <c r="V2141" i="10" s="1"/>
  <c r="D2143" i="10" l="1"/>
  <c r="M2142" i="10"/>
  <c r="N2142" i="10" s="1"/>
  <c r="O2142" i="10" s="1"/>
  <c r="P2142" i="10" s="1"/>
  <c r="Q2142" i="10" s="1"/>
  <c r="R2142" i="10" s="1"/>
  <c r="S2142" i="10" s="1"/>
  <c r="T2142" i="10" s="1"/>
  <c r="U2142" i="10" s="1"/>
  <c r="V2142" i="10" s="1"/>
  <c r="D2144" i="10" l="1"/>
  <c r="M2143" i="10"/>
  <c r="N2143" i="10" s="1"/>
  <c r="O2143" i="10" s="1"/>
  <c r="P2143" i="10" s="1"/>
  <c r="Q2143" i="10" s="1"/>
  <c r="R2143" i="10" s="1"/>
  <c r="S2143" i="10" s="1"/>
  <c r="T2143" i="10" s="1"/>
  <c r="U2143" i="10" s="1"/>
  <c r="V2143" i="10" s="1"/>
  <c r="D2145" i="10" l="1"/>
  <c r="M2144" i="10"/>
  <c r="N2144" i="10" s="1"/>
  <c r="O2144" i="10" s="1"/>
  <c r="P2144" i="10" s="1"/>
  <c r="Q2144" i="10" s="1"/>
  <c r="R2144" i="10" s="1"/>
  <c r="S2144" i="10" s="1"/>
  <c r="T2144" i="10" s="1"/>
  <c r="U2144" i="10" s="1"/>
  <c r="V2144" i="10" s="1"/>
  <c r="D2146" i="10" l="1"/>
  <c r="M2145" i="10"/>
  <c r="N2145" i="10" s="1"/>
  <c r="O2145" i="10" s="1"/>
  <c r="P2145" i="10" s="1"/>
  <c r="Q2145" i="10" s="1"/>
  <c r="R2145" i="10" s="1"/>
  <c r="S2145" i="10" s="1"/>
  <c r="T2145" i="10" s="1"/>
  <c r="U2145" i="10" s="1"/>
  <c r="V2145" i="10" s="1"/>
  <c r="D2147" i="10" l="1"/>
  <c r="M2146" i="10"/>
  <c r="N2146" i="10" s="1"/>
  <c r="O2146" i="10" s="1"/>
  <c r="P2146" i="10" s="1"/>
  <c r="Q2146" i="10" s="1"/>
  <c r="R2146" i="10" s="1"/>
  <c r="S2146" i="10" s="1"/>
  <c r="T2146" i="10" s="1"/>
  <c r="U2146" i="10" s="1"/>
  <c r="V2146" i="10" s="1"/>
  <c r="D2148" i="10" l="1"/>
  <c r="M2147" i="10"/>
  <c r="N2147" i="10" s="1"/>
  <c r="O2147" i="10" s="1"/>
  <c r="P2147" i="10" s="1"/>
  <c r="Q2147" i="10" s="1"/>
  <c r="R2147" i="10" s="1"/>
  <c r="S2147" i="10" s="1"/>
  <c r="T2147" i="10" s="1"/>
  <c r="U2147" i="10" s="1"/>
  <c r="V2147" i="10" s="1"/>
  <c r="D2149" i="10" l="1"/>
  <c r="M2148" i="10"/>
  <c r="N2148" i="10" s="1"/>
  <c r="O2148" i="10" s="1"/>
  <c r="P2148" i="10" s="1"/>
  <c r="Q2148" i="10" s="1"/>
  <c r="R2148" i="10" s="1"/>
  <c r="S2148" i="10" s="1"/>
  <c r="T2148" i="10" s="1"/>
  <c r="U2148" i="10" s="1"/>
  <c r="V2148" i="10" s="1"/>
  <c r="D2150" i="10" l="1"/>
  <c r="M2149" i="10"/>
  <c r="N2149" i="10" s="1"/>
  <c r="O2149" i="10" s="1"/>
  <c r="P2149" i="10" s="1"/>
  <c r="Q2149" i="10" s="1"/>
  <c r="R2149" i="10" s="1"/>
  <c r="S2149" i="10" s="1"/>
  <c r="T2149" i="10" s="1"/>
  <c r="U2149" i="10" s="1"/>
  <c r="V2149" i="10" s="1"/>
  <c r="D2151" i="10" l="1"/>
  <c r="M2150" i="10"/>
  <c r="N2150" i="10" s="1"/>
  <c r="O2150" i="10" s="1"/>
  <c r="P2150" i="10" s="1"/>
  <c r="Q2150" i="10" s="1"/>
  <c r="R2150" i="10" s="1"/>
  <c r="S2150" i="10" s="1"/>
  <c r="T2150" i="10" s="1"/>
  <c r="U2150" i="10" s="1"/>
  <c r="V2150" i="10" s="1"/>
  <c r="D2152" i="10" l="1"/>
  <c r="M2151" i="10"/>
  <c r="N2151" i="10" s="1"/>
  <c r="O2151" i="10" s="1"/>
  <c r="P2151" i="10" s="1"/>
  <c r="Q2151" i="10" s="1"/>
  <c r="R2151" i="10" s="1"/>
  <c r="S2151" i="10" s="1"/>
  <c r="T2151" i="10" s="1"/>
  <c r="U2151" i="10" s="1"/>
  <c r="V2151" i="10" s="1"/>
  <c r="D2153" i="10" l="1"/>
  <c r="M2152" i="10"/>
  <c r="N2152" i="10" s="1"/>
  <c r="O2152" i="10" s="1"/>
  <c r="P2152" i="10" s="1"/>
  <c r="Q2152" i="10" s="1"/>
  <c r="R2152" i="10" s="1"/>
  <c r="S2152" i="10" s="1"/>
  <c r="T2152" i="10" s="1"/>
  <c r="U2152" i="10" s="1"/>
  <c r="V2152" i="10" s="1"/>
  <c r="D2154" i="10" l="1"/>
  <c r="M2153" i="10"/>
  <c r="N2153" i="10" s="1"/>
  <c r="O2153" i="10" s="1"/>
  <c r="P2153" i="10" s="1"/>
  <c r="Q2153" i="10" s="1"/>
  <c r="R2153" i="10" s="1"/>
  <c r="S2153" i="10" s="1"/>
  <c r="T2153" i="10" s="1"/>
  <c r="U2153" i="10" s="1"/>
  <c r="V2153" i="10" s="1"/>
  <c r="D2155" i="10" l="1"/>
  <c r="M2154" i="10"/>
  <c r="N2154" i="10" s="1"/>
  <c r="O2154" i="10" s="1"/>
  <c r="P2154" i="10" s="1"/>
  <c r="Q2154" i="10" s="1"/>
  <c r="R2154" i="10" s="1"/>
  <c r="S2154" i="10" s="1"/>
  <c r="T2154" i="10" s="1"/>
  <c r="U2154" i="10" s="1"/>
  <c r="V2154" i="10" s="1"/>
  <c r="D2156" i="10" l="1"/>
  <c r="M2155" i="10"/>
  <c r="N2155" i="10" s="1"/>
  <c r="O2155" i="10" s="1"/>
  <c r="P2155" i="10" s="1"/>
  <c r="Q2155" i="10" s="1"/>
  <c r="R2155" i="10" s="1"/>
  <c r="S2155" i="10" s="1"/>
  <c r="T2155" i="10" s="1"/>
  <c r="U2155" i="10" s="1"/>
  <c r="V2155" i="10" s="1"/>
  <c r="D2157" i="10" l="1"/>
  <c r="M2156" i="10"/>
  <c r="N2156" i="10" s="1"/>
  <c r="O2156" i="10" s="1"/>
  <c r="P2156" i="10" s="1"/>
  <c r="Q2156" i="10" s="1"/>
  <c r="R2156" i="10" s="1"/>
  <c r="S2156" i="10" s="1"/>
  <c r="T2156" i="10" s="1"/>
  <c r="U2156" i="10" s="1"/>
  <c r="V2156" i="10" s="1"/>
  <c r="D2158" i="10" l="1"/>
  <c r="M2157" i="10"/>
  <c r="N2157" i="10" s="1"/>
  <c r="O2157" i="10" s="1"/>
  <c r="P2157" i="10" s="1"/>
  <c r="Q2157" i="10" s="1"/>
  <c r="R2157" i="10" s="1"/>
  <c r="S2157" i="10" s="1"/>
  <c r="T2157" i="10" s="1"/>
  <c r="U2157" i="10" s="1"/>
  <c r="V2157" i="10" s="1"/>
  <c r="D2159" i="10" l="1"/>
  <c r="M2158" i="10"/>
  <c r="N2158" i="10" s="1"/>
  <c r="O2158" i="10" s="1"/>
  <c r="P2158" i="10" s="1"/>
  <c r="Q2158" i="10" s="1"/>
  <c r="R2158" i="10" s="1"/>
  <c r="S2158" i="10" s="1"/>
  <c r="T2158" i="10" s="1"/>
  <c r="U2158" i="10" s="1"/>
  <c r="V2158" i="10" s="1"/>
  <c r="D2160" i="10" l="1"/>
  <c r="M2159" i="10"/>
  <c r="N2159" i="10" s="1"/>
  <c r="O2159" i="10" s="1"/>
  <c r="P2159" i="10" s="1"/>
  <c r="Q2159" i="10" s="1"/>
  <c r="R2159" i="10" s="1"/>
  <c r="S2159" i="10" s="1"/>
  <c r="T2159" i="10" s="1"/>
  <c r="U2159" i="10" s="1"/>
  <c r="V2159" i="10" s="1"/>
  <c r="D2161" i="10" l="1"/>
  <c r="M2160" i="10"/>
  <c r="N2160" i="10" s="1"/>
  <c r="O2160" i="10" s="1"/>
  <c r="P2160" i="10" s="1"/>
  <c r="Q2160" i="10" s="1"/>
  <c r="R2160" i="10" s="1"/>
  <c r="S2160" i="10" s="1"/>
  <c r="T2160" i="10" s="1"/>
  <c r="U2160" i="10" s="1"/>
  <c r="V2160" i="10" s="1"/>
  <c r="D2162" i="10" l="1"/>
  <c r="M2161" i="10"/>
  <c r="N2161" i="10" s="1"/>
  <c r="O2161" i="10" s="1"/>
  <c r="P2161" i="10" s="1"/>
  <c r="Q2161" i="10" s="1"/>
  <c r="R2161" i="10" s="1"/>
  <c r="S2161" i="10" s="1"/>
  <c r="T2161" i="10" s="1"/>
  <c r="U2161" i="10" s="1"/>
  <c r="V2161" i="10" s="1"/>
  <c r="D2163" i="10" l="1"/>
  <c r="M2162" i="10"/>
  <c r="N2162" i="10" s="1"/>
  <c r="O2162" i="10" s="1"/>
  <c r="P2162" i="10" s="1"/>
  <c r="Q2162" i="10" s="1"/>
  <c r="R2162" i="10" s="1"/>
  <c r="S2162" i="10" s="1"/>
  <c r="T2162" i="10" s="1"/>
  <c r="U2162" i="10" s="1"/>
  <c r="V2162" i="10" s="1"/>
  <c r="D2164" i="10" l="1"/>
  <c r="M2163" i="10"/>
  <c r="N2163" i="10" s="1"/>
  <c r="O2163" i="10" s="1"/>
  <c r="P2163" i="10" s="1"/>
  <c r="Q2163" i="10" s="1"/>
  <c r="R2163" i="10" s="1"/>
  <c r="S2163" i="10" s="1"/>
  <c r="T2163" i="10" s="1"/>
  <c r="U2163" i="10" s="1"/>
  <c r="V2163" i="10" s="1"/>
  <c r="D2165" i="10" l="1"/>
  <c r="M2164" i="10"/>
  <c r="N2164" i="10" s="1"/>
  <c r="O2164" i="10" s="1"/>
  <c r="P2164" i="10" s="1"/>
  <c r="Q2164" i="10" s="1"/>
  <c r="R2164" i="10" s="1"/>
  <c r="S2164" i="10" s="1"/>
  <c r="T2164" i="10" s="1"/>
  <c r="U2164" i="10" s="1"/>
  <c r="V2164" i="10" s="1"/>
  <c r="D2166" i="10" l="1"/>
  <c r="M2165" i="10"/>
  <c r="N2165" i="10" s="1"/>
  <c r="O2165" i="10" s="1"/>
  <c r="P2165" i="10" s="1"/>
  <c r="Q2165" i="10" s="1"/>
  <c r="R2165" i="10" s="1"/>
  <c r="S2165" i="10" s="1"/>
  <c r="T2165" i="10" s="1"/>
  <c r="U2165" i="10" s="1"/>
  <c r="V2165" i="10" s="1"/>
  <c r="D2167" i="10" l="1"/>
  <c r="M2166" i="10"/>
  <c r="N2166" i="10" s="1"/>
  <c r="O2166" i="10" s="1"/>
  <c r="P2166" i="10" s="1"/>
  <c r="Q2166" i="10" s="1"/>
  <c r="R2166" i="10" s="1"/>
  <c r="S2166" i="10" s="1"/>
  <c r="T2166" i="10" s="1"/>
  <c r="U2166" i="10" s="1"/>
  <c r="V2166" i="10" s="1"/>
  <c r="D2168" i="10" l="1"/>
  <c r="M2167" i="10"/>
  <c r="N2167" i="10" s="1"/>
  <c r="O2167" i="10" s="1"/>
  <c r="P2167" i="10" s="1"/>
  <c r="Q2167" i="10" s="1"/>
  <c r="R2167" i="10" s="1"/>
  <c r="S2167" i="10" s="1"/>
  <c r="T2167" i="10" s="1"/>
  <c r="U2167" i="10" s="1"/>
  <c r="V2167" i="10" s="1"/>
  <c r="D2169" i="10" l="1"/>
  <c r="M2168" i="10"/>
  <c r="N2168" i="10" s="1"/>
  <c r="O2168" i="10" s="1"/>
  <c r="P2168" i="10" s="1"/>
  <c r="Q2168" i="10" s="1"/>
  <c r="R2168" i="10" s="1"/>
  <c r="S2168" i="10" s="1"/>
  <c r="T2168" i="10" s="1"/>
  <c r="U2168" i="10" s="1"/>
  <c r="V2168" i="10" s="1"/>
  <c r="D2170" i="10" l="1"/>
  <c r="M2169" i="10"/>
  <c r="N2169" i="10" s="1"/>
  <c r="O2169" i="10" s="1"/>
  <c r="P2169" i="10" s="1"/>
  <c r="Q2169" i="10" s="1"/>
  <c r="R2169" i="10" s="1"/>
  <c r="S2169" i="10" s="1"/>
  <c r="T2169" i="10" s="1"/>
  <c r="U2169" i="10" s="1"/>
  <c r="V2169" i="10" s="1"/>
  <c r="D2171" i="10" l="1"/>
  <c r="M2170" i="10"/>
  <c r="N2170" i="10" s="1"/>
  <c r="O2170" i="10" s="1"/>
  <c r="P2170" i="10" s="1"/>
  <c r="Q2170" i="10" s="1"/>
  <c r="R2170" i="10" s="1"/>
  <c r="S2170" i="10" s="1"/>
  <c r="T2170" i="10" s="1"/>
  <c r="U2170" i="10" s="1"/>
  <c r="V2170" i="10" s="1"/>
  <c r="D2172" i="10" l="1"/>
  <c r="M2171" i="10"/>
  <c r="N2171" i="10" s="1"/>
  <c r="O2171" i="10" s="1"/>
  <c r="P2171" i="10" s="1"/>
  <c r="Q2171" i="10" s="1"/>
  <c r="R2171" i="10" s="1"/>
  <c r="S2171" i="10" s="1"/>
  <c r="T2171" i="10" s="1"/>
  <c r="U2171" i="10" s="1"/>
  <c r="V2171" i="10" s="1"/>
  <c r="D2173" i="10" l="1"/>
  <c r="M2172" i="10"/>
  <c r="N2172" i="10" s="1"/>
  <c r="O2172" i="10" s="1"/>
  <c r="P2172" i="10" s="1"/>
  <c r="Q2172" i="10" s="1"/>
  <c r="R2172" i="10" s="1"/>
  <c r="S2172" i="10" s="1"/>
  <c r="T2172" i="10" s="1"/>
  <c r="U2172" i="10" s="1"/>
  <c r="V2172" i="10" s="1"/>
  <c r="D2174" i="10" l="1"/>
  <c r="M2173" i="10"/>
  <c r="N2173" i="10" s="1"/>
  <c r="O2173" i="10" s="1"/>
  <c r="P2173" i="10" s="1"/>
  <c r="Q2173" i="10" s="1"/>
  <c r="R2173" i="10" s="1"/>
  <c r="S2173" i="10" s="1"/>
  <c r="T2173" i="10" s="1"/>
  <c r="U2173" i="10" s="1"/>
  <c r="V2173" i="10" s="1"/>
  <c r="D2175" i="10" l="1"/>
  <c r="M2174" i="10"/>
  <c r="N2174" i="10" s="1"/>
  <c r="O2174" i="10" s="1"/>
  <c r="P2174" i="10" s="1"/>
  <c r="Q2174" i="10" s="1"/>
  <c r="R2174" i="10" s="1"/>
  <c r="S2174" i="10" s="1"/>
  <c r="T2174" i="10" s="1"/>
  <c r="U2174" i="10" s="1"/>
  <c r="V2174" i="10" s="1"/>
  <c r="D2176" i="10" l="1"/>
  <c r="M2175" i="10"/>
  <c r="N2175" i="10" s="1"/>
  <c r="O2175" i="10" s="1"/>
  <c r="P2175" i="10" s="1"/>
  <c r="Q2175" i="10" s="1"/>
  <c r="R2175" i="10" s="1"/>
  <c r="S2175" i="10" s="1"/>
  <c r="T2175" i="10" s="1"/>
  <c r="U2175" i="10" s="1"/>
  <c r="V2175" i="10" s="1"/>
  <c r="D2177" i="10" l="1"/>
  <c r="M2176" i="10"/>
  <c r="N2176" i="10" s="1"/>
  <c r="O2176" i="10" s="1"/>
  <c r="P2176" i="10" s="1"/>
  <c r="Q2176" i="10" s="1"/>
  <c r="R2176" i="10" s="1"/>
  <c r="S2176" i="10" s="1"/>
  <c r="T2176" i="10" s="1"/>
  <c r="U2176" i="10" s="1"/>
  <c r="V2176" i="10" s="1"/>
  <c r="D2178" i="10" l="1"/>
  <c r="M2177" i="10"/>
  <c r="N2177" i="10" s="1"/>
  <c r="O2177" i="10" s="1"/>
  <c r="P2177" i="10" s="1"/>
  <c r="Q2177" i="10" s="1"/>
  <c r="R2177" i="10" s="1"/>
  <c r="S2177" i="10" s="1"/>
  <c r="T2177" i="10" s="1"/>
  <c r="U2177" i="10" s="1"/>
  <c r="V2177" i="10" s="1"/>
  <c r="D2179" i="10" l="1"/>
  <c r="M2178" i="10"/>
  <c r="N2178" i="10" s="1"/>
  <c r="O2178" i="10" s="1"/>
  <c r="P2178" i="10" s="1"/>
  <c r="Q2178" i="10" s="1"/>
  <c r="R2178" i="10" s="1"/>
  <c r="S2178" i="10" s="1"/>
  <c r="T2178" i="10" s="1"/>
  <c r="U2178" i="10" s="1"/>
  <c r="V2178" i="10" s="1"/>
  <c r="D2180" i="10" l="1"/>
  <c r="M2179" i="10"/>
  <c r="N2179" i="10" s="1"/>
  <c r="O2179" i="10" s="1"/>
  <c r="P2179" i="10" s="1"/>
  <c r="Q2179" i="10" s="1"/>
  <c r="R2179" i="10" s="1"/>
  <c r="S2179" i="10" s="1"/>
  <c r="T2179" i="10" s="1"/>
  <c r="U2179" i="10" s="1"/>
  <c r="V2179" i="10" s="1"/>
  <c r="D2181" i="10" l="1"/>
  <c r="M2180" i="10"/>
  <c r="N2180" i="10" s="1"/>
  <c r="O2180" i="10" s="1"/>
  <c r="P2180" i="10" s="1"/>
  <c r="Q2180" i="10" s="1"/>
  <c r="R2180" i="10" s="1"/>
  <c r="S2180" i="10" s="1"/>
  <c r="T2180" i="10" s="1"/>
  <c r="U2180" i="10" s="1"/>
  <c r="V2180" i="10" s="1"/>
  <c r="D2182" i="10" l="1"/>
  <c r="M2181" i="10"/>
  <c r="N2181" i="10" s="1"/>
  <c r="O2181" i="10" s="1"/>
  <c r="P2181" i="10" s="1"/>
  <c r="Q2181" i="10" s="1"/>
  <c r="R2181" i="10" s="1"/>
  <c r="S2181" i="10" s="1"/>
  <c r="T2181" i="10" s="1"/>
  <c r="U2181" i="10" s="1"/>
  <c r="V2181" i="10" s="1"/>
  <c r="D2183" i="10" l="1"/>
  <c r="M2182" i="10"/>
  <c r="N2182" i="10" s="1"/>
  <c r="O2182" i="10" s="1"/>
  <c r="P2182" i="10" s="1"/>
  <c r="Q2182" i="10" s="1"/>
  <c r="R2182" i="10" s="1"/>
  <c r="S2182" i="10" s="1"/>
  <c r="T2182" i="10" s="1"/>
  <c r="U2182" i="10" s="1"/>
  <c r="V2182" i="10" s="1"/>
  <c r="D2184" i="10" l="1"/>
  <c r="M2183" i="10"/>
  <c r="N2183" i="10" s="1"/>
  <c r="O2183" i="10" s="1"/>
  <c r="P2183" i="10" s="1"/>
  <c r="Q2183" i="10" s="1"/>
  <c r="R2183" i="10" s="1"/>
  <c r="S2183" i="10" s="1"/>
  <c r="T2183" i="10" s="1"/>
  <c r="U2183" i="10" s="1"/>
  <c r="V2183" i="10" s="1"/>
  <c r="D2185" i="10" l="1"/>
  <c r="M2184" i="10"/>
  <c r="N2184" i="10" s="1"/>
  <c r="O2184" i="10" s="1"/>
  <c r="P2184" i="10" s="1"/>
  <c r="Q2184" i="10" s="1"/>
  <c r="R2184" i="10" s="1"/>
  <c r="S2184" i="10" s="1"/>
  <c r="T2184" i="10" s="1"/>
  <c r="U2184" i="10" s="1"/>
  <c r="V2184" i="10" s="1"/>
  <c r="D2186" i="10" l="1"/>
  <c r="M2185" i="10"/>
  <c r="N2185" i="10" s="1"/>
  <c r="O2185" i="10" s="1"/>
  <c r="P2185" i="10" s="1"/>
  <c r="Q2185" i="10" s="1"/>
  <c r="R2185" i="10" s="1"/>
  <c r="S2185" i="10" s="1"/>
  <c r="T2185" i="10" s="1"/>
  <c r="U2185" i="10" s="1"/>
  <c r="V2185" i="10" s="1"/>
  <c r="D2187" i="10" l="1"/>
  <c r="M2186" i="10"/>
  <c r="N2186" i="10" s="1"/>
  <c r="O2186" i="10" s="1"/>
  <c r="P2186" i="10" s="1"/>
  <c r="Q2186" i="10" s="1"/>
  <c r="R2186" i="10" s="1"/>
  <c r="S2186" i="10" s="1"/>
  <c r="T2186" i="10" s="1"/>
  <c r="U2186" i="10" s="1"/>
  <c r="V2186" i="10" s="1"/>
  <c r="D2188" i="10" l="1"/>
  <c r="M2187" i="10"/>
  <c r="N2187" i="10" s="1"/>
  <c r="O2187" i="10" s="1"/>
  <c r="P2187" i="10" s="1"/>
  <c r="Q2187" i="10" s="1"/>
  <c r="R2187" i="10" s="1"/>
  <c r="S2187" i="10" s="1"/>
  <c r="T2187" i="10" s="1"/>
  <c r="U2187" i="10" s="1"/>
  <c r="V2187" i="10" s="1"/>
  <c r="D2189" i="10" l="1"/>
  <c r="M2188" i="10"/>
  <c r="N2188" i="10" s="1"/>
  <c r="O2188" i="10" s="1"/>
  <c r="P2188" i="10" s="1"/>
  <c r="Q2188" i="10" s="1"/>
  <c r="R2188" i="10" s="1"/>
  <c r="S2188" i="10" s="1"/>
  <c r="T2188" i="10" s="1"/>
  <c r="U2188" i="10" s="1"/>
  <c r="V2188" i="10" s="1"/>
  <c r="D2190" i="10" l="1"/>
  <c r="M2189" i="10"/>
  <c r="N2189" i="10" s="1"/>
  <c r="O2189" i="10" s="1"/>
  <c r="P2189" i="10" s="1"/>
  <c r="Q2189" i="10" s="1"/>
  <c r="R2189" i="10" s="1"/>
  <c r="S2189" i="10" s="1"/>
  <c r="T2189" i="10" s="1"/>
  <c r="U2189" i="10" s="1"/>
  <c r="V2189" i="10" s="1"/>
  <c r="D2191" i="10" l="1"/>
  <c r="M2190" i="10"/>
  <c r="N2190" i="10" s="1"/>
  <c r="O2190" i="10" s="1"/>
  <c r="P2190" i="10" s="1"/>
  <c r="Q2190" i="10" s="1"/>
  <c r="R2190" i="10" s="1"/>
  <c r="S2190" i="10" s="1"/>
  <c r="T2190" i="10" s="1"/>
  <c r="U2190" i="10" s="1"/>
  <c r="V2190" i="10" s="1"/>
  <c r="D2192" i="10" l="1"/>
  <c r="M2191" i="10"/>
  <c r="N2191" i="10" s="1"/>
  <c r="O2191" i="10" s="1"/>
  <c r="P2191" i="10" s="1"/>
  <c r="Q2191" i="10" s="1"/>
  <c r="R2191" i="10" s="1"/>
  <c r="S2191" i="10" s="1"/>
  <c r="T2191" i="10" s="1"/>
  <c r="U2191" i="10" s="1"/>
  <c r="V2191" i="10" s="1"/>
  <c r="D2193" i="10" l="1"/>
  <c r="M2192" i="10"/>
  <c r="N2192" i="10" s="1"/>
  <c r="O2192" i="10" s="1"/>
  <c r="P2192" i="10" s="1"/>
  <c r="Q2192" i="10" s="1"/>
  <c r="R2192" i="10" s="1"/>
  <c r="S2192" i="10" s="1"/>
  <c r="T2192" i="10" s="1"/>
  <c r="U2192" i="10" s="1"/>
  <c r="V2192" i="10" s="1"/>
  <c r="D2194" i="10" l="1"/>
  <c r="M2193" i="10"/>
  <c r="N2193" i="10" s="1"/>
  <c r="O2193" i="10" s="1"/>
  <c r="P2193" i="10" s="1"/>
  <c r="Q2193" i="10" s="1"/>
  <c r="R2193" i="10" s="1"/>
  <c r="S2193" i="10" s="1"/>
  <c r="T2193" i="10" s="1"/>
  <c r="U2193" i="10" s="1"/>
  <c r="V2193" i="10" s="1"/>
  <c r="D2195" i="10" l="1"/>
  <c r="M2194" i="10"/>
  <c r="N2194" i="10" s="1"/>
  <c r="O2194" i="10" s="1"/>
  <c r="P2194" i="10" s="1"/>
  <c r="Q2194" i="10" s="1"/>
  <c r="R2194" i="10" s="1"/>
  <c r="S2194" i="10" s="1"/>
  <c r="T2194" i="10" s="1"/>
  <c r="U2194" i="10" s="1"/>
  <c r="V2194" i="10" s="1"/>
  <c r="D2196" i="10" l="1"/>
  <c r="M2195" i="10"/>
  <c r="N2195" i="10" s="1"/>
  <c r="O2195" i="10" s="1"/>
  <c r="P2195" i="10" s="1"/>
  <c r="Q2195" i="10" s="1"/>
  <c r="R2195" i="10" s="1"/>
  <c r="S2195" i="10" s="1"/>
  <c r="T2195" i="10" s="1"/>
  <c r="U2195" i="10" s="1"/>
  <c r="V2195" i="10" s="1"/>
  <c r="D2197" i="10" l="1"/>
  <c r="M2196" i="10"/>
  <c r="N2196" i="10" s="1"/>
  <c r="O2196" i="10" s="1"/>
  <c r="P2196" i="10" s="1"/>
  <c r="Q2196" i="10" s="1"/>
  <c r="R2196" i="10" s="1"/>
  <c r="S2196" i="10" s="1"/>
  <c r="T2196" i="10" s="1"/>
  <c r="U2196" i="10" s="1"/>
  <c r="V2196" i="10" s="1"/>
  <c r="D2198" i="10" l="1"/>
  <c r="M2197" i="10"/>
  <c r="N2197" i="10" s="1"/>
  <c r="O2197" i="10" s="1"/>
  <c r="P2197" i="10" s="1"/>
  <c r="Q2197" i="10" s="1"/>
  <c r="R2197" i="10" s="1"/>
  <c r="S2197" i="10" s="1"/>
  <c r="T2197" i="10" s="1"/>
  <c r="U2197" i="10" s="1"/>
  <c r="V2197" i="10" s="1"/>
  <c r="D2199" i="10" l="1"/>
  <c r="M2198" i="10"/>
  <c r="N2198" i="10" s="1"/>
  <c r="O2198" i="10" s="1"/>
  <c r="P2198" i="10" s="1"/>
  <c r="Q2198" i="10" s="1"/>
  <c r="R2198" i="10" s="1"/>
  <c r="S2198" i="10" s="1"/>
  <c r="T2198" i="10" s="1"/>
  <c r="U2198" i="10" s="1"/>
  <c r="V2198" i="10" s="1"/>
  <c r="D2200" i="10" l="1"/>
  <c r="M2199" i="10"/>
  <c r="N2199" i="10" s="1"/>
  <c r="O2199" i="10" s="1"/>
  <c r="P2199" i="10" s="1"/>
  <c r="Q2199" i="10" s="1"/>
  <c r="R2199" i="10" s="1"/>
  <c r="S2199" i="10" s="1"/>
  <c r="T2199" i="10" s="1"/>
  <c r="U2199" i="10" s="1"/>
  <c r="V2199" i="10" s="1"/>
  <c r="D2201" i="10" l="1"/>
  <c r="M2200" i="10"/>
  <c r="N2200" i="10" s="1"/>
  <c r="O2200" i="10" s="1"/>
  <c r="P2200" i="10" s="1"/>
  <c r="Q2200" i="10" s="1"/>
  <c r="R2200" i="10" s="1"/>
  <c r="S2200" i="10" s="1"/>
  <c r="T2200" i="10" s="1"/>
  <c r="U2200" i="10" s="1"/>
  <c r="V2200" i="10" s="1"/>
  <c r="D2202" i="10" l="1"/>
  <c r="M2201" i="10"/>
  <c r="N2201" i="10" s="1"/>
  <c r="O2201" i="10" s="1"/>
  <c r="P2201" i="10" s="1"/>
  <c r="Q2201" i="10" s="1"/>
  <c r="R2201" i="10" s="1"/>
  <c r="S2201" i="10" s="1"/>
  <c r="T2201" i="10" s="1"/>
  <c r="U2201" i="10" s="1"/>
  <c r="V2201" i="10" s="1"/>
  <c r="D2203" i="10" l="1"/>
  <c r="M2202" i="10"/>
  <c r="N2202" i="10" s="1"/>
  <c r="O2202" i="10" s="1"/>
  <c r="P2202" i="10" s="1"/>
  <c r="Q2202" i="10" s="1"/>
  <c r="R2202" i="10" s="1"/>
  <c r="S2202" i="10" s="1"/>
  <c r="T2202" i="10" s="1"/>
  <c r="U2202" i="10" s="1"/>
  <c r="V2202" i="10" s="1"/>
  <c r="D2204" i="10" l="1"/>
  <c r="M2203" i="10"/>
  <c r="N2203" i="10" s="1"/>
  <c r="O2203" i="10" s="1"/>
  <c r="P2203" i="10" s="1"/>
  <c r="Q2203" i="10" s="1"/>
  <c r="R2203" i="10" s="1"/>
  <c r="S2203" i="10" s="1"/>
  <c r="T2203" i="10" s="1"/>
  <c r="U2203" i="10" s="1"/>
  <c r="V2203" i="10" s="1"/>
  <c r="D2205" i="10" l="1"/>
  <c r="M2204" i="10"/>
  <c r="N2204" i="10" s="1"/>
  <c r="O2204" i="10" s="1"/>
  <c r="P2204" i="10" s="1"/>
  <c r="Q2204" i="10" s="1"/>
  <c r="R2204" i="10" s="1"/>
  <c r="S2204" i="10" s="1"/>
  <c r="T2204" i="10" s="1"/>
  <c r="U2204" i="10" s="1"/>
  <c r="V2204" i="10" s="1"/>
  <c r="D2206" i="10" l="1"/>
  <c r="M2205" i="10"/>
  <c r="N2205" i="10" s="1"/>
  <c r="O2205" i="10" s="1"/>
  <c r="P2205" i="10" s="1"/>
  <c r="Q2205" i="10" s="1"/>
  <c r="R2205" i="10" s="1"/>
  <c r="S2205" i="10" s="1"/>
  <c r="T2205" i="10" s="1"/>
  <c r="U2205" i="10" s="1"/>
  <c r="V2205" i="10" s="1"/>
  <c r="D2207" i="10" l="1"/>
  <c r="M2206" i="10"/>
  <c r="N2206" i="10" s="1"/>
  <c r="O2206" i="10" s="1"/>
  <c r="P2206" i="10" s="1"/>
  <c r="Q2206" i="10" s="1"/>
  <c r="R2206" i="10" s="1"/>
  <c r="S2206" i="10" s="1"/>
  <c r="T2206" i="10" s="1"/>
  <c r="U2206" i="10" s="1"/>
  <c r="V2206" i="10" s="1"/>
  <c r="D2208" i="10" l="1"/>
  <c r="M2207" i="10"/>
  <c r="N2207" i="10" s="1"/>
  <c r="O2207" i="10" s="1"/>
  <c r="P2207" i="10" s="1"/>
  <c r="Q2207" i="10" s="1"/>
  <c r="R2207" i="10" s="1"/>
  <c r="S2207" i="10" s="1"/>
  <c r="T2207" i="10" s="1"/>
  <c r="U2207" i="10" s="1"/>
  <c r="V2207" i="10" s="1"/>
  <c r="D2209" i="10" l="1"/>
  <c r="M2208" i="10"/>
  <c r="N2208" i="10" s="1"/>
  <c r="O2208" i="10" s="1"/>
  <c r="P2208" i="10" s="1"/>
  <c r="Q2208" i="10" s="1"/>
  <c r="R2208" i="10" s="1"/>
  <c r="S2208" i="10" s="1"/>
  <c r="T2208" i="10" s="1"/>
  <c r="U2208" i="10" s="1"/>
  <c r="V2208" i="10" s="1"/>
  <c r="D2210" i="10" l="1"/>
  <c r="M2209" i="10"/>
  <c r="N2209" i="10" s="1"/>
  <c r="O2209" i="10" s="1"/>
  <c r="P2209" i="10" s="1"/>
  <c r="Q2209" i="10" s="1"/>
  <c r="R2209" i="10" s="1"/>
  <c r="S2209" i="10" s="1"/>
  <c r="T2209" i="10" s="1"/>
  <c r="U2209" i="10" s="1"/>
  <c r="V2209" i="10" s="1"/>
  <c r="D2211" i="10" l="1"/>
  <c r="M2210" i="10"/>
  <c r="N2210" i="10" s="1"/>
  <c r="O2210" i="10" s="1"/>
  <c r="P2210" i="10" s="1"/>
  <c r="Q2210" i="10" s="1"/>
  <c r="R2210" i="10" s="1"/>
  <c r="S2210" i="10" s="1"/>
  <c r="T2210" i="10" s="1"/>
  <c r="U2210" i="10" s="1"/>
  <c r="V2210" i="10" s="1"/>
  <c r="D2212" i="10" l="1"/>
  <c r="M2211" i="10"/>
  <c r="N2211" i="10" s="1"/>
  <c r="O2211" i="10" s="1"/>
  <c r="P2211" i="10" s="1"/>
  <c r="Q2211" i="10" s="1"/>
  <c r="R2211" i="10" s="1"/>
  <c r="S2211" i="10" s="1"/>
  <c r="T2211" i="10" s="1"/>
  <c r="U2211" i="10" s="1"/>
  <c r="V2211" i="10" s="1"/>
  <c r="D2213" i="10" l="1"/>
  <c r="M2212" i="10"/>
  <c r="N2212" i="10" s="1"/>
  <c r="O2212" i="10" s="1"/>
  <c r="P2212" i="10" s="1"/>
  <c r="Q2212" i="10" s="1"/>
  <c r="R2212" i="10" s="1"/>
  <c r="S2212" i="10" s="1"/>
  <c r="T2212" i="10" s="1"/>
  <c r="U2212" i="10" s="1"/>
  <c r="V2212" i="10" s="1"/>
  <c r="D2214" i="10" l="1"/>
  <c r="M2213" i="10"/>
  <c r="N2213" i="10" s="1"/>
  <c r="O2213" i="10" s="1"/>
  <c r="P2213" i="10" s="1"/>
  <c r="Q2213" i="10" s="1"/>
  <c r="R2213" i="10" s="1"/>
  <c r="S2213" i="10" s="1"/>
  <c r="T2213" i="10" s="1"/>
  <c r="U2213" i="10" s="1"/>
  <c r="V2213" i="10" s="1"/>
  <c r="D2215" i="10" l="1"/>
  <c r="M2214" i="10"/>
  <c r="N2214" i="10" s="1"/>
  <c r="O2214" i="10" s="1"/>
  <c r="P2214" i="10" s="1"/>
  <c r="Q2214" i="10" s="1"/>
  <c r="R2214" i="10" s="1"/>
  <c r="S2214" i="10" s="1"/>
  <c r="T2214" i="10" s="1"/>
  <c r="U2214" i="10" s="1"/>
  <c r="V2214" i="10" s="1"/>
  <c r="D2216" i="10" l="1"/>
  <c r="M2215" i="10"/>
  <c r="N2215" i="10" s="1"/>
  <c r="O2215" i="10" s="1"/>
  <c r="P2215" i="10" s="1"/>
  <c r="Q2215" i="10" s="1"/>
  <c r="R2215" i="10" s="1"/>
  <c r="S2215" i="10" s="1"/>
  <c r="T2215" i="10" s="1"/>
  <c r="U2215" i="10" s="1"/>
  <c r="V2215" i="10" s="1"/>
  <c r="D2217" i="10" l="1"/>
  <c r="M2216" i="10"/>
  <c r="N2216" i="10" s="1"/>
  <c r="O2216" i="10" s="1"/>
  <c r="P2216" i="10" s="1"/>
  <c r="Q2216" i="10" s="1"/>
  <c r="R2216" i="10" s="1"/>
  <c r="S2216" i="10" s="1"/>
  <c r="T2216" i="10" s="1"/>
  <c r="U2216" i="10" s="1"/>
  <c r="V2216" i="10" s="1"/>
  <c r="D2218" i="10" l="1"/>
  <c r="M2217" i="10"/>
  <c r="N2217" i="10" s="1"/>
  <c r="O2217" i="10" s="1"/>
  <c r="P2217" i="10" s="1"/>
  <c r="Q2217" i="10" s="1"/>
  <c r="R2217" i="10" s="1"/>
  <c r="S2217" i="10" s="1"/>
  <c r="T2217" i="10" s="1"/>
  <c r="U2217" i="10" s="1"/>
  <c r="V2217" i="10" s="1"/>
  <c r="D2219" i="10" l="1"/>
  <c r="M2218" i="10"/>
  <c r="N2218" i="10" s="1"/>
  <c r="O2218" i="10" s="1"/>
  <c r="P2218" i="10" s="1"/>
  <c r="Q2218" i="10" s="1"/>
  <c r="R2218" i="10" s="1"/>
  <c r="S2218" i="10" s="1"/>
  <c r="T2218" i="10" s="1"/>
  <c r="U2218" i="10" s="1"/>
  <c r="V2218" i="10" s="1"/>
  <c r="D2220" i="10" l="1"/>
  <c r="M2219" i="10"/>
  <c r="N2219" i="10" s="1"/>
  <c r="O2219" i="10" s="1"/>
  <c r="P2219" i="10" s="1"/>
  <c r="Q2219" i="10" s="1"/>
  <c r="R2219" i="10" s="1"/>
  <c r="S2219" i="10" s="1"/>
  <c r="T2219" i="10" s="1"/>
  <c r="U2219" i="10" s="1"/>
  <c r="V2219" i="10" s="1"/>
  <c r="D2221" i="10" l="1"/>
  <c r="M2220" i="10"/>
  <c r="N2220" i="10" s="1"/>
  <c r="O2220" i="10" s="1"/>
  <c r="P2220" i="10" s="1"/>
  <c r="Q2220" i="10" s="1"/>
  <c r="R2220" i="10" s="1"/>
  <c r="S2220" i="10" s="1"/>
  <c r="T2220" i="10" s="1"/>
  <c r="U2220" i="10" s="1"/>
  <c r="V2220" i="10" s="1"/>
  <c r="D2222" i="10" l="1"/>
  <c r="M2221" i="10"/>
  <c r="N2221" i="10" s="1"/>
  <c r="O2221" i="10" s="1"/>
  <c r="P2221" i="10" s="1"/>
  <c r="Q2221" i="10" s="1"/>
  <c r="R2221" i="10" s="1"/>
  <c r="S2221" i="10" s="1"/>
  <c r="T2221" i="10" s="1"/>
  <c r="U2221" i="10" s="1"/>
  <c r="V2221" i="10" s="1"/>
  <c r="D2223" i="10" l="1"/>
  <c r="M2222" i="10"/>
  <c r="N2222" i="10" s="1"/>
  <c r="O2222" i="10" s="1"/>
  <c r="P2222" i="10" s="1"/>
  <c r="Q2222" i="10" s="1"/>
  <c r="R2222" i="10" s="1"/>
  <c r="S2222" i="10" s="1"/>
  <c r="T2222" i="10" s="1"/>
  <c r="U2222" i="10" s="1"/>
  <c r="V2222" i="10" s="1"/>
  <c r="D2224" i="10" l="1"/>
  <c r="M2223" i="10"/>
  <c r="N2223" i="10" s="1"/>
  <c r="O2223" i="10" s="1"/>
  <c r="P2223" i="10" s="1"/>
  <c r="Q2223" i="10" s="1"/>
  <c r="R2223" i="10" s="1"/>
  <c r="S2223" i="10" s="1"/>
  <c r="T2223" i="10" s="1"/>
  <c r="U2223" i="10" s="1"/>
  <c r="V2223" i="10" s="1"/>
  <c r="D2225" i="10" l="1"/>
  <c r="M2224" i="10"/>
  <c r="N2224" i="10" s="1"/>
  <c r="O2224" i="10" s="1"/>
  <c r="P2224" i="10" s="1"/>
  <c r="Q2224" i="10" s="1"/>
  <c r="R2224" i="10" s="1"/>
  <c r="S2224" i="10" s="1"/>
  <c r="T2224" i="10" s="1"/>
  <c r="U2224" i="10" s="1"/>
  <c r="V2224" i="10" s="1"/>
  <c r="D2226" i="10" l="1"/>
  <c r="M2225" i="10"/>
  <c r="N2225" i="10" s="1"/>
  <c r="O2225" i="10" s="1"/>
  <c r="P2225" i="10" s="1"/>
  <c r="Q2225" i="10" s="1"/>
  <c r="R2225" i="10" s="1"/>
  <c r="S2225" i="10" s="1"/>
  <c r="T2225" i="10" s="1"/>
  <c r="U2225" i="10" s="1"/>
  <c r="V2225" i="10" s="1"/>
  <c r="D2227" i="10" l="1"/>
  <c r="M2226" i="10"/>
  <c r="N2226" i="10" s="1"/>
  <c r="O2226" i="10" s="1"/>
  <c r="P2226" i="10" s="1"/>
  <c r="Q2226" i="10" s="1"/>
  <c r="R2226" i="10" s="1"/>
  <c r="S2226" i="10" s="1"/>
  <c r="T2226" i="10" s="1"/>
  <c r="U2226" i="10" s="1"/>
  <c r="V2226" i="10" s="1"/>
  <c r="D2228" i="10" l="1"/>
  <c r="M2227" i="10"/>
  <c r="N2227" i="10" s="1"/>
  <c r="O2227" i="10" s="1"/>
  <c r="P2227" i="10" s="1"/>
  <c r="Q2227" i="10" s="1"/>
  <c r="R2227" i="10" s="1"/>
  <c r="S2227" i="10" s="1"/>
  <c r="T2227" i="10" s="1"/>
  <c r="U2227" i="10" s="1"/>
  <c r="V2227" i="10" s="1"/>
  <c r="D2229" i="10" l="1"/>
  <c r="M2228" i="10"/>
  <c r="N2228" i="10" s="1"/>
  <c r="O2228" i="10" s="1"/>
  <c r="P2228" i="10" s="1"/>
  <c r="Q2228" i="10" s="1"/>
  <c r="R2228" i="10" s="1"/>
  <c r="S2228" i="10" s="1"/>
  <c r="T2228" i="10" s="1"/>
  <c r="U2228" i="10" s="1"/>
  <c r="V2228" i="10" s="1"/>
  <c r="D2230" i="10" l="1"/>
  <c r="M2229" i="10"/>
  <c r="N2229" i="10" s="1"/>
  <c r="O2229" i="10" s="1"/>
  <c r="P2229" i="10" s="1"/>
  <c r="Q2229" i="10" s="1"/>
  <c r="R2229" i="10" s="1"/>
  <c r="S2229" i="10" s="1"/>
  <c r="T2229" i="10" s="1"/>
  <c r="U2229" i="10" s="1"/>
  <c r="V2229" i="10" s="1"/>
  <c r="D2231" i="10" l="1"/>
  <c r="M2230" i="10"/>
  <c r="N2230" i="10" s="1"/>
  <c r="O2230" i="10" s="1"/>
  <c r="P2230" i="10" s="1"/>
  <c r="Q2230" i="10" s="1"/>
  <c r="R2230" i="10" s="1"/>
  <c r="S2230" i="10" s="1"/>
  <c r="T2230" i="10" s="1"/>
  <c r="U2230" i="10" s="1"/>
  <c r="V2230" i="10" s="1"/>
  <c r="D2232" i="10" l="1"/>
  <c r="M2231" i="10"/>
  <c r="N2231" i="10" s="1"/>
  <c r="O2231" i="10" s="1"/>
  <c r="P2231" i="10" s="1"/>
  <c r="Q2231" i="10" s="1"/>
  <c r="R2231" i="10" s="1"/>
  <c r="S2231" i="10" s="1"/>
  <c r="T2231" i="10" s="1"/>
  <c r="U2231" i="10" s="1"/>
  <c r="V2231" i="10" s="1"/>
  <c r="D2233" i="10" l="1"/>
  <c r="M2232" i="10"/>
  <c r="N2232" i="10" s="1"/>
  <c r="O2232" i="10" s="1"/>
  <c r="P2232" i="10" s="1"/>
  <c r="Q2232" i="10" s="1"/>
  <c r="R2232" i="10" s="1"/>
  <c r="S2232" i="10" s="1"/>
  <c r="T2232" i="10" s="1"/>
  <c r="U2232" i="10" s="1"/>
  <c r="V2232" i="10" s="1"/>
  <c r="D2234" i="10" l="1"/>
  <c r="M2233" i="10"/>
  <c r="N2233" i="10" s="1"/>
  <c r="O2233" i="10" s="1"/>
  <c r="P2233" i="10" s="1"/>
  <c r="Q2233" i="10" s="1"/>
  <c r="R2233" i="10" s="1"/>
  <c r="S2233" i="10" s="1"/>
  <c r="T2233" i="10" s="1"/>
  <c r="U2233" i="10" s="1"/>
  <c r="V2233" i="10" s="1"/>
  <c r="D2235" i="10" l="1"/>
  <c r="M2234" i="10"/>
  <c r="N2234" i="10" s="1"/>
  <c r="O2234" i="10" s="1"/>
  <c r="P2234" i="10" s="1"/>
  <c r="Q2234" i="10" s="1"/>
  <c r="R2234" i="10" s="1"/>
  <c r="S2234" i="10" s="1"/>
  <c r="T2234" i="10" s="1"/>
  <c r="U2234" i="10" s="1"/>
  <c r="V2234" i="10" s="1"/>
  <c r="D2236" i="10" l="1"/>
  <c r="M2235" i="10"/>
  <c r="N2235" i="10" s="1"/>
  <c r="O2235" i="10" s="1"/>
  <c r="P2235" i="10" s="1"/>
  <c r="Q2235" i="10" s="1"/>
  <c r="R2235" i="10" s="1"/>
  <c r="S2235" i="10" s="1"/>
  <c r="T2235" i="10" s="1"/>
  <c r="U2235" i="10" s="1"/>
  <c r="V2235" i="10" s="1"/>
  <c r="D2237" i="10" l="1"/>
  <c r="M2236" i="10"/>
  <c r="N2236" i="10" s="1"/>
  <c r="O2236" i="10" s="1"/>
  <c r="P2236" i="10" s="1"/>
  <c r="Q2236" i="10" s="1"/>
  <c r="R2236" i="10" s="1"/>
  <c r="S2236" i="10" s="1"/>
  <c r="T2236" i="10" s="1"/>
  <c r="U2236" i="10" s="1"/>
  <c r="V2236" i="10" s="1"/>
  <c r="D2238" i="10" l="1"/>
  <c r="M2237" i="10"/>
  <c r="N2237" i="10" s="1"/>
  <c r="O2237" i="10" s="1"/>
  <c r="P2237" i="10" s="1"/>
  <c r="Q2237" i="10" s="1"/>
  <c r="R2237" i="10" s="1"/>
  <c r="S2237" i="10" s="1"/>
  <c r="T2237" i="10" s="1"/>
  <c r="U2237" i="10" s="1"/>
  <c r="V2237" i="10" s="1"/>
  <c r="D2239" i="10" l="1"/>
  <c r="M2238" i="10"/>
  <c r="N2238" i="10" s="1"/>
  <c r="O2238" i="10" s="1"/>
  <c r="P2238" i="10" s="1"/>
  <c r="Q2238" i="10" s="1"/>
  <c r="R2238" i="10" s="1"/>
  <c r="S2238" i="10" s="1"/>
  <c r="T2238" i="10" s="1"/>
  <c r="U2238" i="10" s="1"/>
  <c r="V2238" i="10" s="1"/>
  <c r="D2240" i="10" l="1"/>
  <c r="M2239" i="10"/>
  <c r="N2239" i="10" s="1"/>
  <c r="O2239" i="10" s="1"/>
  <c r="P2239" i="10" s="1"/>
  <c r="Q2239" i="10" s="1"/>
  <c r="R2239" i="10" s="1"/>
  <c r="S2239" i="10" s="1"/>
  <c r="T2239" i="10" s="1"/>
  <c r="U2239" i="10" s="1"/>
  <c r="V2239" i="10" s="1"/>
  <c r="D2241" i="10" l="1"/>
  <c r="M2240" i="10"/>
  <c r="N2240" i="10" s="1"/>
  <c r="O2240" i="10" s="1"/>
  <c r="P2240" i="10" s="1"/>
  <c r="Q2240" i="10" s="1"/>
  <c r="R2240" i="10" s="1"/>
  <c r="S2240" i="10" s="1"/>
  <c r="T2240" i="10" s="1"/>
  <c r="U2240" i="10" s="1"/>
  <c r="V2240" i="10" s="1"/>
  <c r="D2242" i="10" l="1"/>
  <c r="M2241" i="10"/>
  <c r="N2241" i="10" s="1"/>
  <c r="O2241" i="10" s="1"/>
  <c r="P2241" i="10" s="1"/>
  <c r="Q2241" i="10" s="1"/>
  <c r="R2241" i="10" s="1"/>
  <c r="S2241" i="10" s="1"/>
  <c r="T2241" i="10" s="1"/>
  <c r="U2241" i="10" s="1"/>
  <c r="V2241" i="10" s="1"/>
  <c r="D2243" i="10" l="1"/>
  <c r="M2242" i="10"/>
  <c r="N2242" i="10" s="1"/>
  <c r="O2242" i="10" s="1"/>
  <c r="P2242" i="10" s="1"/>
  <c r="Q2242" i="10" s="1"/>
  <c r="R2242" i="10" s="1"/>
  <c r="S2242" i="10" s="1"/>
  <c r="T2242" i="10" s="1"/>
  <c r="U2242" i="10" s="1"/>
  <c r="V2242" i="10" s="1"/>
  <c r="D2244" i="10" l="1"/>
  <c r="M2243" i="10"/>
  <c r="N2243" i="10" s="1"/>
  <c r="O2243" i="10" s="1"/>
  <c r="P2243" i="10" s="1"/>
  <c r="Q2243" i="10" s="1"/>
  <c r="R2243" i="10" s="1"/>
  <c r="S2243" i="10" s="1"/>
  <c r="T2243" i="10" s="1"/>
  <c r="U2243" i="10" s="1"/>
  <c r="V2243" i="10" s="1"/>
  <c r="D2245" i="10" l="1"/>
  <c r="M2244" i="10"/>
  <c r="N2244" i="10" s="1"/>
  <c r="O2244" i="10" s="1"/>
  <c r="P2244" i="10" s="1"/>
  <c r="Q2244" i="10" s="1"/>
  <c r="R2244" i="10" s="1"/>
  <c r="S2244" i="10" s="1"/>
  <c r="T2244" i="10" s="1"/>
  <c r="U2244" i="10" s="1"/>
  <c r="V2244" i="10" s="1"/>
  <c r="D2246" i="10" l="1"/>
  <c r="M2245" i="10"/>
  <c r="N2245" i="10" s="1"/>
  <c r="O2245" i="10" s="1"/>
  <c r="P2245" i="10" s="1"/>
  <c r="Q2245" i="10" s="1"/>
  <c r="R2245" i="10" s="1"/>
  <c r="S2245" i="10" s="1"/>
  <c r="T2245" i="10" s="1"/>
  <c r="U2245" i="10" s="1"/>
  <c r="V2245" i="10" s="1"/>
  <c r="D2247" i="10" l="1"/>
  <c r="M2246" i="10"/>
  <c r="N2246" i="10" s="1"/>
  <c r="O2246" i="10" s="1"/>
  <c r="P2246" i="10" s="1"/>
  <c r="Q2246" i="10" s="1"/>
  <c r="R2246" i="10" s="1"/>
  <c r="S2246" i="10" s="1"/>
  <c r="T2246" i="10" s="1"/>
  <c r="U2246" i="10" s="1"/>
  <c r="V2246" i="10" s="1"/>
  <c r="D2248" i="10" l="1"/>
  <c r="M2247" i="10"/>
  <c r="N2247" i="10" s="1"/>
  <c r="O2247" i="10" s="1"/>
  <c r="P2247" i="10" s="1"/>
  <c r="Q2247" i="10" s="1"/>
  <c r="R2247" i="10" s="1"/>
  <c r="S2247" i="10" s="1"/>
  <c r="T2247" i="10" s="1"/>
  <c r="U2247" i="10" s="1"/>
  <c r="V2247" i="10" s="1"/>
  <c r="D2249" i="10" l="1"/>
  <c r="M2248" i="10"/>
  <c r="N2248" i="10" s="1"/>
  <c r="O2248" i="10" s="1"/>
  <c r="P2248" i="10" s="1"/>
  <c r="Q2248" i="10" s="1"/>
  <c r="R2248" i="10" s="1"/>
  <c r="S2248" i="10" s="1"/>
  <c r="T2248" i="10" s="1"/>
  <c r="U2248" i="10" s="1"/>
  <c r="V2248" i="10" s="1"/>
  <c r="D2250" i="10" l="1"/>
  <c r="M2249" i="10"/>
  <c r="N2249" i="10" s="1"/>
  <c r="O2249" i="10" s="1"/>
  <c r="P2249" i="10" s="1"/>
  <c r="Q2249" i="10" s="1"/>
  <c r="R2249" i="10" s="1"/>
  <c r="S2249" i="10" s="1"/>
  <c r="T2249" i="10" s="1"/>
  <c r="U2249" i="10" s="1"/>
  <c r="V2249" i="10" s="1"/>
  <c r="D2251" i="10" l="1"/>
  <c r="M2250" i="10"/>
  <c r="N2250" i="10" s="1"/>
  <c r="O2250" i="10" s="1"/>
  <c r="P2250" i="10" s="1"/>
  <c r="Q2250" i="10" s="1"/>
  <c r="R2250" i="10" s="1"/>
  <c r="S2250" i="10" s="1"/>
  <c r="T2250" i="10" s="1"/>
  <c r="U2250" i="10" s="1"/>
  <c r="V2250" i="10" s="1"/>
  <c r="D2252" i="10" l="1"/>
  <c r="M2251" i="10"/>
  <c r="N2251" i="10" s="1"/>
  <c r="O2251" i="10" s="1"/>
  <c r="P2251" i="10" s="1"/>
  <c r="Q2251" i="10" s="1"/>
  <c r="R2251" i="10" s="1"/>
  <c r="S2251" i="10" s="1"/>
  <c r="T2251" i="10" s="1"/>
  <c r="U2251" i="10" s="1"/>
  <c r="V2251" i="10" s="1"/>
  <c r="D2253" i="10" l="1"/>
  <c r="M2252" i="10"/>
  <c r="N2252" i="10" s="1"/>
  <c r="O2252" i="10" s="1"/>
  <c r="P2252" i="10" s="1"/>
  <c r="Q2252" i="10" s="1"/>
  <c r="R2252" i="10" s="1"/>
  <c r="S2252" i="10" s="1"/>
  <c r="T2252" i="10" s="1"/>
  <c r="U2252" i="10" s="1"/>
  <c r="V2252" i="10" s="1"/>
  <c r="D2254" i="10" l="1"/>
  <c r="M2253" i="10"/>
  <c r="N2253" i="10" s="1"/>
  <c r="O2253" i="10" s="1"/>
  <c r="P2253" i="10" s="1"/>
  <c r="Q2253" i="10" s="1"/>
  <c r="R2253" i="10" s="1"/>
  <c r="S2253" i="10" s="1"/>
  <c r="T2253" i="10" s="1"/>
  <c r="U2253" i="10" s="1"/>
  <c r="V2253" i="10" s="1"/>
  <c r="D2255" i="10" l="1"/>
  <c r="M2254" i="10"/>
  <c r="N2254" i="10" s="1"/>
  <c r="O2254" i="10" s="1"/>
  <c r="P2254" i="10" s="1"/>
  <c r="Q2254" i="10" s="1"/>
  <c r="R2254" i="10" s="1"/>
  <c r="S2254" i="10" s="1"/>
  <c r="T2254" i="10" s="1"/>
  <c r="U2254" i="10" s="1"/>
  <c r="V2254" i="10" s="1"/>
  <c r="D2256" i="10" l="1"/>
  <c r="M2255" i="10"/>
  <c r="N2255" i="10" s="1"/>
  <c r="O2255" i="10" s="1"/>
  <c r="P2255" i="10" s="1"/>
  <c r="Q2255" i="10" s="1"/>
  <c r="R2255" i="10" s="1"/>
  <c r="S2255" i="10" s="1"/>
  <c r="T2255" i="10" s="1"/>
  <c r="U2255" i="10" s="1"/>
  <c r="V2255" i="10" s="1"/>
  <c r="D2257" i="10" l="1"/>
  <c r="M2256" i="10"/>
  <c r="N2256" i="10" s="1"/>
  <c r="O2256" i="10" s="1"/>
  <c r="P2256" i="10" s="1"/>
  <c r="Q2256" i="10" s="1"/>
  <c r="R2256" i="10" s="1"/>
  <c r="S2256" i="10" s="1"/>
  <c r="T2256" i="10" s="1"/>
  <c r="U2256" i="10" s="1"/>
  <c r="V2256" i="10" s="1"/>
  <c r="D2258" i="10" l="1"/>
  <c r="M2257" i="10"/>
  <c r="N2257" i="10" s="1"/>
  <c r="O2257" i="10" s="1"/>
  <c r="P2257" i="10" s="1"/>
  <c r="Q2257" i="10" s="1"/>
  <c r="R2257" i="10" s="1"/>
  <c r="S2257" i="10" s="1"/>
  <c r="T2257" i="10" s="1"/>
  <c r="U2257" i="10" s="1"/>
  <c r="V2257" i="10" s="1"/>
  <c r="D2259" i="10" l="1"/>
  <c r="M2258" i="10"/>
  <c r="N2258" i="10" s="1"/>
  <c r="O2258" i="10" s="1"/>
  <c r="P2258" i="10" s="1"/>
  <c r="Q2258" i="10" s="1"/>
  <c r="R2258" i="10" s="1"/>
  <c r="S2258" i="10" s="1"/>
  <c r="T2258" i="10" s="1"/>
  <c r="U2258" i="10" s="1"/>
  <c r="V2258" i="10" s="1"/>
  <c r="D2260" i="10" l="1"/>
  <c r="M2259" i="10"/>
  <c r="N2259" i="10" s="1"/>
  <c r="O2259" i="10" s="1"/>
  <c r="P2259" i="10" s="1"/>
  <c r="Q2259" i="10" s="1"/>
  <c r="R2259" i="10" s="1"/>
  <c r="S2259" i="10" s="1"/>
  <c r="T2259" i="10" s="1"/>
  <c r="U2259" i="10" s="1"/>
  <c r="V2259" i="10" s="1"/>
  <c r="D2261" i="10" l="1"/>
  <c r="M2260" i="10"/>
  <c r="N2260" i="10" s="1"/>
  <c r="O2260" i="10" s="1"/>
  <c r="P2260" i="10" s="1"/>
  <c r="Q2260" i="10" s="1"/>
  <c r="R2260" i="10" s="1"/>
  <c r="S2260" i="10" s="1"/>
  <c r="T2260" i="10" s="1"/>
  <c r="U2260" i="10" s="1"/>
  <c r="V2260" i="10" s="1"/>
  <c r="D2262" i="10" l="1"/>
  <c r="M2261" i="10"/>
  <c r="N2261" i="10" s="1"/>
  <c r="O2261" i="10" s="1"/>
  <c r="P2261" i="10" s="1"/>
  <c r="Q2261" i="10" s="1"/>
  <c r="R2261" i="10" s="1"/>
  <c r="S2261" i="10" s="1"/>
  <c r="T2261" i="10" s="1"/>
  <c r="U2261" i="10" s="1"/>
  <c r="V2261" i="10" s="1"/>
  <c r="D2263" i="10" l="1"/>
  <c r="M2262" i="10"/>
  <c r="N2262" i="10" s="1"/>
  <c r="O2262" i="10" s="1"/>
  <c r="P2262" i="10" s="1"/>
  <c r="Q2262" i="10" s="1"/>
  <c r="R2262" i="10" s="1"/>
  <c r="S2262" i="10" s="1"/>
  <c r="T2262" i="10" s="1"/>
  <c r="U2262" i="10" s="1"/>
  <c r="V2262" i="10" s="1"/>
  <c r="D2264" i="10" l="1"/>
  <c r="M2263" i="10"/>
  <c r="N2263" i="10" s="1"/>
  <c r="O2263" i="10" s="1"/>
  <c r="P2263" i="10" s="1"/>
  <c r="Q2263" i="10" s="1"/>
  <c r="R2263" i="10" s="1"/>
  <c r="S2263" i="10" s="1"/>
  <c r="T2263" i="10" s="1"/>
  <c r="U2263" i="10" s="1"/>
  <c r="V2263" i="10" s="1"/>
  <c r="D2265" i="10" l="1"/>
  <c r="M2264" i="10"/>
  <c r="N2264" i="10" s="1"/>
  <c r="O2264" i="10" s="1"/>
  <c r="P2264" i="10" s="1"/>
  <c r="Q2264" i="10" s="1"/>
  <c r="R2264" i="10" s="1"/>
  <c r="S2264" i="10" s="1"/>
  <c r="T2264" i="10" s="1"/>
  <c r="U2264" i="10" s="1"/>
  <c r="V2264" i="10" s="1"/>
  <c r="D2266" i="10" l="1"/>
  <c r="M2265" i="10"/>
  <c r="N2265" i="10" s="1"/>
  <c r="O2265" i="10" s="1"/>
  <c r="P2265" i="10" s="1"/>
  <c r="Q2265" i="10" s="1"/>
  <c r="R2265" i="10" s="1"/>
  <c r="S2265" i="10" s="1"/>
  <c r="T2265" i="10" s="1"/>
  <c r="U2265" i="10" s="1"/>
  <c r="V2265" i="10" s="1"/>
  <c r="D2267" i="10" l="1"/>
  <c r="M2266" i="10"/>
  <c r="N2266" i="10" s="1"/>
  <c r="O2266" i="10" s="1"/>
  <c r="P2266" i="10" s="1"/>
  <c r="Q2266" i="10" s="1"/>
  <c r="R2266" i="10" s="1"/>
  <c r="S2266" i="10" s="1"/>
  <c r="T2266" i="10" s="1"/>
  <c r="U2266" i="10" s="1"/>
  <c r="V2266" i="10" s="1"/>
  <c r="D2268" i="10" l="1"/>
  <c r="M2267" i="10"/>
  <c r="N2267" i="10" s="1"/>
  <c r="O2267" i="10" s="1"/>
  <c r="P2267" i="10" s="1"/>
  <c r="Q2267" i="10" s="1"/>
  <c r="R2267" i="10" s="1"/>
  <c r="S2267" i="10" s="1"/>
  <c r="T2267" i="10" s="1"/>
  <c r="U2267" i="10" s="1"/>
  <c r="V2267" i="10" s="1"/>
  <c r="D2269" i="10" l="1"/>
  <c r="M2268" i="10"/>
  <c r="N2268" i="10" s="1"/>
  <c r="O2268" i="10" s="1"/>
  <c r="P2268" i="10" s="1"/>
  <c r="Q2268" i="10" s="1"/>
  <c r="R2268" i="10" s="1"/>
  <c r="S2268" i="10" s="1"/>
  <c r="T2268" i="10" s="1"/>
  <c r="U2268" i="10" s="1"/>
  <c r="V2268" i="10" s="1"/>
  <c r="D2270" i="10" l="1"/>
  <c r="M2269" i="10"/>
  <c r="N2269" i="10" s="1"/>
  <c r="O2269" i="10" s="1"/>
  <c r="P2269" i="10" s="1"/>
  <c r="Q2269" i="10" s="1"/>
  <c r="R2269" i="10" s="1"/>
  <c r="S2269" i="10" s="1"/>
  <c r="T2269" i="10" s="1"/>
  <c r="U2269" i="10" s="1"/>
  <c r="V2269" i="10" s="1"/>
  <c r="D2271" i="10" l="1"/>
  <c r="M2270" i="10"/>
  <c r="N2270" i="10" s="1"/>
  <c r="O2270" i="10" s="1"/>
  <c r="P2270" i="10" s="1"/>
  <c r="Q2270" i="10" s="1"/>
  <c r="R2270" i="10" s="1"/>
  <c r="S2270" i="10" s="1"/>
  <c r="T2270" i="10" s="1"/>
  <c r="U2270" i="10" s="1"/>
  <c r="V2270" i="10" s="1"/>
  <c r="D2272" i="10" l="1"/>
  <c r="M2271" i="10"/>
  <c r="N2271" i="10" s="1"/>
  <c r="O2271" i="10" s="1"/>
  <c r="P2271" i="10" s="1"/>
  <c r="Q2271" i="10" s="1"/>
  <c r="R2271" i="10" s="1"/>
  <c r="S2271" i="10" s="1"/>
  <c r="T2271" i="10" s="1"/>
  <c r="U2271" i="10" s="1"/>
  <c r="V2271" i="10" s="1"/>
  <c r="D2273" i="10" l="1"/>
  <c r="M2272" i="10"/>
  <c r="N2272" i="10" s="1"/>
  <c r="O2272" i="10" s="1"/>
  <c r="P2272" i="10" s="1"/>
  <c r="Q2272" i="10" s="1"/>
  <c r="R2272" i="10" s="1"/>
  <c r="S2272" i="10" s="1"/>
  <c r="T2272" i="10" s="1"/>
  <c r="U2272" i="10" s="1"/>
  <c r="V2272" i="10" s="1"/>
  <c r="D2274" i="10" l="1"/>
  <c r="M2273" i="10"/>
  <c r="N2273" i="10" s="1"/>
  <c r="O2273" i="10" s="1"/>
  <c r="P2273" i="10" s="1"/>
  <c r="Q2273" i="10" s="1"/>
  <c r="R2273" i="10" s="1"/>
  <c r="S2273" i="10" s="1"/>
  <c r="T2273" i="10" s="1"/>
  <c r="U2273" i="10" s="1"/>
  <c r="V2273" i="10" s="1"/>
  <c r="D2275" i="10" l="1"/>
  <c r="M2274" i="10"/>
  <c r="N2274" i="10" s="1"/>
  <c r="O2274" i="10" s="1"/>
  <c r="P2274" i="10" s="1"/>
  <c r="Q2274" i="10" s="1"/>
  <c r="R2274" i="10" s="1"/>
  <c r="S2274" i="10" s="1"/>
  <c r="T2274" i="10" s="1"/>
  <c r="U2274" i="10" s="1"/>
  <c r="V2274" i="10" s="1"/>
  <c r="D2276" i="10" l="1"/>
  <c r="M2275" i="10"/>
  <c r="N2275" i="10" s="1"/>
  <c r="O2275" i="10" s="1"/>
  <c r="P2275" i="10" s="1"/>
  <c r="Q2275" i="10" s="1"/>
  <c r="R2275" i="10" s="1"/>
  <c r="S2275" i="10" s="1"/>
  <c r="T2275" i="10" s="1"/>
  <c r="U2275" i="10" s="1"/>
  <c r="V2275" i="10" s="1"/>
  <c r="D2277" i="10" l="1"/>
  <c r="M2276" i="10"/>
  <c r="N2276" i="10" s="1"/>
  <c r="O2276" i="10" s="1"/>
  <c r="P2276" i="10" s="1"/>
  <c r="Q2276" i="10" s="1"/>
  <c r="R2276" i="10" s="1"/>
  <c r="S2276" i="10" s="1"/>
  <c r="T2276" i="10" s="1"/>
  <c r="U2276" i="10" s="1"/>
  <c r="V2276" i="10" s="1"/>
  <c r="D2278" i="10" l="1"/>
  <c r="M2277" i="10"/>
  <c r="N2277" i="10" s="1"/>
  <c r="O2277" i="10" s="1"/>
  <c r="P2277" i="10" s="1"/>
  <c r="Q2277" i="10" s="1"/>
  <c r="R2277" i="10" s="1"/>
  <c r="S2277" i="10" s="1"/>
  <c r="T2277" i="10" s="1"/>
  <c r="U2277" i="10" s="1"/>
  <c r="V2277" i="10" s="1"/>
  <c r="D2279" i="10" l="1"/>
  <c r="M2278" i="10"/>
  <c r="N2278" i="10" s="1"/>
  <c r="O2278" i="10" s="1"/>
  <c r="P2278" i="10" s="1"/>
  <c r="Q2278" i="10" s="1"/>
  <c r="R2278" i="10" s="1"/>
  <c r="S2278" i="10" s="1"/>
  <c r="T2278" i="10" s="1"/>
  <c r="U2278" i="10" s="1"/>
  <c r="V2278" i="10" s="1"/>
  <c r="D2280" i="10" l="1"/>
  <c r="M2279" i="10"/>
  <c r="N2279" i="10" s="1"/>
  <c r="O2279" i="10" s="1"/>
  <c r="P2279" i="10" s="1"/>
  <c r="Q2279" i="10" s="1"/>
  <c r="R2279" i="10" s="1"/>
  <c r="S2279" i="10" s="1"/>
  <c r="T2279" i="10" s="1"/>
  <c r="U2279" i="10" s="1"/>
  <c r="V2279" i="10" s="1"/>
  <c r="D2281" i="10" l="1"/>
  <c r="M2280" i="10"/>
  <c r="N2280" i="10" s="1"/>
  <c r="O2280" i="10" s="1"/>
  <c r="P2280" i="10" s="1"/>
  <c r="Q2280" i="10" s="1"/>
  <c r="R2280" i="10" s="1"/>
  <c r="S2280" i="10" s="1"/>
  <c r="T2280" i="10" s="1"/>
  <c r="U2280" i="10" s="1"/>
  <c r="V2280" i="10" s="1"/>
  <c r="D2282" i="10" l="1"/>
  <c r="M2281" i="10"/>
  <c r="N2281" i="10" s="1"/>
  <c r="O2281" i="10" s="1"/>
  <c r="P2281" i="10" s="1"/>
  <c r="Q2281" i="10" s="1"/>
  <c r="R2281" i="10" s="1"/>
  <c r="S2281" i="10" s="1"/>
  <c r="T2281" i="10" s="1"/>
  <c r="U2281" i="10" s="1"/>
  <c r="V2281" i="10" s="1"/>
  <c r="D2283" i="10" l="1"/>
  <c r="M2282" i="10"/>
  <c r="N2282" i="10" s="1"/>
  <c r="O2282" i="10" s="1"/>
  <c r="P2282" i="10" s="1"/>
  <c r="Q2282" i="10" s="1"/>
  <c r="R2282" i="10" s="1"/>
  <c r="S2282" i="10" s="1"/>
  <c r="T2282" i="10" s="1"/>
  <c r="U2282" i="10" s="1"/>
  <c r="V2282" i="10" s="1"/>
  <c r="D2284" i="10" l="1"/>
  <c r="M2283" i="10"/>
  <c r="N2283" i="10" s="1"/>
  <c r="O2283" i="10" s="1"/>
  <c r="P2283" i="10" s="1"/>
  <c r="Q2283" i="10" s="1"/>
  <c r="R2283" i="10" s="1"/>
  <c r="S2283" i="10" s="1"/>
  <c r="T2283" i="10" s="1"/>
  <c r="U2283" i="10" s="1"/>
  <c r="V2283" i="10" s="1"/>
  <c r="D2285" i="10" l="1"/>
  <c r="M2284" i="10"/>
  <c r="N2284" i="10" s="1"/>
  <c r="O2284" i="10" s="1"/>
  <c r="P2284" i="10" s="1"/>
  <c r="Q2284" i="10" s="1"/>
  <c r="R2284" i="10" s="1"/>
  <c r="S2284" i="10" s="1"/>
  <c r="T2284" i="10" s="1"/>
  <c r="U2284" i="10" s="1"/>
  <c r="V2284" i="10" s="1"/>
  <c r="D2286" i="10" l="1"/>
  <c r="M2285" i="10"/>
  <c r="N2285" i="10" s="1"/>
  <c r="O2285" i="10" s="1"/>
  <c r="P2285" i="10" s="1"/>
  <c r="Q2285" i="10" s="1"/>
  <c r="R2285" i="10" s="1"/>
  <c r="S2285" i="10" s="1"/>
  <c r="T2285" i="10" s="1"/>
  <c r="U2285" i="10" s="1"/>
  <c r="V2285" i="10" s="1"/>
  <c r="D2287" i="10" l="1"/>
  <c r="M2286" i="10"/>
  <c r="N2286" i="10" s="1"/>
  <c r="O2286" i="10" s="1"/>
  <c r="P2286" i="10" s="1"/>
  <c r="Q2286" i="10" s="1"/>
  <c r="R2286" i="10" s="1"/>
  <c r="S2286" i="10" s="1"/>
  <c r="T2286" i="10" s="1"/>
  <c r="U2286" i="10" s="1"/>
  <c r="V2286" i="10" s="1"/>
  <c r="D2288" i="10" l="1"/>
  <c r="M2287" i="10"/>
  <c r="N2287" i="10" s="1"/>
  <c r="O2287" i="10" s="1"/>
  <c r="P2287" i="10" s="1"/>
  <c r="Q2287" i="10" s="1"/>
  <c r="R2287" i="10" s="1"/>
  <c r="S2287" i="10" s="1"/>
  <c r="T2287" i="10" s="1"/>
  <c r="U2287" i="10" s="1"/>
  <c r="V2287" i="10" s="1"/>
  <c r="D2289" i="10" l="1"/>
  <c r="M2288" i="10"/>
  <c r="N2288" i="10" s="1"/>
  <c r="O2288" i="10" s="1"/>
  <c r="P2288" i="10" s="1"/>
  <c r="Q2288" i="10" s="1"/>
  <c r="R2288" i="10" s="1"/>
  <c r="S2288" i="10" s="1"/>
  <c r="T2288" i="10" s="1"/>
  <c r="U2288" i="10" s="1"/>
  <c r="V2288" i="10" s="1"/>
  <c r="D2290" i="10" l="1"/>
  <c r="M2289" i="10"/>
  <c r="N2289" i="10" s="1"/>
  <c r="O2289" i="10" s="1"/>
  <c r="P2289" i="10" s="1"/>
  <c r="Q2289" i="10" s="1"/>
  <c r="R2289" i="10" s="1"/>
  <c r="S2289" i="10" s="1"/>
  <c r="T2289" i="10" s="1"/>
  <c r="U2289" i="10" s="1"/>
  <c r="V2289" i="10" s="1"/>
  <c r="D2291" i="10" l="1"/>
  <c r="M2290" i="10"/>
  <c r="N2290" i="10" s="1"/>
  <c r="O2290" i="10" s="1"/>
  <c r="P2290" i="10" s="1"/>
  <c r="Q2290" i="10" s="1"/>
  <c r="R2290" i="10" s="1"/>
  <c r="S2290" i="10" s="1"/>
  <c r="T2290" i="10" s="1"/>
  <c r="U2290" i="10" s="1"/>
  <c r="V2290" i="10" s="1"/>
  <c r="D2292" i="10" l="1"/>
  <c r="M2291" i="10"/>
  <c r="N2291" i="10" s="1"/>
  <c r="O2291" i="10" s="1"/>
  <c r="P2291" i="10" s="1"/>
  <c r="Q2291" i="10" s="1"/>
  <c r="R2291" i="10" s="1"/>
  <c r="S2291" i="10" s="1"/>
  <c r="T2291" i="10" s="1"/>
  <c r="U2291" i="10" s="1"/>
  <c r="V2291" i="10" s="1"/>
  <c r="D2293" i="10" l="1"/>
  <c r="M2292" i="10"/>
  <c r="N2292" i="10" s="1"/>
  <c r="O2292" i="10" s="1"/>
  <c r="P2292" i="10" s="1"/>
  <c r="Q2292" i="10" s="1"/>
  <c r="R2292" i="10" s="1"/>
  <c r="S2292" i="10" s="1"/>
  <c r="T2292" i="10" s="1"/>
  <c r="U2292" i="10" s="1"/>
  <c r="V2292" i="10" s="1"/>
  <c r="D2294" i="10" l="1"/>
  <c r="M2293" i="10"/>
  <c r="N2293" i="10" s="1"/>
  <c r="O2293" i="10" s="1"/>
  <c r="P2293" i="10" s="1"/>
  <c r="Q2293" i="10" s="1"/>
  <c r="R2293" i="10" s="1"/>
  <c r="S2293" i="10" s="1"/>
  <c r="T2293" i="10" s="1"/>
  <c r="U2293" i="10" s="1"/>
  <c r="V2293" i="10" s="1"/>
  <c r="D2295" i="10" l="1"/>
  <c r="M2294" i="10"/>
  <c r="N2294" i="10" s="1"/>
  <c r="O2294" i="10" s="1"/>
  <c r="P2294" i="10" s="1"/>
  <c r="Q2294" i="10" s="1"/>
  <c r="R2294" i="10" s="1"/>
  <c r="S2294" i="10" s="1"/>
  <c r="T2294" i="10" s="1"/>
  <c r="U2294" i="10" s="1"/>
  <c r="V2294" i="10" s="1"/>
  <c r="D2296" i="10" l="1"/>
  <c r="M2295" i="10"/>
  <c r="N2295" i="10" s="1"/>
  <c r="O2295" i="10" s="1"/>
  <c r="P2295" i="10" s="1"/>
  <c r="Q2295" i="10" s="1"/>
  <c r="R2295" i="10" s="1"/>
  <c r="S2295" i="10" s="1"/>
  <c r="T2295" i="10" s="1"/>
  <c r="U2295" i="10" s="1"/>
  <c r="V2295" i="10" s="1"/>
  <c r="D2297" i="10" l="1"/>
  <c r="M2296" i="10"/>
  <c r="N2296" i="10" s="1"/>
  <c r="O2296" i="10" s="1"/>
  <c r="P2296" i="10" s="1"/>
  <c r="Q2296" i="10" s="1"/>
  <c r="R2296" i="10" s="1"/>
  <c r="S2296" i="10" s="1"/>
  <c r="T2296" i="10" s="1"/>
  <c r="U2296" i="10" s="1"/>
  <c r="V2296" i="10" s="1"/>
  <c r="D2298" i="10" l="1"/>
  <c r="M2297" i="10"/>
  <c r="N2297" i="10" s="1"/>
  <c r="O2297" i="10" s="1"/>
  <c r="P2297" i="10" s="1"/>
  <c r="Q2297" i="10" s="1"/>
  <c r="R2297" i="10" s="1"/>
  <c r="S2297" i="10" s="1"/>
  <c r="T2297" i="10" s="1"/>
  <c r="U2297" i="10" s="1"/>
  <c r="V2297" i="10" s="1"/>
  <c r="D2299" i="10" l="1"/>
  <c r="M2298" i="10"/>
  <c r="N2298" i="10" s="1"/>
  <c r="O2298" i="10" s="1"/>
  <c r="P2298" i="10" s="1"/>
  <c r="Q2298" i="10" s="1"/>
  <c r="R2298" i="10" s="1"/>
  <c r="S2298" i="10" s="1"/>
  <c r="T2298" i="10" s="1"/>
  <c r="U2298" i="10" s="1"/>
  <c r="V2298" i="10" s="1"/>
  <c r="D2300" i="10" l="1"/>
  <c r="M2299" i="10"/>
  <c r="N2299" i="10" s="1"/>
  <c r="O2299" i="10" s="1"/>
  <c r="P2299" i="10" s="1"/>
  <c r="Q2299" i="10" s="1"/>
  <c r="R2299" i="10" s="1"/>
  <c r="S2299" i="10" s="1"/>
  <c r="T2299" i="10" s="1"/>
  <c r="U2299" i="10" s="1"/>
  <c r="V2299" i="10" s="1"/>
  <c r="D2301" i="10" l="1"/>
  <c r="M2300" i="10"/>
  <c r="N2300" i="10" s="1"/>
  <c r="O2300" i="10" s="1"/>
  <c r="P2300" i="10" s="1"/>
  <c r="Q2300" i="10" s="1"/>
  <c r="R2300" i="10" s="1"/>
  <c r="S2300" i="10" s="1"/>
  <c r="T2300" i="10" s="1"/>
  <c r="U2300" i="10" s="1"/>
  <c r="V2300" i="10" s="1"/>
  <c r="D2302" i="10" l="1"/>
  <c r="M2301" i="10"/>
  <c r="N2301" i="10" s="1"/>
  <c r="O2301" i="10" s="1"/>
  <c r="P2301" i="10" s="1"/>
  <c r="Q2301" i="10" s="1"/>
  <c r="R2301" i="10" s="1"/>
  <c r="S2301" i="10" s="1"/>
  <c r="T2301" i="10" s="1"/>
  <c r="U2301" i="10" s="1"/>
  <c r="V2301" i="10" s="1"/>
  <c r="D2303" i="10" l="1"/>
  <c r="M2302" i="10"/>
  <c r="N2302" i="10" s="1"/>
  <c r="O2302" i="10" s="1"/>
  <c r="P2302" i="10" s="1"/>
  <c r="Q2302" i="10" s="1"/>
  <c r="R2302" i="10" s="1"/>
  <c r="S2302" i="10" s="1"/>
  <c r="T2302" i="10" s="1"/>
  <c r="U2302" i="10" s="1"/>
  <c r="V2302" i="10" s="1"/>
  <c r="D2304" i="10" l="1"/>
  <c r="M2303" i="10"/>
  <c r="N2303" i="10" s="1"/>
  <c r="O2303" i="10" s="1"/>
  <c r="P2303" i="10" s="1"/>
  <c r="Q2303" i="10" s="1"/>
  <c r="R2303" i="10" s="1"/>
  <c r="S2303" i="10" s="1"/>
  <c r="T2303" i="10" s="1"/>
  <c r="U2303" i="10" s="1"/>
  <c r="V2303" i="10" s="1"/>
  <c r="D2305" i="10" l="1"/>
  <c r="M2304" i="10"/>
  <c r="N2304" i="10" s="1"/>
  <c r="O2304" i="10" s="1"/>
  <c r="P2304" i="10" s="1"/>
  <c r="Q2304" i="10" s="1"/>
  <c r="R2304" i="10" s="1"/>
  <c r="S2304" i="10" s="1"/>
  <c r="T2304" i="10" s="1"/>
  <c r="U2304" i="10" s="1"/>
  <c r="V2304" i="10" s="1"/>
  <c r="D2306" i="10" l="1"/>
  <c r="M2305" i="10"/>
  <c r="N2305" i="10" s="1"/>
  <c r="O2305" i="10" s="1"/>
  <c r="P2305" i="10" s="1"/>
  <c r="Q2305" i="10" s="1"/>
  <c r="R2305" i="10" s="1"/>
  <c r="S2305" i="10" s="1"/>
  <c r="T2305" i="10" s="1"/>
  <c r="U2305" i="10" s="1"/>
  <c r="V2305" i="10" s="1"/>
  <c r="D2307" i="10" l="1"/>
  <c r="M2306" i="10"/>
  <c r="N2306" i="10" s="1"/>
  <c r="O2306" i="10" s="1"/>
  <c r="P2306" i="10" s="1"/>
  <c r="Q2306" i="10" s="1"/>
  <c r="R2306" i="10" s="1"/>
  <c r="S2306" i="10" s="1"/>
  <c r="T2306" i="10" s="1"/>
  <c r="U2306" i="10" s="1"/>
  <c r="V2306" i="10" s="1"/>
  <c r="D2308" i="10" l="1"/>
  <c r="M2307" i="10"/>
  <c r="N2307" i="10" s="1"/>
  <c r="O2307" i="10" s="1"/>
  <c r="P2307" i="10" s="1"/>
  <c r="Q2307" i="10" s="1"/>
  <c r="R2307" i="10" s="1"/>
  <c r="S2307" i="10" s="1"/>
  <c r="T2307" i="10" s="1"/>
  <c r="U2307" i="10" s="1"/>
  <c r="V2307" i="10" s="1"/>
  <c r="D2309" i="10" l="1"/>
  <c r="M2308" i="10"/>
  <c r="N2308" i="10" s="1"/>
  <c r="O2308" i="10" s="1"/>
  <c r="P2308" i="10" s="1"/>
  <c r="Q2308" i="10" s="1"/>
  <c r="R2308" i="10" s="1"/>
  <c r="S2308" i="10" s="1"/>
  <c r="T2308" i="10" s="1"/>
  <c r="U2308" i="10" s="1"/>
  <c r="V2308" i="10" s="1"/>
  <c r="D2310" i="10" l="1"/>
  <c r="M2309" i="10"/>
  <c r="N2309" i="10" s="1"/>
  <c r="O2309" i="10" s="1"/>
  <c r="P2309" i="10" s="1"/>
  <c r="Q2309" i="10" s="1"/>
  <c r="R2309" i="10" s="1"/>
  <c r="S2309" i="10" s="1"/>
  <c r="T2309" i="10" s="1"/>
  <c r="U2309" i="10" s="1"/>
  <c r="V2309" i="10" s="1"/>
  <c r="D2311" i="10" l="1"/>
  <c r="M2310" i="10"/>
  <c r="N2310" i="10" s="1"/>
  <c r="O2310" i="10" s="1"/>
  <c r="P2310" i="10" s="1"/>
  <c r="Q2310" i="10" s="1"/>
  <c r="R2310" i="10" s="1"/>
  <c r="S2310" i="10" s="1"/>
  <c r="T2310" i="10" s="1"/>
  <c r="U2310" i="10" s="1"/>
  <c r="V2310" i="10" s="1"/>
  <c r="D2312" i="10" l="1"/>
  <c r="M2311" i="10"/>
  <c r="N2311" i="10" s="1"/>
  <c r="O2311" i="10" s="1"/>
  <c r="P2311" i="10" s="1"/>
  <c r="Q2311" i="10" s="1"/>
  <c r="R2311" i="10" s="1"/>
  <c r="S2311" i="10" s="1"/>
  <c r="T2311" i="10" s="1"/>
  <c r="U2311" i="10" s="1"/>
  <c r="V2311" i="10" s="1"/>
  <c r="D2313" i="10" l="1"/>
  <c r="M2312" i="10"/>
  <c r="N2312" i="10" s="1"/>
  <c r="O2312" i="10" s="1"/>
  <c r="P2312" i="10" s="1"/>
  <c r="Q2312" i="10" s="1"/>
  <c r="R2312" i="10" s="1"/>
  <c r="S2312" i="10" s="1"/>
  <c r="T2312" i="10" s="1"/>
  <c r="U2312" i="10" s="1"/>
  <c r="V2312" i="10" s="1"/>
  <c r="D2314" i="10" l="1"/>
  <c r="M2313" i="10"/>
  <c r="N2313" i="10" s="1"/>
  <c r="O2313" i="10" s="1"/>
  <c r="P2313" i="10" s="1"/>
  <c r="Q2313" i="10" s="1"/>
  <c r="R2313" i="10" s="1"/>
  <c r="S2313" i="10" s="1"/>
  <c r="T2313" i="10" s="1"/>
  <c r="U2313" i="10" s="1"/>
  <c r="V2313" i="10" s="1"/>
  <c r="D2315" i="10" l="1"/>
  <c r="M2314" i="10"/>
  <c r="N2314" i="10" s="1"/>
  <c r="O2314" i="10" s="1"/>
  <c r="P2314" i="10" s="1"/>
  <c r="Q2314" i="10" s="1"/>
  <c r="R2314" i="10" s="1"/>
  <c r="S2314" i="10" s="1"/>
  <c r="T2314" i="10" s="1"/>
  <c r="U2314" i="10" s="1"/>
  <c r="V2314" i="10" s="1"/>
  <c r="D2316" i="10" l="1"/>
  <c r="M2315" i="10"/>
  <c r="N2315" i="10" s="1"/>
  <c r="O2315" i="10" s="1"/>
  <c r="P2315" i="10" s="1"/>
  <c r="Q2315" i="10" s="1"/>
  <c r="R2315" i="10" s="1"/>
  <c r="S2315" i="10" s="1"/>
  <c r="T2315" i="10" s="1"/>
  <c r="U2315" i="10" s="1"/>
  <c r="V2315" i="10" s="1"/>
  <c r="D2317" i="10" l="1"/>
  <c r="M2316" i="10"/>
  <c r="N2316" i="10" s="1"/>
  <c r="O2316" i="10" s="1"/>
  <c r="P2316" i="10" s="1"/>
  <c r="Q2316" i="10" s="1"/>
  <c r="R2316" i="10" s="1"/>
  <c r="S2316" i="10" s="1"/>
  <c r="T2316" i="10" s="1"/>
  <c r="U2316" i="10" s="1"/>
  <c r="V2316" i="10" s="1"/>
  <c r="D2318" i="10" l="1"/>
  <c r="M2317" i="10"/>
  <c r="N2317" i="10" s="1"/>
  <c r="O2317" i="10" s="1"/>
  <c r="P2317" i="10" s="1"/>
  <c r="Q2317" i="10" s="1"/>
  <c r="R2317" i="10" s="1"/>
  <c r="S2317" i="10" s="1"/>
  <c r="T2317" i="10" s="1"/>
  <c r="U2317" i="10" s="1"/>
  <c r="V2317" i="10" s="1"/>
  <c r="D2319" i="10" l="1"/>
  <c r="M2318" i="10"/>
  <c r="N2318" i="10" s="1"/>
  <c r="O2318" i="10" s="1"/>
  <c r="P2318" i="10" s="1"/>
  <c r="Q2318" i="10" s="1"/>
  <c r="R2318" i="10" s="1"/>
  <c r="S2318" i="10" s="1"/>
  <c r="T2318" i="10" s="1"/>
  <c r="U2318" i="10" s="1"/>
  <c r="V2318" i="10" s="1"/>
  <c r="D2320" i="10" l="1"/>
  <c r="M2319" i="10"/>
  <c r="N2319" i="10" s="1"/>
  <c r="O2319" i="10" s="1"/>
  <c r="P2319" i="10" s="1"/>
  <c r="Q2319" i="10" s="1"/>
  <c r="R2319" i="10" s="1"/>
  <c r="S2319" i="10" s="1"/>
  <c r="T2319" i="10" s="1"/>
  <c r="U2319" i="10" s="1"/>
  <c r="V2319" i="10" s="1"/>
  <c r="D2321" i="10" l="1"/>
  <c r="M2320" i="10"/>
  <c r="N2320" i="10" s="1"/>
  <c r="O2320" i="10" s="1"/>
  <c r="P2320" i="10" s="1"/>
  <c r="Q2320" i="10" s="1"/>
  <c r="R2320" i="10" s="1"/>
  <c r="S2320" i="10" s="1"/>
  <c r="T2320" i="10" s="1"/>
  <c r="U2320" i="10" s="1"/>
  <c r="V2320" i="10" s="1"/>
  <c r="D2322" i="10" l="1"/>
  <c r="M2321" i="10"/>
  <c r="N2321" i="10" s="1"/>
  <c r="O2321" i="10" s="1"/>
  <c r="P2321" i="10" s="1"/>
  <c r="Q2321" i="10" s="1"/>
  <c r="R2321" i="10" s="1"/>
  <c r="S2321" i="10" s="1"/>
  <c r="T2321" i="10" s="1"/>
  <c r="U2321" i="10" s="1"/>
  <c r="V2321" i="10" s="1"/>
  <c r="D2323" i="10" l="1"/>
  <c r="M2322" i="10"/>
  <c r="N2322" i="10" s="1"/>
  <c r="O2322" i="10" s="1"/>
  <c r="P2322" i="10" s="1"/>
  <c r="Q2322" i="10" s="1"/>
  <c r="R2322" i="10" s="1"/>
  <c r="S2322" i="10" s="1"/>
  <c r="T2322" i="10" s="1"/>
  <c r="U2322" i="10" s="1"/>
  <c r="V2322" i="10" s="1"/>
  <c r="D2324" i="10" l="1"/>
  <c r="M2323" i="10"/>
  <c r="N2323" i="10" s="1"/>
  <c r="O2323" i="10" s="1"/>
  <c r="P2323" i="10" s="1"/>
  <c r="Q2323" i="10" s="1"/>
  <c r="R2323" i="10" s="1"/>
  <c r="S2323" i="10" s="1"/>
  <c r="T2323" i="10" s="1"/>
  <c r="U2323" i="10" s="1"/>
  <c r="V2323" i="10" s="1"/>
  <c r="D2325" i="10" l="1"/>
  <c r="M2324" i="10"/>
  <c r="N2324" i="10" s="1"/>
  <c r="O2324" i="10" s="1"/>
  <c r="P2324" i="10" s="1"/>
  <c r="Q2324" i="10" s="1"/>
  <c r="R2324" i="10" s="1"/>
  <c r="S2324" i="10" s="1"/>
  <c r="T2324" i="10" s="1"/>
  <c r="U2324" i="10" s="1"/>
  <c r="V2324" i="10" s="1"/>
  <c r="D2326" i="10" l="1"/>
  <c r="M2325" i="10"/>
  <c r="N2325" i="10" s="1"/>
  <c r="O2325" i="10" s="1"/>
  <c r="P2325" i="10" s="1"/>
  <c r="Q2325" i="10" s="1"/>
  <c r="R2325" i="10" s="1"/>
  <c r="S2325" i="10" s="1"/>
  <c r="T2325" i="10" s="1"/>
  <c r="U2325" i="10" s="1"/>
  <c r="V2325" i="10" s="1"/>
  <c r="D2327" i="10" l="1"/>
  <c r="M2326" i="10"/>
  <c r="N2326" i="10" s="1"/>
  <c r="O2326" i="10" s="1"/>
  <c r="P2326" i="10" s="1"/>
  <c r="Q2326" i="10" s="1"/>
  <c r="R2326" i="10" s="1"/>
  <c r="S2326" i="10" s="1"/>
  <c r="T2326" i="10" s="1"/>
  <c r="U2326" i="10" s="1"/>
  <c r="V2326" i="10" s="1"/>
  <c r="D2328" i="10" l="1"/>
  <c r="M2327" i="10"/>
  <c r="N2327" i="10" s="1"/>
  <c r="O2327" i="10" s="1"/>
  <c r="P2327" i="10" s="1"/>
  <c r="Q2327" i="10" s="1"/>
  <c r="R2327" i="10" s="1"/>
  <c r="S2327" i="10" s="1"/>
  <c r="T2327" i="10" s="1"/>
  <c r="U2327" i="10" s="1"/>
  <c r="V2327" i="10" s="1"/>
  <c r="D2329" i="10" l="1"/>
  <c r="M2328" i="10"/>
  <c r="N2328" i="10" s="1"/>
  <c r="O2328" i="10" s="1"/>
  <c r="P2328" i="10" s="1"/>
  <c r="Q2328" i="10" s="1"/>
  <c r="R2328" i="10" s="1"/>
  <c r="S2328" i="10" s="1"/>
  <c r="T2328" i="10" s="1"/>
  <c r="U2328" i="10" s="1"/>
  <c r="V2328" i="10" s="1"/>
  <c r="D2330" i="10" l="1"/>
  <c r="M2329" i="10"/>
  <c r="N2329" i="10" s="1"/>
  <c r="O2329" i="10" s="1"/>
  <c r="P2329" i="10" s="1"/>
  <c r="Q2329" i="10" s="1"/>
  <c r="R2329" i="10" s="1"/>
  <c r="S2329" i="10" s="1"/>
  <c r="T2329" i="10" s="1"/>
  <c r="U2329" i="10" s="1"/>
  <c r="V2329" i="10" s="1"/>
  <c r="D2331" i="10" l="1"/>
  <c r="M2330" i="10"/>
  <c r="N2330" i="10" s="1"/>
  <c r="O2330" i="10" s="1"/>
  <c r="P2330" i="10" s="1"/>
  <c r="Q2330" i="10" s="1"/>
  <c r="R2330" i="10" s="1"/>
  <c r="S2330" i="10" s="1"/>
  <c r="T2330" i="10" s="1"/>
  <c r="U2330" i="10" s="1"/>
  <c r="V2330" i="10" s="1"/>
  <c r="D2332" i="10" l="1"/>
  <c r="M2331" i="10"/>
  <c r="N2331" i="10" s="1"/>
  <c r="O2331" i="10" s="1"/>
  <c r="P2331" i="10" s="1"/>
  <c r="Q2331" i="10" s="1"/>
  <c r="R2331" i="10" s="1"/>
  <c r="S2331" i="10" s="1"/>
  <c r="T2331" i="10" s="1"/>
  <c r="U2331" i="10" s="1"/>
  <c r="V2331" i="10" s="1"/>
  <c r="D2333" i="10" l="1"/>
  <c r="M2332" i="10"/>
  <c r="N2332" i="10" s="1"/>
  <c r="O2332" i="10" s="1"/>
  <c r="P2332" i="10" s="1"/>
  <c r="Q2332" i="10" s="1"/>
  <c r="R2332" i="10" s="1"/>
  <c r="S2332" i="10" s="1"/>
  <c r="T2332" i="10" s="1"/>
  <c r="U2332" i="10" s="1"/>
  <c r="V2332" i="10" s="1"/>
  <c r="D2334" i="10" l="1"/>
  <c r="M2333" i="10"/>
  <c r="N2333" i="10" s="1"/>
  <c r="O2333" i="10" s="1"/>
  <c r="P2333" i="10" s="1"/>
  <c r="Q2333" i="10" s="1"/>
  <c r="R2333" i="10" s="1"/>
  <c r="S2333" i="10" s="1"/>
  <c r="T2333" i="10" s="1"/>
  <c r="U2333" i="10" s="1"/>
  <c r="V2333" i="10" s="1"/>
  <c r="D2335" i="10" l="1"/>
  <c r="M2334" i="10"/>
  <c r="N2334" i="10" s="1"/>
  <c r="O2334" i="10" s="1"/>
  <c r="P2334" i="10" s="1"/>
  <c r="Q2334" i="10" s="1"/>
  <c r="R2334" i="10" s="1"/>
  <c r="S2334" i="10" s="1"/>
  <c r="T2334" i="10" s="1"/>
  <c r="U2334" i="10" s="1"/>
  <c r="V2334" i="10" s="1"/>
  <c r="D2336" i="10" l="1"/>
  <c r="M2335" i="10"/>
  <c r="N2335" i="10" s="1"/>
  <c r="O2335" i="10" s="1"/>
  <c r="P2335" i="10" s="1"/>
  <c r="Q2335" i="10" s="1"/>
  <c r="R2335" i="10" s="1"/>
  <c r="S2335" i="10" s="1"/>
  <c r="T2335" i="10" s="1"/>
  <c r="U2335" i="10" s="1"/>
  <c r="V2335" i="10" s="1"/>
  <c r="D2337" i="10" l="1"/>
  <c r="M2336" i="10"/>
  <c r="N2336" i="10" s="1"/>
  <c r="O2336" i="10" s="1"/>
  <c r="P2336" i="10" s="1"/>
  <c r="Q2336" i="10" s="1"/>
  <c r="R2336" i="10" s="1"/>
  <c r="S2336" i="10" s="1"/>
  <c r="T2336" i="10" s="1"/>
  <c r="U2336" i="10" s="1"/>
  <c r="V2336" i="10" s="1"/>
  <c r="D2338" i="10" l="1"/>
  <c r="M2337" i="10"/>
  <c r="N2337" i="10" s="1"/>
  <c r="O2337" i="10" s="1"/>
  <c r="P2337" i="10" s="1"/>
  <c r="Q2337" i="10" s="1"/>
  <c r="R2337" i="10" s="1"/>
  <c r="S2337" i="10" s="1"/>
  <c r="T2337" i="10" s="1"/>
  <c r="U2337" i="10" s="1"/>
  <c r="V2337" i="10" s="1"/>
  <c r="D2339" i="10" l="1"/>
  <c r="M2338" i="10"/>
  <c r="N2338" i="10" s="1"/>
  <c r="O2338" i="10" s="1"/>
  <c r="P2338" i="10" s="1"/>
  <c r="Q2338" i="10" s="1"/>
  <c r="R2338" i="10" s="1"/>
  <c r="S2338" i="10" s="1"/>
  <c r="T2338" i="10" s="1"/>
  <c r="U2338" i="10" s="1"/>
  <c r="V2338" i="10" s="1"/>
  <c r="D2340" i="10" l="1"/>
  <c r="M2339" i="10"/>
  <c r="N2339" i="10" s="1"/>
  <c r="O2339" i="10" s="1"/>
  <c r="P2339" i="10" s="1"/>
  <c r="Q2339" i="10" s="1"/>
  <c r="R2339" i="10" s="1"/>
  <c r="S2339" i="10" s="1"/>
  <c r="T2339" i="10" s="1"/>
  <c r="U2339" i="10" s="1"/>
  <c r="V2339" i="10" s="1"/>
  <c r="D2341" i="10" l="1"/>
  <c r="M2340" i="10"/>
  <c r="N2340" i="10" s="1"/>
  <c r="O2340" i="10" s="1"/>
  <c r="P2340" i="10" s="1"/>
  <c r="Q2340" i="10" s="1"/>
  <c r="R2340" i="10" s="1"/>
  <c r="S2340" i="10" s="1"/>
  <c r="T2340" i="10" s="1"/>
  <c r="U2340" i="10" s="1"/>
  <c r="V2340" i="10" s="1"/>
  <c r="D2342" i="10" l="1"/>
  <c r="M2341" i="10"/>
  <c r="N2341" i="10" s="1"/>
  <c r="O2341" i="10" s="1"/>
  <c r="P2341" i="10" s="1"/>
  <c r="Q2341" i="10" s="1"/>
  <c r="R2341" i="10" s="1"/>
  <c r="S2341" i="10" s="1"/>
  <c r="T2341" i="10" s="1"/>
  <c r="U2341" i="10" s="1"/>
  <c r="V2341" i="10" s="1"/>
  <c r="D2343" i="10" l="1"/>
  <c r="M2342" i="10"/>
  <c r="N2342" i="10" s="1"/>
  <c r="O2342" i="10" s="1"/>
  <c r="P2342" i="10" s="1"/>
  <c r="Q2342" i="10" s="1"/>
  <c r="R2342" i="10" s="1"/>
  <c r="S2342" i="10" s="1"/>
  <c r="T2342" i="10" s="1"/>
  <c r="U2342" i="10" s="1"/>
  <c r="V2342" i="10" s="1"/>
  <c r="D2344" i="10" l="1"/>
  <c r="M2343" i="10"/>
  <c r="N2343" i="10" s="1"/>
  <c r="O2343" i="10" s="1"/>
  <c r="P2343" i="10" s="1"/>
  <c r="Q2343" i="10" s="1"/>
  <c r="R2343" i="10" s="1"/>
  <c r="S2343" i="10" s="1"/>
  <c r="T2343" i="10" s="1"/>
  <c r="U2343" i="10" s="1"/>
  <c r="V2343" i="10" s="1"/>
  <c r="D2345" i="10" l="1"/>
  <c r="M2344" i="10"/>
  <c r="N2344" i="10" s="1"/>
  <c r="O2344" i="10" s="1"/>
  <c r="P2344" i="10" s="1"/>
  <c r="Q2344" i="10" s="1"/>
  <c r="R2344" i="10" s="1"/>
  <c r="S2344" i="10" s="1"/>
  <c r="T2344" i="10" s="1"/>
  <c r="U2344" i="10" s="1"/>
  <c r="V2344" i="10" s="1"/>
  <c r="D2346" i="10" l="1"/>
  <c r="M2345" i="10"/>
  <c r="N2345" i="10" s="1"/>
  <c r="O2345" i="10" s="1"/>
  <c r="P2345" i="10" s="1"/>
  <c r="Q2345" i="10" s="1"/>
  <c r="R2345" i="10" s="1"/>
  <c r="S2345" i="10" s="1"/>
  <c r="T2345" i="10" s="1"/>
  <c r="U2345" i="10" s="1"/>
  <c r="V2345" i="10" s="1"/>
  <c r="D2347" i="10" l="1"/>
  <c r="M2346" i="10"/>
  <c r="N2346" i="10" s="1"/>
  <c r="O2346" i="10" s="1"/>
  <c r="P2346" i="10" s="1"/>
  <c r="Q2346" i="10" s="1"/>
  <c r="R2346" i="10" s="1"/>
  <c r="S2346" i="10" s="1"/>
  <c r="T2346" i="10" s="1"/>
  <c r="U2346" i="10" s="1"/>
  <c r="V2346" i="10" s="1"/>
  <c r="D2348" i="10" l="1"/>
  <c r="M2347" i="10"/>
  <c r="N2347" i="10" s="1"/>
  <c r="O2347" i="10" s="1"/>
  <c r="P2347" i="10" s="1"/>
  <c r="Q2347" i="10" s="1"/>
  <c r="R2347" i="10" s="1"/>
  <c r="S2347" i="10" s="1"/>
  <c r="T2347" i="10" s="1"/>
  <c r="U2347" i="10" s="1"/>
  <c r="V2347" i="10" s="1"/>
  <c r="D2349" i="10" l="1"/>
  <c r="M2348" i="10"/>
  <c r="N2348" i="10" s="1"/>
  <c r="O2348" i="10" s="1"/>
  <c r="P2348" i="10" s="1"/>
  <c r="Q2348" i="10" s="1"/>
  <c r="R2348" i="10" s="1"/>
  <c r="S2348" i="10" s="1"/>
  <c r="T2348" i="10" s="1"/>
  <c r="U2348" i="10" s="1"/>
  <c r="V2348" i="10" s="1"/>
  <c r="D2350" i="10" l="1"/>
  <c r="M2349" i="10"/>
  <c r="N2349" i="10" s="1"/>
  <c r="O2349" i="10" s="1"/>
  <c r="P2349" i="10" s="1"/>
  <c r="Q2349" i="10" s="1"/>
  <c r="R2349" i="10" s="1"/>
  <c r="S2349" i="10" s="1"/>
  <c r="T2349" i="10" s="1"/>
  <c r="U2349" i="10" s="1"/>
  <c r="V2349" i="10" s="1"/>
  <c r="D2351" i="10" l="1"/>
  <c r="M2350" i="10"/>
  <c r="N2350" i="10" s="1"/>
  <c r="O2350" i="10" s="1"/>
  <c r="P2350" i="10" s="1"/>
  <c r="Q2350" i="10" s="1"/>
  <c r="R2350" i="10" s="1"/>
  <c r="S2350" i="10" s="1"/>
  <c r="T2350" i="10" s="1"/>
  <c r="U2350" i="10" s="1"/>
  <c r="V2350" i="10" s="1"/>
  <c r="D2352" i="10" l="1"/>
  <c r="M2351" i="10"/>
  <c r="N2351" i="10" s="1"/>
  <c r="O2351" i="10" s="1"/>
  <c r="P2351" i="10" s="1"/>
  <c r="Q2351" i="10" s="1"/>
  <c r="R2351" i="10" s="1"/>
  <c r="S2351" i="10" s="1"/>
  <c r="T2351" i="10" s="1"/>
  <c r="U2351" i="10" s="1"/>
  <c r="V2351" i="10" s="1"/>
  <c r="D2353" i="10" l="1"/>
  <c r="M2352" i="10"/>
  <c r="N2352" i="10" s="1"/>
  <c r="O2352" i="10" s="1"/>
  <c r="P2352" i="10" s="1"/>
  <c r="Q2352" i="10" s="1"/>
  <c r="R2352" i="10" s="1"/>
  <c r="S2352" i="10" s="1"/>
  <c r="T2352" i="10" s="1"/>
  <c r="U2352" i="10" s="1"/>
  <c r="V2352" i="10" s="1"/>
  <c r="D2354" i="10" l="1"/>
  <c r="M2353" i="10"/>
  <c r="N2353" i="10" s="1"/>
  <c r="O2353" i="10" s="1"/>
  <c r="P2353" i="10" s="1"/>
  <c r="Q2353" i="10" s="1"/>
  <c r="R2353" i="10" s="1"/>
  <c r="S2353" i="10" s="1"/>
  <c r="T2353" i="10" s="1"/>
  <c r="U2353" i="10" s="1"/>
  <c r="V2353" i="10" s="1"/>
  <c r="D2355" i="10" l="1"/>
  <c r="M2354" i="10"/>
  <c r="N2354" i="10" s="1"/>
  <c r="O2354" i="10" s="1"/>
  <c r="P2354" i="10" s="1"/>
  <c r="Q2354" i="10" s="1"/>
  <c r="R2354" i="10" s="1"/>
  <c r="S2354" i="10" s="1"/>
  <c r="T2354" i="10" s="1"/>
  <c r="U2354" i="10" s="1"/>
  <c r="V2354" i="10" s="1"/>
  <c r="D2356" i="10" l="1"/>
  <c r="M2355" i="10"/>
  <c r="N2355" i="10" s="1"/>
  <c r="O2355" i="10" s="1"/>
  <c r="P2355" i="10" s="1"/>
  <c r="Q2355" i="10" s="1"/>
  <c r="R2355" i="10" s="1"/>
  <c r="S2355" i="10" s="1"/>
  <c r="T2355" i="10" s="1"/>
  <c r="U2355" i="10" s="1"/>
  <c r="V2355" i="10" s="1"/>
  <c r="D2357" i="10" l="1"/>
  <c r="M2356" i="10"/>
  <c r="N2356" i="10" s="1"/>
  <c r="O2356" i="10" s="1"/>
  <c r="P2356" i="10" s="1"/>
  <c r="Q2356" i="10" s="1"/>
  <c r="R2356" i="10" s="1"/>
  <c r="S2356" i="10" s="1"/>
  <c r="T2356" i="10" s="1"/>
  <c r="U2356" i="10" s="1"/>
  <c r="V2356" i="10" s="1"/>
  <c r="D2358" i="10" l="1"/>
  <c r="M2357" i="10"/>
  <c r="N2357" i="10" s="1"/>
  <c r="O2357" i="10" s="1"/>
  <c r="P2357" i="10" s="1"/>
  <c r="Q2357" i="10" s="1"/>
  <c r="R2357" i="10" s="1"/>
  <c r="S2357" i="10" s="1"/>
  <c r="T2357" i="10" s="1"/>
  <c r="U2357" i="10" s="1"/>
  <c r="V2357" i="10" s="1"/>
  <c r="D2359" i="10" l="1"/>
  <c r="M2358" i="10"/>
  <c r="N2358" i="10" s="1"/>
  <c r="O2358" i="10" s="1"/>
  <c r="P2358" i="10" s="1"/>
  <c r="Q2358" i="10" s="1"/>
  <c r="R2358" i="10" s="1"/>
  <c r="S2358" i="10" s="1"/>
  <c r="T2358" i="10" s="1"/>
  <c r="U2358" i="10" s="1"/>
  <c r="V2358" i="10" s="1"/>
  <c r="D2360" i="10" l="1"/>
  <c r="M2359" i="10"/>
  <c r="N2359" i="10" s="1"/>
  <c r="O2359" i="10" s="1"/>
  <c r="P2359" i="10" s="1"/>
  <c r="Q2359" i="10" s="1"/>
  <c r="R2359" i="10" s="1"/>
  <c r="S2359" i="10" s="1"/>
  <c r="T2359" i="10" s="1"/>
  <c r="U2359" i="10" s="1"/>
  <c r="V2359" i="10" s="1"/>
  <c r="D2361" i="10" l="1"/>
  <c r="M2360" i="10"/>
  <c r="N2360" i="10" s="1"/>
  <c r="O2360" i="10" s="1"/>
  <c r="P2360" i="10" s="1"/>
  <c r="Q2360" i="10" s="1"/>
  <c r="R2360" i="10" s="1"/>
  <c r="S2360" i="10" s="1"/>
  <c r="T2360" i="10" s="1"/>
  <c r="U2360" i="10" s="1"/>
  <c r="V2360" i="10" s="1"/>
  <c r="D2362" i="10" l="1"/>
  <c r="M2361" i="10"/>
  <c r="N2361" i="10" s="1"/>
  <c r="O2361" i="10" s="1"/>
  <c r="P2361" i="10" s="1"/>
  <c r="Q2361" i="10" s="1"/>
  <c r="R2361" i="10" s="1"/>
  <c r="S2361" i="10" s="1"/>
  <c r="T2361" i="10" s="1"/>
  <c r="U2361" i="10" s="1"/>
  <c r="V2361" i="10" s="1"/>
  <c r="D2363" i="10" l="1"/>
  <c r="M2362" i="10"/>
  <c r="N2362" i="10" s="1"/>
  <c r="O2362" i="10" s="1"/>
  <c r="P2362" i="10" s="1"/>
  <c r="Q2362" i="10" s="1"/>
  <c r="R2362" i="10" s="1"/>
  <c r="S2362" i="10" s="1"/>
  <c r="T2362" i="10" s="1"/>
  <c r="U2362" i="10" s="1"/>
  <c r="V2362" i="10" s="1"/>
  <c r="D2364" i="10" l="1"/>
  <c r="M2363" i="10"/>
  <c r="N2363" i="10" s="1"/>
  <c r="O2363" i="10" s="1"/>
  <c r="P2363" i="10" s="1"/>
  <c r="Q2363" i="10" s="1"/>
  <c r="R2363" i="10" s="1"/>
  <c r="S2363" i="10" s="1"/>
  <c r="T2363" i="10" s="1"/>
  <c r="U2363" i="10" s="1"/>
  <c r="V2363" i="10" s="1"/>
  <c r="D2365" i="10" l="1"/>
  <c r="M2364" i="10"/>
  <c r="N2364" i="10" s="1"/>
  <c r="O2364" i="10" s="1"/>
  <c r="P2364" i="10" s="1"/>
  <c r="Q2364" i="10" s="1"/>
  <c r="R2364" i="10" s="1"/>
  <c r="S2364" i="10" s="1"/>
  <c r="T2364" i="10" s="1"/>
  <c r="U2364" i="10" s="1"/>
  <c r="V2364" i="10" s="1"/>
  <c r="D2366" i="10" l="1"/>
  <c r="M2365" i="10"/>
  <c r="N2365" i="10" s="1"/>
  <c r="O2365" i="10" s="1"/>
  <c r="P2365" i="10" s="1"/>
  <c r="Q2365" i="10" s="1"/>
  <c r="R2365" i="10" s="1"/>
  <c r="S2365" i="10" s="1"/>
  <c r="T2365" i="10" s="1"/>
  <c r="U2365" i="10" s="1"/>
  <c r="V2365" i="10" s="1"/>
  <c r="D2367" i="10" l="1"/>
  <c r="M2366" i="10"/>
  <c r="N2366" i="10" s="1"/>
  <c r="O2366" i="10" s="1"/>
  <c r="P2366" i="10" s="1"/>
  <c r="Q2366" i="10" s="1"/>
  <c r="R2366" i="10" s="1"/>
  <c r="S2366" i="10" s="1"/>
  <c r="T2366" i="10" s="1"/>
  <c r="U2366" i="10" s="1"/>
  <c r="V2366" i="10" s="1"/>
  <c r="D2368" i="10" l="1"/>
  <c r="M2367" i="10"/>
  <c r="N2367" i="10" s="1"/>
  <c r="O2367" i="10" s="1"/>
  <c r="P2367" i="10" s="1"/>
  <c r="Q2367" i="10" s="1"/>
  <c r="R2367" i="10" s="1"/>
  <c r="S2367" i="10" s="1"/>
  <c r="T2367" i="10" s="1"/>
  <c r="U2367" i="10" s="1"/>
  <c r="V2367" i="10" s="1"/>
  <c r="D2369" i="10" l="1"/>
  <c r="M2368" i="10"/>
  <c r="N2368" i="10" s="1"/>
  <c r="O2368" i="10" s="1"/>
  <c r="P2368" i="10" s="1"/>
  <c r="Q2368" i="10" s="1"/>
  <c r="R2368" i="10" s="1"/>
  <c r="S2368" i="10" s="1"/>
  <c r="T2368" i="10" s="1"/>
  <c r="U2368" i="10" s="1"/>
  <c r="V2368" i="10" s="1"/>
  <c r="D2370" i="10" l="1"/>
  <c r="M2369" i="10"/>
  <c r="N2369" i="10" s="1"/>
  <c r="O2369" i="10" s="1"/>
  <c r="P2369" i="10" s="1"/>
  <c r="Q2369" i="10" s="1"/>
  <c r="R2369" i="10" s="1"/>
  <c r="S2369" i="10" s="1"/>
  <c r="T2369" i="10" s="1"/>
  <c r="U2369" i="10" s="1"/>
  <c r="V2369" i="10" s="1"/>
  <c r="D2371" i="10" l="1"/>
  <c r="M2370" i="10"/>
  <c r="N2370" i="10" s="1"/>
  <c r="O2370" i="10" s="1"/>
  <c r="P2370" i="10" s="1"/>
  <c r="Q2370" i="10" s="1"/>
  <c r="R2370" i="10" s="1"/>
  <c r="S2370" i="10" s="1"/>
  <c r="T2370" i="10" s="1"/>
  <c r="U2370" i="10" s="1"/>
  <c r="V2370" i="10" s="1"/>
  <c r="D2372" i="10" l="1"/>
  <c r="M2371" i="10"/>
  <c r="N2371" i="10" s="1"/>
  <c r="O2371" i="10" s="1"/>
  <c r="P2371" i="10" s="1"/>
  <c r="Q2371" i="10" s="1"/>
  <c r="R2371" i="10" s="1"/>
  <c r="S2371" i="10" s="1"/>
  <c r="T2371" i="10" s="1"/>
  <c r="U2371" i="10" s="1"/>
  <c r="V2371" i="10" s="1"/>
  <c r="D2373" i="10" l="1"/>
  <c r="M2372" i="10"/>
  <c r="N2372" i="10" s="1"/>
  <c r="O2372" i="10" s="1"/>
  <c r="P2372" i="10" s="1"/>
  <c r="Q2372" i="10" s="1"/>
  <c r="R2372" i="10" s="1"/>
  <c r="S2372" i="10" s="1"/>
  <c r="T2372" i="10" s="1"/>
  <c r="U2372" i="10" s="1"/>
  <c r="V2372" i="10" s="1"/>
  <c r="D2374" i="10" l="1"/>
  <c r="M2373" i="10"/>
  <c r="N2373" i="10" s="1"/>
  <c r="O2373" i="10" s="1"/>
  <c r="P2373" i="10" s="1"/>
  <c r="Q2373" i="10" s="1"/>
  <c r="R2373" i="10" s="1"/>
  <c r="S2373" i="10" s="1"/>
  <c r="T2373" i="10" s="1"/>
  <c r="U2373" i="10" s="1"/>
  <c r="V2373" i="10" s="1"/>
  <c r="D2375" i="10" l="1"/>
  <c r="M2374" i="10"/>
  <c r="N2374" i="10" s="1"/>
  <c r="O2374" i="10" s="1"/>
  <c r="P2374" i="10" s="1"/>
  <c r="Q2374" i="10" s="1"/>
  <c r="R2374" i="10" s="1"/>
  <c r="S2374" i="10" s="1"/>
  <c r="T2374" i="10" s="1"/>
  <c r="U2374" i="10" s="1"/>
  <c r="V2374" i="10" s="1"/>
  <c r="D2376" i="10" l="1"/>
  <c r="M2375" i="10"/>
  <c r="N2375" i="10" s="1"/>
  <c r="O2375" i="10" s="1"/>
  <c r="P2375" i="10" s="1"/>
  <c r="Q2375" i="10" s="1"/>
  <c r="R2375" i="10" s="1"/>
  <c r="S2375" i="10" s="1"/>
  <c r="T2375" i="10" s="1"/>
  <c r="U2375" i="10" s="1"/>
  <c r="V2375" i="10" s="1"/>
  <c r="D2377" i="10" l="1"/>
  <c r="M2376" i="10"/>
  <c r="N2376" i="10" s="1"/>
  <c r="O2376" i="10" s="1"/>
  <c r="P2376" i="10" s="1"/>
  <c r="Q2376" i="10" s="1"/>
  <c r="R2376" i="10" s="1"/>
  <c r="S2376" i="10" s="1"/>
  <c r="T2376" i="10" s="1"/>
  <c r="U2376" i="10" s="1"/>
  <c r="V2376" i="10" s="1"/>
  <c r="D2378" i="10" l="1"/>
  <c r="M2377" i="10"/>
  <c r="N2377" i="10" s="1"/>
  <c r="O2377" i="10" s="1"/>
  <c r="P2377" i="10" s="1"/>
  <c r="Q2377" i="10" s="1"/>
  <c r="R2377" i="10" s="1"/>
  <c r="S2377" i="10" s="1"/>
  <c r="T2377" i="10" s="1"/>
  <c r="U2377" i="10" s="1"/>
  <c r="V2377" i="10" s="1"/>
  <c r="D2379" i="10" l="1"/>
  <c r="M2378" i="10"/>
  <c r="N2378" i="10" s="1"/>
  <c r="O2378" i="10" s="1"/>
  <c r="P2378" i="10" s="1"/>
  <c r="Q2378" i="10" s="1"/>
  <c r="R2378" i="10" s="1"/>
  <c r="S2378" i="10" s="1"/>
  <c r="T2378" i="10" s="1"/>
  <c r="U2378" i="10" s="1"/>
  <c r="V2378" i="10" s="1"/>
  <c r="D2380" i="10" l="1"/>
  <c r="M2379" i="10"/>
  <c r="N2379" i="10" s="1"/>
  <c r="O2379" i="10" s="1"/>
  <c r="P2379" i="10" s="1"/>
  <c r="Q2379" i="10" s="1"/>
  <c r="R2379" i="10" s="1"/>
  <c r="S2379" i="10" s="1"/>
  <c r="T2379" i="10" s="1"/>
  <c r="U2379" i="10" s="1"/>
  <c r="V2379" i="10" s="1"/>
  <c r="D2381" i="10" l="1"/>
  <c r="M2380" i="10"/>
  <c r="N2380" i="10" s="1"/>
  <c r="O2380" i="10" s="1"/>
  <c r="P2380" i="10" s="1"/>
  <c r="Q2380" i="10" s="1"/>
  <c r="R2380" i="10" s="1"/>
  <c r="S2380" i="10" s="1"/>
  <c r="T2380" i="10" s="1"/>
  <c r="U2380" i="10" s="1"/>
  <c r="V2380" i="10" s="1"/>
  <c r="D2382" i="10" l="1"/>
  <c r="M2381" i="10"/>
  <c r="N2381" i="10" s="1"/>
  <c r="O2381" i="10" s="1"/>
  <c r="P2381" i="10" s="1"/>
  <c r="Q2381" i="10" s="1"/>
  <c r="R2381" i="10" s="1"/>
  <c r="S2381" i="10" s="1"/>
  <c r="T2381" i="10" s="1"/>
  <c r="U2381" i="10" s="1"/>
  <c r="V2381" i="10" s="1"/>
  <c r="D2383" i="10" l="1"/>
  <c r="M2382" i="10"/>
  <c r="N2382" i="10" s="1"/>
  <c r="O2382" i="10" s="1"/>
  <c r="P2382" i="10" s="1"/>
  <c r="Q2382" i="10" s="1"/>
  <c r="R2382" i="10" s="1"/>
  <c r="S2382" i="10" s="1"/>
  <c r="T2382" i="10" s="1"/>
  <c r="U2382" i="10" s="1"/>
  <c r="V2382" i="10" s="1"/>
  <c r="D2384" i="10" l="1"/>
  <c r="M2383" i="10"/>
  <c r="N2383" i="10" s="1"/>
  <c r="O2383" i="10" s="1"/>
  <c r="P2383" i="10" s="1"/>
  <c r="Q2383" i="10" s="1"/>
  <c r="R2383" i="10" s="1"/>
  <c r="S2383" i="10" s="1"/>
  <c r="T2383" i="10" s="1"/>
  <c r="U2383" i="10" s="1"/>
  <c r="V2383" i="10" s="1"/>
  <c r="D2385" i="10" l="1"/>
  <c r="M2384" i="10"/>
  <c r="N2384" i="10" s="1"/>
  <c r="O2384" i="10" s="1"/>
  <c r="P2384" i="10" s="1"/>
  <c r="Q2384" i="10" s="1"/>
  <c r="R2384" i="10" s="1"/>
  <c r="S2384" i="10" s="1"/>
  <c r="T2384" i="10" s="1"/>
  <c r="U2384" i="10" s="1"/>
  <c r="V2384" i="10" s="1"/>
  <c r="D2386" i="10" l="1"/>
  <c r="M2385" i="10"/>
  <c r="N2385" i="10" s="1"/>
  <c r="O2385" i="10" s="1"/>
  <c r="P2385" i="10" s="1"/>
  <c r="Q2385" i="10" s="1"/>
  <c r="R2385" i="10" s="1"/>
  <c r="S2385" i="10" s="1"/>
  <c r="T2385" i="10" s="1"/>
  <c r="U2385" i="10" s="1"/>
  <c r="V2385" i="10" s="1"/>
  <c r="D2387" i="10" l="1"/>
  <c r="M2386" i="10"/>
  <c r="N2386" i="10" s="1"/>
  <c r="O2386" i="10" s="1"/>
  <c r="P2386" i="10" s="1"/>
  <c r="Q2386" i="10" s="1"/>
  <c r="R2386" i="10" s="1"/>
  <c r="S2386" i="10" s="1"/>
  <c r="T2386" i="10" s="1"/>
  <c r="U2386" i="10" s="1"/>
  <c r="V2386" i="10" s="1"/>
  <c r="D2388" i="10" l="1"/>
  <c r="M2387" i="10"/>
  <c r="N2387" i="10" s="1"/>
  <c r="O2387" i="10" s="1"/>
  <c r="P2387" i="10" s="1"/>
  <c r="Q2387" i="10" s="1"/>
  <c r="R2387" i="10" s="1"/>
  <c r="S2387" i="10" s="1"/>
  <c r="T2387" i="10" s="1"/>
  <c r="U2387" i="10" s="1"/>
  <c r="V2387" i="10" s="1"/>
  <c r="D2389" i="10" l="1"/>
  <c r="M2388" i="10"/>
  <c r="N2388" i="10" s="1"/>
  <c r="O2388" i="10" s="1"/>
  <c r="P2388" i="10" s="1"/>
  <c r="Q2388" i="10" s="1"/>
  <c r="R2388" i="10" s="1"/>
  <c r="S2388" i="10" s="1"/>
  <c r="T2388" i="10" s="1"/>
  <c r="U2388" i="10" s="1"/>
  <c r="V2388" i="10" s="1"/>
  <c r="D2390" i="10" l="1"/>
  <c r="M2389" i="10"/>
  <c r="N2389" i="10" s="1"/>
  <c r="O2389" i="10" s="1"/>
  <c r="P2389" i="10" s="1"/>
  <c r="Q2389" i="10" s="1"/>
  <c r="R2389" i="10" s="1"/>
  <c r="S2389" i="10" s="1"/>
  <c r="T2389" i="10" s="1"/>
  <c r="U2389" i="10" s="1"/>
  <c r="V2389" i="10" s="1"/>
  <c r="D2391" i="10" l="1"/>
  <c r="M2390" i="10"/>
  <c r="N2390" i="10" s="1"/>
  <c r="O2390" i="10" s="1"/>
  <c r="P2390" i="10" s="1"/>
  <c r="Q2390" i="10" s="1"/>
  <c r="R2390" i="10" s="1"/>
  <c r="S2390" i="10" s="1"/>
  <c r="T2390" i="10" s="1"/>
  <c r="U2390" i="10" s="1"/>
  <c r="V2390" i="10" s="1"/>
  <c r="D2392" i="10" l="1"/>
  <c r="M2391" i="10"/>
  <c r="N2391" i="10" s="1"/>
  <c r="O2391" i="10" s="1"/>
  <c r="P2391" i="10" s="1"/>
  <c r="Q2391" i="10" s="1"/>
  <c r="R2391" i="10" s="1"/>
  <c r="S2391" i="10" s="1"/>
  <c r="T2391" i="10" s="1"/>
  <c r="U2391" i="10" s="1"/>
  <c r="V2391" i="10" s="1"/>
  <c r="D2393" i="10" l="1"/>
  <c r="M2392" i="10"/>
  <c r="N2392" i="10" s="1"/>
  <c r="O2392" i="10" s="1"/>
  <c r="P2392" i="10" s="1"/>
  <c r="Q2392" i="10" s="1"/>
  <c r="R2392" i="10" s="1"/>
  <c r="S2392" i="10" s="1"/>
  <c r="T2392" i="10" s="1"/>
  <c r="U2392" i="10" s="1"/>
  <c r="V2392" i="10" s="1"/>
  <c r="D2394" i="10" l="1"/>
  <c r="M2393" i="10"/>
  <c r="N2393" i="10" s="1"/>
  <c r="O2393" i="10" s="1"/>
  <c r="P2393" i="10" s="1"/>
  <c r="Q2393" i="10" s="1"/>
  <c r="R2393" i="10" s="1"/>
  <c r="S2393" i="10" s="1"/>
  <c r="T2393" i="10" s="1"/>
  <c r="U2393" i="10" s="1"/>
  <c r="V2393" i="10" s="1"/>
  <c r="D2395" i="10" l="1"/>
  <c r="M2394" i="10"/>
  <c r="N2394" i="10" s="1"/>
  <c r="O2394" i="10" s="1"/>
  <c r="P2394" i="10" s="1"/>
  <c r="Q2394" i="10" s="1"/>
  <c r="R2394" i="10" s="1"/>
  <c r="S2394" i="10" s="1"/>
  <c r="T2394" i="10" s="1"/>
  <c r="U2394" i="10" s="1"/>
  <c r="V2394" i="10" s="1"/>
  <c r="D2396" i="10" l="1"/>
  <c r="M2395" i="10"/>
  <c r="N2395" i="10" s="1"/>
  <c r="O2395" i="10" s="1"/>
  <c r="P2395" i="10" s="1"/>
  <c r="Q2395" i="10" s="1"/>
  <c r="R2395" i="10" s="1"/>
  <c r="S2395" i="10" s="1"/>
  <c r="T2395" i="10" s="1"/>
  <c r="U2395" i="10" s="1"/>
  <c r="V2395" i="10" s="1"/>
  <c r="D2397" i="10" l="1"/>
  <c r="M2396" i="10"/>
  <c r="N2396" i="10" s="1"/>
  <c r="O2396" i="10" s="1"/>
  <c r="P2396" i="10" s="1"/>
  <c r="Q2396" i="10" s="1"/>
  <c r="R2396" i="10" s="1"/>
  <c r="S2396" i="10" s="1"/>
  <c r="T2396" i="10" s="1"/>
  <c r="U2396" i="10" s="1"/>
  <c r="V2396" i="10" s="1"/>
  <c r="D2398" i="10" l="1"/>
  <c r="M2397" i="10"/>
  <c r="N2397" i="10" s="1"/>
  <c r="O2397" i="10" s="1"/>
  <c r="P2397" i="10" s="1"/>
  <c r="Q2397" i="10" s="1"/>
  <c r="R2397" i="10" s="1"/>
  <c r="S2397" i="10" s="1"/>
  <c r="T2397" i="10" s="1"/>
  <c r="U2397" i="10" s="1"/>
  <c r="V2397" i="10" s="1"/>
  <c r="D2399" i="10" l="1"/>
  <c r="M2398" i="10"/>
  <c r="N2398" i="10" s="1"/>
  <c r="O2398" i="10" s="1"/>
  <c r="P2398" i="10" s="1"/>
  <c r="Q2398" i="10" s="1"/>
  <c r="R2398" i="10" s="1"/>
  <c r="S2398" i="10" s="1"/>
  <c r="T2398" i="10" s="1"/>
  <c r="U2398" i="10" s="1"/>
  <c r="V2398" i="10" s="1"/>
  <c r="D2400" i="10" l="1"/>
  <c r="M2399" i="10"/>
  <c r="N2399" i="10" s="1"/>
  <c r="O2399" i="10" s="1"/>
  <c r="P2399" i="10" s="1"/>
  <c r="Q2399" i="10" s="1"/>
  <c r="R2399" i="10" s="1"/>
  <c r="S2399" i="10" s="1"/>
  <c r="T2399" i="10" s="1"/>
  <c r="U2399" i="10" s="1"/>
  <c r="V2399" i="10" s="1"/>
  <c r="D2401" i="10" l="1"/>
  <c r="M2400" i="10"/>
  <c r="N2400" i="10" s="1"/>
  <c r="O2400" i="10" s="1"/>
  <c r="P2400" i="10" s="1"/>
  <c r="Q2400" i="10" s="1"/>
  <c r="R2400" i="10" s="1"/>
  <c r="S2400" i="10" s="1"/>
  <c r="T2400" i="10" s="1"/>
  <c r="U2400" i="10" s="1"/>
  <c r="V2400" i="10" s="1"/>
  <c r="D2402" i="10" l="1"/>
  <c r="M2401" i="10"/>
  <c r="N2401" i="10" s="1"/>
  <c r="O2401" i="10" s="1"/>
  <c r="P2401" i="10" s="1"/>
  <c r="Q2401" i="10" s="1"/>
  <c r="R2401" i="10" s="1"/>
  <c r="S2401" i="10" s="1"/>
  <c r="T2401" i="10" s="1"/>
  <c r="U2401" i="10" s="1"/>
  <c r="V2401" i="10" s="1"/>
  <c r="D2403" i="10" l="1"/>
  <c r="M2402" i="10"/>
  <c r="N2402" i="10" s="1"/>
  <c r="O2402" i="10" s="1"/>
  <c r="P2402" i="10" s="1"/>
  <c r="Q2402" i="10" s="1"/>
  <c r="R2402" i="10" s="1"/>
  <c r="S2402" i="10" s="1"/>
  <c r="T2402" i="10" s="1"/>
  <c r="U2402" i="10" s="1"/>
  <c r="V2402" i="10" s="1"/>
  <c r="D2404" i="10" l="1"/>
  <c r="M2403" i="10"/>
  <c r="N2403" i="10" s="1"/>
  <c r="O2403" i="10" s="1"/>
  <c r="P2403" i="10" s="1"/>
  <c r="Q2403" i="10" s="1"/>
  <c r="R2403" i="10" s="1"/>
  <c r="S2403" i="10" s="1"/>
  <c r="T2403" i="10" s="1"/>
  <c r="U2403" i="10" s="1"/>
  <c r="V2403" i="10" s="1"/>
  <c r="D2405" i="10" l="1"/>
  <c r="M2404" i="10"/>
  <c r="N2404" i="10" s="1"/>
  <c r="O2404" i="10" s="1"/>
  <c r="P2404" i="10" s="1"/>
  <c r="Q2404" i="10" s="1"/>
  <c r="R2404" i="10" s="1"/>
  <c r="S2404" i="10" s="1"/>
  <c r="T2404" i="10" s="1"/>
  <c r="U2404" i="10" s="1"/>
  <c r="V2404" i="10" s="1"/>
  <c r="D2406" i="10" l="1"/>
  <c r="M2405" i="10"/>
  <c r="N2405" i="10" s="1"/>
  <c r="O2405" i="10" s="1"/>
  <c r="P2405" i="10" s="1"/>
  <c r="Q2405" i="10" s="1"/>
  <c r="R2405" i="10" s="1"/>
  <c r="S2405" i="10" s="1"/>
  <c r="T2405" i="10" s="1"/>
  <c r="U2405" i="10" s="1"/>
  <c r="V2405" i="10" s="1"/>
  <c r="D2407" i="10" l="1"/>
  <c r="M2406" i="10"/>
  <c r="N2406" i="10" s="1"/>
  <c r="O2406" i="10" s="1"/>
  <c r="P2406" i="10" s="1"/>
  <c r="Q2406" i="10" s="1"/>
  <c r="R2406" i="10" s="1"/>
  <c r="S2406" i="10" s="1"/>
  <c r="T2406" i="10" s="1"/>
  <c r="U2406" i="10" s="1"/>
  <c r="V2406" i="10" s="1"/>
  <c r="D2408" i="10" l="1"/>
  <c r="M2407" i="10"/>
  <c r="N2407" i="10" s="1"/>
  <c r="O2407" i="10" s="1"/>
  <c r="P2407" i="10" s="1"/>
  <c r="Q2407" i="10" s="1"/>
  <c r="R2407" i="10" s="1"/>
  <c r="S2407" i="10" s="1"/>
  <c r="T2407" i="10" s="1"/>
  <c r="U2407" i="10" s="1"/>
  <c r="V2407" i="10" s="1"/>
  <c r="D2409" i="10" l="1"/>
  <c r="M2408" i="10"/>
  <c r="N2408" i="10" s="1"/>
  <c r="O2408" i="10" s="1"/>
  <c r="P2408" i="10" s="1"/>
  <c r="Q2408" i="10" s="1"/>
  <c r="R2408" i="10" s="1"/>
  <c r="S2408" i="10" s="1"/>
  <c r="T2408" i="10" s="1"/>
  <c r="U2408" i="10" s="1"/>
  <c r="V2408" i="10" s="1"/>
  <c r="D2410" i="10" l="1"/>
  <c r="M2409" i="10"/>
  <c r="N2409" i="10" s="1"/>
  <c r="O2409" i="10" s="1"/>
  <c r="P2409" i="10" s="1"/>
  <c r="Q2409" i="10" s="1"/>
  <c r="R2409" i="10" s="1"/>
  <c r="S2409" i="10" s="1"/>
  <c r="T2409" i="10" s="1"/>
  <c r="U2409" i="10" s="1"/>
  <c r="V2409" i="10" s="1"/>
  <c r="D2411" i="10" l="1"/>
  <c r="M2410" i="10"/>
  <c r="N2410" i="10" s="1"/>
  <c r="O2410" i="10" s="1"/>
  <c r="P2410" i="10" s="1"/>
  <c r="Q2410" i="10" s="1"/>
  <c r="R2410" i="10" s="1"/>
  <c r="S2410" i="10" s="1"/>
  <c r="T2410" i="10" s="1"/>
  <c r="U2410" i="10" s="1"/>
  <c r="V2410" i="10" s="1"/>
  <c r="D2412" i="10" l="1"/>
  <c r="M2411" i="10"/>
  <c r="N2411" i="10" s="1"/>
  <c r="O2411" i="10" s="1"/>
  <c r="P2411" i="10" s="1"/>
  <c r="Q2411" i="10" s="1"/>
  <c r="R2411" i="10" s="1"/>
  <c r="S2411" i="10" s="1"/>
  <c r="T2411" i="10" s="1"/>
  <c r="U2411" i="10" s="1"/>
  <c r="V2411" i="10" s="1"/>
  <c r="D2413" i="10" l="1"/>
  <c r="M2412" i="10"/>
  <c r="N2412" i="10" s="1"/>
  <c r="O2412" i="10" s="1"/>
  <c r="P2412" i="10" s="1"/>
  <c r="Q2412" i="10" s="1"/>
  <c r="R2412" i="10" s="1"/>
  <c r="S2412" i="10" s="1"/>
  <c r="T2412" i="10" s="1"/>
  <c r="U2412" i="10" s="1"/>
  <c r="V2412" i="10" s="1"/>
  <c r="D2414" i="10" l="1"/>
  <c r="M2413" i="10"/>
  <c r="N2413" i="10" s="1"/>
  <c r="O2413" i="10" s="1"/>
  <c r="P2413" i="10" s="1"/>
  <c r="Q2413" i="10" s="1"/>
  <c r="R2413" i="10" s="1"/>
  <c r="S2413" i="10" s="1"/>
  <c r="T2413" i="10" s="1"/>
  <c r="U2413" i="10" s="1"/>
  <c r="V2413" i="10" s="1"/>
  <c r="D2415" i="10" l="1"/>
  <c r="M2414" i="10"/>
  <c r="N2414" i="10" s="1"/>
  <c r="O2414" i="10" s="1"/>
  <c r="P2414" i="10" s="1"/>
  <c r="Q2414" i="10" s="1"/>
  <c r="R2414" i="10" s="1"/>
  <c r="S2414" i="10" s="1"/>
  <c r="T2414" i="10" s="1"/>
  <c r="U2414" i="10" s="1"/>
  <c r="V2414" i="10" s="1"/>
  <c r="D2416" i="10" l="1"/>
  <c r="M2415" i="10"/>
  <c r="N2415" i="10" s="1"/>
  <c r="O2415" i="10" s="1"/>
  <c r="P2415" i="10" s="1"/>
  <c r="Q2415" i="10" s="1"/>
  <c r="R2415" i="10" s="1"/>
  <c r="S2415" i="10" s="1"/>
  <c r="T2415" i="10" s="1"/>
  <c r="U2415" i="10" s="1"/>
  <c r="V2415" i="10" s="1"/>
  <c r="D2417" i="10" l="1"/>
  <c r="M2416" i="10"/>
  <c r="N2416" i="10" s="1"/>
  <c r="O2416" i="10" s="1"/>
  <c r="P2416" i="10" s="1"/>
  <c r="Q2416" i="10" s="1"/>
  <c r="R2416" i="10" s="1"/>
  <c r="S2416" i="10" s="1"/>
  <c r="T2416" i="10" s="1"/>
  <c r="U2416" i="10" s="1"/>
  <c r="V2416" i="10" s="1"/>
  <c r="D2418" i="10" l="1"/>
  <c r="M2417" i="10"/>
  <c r="N2417" i="10" s="1"/>
  <c r="O2417" i="10" s="1"/>
  <c r="P2417" i="10" s="1"/>
  <c r="Q2417" i="10" s="1"/>
  <c r="R2417" i="10" s="1"/>
  <c r="S2417" i="10" s="1"/>
  <c r="T2417" i="10" s="1"/>
  <c r="U2417" i="10" s="1"/>
  <c r="V2417" i="10" s="1"/>
  <c r="D2419" i="10" l="1"/>
  <c r="M2418" i="10"/>
  <c r="N2418" i="10" s="1"/>
  <c r="O2418" i="10" s="1"/>
  <c r="P2418" i="10" s="1"/>
  <c r="Q2418" i="10" s="1"/>
  <c r="R2418" i="10" s="1"/>
  <c r="S2418" i="10" s="1"/>
  <c r="T2418" i="10" s="1"/>
  <c r="U2418" i="10" s="1"/>
  <c r="V2418" i="10" s="1"/>
  <c r="D2420" i="10" l="1"/>
  <c r="M2419" i="10"/>
  <c r="N2419" i="10" s="1"/>
  <c r="O2419" i="10" s="1"/>
  <c r="P2419" i="10" s="1"/>
  <c r="Q2419" i="10" s="1"/>
  <c r="R2419" i="10" s="1"/>
  <c r="S2419" i="10" s="1"/>
  <c r="T2419" i="10" s="1"/>
  <c r="U2419" i="10" s="1"/>
  <c r="V2419" i="10" s="1"/>
  <c r="D2421" i="10" l="1"/>
  <c r="M2420" i="10"/>
  <c r="N2420" i="10" s="1"/>
  <c r="O2420" i="10" s="1"/>
  <c r="P2420" i="10" s="1"/>
  <c r="Q2420" i="10" s="1"/>
  <c r="R2420" i="10" s="1"/>
  <c r="S2420" i="10" s="1"/>
  <c r="T2420" i="10" s="1"/>
  <c r="U2420" i="10" s="1"/>
  <c r="V2420" i="10" s="1"/>
  <c r="D2422" i="10" l="1"/>
  <c r="M2421" i="10"/>
  <c r="N2421" i="10" s="1"/>
  <c r="O2421" i="10" s="1"/>
  <c r="P2421" i="10" s="1"/>
  <c r="Q2421" i="10" s="1"/>
  <c r="R2421" i="10" s="1"/>
  <c r="S2421" i="10" s="1"/>
  <c r="T2421" i="10" s="1"/>
  <c r="U2421" i="10" s="1"/>
  <c r="V2421" i="10" s="1"/>
  <c r="D2423" i="10" l="1"/>
  <c r="M2422" i="10"/>
  <c r="N2422" i="10" s="1"/>
  <c r="O2422" i="10" s="1"/>
  <c r="P2422" i="10" s="1"/>
  <c r="Q2422" i="10" s="1"/>
  <c r="R2422" i="10" s="1"/>
  <c r="S2422" i="10" s="1"/>
  <c r="T2422" i="10" s="1"/>
  <c r="U2422" i="10" s="1"/>
  <c r="V2422" i="10" s="1"/>
  <c r="D2424" i="10" l="1"/>
  <c r="M2423" i="10"/>
  <c r="N2423" i="10" s="1"/>
  <c r="O2423" i="10" s="1"/>
  <c r="P2423" i="10" s="1"/>
  <c r="Q2423" i="10" s="1"/>
  <c r="R2423" i="10" s="1"/>
  <c r="S2423" i="10" s="1"/>
  <c r="T2423" i="10" s="1"/>
  <c r="U2423" i="10" s="1"/>
  <c r="V2423" i="10" s="1"/>
  <c r="D2425" i="10" l="1"/>
  <c r="M2424" i="10"/>
  <c r="N2424" i="10" s="1"/>
  <c r="O2424" i="10" s="1"/>
  <c r="P2424" i="10" s="1"/>
  <c r="Q2424" i="10" s="1"/>
  <c r="R2424" i="10" s="1"/>
  <c r="S2424" i="10" s="1"/>
  <c r="T2424" i="10" s="1"/>
  <c r="U2424" i="10" s="1"/>
  <c r="V2424" i="10" s="1"/>
  <c r="D2426" i="10" l="1"/>
  <c r="M2425" i="10"/>
  <c r="N2425" i="10" s="1"/>
  <c r="O2425" i="10" s="1"/>
  <c r="P2425" i="10" s="1"/>
  <c r="Q2425" i="10" s="1"/>
  <c r="R2425" i="10" s="1"/>
  <c r="S2425" i="10" s="1"/>
  <c r="T2425" i="10" s="1"/>
  <c r="U2425" i="10" s="1"/>
  <c r="V2425" i="10" s="1"/>
  <c r="D2427" i="10" l="1"/>
  <c r="M2426" i="10"/>
  <c r="N2426" i="10" s="1"/>
  <c r="O2426" i="10" s="1"/>
  <c r="P2426" i="10" s="1"/>
  <c r="Q2426" i="10" s="1"/>
  <c r="R2426" i="10" s="1"/>
  <c r="S2426" i="10" s="1"/>
  <c r="T2426" i="10" s="1"/>
  <c r="U2426" i="10" s="1"/>
  <c r="V2426" i="10" s="1"/>
  <c r="D2428" i="10" l="1"/>
  <c r="M2427" i="10"/>
  <c r="N2427" i="10" s="1"/>
  <c r="O2427" i="10" s="1"/>
  <c r="P2427" i="10" s="1"/>
  <c r="Q2427" i="10" s="1"/>
  <c r="R2427" i="10" s="1"/>
  <c r="S2427" i="10" s="1"/>
  <c r="T2427" i="10" s="1"/>
  <c r="U2427" i="10" s="1"/>
  <c r="V2427" i="10" s="1"/>
  <c r="D2429" i="10" l="1"/>
  <c r="M2428" i="10"/>
  <c r="N2428" i="10" s="1"/>
  <c r="O2428" i="10" s="1"/>
  <c r="P2428" i="10" s="1"/>
  <c r="Q2428" i="10" s="1"/>
  <c r="R2428" i="10" s="1"/>
  <c r="S2428" i="10" s="1"/>
  <c r="T2428" i="10" s="1"/>
  <c r="U2428" i="10" s="1"/>
  <c r="V2428" i="10" s="1"/>
  <c r="D2430" i="10" l="1"/>
  <c r="M2429" i="10"/>
  <c r="N2429" i="10" s="1"/>
  <c r="O2429" i="10" s="1"/>
  <c r="P2429" i="10" s="1"/>
  <c r="Q2429" i="10" s="1"/>
  <c r="R2429" i="10" s="1"/>
  <c r="S2429" i="10" s="1"/>
  <c r="T2429" i="10" s="1"/>
  <c r="U2429" i="10" s="1"/>
  <c r="V2429" i="10" s="1"/>
  <c r="D2431" i="10" l="1"/>
  <c r="M2430" i="10"/>
  <c r="N2430" i="10" s="1"/>
  <c r="O2430" i="10" s="1"/>
  <c r="P2430" i="10" s="1"/>
  <c r="Q2430" i="10" s="1"/>
  <c r="R2430" i="10" s="1"/>
  <c r="S2430" i="10" s="1"/>
  <c r="T2430" i="10" s="1"/>
  <c r="U2430" i="10" s="1"/>
  <c r="V2430" i="10" s="1"/>
  <c r="D2432" i="10" l="1"/>
  <c r="M2431" i="10"/>
  <c r="N2431" i="10" s="1"/>
  <c r="O2431" i="10" s="1"/>
  <c r="P2431" i="10" s="1"/>
  <c r="Q2431" i="10" s="1"/>
  <c r="R2431" i="10" s="1"/>
  <c r="S2431" i="10" s="1"/>
  <c r="T2431" i="10" s="1"/>
  <c r="U2431" i="10" s="1"/>
  <c r="V2431" i="10" s="1"/>
  <c r="D2433" i="10" l="1"/>
  <c r="M2432" i="10"/>
  <c r="N2432" i="10" s="1"/>
  <c r="O2432" i="10" s="1"/>
  <c r="P2432" i="10" s="1"/>
  <c r="Q2432" i="10" s="1"/>
  <c r="R2432" i="10" s="1"/>
  <c r="S2432" i="10" s="1"/>
  <c r="T2432" i="10" s="1"/>
  <c r="U2432" i="10" s="1"/>
  <c r="V2432" i="10" s="1"/>
  <c r="D2434" i="10" l="1"/>
  <c r="M2433" i="10"/>
  <c r="N2433" i="10" s="1"/>
  <c r="O2433" i="10" s="1"/>
  <c r="P2433" i="10" s="1"/>
  <c r="Q2433" i="10" s="1"/>
  <c r="R2433" i="10" s="1"/>
  <c r="S2433" i="10" s="1"/>
  <c r="T2433" i="10" s="1"/>
  <c r="U2433" i="10" s="1"/>
  <c r="V2433" i="10" s="1"/>
  <c r="D2435" i="10" l="1"/>
  <c r="M2434" i="10"/>
  <c r="N2434" i="10" s="1"/>
  <c r="O2434" i="10" s="1"/>
  <c r="P2434" i="10" s="1"/>
  <c r="Q2434" i="10" s="1"/>
  <c r="R2434" i="10" s="1"/>
  <c r="S2434" i="10" s="1"/>
  <c r="T2434" i="10" s="1"/>
  <c r="U2434" i="10" s="1"/>
  <c r="V2434" i="10" s="1"/>
  <c r="D2436" i="10" l="1"/>
  <c r="M2435" i="10"/>
  <c r="N2435" i="10" s="1"/>
  <c r="O2435" i="10" s="1"/>
  <c r="P2435" i="10" s="1"/>
  <c r="Q2435" i="10" s="1"/>
  <c r="R2435" i="10" s="1"/>
  <c r="S2435" i="10" s="1"/>
  <c r="T2435" i="10" s="1"/>
  <c r="U2435" i="10" s="1"/>
  <c r="V2435" i="10" s="1"/>
  <c r="D2437" i="10" l="1"/>
  <c r="M2436" i="10"/>
  <c r="N2436" i="10" s="1"/>
  <c r="O2436" i="10" s="1"/>
  <c r="P2436" i="10" s="1"/>
  <c r="Q2436" i="10" s="1"/>
  <c r="R2436" i="10" s="1"/>
  <c r="S2436" i="10" s="1"/>
  <c r="T2436" i="10" s="1"/>
  <c r="U2436" i="10" s="1"/>
  <c r="V2436" i="10" s="1"/>
  <c r="D2438" i="10" l="1"/>
  <c r="M2437" i="10"/>
  <c r="N2437" i="10" s="1"/>
  <c r="O2437" i="10" s="1"/>
  <c r="P2437" i="10" s="1"/>
  <c r="Q2437" i="10" s="1"/>
  <c r="R2437" i="10" s="1"/>
  <c r="S2437" i="10" s="1"/>
  <c r="T2437" i="10" s="1"/>
  <c r="U2437" i="10" s="1"/>
  <c r="V2437" i="10" s="1"/>
  <c r="D2439" i="10" l="1"/>
  <c r="M2438" i="10"/>
  <c r="N2438" i="10" s="1"/>
  <c r="O2438" i="10" s="1"/>
  <c r="P2438" i="10" s="1"/>
  <c r="Q2438" i="10" s="1"/>
  <c r="R2438" i="10" s="1"/>
  <c r="S2438" i="10" s="1"/>
  <c r="T2438" i="10" s="1"/>
  <c r="U2438" i="10" s="1"/>
  <c r="V2438" i="10" s="1"/>
  <c r="D2440" i="10" l="1"/>
  <c r="M2439" i="10"/>
  <c r="N2439" i="10" s="1"/>
  <c r="O2439" i="10" s="1"/>
  <c r="P2439" i="10" s="1"/>
  <c r="Q2439" i="10" s="1"/>
  <c r="R2439" i="10" s="1"/>
  <c r="S2439" i="10" s="1"/>
  <c r="T2439" i="10" s="1"/>
  <c r="U2439" i="10" s="1"/>
  <c r="V2439" i="10" s="1"/>
  <c r="D2441" i="10" l="1"/>
  <c r="M2440" i="10"/>
  <c r="N2440" i="10" s="1"/>
  <c r="O2440" i="10" s="1"/>
  <c r="P2440" i="10" s="1"/>
  <c r="Q2440" i="10" s="1"/>
  <c r="R2440" i="10" s="1"/>
  <c r="S2440" i="10" s="1"/>
  <c r="T2440" i="10" s="1"/>
  <c r="U2440" i="10" s="1"/>
  <c r="V2440" i="10" s="1"/>
  <c r="D2442" i="10" l="1"/>
  <c r="M2441" i="10"/>
  <c r="N2441" i="10" s="1"/>
  <c r="O2441" i="10" s="1"/>
  <c r="P2441" i="10" s="1"/>
  <c r="Q2441" i="10" s="1"/>
  <c r="R2441" i="10" s="1"/>
  <c r="S2441" i="10" s="1"/>
  <c r="T2441" i="10" s="1"/>
  <c r="U2441" i="10" s="1"/>
  <c r="V2441" i="10" s="1"/>
  <c r="D2443" i="10" l="1"/>
  <c r="M2442" i="10"/>
  <c r="N2442" i="10" s="1"/>
  <c r="O2442" i="10" s="1"/>
  <c r="P2442" i="10" s="1"/>
  <c r="Q2442" i="10" s="1"/>
  <c r="R2442" i="10" s="1"/>
  <c r="S2442" i="10" s="1"/>
  <c r="T2442" i="10" s="1"/>
  <c r="U2442" i="10" s="1"/>
  <c r="V2442" i="10" s="1"/>
  <c r="D2444" i="10" l="1"/>
  <c r="M2443" i="10"/>
  <c r="N2443" i="10" s="1"/>
  <c r="O2443" i="10" s="1"/>
  <c r="P2443" i="10" s="1"/>
  <c r="Q2443" i="10" s="1"/>
  <c r="R2443" i="10" s="1"/>
  <c r="S2443" i="10" s="1"/>
  <c r="T2443" i="10" s="1"/>
  <c r="U2443" i="10" s="1"/>
  <c r="V2443" i="10" s="1"/>
  <c r="D2445" i="10" l="1"/>
  <c r="M2444" i="10"/>
  <c r="N2444" i="10" s="1"/>
  <c r="O2444" i="10" s="1"/>
  <c r="P2444" i="10" s="1"/>
  <c r="Q2444" i="10" s="1"/>
  <c r="R2444" i="10" s="1"/>
  <c r="S2444" i="10" s="1"/>
  <c r="T2444" i="10" s="1"/>
  <c r="U2444" i="10" s="1"/>
  <c r="V2444" i="10" s="1"/>
  <c r="D2446" i="10" l="1"/>
  <c r="M2445" i="10"/>
  <c r="N2445" i="10" s="1"/>
  <c r="O2445" i="10" s="1"/>
  <c r="P2445" i="10" s="1"/>
  <c r="Q2445" i="10" s="1"/>
  <c r="R2445" i="10" s="1"/>
  <c r="S2445" i="10" s="1"/>
  <c r="T2445" i="10" s="1"/>
  <c r="U2445" i="10" s="1"/>
  <c r="V2445" i="10" s="1"/>
  <c r="D2447" i="10" l="1"/>
  <c r="M2446" i="10"/>
  <c r="N2446" i="10" s="1"/>
  <c r="O2446" i="10" s="1"/>
  <c r="P2446" i="10" s="1"/>
  <c r="Q2446" i="10" s="1"/>
  <c r="R2446" i="10" s="1"/>
  <c r="S2446" i="10" s="1"/>
  <c r="T2446" i="10" s="1"/>
  <c r="U2446" i="10" s="1"/>
  <c r="V2446" i="10" s="1"/>
  <c r="D2448" i="10" l="1"/>
  <c r="M2447" i="10"/>
  <c r="N2447" i="10" s="1"/>
  <c r="O2447" i="10" s="1"/>
  <c r="P2447" i="10" s="1"/>
  <c r="Q2447" i="10" s="1"/>
  <c r="R2447" i="10" s="1"/>
  <c r="S2447" i="10" s="1"/>
  <c r="T2447" i="10" s="1"/>
  <c r="U2447" i="10" s="1"/>
  <c r="V2447" i="10" s="1"/>
  <c r="D2449" i="10" l="1"/>
  <c r="M2448" i="10"/>
  <c r="N2448" i="10" s="1"/>
  <c r="O2448" i="10" s="1"/>
  <c r="P2448" i="10" s="1"/>
  <c r="Q2448" i="10" s="1"/>
  <c r="R2448" i="10" s="1"/>
  <c r="S2448" i="10" s="1"/>
  <c r="T2448" i="10" s="1"/>
  <c r="U2448" i="10" s="1"/>
  <c r="V2448" i="10" s="1"/>
  <c r="D2450" i="10" l="1"/>
  <c r="M2449" i="10"/>
  <c r="N2449" i="10" s="1"/>
  <c r="O2449" i="10" s="1"/>
  <c r="P2449" i="10" s="1"/>
  <c r="Q2449" i="10" s="1"/>
  <c r="R2449" i="10" s="1"/>
  <c r="S2449" i="10" s="1"/>
  <c r="T2449" i="10" s="1"/>
  <c r="U2449" i="10" s="1"/>
  <c r="V2449" i="10" s="1"/>
  <c r="D2451" i="10" l="1"/>
  <c r="M2450" i="10"/>
  <c r="N2450" i="10" s="1"/>
  <c r="O2450" i="10" s="1"/>
  <c r="P2450" i="10" s="1"/>
  <c r="Q2450" i="10" s="1"/>
  <c r="R2450" i="10" s="1"/>
  <c r="S2450" i="10" s="1"/>
  <c r="T2450" i="10" s="1"/>
  <c r="U2450" i="10" s="1"/>
  <c r="V2450" i="10" s="1"/>
  <c r="D2452" i="10" l="1"/>
  <c r="M2451" i="10"/>
  <c r="N2451" i="10" s="1"/>
  <c r="O2451" i="10" s="1"/>
  <c r="P2451" i="10" s="1"/>
  <c r="Q2451" i="10" s="1"/>
  <c r="R2451" i="10" s="1"/>
  <c r="S2451" i="10" s="1"/>
  <c r="T2451" i="10" s="1"/>
  <c r="U2451" i="10" s="1"/>
  <c r="V2451" i="10" s="1"/>
  <c r="D2453" i="10" l="1"/>
  <c r="M2452" i="10"/>
  <c r="N2452" i="10" s="1"/>
  <c r="O2452" i="10" s="1"/>
  <c r="P2452" i="10" s="1"/>
  <c r="Q2452" i="10" s="1"/>
  <c r="R2452" i="10" s="1"/>
  <c r="S2452" i="10" s="1"/>
  <c r="T2452" i="10" s="1"/>
  <c r="U2452" i="10" s="1"/>
  <c r="V2452" i="10" s="1"/>
  <c r="D2454" i="10" l="1"/>
  <c r="M2453" i="10"/>
  <c r="N2453" i="10" s="1"/>
  <c r="O2453" i="10" s="1"/>
  <c r="P2453" i="10" s="1"/>
  <c r="Q2453" i="10" s="1"/>
  <c r="R2453" i="10" s="1"/>
  <c r="S2453" i="10" s="1"/>
  <c r="T2453" i="10" s="1"/>
  <c r="U2453" i="10" s="1"/>
  <c r="V2453" i="10" s="1"/>
  <c r="D2455" i="10" l="1"/>
  <c r="M2454" i="10"/>
  <c r="N2454" i="10" s="1"/>
  <c r="O2454" i="10" s="1"/>
  <c r="P2454" i="10" s="1"/>
  <c r="Q2454" i="10" s="1"/>
  <c r="R2454" i="10" s="1"/>
  <c r="S2454" i="10" s="1"/>
  <c r="T2454" i="10" s="1"/>
  <c r="U2454" i="10" s="1"/>
  <c r="V2454" i="10" s="1"/>
  <c r="D2456" i="10" l="1"/>
  <c r="M2455" i="10"/>
  <c r="N2455" i="10" s="1"/>
  <c r="O2455" i="10" s="1"/>
  <c r="P2455" i="10" s="1"/>
  <c r="Q2455" i="10" s="1"/>
  <c r="R2455" i="10" s="1"/>
  <c r="S2455" i="10" s="1"/>
  <c r="T2455" i="10" s="1"/>
  <c r="U2455" i="10" s="1"/>
  <c r="V2455" i="10" s="1"/>
  <c r="D2457" i="10" l="1"/>
  <c r="M2456" i="10"/>
  <c r="N2456" i="10" s="1"/>
  <c r="O2456" i="10" s="1"/>
  <c r="P2456" i="10" s="1"/>
  <c r="Q2456" i="10" s="1"/>
  <c r="R2456" i="10" s="1"/>
  <c r="S2456" i="10" s="1"/>
  <c r="T2456" i="10" s="1"/>
  <c r="U2456" i="10" s="1"/>
  <c r="V2456" i="10" s="1"/>
  <c r="D2458" i="10" l="1"/>
  <c r="M2457" i="10"/>
  <c r="N2457" i="10" s="1"/>
  <c r="O2457" i="10" s="1"/>
  <c r="P2457" i="10" s="1"/>
  <c r="Q2457" i="10" s="1"/>
  <c r="R2457" i="10" s="1"/>
  <c r="S2457" i="10" s="1"/>
  <c r="T2457" i="10" s="1"/>
  <c r="U2457" i="10" s="1"/>
  <c r="V2457" i="10" s="1"/>
  <c r="D2459" i="10" l="1"/>
  <c r="M2458" i="10"/>
  <c r="N2458" i="10" s="1"/>
  <c r="O2458" i="10" s="1"/>
  <c r="P2458" i="10" s="1"/>
  <c r="Q2458" i="10" s="1"/>
  <c r="R2458" i="10" s="1"/>
  <c r="S2458" i="10" s="1"/>
  <c r="T2458" i="10" s="1"/>
  <c r="U2458" i="10" s="1"/>
  <c r="V2458" i="10" s="1"/>
  <c r="D2460" i="10" l="1"/>
  <c r="M2459" i="10"/>
  <c r="N2459" i="10" s="1"/>
  <c r="O2459" i="10" s="1"/>
  <c r="P2459" i="10" s="1"/>
  <c r="Q2459" i="10" s="1"/>
  <c r="R2459" i="10" s="1"/>
  <c r="S2459" i="10" s="1"/>
  <c r="T2459" i="10" s="1"/>
  <c r="U2459" i="10" s="1"/>
  <c r="V2459" i="10" s="1"/>
  <c r="D2461" i="10" l="1"/>
  <c r="M2460" i="10"/>
  <c r="N2460" i="10" s="1"/>
  <c r="O2460" i="10" s="1"/>
  <c r="P2460" i="10" s="1"/>
  <c r="Q2460" i="10" s="1"/>
  <c r="R2460" i="10" s="1"/>
  <c r="S2460" i="10" s="1"/>
  <c r="T2460" i="10" s="1"/>
  <c r="U2460" i="10" s="1"/>
  <c r="V2460" i="10" s="1"/>
  <c r="D2462" i="10" l="1"/>
  <c r="M2461" i="10"/>
  <c r="N2461" i="10" s="1"/>
  <c r="O2461" i="10" s="1"/>
  <c r="P2461" i="10" s="1"/>
  <c r="Q2461" i="10" s="1"/>
  <c r="R2461" i="10" s="1"/>
  <c r="S2461" i="10" s="1"/>
  <c r="T2461" i="10" s="1"/>
  <c r="U2461" i="10" s="1"/>
  <c r="V2461" i="10" s="1"/>
  <c r="D2463" i="10" l="1"/>
  <c r="M2462" i="10"/>
  <c r="N2462" i="10" s="1"/>
  <c r="O2462" i="10" s="1"/>
  <c r="P2462" i="10" s="1"/>
  <c r="Q2462" i="10" s="1"/>
  <c r="R2462" i="10" s="1"/>
  <c r="S2462" i="10" s="1"/>
  <c r="T2462" i="10" s="1"/>
  <c r="U2462" i="10" s="1"/>
  <c r="V2462" i="10" s="1"/>
  <c r="D2464" i="10" l="1"/>
  <c r="M2463" i="10"/>
  <c r="N2463" i="10" s="1"/>
  <c r="O2463" i="10" s="1"/>
  <c r="P2463" i="10" s="1"/>
  <c r="Q2463" i="10" s="1"/>
  <c r="R2463" i="10" s="1"/>
  <c r="S2463" i="10" s="1"/>
  <c r="T2463" i="10" s="1"/>
  <c r="U2463" i="10" s="1"/>
  <c r="V2463" i="10" s="1"/>
  <c r="D2465" i="10" l="1"/>
  <c r="M2464" i="10"/>
  <c r="N2464" i="10" s="1"/>
  <c r="O2464" i="10" s="1"/>
  <c r="P2464" i="10" s="1"/>
  <c r="Q2464" i="10" s="1"/>
  <c r="R2464" i="10" s="1"/>
  <c r="S2464" i="10" s="1"/>
  <c r="T2464" i="10" s="1"/>
  <c r="U2464" i="10" s="1"/>
  <c r="V2464" i="10" s="1"/>
  <c r="D2466" i="10" l="1"/>
  <c r="M2465" i="10"/>
  <c r="N2465" i="10" s="1"/>
  <c r="O2465" i="10" s="1"/>
  <c r="P2465" i="10" s="1"/>
  <c r="Q2465" i="10" s="1"/>
  <c r="R2465" i="10" s="1"/>
  <c r="S2465" i="10" s="1"/>
  <c r="T2465" i="10" s="1"/>
  <c r="U2465" i="10" s="1"/>
  <c r="V2465" i="10" s="1"/>
  <c r="D2467" i="10" l="1"/>
  <c r="M2466" i="10"/>
  <c r="N2466" i="10" s="1"/>
  <c r="O2466" i="10" s="1"/>
  <c r="P2466" i="10" s="1"/>
  <c r="Q2466" i="10" s="1"/>
  <c r="R2466" i="10" s="1"/>
  <c r="S2466" i="10" s="1"/>
  <c r="T2466" i="10" s="1"/>
  <c r="U2466" i="10" s="1"/>
  <c r="V2466" i="10" s="1"/>
  <c r="D2468" i="10" l="1"/>
  <c r="M2467" i="10"/>
  <c r="N2467" i="10" s="1"/>
  <c r="O2467" i="10" s="1"/>
  <c r="P2467" i="10" s="1"/>
  <c r="Q2467" i="10" s="1"/>
  <c r="R2467" i="10" s="1"/>
  <c r="S2467" i="10" s="1"/>
  <c r="T2467" i="10" s="1"/>
  <c r="U2467" i="10" s="1"/>
  <c r="V2467" i="10" s="1"/>
  <c r="D2469" i="10" l="1"/>
  <c r="M2468" i="10"/>
  <c r="N2468" i="10" s="1"/>
  <c r="O2468" i="10" s="1"/>
  <c r="P2468" i="10" s="1"/>
  <c r="Q2468" i="10" s="1"/>
  <c r="R2468" i="10" s="1"/>
  <c r="S2468" i="10" s="1"/>
  <c r="T2468" i="10" s="1"/>
  <c r="U2468" i="10" s="1"/>
  <c r="V2468" i="10" s="1"/>
  <c r="D2470" i="10" l="1"/>
  <c r="M2469" i="10"/>
  <c r="N2469" i="10" s="1"/>
  <c r="O2469" i="10" s="1"/>
  <c r="P2469" i="10" s="1"/>
  <c r="Q2469" i="10" s="1"/>
  <c r="R2469" i="10" s="1"/>
  <c r="S2469" i="10" s="1"/>
  <c r="T2469" i="10" s="1"/>
  <c r="U2469" i="10" s="1"/>
  <c r="V2469" i="10" s="1"/>
  <c r="D2471" i="10" l="1"/>
  <c r="M2470" i="10"/>
  <c r="N2470" i="10" s="1"/>
  <c r="O2470" i="10" s="1"/>
  <c r="P2470" i="10" s="1"/>
  <c r="Q2470" i="10" s="1"/>
  <c r="R2470" i="10" s="1"/>
  <c r="S2470" i="10" s="1"/>
  <c r="T2470" i="10" s="1"/>
  <c r="U2470" i="10" s="1"/>
  <c r="V2470" i="10" s="1"/>
  <c r="D2472" i="10" l="1"/>
  <c r="M2471" i="10"/>
  <c r="N2471" i="10" s="1"/>
  <c r="O2471" i="10" s="1"/>
  <c r="P2471" i="10" s="1"/>
  <c r="Q2471" i="10" s="1"/>
  <c r="R2471" i="10" s="1"/>
  <c r="S2471" i="10" s="1"/>
  <c r="T2471" i="10" s="1"/>
  <c r="U2471" i="10" s="1"/>
  <c r="V2471" i="10" s="1"/>
  <c r="D2473" i="10" l="1"/>
  <c r="M2472" i="10"/>
  <c r="N2472" i="10" s="1"/>
  <c r="O2472" i="10" s="1"/>
  <c r="P2472" i="10" s="1"/>
  <c r="Q2472" i="10" s="1"/>
  <c r="R2472" i="10" s="1"/>
  <c r="S2472" i="10" s="1"/>
  <c r="T2472" i="10" s="1"/>
  <c r="U2472" i="10" s="1"/>
  <c r="V2472" i="10" s="1"/>
  <c r="D2474" i="10" l="1"/>
  <c r="M2473" i="10"/>
  <c r="N2473" i="10" s="1"/>
  <c r="O2473" i="10" s="1"/>
  <c r="P2473" i="10" s="1"/>
  <c r="Q2473" i="10" s="1"/>
  <c r="R2473" i="10" s="1"/>
  <c r="S2473" i="10" s="1"/>
  <c r="T2473" i="10" s="1"/>
  <c r="U2473" i="10" s="1"/>
  <c r="V2473" i="10" s="1"/>
  <c r="D2475" i="10" l="1"/>
  <c r="M2474" i="10"/>
  <c r="N2474" i="10" s="1"/>
  <c r="O2474" i="10" s="1"/>
  <c r="P2474" i="10" s="1"/>
  <c r="Q2474" i="10" s="1"/>
  <c r="R2474" i="10" s="1"/>
  <c r="S2474" i="10" s="1"/>
  <c r="T2474" i="10" s="1"/>
  <c r="U2474" i="10" s="1"/>
  <c r="V2474" i="10" s="1"/>
  <c r="D2476" i="10" l="1"/>
  <c r="M2475" i="10"/>
  <c r="N2475" i="10" s="1"/>
  <c r="O2475" i="10" s="1"/>
  <c r="P2475" i="10" s="1"/>
  <c r="Q2475" i="10" s="1"/>
  <c r="R2475" i="10" s="1"/>
  <c r="S2475" i="10" s="1"/>
  <c r="T2475" i="10" s="1"/>
  <c r="U2475" i="10" s="1"/>
  <c r="V2475" i="10" s="1"/>
  <c r="D2477" i="10" l="1"/>
  <c r="M2476" i="10"/>
  <c r="N2476" i="10" s="1"/>
  <c r="O2476" i="10" s="1"/>
  <c r="P2476" i="10" s="1"/>
  <c r="Q2476" i="10" s="1"/>
  <c r="R2476" i="10" s="1"/>
  <c r="S2476" i="10" s="1"/>
  <c r="T2476" i="10" s="1"/>
  <c r="U2476" i="10" s="1"/>
  <c r="V2476" i="10" s="1"/>
  <c r="D2478" i="10" l="1"/>
  <c r="M2477" i="10"/>
  <c r="N2477" i="10" s="1"/>
  <c r="O2477" i="10" s="1"/>
  <c r="P2477" i="10" s="1"/>
  <c r="Q2477" i="10" s="1"/>
  <c r="R2477" i="10" s="1"/>
  <c r="S2477" i="10" s="1"/>
  <c r="T2477" i="10" s="1"/>
  <c r="U2477" i="10" s="1"/>
  <c r="V2477" i="10" s="1"/>
  <c r="D2479" i="10" l="1"/>
  <c r="M2478" i="10"/>
  <c r="N2478" i="10" s="1"/>
  <c r="O2478" i="10" s="1"/>
  <c r="P2478" i="10" s="1"/>
  <c r="Q2478" i="10" s="1"/>
  <c r="R2478" i="10" s="1"/>
  <c r="S2478" i="10" s="1"/>
  <c r="T2478" i="10" s="1"/>
  <c r="U2478" i="10" s="1"/>
  <c r="V2478" i="10" s="1"/>
  <c r="D2480" i="10" l="1"/>
  <c r="M2479" i="10"/>
  <c r="N2479" i="10" s="1"/>
  <c r="O2479" i="10" s="1"/>
  <c r="P2479" i="10" s="1"/>
  <c r="Q2479" i="10" s="1"/>
  <c r="R2479" i="10" s="1"/>
  <c r="S2479" i="10" s="1"/>
  <c r="T2479" i="10" s="1"/>
  <c r="U2479" i="10" s="1"/>
  <c r="V2479" i="10" s="1"/>
  <c r="D2481" i="10" l="1"/>
  <c r="M2480" i="10"/>
  <c r="N2480" i="10" s="1"/>
  <c r="O2480" i="10" s="1"/>
  <c r="P2480" i="10" s="1"/>
  <c r="Q2480" i="10" s="1"/>
  <c r="R2480" i="10" s="1"/>
  <c r="S2480" i="10" s="1"/>
  <c r="T2480" i="10" s="1"/>
  <c r="U2480" i="10" s="1"/>
  <c r="V2480" i="10" s="1"/>
  <c r="D2482" i="10" l="1"/>
  <c r="M2481" i="10"/>
  <c r="N2481" i="10" s="1"/>
  <c r="O2481" i="10" s="1"/>
  <c r="P2481" i="10" s="1"/>
  <c r="Q2481" i="10" s="1"/>
  <c r="R2481" i="10" s="1"/>
  <c r="S2481" i="10" s="1"/>
  <c r="T2481" i="10" s="1"/>
  <c r="U2481" i="10" s="1"/>
  <c r="V2481" i="10" s="1"/>
  <c r="D2483" i="10" l="1"/>
  <c r="M2482" i="10"/>
  <c r="N2482" i="10" s="1"/>
  <c r="O2482" i="10" s="1"/>
  <c r="P2482" i="10" s="1"/>
  <c r="Q2482" i="10" s="1"/>
  <c r="R2482" i="10" s="1"/>
  <c r="S2482" i="10" s="1"/>
  <c r="T2482" i="10" s="1"/>
  <c r="U2482" i="10" s="1"/>
  <c r="V2482" i="10" s="1"/>
  <c r="D2484" i="10" l="1"/>
  <c r="M2483" i="10"/>
  <c r="N2483" i="10" s="1"/>
  <c r="O2483" i="10" s="1"/>
  <c r="P2483" i="10" s="1"/>
  <c r="Q2483" i="10" s="1"/>
  <c r="R2483" i="10" s="1"/>
  <c r="S2483" i="10" s="1"/>
  <c r="T2483" i="10" s="1"/>
  <c r="U2483" i="10" s="1"/>
  <c r="V2483" i="10" s="1"/>
  <c r="D2485" i="10" l="1"/>
  <c r="M2484" i="10"/>
  <c r="N2484" i="10" s="1"/>
  <c r="O2484" i="10" s="1"/>
  <c r="P2484" i="10" s="1"/>
  <c r="Q2484" i="10" s="1"/>
  <c r="R2484" i="10" s="1"/>
  <c r="S2484" i="10" s="1"/>
  <c r="T2484" i="10" s="1"/>
  <c r="U2484" i="10" s="1"/>
  <c r="V2484" i="10" s="1"/>
  <c r="D2486" i="10" l="1"/>
  <c r="M2485" i="10"/>
  <c r="N2485" i="10" s="1"/>
  <c r="O2485" i="10" s="1"/>
  <c r="P2485" i="10" s="1"/>
  <c r="Q2485" i="10" s="1"/>
  <c r="R2485" i="10" s="1"/>
  <c r="S2485" i="10" s="1"/>
  <c r="T2485" i="10" s="1"/>
  <c r="U2485" i="10" s="1"/>
  <c r="V2485" i="10" s="1"/>
  <c r="D2487" i="10" l="1"/>
  <c r="M2486" i="10"/>
  <c r="N2486" i="10" s="1"/>
  <c r="O2486" i="10" s="1"/>
  <c r="P2486" i="10" s="1"/>
  <c r="Q2486" i="10" s="1"/>
  <c r="R2486" i="10" s="1"/>
  <c r="S2486" i="10" s="1"/>
  <c r="T2486" i="10" s="1"/>
  <c r="U2486" i="10" s="1"/>
  <c r="V2486" i="10" s="1"/>
  <c r="D2488" i="10" l="1"/>
  <c r="M2487" i="10"/>
  <c r="N2487" i="10" s="1"/>
  <c r="O2487" i="10" s="1"/>
  <c r="P2487" i="10" s="1"/>
  <c r="Q2487" i="10" s="1"/>
  <c r="R2487" i="10" s="1"/>
  <c r="S2487" i="10" s="1"/>
  <c r="T2487" i="10" s="1"/>
  <c r="U2487" i="10" s="1"/>
  <c r="V2487" i="10" s="1"/>
  <c r="D2489" i="10" l="1"/>
  <c r="M2488" i="10"/>
  <c r="N2488" i="10" s="1"/>
  <c r="O2488" i="10" s="1"/>
  <c r="P2488" i="10" s="1"/>
  <c r="Q2488" i="10" s="1"/>
  <c r="R2488" i="10" s="1"/>
  <c r="S2488" i="10" s="1"/>
  <c r="T2488" i="10" s="1"/>
  <c r="U2488" i="10" s="1"/>
  <c r="V2488" i="10" s="1"/>
  <c r="D2490" i="10" l="1"/>
  <c r="M2489" i="10"/>
  <c r="N2489" i="10" s="1"/>
  <c r="O2489" i="10" s="1"/>
  <c r="P2489" i="10" s="1"/>
  <c r="Q2489" i="10" s="1"/>
  <c r="R2489" i="10" s="1"/>
  <c r="S2489" i="10" s="1"/>
  <c r="T2489" i="10" s="1"/>
  <c r="U2489" i="10" s="1"/>
  <c r="V2489" i="10" s="1"/>
  <c r="D2491" i="10" l="1"/>
  <c r="M2490" i="10"/>
  <c r="N2490" i="10" s="1"/>
  <c r="O2490" i="10" s="1"/>
  <c r="P2490" i="10" s="1"/>
  <c r="Q2490" i="10" s="1"/>
  <c r="R2490" i="10" s="1"/>
  <c r="S2490" i="10" s="1"/>
  <c r="T2490" i="10" s="1"/>
  <c r="U2490" i="10" s="1"/>
  <c r="V2490" i="10" s="1"/>
  <c r="D2492" i="10" l="1"/>
  <c r="M2491" i="10"/>
  <c r="N2491" i="10" s="1"/>
  <c r="O2491" i="10" s="1"/>
  <c r="P2491" i="10" s="1"/>
  <c r="Q2491" i="10" s="1"/>
  <c r="R2491" i="10" s="1"/>
  <c r="S2491" i="10" s="1"/>
  <c r="T2491" i="10" s="1"/>
  <c r="U2491" i="10" s="1"/>
  <c r="V2491" i="10" s="1"/>
  <c r="D2493" i="10" l="1"/>
  <c r="M2492" i="10"/>
  <c r="N2492" i="10" s="1"/>
  <c r="O2492" i="10" s="1"/>
  <c r="P2492" i="10" s="1"/>
  <c r="Q2492" i="10" s="1"/>
  <c r="R2492" i="10" s="1"/>
  <c r="S2492" i="10" s="1"/>
  <c r="T2492" i="10" s="1"/>
  <c r="U2492" i="10" s="1"/>
  <c r="V2492" i="10" s="1"/>
  <c r="D2494" i="10" l="1"/>
  <c r="M2493" i="10"/>
  <c r="N2493" i="10" s="1"/>
  <c r="O2493" i="10" s="1"/>
  <c r="P2493" i="10" s="1"/>
  <c r="Q2493" i="10" s="1"/>
  <c r="R2493" i="10" s="1"/>
  <c r="S2493" i="10" s="1"/>
  <c r="T2493" i="10" s="1"/>
  <c r="U2493" i="10" s="1"/>
  <c r="V2493" i="10" s="1"/>
  <c r="D2495" i="10" l="1"/>
  <c r="M2494" i="10"/>
  <c r="N2494" i="10" s="1"/>
  <c r="O2494" i="10" s="1"/>
  <c r="P2494" i="10" s="1"/>
  <c r="Q2494" i="10" s="1"/>
  <c r="R2494" i="10" s="1"/>
  <c r="S2494" i="10" s="1"/>
  <c r="T2494" i="10" s="1"/>
  <c r="U2494" i="10" s="1"/>
  <c r="V2494" i="10" s="1"/>
  <c r="D2496" i="10" l="1"/>
  <c r="M2495" i="10"/>
  <c r="N2495" i="10" s="1"/>
  <c r="O2495" i="10" s="1"/>
  <c r="P2495" i="10" s="1"/>
  <c r="Q2495" i="10" s="1"/>
  <c r="R2495" i="10" s="1"/>
  <c r="S2495" i="10" s="1"/>
  <c r="T2495" i="10" s="1"/>
  <c r="U2495" i="10" s="1"/>
  <c r="V2495" i="10" s="1"/>
  <c r="D2497" i="10" l="1"/>
  <c r="M2496" i="10"/>
  <c r="N2496" i="10" s="1"/>
  <c r="O2496" i="10" s="1"/>
  <c r="P2496" i="10" s="1"/>
  <c r="Q2496" i="10" s="1"/>
  <c r="R2496" i="10" s="1"/>
  <c r="S2496" i="10" s="1"/>
  <c r="T2496" i="10" s="1"/>
  <c r="U2496" i="10" s="1"/>
  <c r="V2496" i="10" s="1"/>
  <c r="D2498" i="10" l="1"/>
  <c r="M2497" i="10"/>
  <c r="N2497" i="10" s="1"/>
  <c r="O2497" i="10" s="1"/>
  <c r="P2497" i="10" s="1"/>
  <c r="Q2497" i="10" s="1"/>
  <c r="R2497" i="10" s="1"/>
  <c r="S2497" i="10" s="1"/>
  <c r="T2497" i="10" s="1"/>
  <c r="U2497" i="10" s="1"/>
  <c r="V2497" i="10" s="1"/>
  <c r="D2499" i="10" l="1"/>
  <c r="M2498" i="10"/>
  <c r="N2498" i="10" s="1"/>
  <c r="O2498" i="10" s="1"/>
  <c r="P2498" i="10" s="1"/>
  <c r="Q2498" i="10" s="1"/>
  <c r="R2498" i="10" s="1"/>
  <c r="S2498" i="10" s="1"/>
  <c r="T2498" i="10" s="1"/>
  <c r="U2498" i="10" s="1"/>
  <c r="V2498" i="10" s="1"/>
  <c r="D2500" i="10" l="1"/>
  <c r="M2499" i="10"/>
  <c r="N2499" i="10" s="1"/>
  <c r="O2499" i="10" s="1"/>
  <c r="P2499" i="10" s="1"/>
  <c r="Q2499" i="10" s="1"/>
  <c r="R2499" i="10" s="1"/>
  <c r="S2499" i="10" s="1"/>
  <c r="T2499" i="10" s="1"/>
  <c r="U2499" i="10" s="1"/>
  <c r="V2499" i="10" s="1"/>
  <c r="D2501" i="10" l="1"/>
  <c r="M2500" i="10"/>
  <c r="N2500" i="10" s="1"/>
  <c r="O2500" i="10" s="1"/>
  <c r="P2500" i="10" s="1"/>
  <c r="Q2500" i="10" s="1"/>
  <c r="R2500" i="10" s="1"/>
  <c r="S2500" i="10" s="1"/>
  <c r="T2500" i="10" s="1"/>
  <c r="U2500" i="10" s="1"/>
  <c r="V2500" i="10" s="1"/>
  <c r="D2502" i="10" l="1"/>
  <c r="M2501" i="10"/>
  <c r="N2501" i="10" s="1"/>
  <c r="O2501" i="10" s="1"/>
  <c r="P2501" i="10" s="1"/>
  <c r="Q2501" i="10" s="1"/>
  <c r="R2501" i="10" s="1"/>
  <c r="S2501" i="10" s="1"/>
  <c r="T2501" i="10" s="1"/>
  <c r="U2501" i="10" s="1"/>
  <c r="V2501" i="10" s="1"/>
  <c r="D2503" i="10" l="1"/>
  <c r="M2502" i="10"/>
  <c r="N2502" i="10" s="1"/>
  <c r="O2502" i="10" s="1"/>
  <c r="P2502" i="10" s="1"/>
  <c r="Q2502" i="10" s="1"/>
  <c r="R2502" i="10" s="1"/>
  <c r="S2502" i="10" s="1"/>
  <c r="T2502" i="10" s="1"/>
  <c r="U2502" i="10" s="1"/>
  <c r="V2502" i="10" s="1"/>
  <c r="D2504" i="10" l="1"/>
  <c r="M2503" i="10"/>
  <c r="N2503" i="10" s="1"/>
  <c r="O2503" i="10" s="1"/>
  <c r="P2503" i="10" s="1"/>
  <c r="Q2503" i="10" s="1"/>
  <c r="R2503" i="10" s="1"/>
  <c r="S2503" i="10" s="1"/>
  <c r="T2503" i="10" s="1"/>
  <c r="U2503" i="10" s="1"/>
  <c r="V2503" i="10" s="1"/>
  <c r="D2505" i="10" l="1"/>
  <c r="M2504" i="10"/>
  <c r="N2504" i="10" s="1"/>
  <c r="O2504" i="10" s="1"/>
  <c r="P2504" i="10" s="1"/>
  <c r="Q2504" i="10" s="1"/>
  <c r="R2504" i="10" s="1"/>
  <c r="S2504" i="10" s="1"/>
  <c r="T2504" i="10" s="1"/>
  <c r="U2504" i="10" s="1"/>
  <c r="V2504" i="10" s="1"/>
  <c r="D2506" i="10" l="1"/>
  <c r="M2505" i="10"/>
  <c r="N2505" i="10" s="1"/>
  <c r="O2505" i="10" s="1"/>
  <c r="P2505" i="10" s="1"/>
  <c r="Q2505" i="10" s="1"/>
  <c r="R2505" i="10" s="1"/>
  <c r="S2505" i="10" s="1"/>
  <c r="T2505" i="10" s="1"/>
  <c r="U2505" i="10" s="1"/>
  <c r="V2505" i="10" s="1"/>
  <c r="D2507" i="10" l="1"/>
  <c r="M2506" i="10"/>
  <c r="N2506" i="10" s="1"/>
  <c r="O2506" i="10" s="1"/>
  <c r="P2506" i="10" s="1"/>
  <c r="Q2506" i="10" s="1"/>
  <c r="R2506" i="10" s="1"/>
  <c r="S2506" i="10" s="1"/>
  <c r="T2506" i="10" s="1"/>
  <c r="U2506" i="10" s="1"/>
  <c r="V2506" i="10" s="1"/>
  <c r="D2508" i="10" l="1"/>
  <c r="M2507" i="10"/>
  <c r="N2507" i="10" s="1"/>
  <c r="O2507" i="10" s="1"/>
  <c r="P2507" i="10" s="1"/>
  <c r="Q2507" i="10" s="1"/>
  <c r="R2507" i="10" s="1"/>
  <c r="S2507" i="10" s="1"/>
  <c r="T2507" i="10" s="1"/>
  <c r="U2507" i="10" s="1"/>
  <c r="V2507" i="10" s="1"/>
  <c r="D2509" i="10" l="1"/>
  <c r="M2508" i="10"/>
  <c r="N2508" i="10" s="1"/>
  <c r="O2508" i="10" s="1"/>
  <c r="P2508" i="10" s="1"/>
  <c r="Q2508" i="10" s="1"/>
  <c r="R2508" i="10" s="1"/>
  <c r="S2508" i="10" s="1"/>
  <c r="T2508" i="10" s="1"/>
  <c r="U2508" i="10" s="1"/>
  <c r="V2508" i="10" s="1"/>
  <c r="D2510" i="10" l="1"/>
  <c r="M2509" i="10"/>
  <c r="N2509" i="10" s="1"/>
  <c r="O2509" i="10" s="1"/>
  <c r="P2509" i="10" s="1"/>
  <c r="Q2509" i="10" s="1"/>
  <c r="R2509" i="10" s="1"/>
  <c r="S2509" i="10" s="1"/>
  <c r="T2509" i="10" s="1"/>
  <c r="U2509" i="10" s="1"/>
  <c r="V2509" i="10" s="1"/>
  <c r="D2511" i="10" l="1"/>
  <c r="M2510" i="10"/>
  <c r="N2510" i="10" s="1"/>
  <c r="O2510" i="10" s="1"/>
  <c r="P2510" i="10" s="1"/>
  <c r="Q2510" i="10" s="1"/>
  <c r="R2510" i="10" s="1"/>
  <c r="S2510" i="10" s="1"/>
  <c r="T2510" i="10" s="1"/>
  <c r="U2510" i="10" s="1"/>
  <c r="V2510" i="10" s="1"/>
  <c r="D2512" i="10" l="1"/>
  <c r="M2511" i="10"/>
  <c r="N2511" i="10" s="1"/>
  <c r="O2511" i="10" s="1"/>
  <c r="P2511" i="10" s="1"/>
  <c r="Q2511" i="10" s="1"/>
  <c r="R2511" i="10" s="1"/>
  <c r="S2511" i="10" s="1"/>
  <c r="T2511" i="10" s="1"/>
  <c r="U2511" i="10" s="1"/>
  <c r="V2511" i="10" s="1"/>
  <c r="D2513" i="10" l="1"/>
  <c r="M2512" i="10"/>
  <c r="N2512" i="10" s="1"/>
  <c r="O2512" i="10" s="1"/>
  <c r="P2512" i="10" s="1"/>
  <c r="Q2512" i="10" s="1"/>
  <c r="R2512" i="10" s="1"/>
  <c r="S2512" i="10" s="1"/>
  <c r="T2512" i="10" s="1"/>
  <c r="U2512" i="10" s="1"/>
  <c r="V2512" i="10" s="1"/>
  <c r="D2514" i="10" l="1"/>
  <c r="M2513" i="10"/>
  <c r="N2513" i="10" s="1"/>
  <c r="O2513" i="10" s="1"/>
  <c r="P2513" i="10" s="1"/>
  <c r="Q2513" i="10" s="1"/>
  <c r="R2513" i="10" s="1"/>
  <c r="S2513" i="10" s="1"/>
  <c r="T2513" i="10" s="1"/>
  <c r="U2513" i="10" s="1"/>
  <c r="V2513" i="10" s="1"/>
  <c r="D2515" i="10" l="1"/>
  <c r="M2514" i="10"/>
  <c r="N2514" i="10" s="1"/>
  <c r="O2514" i="10" s="1"/>
  <c r="P2514" i="10" s="1"/>
  <c r="Q2514" i="10" s="1"/>
  <c r="R2514" i="10" s="1"/>
  <c r="S2514" i="10" s="1"/>
  <c r="T2514" i="10" s="1"/>
  <c r="U2514" i="10" s="1"/>
  <c r="V2514" i="10" s="1"/>
  <c r="D2516" i="10" l="1"/>
  <c r="M2515" i="10"/>
  <c r="N2515" i="10" s="1"/>
  <c r="O2515" i="10" s="1"/>
  <c r="P2515" i="10" s="1"/>
  <c r="Q2515" i="10" s="1"/>
  <c r="R2515" i="10" s="1"/>
  <c r="S2515" i="10" s="1"/>
  <c r="T2515" i="10" s="1"/>
  <c r="U2515" i="10" s="1"/>
  <c r="V2515" i="10" s="1"/>
  <c r="D2517" i="10" l="1"/>
  <c r="M2516" i="10"/>
  <c r="N2516" i="10" s="1"/>
  <c r="O2516" i="10" s="1"/>
  <c r="P2516" i="10" s="1"/>
  <c r="Q2516" i="10" s="1"/>
  <c r="R2516" i="10" s="1"/>
  <c r="S2516" i="10" s="1"/>
  <c r="T2516" i="10" s="1"/>
  <c r="U2516" i="10" s="1"/>
  <c r="V2516" i="10" s="1"/>
  <c r="D2518" i="10" l="1"/>
  <c r="M2517" i="10"/>
  <c r="N2517" i="10" s="1"/>
  <c r="O2517" i="10" s="1"/>
  <c r="P2517" i="10" s="1"/>
  <c r="Q2517" i="10" s="1"/>
  <c r="R2517" i="10" s="1"/>
  <c r="S2517" i="10" s="1"/>
  <c r="T2517" i="10" s="1"/>
  <c r="U2517" i="10" s="1"/>
  <c r="V2517" i="10" s="1"/>
  <c r="D2519" i="10" l="1"/>
  <c r="M2518" i="10"/>
  <c r="N2518" i="10" s="1"/>
  <c r="O2518" i="10" s="1"/>
  <c r="P2518" i="10" s="1"/>
  <c r="Q2518" i="10" s="1"/>
  <c r="R2518" i="10" s="1"/>
  <c r="S2518" i="10" s="1"/>
  <c r="T2518" i="10" s="1"/>
  <c r="U2518" i="10" s="1"/>
  <c r="V2518" i="10" s="1"/>
  <c r="D2520" i="10" l="1"/>
  <c r="M2519" i="10"/>
  <c r="N2519" i="10" s="1"/>
  <c r="O2519" i="10" s="1"/>
  <c r="P2519" i="10" s="1"/>
  <c r="Q2519" i="10" s="1"/>
  <c r="R2519" i="10" s="1"/>
  <c r="S2519" i="10" s="1"/>
  <c r="T2519" i="10" s="1"/>
  <c r="U2519" i="10" s="1"/>
  <c r="V2519" i="10" s="1"/>
  <c r="D2521" i="10" l="1"/>
  <c r="M2520" i="10"/>
  <c r="N2520" i="10" s="1"/>
  <c r="O2520" i="10" s="1"/>
  <c r="P2520" i="10" s="1"/>
  <c r="Q2520" i="10" s="1"/>
  <c r="R2520" i="10" s="1"/>
  <c r="S2520" i="10" s="1"/>
  <c r="T2520" i="10" s="1"/>
  <c r="U2520" i="10" s="1"/>
  <c r="V2520" i="10" s="1"/>
  <c r="D2522" i="10" l="1"/>
  <c r="M2521" i="10"/>
  <c r="N2521" i="10" s="1"/>
  <c r="O2521" i="10" s="1"/>
  <c r="P2521" i="10" s="1"/>
  <c r="Q2521" i="10" s="1"/>
  <c r="R2521" i="10" s="1"/>
  <c r="S2521" i="10" s="1"/>
  <c r="T2521" i="10" s="1"/>
  <c r="U2521" i="10" s="1"/>
  <c r="V2521" i="10" s="1"/>
  <c r="D2523" i="10" l="1"/>
  <c r="M2522" i="10"/>
  <c r="N2522" i="10" s="1"/>
  <c r="O2522" i="10" s="1"/>
  <c r="P2522" i="10" s="1"/>
  <c r="Q2522" i="10" s="1"/>
  <c r="R2522" i="10" s="1"/>
  <c r="S2522" i="10" s="1"/>
  <c r="T2522" i="10" s="1"/>
  <c r="U2522" i="10" s="1"/>
  <c r="V2522" i="10" s="1"/>
  <c r="D2524" i="10" l="1"/>
  <c r="M2523" i="10"/>
  <c r="N2523" i="10" s="1"/>
  <c r="O2523" i="10" s="1"/>
  <c r="P2523" i="10" s="1"/>
  <c r="Q2523" i="10" s="1"/>
  <c r="R2523" i="10" s="1"/>
  <c r="S2523" i="10" s="1"/>
  <c r="T2523" i="10" s="1"/>
  <c r="U2523" i="10" s="1"/>
  <c r="V2523" i="10" s="1"/>
  <c r="D2525" i="10" l="1"/>
  <c r="M2524" i="10"/>
  <c r="N2524" i="10" s="1"/>
  <c r="O2524" i="10" s="1"/>
  <c r="P2524" i="10" s="1"/>
  <c r="Q2524" i="10" s="1"/>
  <c r="R2524" i="10" s="1"/>
  <c r="S2524" i="10" s="1"/>
  <c r="T2524" i="10" s="1"/>
  <c r="U2524" i="10" s="1"/>
  <c r="V2524" i="10" s="1"/>
  <c r="D2526" i="10" l="1"/>
  <c r="M2525" i="10"/>
  <c r="N2525" i="10" s="1"/>
  <c r="O2525" i="10" s="1"/>
  <c r="P2525" i="10" s="1"/>
  <c r="Q2525" i="10" s="1"/>
  <c r="R2525" i="10" s="1"/>
  <c r="S2525" i="10" s="1"/>
  <c r="T2525" i="10" s="1"/>
  <c r="U2525" i="10" s="1"/>
  <c r="V2525" i="10" s="1"/>
  <c r="D2527" i="10" l="1"/>
  <c r="M2526" i="10"/>
  <c r="N2526" i="10" s="1"/>
  <c r="O2526" i="10" s="1"/>
  <c r="P2526" i="10" s="1"/>
  <c r="Q2526" i="10" s="1"/>
  <c r="R2526" i="10" s="1"/>
  <c r="S2526" i="10" s="1"/>
  <c r="T2526" i="10" s="1"/>
  <c r="U2526" i="10" s="1"/>
  <c r="V2526" i="10" s="1"/>
  <c r="D2528" i="10" l="1"/>
  <c r="M2527" i="10"/>
  <c r="N2527" i="10" s="1"/>
  <c r="O2527" i="10" s="1"/>
  <c r="P2527" i="10" s="1"/>
  <c r="Q2527" i="10" s="1"/>
  <c r="R2527" i="10" s="1"/>
  <c r="S2527" i="10" s="1"/>
  <c r="T2527" i="10" s="1"/>
  <c r="U2527" i="10" s="1"/>
  <c r="V2527" i="10" s="1"/>
  <c r="D2529" i="10" l="1"/>
  <c r="M2528" i="10"/>
  <c r="N2528" i="10" s="1"/>
  <c r="O2528" i="10" s="1"/>
  <c r="P2528" i="10" s="1"/>
  <c r="Q2528" i="10" s="1"/>
  <c r="R2528" i="10" s="1"/>
  <c r="S2528" i="10" s="1"/>
  <c r="T2528" i="10" s="1"/>
  <c r="U2528" i="10" s="1"/>
  <c r="V2528" i="10" s="1"/>
  <c r="D2530" i="10" l="1"/>
  <c r="M2529" i="10"/>
  <c r="N2529" i="10" s="1"/>
  <c r="O2529" i="10" s="1"/>
  <c r="P2529" i="10" s="1"/>
  <c r="Q2529" i="10" s="1"/>
  <c r="R2529" i="10" s="1"/>
  <c r="S2529" i="10" s="1"/>
  <c r="T2529" i="10" s="1"/>
  <c r="U2529" i="10" s="1"/>
  <c r="V2529" i="10" s="1"/>
  <c r="D2531" i="10" l="1"/>
  <c r="M2530" i="10"/>
  <c r="N2530" i="10" s="1"/>
  <c r="O2530" i="10" s="1"/>
  <c r="P2530" i="10" s="1"/>
  <c r="Q2530" i="10" s="1"/>
  <c r="R2530" i="10" s="1"/>
  <c r="S2530" i="10" s="1"/>
  <c r="T2530" i="10" s="1"/>
  <c r="U2530" i="10" s="1"/>
  <c r="V2530" i="10" s="1"/>
  <c r="D2532" i="10" l="1"/>
  <c r="M2531" i="10"/>
  <c r="N2531" i="10" s="1"/>
  <c r="O2531" i="10" s="1"/>
  <c r="P2531" i="10" s="1"/>
  <c r="Q2531" i="10" s="1"/>
  <c r="R2531" i="10" s="1"/>
  <c r="S2531" i="10" s="1"/>
  <c r="T2531" i="10" s="1"/>
  <c r="U2531" i="10" s="1"/>
  <c r="V2531" i="10" s="1"/>
  <c r="D2533" i="10" l="1"/>
  <c r="M2532" i="10"/>
  <c r="N2532" i="10" s="1"/>
  <c r="O2532" i="10" s="1"/>
  <c r="P2532" i="10" s="1"/>
  <c r="Q2532" i="10" s="1"/>
  <c r="R2532" i="10" s="1"/>
  <c r="S2532" i="10" s="1"/>
  <c r="T2532" i="10" s="1"/>
  <c r="U2532" i="10" s="1"/>
  <c r="V2532" i="10" s="1"/>
  <c r="D2534" i="10" l="1"/>
  <c r="M2533" i="10"/>
  <c r="N2533" i="10" s="1"/>
  <c r="O2533" i="10" s="1"/>
  <c r="P2533" i="10" s="1"/>
  <c r="Q2533" i="10" s="1"/>
  <c r="R2533" i="10" s="1"/>
  <c r="S2533" i="10" s="1"/>
  <c r="T2533" i="10" s="1"/>
  <c r="U2533" i="10" s="1"/>
  <c r="V2533" i="10" s="1"/>
  <c r="D2535" i="10" l="1"/>
  <c r="M2534" i="10"/>
  <c r="N2534" i="10" s="1"/>
  <c r="O2534" i="10" s="1"/>
  <c r="P2534" i="10" s="1"/>
  <c r="Q2534" i="10" s="1"/>
  <c r="R2534" i="10" s="1"/>
  <c r="S2534" i="10" s="1"/>
  <c r="T2534" i="10" s="1"/>
  <c r="U2534" i="10" s="1"/>
  <c r="V2534" i="10" s="1"/>
  <c r="D2536" i="10" l="1"/>
  <c r="M2535" i="10"/>
  <c r="N2535" i="10" s="1"/>
  <c r="O2535" i="10" s="1"/>
  <c r="P2535" i="10" s="1"/>
  <c r="Q2535" i="10" s="1"/>
  <c r="R2535" i="10" s="1"/>
  <c r="S2535" i="10" s="1"/>
  <c r="T2535" i="10" s="1"/>
  <c r="U2535" i="10" s="1"/>
  <c r="V2535" i="10" s="1"/>
  <c r="D2537" i="10" l="1"/>
  <c r="M2536" i="10"/>
  <c r="N2536" i="10" s="1"/>
  <c r="O2536" i="10" s="1"/>
  <c r="P2536" i="10" s="1"/>
  <c r="Q2536" i="10" s="1"/>
  <c r="R2536" i="10" s="1"/>
  <c r="S2536" i="10" s="1"/>
  <c r="T2536" i="10" s="1"/>
  <c r="U2536" i="10" s="1"/>
  <c r="V2536" i="10" s="1"/>
  <c r="D2538" i="10" l="1"/>
  <c r="M2537" i="10"/>
  <c r="N2537" i="10" s="1"/>
  <c r="O2537" i="10" s="1"/>
  <c r="P2537" i="10" s="1"/>
  <c r="Q2537" i="10" s="1"/>
  <c r="R2537" i="10" s="1"/>
  <c r="S2537" i="10" s="1"/>
  <c r="T2537" i="10" s="1"/>
  <c r="U2537" i="10" s="1"/>
  <c r="V2537" i="10" s="1"/>
  <c r="D2539" i="10" l="1"/>
  <c r="M2538" i="10"/>
  <c r="N2538" i="10" s="1"/>
  <c r="O2538" i="10" s="1"/>
  <c r="P2538" i="10" s="1"/>
  <c r="Q2538" i="10" s="1"/>
  <c r="R2538" i="10" s="1"/>
  <c r="S2538" i="10" s="1"/>
  <c r="T2538" i="10" s="1"/>
  <c r="U2538" i="10" s="1"/>
  <c r="V2538" i="10" s="1"/>
  <c r="D2540" i="10" l="1"/>
  <c r="M2539" i="10"/>
  <c r="N2539" i="10" s="1"/>
  <c r="O2539" i="10" s="1"/>
  <c r="P2539" i="10" s="1"/>
  <c r="Q2539" i="10" s="1"/>
  <c r="R2539" i="10" s="1"/>
  <c r="S2539" i="10" s="1"/>
  <c r="T2539" i="10" s="1"/>
  <c r="U2539" i="10" s="1"/>
  <c r="V2539" i="10" s="1"/>
  <c r="D2541" i="10" l="1"/>
  <c r="M2540" i="10"/>
  <c r="N2540" i="10" s="1"/>
  <c r="O2540" i="10" s="1"/>
  <c r="P2540" i="10" s="1"/>
  <c r="Q2540" i="10" s="1"/>
  <c r="R2540" i="10" s="1"/>
  <c r="S2540" i="10" s="1"/>
  <c r="T2540" i="10" s="1"/>
  <c r="U2540" i="10" s="1"/>
  <c r="V2540" i="10" s="1"/>
  <c r="D2542" i="10" l="1"/>
  <c r="M2541" i="10"/>
  <c r="N2541" i="10" s="1"/>
  <c r="O2541" i="10" s="1"/>
  <c r="P2541" i="10" s="1"/>
  <c r="Q2541" i="10" s="1"/>
  <c r="R2541" i="10" s="1"/>
  <c r="S2541" i="10" s="1"/>
  <c r="T2541" i="10" s="1"/>
  <c r="U2541" i="10" s="1"/>
  <c r="V2541" i="10" s="1"/>
  <c r="D2543" i="10" l="1"/>
  <c r="M2542" i="10"/>
  <c r="N2542" i="10" s="1"/>
  <c r="O2542" i="10" s="1"/>
  <c r="P2542" i="10" s="1"/>
  <c r="Q2542" i="10" s="1"/>
  <c r="R2542" i="10" s="1"/>
  <c r="S2542" i="10" s="1"/>
  <c r="T2542" i="10" s="1"/>
  <c r="U2542" i="10" s="1"/>
  <c r="V2542" i="10" s="1"/>
  <c r="D2544" i="10" l="1"/>
  <c r="M2543" i="10"/>
  <c r="N2543" i="10" s="1"/>
  <c r="O2543" i="10" s="1"/>
  <c r="P2543" i="10" s="1"/>
  <c r="Q2543" i="10" s="1"/>
  <c r="R2543" i="10" s="1"/>
  <c r="S2543" i="10" s="1"/>
  <c r="T2543" i="10" s="1"/>
  <c r="U2543" i="10" s="1"/>
  <c r="V2543" i="10" s="1"/>
  <c r="D2545" i="10" l="1"/>
  <c r="M2544" i="10"/>
  <c r="N2544" i="10" s="1"/>
  <c r="O2544" i="10" s="1"/>
  <c r="P2544" i="10" s="1"/>
  <c r="Q2544" i="10" s="1"/>
  <c r="R2544" i="10" s="1"/>
  <c r="S2544" i="10" s="1"/>
  <c r="T2544" i="10" s="1"/>
  <c r="U2544" i="10" s="1"/>
  <c r="V2544" i="10" s="1"/>
  <c r="D2546" i="10" l="1"/>
  <c r="M2545" i="10"/>
  <c r="N2545" i="10" s="1"/>
  <c r="O2545" i="10" s="1"/>
  <c r="P2545" i="10" s="1"/>
  <c r="Q2545" i="10" s="1"/>
  <c r="R2545" i="10" s="1"/>
  <c r="S2545" i="10" s="1"/>
  <c r="T2545" i="10" s="1"/>
  <c r="U2545" i="10" s="1"/>
  <c r="V2545" i="10" s="1"/>
  <c r="D2547" i="10" l="1"/>
  <c r="M2546" i="10"/>
  <c r="N2546" i="10" s="1"/>
  <c r="O2546" i="10" s="1"/>
  <c r="P2546" i="10" s="1"/>
  <c r="Q2546" i="10" s="1"/>
  <c r="R2546" i="10" s="1"/>
  <c r="S2546" i="10" s="1"/>
  <c r="T2546" i="10" s="1"/>
  <c r="U2546" i="10" s="1"/>
  <c r="V2546" i="10" s="1"/>
  <c r="D2548" i="10" l="1"/>
  <c r="M2547" i="10"/>
  <c r="N2547" i="10" s="1"/>
  <c r="O2547" i="10" s="1"/>
  <c r="P2547" i="10" s="1"/>
  <c r="Q2547" i="10" s="1"/>
  <c r="R2547" i="10" s="1"/>
  <c r="S2547" i="10" s="1"/>
  <c r="T2547" i="10" s="1"/>
  <c r="U2547" i="10" s="1"/>
  <c r="V2547" i="10" s="1"/>
  <c r="D2549" i="10" l="1"/>
  <c r="M2548" i="10"/>
  <c r="N2548" i="10" s="1"/>
  <c r="O2548" i="10" s="1"/>
  <c r="P2548" i="10" s="1"/>
  <c r="Q2548" i="10" s="1"/>
  <c r="R2548" i="10" s="1"/>
  <c r="S2548" i="10" s="1"/>
  <c r="T2548" i="10" s="1"/>
  <c r="U2548" i="10" s="1"/>
  <c r="V2548" i="10" s="1"/>
  <c r="D2550" i="10" l="1"/>
  <c r="M2549" i="10"/>
  <c r="N2549" i="10" s="1"/>
  <c r="O2549" i="10" s="1"/>
  <c r="P2549" i="10" s="1"/>
  <c r="Q2549" i="10" s="1"/>
  <c r="R2549" i="10" s="1"/>
  <c r="S2549" i="10" s="1"/>
  <c r="T2549" i="10" s="1"/>
  <c r="U2549" i="10" s="1"/>
  <c r="V2549" i="10" s="1"/>
  <c r="D2551" i="10" l="1"/>
  <c r="M2550" i="10"/>
  <c r="N2550" i="10" s="1"/>
  <c r="O2550" i="10" s="1"/>
  <c r="P2550" i="10" s="1"/>
  <c r="Q2550" i="10" s="1"/>
  <c r="R2550" i="10" s="1"/>
  <c r="S2550" i="10" s="1"/>
  <c r="T2550" i="10" s="1"/>
  <c r="U2550" i="10" s="1"/>
  <c r="V2550" i="10" s="1"/>
  <c r="D2552" i="10" l="1"/>
  <c r="M2551" i="10"/>
  <c r="N2551" i="10" s="1"/>
  <c r="O2551" i="10" s="1"/>
  <c r="P2551" i="10" s="1"/>
  <c r="Q2551" i="10" s="1"/>
  <c r="R2551" i="10" s="1"/>
  <c r="S2551" i="10" s="1"/>
  <c r="T2551" i="10" s="1"/>
  <c r="U2551" i="10" s="1"/>
  <c r="V2551" i="10" s="1"/>
  <c r="D2553" i="10" l="1"/>
  <c r="M2552" i="10"/>
  <c r="N2552" i="10" s="1"/>
  <c r="O2552" i="10" s="1"/>
  <c r="P2552" i="10" s="1"/>
  <c r="Q2552" i="10" s="1"/>
  <c r="R2552" i="10" s="1"/>
  <c r="S2552" i="10" s="1"/>
  <c r="T2552" i="10" s="1"/>
  <c r="U2552" i="10" s="1"/>
  <c r="V2552" i="10" s="1"/>
  <c r="D2554" i="10" l="1"/>
  <c r="M2553" i="10"/>
  <c r="N2553" i="10" s="1"/>
  <c r="O2553" i="10" s="1"/>
  <c r="P2553" i="10" s="1"/>
  <c r="Q2553" i="10" s="1"/>
  <c r="R2553" i="10" s="1"/>
  <c r="S2553" i="10" s="1"/>
  <c r="T2553" i="10" s="1"/>
  <c r="U2553" i="10" s="1"/>
  <c r="V2553" i="10" s="1"/>
  <c r="D2555" i="10" l="1"/>
  <c r="M2554" i="10"/>
  <c r="N2554" i="10" s="1"/>
  <c r="O2554" i="10" s="1"/>
  <c r="P2554" i="10" s="1"/>
  <c r="Q2554" i="10" s="1"/>
  <c r="R2554" i="10" s="1"/>
  <c r="S2554" i="10" s="1"/>
  <c r="T2554" i="10" s="1"/>
  <c r="U2554" i="10" s="1"/>
  <c r="V2554" i="10" s="1"/>
  <c r="D2556" i="10" l="1"/>
  <c r="M2555" i="10"/>
  <c r="N2555" i="10" s="1"/>
  <c r="O2555" i="10" s="1"/>
  <c r="P2555" i="10" s="1"/>
  <c r="Q2555" i="10" s="1"/>
  <c r="R2555" i="10" s="1"/>
  <c r="S2555" i="10" s="1"/>
  <c r="T2555" i="10" s="1"/>
  <c r="U2555" i="10" s="1"/>
  <c r="V2555" i="10" s="1"/>
  <c r="D2557" i="10" l="1"/>
  <c r="M2556" i="10"/>
  <c r="N2556" i="10" s="1"/>
  <c r="O2556" i="10" s="1"/>
  <c r="P2556" i="10" s="1"/>
  <c r="Q2556" i="10" s="1"/>
  <c r="R2556" i="10" s="1"/>
  <c r="S2556" i="10" s="1"/>
  <c r="T2556" i="10" s="1"/>
  <c r="U2556" i="10" s="1"/>
  <c r="V2556" i="10" s="1"/>
  <c r="D2558" i="10" l="1"/>
  <c r="M2557" i="10"/>
  <c r="N2557" i="10" s="1"/>
  <c r="O2557" i="10" s="1"/>
  <c r="P2557" i="10" s="1"/>
  <c r="Q2557" i="10" s="1"/>
  <c r="R2557" i="10" s="1"/>
  <c r="S2557" i="10" s="1"/>
  <c r="T2557" i="10" s="1"/>
  <c r="U2557" i="10" s="1"/>
  <c r="V2557" i="10" s="1"/>
  <c r="D2559" i="10" l="1"/>
  <c r="M2558" i="10"/>
  <c r="N2558" i="10" s="1"/>
  <c r="O2558" i="10" s="1"/>
  <c r="P2558" i="10" s="1"/>
  <c r="Q2558" i="10" s="1"/>
  <c r="R2558" i="10" s="1"/>
  <c r="S2558" i="10" s="1"/>
  <c r="T2558" i="10" s="1"/>
  <c r="U2558" i="10" s="1"/>
  <c r="V2558" i="10" s="1"/>
  <c r="D2560" i="10" l="1"/>
  <c r="M2559" i="10"/>
  <c r="N2559" i="10" s="1"/>
  <c r="O2559" i="10" s="1"/>
  <c r="P2559" i="10" s="1"/>
  <c r="Q2559" i="10" s="1"/>
  <c r="R2559" i="10" s="1"/>
  <c r="S2559" i="10" s="1"/>
  <c r="T2559" i="10" s="1"/>
  <c r="U2559" i="10" s="1"/>
  <c r="V2559" i="10" s="1"/>
  <c r="D2561" i="10" l="1"/>
  <c r="M2560" i="10"/>
  <c r="N2560" i="10" s="1"/>
  <c r="O2560" i="10" s="1"/>
  <c r="P2560" i="10" s="1"/>
  <c r="Q2560" i="10" s="1"/>
  <c r="R2560" i="10" s="1"/>
  <c r="S2560" i="10" s="1"/>
  <c r="T2560" i="10" s="1"/>
  <c r="U2560" i="10" s="1"/>
  <c r="V2560" i="10" s="1"/>
  <c r="D2562" i="10" l="1"/>
  <c r="M2561" i="10"/>
  <c r="N2561" i="10" s="1"/>
  <c r="O2561" i="10" s="1"/>
  <c r="P2561" i="10" s="1"/>
  <c r="Q2561" i="10" s="1"/>
  <c r="R2561" i="10" s="1"/>
  <c r="S2561" i="10" s="1"/>
  <c r="T2561" i="10" s="1"/>
  <c r="U2561" i="10" s="1"/>
  <c r="V2561" i="10" s="1"/>
  <c r="D2563" i="10" l="1"/>
  <c r="M2562" i="10"/>
  <c r="N2562" i="10" s="1"/>
  <c r="O2562" i="10" s="1"/>
  <c r="P2562" i="10" s="1"/>
  <c r="Q2562" i="10" s="1"/>
  <c r="R2562" i="10" s="1"/>
  <c r="S2562" i="10" s="1"/>
  <c r="T2562" i="10" s="1"/>
  <c r="U2562" i="10" s="1"/>
  <c r="V2562" i="10" s="1"/>
  <c r="D2564" i="10" l="1"/>
  <c r="M2563" i="10"/>
  <c r="N2563" i="10" s="1"/>
  <c r="O2563" i="10" s="1"/>
  <c r="P2563" i="10" s="1"/>
  <c r="Q2563" i="10" s="1"/>
  <c r="R2563" i="10" s="1"/>
  <c r="S2563" i="10" s="1"/>
  <c r="T2563" i="10" s="1"/>
  <c r="U2563" i="10" s="1"/>
  <c r="V2563" i="10" s="1"/>
  <c r="D2565" i="10" l="1"/>
  <c r="M2564" i="10"/>
  <c r="N2564" i="10" s="1"/>
  <c r="O2564" i="10" s="1"/>
  <c r="P2564" i="10" s="1"/>
  <c r="Q2564" i="10" s="1"/>
  <c r="R2564" i="10" s="1"/>
  <c r="S2564" i="10" s="1"/>
  <c r="T2564" i="10" s="1"/>
  <c r="U2564" i="10" s="1"/>
  <c r="V2564" i="10" s="1"/>
  <c r="D2566" i="10" l="1"/>
  <c r="M2565" i="10"/>
  <c r="N2565" i="10" s="1"/>
  <c r="O2565" i="10" s="1"/>
  <c r="P2565" i="10" s="1"/>
  <c r="Q2565" i="10" s="1"/>
  <c r="R2565" i="10" s="1"/>
  <c r="S2565" i="10" s="1"/>
  <c r="T2565" i="10" s="1"/>
  <c r="U2565" i="10" s="1"/>
  <c r="V2565" i="10" s="1"/>
  <c r="D2567" i="10" l="1"/>
  <c r="M2566" i="10"/>
  <c r="N2566" i="10" s="1"/>
  <c r="O2566" i="10" s="1"/>
  <c r="P2566" i="10" s="1"/>
  <c r="Q2566" i="10" s="1"/>
  <c r="R2566" i="10" s="1"/>
  <c r="S2566" i="10" s="1"/>
  <c r="T2566" i="10" s="1"/>
  <c r="U2566" i="10" s="1"/>
  <c r="V2566" i="10" s="1"/>
  <c r="D2568" i="10" l="1"/>
  <c r="M2567" i="10"/>
  <c r="N2567" i="10" s="1"/>
  <c r="O2567" i="10" s="1"/>
  <c r="P2567" i="10" s="1"/>
  <c r="Q2567" i="10" s="1"/>
  <c r="R2567" i="10" s="1"/>
  <c r="S2567" i="10" s="1"/>
  <c r="T2567" i="10" s="1"/>
  <c r="U2567" i="10" s="1"/>
  <c r="V2567" i="10" s="1"/>
  <c r="D2569" i="10" l="1"/>
  <c r="M2568" i="10"/>
  <c r="N2568" i="10" s="1"/>
  <c r="O2568" i="10" s="1"/>
  <c r="P2568" i="10" s="1"/>
  <c r="Q2568" i="10" s="1"/>
  <c r="R2568" i="10" s="1"/>
  <c r="S2568" i="10" s="1"/>
  <c r="T2568" i="10" s="1"/>
  <c r="U2568" i="10" s="1"/>
  <c r="V2568" i="10" s="1"/>
  <c r="D2570" i="10" l="1"/>
  <c r="M2569" i="10"/>
  <c r="N2569" i="10" s="1"/>
  <c r="O2569" i="10" s="1"/>
  <c r="P2569" i="10" s="1"/>
  <c r="Q2569" i="10" s="1"/>
  <c r="R2569" i="10" s="1"/>
  <c r="S2569" i="10" s="1"/>
  <c r="T2569" i="10" s="1"/>
  <c r="U2569" i="10" s="1"/>
  <c r="V2569" i="10" s="1"/>
  <c r="D2571" i="10" l="1"/>
  <c r="M2570" i="10"/>
  <c r="N2570" i="10" s="1"/>
  <c r="O2570" i="10" s="1"/>
  <c r="P2570" i="10" s="1"/>
  <c r="Q2570" i="10" s="1"/>
  <c r="R2570" i="10" s="1"/>
  <c r="S2570" i="10" s="1"/>
  <c r="T2570" i="10" s="1"/>
  <c r="U2570" i="10" s="1"/>
  <c r="V2570" i="10" s="1"/>
  <c r="D2572" i="10" l="1"/>
  <c r="M2571" i="10"/>
  <c r="N2571" i="10" s="1"/>
  <c r="O2571" i="10" s="1"/>
  <c r="P2571" i="10" s="1"/>
  <c r="Q2571" i="10" s="1"/>
  <c r="R2571" i="10" s="1"/>
  <c r="S2571" i="10" s="1"/>
  <c r="T2571" i="10" s="1"/>
  <c r="U2571" i="10" s="1"/>
  <c r="V2571" i="10" s="1"/>
  <c r="D2573" i="10" l="1"/>
  <c r="M2572" i="10"/>
  <c r="N2572" i="10" s="1"/>
  <c r="O2572" i="10" s="1"/>
  <c r="P2572" i="10" s="1"/>
  <c r="Q2572" i="10" s="1"/>
  <c r="R2572" i="10" s="1"/>
  <c r="S2572" i="10" s="1"/>
  <c r="T2572" i="10" s="1"/>
  <c r="U2572" i="10" s="1"/>
  <c r="V2572" i="10" s="1"/>
  <c r="D2574" i="10" l="1"/>
  <c r="M2573" i="10"/>
  <c r="N2573" i="10" s="1"/>
  <c r="O2573" i="10" s="1"/>
  <c r="P2573" i="10" s="1"/>
  <c r="Q2573" i="10" s="1"/>
  <c r="R2573" i="10" s="1"/>
  <c r="S2573" i="10" s="1"/>
  <c r="T2573" i="10" s="1"/>
  <c r="U2573" i="10" s="1"/>
  <c r="V2573" i="10" s="1"/>
  <c r="D2575" i="10" l="1"/>
  <c r="M2574" i="10"/>
  <c r="N2574" i="10" s="1"/>
  <c r="O2574" i="10" s="1"/>
  <c r="P2574" i="10" s="1"/>
  <c r="Q2574" i="10" s="1"/>
  <c r="R2574" i="10" s="1"/>
  <c r="S2574" i="10" s="1"/>
  <c r="T2574" i="10" s="1"/>
  <c r="U2574" i="10" s="1"/>
  <c r="V2574" i="10" s="1"/>
  <c r="D2576" i="10" l="1"/>
  <c r="M2575" i="10"/>
  <c r="N2575" i="10" s="1"/>
  <c r="O2575" i="10" s="1"/>
  <c r="P2575" i="10" s="1"/>
  <c r="Q2575" i="10" s="1"/>
  <c r="R2575" i="10" s="1"/>
  <c r="S2575" i="10" s="1"/>
  <c r="T2575" i="10" s="1"/>
  <c r="U2575" i="10" s="1"/>
  <c r="V2575" i="10" s="1"/>
  <c r="D2577" i="10" l="1"/>
  <c r="M2576" i="10"/>
  <c r="N2576" i="10" s="1"/>
  <c r="O2576" i="10" s="1"/>
  <c r="P2576" i="10" s="1"/>
  <c r="Q2576" i="10" s="1"/>
  <c r="R2576" i="10" s="1"/>
  <c r="S2576" i="10" s="1"/>
  <c r="T2576" i="10" s="1"/>
  <c r="U2576" i="10" s="1"/>
  <c r="V2576" i="10" s="1"/>
  <c r="D2578" i="10" l="1"/>
  <c r="M2577" i="10"/>
  <c r="N2577" i="10" s="1"/>
  <c r="O2577" i="10" s="1"/>
  <c r="P2577" i="10" s="1"/>
  <c r="Q2577" i="10" s="1"/>
  <c r="R2577" i="10" s="1"/>
  <c r="S2577" i="10" s="1"/>
  <c r="T2577" i="10" s="1"/>
  <c r="U2577" i="10" s="1"/>
  <c r="V2577" i="10" s="1"/>
  <c r="D2579" i="10" l="1"/>
  <c r="M2578" i="10"/>
  <c r="N2578" i="10" s="1"/>
  <c r="O2578" i="10" s="1"/>
  <c r="P2578" i="10" s="1"/>
  <c r="Q2578" i="10" s="1"/>
  <c r="R2578" i="10" s="1"/>
  <c r="S2578" i="10" s="1"/>
  <c r="T2578" i="10" s="1"/>
  <c r="U2578" i="10" s="1"/>
  <c r="V2578" i="10" s="1"/>
  <c r="D2580" i="10" l="1"/>
  <c r="M2579" i="10"/>
  <c r="N2579" i="10" s="1"/>
  <c r="O2579" i="10" s="1"/>
  <c r="P2579" i="10" s="1"/>
  <c r="Q2579" i="10" s="1"/>
  <c r="R2579" i="10" s="1"/>
  <c r="S2579" i="10" s="1"/>
  <c r="T2579" i="10" s="1"/>
  <c r="U2579" i="10" s="1"/>
  <c r="V2579" i="10" s="1"/>
  <c r="D2581" i="10" l="1"/>
  <c r="M2580" i="10"/>
  <c r="N2580" i="10" s="1"/>
  <c r="O2580" i="10" s="1"/>
  <c r="P2580" i="10" s="1"/>
  <c r="Q2580" i="10" s="1"/>
  <c r="R2580" i="10" s="1"/>
  <c r="S2580" i="10" s="1"/>
  <c r="T2580" i="10" s="1"/>
  <c r="U2580" i="10" s="1"/>
  <c r="V2580" i="10" s="1"/>
  <c r="D2582" i="10" l="1"/>
  <c r="M2581" i="10"/>
  <c r="N2581" i="10" s="1"/>
  <c r="O2581" i="10" s="1"/>
  <c r="P2581" i="10" s="1"/>
  <c r="Q2581" i="10" s="1"/>
  <c r="R2581" i="10" s="1"/>
  <c r="S2581" i="10" s="1"/>
  <c r="T2581" i="10" s="1"/>
  <c r="U2581" i="10" s="1"/>
  <c r="V2581" i="10" s="1"/>
  <c r="D2583" i="10" l="1"/>
  <c r="M2582" i="10"/>
  <c r="N2582" i="10" s="1"/>
  <c r="O2582" i="10" s="1"/>
  <c r="P2582" i="10" s="1"/>
  <c r="Q2582" i="10" s="1"/>
  <c r="R2582" i="10" s="1"/>
  <c r="S2582" i="10" s="1"/>
  <c r="T2582" i="10" s="1"/>
  <c r="U2582" i="10" s="1"/>
  <c r="V2582" i="10" s="1"/>
  <c r="D2584" i="10" l="1"/>
  <c r="M2583" i="10"/>
  <c r="N2583" i="10" s="1"/>
  <c r="O2583" i="10" s="1"/>
  <c r="P2583" i="10" s="1"/>
  <c r="Q2583" i="10" s="1"/>
  <c r="R2583" i="10" s="1"/>
  <c r="S2583" i="10" s="1"/>
  <c r="T2583" i="10" s="1"/>
  <c r="U2583" i="10" s="1"/>
  <c r="V2583" i="10" s="1"/>
  <c r="D2585" i="10" l="1"/>
  <c r="M2584" i="10"/>
  <c r="N2584" i="10" s="1"/>
  <c r="O2584" i="10" s="1"/>
  <c r="P2584" i="10" s="1"/>
  <c r="Q2584" i="10" s="1"/>
  <c r="R2584" i="10" s="1"/>
  <c r="S2584" i="10" s="1"/>
  <c r="T2584" i="10" s="1"/>
  <c r="U2584" i="10" s="1"/>
  <c r="V2584" i="10" s="1"/>
  <c r="D2586" i="10" l="1"/>
  <c r="M2585" i="10"/>
  <c r="N2585" i="10" s="1"/>
  <c r="O2585" i="10" s="1"/>
  <c r="P2585" i="10" s="1"/>
  <c r="Q2585" i="10" s="1"/>
  <c r="R2585" i="10" s="1"/>
  <c r="S2585" i="10" s="1"/>
  <c r="T2585" i="10" s="1"/>
  <c r="U2585" i="10" s="1"/>
  <c r="V2585" i="10" s="1"/>
  <c r="D2587" i="10" l="1"/>
  <c r="M2586" i="10"/>
  <c r="N2586" i="10" s="1"/>
  <c r="O2586" i="10" s="1"/>
  <c r="P2586" i="10" s="1"/>
  <c r="Q2586" i="10" s="1"/>
  <c r="R2586" i="10" s="1"/>
  <c r="S2586" i="10" s="1"/>
  <c r="T2586" i="10" s="1"/>
  <c r="U2586" i="10" s="1"/>
  <c r="V2586" i="10" s="1"/>
  <c r="D2588" i="10" l="1"/>
  <c r="M2587" i="10"/>
  <c r="N2587" i="10" s="1"/>
  <c r="O2587" i="10" s="1"/>
  <c r="P2587" i="10" s="1"/>
  <c r="Q2587" i="10" s="1"/>
  <c r="R2587" i="10" s="1"/>
  <c r="S2587" i="10" s="1"/>
  <c r="T2587" i="10" s="1"/>
  <c r="U2587" i="10" s="1"/>
  <c r="V2587" i="10" s="1"/>
  <c r="D2589" i="10" l="1"/>
  <c r="M2588" i="10"/>
  <c r="N2588" i="10" s="1"/>
  <c r="O2588" i="10" s="1"/>
  <c r="P2588" i="10" s="1"/>
  <c r="Q2588" i="10" s="1"/>
  <c r="R2588" i="10" s="1"/>
  <c r="S2588" i="10" s="1"/>
  <c r="T2588" i="10" s="1"/>
  <c r="U2588" i="10" s="1"/>
  <c r="V2588" i="10" s="1"/>
  <c r="D2590" i="10" l="1"/>
  <c r="M2589" i="10"/>
  <c r="N2589" i="10" s="1"/>
  <c r="O2589" i="10" s="1"/>
  <c r="P2589" i="10" s="1"/>
  <c r="Q2589" i="10" s="1"/>
  <c r="R2589" i="10" s="1"/>
  <c r="S2589" i="10" s="1"/>
  <c r="T2589" i="10" s="1"/>
  <c r="U2589" i="10" s="1"/>
  <c r="V2589" i="10" s="1"/>
  <c r="D2591" i="10" l="1"/>
  <c r="M2590" i="10"/>
  <c r="N2590" i="10" s="1"/>
  <c r="O2590" i="10" s="1"/>
  <c r="P2590" i="10" s="1"/>
  <c r="Q2590" i="10" s="1"/>
  <c r="R2590" i="10" s="1"/>
  <c r="S2590" i="10" s="1"/>
  <c r="T2590" i="10" s="1"/>
  <c r="U2590" i="10" s="1"/>
  <c r="V2590" i="10" s="1"/>
  <c r="D2592" i="10" l="1"/>
  <c r="M2591" i="10"/>
  <c r="N2591" i="10" s="1"/>
  <c r="O2591" i="10" s="1"/>
  <c r="P2591" i="10" s="1"/>
  <c r="Q2591" i="10" s="1"/>
  <c r="R2591" i="10" s="1"/>
  <c r="S2591" i="10" s="1"/>
  <c r="T2591" i="10" s="1"/>
  <c r="U2591" i="10" s="1"/>
  <c r="V2591" i="10" s="1"/>
  <c r="D2593" i="10" l="1"/>
  <c r="M2592" i="10"/>
  <c r="N2592" i="10" s="1"/>
  <c r="O2592" i="10" s="1"/>
  <c r="P2592" i="10" s="1"/>
  <c r="Q2592" i="10" s="1"/>
  <c r="R2592" i="10" s="1"/>
  <c r="S2592" i="10" s="1"/>
  <c r="T2592" i="10" s="1"/>
  <c r="U2592" i="10" s="1"/>
  <c r="V2592" i="10" s="1"/>
  <c r="D2594" i="10" l="1"/>
  <c r="M2593" i="10"/>
  <c r="N2593" i="10" s="1"/>
  <c r="O2593" i="10" s="1"/>
  <c r="P2593" i="10" s="1"/>
  <c r="Q2593" i="10" s="1"/>
  <c r="R2593" i="10" s="1"/>
  <c r="S2593" i="10" s="1"/>
  <c r="T2593" i="10" s="1"/>
  <c r="U2593" i="10" s="1"/>
  <c r="V2593" i="10" s="1"/>
  <c r="D2595" i="10" l="1"/>
  <c r="M2594" i="10"/>
  <c r="N2594" i="10" s="1"/>
  <c r="O2594" i="10" s="1"/>
  <c r="P2594" i="10" s="1"/>
  <c r="Q2594" i="10" s="1"/>
  <c r="R2594" i="10" s="1"/>
  <c r="S2594" i="10" s="1"/>
  <c r="T2594" i="10" s="1"/>
  <c r="U2594" i="10" s="1"/>
  <c r="V2594" i="10" s="1"/>
  <c r="D2596" i="10" l="1"/>
  <c r="M2595" i="10"/>
  <c r="N2595" i="10" s="1"/>
  <c r="O2595" i="10" s="1"/>
  <c r="P2595" i="10" s="1"/>
  <c r="Q2595" i="10" s="1"/>
  <c r="R2595" i="10" s="1"/>
  <c r="S2595" i="10" s="1"/>
  <c r="T2595" i="10" s="1"/>
  <c r="U2595" i="10" s="1"/>
  <c r="V2595" i="10" s="1"/>
  <c r="D2597" i="10" l="1"/>
  <c r="M2596" i="10"/>
  <c r="N2596" i="10" s="1"/>
  <c r="O2596" i="10" s="1"/>
  <c r="P2596" i="10" s="1"/>
  <c r="Q2596" i="10" s="1"/>
  <c r="R2596" i="10" s="1"/>
  <c r="S2596" i="10" s="1"/>
  <c r="T2596" i="10" s="1"/>
  <c r="U2596" i="10" s="1"/>
  <c r="V2596" i="10" s="1"/>
  <c r="D2598" i="10" l="1"/>
  <c r="M2597" i="10"/>
  <c r="N2597" i="10" s="1"/>
  <c r="O2597" i="10" s="1"/>
  <c r="P2597" i="10" s="1"/>
  <c r="Q2597" i="10" s="1"/>
  <c r="R2597" i="10" s="1"/>
  <c r="S2597" i="10" s="1"/>
  <c r="T2597" i="10" s="1"/>
  <c r="U2597" i="10" s="1"/>
  <c r="V2597" i="10" s="1"/>
  <c r="D2599" i="10" l="1"/>
  <c r="M2598" i="10"/>
  <c r="N2598" i="10" s="1"/>
  <c r="O2598" i="10" s="1"/>
  <c r="P2598" i="10" s="1"/>
  <c r="Q2598" i="10" s="1"/>
  <c r="R2598" i="10" s="1"/>
  <c r="S2598" i="10" s="1"/>
  <c r="T2598" i="10" s="1"/>
  <c r="U2598" i="10" s="1"/>
  <c r="V2598" i="10" s="1"/>
  <c r="D2600" i="10" l="1"/>
  <c r="M2599" i="10"/>
  <c r="N2599" i="10" s="1"/>
  <c r="O2599" i="10" s="1"/>
  <c r="P2599" i="10" s="1"/>
  <c r="Q2599" i="10" s="1"/>
  <c r="R2599" i="10" s="1"/>
  <c r="S2599" i="10" s="1"/>
  <c r="T2599" i="10" s="1"/>
  <c r="U2599" i="10" s="1"/>
  <c r="V2599" i="10" s="1"/>
  <c r="D2601" i="10" l="1"/>
  <c r="M2600" i="10"/>
  <c r="N2600" i="10" s="1"/>
  <c r="O2600" i="10" s="1"/>
  <c r="P2600" i="10" s="1"/>
  <c r="Q2600" i="10" s="1"/>
  <c r="R2600" i="10" s="1"/>
  <c r="S2600" i="10" s="1"/>
  <c r="T2600" i="10" s="1"/>
  <c r="U2600" i="10" s="1"/>
  <c r="V2600" i="10" s="1"/>
  <c r="D2602" i="10" l="1"/>
  <c r="M2601" i="10"/>
  <c r="N2601" i="10" s="1"/>
  <c r="O2601" i="10" s="1"/>
  <c r="P2601" i="10" s="1"/>
  <c r="Q2601" i="10" s="1"/>
  <c r="R2601" i="10" s="1"/>
  <c r="S2601" i="10" s="1"/>
  <c r="T2601" i="10" s="1"/>
  <c r="U2601" i="10" s="1"/>
  <c r="V2601" i="10" s="1"/>
  <c r="D2603" i="10" l="1"/>
  <c r="M2602" i="10"/>
  <c r="N2602" i="10" s="1"/>
  <c r="O2602" i="10" s="1"/>
  <c r="P2602" i="10" s="1"/>
  <c r="Q2602" i="10" s="1"/>
  <c r="R2602" i="10" s="1"/>
  <c r="S2602" i="10" s="1"/>
  <c r="T2602" i="10" s="1"/>
  <c r="U2602" i="10" s="1"/>
  <c r="V2602" i="10" s="1"/>
  <c r="D2604" i="10" l="1"/>
  <c r="M2603" i="10"/>
  <c r="N2603" i="10" s="1"/>
  <c r="O2603" i="10" s="1"/>
  <c r="P2603" i="10" s="1"/>
  <c r="Q2603" i="10" s="1"/>
  <c r="R2603" i="10" s="1"/>
  <c r="S2603" i="10" s="1"/>
  <c r="T2603" i="10" s="1"/>
  <c r="U2603" i="10" s="1"/>
  <c r="V2603" i="10" s="1"/>
  <c r="D2605" i="10" l="1"/>
  <c r="M2604" i="10"/>
  <c r="N2604" i="10" s="1"/>
  <c r="O2604" i="10" s="1"/>
  <c r="P2604" i="10" s="1"/>
  <c r="Q2604" i="10" s="1"/>
  <c r="R2604" i="10" s="1"/>
  <c r="S2604" i="10" s="1"/>
  <c r="T2604" i="10" s="1"/>
  <c r="U2604" i="10" s="1"/>
  <c r="V2604" i="10" s="1"/>
  <c r="D2606" i="10" l="1"/>
  <c r="M2605" i="10"/>
  <c r="N2605" i="10" s="1"/>
  <c r="O2605" i="10" s="1"/>
  <c r="P2605" i="10" s="1"/>
  <c r="Q2605" i="10" s="1"/>
  <c r="R2605" i="10" s="1"/>
  <c r="S2605" i="10" s="1"/>
  <c r="T2605" i="10" s="1"/>
  <c r="U2605" i="10" s="1"/>
  <c r="V2605" i="10" s="1"/>
  <c r="D2607" i="10" l="1"/>
  <c r="M2606" i="10"/>
  <c r="N2606" i="10" s="1"/>
  <c r="O2606" i="10" s="1"/>
  <c r="P2606" i="10" s="1"/>
  <c r="Q2606" i="10" s="1"/>
  <c r="R2606" i="10" s="1"/>
  <c r="S2606" i="10" s="1"/>
  <c r="T2606" i="10" s="1"/>
  <c r="U2606" i="10" s="1"/>
  <c r="V2606" i="10" s="1"/>
  <c r="D2608" i="10" l="1"/>
  <c r="M2607" i="10"/>
  <c r="N2607" i="10" s="1"/>
  <c r="O2607" i="10" s="1"/>
  <c r="P2607" i="10" s="1"/>
  <c r="Q2607" i="10" s="1"/>
  <c r="R2607" i="10" s="1"/>
  <c r="S2607" i="10" s="1"/>
  <c r="T2607" i="10" s="1"/>
  <c r="U2607" i="10" s="1"/>
  <c r="V2607" i="10" s="1"/>
  <c r="D2609" i="10" l="1"/>
  <c r="M2608" i="10"/>
  <c r="N2608" i="10" s="1"/>
  <c r="O2608" i="10" s="1"/>
  <c r="P2608" i="10" s="1"/>
  <c r="Q2608" i="10" s="1"/>
  <c r="R2608" i="10" s="1"/>
  <c r="S2608" i="10" s="1"/>
  <c r="T2608" i="10" s="1"/>
  <c r="U2608" i="10" s="1"/>
  <c r="V2608" i="10" s="1"/>
  <c r="D2610" i="10" l="1"/>
  <c r="M2609" i="10"/>
  <c r="N2609" i="10" s="1"/>
  <c r="O2609" i="10" s="1"/>
  <c r="P2609" i="10" s="1"/>
  <c r="Q2609" i="10" s="1"/>
  <c r="R2609" i="10" s="1"/>
  <c r="S2609" i="10" s="1"/>
  <c r="T2609" i="10" s="1"/>
  <c r="U2609" i="10" s="1"/>
  <c r="V2609" i="10" s="1"/>
  <c r="D2611" i="10" l="1"/>
  <c r="M2610" i="10"/>
  <c r="N2610" i="10" s="1"/>
  <c r="O2610" i="10" s="1"/>
  <c r="P2610" i="10" s="1"/>
  <c r="Q2610" i="10" s="1"/>
  <c r="R2610" i="10" s="1"/>
  <c r="S2610" i="10" s="1"/>
  <c r="T2610" i="10" s="1"/>
  <c r="U2610" i="10" s="1"/>
  <c r="V2610" i="10" s="1"/>
  <c r="D2612" i="10" l="1"/>
  <c r="M2611" i="10"/>
  <c r="N2611" i="10" s="1"/>
  <c r="O2611" i="10" s="1"/>
  <c r="P2611" i="10" s="1"/>
  <c r="Q2611" i="10" s="1"/>
  <c r="R2611" i="10" s="1"/>
  <c r="S2611" i="10" s="1"/>
  <c r="T2611" i="10" s="1"/>
  <c r="U2611" i="10" s="1"/>
  <c r="V2611" i="10" s="1"/>
  <c r="D2613" i="10" l="1"/>
  <c r="M2612" i="10"/>
  <c r="N2612" i="10" s="1"/>
  <c r="O2612" i="10" s="1"/>
  <c r="P2612" i="10" s="1"/>
  <c r="Q2612" i="10" s="1"/>
  <c r="R2612" i="10" s="1"/>
  <c r="S2612" i="10" s="1"/>
  <c r="T2612" i="10" s="1"/>
  <c r="U2612" i="10" s="1"/>
  <c r="V2612" i="10" s="1"/>
  <c r="D2614" i="10" l="1"/>
  <c r="M2613" i="10"/>
  <c r="N2613" i="10" s="1"/>
  <c r="O2613" i="10" s="1"/>
  <c r="P2613" i="10" s="1"/>
  <c r="Q2613" i="10" s="1"/>
  <c r="R2613" i="10" s="1"/>
  <c r="S2613" i="10" s="1"/>
  <c r="T2613" i="10" s="1"/>
  <c r="U2613" i="10" s="1"/>
  <c r="V2613" i="10" s="1"/>
  <c r="D2615" i="10" l="1"/>
  <c r="M2614" i="10"/>
  <c r="N2614" i="10" s="1"/>
  <c r="O2614" i="10" s="1"/>
  <c r="P2614" i="10" s="1"/>
  <c r="Q2614" i="10" s="1"/>
  <c r="R2614" i="10" s="1"/>
  <c r="S2614" i="10" s="1"/>
  <c r="T2614" i="10" s="1"/>
  <c r="U2614" i="10" s="1"/>
  <c r="V2614" i="10" s="1"/>
  <c r="D2616" i="10" l="1"/>
  <c r="M2615" i="10"/>
  <c r="N2615" i="10" s="1"/>
  <c r="O2615" i="10" s="1"/>
  <c r="P2615" i="10" s="1"/>
  <c r="Q2615" i="10" s="1"/>
  <c r="R2615" i="10" s="1"/>
  <c r="S2615" i="10" s="1"/>
  <c r="T2615" i="10" s="1"/>
  <c r="U2615" i="10" s="1"/>
  <c r="V2615" i="10" s="1"/>
  <c r="D2617" i="10" l="1"/>
  <c r="M2616" i="10"/>
  <c r="N2616" i="10" s="1"/>
  <c r="O2616" i="10" s="1"/>
  <c r="P2616" i="10" s="1"/>
  <c r="Q2616" i="10" s="1"/>
  <c r="R2616" i="10" s="1"/>
  <c r="S2616" i="10" s="1"/>
  <c r="T2616" i="10" s="1"/>
  <c r="U2616" i="10" s="1"/>
  <c r="V2616" i="10" s="1"/>
  <c r="D2618" i="10" l="1"/>
  <c r="M2617" i="10"/>
  <c r="N2617" i="10" s="1"/>
  <c r="O2617" i="10" s="1"/>
  <c r="P2617" i="10" s="1"/>
  <c r="Q2617" i="10" s="1"/>
  <c r="R2617" i="10" s="1"/>
  <c r="S2617" i="10" s="1"/>
  <c r="T2617" i="10" s="1"/>
  <c r="U2617" i="10" s="1"/>
  <c r="V2617" i="10" s="1"/>
  <c r="D2619" i="10" l="1"/>
  <c r="M2618" i="10"/>
  <c r="N2618" i="10" s="1"/>
  <c r="O2618" i="10" s="1"/>
  <c r="P2618" i="10" s="1"/>
  <c r="Q2618" i="10" s="1"/>
  <c r="R2618" i="10" s="1"/>
  <c r="S2618" i="10" s="1"/>
  <c r="T2618" i="10" s="1"/>
  <c r="U2618" i="10" s="1"/>
  <c r="V2618" i="10" s="1"/>
  <c r="D2620" i="10" l="1"/>
  <c r="M2619" i="10"/>
  <c r="N2619" i="10" s="1"/>
  <c r="O2619" i="10" s="1"/>
  <c r="P2619" i="10" s="1"/>
  <c r="Q2619" i="10" s="1"/>
  <c r="R2619" i="10" s="1"/>
  <c r="S2619" i="10" s="1"/>
  <c r="T2619" i="10" s="1"/>
  <c r="U2619" i="10" s="1"/>
  <c r="V2619" i="10" s="1"/>
  <c r="D2621" i="10" l="1"/>
  <c r="M2620" i="10"/>
  <c r="N2620" i="10" s="1"/>
  <c r="O2620" i="10" s="1"/>
  <c r="P2620" i="10" s="1"/>
  <c r="Q2620" i="10" s="1"/>
  <c r="R2620" i="10" s="1"/>
  <c r="S2620" i="10" s="1"/>
  <c r="T2620" i="10" s="1"/>
  <c r="U2620" i="10" s="1"/>
  <c r="V2620" i="10" s="1"/>
  <c r="D2622" i="10" l="1"/>
  <c r="M2621" i="10"/>
  <c r="N2621" i="10" s="1"/>
  <c r="O2621" i="10" s="1"/>
  <c r="P2621" i="10" s="1"/>
  <c r="Q2621" i="10" s="1"/>
  <c r="R2621" i="10" s="1"/>
  <c r="S2621" i="10" s="1"/>
  <c r="T2621" i="10" s="1"/>
  <c r="U2621" i="10" s="1"/>
  <c r="V2621" i="10" s="1"/>
  <c r="D2623" i="10" l="1"/>
  <c r="M2622" i="10"/>
  <c r="N2622" i="10" s="1"/>
  <c r="O2622" i="10" s="1"/>
  <c r="P2622" i="10" s="1"/>
  <c r="Q2622" i="10" s="1"/>
  <c r="R2622" i="10" s="1"/>
  <c r="S2622" i="10" s="1"/>
  <c r="T2622" i="10" s="1"/>
  <c r="U2622" i="10" s="1"/>
  <c r="V2622" i="10" s="1"/>
  <c r="D2624" i="10" l="1"/>
  <c r="M2623" i="10"/>
  <c r="N2623" i="10" s="1"/>
  <c r="O2623" i="10" s="1"/>
  <c r="P2623" i="10" s="1"/>
  <c r="Q2623" i="10" s="1"/>
  <c r="R2623" i="10" s="1"/>
  <c r="S2623" i="10" s="1"/>
  <c r="T2623" i="10" s="1"/>
  <c r="U2623" i="10" s="1"/>
  <c r="V2623" i="10" s="1"/>
  <c r="D2625" i="10" l="1"/>
  <c r="M2624" i="10"/>
  <c r="N2624" i="10" s="1"/>
  <c r="O2624" i="10" s="1"/>
  <c r="P2624" i="10" s="1"/>
  <c r="Q2624" i="10" s="1"/>
  <c r="R2624" i="10" s="1"/>
  <c r="S2624" i="10" s="1"/>
  <c r="T2624" i="10" s="1"/>
  <c r="U2624" i="10" s="1"/>
  <c r="V2624" i="10" s="1"/>
  <c r="D2626" i="10" l="1"/>
  <c r="M2625" i="10"/>
  <c r="N2625" i="10" s="1"/>
  <c r="O2625" i="10" s="1"/>
  <c r="P2625" i="10" s="1"/>
  <c r="Q2625" i="10" s="1"/>
  <c r="R2625" i="10" s="1"/>
  <c r="S2625" i="10" s="1"/>
  <c r="T2625" i="10" s="1"/>
  <c r="U2625" i="10" s="1"/>
  <c r="V2625" i="10" s="1"/>
  <c r="D2627" i="10" l="1"/>
  <c r="M2626" i="10"/>
  <c r="N2626" i="10" s="1"/>
  <c r="O2626" i="10" s="1"/>
  <c r="P2626" i="10" s="1"/>
  <c r="Q2626" i="10" s="1"/>
  <c r="R2626" i="10" s="1"/>
  <c r="S2626" i="10" s="1"/>
  <c r="T2626" i="10" s="1"/>
  <c r="U2626" i="10" s="1"/>
  <c r="V2626" i="10" s="1"/>
  <c r="D2628" i="10" l="1"/>
  <c r="M2627" i="10"/>
  <c r="N2627" i="10" s="1"/>
  <c r="O2627" i="10" s="1"/>
  <c r="P2627" i="10" s="1"/>
  <c r="Q2627" i="10" s="1"/>
  <c r="R2627" i="10" s="1"/>
  <c r="S2627" i="10" s="1"/>
  <c r="T2627" i="10" s="1"/>
  <c r="U2627" i="10" s="1"/>
  <c r="V2627" i="10" s="1"/>
  <c r="D2629" i="10" l="1"/>
  <c r="M2628" i="10"/>
  <c r="N2628" i="10" s="1"/>
  <c r="O2628" i="10" s="1"/>
  <c r="P2628" i="10" s="1"/>
  <c r="Q2628" i="10" s="1"/>
  <c r="R2628" i="10" s="1"/>
  <c r="S2628" i="10" s="1"/>
  <c r="T2628" i="10" s="1"/>
  <c r="U2628" i="10" s="1"/>
  <c r="V2628" i="10" s="1"/>
  <c r="D2630" i="10" l="1"/>
  <c r="M2629" i="10"/>
  <c r="N2629" i="10" s="1"/>
  <c r="O2629" i="10" s="1"/>
  <c r="P2629" i="10" s="1"/>
  <c r="Q2629" i="10" s="1"/>
  <c r="R2629" i="10" s="1"/>
  <c r="S2629" i="10" s="1"/>
  <c r="T2629" i="10" s="1"/>
  <c r="U2629" i="10" s="1"/>
  <c r="V2629" i="10" s="1"/>
  <c r="D2631" i="10" l="1"/>
  <c r="M2630" i="10"/>
  <c r="N2630" i="10" s="1"/>
  <c r="O2630" i="10" s="1"/>
  <c r="P2630" i="10" s="1"/>
  <c r="Q2630" i="10" s="1"/>
  <c r="R2630" i="10" s="1"/>
  <c r="S2630" i="10" s="1"/>
  <c r="T2630" i="10" s="1"/>
  <c r="U2630" i="10" s="1"/>
  <c r="V2630" i="10" s="1"/>
  <c r="D2632" i="10" l="1"/>
  <c r="M2631" i="10"/>
  <c r="N2631" i="10" s="1"/>
  <c r="O2631" i="10" s="1"/>
  <c r="P2631" i="10" s="1"/>
  <c r="Q2631" i="10" s="1"/>
  <c r="R2631" i="10" s="1"/>
  <c r="S2631" i="10" s="1"/>
  <c r="T2631" i="10" s="1"/>
  <c r="U2631" i="10" s="1"/>
  <c r="V2631" i="10" s="1"/>
  <c r="D2633" i="10" l="1"/>
  <c r="M2632" i="10"/>
  <c r="N2632" i="10" s="1"/>
  <c r="O2632" i="10" s="1"/>
  <c r="P2632" i="10" s="1"/>
  <c r="Q2632" i="10" s="1"/>
  <c r="R2632" i="10" s="1"/>
  <c r="S2632" i="10" s="1"/>
  <c r="T2632" i="10" s="1"/>
  <c r="U2632" i="10" s="1"/>
  <c r="V2632" i="10" s="1"/>
  <c r="D2634" i="10" l="1"/>
  <c r="M2633" i="10"/>
  <c r="N2633" i="10" s="1"/>
  <c r="O2633" i="10" s="1"/>
  <c r="P2633" i="10" s="1"/>
  <c r="Q2633" i="10" s="1"/>
  <c r="R2633" i="10" s="1"/>
  <c r="S2633" i="10" s="1"/>
  <c r="T2633" i="10" s="1"/>
  <c r="U2633" i="10" s="1"/>
  <c r="V2633" i="10" s="1"/>
  <c r="D2635" i="10" l="1"/>
  <c r="M2634" i="10"/>
  <c r="N2634" i="10" s="1"/>
  <c r="O2634" i="10" s="1"/>
  <c r="P2634" i="10" s="1"/>
  <c r="Q2634" i="10" s="1"/>
  <c r="R2634" i="10" s="1"/>
  <c r="S2634" i="10" s="1"/>
  <c r="T2634" i="10" s="1"/>
  <c r="U2634" i="10" s="1"/>
  <c r="V2634" i="10" s="1"/>
  <c r="D2636" i="10" l="1"/>
  <c r="M2635" i="10"/>
  <c r="N2635" i="10" s="1"/>
  <c r="O2635" i="10" s="1"/>
  <c r="P2635" i="10" s="1"/>
  <c r="Q2635" i="10" s="1"/>
  <c r="R2635" i="10" s="1"/>
  <c r="S2635" i="10" s="1"/>
  <c r="T2635" i="10" s="1"/>
  <c r="U2635" i="10" s="1"/>
  <c r="V2635" i="10" s="1"/>
  <c r="D2637" i="10" l="1"/>
  <c r="M2636" i="10"/>
  <c r="N2636" i="10" s="1"/>
  <c r="O2636" i="10" s="1"/>
  <c r="P2636" i="10" s="1"/>
  <c r="Q2636" i="10" s="1"/>
  <c r="R2636" i="10" s="1"/>
  <c r="S2636" i="10" s="1"/>
  <c r="T2636" i="10" s="1"/>
  <c r="U2636" i="10" s="1"/>
  <c r="V2636" i="10" s="1"/>
  <c r="D2638" i="10" l="1"/>
  <c r="M2637" i="10"/>
  <c r="N2637" i="10" s="1"/>
  <c r="O2637" i="10" s="1"/>
  <c r="P2637" i="10" s="1"/>
  <c r="Q2637" i="10" s="1"/>
  <c r="R2637" i="10" s="1"/>
  <c r="S2637" i="10" s="1"/>
  <c r="T2637" i="10" s="1"/>
  <c r="U2637" i="10" s="1"/>
  <c r="V2637" i="10" s="1"/>
  <c r="D2639" i="10" l="1"/>
  <c r="M2638" i="10"/>
  <c r="N2638" i="10" s="1"/>
  <c r="O2638" i="10" s="1"/>
  <c r="P2638" i="10" s="1"/>
  <c r="Q2638" i="10" s="1"/>
  <c r="R2638" i="10" s="1"/>
  <c r="S2638" i="10" s="1"/>
  <c r="T2638" i="10" s="1"/>
  <c r="U2638" i="10" s="1"/>
  <c r="V2638" i="10" s="1"/>
  <c r="D2640" i="10" l="1"/>
  <c r="M2639" i="10"/>
  <c r="N2639" i="10" s="1"/>
  <c r="O2639" i="10" s="1"/>
  <c r="P2639" i="10" s="1"/>
  <c r="Q2639" i="10" s="1"/>
  <c r="R2639" i="10" s="1"/>
  <c r="S2639" i="10" s="1"/>
  <c r="T2639" i="10" s="1"/>
  <c r="U2639" i="10" s="1"/>
  <c r="V2639" i="10" s="1"/>
  <c r="D2641" i="10" l="1"/>
  <c r="M2640" i="10"/>
  <c r="N2640" i="10" s="1"/>
  <c r="O2640" i="10" s="1"/>
  <c r="P2640" i="10" s="1"/>
  <c r="Q2640" i="10" s="1"/>
  <c r="R2640" i="10" s="1"/>
  <c r="S2640" i="10" s="1"/>
  <c r="T2640" i="10" s="1"/>
  <c r="U2640" i="10" s="1"/>
  <c r="V2640" i="10" s="1"/>
  <c r="D2642" i="10" l="1"/>
  <c r="M2641" i="10"/>
  <c r="N2641" i="10" s="1"/>
  <c r="O2641" i="10" s="1"/>
  <c r="P2641" i="10" s="1"/>
  <c r="Q2641" i="10" s="1"/>
  <c r="R2641" i="10" s="1"/>
  <c r="S2641" i="10" s="1"/>
  <c r="T2641" i="10" s="1"/>
  <c r="U2641" i="10" s="1"/>
  <c r="V2641" i="10" s="1"/>
  <c r="D2643" i="10" l="1"/>
  <c r="M2642" i="10"/>
  <c r="N2642" i="10" s="1"/>
  <c r="O2642" i="10" s="1"/>
  <c r="P2642" i="10" s="1"/>
  <c r="Q2642" i="10" s="1"/>
  <c r="R2642" i="10" s="1"/>
  <c r="S2642" i="10" s="1"/>
  <c r="T2642" i="10" s="1"/>
  <c r="U2642" i="10" s="1"/>
  <c r="V2642" i="10" s="1"/>
  <c r="D2644" i="10" l="1"/>
  <c r="M2643" i="10"/>
  <c r="N2643" i="10" s="1"/>
  <c r="O2643" i="10" s="1"/>
  <c r="P2643" i="10" s="1"/>
  <c r="Q2643" i="10" s="1"/>
  <c r="R2643" i="10" s="1"/>
  <c r="S2643" i="10" s="1"/>
  <c r="T2643" i="10" s="1"/>
  <c r="U2643" i="10" s="1"/>
  <c r="V2643" i="10" s="1"/>
  <c r="D2645" i="10" l="1"/>
  <c r="M2644" i="10"/>
  <c r="N2644" i="10" s="1"/>
  <c r="O2644" i="10" s="1"/>
  <c r="P2644" i="10" s="1"/>
  <c r="Q2644" i="10" s="1"/>
  <c r="R2644" i="10" s="1"/>
  <c r="S2644" i="10" s="1"/>
  <c r="T2644" i="10" s="1"/>
  <c r="U2644" i="10" s="1"/>
  <c r="V2644" i="10" s="1"/>
  <c r="D2646" i="10" l="1"/>
  <c r="M2645" i="10"/>
  <c r="N2645" i="10" s="1"/>
  <c r="O2645" i="10" s="1"/>
  <c r="P2645" i="10" s="1"/>
  <c r="Q2645" i="10" s="1"/>
  <c r="R2645" i="10" s="1"/>
  <c r="S2645" i="10" s="1"/>
  <c r="T2645" i="10" s="1"/>
  <c r="U2645" i="10" s="1"/>
  <c r="V2645" i="10" s="1"/>
  <c r="D2647" i="10" l="1"/>
  <c r="M2646" i="10"/>
  <c r="N2646" i="10" s="1"/>
  <c r="O2646" i="10" s="1"/>
  <c r="P2646" i="10" s="1"/>
  <c r="Q2646" i="10" s="1"/>
  <c r="R2646" i="10" s="1"/>
  <c r="S2646" i="10" s="1"/>
  <c r="T2646" i="10" s="1"/>
  <c r="U2646" i="10" s="1"/>
  <c r="V2646" i="10" s="1"/>
  <c r="D2648" i="10" l="1"/>
  <c r="M2647" i="10"/>
  <c r="N2647" i="10" s="1"/>
  <c r="O2647" i="10" s="1"/>
  <c r="P2647" i="10" s="1"/>
  <c r="Q2647" i="10" s="1"/>
  <c r="R2647" i="10" s="1"/>
  <c r="S2647" i="10" s="1"/>
  <c r="T2647" i="10" s="1"/>
  <c r="U2647" i="10" s="1"/>
  <c r="V2647" i="10" s="1"/>
  <c r="D2649" i="10" l="1"/>
  <c r="M2648" i="10"/>
  <c r="N2648" i="10" s="1"/>
  <c r="O2648" i="10" s="1"/>
  <c r="P2648" i="10" s="1"/>
  <c r="Q2648" i="10" s="1"/>
  <c r="R2648" i="10" s="1"/>
  <c r="S2648" i="10" s="1"/>
  <c r="T2648" i="10" s="1"/>
  <c r="U2648" i="10" s="1"/>
  <c r="V2648" i="10" s="1"/>
  <c r="D2650" i="10" l="1"/>
  <c r="M2649" i="10"/>
  <c r="N2649" i="10" s="1"/>
  <c r="O2649" i="10" s="1"/>
  <c r="P2649" i="10" s="1"/>
  <c r="Q2649" i="10" s="1"/>
  <c r="R2649" i="10" s="1"/>
  <c r="S2649" i="10" s="1"/>
  <c r="T2649" i="10" s="1"/>
  <c r="U2649" i="10" s="1"/>
  <c r="V2649" i="10" s="1"/>
  <c r="D2651" i="10" l="1"/>
  <c r="M2650" i="10"/>
  <c r="N2650" i="10" s="1"/>
  <c r="O2650" i="10" s="1"/>
  <c r="P2650" i="10" s="1"/>
  <c r="Q2650" i="10" s="1"/>
  <c r="R2650" i="10" s="1"/>
  <c r="S2650" i="10" s="1"/>
  <c r="T2650" i="10" s="1"/>
  <c r="U2650" i="10" s="1"/>
  <c r="V2650" i="10" s="1"/>
  <c r="D2652" i="10" l="1"/>
  <c r="M2651" i="10"/>
  <c r="N2651" i="10" s="1"/>
  <c r="O2651" i="10" s="1"/>
  <c r="P2651" i="10" s="1"/>
  <c r="Q2651" i="10" s="1"/>
  <c r="R2651" i="10" s="1"/>
  <c r="S2651" i="10" s="1"/>
  <c r="T2651" i="10" s="1"/>
  <c r="U2651" i="10" s="1"/>
  <c r="V2651" i="10" s="1"/>
  <c r="D2653" i="10" l="1"/>
  <c r="M2652" i="10"/>
  <c r="N2652" i="10" s="1"/>
  <c r="O2652" i="10" s="1"/>
  <c r="P2652" i="10" s="1"/>
  <c r="Q2652" i="10" s="1"/>
  <c r="R2652" i="10" s="1"/>
  <c r="S2652" i="10" s="1"/>
  <c r="T2652" i="10" s="1"/>
  <c r="U2652" i="10" s="1"/>
  <c r="V2652" i="10" s="1"/>
  <c r="D2654" i="10" l="1"/>
  <c r="M2653" i="10"/>
  <c r="N2653" i="10" s="1"/>
  <c r="O2653" i="10" s="1"/>
  <c r="P2653" i="10" s="1"/>
  <c r="Q2653" i="10" s="1"/>
  <c r="R2653" i="10" s="1"/>
  <c r="S2653" i="10" s="1"/>
  <c r="T2653" i="10" s="1"/>
  <c r="U2653" i="10" s="1"/>
  <c r="V2653" i="10" s="1"/>
  <c r="D2655" i="10" l="1"/>
  <c r="M2654" i="10"/>
  <c r="N2654" i="10" s="1"/>
  <c r="O2654" i="10" s="1"/>
  <c r="P2654" i="10" s="1"/>
  <c r="Q2654" i="10" s="1"/>
  <c r="R2654" i="10" s="1"/>
  <c r="S2654" i="10" s="1"/>
  <c r="T2654" i="10" s="1"/>
  <c r="U2654" i="10" s="1"/>
  <c r="V2654" i="10" s="1"/>
  <c r="D2656" i="10" l="1"/>
  <c r="M2655" i="10"/>
  <c r="N2655" i="10" s="1"/>
  <c r="O2655" i="10" s="1"/>
  <c r="P2655" i="10" s="1"/>
  <c r="Q2655" i="10" s="1"/>
  <c r="R2655" i="10" s="1"/>
  <c r="S2655" i="10" s="1"/>
  <c r="T2655" i="10" s="1"/>
  <c r="U2655" i="10" s="1"/>
  <c r="V2655" i="10" s="1"/>
  <c r="D2657" i="10" l="1"/>
  <c r="M2656" i="10"/>
  <c r="N2656" i="10" s="1"/>
  <c r="O2656" i="10" s="1"/>
  <c r="P2656" i="10" s="1"/>
  <c r="Q2656" i="10" s="1"/>
  <c r="R2656" i="10" s="1"/>
  <c r="S2656" i="10" s="1"/>
  <c r="T2656" i="10" s="1"/>
  <c r="U2656" i="10" s="1"/>
  <c r="V2656" i="10" s="1"/>
  <c r="D2658" i="10" l="1"/>
  <c r="M2657" i="10"/>
  <c r="N2657" i="10" s="1"/>
  <c r="O2657" i="10" s="1"/>
  <c r="P2657" i="10" s="1"/>
  <c r="Q2657" i="10" s="1"/>
  <c r="R2657" i="10" s="1"/>
  <c r="S2657" i="10" s="1"/>
  <c r="T2657" i="10" s="1"/>
  <c r="U2657" i="10" s="1"/>
  <c r="V2657" i="10" s="1"/>
  <c r="D2659" i="10" l="1"/>
  <c r="M2658" i="10"/>
  <c r="N2658" i="10" s="1"/>
  <c r="O2658" i="10" s="1"/>
  <c r="P2658" i="10" s="1"/>
  <c r="Q2658" i="10" s="1"/>
  <c r="R2658" i="10" s="1"/>
  <c r="S2658" i="10" s="1"/>
  <c r="T2658" i="10" s="1"/>
  <c r="U2658" i="10" s="1"/>
  <c r="V2658" i="10" s="1"/>
  <c r="D2660" i="10" l="1"/>
  <c r="M2659" i="10"/>
  <c r="N2659" i="10" s="1"/>
  <c r="O2659" i="10" s="1"/>
  <c r="P2659" i="10" s="1"/>
  <c r="Q2659" i="10" s="1"/>
  <c r="R2659" i="10" s="1"/>
  <c r="S2659" i="10" s="1"/>
  <c r="T2659" i="10" s="1"/>
  <c r="U2659" i="10" s="1"/>
  <c r="V2659" i="10" s="1"/>
  <c r="D2661" i="10" l="1"/>
  <c r="M2660" i="10"/>
  <c r="N2660" i="10" s="1"/>
  <c r="O2660" i="10" s="1"/>
  <c r="P2660" i="10" s="1"/>
  <c r="Q2660" i="10" s="1"/>
  <c r="R2660" i="10" s="1"/>
  <c r="S2660" i="10" s="1"/>
  <c r="T2660" i="10" s="1"/>
  <c r="U2660" i="10" s="1"/>
  <c r="V2660" i="10" s="1"/>
  <c r="D2662" i="10" l="1"/>
  <c r="M2661" i="10"/>
  <c r="N2661" i="10" s="1"/>
  <c r="O2661" i="10" s="1"/>
  <c r="P2661" i="10" s="1"/>
  <c r="Q2661" i="10" s="1"/>
  <c r="R2661" i="10" s="1"/>
  <c r="S2661" i="10" s="1"/>
  <c r="T2661" i="10" s="1"/>
  <c r="U2661" i="10" s="1"/>
  <c r="V2661" i="10" s="1"/>
  <c r="D2663" i="10" l="1"/>
  <c r="M2662" i="10"/>
  <c r="N2662" i="10" s="1"/>
  <c r="O2662" i="10" s="1"/>
  <c r="P2662" i="10" s="1"/>
  <c r="Q2662" i="10" s="1"/>
  <c r="R2662" i="10" s="1"/>
  <c r="S2662" i="10" s="1"/>
  <c r="T2662" i="10" s="1"/>
  <c r="U2662" i="10" s="1"/>
  <c r="V2662" i="10" s="1"/>
  <c r="D2664" i="10" l="1"/>
  <c r="M2663" i="10"/>
  <c r="N2663" i="10" s="1"/>
  <c r="O2663" i="10" s="1"/>
  <c r="P2663" i="10" s="1"/>
  <c r="Q2663" i="10" s="1"/>
  <c r="R2663" i="10" s="1"/>
  <c r="S2663" i="10" s="1"/>
  <c r="T2663" i="10" s="1"/>
  <c r="U2663" i="10" s="1"/>
  <c r="V2663" i="10" s="1"/>
  <c r="D2665" i="10" l="1"/>
  <c r="M2664" i="10"/>
  <c r="N2664" i="10" s="1"/>
  <c r="O2664" i="10" s="1"/>
  <c r="P2664" i="10" s="1"/>
  <c r="Q2664" i="10" s="1"/>
  <c r="R2664" i="10" s="1"/>
  <c r="S2664" i="10" s="1"/>
  <c r="T2664" i="10" s="1"/>
  <c r="U2664" i="10" s="1"/>
  <c r="V2664" i="10" s="1"/>
  <c r="D2666" i="10" l="1"/>
  <c r="M2665" i="10"/>
  <c r="N2665" i="10" s="1"/>
  <c r="O2665" i="10" s="1"/>
  <c r="P2665" i="10" s="1"/>
  <c r="Q2665" i="10" s="1"/>
  <c r="R2665" i="10" s="1"/>
  <c r="S2665" i="10" s="1"/>
  <c r="T2665" i="10" s="1"/>
  <c r="U2665" i="10" s="1"/>
  <c r="V2665" i="10" s="1"/>
  <c r="D2667" i="10" l="1"/>
  <c r="M2666" i="10"/>
  <c r="N2666" i="10" s="1"/>
  <c r="O2666" i="10" s="1"/>
  <c r="P2666" i="10" s="1"/>
  <c r="Q2666" i="10" s="1"/>
  <c r="R2666" i="10" s="1"/>
  <c r="S2666" i="10" s="1"/>
  <c r="T2666" i="10" s="1"/>
  <c r="U2666" i="10" s="1"/>
  <c r="V2666" i="10" s="1"/>
  <c r="D2668" i="10" l="1"/>
  <c r="M2667" i="10"/>
  <c r="N2667" i="10" s="1"/>
  <c r="O2667" i="10" s="1"/>
  <c r="P2667" i="10" s="1"/>
  <c r="Q2667" i="10" s="1"/>
  <c r="R2667" i="10" s="1"/>
  <c r="S2667" i="10" s="1"/>
  <c r="T2667" i="10" s="1"/>
  <c r="U2667" i="10" s="1"/>
  <c r="V2667" i="10" s="1"/>
  <c r="D2669" i="10" l="1"/>
  <c r="M2668" i="10"/>
  <c r="N2668" i="10" s="1"/>
  <c r="O2668" i="10" s="1"/>
  <c r="P2668" i="10" s="1"/>
  <c r="Q2668" i="10" s="1"/>
  <c r="R2668" i="10" s="1"/>
  <c r="S2668" i="10" s="1"/>
  <c r="T2668" i="10" s="1"/>
  <c r="U2668" i="10" s="1"/>
  <c r="V2668" i="10" s="1"/>
  <c r="D2670" i="10" l="1"/>
  <c r="M2669" i="10"/>
  <c r="N2669" i="10" s="1"/>
  <c r="O2669" i="10" s="1"/>
  <c r="P2669" i="10" s="1"/>
  <c r="Q2669" i="10" s="1"/>
  <c r="R2669" i="10" s="1"/>
  <c r="S2669" i="10" s="1"/>
  <c r="T2669" i="10" s="1"/>
  <c r="U2669" i="10" s="1"/>
  <c r="V2669" i="10" s="1"/>
  <c r="D2671" i="10" l="1"/>
  <c r="M2670" i="10"/>
  <c r="N2670" i="10" s="1"/>
  <c r="O2670" i="10" s="1"/>
  <c r="P2670" i="10" s="1"/>
  <c r="Q2670" i="10" s="1"/>
  <c r="R2670" i="10" s="1"/>
  <c r="S2670" i="10" s="1"/>
  <c r="T2670" i="10" s="1"/>
  <c r="U2670" i="10" s="1"/>
  <c r="V2670" i="10" s="1"/>
  <c r="D2672" i="10" l="1"/>
  <c r="M2671" i="10"/>
  <c r="N2671" i="10" s="1"/>
  <c r="O2671" i="10" s="1"/>
  <c r="P2671" i="10" s="1"/>
  <c r="Q2671" i="10" s="1"/>
  <c r="R2671" i="10" s="1"/>
  <c r="S2671" i="10" s="1"/>
  <c r="T2671" i="10" s="1"/>
  <c r="U2671" i="10" s="1"/>
  <c r="V2671" i="10" s="1"/>
  <c r="D2673" i="10" l="1"/>
  <c r="M2672" i="10"/>
  <c r="N2672" i="10" s="1"/>
  <c r="O2672" i="10" s="1"/>
  <c r="P2672" i="10" s="1"/>
  <c r="Q2672" i="10" s="1"/>
  <c r="R2672" i="10" s="1"/>
  <c r="S2672" i="10" s="1"/>
  <c r="T2672" i="10" s="1"/>
  <c r="U2672" i="10" s="1"/>
  <c r="V2672" i="10" s="1"/>
  <c r="D2674" i="10" l="1"/>
  <c r="M2673" i="10"/>
  <c r="N2673" i="10" s="1"/>
  <c r="O2673" i="10" s="1"/>
  <c r="P2673" i="10" s="1"/>
  <c r="Q2673" i="10" s="1"/>
  <c r="R2673" i="10" s="1"/>
  <c r="S2673" i="10" s="1"/>
  <c r="T2673" i="10" s="1"/>
  <c r="U2673" i="10" s="1"/>
  <c r="V2673" i="10" s="1"/>
  <c r="D2675" i="10" l="1"/>
  <c r="M2674" i="10"/>
  <c r="N2674" i="10" s="1"/>
  <c r="O2674" i="10" s="1"/>
  <c r="P2674" i="10" s="1"/>
  <c r="Q2674" i="10" s="1"/>
  <c r="R2674" i="10" s="1"/>
  <c r="S2674" i="10" s="1"/>
  <c r="T2674" i="10" s="1"/>
  <c r="U2674" i="10" s="1"/>
  <c r="V2674" i="10" s="1"/>
  <c r="D2676" i="10" l="1"/>
  <c r="M2675" i="10"/>
  <c r="N2675" i="10" s="1"/>
  <c r="O2675" i="10" s="1"/>
  <c r="P2675" i="10" s="1"/>
  <c r="Q2675" i="10" s="1"/>
  <c r="R2675" i="10" s="1"/>
  <c r="S2675" i="10" s="1"/>
  <c r="T2675" i="10" s="1"/>
  <c r="U2675" i="10" s="1"/>
  <c r="V2675" i="10" s="1"/>
  <c r="D2677" i="10" l="1"/>
  <c r="M2676" i="10"/>
  <c r="N2676" i="10" s="1"/>
  <c r="O2676" i="10" s="1"/>
  <c r="P2676" i="10" s="1"/>
  <c r="Q2676" i="10" s="1"/>
  <c r="R2676" i="10" s="1"/>
  <c r="S2676" i="10" s="1"/>
  <c r="T2676" i="10" s="1"/>
  <c r="U2676" i="10" s="1"/>
  <c r="V2676" i="10" s="1"/>
  <c r="D2678" i="10" l="1"/>
  <c r="M2677" i="10"/>
  <c r="N2677" i="10" s="1"/>
  <c r="O2677" i="10" s="1"/>
  <c r="P2677" i="10" s="1"/>
  <c r="Q2677" i="10" s="1"/>
  <c r="R2677" i="10" s="1"/>
  <c r="S2677" i="10" s="1"/>
  <c r="T2677" i="10" s="1"/>
  <c r="U2677" i="10" s="1"/>
  <c r="V2677" i="10" s="1"/>
  <c r="D2679" i="10" l="1"/>
  <c r="M2678" i="10"/>
  <c r="N2678" i="10" s="1"/>
  <c r="O2678" i="10" s="1"/>
  <c r="P2678" i="10" s="1"/>
  <c r="Q2678" i="10" s="1"/>
  <c r="R2678" i="10" s="1"/>
  <c r="S2678" i="10" s="1"/>
  <c r="T2678" i="10" s="1"/>
  <c r="U2678" i="10" s="1"/>
  <c r="V2678" i="10" s="1"/>
  <c r="D2680" i="10" l="1"/>
  <c r="M2679" i="10"/>
  <c r="N2679" i="10" s="1"/>
  <c r="O2679" i="10" s="1"/>
  <c r="P2679" i="10" s="1"/>
  <c r="Q2679" i="10" s="1"/>
  <c r="R2679" i="10" s="1"/>
  <c r="S2679" i="10" s="1"/>
  <c r="T2679" i="10" s="1"/>
  <c r="U2679" i="10" s="1"/>
  <c r="V2679" i="10" s="1"/>
  <c r="D2681" i="10" l="1"/>
  <c r="M2680" i="10"/>
  <c r="N2680" i="10" s="1"/>
  <c r="O2680" i="10" s="1"/>
  <c r="P2680" i="10" s="1"/>
  <c r="Q2680" i="10" s="1"/>
  <c r="R2680" i="10" s="1"/>
  <c r="S2680" i="10" s="1"/>
  <c r="T2680" i="10" s="1"/>
  <c r="U2680" i="10" s="1"/>
  <c r="V2680" i="10" s="1"/>
  <c r="D2682" i="10" l="1"/>
  <c r="M2681" i="10"/>
  <c r="N2681" i="10" s="1"/>
  <c r="O2681" i="10" s="1"/>
  <c r="P2681" i="10" s="1"/>
  <c r="Q2681" i="10" s="1"/>
  <c r="R2681" i="10" s="1"/>
  <c r="S2681" i="10" s="1"/>
  <c r="T2681" i="10" s="1"/>
  <c r="U2681" i="10" s="1"/>
  <c r="V2681" i="10" s="1"/>
  <c r="D2683" i="10" l="1"/>
  <c r="M2682" i="10"/>
  <c r="N2682" i="10" s="1"/>
  <c r="O2682" i="10" s="1"/>
  <c r="P2682" i="10" s="1"/>
  <c r="Q2682" i="10" s="1"/>
  <c r="R2682" i="10" s="1"/>
  <c r="S2682" i="10" s="1"/>
  <c r="T2682" i="10" s="1"/>
  <c r="U2682" i="10" s="1"/>
  <c r="V2682" i="10" s="1"/>
  <c r="D2684" i="10" l="1"/>
  <c r="M2683" i="10"/>
  <c r="N2683" i="10" s="1"/>
  <c r="O2683" i="10" s="1"/>
  <c r="P2683" i="10" s="1"/>
  <c r="Q2683" i="10" s="1"/>
  <c r="R2683" i="10" s="1"/>
  <c r="S2683" i="10" s="1"/>
  <c r="T2683" i="10" s="1"/>
  <c r="U2683" i="10" s="1"/>
  <c r="V2683" i="10" s="1"/>
  <c r="D2685" i="10" l="1"/>
  <c r="M2684" i="10"/>
  <c r="N2684" i="10" s="1"/>
  <c r="O2684" i="10" s="1"/>
  <c r="P2684" i="10" s="1"/>
  <c r="Q2684" i="10" s="1"/>
  <c r="R2684" i="10" s="1"/>
  <c r="S2684" i="10" s="1"/>
  <c r="T2684" i="10" s="1"/>
  <c r="U2684" i="10" s="1"/>
  <c r="V2684" i="10" s="1"/>
  <c r="D2686" i="10" l="1"/>
  <c r="M2685" i="10"/>
  <c r="N2685" i="10" s="1"/>
  <c r="O2685" i="10" s="1"/>
  <c r="P2685" i="10" s="1"/>
  <c r="Q2685" i="10" s="1"/>
  <c r="R2685" i="10" s="1"/>
  <c r="S2685" i="10" s="1"/>
  <c r="T2685" i="10" s="1"/>
  <c r="U2685" i="10" s="1"/>
  <c r="V2685" i="10" s="1"/>
  <c r="D2687" i="10" l="1"/>
  <c r="M2686" i="10"/>
  <c r="N2686" i="10" s="1"/>
  <c r="O2686" i="10" s="1"/>
  <c r="P2686" i="10" s="1"/>
  <c r="Q2686" i="10" s="1"/>
  <c r="R2686" i="10" s="1"/>
  <c r="S2686" i="10" s="1"/>
  <c r="T2686" i="10" s="1"/>
  <c r="U2686" i="10" s="1"/>
  <c r="V2686" i="10" s="1"/>
  <c r="D2688" i="10" l="1"/>
  <c r="M2687" i="10"/>
  <c r="N2687" i="10" s="1"/>
  <c r="O2687" i="10" s="1"/>
  <c r="P2687" i="10" s="1"/>
  <c r="Q2687" i="10" s="1"/>
  <c r="R2687" i="10" s="1"/>
  <c r="S2687" i="10" s="1"/>
  <c r="T2687" i="10" s="1"/>
  <c r="U2687" i="10" s="1"/>
  <c r="V2687" i="10" s="1"/>
  <c r="D2689" i="10" l="1"/>
  <c r="M2688" i="10"/>
  <c r="N2688" i="10" s="1"/>
  <c r="O2688" i="10" s="1"/>
  <c r="P2688" i="10" s="1"/>
  <c r="Q2688" i="10" s="1"/>
  <c r="R2688" i="10" s="1"/>
  <c r="S2688" i="10" s="1"/>
  <c r="T2688" i="10" s="1"/>
  <c r="U2688" i="10" s="1"/>
  <c r="V2688" i="10" s="1"/>
  <c r="D2690" i="10" l="1"/>
  <c r="M2689" i="10"/>
  <c r="N2689" i="10" s="1"/>
  <c r="O2689" i="10" s="1"/>
  <c r="P2689" i="10" s="1"/>
  <c r="Q2689" i="10" s="1"/>
  <c r="R2689" i="10" s="1"/>
  <c r="S2689" i="10" s="1"/>
  <c r="T2689" i="10" s="1"/>
  <c r="U2689" i="10" s="1"/>
  <c r="V2689" i="10" s="1"/>
  <c r="D2691" i="10" l="1"/>
  <c r="M2690" i="10"/>
  <c r="N2690" i="10" s="1"/>
  <c r="O2690" i="10" s="1"/>
  <c r="P2690" i="10" s="1"/>
  <c r="Q2690" i="10" s="1"/>
  <c r="R2690" i="10" s="1"/>
  <c r="S2690" i="10" s="1"/>
  <c r="T2690" i="10" s="1"/>
  <c r="U2690" i="10" s="1"/>
  <c r="V2690" i="10" s="1"/>
  <c r="D2692" i="10" l="1"/>
  <c r="M2691" i="10"/>
  <c r="N2691" i="10" s="1"/>
  <c r="O2691" i="10" s="1"/>
  <c r="P2691" i="10" s="1"/>
  <c r="Q2691" i="10" s="1"/>
  <c r="R2691" i="10" s="1"/>
  <c r="S2691" i="10" s="1"/>
  <c r="T2691" i="10" s="1"/>
  <c r="U2691" i="10" s="1"/>
  <c r="V2691" i="10" s="1"/>
  <c r="D2693" i="10" l="1"/>
  <c r="M2692" i="10"/>
  <c r="N2692" i="10" s="1"/>
  <c r="O2692" i="10" s="1"/>
  <c r="P2692" i="10" s="1"/>
  <c r="Q2692" i="10" s="1"/>
  <c r="R2692" i="10" s="1"/>
  <c r="S2692" i="10" s="1"/>
  <c r="T2692" i="10" s="1"/>
  <c r="U2692" i="10" s="1"/>
  <c r="V2692" i="10" s="1"/>
  <c r="D2694" i="10" l="1"/>
  <c r="M2693" i="10"/>
  <c r="N2693" i="10" s="1"/>
  <c r="O2693" i="10" s="1"/>
  <c r="P2693" i="10" s="1"/>
  <c r="Q2693" i="10" s="1"/>
  <c r="R2693" i="10" s="1"/>
  <c r="S2693" i="10" s="1"/>
  <c r="T2693" i="10" s="1"/>
  <c r="U2693" i="10" s="1"/>
  <c r="V2693" i="10" s="1"/>
  <c r="D2695" i="10" l="1"/>
  <c r="M2694" i="10"/>
  <c r="N2694" i="10" s="1"/>
  <c r="O2694" i="10" s="1"/>
  <c r="P2694" i="10" s="1"/>
  <c r="Q2694" i="10" s="1"/>
  <c r="R2694" i="10" s="1"/>
  <c r="S2694" i="10" s="1"/>
  <c r="T2694" i="10" s="1"/>
  <c r="U2694" i="10" s="1"/>
  <c r="V2694" i="10" s="1"/>
  <c r="D2696" i="10" l="1"/>
  <c r="M2695" i="10"/>
  <c r="N2695" i="10" s="1"/>
  <c r="O2695" i="10" s="1"/>
  <c r="P2695" i="10" s="1"/>
  <c r="Q2695" i="10" s="1"/>
  <c r="R2695" i="10" s="1"/>
  <c r="S2695" i="10" s="1"/>
  <c r="T2695" i="10" s="1"/>
  <c r="U2695" i="10" s="1"/>
  <c r="V2695" i="10" s="1"/>
  <c r="D2697" i="10" l="1"/>
  <c r="M2696" i="10"/>
  <c r="N2696" i="10" s="1"/>
  <c r="O2696" i="10" s="1"/>
  <c r="P2696" i="10" s="1"/>
  <c r="Q2696" i="10" s="1"/>
  <c r="R2696" i="10" s="1"/>
  <c r="S2696" i="10" s="1"/>
  <c r="T2696" i="10" s="1"/>
  <c r="U2696" i="10" s="1"/>
  <c r="V2696" i="10" s="1"/>
  <c r="D2698" i="10" l="1"/>
  <c r="M2697" i="10"/>
  <c r="N2697" i="10" s="1"/>
  <c r="O2697" i="10" s="1"/>
  <c r="P2697" i="10" s="1"/>
  <c r="Q2697" i="10" s="1"/>
  <c r="R2697" i="10" s="1"/>
  <c r="S2697" i="10" s="1"/>
  <c r="T2697" i="10" s="1"/>
  <c r="U2697" i="10" s="1"/>
  <c r="V2697" i="10" s="1"/>
  <c r="D2699" i="10" l="1"/>
  <c r="M2698" i="10"/>
  <c r="N2698" i="10" s="1"/>
  <c r="O2698" i="10" s="1"/>
  <c r="P2698" i="10" s="1"/>
  <c r="Q2698" i="10" s="1"/>
  <c r="R2698" i="10" s="1"/>
  <c r="S2698" i="10" s="1"/>
  <c r="T2698" i="10" s="1"/>
  <c r="U2698" i="10" s="1"/>
  <c r="V2698" i="10" s="1"/>
  <c r="D2700" i="10" l="1"/>
  <c r="M2699" i="10"/>
  <c r="N2699" i="10" s="1"/>
  <c r="O2699" i="10" s="1"/>
  <c r="P2699" i="10" s="1"/>
  <c r="Q2699" i="10" s="1"/>
  <c r="R2699" i="10" s="1"/>
  <c r="S2699" i="10" s="1"/>
  <c r="T2699" i="10" s="1"/>
  <c r="U2699" i="10" s="1"/>
  <c r="V2699" i="10" s="1"/>
  <c r="D2701" i="10" l="1"/>
  <c r="M2700" i="10"/>
  <c r="N2700" i="10" s="1"/>
  <c r="O2700" i="10" s="1"/>
  <c r="P2700" i="10" s="1"/>
  <c r="Q2700" i="10" s="1"/>
  <c r="R2700" i="10" s="1"/>
  <c r="S2700" i="10" s="1"/>
  <c r="T2700" i="10" s="1"/>
  <c r="U2700" i="10" s="1"/>
  <c r="V2700" i="10" s="1"/>
  <c r="D2702" i="10" l="1"/>
  <c r="M2701" i="10"/>
  <c r="N2701" i="10" s="1"/>
  <c r="O2701" i="10" s="1"/>
  <c r="P2701" i="10" s="1"/>
  <c r="Q2701" i="10" s="1"/>
  <c r="R2701" i="10" s="1"/>
  <c r="S2701" i="10" s="1"/>
  <c r="T2701" i="10" s="1"/>
  <c r="U2701" i="10" s="1"/>
  <c r="V2701" i="10" s="1"/>
  <c r="D2703" i="10" l="1"/>
  <c r="M2702" i="10"/>
  <c r="N2702" i="10" s="1"/>
  <c r="O2702" i="10" s="1"/>
  <c r="P2702" i="10" s="1"/>
  <c r="Q2702" i="10" s="1"/>
  <c r="R2702" i="10" s="1"/>
  <c r="S2702" i="10" s="1"/>
  <c r="T2702" i="10" s="1"/>
  <c r="U2702" i="10" s="1"/>
  <c r="V2702" i="10" s="1"/>
  <c r="D2704" i="10" l="1"/>
  <c r="M2703" i="10"/>
  <c r="N2703" i="10" s="1"/>
  <c r="O2703" i="10" s="1"/>
  <c r="P2703" i="10" s="1"/>
  <c r="Q2703" i="10" s="1"/>
  <c r="R2703" i="10" s="1"/>
  <c r="S2703" i="10" s="1"/>
  <c r="T2703" i="10" s="1"/>
  <c r="U2703" i="10" s="1"/>
  <c r="V2703" i="10" s="1"/>
  <c r="D2705" i="10" l="1"/>
  <c r="M2704" i="10"/>
  <c r="N2704" i="10" s="1"/>
  <c r="O2704" i="10" s="1"/>
  <c r="P2704" i="10" s="1"/>
  <c r="Q2704" i="10" s="1"/>
  <c r="R2704" i="10" s="1"/>
  <c r="S2704" i="10" s="1"/>
  <c r="T2704" i="10" s="1"/>
  <c r="U2704" i="10" s="1"/>
  <c r="V2704" i="10" s="1"/>
  <c r="D2706" i="10" l="1"/>
  <c r="M2705" i="10"/>
  <c r="N2705" i="10" s="1"/>
  <c r="O2705" i="10" s="1"/>
  <c r="P2705" i="10" s="1"/>
  <c r="Q2705" i="10" s="1"/>
  <c r="R2705" i="10" s="1"/>
  <c r="S2705" i="10" s="1"/>
  <c r="T2705" i="10" s="1"/>
  <c r="U2705" i="10" s="1"/>
  <c r="V2705" i="10" s="1"/>
  <c r="D2707" i="10" l="1"/>
  <c r="M2706" i="10"/>
  <c r="N2706" i="10" s="1"/>
  <c r="O2706" i="10" s="1"/>
  <c r="P2706" i="10" s="1"/>
  <c r="Q2706" i="10" s="1"/>
  <c r="R2706" i="10" s="1"/>
  <c r="S2706" i="10" s="1"/>
  <c r="T2706" i="10" s="1"/>
  <c r="U2706" i="10" s="1"/>
  <c r="V2706" i="10" s="1"/>
  <c r="D2708" i="10" l="1"/>
  <c r="M2707" i="10"/>
  <c r="N2707" i="10" s="1"/>
  <c r="O2707" i="10" s="1"/>
  <c r="P2707" i="10" s="1"/>
  <c r="Q2707" i="10" s="1"/>
  <c r="R2707" i="10" s="1"/>
  <c r="S2707" i="10" s="1"/>
  <c r="T2707" i="10" s="1"/>
  <c r="U2707" i="10" s="1"/>
  <c r="V2707" i="10" s="1"/>
  <c r="D2709" i="10" l="1"/>
  <c r="M2708" i="10"/>
  <c r="N2708" i="10" s="1"/>
  <c r="O2708" i="10" s="1"/>
  <c r="P2708" i="10" s="1"/>
  <c r="Q2708" i="10" s="1"/>
  <c r="R2708" i="10" s="1"/>
  <c r="S2708" i="10" s="1"/>
  <c r="T2708" i="10" s="1"/>
  <c r="U2708" i="10" s="1"/>
  <c r="V2708" i="10" s="1"/>
  <c r="D2710" i="10" l="1"/>
  <c r="M2709" i="10"/>
  <c r="N2709" i="10" s="1"/>
  <c r="O2709" i="10" s="1"/>
  <c r="P2709" i="10" s="1"/>
  <c r="Q2709" i="10" s="1"/>
  <c r="R2709" i="10" s="1"/>
  <c r="S2709" i="10" s="1"/>
  <c r="T2709" i="10" s="1"/>
  <c r="U2709" i="10" s="1"/>
  <c r="V2709" i="10" s="1"/>
  <c r="D2711" i="10" l="1"/>
  <c r="M2710" i="10"/>
  <c r="N2710" i="10" s="1"/>
  <c r="O2710" i="10" s="1"/>
  <c r="P2710" i="10" s="1"/>
  <c r="Q2710" i="10" s="1"/>
  <c r="R2710" i="10" s="1"/>
  <c r="S2710" i="10" s="1"/>
  <c r="T2710" i="10" s="1"/>
  <c r="U2710" i="10" s="1"/>
  <c r="V2710" i="10" s="1"/>
  <c r="D2712" i="10" l="1"/>
  <c r="M2711" i="10"/>
  <c r="N2711" i="10" s="1"/>
  <c r="O2711" i="10" s="1"/>
  <c r="P2711" i="10" s="1"/>
  <c r="Q2711" i="10" s="1"/>
  <c r="R2711" i="10" s="1"/>
  <c r="S2711" i="10" s="1"/>
  <c r="T2711" i="10" s="1"/>
  <c r="U2711" i="10" s="1"/>
  <c r="V2711" i="10" s="1"/>
  <c r="D2713" i="10" l="1"/>
  <c r="M2712" i="10"/>
  <c r="N2712" i="10" s="1"/>
  <c r="O2712" i="10" s="1"/>
  <c r="P2712" i="10" s="1"/>
  <c r="Q2712" i="10" s="1"/>
  <c r="R2712" i="10" s="1"/>
  <c r="S2712" i="10" s="1"/>
  <c r="T2712" i="10" s="1"/>
  <c r="U2712" i="10" s="1"/>
  <c r="V2712" i="10" s="1"/>
  <c r="D2714" i="10" l="1"/>
  <c r="M2713" i="10"/>
  <c r="N2713" i="10" s="1"/>
  <c r="O2713" i="10" s="1"/>
  <c r="P2713" i="10" s="1"/>
  <c r="Q2713" i="10" s="1"/>
  <c r="R2713" i="10" s="1"/>
  <c r="S2713" i="10" s="1"/>
  <c r="T2713" i="10" s="1"/>
  <c r="U2713" i="10" s="1"/>
  <c r="V2713" i="10" s="1"/>
  <c r="D2715" i="10" l="1"/>
  <c r="M2714" i="10"/>
  <c r="N2714" i="10" s="1"/>
  <c r="O2714" i="10" s="1"/>
  <c r="P2714" i="10" s="1"/>
  <c r="Q2714" i="10" s="1"/>
  <c r="R2714" i="10" s="1"/>
  <c r="S2714" i="10" s="1"/>
  <c r="T2714" i="10" s="1"/>
  <c r="U2714" i="10" s="1"/>
  <c r="V2714" i="10" s="1"/>
  <c r="D2716" i="10" l="1"/>
  <c r="M2715" i="10"/>
  <c r="N2715" i="10" s="1"/>
  <c r="O2715" i="10" s="1"/>
  <c r="P2715" i="10" s="1"/>
  <c r="Q2715" i="10" s="1"/>
  <c r="R2715" i="10" s="1"/>
  <c r="S2715" i="10" s="1"/>
  <c r="T2715" i="10" s="1"/>
  <c r="U2715" i="10" s="1"/>
  <c r="V2715" i="10" s="1"/>
  <c r="D2717" i="10" l="1"/>
  <c r="M2716" i="10"/>
  <c r="N2716" i="10" s="1"/>
  <c r="O2716" i="10" s="1"/>
  <c r="P2716" i="10" s="1"/>
  <c r="Q2716" i="10" s="1"/>
  <c r="R2716" i="10" s="1"/>
  <c r="S2716" i="10" s="1"/>
  <c r="T2716" i="10" s="1"/>
  <c r="U2716" i="10" s="1"/>
  <c r="V2716" i="10" s="1"/>
  <c r="D2718" i="10" l="1"/>
  <c r="M2717" i="10"/>
  <c r="N2717" i="10" s="1"/>
  <c r="O2717" i="10" s="1"/>
  <c r="P2717" i="10" s="1"/>
  <c r="Q2717" i="10" s="1"/>
  <c r="R2717" i="10" s="1"/>
  <c r="S2717" i="10" s="1"/>
  <c r="T2717" i="10" s="1"/>
  <c r="U2717" i="10" s="1"/>
  <c r="V2717" i="10" s="1"/>
  <c r="D2719" i="10" l="1"/>
  <c r="M2718" i="10"/>
  <c r="N2718" i="10" s="1"/>
  <c r="O2718" i="10" s="1"/>
  <c r="P2718" i="10" s="1"/>
  <c r="Q2718" i="10" s="1"/>
  <c r="R2718" i="10" s="1"/>
  <c r="S2718" i="10" s="1"/>
  <c r="T2718" i="10" s="1"/>
  <c r="U2718" i="10" s="1"/>
  <c r="V2718" i="10" s="1"/>
  <c r="D2720" i="10" l="1"/>
  <c r="M2719" i="10"/>
  <c r="N2719" i="10" s="1"/>
  <c r="O2719" i="10" s="1"/>
  <c r="P2719" i="10" s="1"/>
  <c r="Q2719" i="10" s="1"/>
  <c r="R2719" i="10" s="1"/>
  <c r="S2719" i="10" s="1"/>
  <c r="T2719" i="10" s="1"/>
  <c r="U2719" i="10" s="1"/>
  <c r="V2719" i="10" s="1"/>
  <c r="D2721" i="10" l="1"/>
  <c r="M2720" i="10"/>
  <c r="N2720" i="10" s="1"/>
  <c r="O2720" i="10" s="1"/>
  <c r="P2720" i="10" s="1"/>
  <c r="Q2720" i="10" s="1"/>
  <c r="R2720" i="10" s="1"/>
  <c r="S2720" i="10" s="1"/>
  <c r="T2720" i="10" s="1"/>
  <c r="U2720" i="10" s="1"/>
  <c r="V2720" i="10" s="1"/>
  <c r="D2722" i="10" l="1"/>
  <c r="M2721" i="10"/>
  <c r="N2721" i="10" s="1"/>
  <c r="O2721" i="10" s="1"/>
  <c r="P2721" i="10" s="1"/>
  <c r="Q2721" i="10" s="1"/>
  <c r="R2721" i="10" s="1"/>
  <c r="S2721" i="10" s="1"/>
  <c r="T2721" i="10" s="1"/>
  <c r="U2721" i="10" s="1"/>
  <c r="V2721" i="10" s="1"/>
  <c r="D2723" i="10" l="1"/>
  <c r="M2722" i="10"/>
  <c r="N2722" i="10" s="1"/>
  <c r="O2722" i="10" s="1"/>
  <c r="P2722" i="10" s="1"/>
  <c r="Q2722" i="10" s="1"/>
  <c r="R2722" i="10" s="1"/>
  <c r="S2722" i="10" s="1"/>
  <c r="T2722" i="10" s="1"/>
  <c r="U2722" i="10" s="1"/>
  <c r="V2722" i="10" s="1"/>
  <c r="D2724" i="10" l="1"/>
  <c r="M2723" i="10"/>
  <c r="N2723" i="10" s="1"/>
  <c r="O2723" i="10" s="1"/>
  <c r="P2723" i="10" s="1"/>
  <c r="Q2723" i="10" s="1"/>
  <c r="R2723" i="10" s="1"/>
  <c r="S2723" i="10" s="1"/>
  <c r="T2723" i="10" s="1"/>
  <c r="U2723" i="10" s="1"/>
  <c r="V2723" i="10" s="1"/>
  <c r="D2725" i="10" l="1"/>
  <c r="M2724" i="10"/>
  <c r="N2724" i="10" s="1"/>
  <c r="O2724" i="10" s="1"/>
  <c r="P2724" i="10" s="1"/>
  <c r="Q2724" i="10" s="1"/>
  <c r="R2724" i="10" s="1"/>
  <c r="S2724" i="10" s="1"/>
  <c r="T2724" i="10" s="1"/>
  <c r="U2724" i="10" s="1"/>
  <c r="V2724" i="10" s="1"/>
  <c r="D2726" i="10" l="1"/>
  <c r="M2725" i="10"/>
  <c r="N2725" i="10" s="1"/>
  <c r="O2725" i="10" s="1"/>
  <c r="P2725" i="10" s="1"/>
  <c r="Q2725" i="10" s="1"/>
  <c r="R2725" i="10" s="1"/>
  <c r="S2725" i="10" s="1"/>
  <c r="T2725" i="10" s="1"/>
  <c r="U2725" i="10" s="1"/>
  <c r="V2725" i="10" s="1"/>
  <c r="D2727" i="10" l="1"/>
  <c r="M2726" i="10"/>
  <c r="N2726" i="10" s="1"/>
  <c r="O2726" i="10" s="1"/>
  <c r="P2726" i="10" s="1"/>
  <c r="Q2726" i="10" s="1"/>
  <c r="R2726" i="10" s="1"/>
  <c r="S2726" i="10" s="1"/>
  <c r="T2726" i="10" s="1"/>
  <c r="U2726" i="10" s="1"/>
  <c r="V2726" i="10" s="1"/>
  <c r="D2728" i="10" l="1"/>
  <c r="M2727" i="10"/>
  <c r="N2727" i="10" s="1"/>
  <c r="O2727" i="10" s="1"/>
  <c r="P2727" i="10" s="1"/>
  <c r="Q2727" i="10" s="1"/>
  <c r="R2727" i="10" s="1"/>
  <c r="S2727" i="10" s="1"/>
  <c r="T2727" i="10" s="1"/>
  <c r="U2727" i="10" s="1"/>
  <c r="V2727" i="10" s="1"/>
  <c r="D2729" i="10" l="1"/>
  <c r="M2728" i="10"/>
  <c r="N2728" i="10" s="1"/>
  <c r="O2728" i="10" s="1"/>
  <c r="P2728" i="10" s="1"/>
  <c r="Q2728" i="10" s="1"/>
  <c r="R2728" i="10" s="1"/>
  <c r="S2728" i="10" s="1"/>
  <c r="T2728" i="10" s="1"/>
  <c r="U2728" i="10" s="1"/>
  <c r="V2728" i="10" s="1"/>
  <c r="D2730" i="10" l="1"/>
  <c r="M2729" i="10"/>
  <c r="N2729" i="10" s="1"/>
  <c r="O2729" i="10" s="1"/>
  <c r="P2729" i="10" s="1"/>
  <c r="Q2729" i="10" s="1"/>
  <c r="R2729" i="10" s="1"/>
  <c r="S2729" i="10" s="1"/>
  <c r="T2729" i="10" s="1"/>
  <c r="U2729" i="10" s="1"/>
  <c r="V2729" i="10" s="1"/>
  <c r="D2731" i="10" l="1"/>
  <c r="M2730" i="10"/>
  <c r="N2730" i="10" s="1"/>
  <c r="O2730" i="10" s="1"/>
  <c r="P2730" i="10" s="1"/>
  <c r="Q2730" i="10" s="1"/>
  <c r="R2730" i="10" s="1"/>
  <c r="S2730" i="10" s="1"/>
  <c r="T2730" i="10" s="1"/>
  <c r="U2730" i="10" s="1"/>
  <c r="V2730" i="10" s="1"/>
  <c r="D2732" i="10" l="1"/>
  <c r="M2731" i="10"/>
  <c r="N2731" i="10" s="1"/>
  <c r="O2731" i="10" s="1"/>
  <c r="P2731" i="10" s="1"/>
  <c r="Q2731" i="10" s="1"/>
  <c r="R2731" i="10" s="1"/>
  <c r="S2731" i="10" s="1"/>
  <c r="T2731" i="10" s="1"/>
  <c r="U2731" i="10" s="1"/>
  <c r="V2731" i="10" s="1"/>
  <c r="D2733" i="10" l="1"/>
  <c r="M2732" i="10"/>
  <c r="N2732" i="10" s="1"/>
  <c r="O2732" i="10" s="1"/>
  <c r="P2732" i="10" s="1"/>
  <c r="Q2732" i="10" s="1"/>
  <c r="R2732" i="10" s="1"/>
  <c r="S2732" i="10" s="1"/>
  <c r="T2732" i="10" s="1"/>
  <c r="U2732" i="10" s="1"/>
  <c r="V2732" i="10" s="1"/>
  <c r="D2734" i="10" l="1"/>
  <c r="M2733" i="10"/>
  <c r="N2733" i="10" s="1"/>
  <c r="O2733" i="10" s="1"/>
  <c r="P2733" i="10" s="1"/>
  <c r="Q2733" i="10" s="1"/>
  <c r="R2733" i="10" s="1"/>
  <c r="S2733" i="10" s="1"/>
  <c r="T2733" i="10" s="1"/>
  <c r="U2733" i="10" s="1"/>
  <c r="V2733" i="10" s="1"/>
  <c r="D2735" i="10" l="1"/>
  <c r="M2734" i="10"/>
  <c r="N2734" i="10" s="1"/>
  <c r="O2734" i="10" s="1"/>
  <c r="P2734" i="10" s="1"/>
  <c r="Q2734" i="10" s="1"/>
  <c r="R2734" i="10" s="1"/>
  <c r="S2734" i="10" s="1"/>
  <c r="T2734" i="10" s="1"/>
  <c r="U2734" i="10" s="1"/>
  <c r="V2734" i="10" s="1"/>
  <c r="D2736" i="10" l="1"/>
  <c r="M2735" i="10"/>
  <c r="N2735" i="10" s="1"/>
  <c r="O2735" i="10" s="1"/>
  <c r="P2735" i="10" s="1"/>
  <c r="Q2735" i="10" s="1"/>
  <c r="R2735" i="10" s="1"/>
  <c r="S2735" i="10" s="1"/>
  <c r="T2735" i="10" s="1"/>
  <c r="U2735" i="10" s="1"/>
  <c r="V2735" i="10" s="1"/>
  <c r="D2737" i="10" l="1"/>
  <c r="M2736" i="10"/>
  <c r="N2736" i="10" s="1"/>
  <c r="O2736" i="10" s="1"/>
  <c r="P2736" i="10" s="1"/>
  <c r="Q2736" i="10" s="1"/>
  <c r="R2736" i="10" s="1"/>
  <c r="S2736" i="10" s="1"/>
  <c r="T2736" i="10" s="1"/>
  <c r="U2736" i="10" s="1"/>
  <c r="V2736" i="10" s="1"/>
  <c r="D2738" i="10" l="1"/>
  <c r="M2737" i="10"/>
  <c r="N2737" i="10" s="1"/>
  <c r="O2737" i="10" s="1"/>
  <c r="P2737" i="10" s="1"/>
  <c r="Q2737" i="10" s="1"/>
  <c r="R2737" i="10" s="1"/>
  <c r="S2737" i="10" s="1"/>
  <c r="T2737" i="10" s="1"/>
  <c r="U2737" i="10" s="1"/>
  <c r="V2737" i="10" s="1"/>
  <c r="D2739" i="10" l="1"/>
  <c r="M2738" i="10"/>
  <c r="N2738" i="10" s="1"/>
  <c r="O2738" i="10" s="1"/>
  <c r="P2738" i="10" s="1"/>
  <c r="Q2738" i="10" s="1"/>
  <c r="R2738" i="10" s="1"/>
  <c r="S2738" i="10" s="1"/>
  <c r="T2738" i="10" s="1"/>
  <c r="U2738" i="10" s="1"/>
  <c r="V2738" i="10" s="1"/>
  <c r="D2740" i="10" l="1"/>
  <c r="M2739" i="10"/>
  <c r="N2739" i="10" s="1"/>
  <c r="O2739" i="10" s="1"/>
  <c r="P2739" i="10" s="1"/>
  <c r="Q2739" i="10" s="1"/>
  <c r="R2739" i="10" s="1"/>
  <c r="S2739" i="10" s="1"/>
  <c r="T2739" i="10" s="1"/>
  <c r="U2739" i="10" s="1"/>
  <c r="V2739" i="10" s="1"/>
  <c r="D2741" i="10" l="1"/>
  <c r="M2740" i="10"/>
  <c r="N2740" i="10" s="1"/>
  <c r="O2740" i="10" s="1"/>
  <c r="P2740" i="10" s="1"/>
  <c r="Q2740" i="10" s="1"/>
  <c r="R2740" i="10" s="1"/>
  <c r="S2740" i="10" s="1"/>
  <c r="T2740" i="10" s="1"/>
  <c r="U2740" i="10" s="1"/>
  <c r="V2740" i="10" s="1"/>
  <c r="D2742" i="10" l="1"/>
  <c r="M2741" i="10"/>
  <c r="N2741" i="10" s="1"/>
  <c r="O2741" i="10" s="1"/>
  <c r="P2741" i="10" s="1"/>
  <c r="Q2741" i="10" s="1"/>
  <c r="R2741" i="10" s="1"/>
  <c r="S2741" i="10" s="1"/>
  <c r="T2741" i="10" s="1"/>
  <c r="U2741" i="10" s="1"/>
  <c r="V2741" i="10" s="1"/>
  <c r="D2743" i="10" l="1"/>
  <c r="M2742" i="10"/>
  <c r="N2742" i="10" s="1"/>
  <c r="O2742" i="10" s="1"/>
  <c r="P2742" i="10" s="1"/>
  <c r="Q2742" i="10" s="1"/>
  <c r="R2742" i="10" s="1"/>
  <c r="S2742" i="10" s="1"/>
  <c r="T2742" i="10" s="1"/>
  <c r="U2742" i="10" s="1"/>
  <c r="V2742" i="10" s="1"/>
  <c r="D2744" i="10" l="1"/>
  <c r="M2743" i="10"/>
  <c r="N2743" i="10" s="1"/>
  <c r="O2743" i="10" s="1"/>
  <c r="P2743" i="10" s="1"/>
  <c r="Q2743" i="10" s="1"/>
  <c r="R2743" i="10" s="1"/>
  <c r="S2743" i="10" s="1"/>
  <c r="T2743" i="10" s="1"/>
  <c r="U2743" i="10" s="1"/>
  <c r="V2743" i="10" s="1"/>
  <c r="D2745" i="10" l="1"/>
  <c r="M2744" i="10"/>
  <c r="N2744" i="10" s="1"/>
  <c r="O2744" i="10" s="1"/>
  <c r="P2744" i="10" s="1"/>
  <c r="Q2744" i="10" s="1"/>
  <c r="R2744" i="10" s="1"/>
  <c r="S2744" i="10" s="1"/>
  <c r="T2744" i="10" s="1"/>
  <c r="U2744" i="10" s="1"/>
  <c r="V2744" i="10" s="1"/>
  <c r="D2746" i="10" l="1"/>
  <c r="M2745" i="10"/>
  <c r="N2745" i="10" s="1"/>
  <c r="O2745" i="10" s="1"/>
  <c r="P2745" i="10" s="1"/>
  <c r="Q2745" i="10" s="1"/>
  <c r="R2745" i="10" s="1"/>
  <c r="S2745" i="10" s="1"/>
  <c r="T2745" i="10" s="1"/>
  <c r="U2745" i="10" s="1"/>
  <c r="V2745" i="10" s="1"/>
  <c r="D2747" i="10" l="1"/>
  <c r="M2746" i="10"/>
  <c r="N2746" i="10" s="1"/>
  <c r="O2746" i="10" s="1"/>
  <c r="P2746" i="10" s="1"/>
  <c r="Q2746" i="10" s="1"/>
  <c r="R2746" i="10" s="1"/>
  <c r="S2746" i="10" s="1"/>
  <c r="T2746" i="10" s="1"/>
  <c r="U2746" i="10" s="1"/>
  <c r="V2746" i="10" s="1"/>
  <c r="D2748" i="10" l="1"/>
  <c r="M2747" i="10"/>
  <c r="N2747" i="10" s="1"/>
  <c r="O2747" i="10" s="1"/>
  <c r="P2747" i="10" s="1"/>
  <c r="Q2747" i="10" s="1"/>
  <c r="R2747" i="10" s="1"/>
  <c r="S2747" i="10" s="1"/>
  <c r="T2747" i="10" s="1"/>
  <c r="U2747" i="10" s="1"/>
  <c r="V2747" i="10" s="1"/>
  <c r="D2749" i="10" l="1"/>
  <c r="M2748" i="10"/>
  <c r="N2748" i="10" s="1"/>
  <c r="O2748" i="10" s="1"/>
  <c r="P2748" i="10" s="1"/>
  <c r="Q2748" i="10" s="1"/>
  <c r="R2748" i="10" s="1"/>
  <c r="S2748" i="10" s="1"/>
  <c r="T2748" i="10" s="1"/>
  <c r="U2748" i="10" s="1"/>
  <c r="V2748" i="10" s="1"/>
  <c r="D2750" i="10" l="1"/>
  <c r="M2749" i="10"/>
  <c r="N2749" i="10" s="1"/>
  <c r="O2749" i="10" s="1"/>
  <c r="P2749" i="10" s="1"/>
  <c r="Q2749" i="10" s="1"/>
  <c r="R2749" i="10" s="1"/>
  <c r="S2749" i="10" s="1"/>
  <c r="T2749" i="10" s="1"/>
  <c r="U2749" i="10" s="1"/>
  <c r="V2749" i="10" s="1"/>
  <c r="D2751" i="10" l="1"/>
  <c r="M2750" i="10"/>
  <c r="N2750" i="10" s="1"/>
  <c r="O2750" i="10" s="1"/>
  <c r="P2750" i="10" s="1"/>
  <c r="Q2750" i="10" s="1"/>
  <c r="R2750" i="10" s="1"/>
  <c r="S2750" i="10" s="1"/>
  <c r="T2750" i="10" s="1"/>
  <c r="U2750" i="10" s="1"/>
  <c r="V2750" i="10" s="1"/>
  <c r="D2752" i="10" l="1"/>
  <c r="M2751" i="10"/>
  <c r="N2751" i="10" s="1"/>
  <c r="O2751" i="10" s="1"/>
  <c r="P2751" i="10" s="1"/>
  <c r="Q2751" i="10" s="1"/>
  <c r="R2751" i="10" s="1"/>
  <c r="S2751" i="10" s="1"/>
  <c r="T2751" i="10" s="1"/>
  <c r="U2751" i="10" s="1"/>
  <c r="V2751" i="10" s="1"/>
  <c r="D2753" i="10" l="1"/>
  <c r="M2752" i="10"/>
  <c r="N2752" i="10" s="1"/>
  <c r="O2752" i="10" s="1"/>
  <c r="P2752" i="10" s="1"/>
  <c r="Q2752" i="10" s="1"/>
  <c r="R2752" i="10" s="1"/>
  <c r="S2752" i="10" s="1"/>
  <c r="T2752" i="10" s="1"/>
  <c r="U2752" i="10" s="1"/>
  <c r="V2752" i="10" s="1"/>
  <c r="D2754" i="10" l="1"/>
  <c r="M2753" i="10"/>
  <c r="N2753" i="10" s="1"/>
  <c r="O2753" i="10" s="1"/>
  <c r="P2753" i="10" s="1"/>
  <c r="Q2753" i="10" s="1"/>
  <c r="R2753" i="10" s="1"/>
  <c r="S2753" i="10" s="1"/>
  <c r="T2753" i="10" s="1"/>
  <c r="U2753" i="10" s="1"/>
  <c r="V2753" i="10" s="1"/>
  <c r="D2755" i="10" l="1"/>
  <c r="M2754" i="10"/>
  <c r="N2754" i="10" s="1"/>
  <c r="O2754" i="10" s="1"/>
  <c r="P2754" i="10" s="1"/>
  <c r="Q2754" i="10" s="1"/>
  <c r="R2754" i="10" s="1"/>
  <c r="S2754" i="10" s="1"/>
  <c r="T2754" i="10" s="1"/>
  <c r="U2754" i="10" s="1"/>
  <c r="V2754" i="10" s="1"/>
  <c r="D2756" i="10" l="1"/>
  <c r="M2755" i="10"/>
  <c r="N2755" i="10" s="1"/>
  <c r="O2755" i="10" s="1"/>
  <c r="P2755" i="10" s="1"/>
  <c r="Q2755" i="10" s="1"/>
  <c r="R2755" i="10" s="1"/>
  <c r="S2755" i="10" s="1"/>
  <c r="T2755" i="10" s="1"/>
  <c r="U2755" i="10" s="1"/>
  <c r="V2755" i="10" s="1"/>
  <c r="D2757" i="10" l="1"/>
  <c r="M2756" i="10"/>
  <c r="N2756" i="10" s="1"/>
  <c r="O2756" i="10" s="1"/>
  <c r="P2756" i="10" s="1"/>
  <c r="Q2756" i="10" s="1"/>
  <c r="R2756" i="10" s="1"/>
  <c r="S2756" i="10" s="1"/>
  <c r="T2756" i="10" s="1"/>
  <c r="U2756" i="10" s="1"/>
  <c r="V2756" i="10" s="1"/>
  <c r="D2758" i="10" l="1"/>
  <c r="M2757" i="10"/>
  <c r="N2757" i="10" s="1"/>
  <c r="O2757" i="10" s="1"/>
  <c r="P2757" i="10" s="1"/>
  <c r="Q2757" i="10" s="1"/>
  <c r="R2757" i="10" s="1"/>
  <c r="S2757" i="10" s="1"/>
  <c r="T2757" i="10" s="1"/>
  <c r="U2757" i="10" s="1"/>
  <c r="V2757" i="10" s="1"/>
  <c r="D2759" i="10" l="1"/>
  <c r="M2758" i="10"/>
  <c r="N2758" i="10" s="1"/>
  <c r="O2758" i="10" s="1"/>
  <c r="P2758" i="10" s="1"/>
  <c r="Q2758" i="10" s="1"/>
  <c r="R2758" i="10" s="1"/>
  <c r="S2758" i="10" s="1"/>
  <c r="T2758" i="10" s="1"/>
  <c r="U2758" i="10" s="1"/>
  <c r="V2758" i="10" s="1"/>
  <c r="D2760" i="10" l="1"/>
  <c r="M2759" i="10"/>
  <c r="N2759" i="10" s="1"/>
  <c r="O2759" i="10" s="1"/>
  <c r="P2759" i="10" s="1"/>
  <c r="Q2759" i="10" s="1"/>
  <c r="R2759" i="10" s="1"/>
  <c r="S2759" i="10" s="1"/>
  <c r="T2759" i="10" s="1"/>
  <c r="U2759" i="10" s="1"/>
  <c r="V2759" i="10" s="1"/>
  <c r="D2761" i="10" l="1"/>
  <c r="M2760" i="10"/>
  <c r="N2760" i="10" s="1"/>
  <c r="O2760" i="10" s="1"/>
  <c r="P2760" i="10" s="1"/>
  <c r="Q2760" i="10" s="1"/>
  <c r="R2760" i="10" s="1"/>
  <c r="S2760" i="10" s="1"/>
  <c r="T2760" i="10" s="1"/>
  <c r="U2760" i="10" s="1"/>
  <c r="V2760" i="10" s="1"/>
  <c r="D2762" i="10" l="1"/>
  <c r="M2761" i="10"/>
  <c r="N2761" i="10" s="1"/>
  <c r="O2761" i="10" s="1"/>
  <c r="P2761" i="10" s="1"/>
  <c r="Q2761" i="10" s="1"/>
  <c r="R2761" i="10" s="1"/>
  <c r="S2761" i="10" s="1"/>
  <c r="T2761" i="10" s="1"/>
  <c r="U2761" i="10" s="1"/>
  <c r="V2761" i="10" s="1"/>
  <c r="D2763" i="10" l="1"/>
  <c r="M2762" i="10"/>
  <c r="N2762" i="10" s="1"/>
  <c r="O2762" i="10" s="1"/>
  <c r="P2762" i="10" s="1"/>
  <c r="Q2762" i="10" s="1"/>
  <c r="R2762" i="10" s="1"/>
  <c r="S2762" i="10" s="1"/>
  <c r="T2762" i="10" s="1"/>
  <c r="U2762" i="10" s="1"/>
  <c r="V2762" i="10" s="1"/>
  <c r="D2764" i="10" l="1"/>
  <c r="M2763" i="10"/>
  <c r="N2763" i="10" s="1"/>
  <c r="O2763" i="10" s="1"/>
  <c r="P2763" i="10" s="1"/>
  <c r="Q2763" i="10" s="1"/>
  <c r="R2763" i="10" s="1"/>
  <c r="S2763" i="10" s="1"/>
  <c r="T2763" i="10" s="1"/>
  <c r="U2763" i="10" s="1"/>
  <c r="V2763" i="10" s="1"/>
  <c r="D2765" i="10" l="1"/>
  <c r="M2764" i="10"/>
  <c r="N2764" i="10" s="1"/>
  <c r="O2764" i="10" s="1"/>
  <c r="P2764" i="10" s="1"/>
  <c r="Q2764" i="10" s="1"/>
  <c r="R2764" i="10" s="1"/>
  <c r="S2764" i="10" s="1"/>
  <c r="T2764" i="10" s="1"/>
  <c r="U2764" i="10" s="1"/>
  <c r="V2764" i="10" s="1"/>
  <c r="D2766" i="10" l="1"/>
  <c r="M2765" i="10"/>
  <c r="N2765" i="10" s="1"/>
  <c r="O2765" i="10" s="1"/>
  <c r="P2765" i="10" s="1"/>
  <c r="Q2765" i="10" s="1"/>
  <c r="R2765" i="10" s="1"/>
  <c r="S2765" i="10" s="1"/>
  <c r="T2765" i="10" s="1"/>
  <c r="U2765" i="10" s="1"/>
  <c r="V2765" i="10" s="1"/>
  <c r="D2767" i="10" l="1"/>
  <c r="M2766" i="10"/>
  <c r="N2766" i="10" s="1"/>
  <c r="O2766" i="10" s="1"/>
  <c r="P2766" i="10" s="1"/>
  <c r="Q2766" i="10" s="1"/>
  <c r="R2766" i="10" s="1"/>
  <c r="S2766" i="10" s="1"/>
  <c r="T2766" i="10" s="1"/>
  <c r="U2766" i="10" s="1"/>
  <c r="V2766" i="10" s="1"/>
  <c r="D2768" i="10" l="1"/>
  <c r="M2767" i="10"/>
  <c r="N2767" i="10" s="1"/>
  <c r="O2767" i="10" s="1"/>
  <c r="P2767" i="10" s="1"/>
  <c r="Q2767" i="10" s="1"/>
  <c r="R2767" i="10" s="1"/>
  <c r="S2767" i="10" s="1"/>
  <c r="T2767" i="10" s="1"/>
  <c r="U2767" i="10" s="1"/>
  <c r="V2767" i="10" s="1"/>
  <c r="D2769" i="10" l="1"/>
  <c r="M2768" i="10"/>
  <c r="N2768" i="10" s="1"/>
  <c r="O2768" i="10" s="1"/>
  <c r="P2768" i="10" s="1"/>
  <c r="Q2768" i="10" s="1"/>
  <c r="R2768" i="10" s="1"/>
  <c r="S2768" i="10" s="1"/>
  <c r="T2768" i="10" s="1"/>
  <c r="U2768" i="10" s="1"/>
  <c r="V2768" i="10" s="1"/>
  <c r="D2770" i="10" l="1"/>
  <c r="M2769" i="10"/>
  <c r="N2769" i="10" s="1"/>
  <c r="O2769" i="10" s="1"/>
  <c r="P2769" i="10" s="1"/>
  <c r="Q2769" i="10" s="1"/>
  <c r="R2769" i="10" s="1"/>
  <c r="S2769" i="10" s="1"/>
  <c r="T2769" i="10" s="1"/>
  <c r="U2769" i="10" s="1"/>
  <c r="V2769" i="10" s="1"/>
  <c r="D2771" i="10" l="1"/>
  <c r="M2770" i="10"/>
  <c r="N2770" i="10" s="1"/>
  <c r="O2770" i="10" s="1"/>
  <c r="P2770" i="10" s="1"/>
  <c r="Q2770" i="10" s="1"/>
  <c r="R2770" i="10" s="1"/>
  <c r="S2770" i="10" s="1"/>
  <c r="T2770" i="10" s="1"/>
  <c r="U2770" i="10" s="1"/>
  <c r="V2770" i="10" s="1"/>
  <c r="D2772" i="10" l="1"/>
  <c r="M2771" i="10"/>
  <c r="N2771" i="10" s="1"/>
  <c r="O2771" i="10" s="1"/>
  <c r="P2771" i="10" s="1"/>
  <c r="Q2771" i="10" s="1"/>
  <c r="R2771" i="10" s="1"/>
  <c r="S2771" i="10" s="1"/>
  <c r="T2771" i="10" s="1"/>
  <c r="U2771" i="10" s="1"/>
  <c r="V2771" i="10" s="1"/>
  <c r="D2773" i="10" l="1"/>
  <c r="M2772" i="10"/>
  <c r="N2772" i="10" s="1"/>
  <c r="O2772" i="10" s="1"/>
  <c r="P2772" i="10" s="1"/>
  <c r="Q2772" i="10" s="1"/>
  <c r="R2772" i="10" s="1"/>
  <c r="S2772" i="10" s="1"/>
  <c r="T2772" i="10" s="1"/>
  <c r="U2772" i="10" s="1"/>
  <c r="V2772" i="10" s="1"/>
  <c r="D2774" i="10" l="1"/>
  <c r="M2773" i="10"/>
  <c r="N2773" i="10" s="1"/>
  <c r="O2773" i="10" s="1"/>
  <c r="P2773" i="10" s="1"/>
  <c r="Q2773" i="10" s="1"/>
  <c r="R2773" i="10" s="1"/>
  <c r="S2773" i="10" s="1"/>
  <c r="T2773" i="10" s="1"/>
  <c r="U2773" i="10" s="1"/>
  <c r="V2773" i="10" s="1"/>
  <c r="D2775" i="10" l="1"/>
  <c r="M2774" i="10"/>
  <c r="N2774" i="10" s="1"/>
  <c r="O2774" i="10" s="1"/>
  <c r="P2774" i="10" s="1"/>
  <c r="Q2774" i="10" s="1"/>
  <c r="R2774" i="10" s="1"/>
  <c r="S2774" i="10" s="1"/>
  <c r="T2774" i="10" s="1"/>
  <c r="U2774" i="10" s="1"/>
  <c r="V2774" i="10" s="1"/>
  <c r="D2776" i="10" l="1"/>
  <c r="M2775" i="10"/>
  <c r="N2775" i="10" s="1"/>
  <c r="O2775" i="10" s="1"/>
  <c r="P2775" i="10" s="1"/>
  <c r="Q2775" i="10" s="1"/>
  <c r="R2775" i="10" s="1"/>
  <c r="S2775" i="10" s="1"/>
  <c r="T2775" i="10" s="1"/>
  <c r="U2775" i="10" s="1"/>
  <c r="V2775" i="10" s="1"/>
  <c r="D2777" i="10" l="1"/>
  <c r="M2776" i="10"/>
  <c r="N2776" i="10" s="1"/>
  <c r="O2776" i="10" s="1"/>
  <c r="P2776" i="10" s="1"/>
  <c r="Q2776" i="10" s="1"/>
  <c r="R2776" i="10" s="1"/>
  <c r="S2776" i="10" s="1"/>
  <c r="T2776" i="10" s="1"/>
  <c r="U2776" i="10" s="1"/>
  <c r="V2776" i="10" s="1"/>
  <c r="D2778" i="10" l="1"/>
  <c r="M2777" i="10"/>
  <c r="N2777" i="10" s="1"/>
  <c r="O2777" i="10" s="1"/>
  <c r="P2777" i="10" s="1"/>
  <c r="Q2777" i="10" s="1"/>
  <c r="R2777" i="10" s="1"/>
  <c r="S2777" i="10" s="1"/>
  <c r="T2777" i="10" s="1"/>
  <c r="U2777" i="10" s="1"/>
  <c r="V2777" i="10" s="1"/>
  <c r="D2779" i="10" l="1"/>
  <c r="M2778" i="10"/>
  <c r="N2778" i="10" s="1"/>
  <c r="O2778" i="10" s="1"/>
  <c r="P2778" i="10" s="1"/>
  <c r="Q2778" i="10" s="1"/>
  <c r="R2778" i="10" s="1"/>
  <c r="S2778" i="10" s="1"/>
  <c r="T2778" i="10" s="1"/>
  <c r="U2778" i="10" s="1"/>
  <c r="V2778" i="10" s="1"/>
  <c r="D2780" i="10" l="1"/>
  <c r="M2779" i="10"/>
  <c r="N2779" i="10" s="1"/>
  <c r="O2779" i="10" s="1"/>
  <c r="P2779" i="10" s="1"/>
  <c r="Q2779" i="10" s="1"/>
  <c r="R2779" i="10" s="1"/>
  <c r="S2779" i="10" s="1"/>
  <c r="T2779" i="10" s="1"/>
  <c r="U2779" i="10" s="1"/>
  <c r="V2779" i="10" s="1"/>
  <c r="D2781" i="10" l="1"/>
  <c r="M2780" i="10"/>
  <c r="N2780" i="10" s="1"/>
  <c r="O2780" i="10" s="1"/>
  <c r="P2780" i="10" s="1"/>
  <c r="Q2780" i="10" s="1"/>
  <c r="R2780" i="10" s="1"/>
  <c r="S2780" i="10" s="1"/>
  <c r="T2780" i="10" s="1"/>
  <c r="U2780" i="10" s="1"/>
  <c r="V2780" i="10" s="1"/>
  <c r="D2782" i="10" l="1"/>
  <c r="M2781" i="10"/>
  <c r="N2781" i="10" s="1"/>
  <c r="O2781" i="10" s="1"/>
  <c r="P2781" i="10" s="1"/>
  <c r="Q2781" i="10" s="1"/>
  <c r="R2781" i="10" s="1"/>
  <c r="S2781" i="10" s="1"/>
  <c r="T2781" i="10" s="1"/>
  <c r="U2781" i="10" s="1"/>
  <c r="V2781" i="10" s="1"/>
  <c r="D2783" i="10" l="1"/>
  <c r="M2782" i="10"/>
  <c r="N2782" i="10" s="1"/>
  <c r="O2782" i="10" s="1"/>
  <c r="P2782" i="10" s="1"/>
  <c r="Q2782" i="10" s="1"/>
  <c r="R2782" i="10" s="1"/>
  <c r="S2782" i="10" s="1"/>
  <c r="T2782" i="10" s="1"/>
  <c r="U2782" i="10" s="1"/>
  <c r="V2782" i="10" s="1"/>
  <c r="D2784" i="10" l="1"/>
  <c r="M2783" i="10"/>
  <c r="N2783" i="10" s="1"/>
  <c r="O2783" i="10" s="1"/>
  <c r="P2783" i="10" s="1"/>
  <c r="Q2783" i="10" s="1"/>
  <c r="R2783" i="10" s="1"/>
  <c r="S2783" i="10" s="1"/>
  <c r="T2783" i="10" s="1"/>
  <c r="U2783" i="10" s="1"/>
  <c r="V2783" i="10" s="1"/>
  <c r="D2785" i="10" l="1"/>
  <c r="M2784" i="10"/>
  <c r="N2784" i="10" s="1"/>
  <c r="O2784" i="10" s="1"/>
  <c r="P2784" i="10" s="1"/>
  <c r="Q2784" i="10" s="1"/>
  <c r="R2784" i="10" s="1"/>
  <c r="S2784" i="10" s="1"/>
  <c r="T2784" i="10" s="1"/>
  <c r="U2784" i="10" s="1"/>
  <c r="V2784" i="10" s="1"/>
  <c r="D2786" i="10" l="1"/>
  <c r="M2785" i="10"/>
  <c r="N2785" i="10" s="1"/>
  <c r="O2785" i="10" s="1"/>
  <c r="P2785" i="10" s="1"/>
  <c r="Q2785" i="10" s="1"/>
  <c r="R2785" i="10" s="1"/>
  <c r="S2785" i="10" s="1"/>
  <c r="T2785" i="10" s="1"/>
  <c r="U2785" i="10" s="1"/>
  <c r="V2785" i="10" s="1"/>
  <c r="D2787" i="10" l="1"/>
  <c r="M2786" i="10"/>
  <c r="N2786" i="10" s="1"/>
  <c r="O2786" i="10" s="1"/>
  <c r="P2786" i="10" s="1"/>
  <c r="Q2786" i="10" s="1"/>
  <c r="R2786" i="10" s="1"/>
  <c r="S2786" i="10" s="1"/>
  <c r="T2786" i="10" s="1"/>
  <c r="U2786" i="10" s="1"/>
  <c r="V2786" i="10" s="1"/>
  <c r="D2788" i="10" l="1"/>
  <c r="M2787" i="10"/>
  <c r="N2787" i="10" s="1"/>
  <c r="O2787" i="10" s="1"/>
  <c r="P2787" i="10" s="1"/>
  <c r="Q2787" i="10" s="1"/>
  <c r="R2787" i="10" s="1"/>
  <c r="S2787" i="10" s="1"/>
  <c r="T2787" i="10" s="1"/>
  <c r="U2787" i="10" s="1"/>
  <c r="V2787" i="10" s="1"/>
  <c r="D2789" i="10" l="1"/>
  <c r="M2788" i="10"/>
  <c r="N2788" i="10" s="1"/>
  <c r="O2788" i="10" s="1"/>
  <c r="P2788" i="10" s="1"/>
  <c r="Q2788" i="10" s="1"/>
  <c r="R2788" i="10" s="1"/>
  <c r="S2788" i="10" s="1"/>
  <c r="T2788" i="10" s="1"/>
  <c r="U2788" i="10" s="1"/>
  <c r="V2788" i="10" s="1"/>
  <c r="D2790" i="10" l="1"/>
  <c r="M2789" i="10"/>
  <c r="N2789" i="10" s="1"/>
  <c r="O2789" i="10" s="1"/>
  <c r="P2789" i="10" s="1"/>
  <c r="Q2789" i="10" s="1"/>
  <c r="R2789" i="10" s="1"/>
  <c r="S2789" i="10" s="1"/>
  <c r="T2789" i="10" s="1"/>
  <c r="U2789" i="10" s="1"/>
  <c r="V2789" i="10" s="1"/>
  <c r="D2791" i="10" l="1"/>
  <c r="M2790" i="10"/>
  <c r="N2790" i="10" s="1"/>
  <c r="O2790" i="10" s="1"/>
  <c r="P2790" i="10" s="1"/>
  <c r="Q2790" i="10" s="1"/>
  <c r="R2790" i="10" s="1"/>
  <c r="S2790" i="10" s="1"/>
  <c r="T2790" i="10" s="1"/>
  <c r="U2790" i="10" s="1"/>
  <c r="V2790" i="10" s="1"/>
  <c r="D2792" i="10" l="1"/>
  <c r="M2791" i="10"/>
  <c r="N2791" i="10" s="1"/>
  <c r="O2791" i="10" s="1"/>
  <c r="P2791" i="10" s="1"/>
  <c r="Q2791" i="10" s="1"/>
  <c r="R2791" i="10" s="1"/>
  <c r="S2791" i="10" s="1"/>
  <c r="T2791" i="10" s="1"/>
  <c r="U2791" i="10" s="1"/>
  <c r="V2791" i="10" s="1"/>
  <c r="D2793" i="10" l="1"/>
  <c r="M2792" i="10"/>
  <c r="N2792" i="10" s="1"/>
  <c r="O2792" i="10" s="1"/>
  <c r="P2792" i="10" s="1"/>
  <c r="Q2792" i="10" s="1"/>
  <c r="R2792" i="10" s="1"/>
  <c r="S2792" i="10" s="1"/>
  <c r="T2792" i="10" s="1"/>
  <c r="U2792" i="10" s="1"/>
  <c r="V2792" i="10" s="1"/>
  <c r="D2794" i="10" l="1"/>
  <c r="M2793" i="10"/>
  <c r="N2793" i="10" s="1"/>
  <c r="O2793" i="10" s="1"/>
  <c r="P2793" i="10" s="1"/>
  <c r="Q2793" i="10" s="1"/>
  <c r="R2793" i="10" s="1"/>
  <c r="S2793" i="10" s="1"/>
  <c r="T2793" i="10" s="1"/>
  <c r="U2793" i="10" s="1"/>
  <c r="V2793" i="10" s="1"/>
  <c r="D2795" i="10" l="1"/>
  <c r="M2794" i="10"/>
  <c r="N2794" i="10" s="1"/>
  <c r="O2794" i="10" s="1"/>
  <c r="P2794" i="10" s="1"/>
  <c r="Q2794" i="10" s="1"/>
  <c r="R2794" i="10" s="1"/>
  <c r="S2794" i="10" s="1"/>
  <c r="T2794" i="10" s="1"/>
  <c r="U2794" i="10" s="1"/>
  <c r="V2794" i="10" s="1"/>
  <c r="D2796" i="10" l="1"/>
  <c r="M2795" i="10"/>
  <c r="N2795" i="10" s="1"/>
  <c r="O2795" i="10" s="1"/>
  <c r="P2795" i="10" s="1"/>
  <c r="Q2795" i="10" s="1"/>
  <c r="R2795" i="10" s="1"/>
  <c r="S2795" i="10" s="1"/>
  <c r="T2795" i="10" s="1"/>
  <c r="U2795" i="10" s="1"/>
  <c r="V2795" i="10" s="1"/>
  <c r="D2797" i="10" l="1"/>
  <c r="M2796" i="10"/>
  <c r="N2796" i="10" s="1"/>
  <c r="O2796" i="10" s="1"/>
  <c r="P2796" i="10" s="1"/>
  <c r="Q2796" i="10" s="1"/>
  <c r="R2796" i="10" s="1"/>
  <c r="S2796" i="10" s="1"/>
  <c r="T2796" i="10" s="1"/>
  <c r="U2796" i="10" s="1"/>
  <c r="V2796" i="10" s="1"/>
  <c r="D2798" i="10" l="1"/>
  <c r="M2797" i="10"/>
  <c r="N2797" i="10" s="1"/>
  <c r="O2797" i="10" s="1"/>
  <c r="P2797" i="10" s="1"/>
  <c r="Q2797" i="10" s="1"/>
  <c r="R2797" i="10" s="1"/>
  <c r="S2797" i="10" s="1"/>
  <c r="T2797" i="10" s="1"/>
  <c r="U2797" i="10" s="1"/>
  <c r="V2797" i="10" s="1"/>
  <c r="D2799" i="10" l="1"/>
  <c r="M2798" i="10"/>
  <c r="N2798" i="10" s="1"/>
  <c r="O2798" i="10" s="1"/>
  <c r="P2798" i="10" s="1"/>
  <c r="Q2798" i="10" s="1"/>
  <c r="R2798" i="10" s="1"/>
  <c r="S2798" i="10" s="1"/>
  <c r="T2798" i="10" s="1"/>
  <c r="U2798" i="10" s="1"/>
  <c r="V2798" i="10" s="1"/>
  <c r="D2800" i="10" l="1"/>
  <c r="M2799" i="10"/>
  <c r="N2799" i="10" s="1"/>
  <c r="O2799" i="10" s="1"/>
  <c r="P2799" i="10" s="1"/>
  <c r="Q2799" i="10" s="1"/>
  <c r="R2799" i="10" s="1"/>
  <c r="S2799" i="10" s="1"/>
  <c r="T2799" i="10" s="1"/>
  <c r="U2799" i="10" s="1"/>
  <c r="V2799" i="10" s="1"/>
  <c r="D2801" i="10" l="1"/>
  <c r="M2800" i="10"/>
  <c r="N2800" i="10" s="1"/>
  <c r="O2800" i="10" s="1"/>
  <c r="P2800" i="10" s="1"/>
  <c r="Q2800" i="10" s="1"/>
  <c r="R2800" i="10" s="1"/>
  <c r="S2800" i="10" s="1"/>
  <c r="T2800" i="10" s="1"/>
  <c r="U2800" i="10" s="1"/>
  <c r="V2800" i="10" s="1"/>
  <c r="D2802" i="10" l="1"/>
  <c r="M2801" i="10"/>
  <c r="N2801" i="10" s="1"/>
  <c r="O2801" i="10" s="1"/>
  <c r="P2801" i="10" s="1"/>
  <c r="Q2801" i="10" s="1"/>
  <c r="R2801" i="10" s="1"/>
  <c r="S2801" i="10" s="1"/>
  <c r="T2801" i="10" s="1"/>
  <c r="U2801" i="10" s="1"/>
  <c r="V2801" i="10" s="1"/>
  <c r="D2803" i="10" l="1"/>
  <c r="M2802" i="10"/>
  <c r="N2802" i="10" s="1"/>
  <c r="O2802" i="10" s="1"/>
  <c r="P2802" i="10" s="1"/>
  <c r="Q2802" i="10" s="1"/>
  <c r="R2802" i="10" s="1"/>
  <c r="S2802" i="10" s="1"/>
  <c r="T2802" i="10" s="1"/>
  <c r="U2802" i="10" s="1"/>
  <c r="V2802" i="10" s="1"/>
  <c r="D2804" i="10" l="1"/>
  <c r="M2803" i="10"/>
  <c r="N2803" i="10" s="1"/>
  <c r="O2803" i="10" s="1"/>
  <c r="P2803" i="10" s="1"/>
  <c r="Q2803" i="10" s="1"/>
  <c r="R2803" i="10" s="1"/>
  <c r="S2803" i="10" s="1"/>
  <c r="T2803" i="10" s="1"/>
  <c r="U2803" i="10" s="1"/>
  <c r="V2803" i="10" s="1"/>
  <c r="D2805" i="10" l="1"/>
  <c r="M2804" i="10"/>
  <c r="N2804" i="10" s="1"/>
  <c r="O2804" i="10" s="1"/>
  <c r="P2804" i="10" s="1"/>
  <c r="Q2804" i="10" s="1"/>
  <c r="R2804" i="10" s="1"/>
  <c r="S2804" i="10" s="1"/>
  <c r="T2804" i="10" s="1"/>
  <c r="U2804" i="10" s="1"/>
  <c r="V2804" i="10" s="1"/>
  <c r="D2806" i="10" l="1"/>
  <c r="M2805" i="10"/>
  <c r="N2805" i="10" s="1"/>
  <c r="O2805" i="10" s="1"/>
  <c r="P2805" i="10" s="1"/>
  <c r="Q2805" i="10" s="1"/>
  <c r="R2805" i="10" s="1"/>
  <c r="S2805" i="10" s="1"/>
  <c r="T2805" i="10" s="1"/>
  <c r="U2805" i="10" s="1"/>
  <c r="V2805" i="10" s="1"/>
  <c r="D2807" i="10" l="1"/>
  <c r="M2806" i="10"/>
  <c r="N2806" i="10" s="1"/>
  <c r="O2806" i="10" s="1"/>
  <c r="P2806" i="10" s="1"/>
  <c r="Q2806" i="10" s="1"/>
  <c r="R2806" i="10" s="1"/>
  <c r="S2806" i="10" s="1"/>
  <c r="T2806" i="10" s="1"/>
  <c r="U2806" i="10" s="1"/>
  <c r="V2806" i="10" s="1"/>
  <c r="D2808" i="10" l="1"/>
  <c r="M2807" i="10"/>
  <c r="N2807" i="10" s="1"/>
  <c r="O2807" i="10" s="1"/>
  <c r="P2807" i="10" s="1"/>
  <c r="Q2807" i="10" s="1"/>
  <c r="R2807" i="10" s="1"/>
  <c r="S2807" i="10" s="1"/>
  <c r="T2807" i="10" s="1"/>
  <c r="U2807" i="10" s="1"/>
  <c r="V2807" i="10" s="1"/>
  <c r="D2809" i="10" l="1"/>
  <c r="M2808" i="10"/>
  <c r="N2808" i="10" s="1"/>
  <c r="O2808" i="10" s="1"/>
  <c r="P2808" i="10" s="1"/>
  <c r="Q2808" i="10" s="1"/>
  <c r="R2808" i="10" s="1"/>
  <c r="S2808" i="10" s="1"/>
  <c r="T2808" i="10" s="1"/>
  <c r="U2808" i="10" s="1"/>
  <c r="V2808" i="10" s="1"/>
  <c r="D2810" i="10" l="1"/>
  <c r="M2809" i="10"/>
  <c r="N2809" i="10" s="1"/>
  <c r="O2809" i="10" s="1"/>
  <c r="P2809" i="10" s="1"/>
  <c r="Q2809" i="10" s="1"/>
  <c r="R2809" i="10" s="1"/>
  <c r="S2809" i="10" s="1"/>
  <c r="T2809" i="10" s="1"/>
  <c r="U2809" i="10" s="1"/>
  <c r="V2809" i="10" s="1"/>
  <c r="D2811" i="10" l="1"/>
  <c r="M2810" i="10"/>
  <c r="N2810" i="10" s="1"/>
  <c r="O2810" i="10" s="1"/>
  <c r="P2810" i="10" s="1"/>
  <c r="Q2810" i="10" s="1"/>
  <c r="R2810" i="10" s="1"/>
  <c r="S2810" i="10" s="1"/>
  <c r="T2810" i="10" s="1"/>
  <c r="U2810" i="10" s="1"/>
  <c r="V2810" i="10" s="1"/>
  <c r="D2812" i="10" l="1"/>
  <c r="M2811" i="10"/>
  <c r="N2811" i="10" s="1"/>
  <c r="O2811" i="10" s="1"/>
  <c r="P2811" i="10" s="1"/>
  <c r="Q2811" i="10" s="1"/>
  <c r="R2811" i="10" s="1"/>
  <c r="S2811" i="10" s="1"/>
  <c r="T2811" i="10" s="1"/>
  <c r="U2811" i="10" s="1"/>
  <c r="V2811" i="10" s="1"/>
  <c r="D2813" i="10" l="1"/>
  <c r="M2812" i="10"/>
  <c r="N2812" i="10" s="1"/>
  <c r="O2812" i="10" s="1"/>
  <c r="P2812" i="10" s="1"/>
  <c r="Q2812" i="10" s="1"/>
  <c r="R2812" i="10" s="1"/>
  <c r="S2812" i="10" s="1"/>
  <c r="T2812" i="10" s="1"/>
  <c r="U2812" i="10" s="1"/>
  <c r="V2812" i="10" s="1"/>
  <c r="D2814" i="10" l="1"/>
  <c r="M2813" i="10"/>
  <c r="N2813" i="10" s="1"/>
  <c r="O2813" i="10" s="1"/>
  <c r="P2813" i="10" s="1"/>
  <c r="Q2813" i="10" s="1"/>
  <c r="R2813" i="10" s="1"/>
  <c r="S2813" i="10" s="1"/>
  <c r="T2813" i="10" s="1"/>
  <c r="U2813" i="10" s="1"/>
  <c r="V2813" i="10" s="1"/>
  <c r="D2815" i="10" l="1"/>
  <c r="M2814" i="10"/>
  <c r="N2814" i="10" s="1"/>
  <c r="O2814" i="10" s="1"/>
  <c r="P2814" i="10" s="1"/>
  <c r="Q2814" i="10" s="1"/>
  <c r="R2814" i="10" s="1"/>
  <c r="S2814" i="10" s="1"/>
  <c r="T2814" i="10" s="1"/>
  <c r="U2814" i="10" s="1"/>
  <c r="V2814" i="10" s="1"/>
  <c r="D2816" i="10" l="1"/>
  <c r="M2815" i="10"/>
  <c r="N2815" i="10" s="1"/>
  <c r="O2815" i="10" s="1"/>
  <c r="P2815" i="10" s="1"/>
  <c r="Q2815" i="10" s="1"/>
  <c r="R2815" i="10" s="1"/>
  <c r="S2815" i="10" s="1"/>
  <c r="T2815" i="10" s="1"/>
  <c r="U2815" i="10" s="1"/>
  <c r="V2815" i="10" s="1"/>
  <c r="D2817" i="10" l="1"/>
  <c r="M2816" i="10"/>
  <c r="N2816" i="10" s="1"/>
  <c r="O2816" i="10" s="1"/>
  <c r="P2816" i="10" s="1"/>
  <c r="Q2816" i="10" s="1"/>
  <c r="R2816" i="10" s="1"/>
  <c r="S2816" i="10" s="1"/>
  <c r="T2816" i="10" s="1"/>
  <c r="U2816" i="10" s="1"/>
  <c r="V2816" i="10" s="1"/>
  <c r="D2818" i="10" l="1"/>
  <c r="M2817" i="10"/>
  <c r="N2817" i="10" s="1"/>
  <c r="O2817" i="10" s="1"/>
  <c r="P2817" i="10" s="1"/>
  <c r="Q2817" i="10" s="1"/>
  <c r="R2817" i="10" s="1"/>
  <c r="S2817" i="10" s="1"/>
  <c r="T2817" i="10" s="1"/>
  <c r="U2817" i="10" s="1"/>
  <c r="V2817" i="10" s="1"/>
  <c r="D2819" i="10" l="1"/>
  <c r="M2818" i="10"/>
  <c r="N2818" i="10" s="1"/>
  <c r="O2818" i="10" s="1"/>
  <c r="P2818" i="10" s="1"/>
  <c r="Q2818" i="10" s="1"/>
  <c r="R2818" i="10" s="1"/>
  <c r="S2818" i="10" s="1"/>
  <c r="T2818" i="10" s="1"/>
  <c r="U2818" i="10" s="1"/>
  <c r="V2818" i="10" s="1"/>
  <c r="D2820" i="10" l="1"/>
  <c r="M2819" i="10"/>
  <c r="N2819" i="10" s="1"/>
  <c r="O2819" i="10" s="1"/>
  <c r="P2819" i="10" s="1"/>
  <c r="Q2819" i="10" s="1"/>
  <c r="R2819" i="10" s="1"/>
  <c r="S2819" i="10" s="1"/>
  <c r="T2819" i="10" s="1"/>
  <c r="U2819" i="10" s="1"/>
  <c r="V2819" i="10" s="1"/>
  <c r="D2821" i="10" l="1"/>
  <c r="M2820" i="10"/>
  <c r="N2820" i="10" s="1"/>
  <c r="O2820" i="10" s="1"/>
  <c r="P2820" i="10" s="1"/>
  <c r="Q2820" i="10" s="1"/>
  <c r="R2820" i="10" s="1"/>
  <c r="S2820" i="10" s="1"/>
  <c r="T2820" i="10" s="1"/>
  <c r="U2820" i="10" s="1"/>
  <c r="V2820" i="10" s="1"/>
  <c r="D2822" i="10" l="1"/>
  <c r="M2821" i="10"/>
  <c r="N2821" i="10" s="1"/>
  <c r="O2821" i="10" s="1"/>
  <c r="P2821" i="10" s="1"/>
  <c r="Q2821" i="10" s="1"/>
  <c r="R2821" i="10" s="1"/>
  <c r="S2821" i="10" s="1"/>
  <c r="T2821" i="10" s="1"/>
  <c r="U2821" i="10" s="1"/>
  <c r="V2821" i="10" s="1"/>
  <c r="D2823" i="10" l="1"/>
  <c r="M2822" i="10"/>
  <c r="N2822" i="10" s="1"/>
  <c r="O2822" i="10" s="1"/>
  <c r="P2822" i="10" s="1"/>
  <c r="Q2822" i="10" s="1"/>
  <c r="R2822" i="10" s="1"/>
  <c r="S2822" i="10" s="1"/>
  <c r="T2822" i="10" s="1"/>
  <c r="U2822" i="10" s="1"/>
  <c r="V2822" i="10" s="1"/>
  <c r="D2824" i="10" l="1"/>
  <c r="M2823" i="10"/>
  <c r="N2823" i="10" s="1"/>
  <c r="O2823" i="10" s="1"/>
  <c r="P2823" i="10" s="1"/>
  <c r="Q2823" i="10" s="1"/>
  <c r="R2823" i="10" s="1"/>
  <c r="S2823" i="10" s="1"/>
  <c r="T2823" i="10" s="1"/>
  <c r="U2823" i="10" s="1"/>
  <c r="V2823" i="10" s="1"/>
  <c r="D2825" i="10" l="1"/>
  <c r="M2824" i="10"/>
  <c r="N2824" i="10" s="1"/>
  <c r="O2824" i="10" s="1"/>
  <c r="P2824" i="10" s="1"/>
  <c r="Q2824" i="10" s="1"/>
  <c r="R2824" i="10" s="1"/>
  <c r="S2824" i="10" s="1"/>
  <c r="T2824" i="10" s="1"/>
  <c r="U2824" i="10" s="1"/>
  <c r="V2824" i="10" s="1"/>
  <c r="D2826" i="10" l="1"/>
  <c r="M2825" i="10"/>
  <c r="N2825" i="10" s="1"/>
  <c r="O2825" i="10" s="1"/>
  <c r="P2825" i="10" s="1"/>
  <c r="Q2825" i="10" s="1"/>
  <c r="R2825" i="10" s="1"/>
  <c r="S2825" i="10" s="1"/>
  <c r="T2825" i="10" s="1"/>
  <c r="U2825" i="10" s="1"/>
  <c r="V2825" i="10" s="1"/>
  <c r="D2827" i="10" l="1"/>
  <c r="M2826" i="10"/>
  <c r="N2826" i="10" s="1"/>
  <c r="O2826" i="10" s="1"/>
  <c r="P2826" i="10" s="1"/>
  <c r="Q2826" i="10" s="1"/>
  <c r="R2826" i="10" s="1"/>
  <c r="S2826" i="10" s="1"/>
  <c r="T2826" i="10" s="1"/>
  <c r="U2826" i="10" s="1"/>
  <c r="V2826" i="10" s="1"/>
  <c r="D2828" i="10" l="1"/>
  <c r="M2827" i="10"/>
  <c r="N2827" i="10" s="1"/>
  <c r="O2827" i="10" s="1"/>
  <c r="P2827" i="10" s="1"/>
  <c r="Q2827" i="10" s="1"/>
  <c r="R2827" i="10" s="1"/>
  <c r="S2827" i="10" s="1"/>
  <c r="T2827" i="10" s="1"/>
  <c r="U2827" i="10" s="1"/>
  <c r="V2827" i="10" s="1"/>
  <c r="D2829" i="10" l="1"/>
  <c r="M2828" i="10"/>
  <c r="N2828" i="10" s="1"/>
  <c r="O2828" i="10" s="1"/>
  <c r="P2828" i="10" s="1"/>
  <c r="Q2828" i="10" s="1"/>
  <c r="R2828" i="10" s="1"/>
  <c r="S2828" i="10" s="1"/>
  <c r="T2828" i="10" s="1"/>
  <c r="U2828" i="10" s="1"/>
  <c r="V2828" i="10" s="1"/>
  <c r="D2830" i="10" l="1"/>
  <c r="M2829" i="10"/>
  <c r="N2829" i="10" s="1"/>
  <c r="O2829" i="10" s="1"/>
  <c r="P2829" i="10" s="1"/>
  <c r="Q2829" i="10" s="1"/>
  <c r="R2829" i="10" s="1"/>
  <c r="S2829" i="10" s="1"/>
  <c r="T2829" i="10" s="1"/>
  <c r="U2829" i="10" s="1"/>
  <c r="V2829" i="10" s="1"/>
  <c r="D2831" i="10" l="1"/>
  <c r="M2830" i="10"/>
  <c r="N2830" i="10" s="1"/>
  <c r="O2830" i="10" s="1"/>
  <c r="P2830" i="10" s="1"/>
  <c r="Q2830" i="10" s="1"/>
  <c r="R2830" i="10" s="1"/>
  <c r="S2830" i="10" s="1"/>
  <c r="T2830" i="10" s="1"/>
  <c r="U2830" i="10" s="1"/>
  <c r="V2830" i="10" s="1"/>
  <c r="D2832" i="10" l="1"/>
  <c r="M2831" i="10"/>
  <c r="N2831" i="10" s="1"/>
  <c r="O2831" i="10" s="1"/>
  <c r="P2831" i="10" s="1"/>
  <c r="Q2831" i="10" s="1"/>
  <c r="R2831" i="10" s="1"/>
  <c r="S2831" i="10" s="1"/>
  <c r="T2831" i="10" s="1"/>
  <c r="U2831" i="10" s="1"/>
  <c r="V2831" i="10" s="1"/>
  <c r="D2833" i="10" l="1"/>
  <c r="M2832" i="10"/>
  <c r="N2832" i="10" s="1"/>
  <c r="O2832" i="10" s="1"/>
  <c r="P2832" i="10" s="1"/>
  <c r="Q2832" i="10" s="1"/>
  <c r="R2832" i="10" s="1"/>
  <c r="S2832" i="10" s="1"/>
  <c r="T2832" i="10" s="1"/>
  <c r="U2832" i="10" s="1"/>
  <c r="V2832" i="10" s="1"/>
  <c r="D2834" i="10" l="1"/>
  <c r="M2833" i="10"/>
  <c r="N2833" i="10" s="1"/>
  <c r="O2833" i="10" s="1"/>
  <c r="P2833" i="10" s="1"/>
  <c r="Q2833" i="10" s="1"/>
  <c r="R2833" i="10" s="1"/>
  <c r="S2833" i="10" s="1"/>
  <c r="T2833" i="10" s="1"/>
  <c r="U2833" i="10" s="1"/>
  <c r="V2833" i="10" s="1"/>
  <c r="D2835" i="10" l="1"/>
  <c r="M2834" i="10"/>
  <c r="N2834" i="10" s="1"/>
  <c r="O2834" i="10" s="1"/>
  <c r="P2834" i="10" s="1"/>
  <c r="Q2834" i="10" s="1"/>
  <c r="R2834" i="10" s="1"/>
  <c r="S2834" i="10" s="1"/>
  <c r="T2834" i="10" s="1"/>
  <c r="U2834" i="10" s="1"/>
  <c r="V2834" i="10" s="1"/>
  <c r="D2836" i="10" l="1"/>
  <c r="M2835" i="10"/>
  <c r="N2835" i="10" s="1"/>
  <c r="O2835" i="10" s="1"/>
  <c r="P2835" i="10" s="1"/>
  <c r="Q2835" i="10" s="1"/>
  <c r="R2835" i="10" s="1"/>
  <c r="S2835" i="10" s="1"/>
  <c r="T2835" i="10" s="1"/>
  <c r="U2835" i="10" s="1"/>
  <c r="V2835" i="10" s="1"/>
  <c r="D2837" i="10" l="1"/>
  <c r="M2836" i="10"/>
  <c r="N2836" i="10" s="1"/>
  <c r="O2836" i="10" s="1"/>
  <c r="P2836" i="10" s="1"/>
  <c r="Q2836" i="10" s="1"/>
  <c r="R2836" i="10" s="1"/>
  <c r="S2836" i="10" s="1"/>
  <c r="T2836" i="10" s="1"/>
  <c r="U2836" i="10" s="1"/>
  <c r="V2836" i="10" s="1"/>
  <c r="D2838" i="10" l="1"/>
  <c r="M2837" i="10"/>
  <c r="N2837" i="10" s="1"/>
  <c r="O2837" i="10" s="1"/>
  <c r="P2837" i="10" s="1"/>
  <c r="Q2837" i="10" s="1"/>
  <c r="R2837" i="10" s="1"/>
  <c r="S2837" i="10" s="1"/>
  <c r="T2837" i="10" s="1"/>
  <c r="U2837" i="10" s="1"/>
  <c r="V2837" i="10" s="1"/>
  <c r="D2839" i="10" l="1"/>
  <c r="M2838" i="10"/>
  <c r="N2838" i="10" s="1"/>
  <c r="O2838" i="10" s="1"/>
  <c r="P2838" i="10" s="1"/>
  <c r="Q2838" i="10" s="1"/>
  <c r="R2838" i="10" s="1"/>
  <c r="S2838" i="10" s="1"/>
  <c r="T2838" i="10" s="1"/>
  <c r="U2838" i="10" s="1"/>
  <c r="V2838" i="10" s="1"/>
  <c r="D2840" i="10" l="1"/>
  <c r="M2839" i="10"/>
  <c r="N2839" i="10" s="1"/>
  <c r="O2839" i="10" s="1"/>
  <c r="P2839" i="10" s="1"/>
  <c r="Q2839" i="10" s="1"/>
  <c r="R2839" i="10" s="1"/>
  <c r="S2839" i="10" s="1"/>
  <c r="T2839" i="10" s="1"/>
  <c r="U2839" i="10" s="1"/>
  <c r="V2839" i="10" s="1"/>
  <c r="D2841" i="10" l="1"/>
  <c r="M2840" i="10"/>
  <c r="N2840" i="10" s="1"/>
  <c r="O2840" i="10" s="1"/>
  <c r="P2840" i="10" s="1"/>
  <c r="Q2840" i="10" s="1"/>
  <c r="R2840" i="10" s="1"/>
  <c r="S2840" i="10" s="1"/>
  <c r="T2840" i="10" s="1"/>
  <c r="U2840" i="10" s="1"/>
  <c r="V2840" i="10" s="1"/>
  <c r="D2842" i="10" l="1"/>
  <c r="M2841" i="10"/>
  <c r="N2841" i="10" s="1"/>
  <c r="O2841" i="10" s="1"/>
  <c r="P2841" i="10" s="1"/>
  <c r="Q2841" i="10" s="1"/>
  <c r="R2841" i="10" s="1"/>
  <c r="S2841" i="10" s="1"/>
  <c r="T2841" i="10" s="1"/>
  <c r="U2841" i="10" s="1"/>
  <c r="V2841" i="10" s="1"/>
  <c r="D2843" i="10" l="1"/>
  <c r="M2842" i="10"/>
  <c r="N2842" i="10" s="1"/>
  <c r="O2842" i="10" s="1"/>
  <c r="P2842" i="10" s="1"/>
  <c r="Q2842" i="10" s="1"/>
  <c r="R2842" i="10" s="1"/>
  <c r="S2842" i="10" s="1"/>
  <c r="T2842" i="10" s="1"/>
  <c r="U2842" i="10" s="1"/>
  <c r="V2842" i="10" s="1"/>
  <c r="D2844" i="10" l="1"/>
  <c r="M2843" i="10"/>
  <c r="N2843" i="10" s="1"/>
  <c r="O2843" i="10" s="1"/>
  <c r="P2843" i="10" s="1"/>
  <c r="Q2843" i="10" s="1"/>
  <c r="R2843" i="10" s="1"/>
  <c r="S2843" i="10" s="1"/>
  <c r="T2843" i="10" s="1"/>
  <c r="U2843" i="10" s="1"/>
  <c r="V2843" i="10" s="1"/>
  <c r="D2845" i="10" l="1"/>
  <c r="M2844" i="10"/>
  <c r="N2844" i="10" s="1"/>
  <c r="O2844" i="10" s="1"/>
  <c r="P2844" i="10" s="1"/>
  <c r="Q2844" i="10" s="1"/>
  <c r="R2844" i="10" s="1"/>
  <c r="S2844" i="10" s="1"/>
  <c r="T2844" i="10" s="1"/>
  <c r="U2844" i="10" s="1"/>
  <c r="V2844" i="10" s="1"/>
  <c r="D2846" i="10" l="1"/>
  <c r="M2845" i="10"/>
  <c r="N2845" i="10" s="1"/>
  <c r="O2845" i="10" s="1"/>
  <c r="P2845" i="10" s="1"/>
  <c r="Q2845" i="10" s="1"/>
  <c r="R2845" i="10" s="1"/>
  <c r="S2845" i="10" s="1"/>
  <c r="T2845" i="10" s="1"/>
  <c r="U2845" i="10" s="1"/>
  <c r="V2845" i="10" s="1"/>
  <c r="D2847" i="10" l="1"/>
  <c r="M2846" i="10"/>
  <c r="N2846" i="10" s="1"/>
  <c r="O2846" i="10" s="1"/>
  <c r="P2846" i="10" s="1"/>
  <c r="Q2846" i="10" s="1"/>
  <c r="R2846" i="10" s="1"/>
  <c r="S2846" i="10" s="1"/>
  <c r="T2846" i="10" s="1"/>
  <c r="U2846" i="10" s="1"/>
  <c r="V2846" i="10" s="1"/>
  <c r="D2848" i="10" l="1"/>
  <c r="M2847" i="10"/>
  <c r="N2847" i="10" s="1"/>
  <c r="O2847" i="10" s="1"/>
  <c r="P2847" i="10" s="1"/>
  <c r="Q2847" i="10" s="1"/>
  <c r="R2847" i="10" s="1"/>
  <c r="S2847" i="10" s="1"/>
  <c r="T2847" i="10" s="1"/>
  <c r="U2847" i="10" s="1"/>
  <c r="V2847" i="10" s="1"/>
  <c r="D2849" i="10" l="1"/>
  <c r="M2848" i="10"/>
  <c r="N2848" i="10" s="1"/>
  <c r="O2848" i="10" s="1"/>
  <c r="P2848" i="10" s="1"/>
  <c r="Q2848" i="10" s="1"/>
  <c r="R2848" i="10" s="1"/>
  <c r="S2848" i="10" s="1"/>
  <c r="T2848" i="10" s="1"/>
  <c r="U2848" i="10" s="1"/>
  <c r="V2848" i="10" s="1"/>
  <c r="D2850" i="10" l="1"/>
  <c r="M2849" i="10"/>
  <c r="N2849" i="10" s="1"/>
  <c r="O2849" i="10" s="1"/>
  <c r="P2849" i="10" s="1"/>
  <c r="Q2849" i="10" s="1"/>
  <c r="R2849" i="10" s="1"/>
  <c r="S2849" i="10" s="1"/>
  <c r="T2849" i="10" s="1"/>
  <c r="U2849" i="10" s="1"/>
  <c r="V2849" i="10" s="1"/>
  <c r="D2851" i="10" l="1"/>
  <c r="M2850" i="10"/>
  <c r="N2850" i="10" s="1"/>
  <c r="O2850" i="10" s="1"/>
  <c r="P2850" i="10" s="1"/>
  <c r="Q2850" i="10" s="1"/>
  <c r="R2850" i="10" s="1"/>
  <c r="S2850" i="10" s="1"/>
  <c r="T2850" i="10" s="1"/>
  <c r="U2850" i="10" s="1"/>
  <c r="V2850" i="10" s="1"/>
  <c r="D2852" i="10" l="1"/>
  <c r="M2851" i="10"/>
  <c r="N2851" i="10" s="1"/>
  <c r="O2851" i="10" s="1"/>
  <c r="P2851" i="10" s="1"/>
  <c r="Q2851" i="10" s="1"/>
  <c r="R2851" i="10" s="1"/>
  <c r="S2851" i="10" s="1"/>
  <c r="T2851" i="10" s="1"/>
  <c r="U2851" i="10" s="1"/>
  <c r="V2851" i="10" s="1"/>
  <c r="D2853" i="10" l="1"/>
  <c r="M2852" i="10"/>
  <c r="N2852" i="10" s="1"/>
  <c r="O2852" i="10" s="1"/>
  <c r="P2852" i="10" s="1"/>
  <c r="Q2852" i="10" s="1"/>
  <c r="R2852" i="10" s="1"/>
  <c r="S2852" i="10" s="1"/>
  <c r="T2852" i="10" s="1"/>
  <c r="U2852" i="10" s="1"/>
  <c r="V2852" i="10" s="1"/>
  <c r="D2854" i="10" l="1"/>
  <c r="M2853" i="10"/>
  <c r="N2853" i="10" s="1"/>
  <c r="O2853" i="10" s="1"/>
  <c r="P2853" i="10" s="1"/>
  <c r="Q2853" i="10" s="1"/>
  <c r="R2853" i="10" s="1"/>
  <c r="S2853" i="10" s="1"/>
  <c r="T2853" i="10" s="1"/>
  <c r="U2853" i="10" s="1"/>
  <c r="V2853" i="10" s="1"/>
  <c r="D2855" i="10" l="1"/>
  <c r="M2854" i="10"/>
  <c r="N2854" i="10" s="1"/>
  <c r="O2854" i="10" s="1"/>
  <c r="P2854" i="10" s="1"/>
  <c r="Q2854" i="10" s="1"/>
  <c r="R2854" i="10" s="1"/>
  <c r="S2854" i="10" s="1"/>
  <c r="T2854" i="10" s="1"/>
  <c r="U2854" i="10" s="1"/>
  <c r="V2854" i="10" s="1"/>
  <c r="D2856" i="10" l="1"/>
  <c r="M2855" i="10"/>
  <c r="N2855" i="10" s="1"/>
  <c r="O2855" i="10" s="1"/>
  <c r="P2855" i="10" s="1"/>
  <c r="Q2855" i="10" s="1"/>
  <c r="R2855" i="10" s="1"/>
  <c r="S2855" i="10" s="1"/>
  <c r="T2855" i="10" s="1"/>
  <c r="U2855" i="10" s="1"/>
  <c r="V2855" i="10" s="1"/>
  <c r="D2857" i="10" l="1"/>
  <c r="M2856" i="10"/>
  <c r="N2856" i="10" s="1"/>
  <c r="O2856" i="10" s="1"/>
  <c r="P2856" i="10" s="1"/>
  <c r="Q2856" i="10" s="1"/>
  <c r="R2856" i="10" s="1"/>
  <c r="S2856" i="10" s="1"/>
  <c r="T2856" i="10" s="1"/>
  <c r="U2856" i="10" s="1"/>
  <c r="V2856" i="10" s="1"/>
  <c r="D2858" i="10" l="1"/>
  <c r="M2857" i="10"/>
  <c r="N2857" i="10" s="1"/>
  <c r="O2857" i="10" s="1"/>
  <c r="P2857" i="10" s="1"/>
  <c r="Q2857" i="10" s="1"/>
  <c r="R2857" i="10" s="1"/>
  <c r="S2857" i="10" s="1"/>
  <c r="T2857" i="10" s="1"/>
  <c r="U2857" i="10" s="1"/>
  <c r="V2857" i="10" s="1"/>
  <c r="D2859" i="10" l="1"/>
  <c r="M2858" i="10"/>
  <c r="N2858" i="10" s="1"/>
  <c r="O2858" i="10" s="1"/>
  <c r="P2858" i="10" s="1"/>
  <c r="Q2858" i="10" s="1"/>
  <c r="R2858" i="10" s="1"/>
  <c r="S2858" i="10" s="1"/>
  <c r="T2858" i="10" s="1"/>
  <c r="U2858" i="10" s="1"/>
  <c r="V2858" i="10" s="1"/>
  <c r="D2860" i="10" l="1"/>
  <c r="M2859" i="10"/>
  <c r="N2859" i="10" s="1"/>
  <c r="O2859" i="10" s="1"/>
  <c r="P2859" i="10" s="1"/>
  <c r="Q2859" i="10" s="1"/>
  <c r="R2859" i="10" s="1"/>
  <c r="S2859" i="10" s="1"/>
  <c r="T2859" i="10" s="1"/>
  <c r="U2859" i="10" s="1"/>
  <c r="V2859" i="10" s="1"/>
  <c r="D2861" i="10" l="1"/>
  <c r="M2860" i="10"/>
  <c r="N2860" i="10" s="1"/>
  <c r="O2860" i="10" s="1"/>
  <c r="P2860" i="10" s="1"/>
  <c r="Q2860" i="10" s="1"/>
  <c r="R2860" i="10" s="1"/>
  <c r="S2860" i="10" s="1"/>
  <c r="T2860" i="10" s="1"/>
  <c r="U2860" i="10" s="1"/>
  <c r="V2860" i="10" s="1"/>
  <c r="D2862" i="10" l="1"/>
  <c r="M2861" i="10"/>
  <c r="N2861" i="10" s="1"/>
  <c r="O2861" i="10" s="1"/>
  <c r="P2861" i="10" s="1"/>
  <c r="Q2861" i="10" s="1"/>
  <c r="R2861" i="10" s="1"/>
  <c r="S2861" i="10" s="1"/>
  <c r="T2861" i="10" s="1"/>
  <c r="U2861" i="10" s="1"/>
  <c r="V2861" i="10" s="1"/>
  <c r="D2863" i="10" l="1"/>
  <c r="M2862" i="10"/>
  <c r="N2862" i="10" s="1"/>
  <c r="O2862" i="10" s="1"/>
  <c r="P2862" i="10" s="1"/>
  <c r="Q2862" i="10" s="1"/>
  <c r="R2862" i="10" s="1"/>
  <c r="S2862" i="10" s="1"/>
  <c r="T2862" i="10" s="1"/>
  <c r="U2862" i="10" s="1"/>
  <c r="V2862" i="10" s="1"/>
  <c r="D2864" i="10" l="1"/>
  <c r="M2863" i="10"/>
  <c r="N2863" i="10" s="1"/>
  <c r="O2863" i="10" s="1"/>
  <c r="P2863" i="10" s="1"/>
  <c r="Q2863" i="10" s="1"/>
  <c r="R2863" i="10" s="1"/>
  <c r="S2863" i="10" s="1"/>
  <c r="T2863" i="10" s="1"/>
  <c r="U2863" i="10" s="1"/>
  <c r="V2863" i="10" s="1"/>
  <c r="D2865" i="10" l="1"/>
  <c r="M2864" i="10"/>
  <c r="N2864" i="10" s="1"/>
  <c r="O2864" i="10" s="1"/>
  <c r="P2864" i="10" s="1"/>
  <c r="Q2864" i="10" s="1"/>
  <c r="R2864" i="10" s="1"/>
  <c r="S2864" i="10" s="1"/>
  <c r="T2864" i="10" s="1"/>
  <c r="U2864" i="10" s="1"/>
  <c r="V2864" i="10" s="1"/>
  <c r="D2866" i="10" l="1"/>
  <c r="M2865" i="10"/>
  <c r="N2865" i="10" s="1"/>
  <c r="O2865" i="10" s="1"/>
  <c r="P2865" i="10" s="1"/>
  <c r="Q2865" i="10" s="1"/>
  <c r="R2865" i="10" s="1"/>
  <c r="S2865" i="10" s="1"/>
  <c r="T2865" i="10" s="1"/>
  <c r="U2865" i="10" s="1"/>
  <c r="V2865" i="10" s="1"/>
  <c r="D2867" i="10" l="1"/>
  <c r="M2866" i="10"/>
  <c r="N2866" i="10" s="1"/>
  <c r="O2866" i="10" s="1"/>
  <c r="P2866" i="10" s="1"/>
  <c r="Q2866" i="10" s="1"/>
  <c r="R2866" i="10" s="1"/>
  <c r="S2866" i="10" s="1"/>
  <c r="T2866" i="10" s="1"/>
  <c r="U2866" i="10" s="1"/>
  <c r="V2866" i="10" s="1"/>
  <c r="D2868" i="10" l="1"/>
  <c r="M2867" i="10"/>
  <c r="N2867" i="10" s="1"/>
  <c r="O2867" i="10" s="1"/>
  <c r="P2867" i="10" s="1"/>
  <c r="Q2867" i="10" s="1"/>
  <c r="R2867" i="10" s="1"/>
  <c r="S2867" i="10" s="1"/>
  <c r="T2867" i="10" s="1"/>
  <c r="U2867" i="10" s="1"/>
  <c r="V2867" i="10" s="1"/>
  <c r="D2869" i="10" l="1"/>
  <c r="M2868" i="10"/>
  <c r="N2868" i="10" s="1"/>
  <c r="O2868" i="10" s="1"/>
  <c r="P2868" i="10" s="1"/>
  <c r="Q2868" i="10" s="1"/>
  <c r="R2868" i="10" s="1"/>
  <c r="S2868" i="10" s="1"/>
  <c r="T2868" i="10" s="1"/>
  <c r="U2868" i="10" s="1"/>
  <c r="V2868" i="10" s="1"/>
  <c r="D2870" i="10" l="1"/>
  <c r="M2869" i="10"/>
  <c r="N2869" i="10" s="1"/>
  <c r="O2869" i="10" s="1"/>
  <c r="P2869" i="10" s="1"/>
  <c r="Q2869" i="10" s="1"/>
  <c r="R2869" i="10" s="1"/>
  <c r="S2869" i="10" s="1"/>
  <c r="T2869" i="10" s="1"/>
  <c r="U2869" i="10" s="1"/>
  <c r="V2869" i="10" s="1"/>
  <c r="D2871" i="10" l="1"/>
  <c r="M2870" i="10"/>
  <c r="N2870" i="10" s="1"/>
  <c r="O2870" i="10" s="1"/>
  <c r="P2870" i="10" s="1"/>
  <c r="Q2870" i="10" s="1"/>
  <c r="R2870" i="10" s="1"/>
  <c r="S2870" i="10" s="1"/>
  <c r="T2870" i="10" s="1"/>
  <c r="U2870" i="10" s="1"/>
  <c r="V2870" i="10" s="1"/>
  <c r="D2872" i="10" l="1"/>
  <c r="M2871" i="10"/>
  <c r="N2871" i="10" s="1"/>
  <c r="O2871" i="10" s="1"/>
  <c r="P2871" i="10" s="1"/>
  <c r="Q2871" i="10" s="1"/>
  <c r="R2871" i="10" s="1"/>
  <c r="S2871" i="10" s="1"/>
  <c r="T2871" i="10" s="1"/>
  <c r="U2871" i="10" s="1"/>
  <c r="V2871" i="10" s="1"/>
  <c r="D2873" i="10" l="1"/>
  <c r="M2872" i="10"/>
  <c r="N2872" i="10" s="1"/>
  <c r="O2872" i="10" s="1"/>
  <c r="P2872" i="10" s="1"/>
  <c r="Q2872" i="10" s="1"/>
  <c r="R2872" i="10" s="1"/>
  <c r="S2872" i="10" s="1"/>
  <c r="T2872" i="10" s="1"/>
  <c r="U2872" i="10" s="1"/>
  <c r="V2872" i="10" s="1"/>
  <c r="D2874" i="10" l="1"/>
  <c r="M2873" i="10"/>
  <c r="N2873" i="10" s="1"/>
  <c r="O2873" i="10" s="1"/>
  <c r="P2873" i="10" s="1"/>
  <c r="Q2873" i="10" s="1"/>
  <c r="R2873" i="10" s="1"/>
  <c r="S2873" i="10" s="1"/>
  <c r="T2873" i="10" s="1"/>
  <c r="U2873" i="10" s="1"/>
  <c r="V2873" i="10" s="1"/>
  <c r="D2875" i="10" l="1"/>
  <c r="M2874" i="10"/>
  <c r="N2874" i="10" s="1"/>
  <c r="O2874" i="10" s="1"/>
  <c r="P2874" i="10" s="1"/>
  <c r="Q2874" i="10" s="1"/>
  <c r="R2874" i="10" s="1"/>
  <c r="S2874" i="10" s="1"/>
  <c r="T2874" i="10" s="1"/>
  <c r="U2874" i="10" s="1"/>
  <c r="V2874" i="10" s="1"/>
  <c r="D2876" i="10" l="1"/>
  <c r="M2875" i="10"/>
  <c r="N2875" i="10" s="1"/>
  <c r="O2875" i="10" s="1"/>
  <c r="P2875" i="10" s="1"/>
  <c r="Q2875" i="10" s="1"/>
  <c r="R2875" i="10" s="1"/>
  <c r="S2875" i="10" s="1"/>
  <c r="T2875" i="10" s="1"/>
  <c r="U2875" i="10" s="1"/>
  <c r="V2875" i="10" s="1"/>
  <c r="D2877" i="10" l="1"/>
  <c r="M2876" i="10"/>
  <c r="N2876" i="10" s="1"/>
  <c r="O2876" i="10" s="1"/>
  <c r="P2876" i="10" s="1"/>
  <c r="Q2876" i="10" s="1"/>
  <c r="R2876" i="10" s="1"/>
  <c r="S2876" i="10" s="1"/>
  <c r="T2876" i="10" s="1"/>
  <c r="U2876" i="10" s="1"/>
  <c r="V2876" i="10" s="1"/>
  <c r="D2878" i="10" l="1"/>
  <c r="M2877" i="10"/>
  <c r="N2877" i="10" s="1"/>
  <c r="O2877" i="10" s="1"/>
  <c r="P2877" i="10" s="1"/>
  <c r="Q2877" i="10" s="1"/>
  <c r="R2877" i="10" s="1"/>
  <c r="S2877" i="10" s="1"/>
  <c r="T2877" i="10" s="1"/>
  <c r="U2877" i="10" s="1"/>
  <c r="V2877" i="10" s="1"/>
  <c r="D2879" i="10" l="1"/>
  <c r="M2878" i="10"/>
  <c r="N2878" i="10" s="1"/>
  <c r="O2878" i="10" s="1"/>
  <c r="P2878" i="10" s="1"/>
  <c r="Q2878" i="10" s="1"/>
  <c r="R2878" i="10" s="1"/>
  <c r="S2878" i="10" s="1"/>
  <c r="T2878" i="10" s="1"/>
  <c r="U2878" i="10" s="1"/>
  <c r="V2878" i="10" s="1"/>
  <c r="D2880" i="10" l="1"/>
  <c r="M2879" i="10"/>
  <c r="N2879" i="10" s="1"/>
  <c r="O2879" i="10" s="1"/>
  <c r="P2879" i="10" s="1"/>
  <c r="Q2879" i="10" s="1"/>
  <c r="R2879" i="10" s="1"/>
  <c r="S2879" i="10" s="1"/>
  <c r="T2879" i="10" s="1"/>
  <c r="U2879" i="10" s="1"/>
  <c r="V2879" i="10" s="1"/>
  <c r="D2881" i="10" l="1"/>
  <c r="M2880" i="10"/>
  <c r="N2880" i="10" s="1"/>
  <c r="O2880" i="10" s="1"/>
  <c r="P2880" i="10" s="1"/>
  <c r="Q2880" i="10" s="1"/>
  <c r="R2880" i="10" s="1"/>
  <c r="S2880" i="10" s="1"/>
  <c r="T2880" i="10" s="1"/>
  <c r="U2880" i="10" s="1"/>
  <c r="V2880" i="10" s="1"/>
  <c r="D2882" i="10" l="1"/>
  <c r="M2881" i="10"/>
  <c r="N2881" i="10" s="1"/>
  <c r="O2881" i="10" s="1"/>
  <c r="P2881" i="10" s="1"/>
  <c r="Q2881" i="10" s="1"/>
  <c r="R2881" i="10" s="1"/>
  <c r="S2881" i="10" s="1"/>
  <c r="T2881" i="10" s="1"/>
  <c r="U2881" i="10" s="1"/>
  <c r="V2881" i="10" s="1"/>
  <c r="D2883" i="10" l="1"/>
  <c r="M2882" i="10"/>
  <c r="N2882" i="10" s="1"/>
  <c r="O2882" i="10" s="1"/>
  <c r="P2882" i="10" s="1"/>
  <c r="Q2882" i="10" s="1"/>
  <c r="R2882" i="10" s="1"/>
  <c r="S2882" i="10" s="1"/>
  <c r="T2882" i="10" s="1"/>
  <c r="U2882" i="10" s="1"/>
  <c r="V2882" i="10" s="1"/>
  <c r="D2884" i="10" l="1"/>
  <c r="M2883" i="10"/>
  <c r="N2883" i="10" s="1"/>
  <c r="O2883" i="10" s="1"/>
  <c r="P2883" i="10" s="1"/>
  <c r="Q2883" i="10" s="1"/>
  <c r="R2883" i="10" s="1"/>
  <c r="S2883" i="10" s="1"/>
  <c r="T2883" i="10" s="1"/>
  <c r="U2883" i="10" s="1"/>
  <c r="V2883" i="10" s="1"/>
  <c r="D2885" i="10" l="1"/>
  <c r="M2884" i="10"/>
  <c r="N2884" i="10" s="1"/>
  <c r="O2884" i="10" s="1"/>
  <c r="P2884" i="10" s="1"/>
  <c r="Q2884" i="10" s="1"/>
  <c r="R2884" i="10" s="1"/>
  <c r="S2884" i="10" s="1"/>
  <c r="T2884" i="10" s="1"/>
  <c r="U2884" i="10" s="1"/>
  <c r="V2884" i="10" s="1"/>
  <c r="D2886" i="10" l="1"/>
  <c r="M2885" i="10"/>
  <c r="N2885" i="10" s="1"/>
  <c r="O2885" i="10" s="1"/>
  <c r="P2885" i="10" s="1"/>
  <c r="Q2885" i="10" s="1"/>
  <c r="R2885" i="10" s="1"/>
  <c r="S2885" i="10" s="1"/>
  <c r="T2885" i="10" s="1"/>
  <c r="U2885" i="10" s="1"/>
  <c r="V2885" i="10" s="1"/>
  <c r="D2887" i="10" l="1"/>
  <c r="M2886" i="10"/>
  <c r="N2886" i="10" s="1"/>
  <c r="O2886" i="10" s="1"/>
  <c r="P2886" i="10" s="1"/>
  <c r="Q2886" i="10" s="1"/>
  <c r="R2886" i="10" s="1"/>
  <c r="S2886" i="10" s="1"/>
  <c r="T2886" i="10" s="1"/>
  <c r="U2886" i="10" s="1"/>
  <c r="V2886" i="10" s="1"/>
  <c r="D2888" i="10" l="1"/>
  <c r="M2887" i="10"/>
  <c r="N2887" i="10" s="1"/>
  <c r="O2887" i="10" s="1"/>
  <c r="P2887" i="10" s="1"/>
  <c r="Q2887" i="10" s="1"/>
  <c r="R2887" i="10" s="1"/>
  <c r="S2887" i="10" s="1"/>
  <c r="T2887" i="10" s="1"/>
  <c r="U2887" i="10" s="1"/>
  <c r="V2887" i="10" s="1"/>
  <c r="D2889" i="10" l="1"/>
  <c r="M2888" i="10"/>
  <c r="N2888" i="10" s="1"/>
  <c r="O2888" i="10" s="1"/>
  <c r="P2888" i="10" s="1"/>
  <c r="Q2888" i="10" s="1"/>
  <c r="R2888" i="10" s="1"/>
  <c r="S2888" i="10" s="1"/>
  <c r="T2888" i="10" s="1"/>
  <c r="U2888" i="10" s="1"/>
  <c r="V2888" i="10" s="1"/>
  <c r="D2890" i="10" l="1"/>
  <c r="M2889" i="10"/>
  <c r="N2889" i="10" s="1"/>
  <c r="O2889" i="10" s="1"/>
  <c r="P2889" i="10" s="1"/>
  <c r="Q2889" i="10" s="1"/>
  <c r="R2889" i="10" s="1"/>
  <c r="S2889" i="10" s="1"/>
  <c r="T2889" i="10" s="1"/>
  <c r="U2889" i="10" s="1"/>
  <c r="V2889" i="10" s="1"/>
  <c r="D2891" i="10" l="1"/>
  <c r="M2890" i="10"/>
  <c r="N2890" i="10" s="1"/>
  <c r="O2890" i="10" s="1"/>
  <c r="P2890" i="10" s="1"/>
  <c r="Q2890" i="10" s="1"/>
  <c r="R2890" i="10" s="1"/>
  <c r="S2890" i="10" s="1"/>
  <c r="T2890" i="10" s="1"/>
  <c r="U2890" i="10" s="1"/>
  <c r="V2890" i="10" s="1"/>
  <c r="D2892" i="10" l="1"/>
  <c r="M2891" i="10"/>
  <c r="N2891" i="10" s="1"/>
  <c r="O2891" i="10" s="1"/>
  <c r="P2891" i="10" s="1"/>
  <c r="Q2891" i="10" s="1"/>
  <c r="R2891" i="10" s="1"/>
  <c r="S2891" i="10" s="1"/>
  <c r="T2891" i="10" s="1"/>
  <c r="U2891" i="10" s="1"/>
  <c r="V2891" i="10" s="1"/>
  <c r="D2893" i="10" l="1"/>
  <c r="M2892" i="10"/>
  <c r="N2892" i="10" s="1"/>
  <c r="O2892" i="10" s="1"/>
  <c r="P2892" i="10" s="1"/>
  <c r="Q2892" i="10" s="1"/>
  <c r="R2892" i="10" s="1"/>
  <c r="S2892" i="10" s="1"/>
  <c r="T2892" i="10" s="1"/>
  <c r="U2892" i="10" s="1"/>
  <c r="V2892" i="10" s="1"/>
  <c r="D2894" i="10" l="1"/>
  <c r="M2893" i="10"/>
  <c r="N2893" i="10" s="1"/>
  <c r="O2893" i="10" s="1"/>
  <c r="P2893" i="10" s="1"/>
  <c r="Q2893" i="10" s="1"/>
  <c r="R2893" i="10" s="1"/>
  <c r="S2893" i="10" s="1"/>
  <c r="T2893" i="10" s="1"/>
  <c r="U2893" i="10" s="1"/>
  <c r="V2893" i="10" s="1"/>
  <c r="D2895" i="10" l="1"/>
  <c r="M2894" i="10"/>
  <c r="N2894" i="10" s="1"/>
  <c r="O2894" i="10" s="1"/>
  <c r="P2894" i="10" s="1"/>
  <c r="Q2894" i="10" s="1"/>
  <c r="R2894" i="10" s="1"/>
  <c r="S2894" i="10" s="1"/>
  <c r="T2894" i="10" s="1"/>
  <c r="U2894" i="10" s="1"/>
  <c r="V2894" i="10" s="1"/>
  <c r="D2896" i="10" l="1"/>
  <c r="M2895" i="10"/>
  <c r="N2895" i="10" s="1"/>
  <c r="O2895" i="10" s="1"/>
  <c r="P2895" i="10" s="1"/>
  <c r="Q2895" i="10" s="1"/>
  <c r="R2895" i="10" s="1"/>
  <c r="S2895" i="10" s="1"/>
  <c r="T2895" i="10" s="1"/>
  <c r="U2895" i="10" s="1"/>
  <c r="V2895" i="10" s="1"/>
  <c r="D2897" i="10" l="1"/>
  <c r="M2896" i="10"/>
  <c r="N2896" i="10" s="1"/>
  <c r="O2896" i="10" s="1"/>
  <c r="P2896" i="10" s="1"/>
  <c r="Q2896" i="10" s="1"/>
  <c r="R2896" i="10" s="1"/>
  <c r="S2896" i="10" s="1"/>
  <c r="T2896" i="10" s="1"/>
  <c r="U2896" i="10" s="1"/>
  <c r="V2896" i="10" s="1"/>
  <c r="D2898" i="10" l="1"/>
  <c r="M2897" i="10"/>
  <c r="N2897" i="10" s="1"/>
  <c r="O2897" i="10" s="1"/>
  <c r="P2897" i="10" s="1"/>
  <c r="Q2897" i="10" s="1"/>
  <c r="R2897" i="10" s="1"/>
  <c r="S2897" i="10" s="1"/>
  <c r="T2897" i="10" s="1"/>
  <c r="U2897" i="10" s="1"/>
  <c r="V2897" i="10" s="1"/>
  <c r="D2899" i="10" l="1"/>
  <c r="M2898" i="10"/>
  <c r="N2898" i="10" s="1"/>
  <c r="O2898" i="10" s="1"/>
  <c r="P2898" i="10" s="1"/>
  <c r="Q2898" i="10" s="1"/>
  <c r="R2898" i="10" s="1"/>
  <c r="S2898" i="10" s="1"/>
  <c r="T2898" i="10" s="1"/>
  <c r="U2898" i="10" s="1"/>
  <c r="V2898" i="10" s="1"/>
  <c r="D2900" i="10" l="1"/>
  <c r="M2899" i="10"/>
  <c r="N2899" i="10" s="1"/>
  <c r="O2899" i="10" s="1"/>
  <c r="P2899" i="10" s="1"/>
  <c r="Q2899" i="10" s="1"/>
  <c r="R2899" i="10" s="1"/>
  <c r="S2899" i="10" s="1"/>
  <c r="T2899" i="10" s="1"/>
  <c r="U2899" i="10" s="1"/>
  <c r="V2899" i="10" s="1"/>
  <c r="D2901" i="10" l="1"/>
  <c r="M2900" i="10"/>
  <c r="N2900" i="10" s="1"/>
  <c r="O2900" i="10" s="1"/>
  <c r="P2900" i="10" s="1"/>
  <c r="Q2900" i="10" s="1"/>
  <c r="R2900" i="10" s="1"/>
  <c r="S2900" i="10" s="1"/>
  <c r="T2900" i="10" s="1"/>
  <c r="U2900" i="10" s="1"/>
  <c r="V2900" i="10" s="1"/>
  <c r="D2902" i="10" l="1"/>
  <c r="M2901" i="10"/>
  <c r="N2901" i="10" s="1"/>
  <c r="O2901" i="10" s="1"/>
  <c r="P2901" i="10" s="1"/>
  <c r="Q2901" i="10" s="1"/>
  <c r="R2901" i="10" s="1"/>
  <c r="S2901" i="10" s="1"/>
  <c r="T2901" i="10" s="1"/>
  <c r="U2901" i="10" s="1"/>
  <c r="V2901" i="10" s="1"/>
  <c r="D2903" i="10" l="1"/>
  <c r="M2902" i="10"/>
  <c r="N2902" i="10" s="1"/>
  <c r="O2902" i="10" s="1"/>
  <c r="P2902" i="10" s="1"/>
  <c r="Q2902" i="10" s="1"/>
  <c r="R2902" i="10" s="1"/>
  <c r="S2902" i="10" s="1"/>
  <c r="T2902" i="10" s="1"/>
  <c r="U2902" i="10" s="1"/>
  <c r="V2902" i="10" s="1"/>
  <c r="D2904" i="10" l="1"/>
  <c r="M2903" i="10"/>
  <c r="N2903" i="10" s="1"/>
  <c r="O2903" i="10" s="1"/>
  <c r="P2903" i="10" s="1"/>
  <c r="Q2903" i="10" s="1"/>
  <c r="R2903" i="10" s="1"/>
  <c r="S2903" i="10" s="1"/>
  <c r="T2903" i="10" s="1"/>
  <c r="U2903" i="10" s="1"/>
  <c r="V2903" i="10" s="1"/>
  <c r="D2905" i="10" l="1"/>
  <c r="M2904" i="10"/>
  <c r="N2904" i="10" s="1"/>
  <c r="O2904" i="10" s="1"/>
  <c r="P2904" i="10" s="1"/>
  <c r="Q2904" i="10" s="1"/>
  <c r="R2904" i="10" s="1"/>
  <c r="S2904" i="10" s="1"/>
  <c r="T2904" i="10" s="1"/>
  <c r="U2904" i="10" s="1"/>
  <c r="V2904" i="10" s="1"/>
  <c r="D2906" i="10" l="1"/>
  <c r="M2905" i="10"/>
  <c r="N2905" i="10" s="1"/>
  <c r="O2905" i="10" s="1"/>
  <c r="P2905" i="10" s="1"/>
  <c r="Q2905" i="10" s="1"/>
  <c r="R2905" i="10" s="1"/>
  <c r="S2905" i="10" s="1"/>
  <c r="T2905" i="10" s="1"/>
  <c r="U2905" i="10" s="1"/>
  <c r="V2905" i="10" s="1"/>
  <c r="D2907" i="10" l="1"/>
  <c r="M2906" i="10"/>
  <c r="N2906" i="10" s="1"/>
  <c r="O2906" i="10" s="1"/>
  <c r="P2906" i="10" s="1"/>
  <c r="Q2906" i="10" s="1"/>
  <c r="R2906" i="10" s="1"/>
  <c r="S2906" i="10" s="1"/>
  <c r="T2906" i="10" s="1"/>
  <c r="U2906" i="10" s="1"/>
  <c r="V2906" i="10" s="1"/>
  <c r="D2908" i="10" l="1"/>
  <c r="M2907" i="10"/>
  <c r="N2907" i="10" s="1"/>
  <c r="O2907" i="10" s="1"/>
  <c r="P2907" i="10" s="1"/>
  <c r="Q2907" i="10" s="1"/>
  <c r="R2907" i="10" s="1"/>
  <c r="S2907" i="10" s="1"/>
  <c r="T2907" i="10" s="1"/>
  <c r="U2907" i="10" s="1"/>
  <c r="V2907" i="10" s="1"/>
  <c r="D2909" i="10" l="1"/>
  <c r="M2908" i="10"/>
  <c r="N2908" i="10" s="1"/>
  <c r="O2908" i="10" s="1"/>
  <c r="P2908" i="10" s="1"/>
  <c r="Q2908" i="10" s="1"/>
  <c r="R2908" i="10" s="1"/>
  <c r="S2908" i="10" s="1"/>
  <c r="T2908" i="10" s="1"/>
  <c r="U2908" i="10" s="1"/>
  <c r="V2908" i="10" s="1"/>
  <c r="D2910" i="10" l="1"/>
  <c r="M2909" i="10"/>
  <c r="N2909" i="10" s="1"/>
  <c r="O2909" i="10" s="1"/>
  <c r="P2909" i="10" s="1"/>
  <c r="Q2909" i="10" s="1"/>
  <c r="R2909" i="10" s="1"/>
  <c r="S2909" i="10" s="1"/>
  <c r="T2909" i="10" s="1"/>
  <c r="U2909" i="10" s="1"/>
  <c r="V2909" i="10" s="1"/>
  <c r="D2911" i="10" l="1"/>
  <c r="M2910" i="10"/>
  <c r="N2910" i="10" s="1"/>
  <c r="O2910" i="10" s="1"/>
  <c r="P2910" i="10" s="1"/>
  <c r="Q2910" i="10" s="1"/>
  <c r="R2910" i="10" s="1"/>
  <c r="S2910" i="10" s="1"/>
  <c r="T2910" i="10" s="1"/>
  <c r="U2910" i="10" s="1"/>
  <c r="V2910" i="10" s="1"/>
  <c r="D2912" i="10" l="1"/>
  <c r="M2911" i="10"/>
  <c r="N2911" i="10" s="1"/>
  <c r="O2911" i="10" s="1"/>
  <c r="P2911" i="10" s="1"/>
  <c r="Q2911" i="10" s="1"/>
  <c r="R2911" i="10" s="1"/>
  <c r="S2911" i="10" s="1"/>
  <c r="T2911" i="10" s="1"/>
  <c r="U2911" i="10" s="1"/>
  <c r="V2911" i="10" s="1"/>
  <c r="D2913" i="10" l="1"/>
  <c r="M2912" i="10"/>
  <c r="N2912" i="10" s="1"/>
  <c r="O2912" i="10" s="1"/>
  <c r="P2912" i="10" s="1"/>
  <c r="Q2912" i="10" s="1"/>
  <c r="R2912" i="10" s="1"/>
  <c r="S2912" i="10" s="1"/>
  <c r="T2912" i="10" s="1"/>
  <c r="U2912" i="10" s="1"/>
  <c r="V2912" i="10" s="1"/>
  <c r="D2914" i="10" l="1"/>
  <c r="M2913" i="10"/>
  <c r="N2913" i="10" s="1"/>
  <c r="O2913" i="10" s="1"/>
  <c r="P2913" i="10" s="1"/>
  <c r="Q2913" i="10" s="1"/>
  <c r="R2913" i="10" s="1"/>
  <c r="S2913" i="10" s="1"/>
  <c r="T2913" i="10" s="1"/>
  <c r="U2913" i="10" s="1"/>
  <c r="V2913" i="10" s="1"/>
  <c r="D2915" i="10" l="1"/>
  <c r="M2914" i="10"/>
  <c r="N2914" i="10" s="1"/>
  <c r="O2914" i="10" s="1"/>
  <c r="P2914" i="10" s="1"/>
  <c r="Q2914" i="10" s="1"/>
  <c r="R2914" i="10" s="1"/>
  <c r="S2914" i="10" s="1"/>
  <c r="T2914" i="10" s="1"/>
  <c r="U2914" i="10" s="1"/>
  <c r="V2914" i="10" s="1"/>
  <c r="D2916" i="10" l="1"/>
  <c r="M2915" i="10"/>
  <c r="N2915" i="10" s="1"/>
  <c r="O2915" i="10" s="1"/>
  <c r="P2915" i="10" s="1"/>
  <c r="Q2915" i="10" s="1"/>
  <c r="R2915" i="10" s="1"/>
  <c r="S2915" i="10" s="1"/>
  <c r="T2915" i="10" s="1"/>
  <c r="U2915" i="10" s="1"/>
  <c r="V2915" i="10" s="1"/>
  <c r="D2917" i="10" l="1"/>
  <c r="M2916" i="10"/>
  <c r="N2916" i="10" s="1"/>
  <c r="O2916" i="10" s="1"/>
  <c r="P2916" i="10" s="1"/>
  <c r="Q2916" i="10" s="1"/>
  <c r="R2916" i="10" s="1"/>
  <c r="S2916" i="10" s="1"/>
  <c r="T2916" i="10" s="1"/>
  <c r="U2916" i="10" s="1"/>
  <c r="V2916" i="10" s="1"/>
  <c r="D2918" i="10" l="1"/>
  <c r="M2917" i="10"/>
  <c r="N2917" i="10" s="1"/>
  <c r="O2917" i="10" s="1"/>
  <c r="P2917" i="10" s="1"/>
  <c r="Q2917" i="10" s="1"/>
  <c r="R2917" i="10" s="1"/>
  <c r="S2917" i="10" s="1"/>
  <c r="T2917" i="10" s="1"/>
  <c r="U2917" i="10" s="1"/>
  <c r="V2917" i="10" s="1"/>
  <c r="D2919" i="10" l="1"/>
  <c r="M2918" i="10"/>
  <c r="N2918" i="10" s="1"/>
  <c r="O2918" i="10" s="1"/>
  <c r="P2918" i="10" s="1"/>
  <c r="Q2918" i="10" s="1"/>
  <c r="R2918" i="10" s="1"/>
  <c r="S2918" i="10" s="1"/>
  <c r="T2918" i="10" s="1"/>
  <c r="U2918" i="10" s="1"/>
  <c r="V2918" i="10" s="1"/>
  <c r="D2920" i="10" l="1"/>
  <c r="M2919" i="10"/>
  <c r="N2919" i="10" s="1"/>
  <c r="O2919" i="10" s="1"/>
  <c r="P2919" i="10" s="1"/>
  <c r="Q2919" i="10" s="1"/>
  <c r="R2919" i="10" s="1"/>
  <c r="S2919" i="10" s="1"/>
  <c r="T2919" i="10" s="1"/>
  <c r="U2919" i="10" s="1"/>
  <c r="V2919" i="10" s="1"/>
  <c r="D2921" i="10" l="1"/>
  <c r="M2920" i="10"/>
  <c r="N2920" i="10" s="1"/>
  <c r="O2920" i="10" s="1"/>
  <c r="P2920" i="10" s="1"/>
  <c r="Q2920" i="10" s="1"/>
  <c r="R2920" i="10" s="1"/>
  <c r="S2920" i="10" s="1"/>
  <c r="T2920" i="10" s="1"/>
  <c r="U2920" i="10" s="1"/>
  <c r="V2920" i="10" s="1"/>
  <c r="D2922" i="10" l="1"/>
  <c r="M2921" i="10"/>
  <c r="N2921" i="10" s="1"/>
  <c r="O2921" i="10" s="1"/>
  <c r="P2921" i="10" s="1"/>
  <c r="Q2921" i="10" s="1"/>
  <c r="R2921" i="10" s="1"/>
  <c r="S2921" i="10" s="1"/>
  <c r="T2921" i="10" s="1"/>
  <c r="U2921" i="10" s="1"/>
  <c r="V2921" i="10" s="1"/>
  <c r="D2923" i="10" l="1"/>
  <c r="M2922" i="10"/>
  <c r="N2922" i="10" s="1"/>
  <c r="O2922" i="10" s="1"/>
  <c r="P2922" i="10" s="1"/>
  <c r="Q2922" i="10" s="1"/>
  <c r="R2922" i="10" s="1"/>
  <c r="S2922" i="10" s="1"/>
  <c r="T2922" i="10" s="1"/>
  <c r="U2922" i="10" s="1"/>
  <c r="V2922" i="10" s="1"/>
  <c r="D2924" i="10" l="1"/>
  <c r="M2923" i="10"/>
  <c r="N2923" i="10" s="1"/>
  <c r="O2923" i="10" s="1"/>
  <c r="P2923" i="10" s="1"/>
  <c r="Q2923" i="10" s="1"/>
  <c r="R2923" i="10" s="1"/>
  <c r="S2923" i="10" s="1"/>
  <c r="T2923" i="10" s="1"/>
  <c r="U2923" i="10" s="1"/>
  <c r="V2923" i="10" s="1"/>
  <c r="D2925" i="10" l="1"/>
  <c r="M2924" i="10"/>
  <c r="N2924" i="10" s="1"/>
  <c r="O2924" i="10" s="1"/>
  <c r="P2924" i="10" s="1"/>
  <c r="Q2924" i="10" s="1"/>
  <c r="R2924" i="10" s="1"/>
  <c r="S2924" i="10" s="1"/>
  <c r="T2924" i="10" s="1"/>
  <c r="U2924" i="10" s="1"/>
  <c r="V2924" i="10" s="1"/>
  <c r="D2926" i="10" l="1"/>
  <c r="M2925" i="10"/>
  <c r="N2925" i="10" s="1"/>
  <c r="O2925" i="10" s="1"/>
  <c r="P2925" i="10" s="1"/>
  <c r="Q2925" i="10" s="1"/>
  <c r="R2925" i="10" s="1"/>
  <c r="S2925" i="10" s="1"/>
  <c r="T2925" i="10" s="1"/>
  <c r="U2925" i="10" s="1"/>
  <c r="V2925" i="10" s="1"/>
  <c r="D2927" i="10" l="1"/>
  <c r="M2926" i="10"/>
  <c r="N2926" i="10" s="1"/>
  <c r="O2926" i="10" s="1"/>
  <c r="P2926" i="10" s="1"/>
  <c r="Q2926" i="10" s="1"/>
  <c r="R2926" i="10" s="1"/>
  <c r="S2926" i="10" s="1"/>
  <c r="T2926" i="10" s="1"/>
  <c r="U2926" i="10" s="1"/>
  <c r="V2926" i="10" s="1"/>
  <c r="D2928" i="10" l="1"/>
  <c r="M2927" i="10"/>
  <c r="N2927" i="10" s="1"/>
  <c r="O2927" i="10" s="1"/>
  <c r="P2927" i="10" s="1"/>
  <c r="Q2927" i="10" s="1"/>
  <c r="R2927" i="10" s="1"/>
  <c r="S2927" i="10" s="1"/>
  <c r="T2927" i="10" s="1"/>
  <c r="U2927" i="10" s="1"/>
  <c r="V2927" i="10" s="1"/>
  <c r="D2929" i="10" l="1"/>
  <c r="M2928" i="10"/>
  <c r="N2928" i="10" s="1"/>
  <c r="O2928" i="10" s="1"/>
  <c r="P2928" i="10" s="1"/>
  <c r="Q2928" i="10" s="1"/>
  <c r="R2928" i="10" s="1"/>
  <c r="S2928" i="10" s="1"/>
  <c r="T2928" i="10" s="1"/>
  <c r="U2928" i="10" s="1"/>
  <c r="V2928" i="10" s="1"/>
  <c r="D2930" i="10" l="1"/>
  <c r="M2929" i="10"/>
  <c r="N2929" i="10" s="1"/>
  <c r="O2929" i="10" s="1"/>
  <c r="P2929" i="10" s="1"/>
  <c r="Q2929" i="10" s="1"/>
  <c r="R2929" i="10" s="1"/>
  <c r="S2929" i="10" s="1"/>
  <c r="T2929" i="10" s="1"/>
  <c r="U2929" i="10" s="1"/>
  <c r="V2929" i="10" s="1"/>
  <c r="D2931" i="10" l="1"/>
  <c r="M2930" i="10"/>
  <c r="N2930" i="10" s="1"/>
  <c r="O2930" i="10" s="1"/>
  <c r="P2930" i="10" s="1"/>
  <c r="Q2930" i="10" s="1"/>
  <c r="R2930" i="10" s="1"/>
  <c r="S2930" i="10" s="1"/>
  <c r="T2930" i="10" s="1"/>
  <c r="U2930" i="10" s="1"/>
  <c r="V2930" i="10" s="1"/>
  <c r="D2932" i="10" l="1"/>
  <c r="M2931" i="10"/>
  <c r="N2931" i="10" s="1"/>
  <c r="O2931" i="10" s="1"/>
  <c r="P2931" i="10" s="1"/>
  <c r="Q2931" i="10" s="1"/>
  <c r="R2931" i="10" s="1"/>
  <c r="S2931" i="10" s="1"/>
  <c r="T2931" i="10" s="1"/>
  <c r="U2931" i="10" s="1"/>
  <c r="V2931" i="10" s="1"/>
  <c r="D2933" i="10" l="1"/>
  <c r="M2932" i="10"/>
  <c r="N2932" i="10" s="1"/>
  <c r="O2932" i="10" s="1"/>
  <c r="P2932" i="10" s="1"/>
  <c r="Q2932" i="10" s="1"/>
  <c r="R2932" i="10" s="1"/>
  <c r="S2932" i="10" s="1"/>
  <c r="T2932" i="10" s="1"/>
  <c r="U2932" i="10" s="1"/>
  <c r="V2932" i="10" s="1"/>
  <c r="D2934" i="10" l="1"/>
  <c r="M2933" i="10"/>
  <c r="N2933" i="10" s="1"/>
  <c r="O2933" i="10" s="1"/>
  <c r="P2933" i="10" s="1"/>
  <c r="Q2933" i="10" s="1"/>
  <c r="R2933" i="10" s="1"/>
  <c r="S2933" i="10" s="1"/>
  <c r="T2933" i="10" s="1"/>
  <c r="U2933" i="10" s="1"/>
  <c r="V2933" i="10" s="1"/>
  <c r="D2935" i="10" l="1"/>
  <c r="M2934" i="10"/>
  <c r="N2934" i="10" s="1"/>
  <c r="O2934" i="10" s="1"/>
  <c r="P2934" i="10" s="1"/>
  <c r="Q2934" i="10" s="1"/>
  <c r="R2934" i="10" s="1"/>
  <c r="S2934" i="10" s="1"/>
  <c r="T2934" i="10" s="1"/>
  <c r="U2934" i="10" s="1"/>
  <c r="V2934" i="10" s="1"/>
  <c r="D2936" i="10" l="1"/>
  <c r="M2935" i="10"/>
  <c r="N2935" i="10" s="1"/>
  <c r="O2935" i="10" s="1"/>
  <c r="P2935" i="10" s="1"/>
  <c r="Q2935" i="10" s="1"/>
  <c r="R2935" i="10" s="1"/>
  <c r="S2935" i="10" s="1"/>
  <c r="T2935" i="10" s="1"/>
  <c r="U2935" i="10" s="1"/>
  <c r="V2935" i="10" s="1"/>
  <c r="D2937" i="10" l="1"/>
  <c r="M2936" i="10"/>
  <c r="N2936" i="10" s="1"/>
  <c r="O2936" i="10" s="1"/>
  <c r="P2936" i="10" s="1"/>
  <c r="Q2936" i="10" s="1"/>
  <c r="R2936" i="10" s="1"/>
  <c r="S2936" i="10" s="1"/>
  <c r="T2936" i="10" s="1"/>
  <c r="U2936" i="10" s="1"/>
  <c r="V2936" i="10" s="1"/>
  <c r="D2938" i="10" l="1"/>
  <c r="M2937" i="10"/>
  <c r="N2937" i="10" s="1"/>
  <c r="O2937" i="10" s="1"/>
  <c r="P2937" i="10" s="1"/>
  <c r="Q2937" i="10" s="1"/>
  <c r="R2937" i="10" s="1"/>
  <c r="S2937" i="10" s="1"/>
  <c r="T2937" i="10" s="1"/>
  <c r="U2937" i="10" s="1"/>
  <c r="V2937" i="10" s="1"/>
  <c r="D2939" i="10" l="1"/>
  <c r="M2938" i="10"/>
  <c r="N2938" i="10" s="1"/>
  <c r="O2938" i="10" s="1"/>
  <c r="P2938" i="10" s="1"/>
  <c r="Q2938" i="10" s="1"/>
  <c r="R2938" i="10" s="1"/>
  <c r="S2938" i="10" s="1"/>
  <c r="T2938" i="10" s="1"/>
  <c r="U2938" i="10" s="1"/>
  <c r="V2938" i="10" s="1"/>
  <c r="D2940" i="10" l="1"/>
  <c r="M2939" i="10"/>
  <c r="N2939" i="10" s="1"/>
  <c r="O2939" i="10" s="1"/>
  <c r="P2939" i="10" s="1"/>
  <c r="Q2939" i="10" s="1"/>
  <c r="R2939" i="10" s="1"/>
  <c r="S2939" i="10" s="1"/>
  <c r="T2939" i="10" s="1"/>
  <c r="U2939" i="10" s="1"/>
  <c r="V2939" i="10" s="1"/>
  <c r="D2941" i="10" l="1"/>
  <c r="M2940" i="10"/>
  <c r="N2940" i="10" s="1"/>
  <c r="O2940" i="10" s="1"/>
  <c r="P2940" i="10" s="1"/>
  <c r="Q2940" i="10" s="1"/>
  <c r="R2940" i="10" s="1"/>
  <c r="S2940" i="10" s="1"/>
  <c r="T2940" i="10" s="1"/>
  <c r="U2940" i="10" s="1"/>
  <c r="V2940" i="10" s="1"/>
  <c r="D2942" i="10" l="1"/>
  <c r="M2941" i="10"/>
  <c r="N2941" i="10" s="1"/>
  <c r="O2941" i="10" s="1"/>
  <c r="P2941" i="10" s="1"/>
  <c r="Q2941" i="10" s="1"/>
  <c r="R2941" i="10" s="1"/>
  <c r="S2941" i="10" s="1"/>
  <c r="T2941" i="10" s="1"/>
  <c r="U2941" i="10" s="1"/>
  <c r="V2941" i="10" s="1"/>
  <c r="D2943" i="10" l="1"/>
  <c r="M2942" i="10"/>
  <c r="N2942" i="10" s="1"/>
  <c r="O2942" i="10" s="1"/>
  <c r="P2942" i="10" s="1"/>
  <c r="Q2942" i="10" s="1"/>
  <c r="R2942" i="10" s="1"/>
  <c r="S2942" i="10" s="1"/>
  <c r="T2942" i="10" s="1"/>
  <c r="U2942" i="10" s="1"/>
  <c r="V2942" i="10" s="1"/>
  <c r="D2944" i="10" l="1"/>
  <c r="M2943" i="10"/>
  <c r="N2943" i="10" s="1"/>
  <c r="O2943" i="10" s="1"/>
  <c r="P2943" i="10" s="1"/>
  <c r="Q2943" i="10" s="1"/>
  <c r="R2943" i="10" s="1"/>
  <c r="S2943" i="10" s="1"/>
  <c r="T2943" i="10" s="1"/>
  <c r="U2943" i="10" s="1"/>
  <c r="V2943" i="10" s="1"/>
  <c r="D2945" i="10" l="1"/>
  <c r="M2944" i="10"/>
  <c r="N2944" i="10" s="1"/>
  <c r="O2944" i="10" s="1"/>
  <c r="P2944" i="10" s="1"/>
  <c r="Q2944" i="10" s="1"/>
  <c r="R2944" i="10" s="1"/>
  <c r="S2944" i="10" s="1"/>
  <c r="T2944" i="10" s="1"/>
  <c r="U2944" i="10" s="1"/>
  <c r="V2944" i="10" s="1"/>
  <c r="D2946" i="10" l="1"/>
  <c r="M2945" i="10"/>
  <c r="N2945" i="10" s="1"/>
  <c r="O2945" i="10" s="1"/>
  <c r="P2945" i="10" s="1"/>
  <c r="Q2945" i="10" s="1"/>
  <c r="R2945" i="10" s="1"/>
  <c r="S2945" i="10" s="1"/>
  <c r="T2945" i="10" s="1"/>
  <c r="U2945" i="10" s="1"/>
  <c r="V2945" i="10" s="1"/>
  <c r="D2947" i="10" l="1"/>
  <c r="M2946" i="10"/>
  <c r="N2946" i="10" s="1"/>
  <c r="O2946" i="10" s="1"/>
  <c r="P2946" i="10" s="1"/>
  <c r="Q2946" i="10" s="1"/>
  <c r="R2946" i="10" s="1"/>
  <c r="S2946" i="10" s="1"/>
  <c r="T2946" i="10" s="1"/>
  <c r="U2946" i="10" s="1"/>
  <c r="V2946" i="10" s="1"/>
  <c r="D2948" i="10" l="1"/>
  <c r="M2947" i="10"/>
  <c r="N2947" i="10" s="1"/>
  <c r="O2947" i="10" s="1"/>
  <c r="P2947" i="10" s="1"/>
  <c r="Q2947" i="10" s="1"/>
  <c r="R2947" i="10" s="1"/>
  <c r="S2947" i="10" s="1"/>
  <c r="T2947" i="10" s="1"/>
  <c r="U2947" i="10" s="1"/>
  <c r="V2947" i="10" s="1"/>
  <c r="D2949" i="10" l="1"/>
  <c r="M2948" i="10"/>
  <c r="N2948" i="10" s="1"/>
  <c r="O2948" i="10" s="1"/>
  <c r="P2948" i="10" s="1"/>
  <c r="Q2948" i="10" s="1"/>
  <c r="R2948" i="10" s="1"/>
  <c r="S2948" i="10" s="1"/>
  <c r="T2948" i="10" s="1"/>
  <c r="U2948" i="10" s="1"/>
  <c r="V2948" i="10" s="1"/>
  <c r="D2950" i="10" l="1"/>
  <c r="M2949" i="10"/>
  <c r="N2949" i="10" s="1"/>
  <c r="O2949" i="10" s="1"/>
  <c r="P2949" i="10" s="1"/>
  <c r="Q2949" i="10" s="1"/>
  <c r="R2949" i="10" s="1"/>
  <c r="S2949" i="10" s="1"/>
  <c r="T2949" i="10" s="1"/>
  <c r="U2949" i="10" s="1"/>
  <c r="V2949" i="10" s="1"/>
  <c r="D2951" i="10" l="1"/>
  <c r="M2950" i="10"/>
  <c r="N2950" i="10" s="1"/>
  <c r="O2950" i="10" s="1"/>
  <c r="P2950" i="10" s="1"/>
  <c r="Q2950" i="10" s="1"/>
  <c r="R2950" i="10" s="1"/>
  <c r="S2950" i="10" s="1"/>
  <c r="T2950" i="10" s="1"/>
  <c r="U2950" i="10" s="1"/>
  <c r="V2950" i="10" s="1"/>
  <c r="D2952" i="10" l="1"/>
  <c r="M2951" i="10"/>
  <c r="N2951" i="10" s="1"/>
  <c r="O2951" i="10" s="1"/>
  <c r="P2951" i="10" s="1"/>
  <c r="Q2951" i="10" s="1"/>
  <c r="R2951" i="10" s="1"/>
  <c r="S2951" i="10" s="1"/>
  <c r="T2951" i="10" s="1"/>
  <c r="U2951" i="10" s="1"/>
  <c r="V2951" i="10" s="1"/>
  <c r="D2953" i="10" l="1"/>
  <c r="M2952" i="10"/>
  <c r="N2952" i="10" s="1"/>
  <c r="O2952" i="10" s="1"/>
  <c r="P2952" i="10" s="1"/>
  <c r="Q2952" i="10" s="1"/>
  <c r="R2952" i="10" s="1"/>
  <c r="S2952" i="10" s="1"/>
  <c r="T2952" i="10" s="1"/>
  <c r="U2952" i="10" s="1"/>
  <c r="V2952" i="10" s="1"/>
  <c r="D2954" i="10" l="1"/>
  <c r="M2953" i="10"/>
  <c r="N2953" i="10" s="1"/>
  <c r="O2953" i="10" s="1"/>
  <c r="P2953" i="10" s="1"/>
  <c r="Q2953" i="10" s="1"/>
  <c r="R2953" i="10" s="1"/>
  <c r="S2953" i="10" s="1"/>
  <c r="T2953" i="10" s="1"/>
  <c r="U2953" i="10" s="1"/>
  <c r="V2953" i="10" s="1"/>
  <c r="D2955" i="10" l="1"/>
  <c r="M2954" i="10"/>
  <c r="N2954" i="10" s="1"/>
  <c r="O2954" i="10" s="1"/>
  <c r="P2954" i="10" s="1"/>
  <c r="Q2954" i="10" s="1"/>
  <c r="R2954" i="10" s="1"/>
  <c r="S2954" i="10" s="1"/>
  <c r="T2954" i="10" s="1"/>
  <c r="U2954" i="10" s="1"/>
  <c r="V2954" i="10" s="1"/>
  <c r="D2956" i="10" l="1"/>
  <c r="M2955" i="10"/>
  <c r="N2955" i="10" s="1"/>
  <c r="O2955" i="10" s="1"/>
  <c r="P2955" i="10" s="1"/>
  <c r="Q2955" i="10" s="1"/>
  <c r="R2955" i="10" s="1"/>
  <c r="S2955" i="10" s="1"/>
  <c r="T2955" i="10" s="1"/>
  <c r="U2955" i="10" s="1"/>
  <c r="V2955" i="10" s="1"/>
  <c r="D2957" i="10" l="1"/>
  <c r="M2956" i="10"/>
  <c r="N2956" i="10" s="1"/>
  <c r="O2956" i="10" s="1"/>
  <c r="P2956" i="10" s="1"/>
  <c r="Q2956" i="10" s="1"/>
  <c r="R2956" i="10" s="1"/>
  <c r="S2956" i="10" s="1"/>
  <c r="T2956" i="10" s="1"/>
  <c r="U2956" i="10" s="1"/>
  <c r="V2956" i="10" s="1"/>
  <c r="D2958" i="10" l="1"/>
  <c r="M2957" i="10"/>
  <c r="N2957" i="10" s="1"/>
  <c r="O2957" i="10" s="1"/>
  <c r="P2957" i="10" s="1"/>
  <c r="Q2957" i="10" s="1"/>
  <c r="R2957" i="10" s="1"/>
  <c r="S2957" i="10" s="1"/>
  <c r="T2957" i="10" s="1"/>
  <c r="U2957" i="10" s="1"/>
  <c r="V2957" i="10" s="1"/>
  <c r="D2959" i="10" l="1"/>
  <c r="M2958" i="10"/>
  <c r="N2958" i="10" s="1"/>
  <c r="O2958" i="10" s="1"/>
  <c r="P2958" i="10" s="1"/>
  <c r="Q2958" i="10" s="1"/>
  <c r="R2958" i="10" s="1"/>
  <c r="S2958" i="10" s="1"/>
  <c r="T2958" i="10" s="1"/>
  <c r="U2958" i="10" s="1"/>
  <c r="V2958" i="10" s="1"/>
  <c r="D2960" i="10" l="1"/>
  <c r="M2959" i="10"/>
  <c r="N2959" i="10" s="1"/>
  <c r="O2959" i="10" s="1"/>
  <c r="P2959" i="10" s="1"/>
  <c r="Q2959" i="10" s="1"/>
  <c r="R2959" i="10" s="1"/>
  <c r="S2959" i="10" s="1"/>
  <c r="T2959" i="10" s="1"/>
  <c r="U2959" i="10" s="1"/>
  <c r="V2959" i="10" s="1"/>
  <c r="D2961" i="10" l="1"/>
  <c r="M2960" i="10"/>
  <c r="N2960" i="10" s="1"/>
  <c r="O2960" i="10" s="1"/>
  <c r="P2960" i="10" s="1"/>
  <c r="Q2960" i="10" s="1"/>
  <c r="R2960" i="10" s="1"/>
  <c r="S2960" i="10" s="1"/>
  <c r="T2960" i="10" s="1"/>
  <c r="U2960" i="10" s="1"/>
  <c r="V2960" i="10" s="1"/>
  <c r="D2962" i="10" l="1"/>
  <c r="M2961" i="10"/>
  <c r="N2961" i="10" s="1"/>
  <c r="O2961" i="10" s="1"/>
  <c r="P2961" i="10" s="1"/>
  <c r="Q2961" i="10" s="1"/>
  <c r="R2961" i="10" s="1"/>
  <c r="S2961" i="10" s="1"/>
  <c r="T2961" i="10" s="1"/>
  <c r="U2961" i="10" s="1"/>
  <c r="V2961" i="10" s="1"/>
  <c r="D2963" i="10" l="1"/>
  <c r="M2962" i="10"/>
  <c r="N2962" i="10" s="1"/>
  <c r="O2962" i="10" s="1"/>
  <c r="P2962" i="10" s="1"/>
  <c r="Q2962" i="10" s="1"/>
  <c r="R2962" i="10" s="1"/>
  <c r="S2962" i="10" s="1"/>
  <c r="T2962" i="10" s="1"/>
  <c r="U2962" i="10" s="1"/>
  <c r="V2962" i="10" s="1"/>
  <c r="D2964" i="10" l="1"/>
  <c r="M2963" i="10"/>
  <c r="N2963" i="10" s="1"/>
  <c r="O2963" i="10" s="1"/>
  <c r="P2963" i="10" s="1"/>
  <c r="Q2963" i="10" s="1"/>
  <c r="R2963" i="10" s="1"/>
  <c r="S2963" i="10" s="1"/>
  <c r="T2963" i="10" s="1"/>
  <c r="U2963" i="10" s="1"/>
  <c r="V2963" i="10" s="1"/>
  <c r="D2965" i="10" l="1"/>
  <c r="M2964" i="10"/>
  <c r="N2964" i="10" s="1"/>
  <c r="O2964" i="10" s="1"/>
  <c r="P2964" i="10" s="1"/>
  <c r="Q2964" i="10" s="1"/>
  <c r="R2964" i="10" s="1"/>
  <c r="S2964" i="10" s="1"/>
  <c r="T2964" i="10" s="1"/>
  <c r="U2964" i="10" s="1"/>
  <c r="V2964" i="10" s="1"/>
  <c r="D2966" i="10" l="1"/>
  <c r="M2965" i="10"/>
  <c r="N2965" i="10" s="1"/>
  <c r="O2965" i="10" s="1"/>
  <c r="P2965" i="10" s="1"/>
  <c r="Q2965" i="10" s="1"/>
  <c r="R2965" i="10" s="1"/>
  <c r="S2965" i="10" s="1"/>
  <c r="T2965" i="10" s="1"/>
  <c r="U2965" i="10" s="1"/>
  <c r="V2965" i="10" s="1"/>
  <c r="D2967" i="10" l="1"/>
  <c r="M2966" i="10"/>
  <c r="N2966" i="10" s="1"/>
  <c r="O2966" i="10" s="1"/>
  <c r="P2966" i="10" s="1"/>
  <c r="Q2966" i="10" s="1"/>
  <c r="R2966" i="10" s="1"/>
  <c r="S2966" i="10" s="1"/>
  <c r="T2966" i="10" s="1"/>
  <c r="U2966" i="10" s="1"/>
  <c r="V2966" i="10" s="1"/>
  <c r="D2968" i="10" l="1"/>
  <c r="M2967" i="10"/>
  <c r="N2967" i="10" s="1"/>
  <c r="O2967" i="10" s="1"/>
  <c r="P2967" i="10" s="1"/>
  <c r="Q2967" i="10" s="1"/>
  <c r="R2967" i="10" s="1"/>
  <c r="S2967" i="10" s="1"/>
  <c r="T2967" i="10" s="1"/>
  <c r="U2967" i="10" s="1"/>
  <c r="V2967" i="10" s="1"/>
  <c r="D2969" i="10" l="1"/>
  <c r="M2968" i="10"/>
  <c r="N2968" i="10" s="1"/>
  <c r="O2968" i="10" s="1"/>
  <c r="P2968" i="10" s="1"/>
  <c r="Q2968" i="10" s="1"/>
  <c r="R2968" i="10" s="1"/>
  <c r="S2968" i="10" s="1"/>
  <c r="T2968" i="10" s="1"/>
  <c r="U2968" i="10" s="1"/>
  <c r="V2968" i="10" s="1"/>
  <c r="D2970" i="10" l="1"/>
  <c r="M2969" i="10"/>
  <c r="N2969" i="10" s="1"/>
  <c r="O2969" i="10" s="1"/>
  <c r="P2969" i="10" s="1"/>
  <c r="Q2969" i="10" s="1"/>
  <c r="R2969" i="10" s="1"/>
  <c r="S2969" i="10" s="1"/>
  <c r="T2969" i="10" s="1"/>
  <c r="U2969" i="10" s="1"/>
  <c r="V2969" i="10" s="1"/>
  <c r="D2971" i="10" l="1"/>
  <c r="M2970" i="10"/>
  <c r="N2970" i="10" s="1"/>
  <c r="O2970" i="10" s="1"/>
  <c r="P2970" i="10" s="1"/>
  <c r="Q2970" i="10" s="1"/>
  <c r="R2970" i="10" s="1"/>
  <c r="S2970" i="10" s="1"/>
  <c r="T2970" i="10" s="1"/>
  <c r="U2970" i="10" s="1"/>
  <c r="V2970" i="10" s="1"/>
  <c r="D2972" i="10" l="1"/>
  <c r="M2971" i="10"/>
  <c r="N2971" i="10" s="1"/>
  <c r="O2971" i="10" s="1"/>
  <c r="P2971" i="10" s="1"/>
  <c r="Q2971" i="10" s="1"/>
  <c r="R2971" i="10" s="1"/>
  <c r="S2971" i="10" s="1"/>
  <c r="T2971" i="10" s="1"/>
  <c r="U2971" i="10" s="1"/>
  <c r="V2971" i="10" s="1"/>
  <c r="D2973" i="10" l="1"/>
  <c r="M2972" i="10"/>
  <c r="N2972" i="10" s="1"/>
  <c r="O2972" i="10" s="1"/>
  <c r="P2972" i="10" s="1"/>
  <c r="Q2972" i="10" s="1"/>
  <c r="R2972" i="10" s="1"/>
  <c r="S2972" i="10" s="1"/>
  <c r="T2972" i="10" s="1"/>
  <c r="U2972" i="10" s="1"/>
  <c r="V2972" i="10" s="1"/>
  <c r="D2974" i="10" l="1"/>
  <c r="M2973" i="10"/>
  <c r="N2973" i="10" s="1"/>
  <c r="O2973" i="10" s="1"/>
  <c r="P2973" i="10" s="1"/>
  <c r="Q2973" i="10" s="1"/>
  <c r="R2973" i="10" s="1"/>
  <c r="S2973" i="10" s="1"/>
  <c r="T2973" i="10" s="1"/>
  <c r="U2973" i="10" s="1"/>
  <c r="V2973" i="10" s="1"/>
  <c r="D2975" i="10" l="1"/>
  <c r="M2974" i="10"/>
  <c r="N2974" i="10" s="1"/>
  <c r="O2974" i="10" s="1"/>
  <c r="P2974" i="10" s="1"/>
  <c r="Q2974" i="10" s="1"/>
  <c r="R2974" i="10" s="1"/>
  <c r="S2974" i="10" s="1"/>
  <c r="T2974" i="10" s="1"/>
  <c r="U2974" i="10" s="1"/>
  <c r="V2974" i="10" s="1"/>
  <c r="D2976" i="10" l="1"/>
  <c r="M2975" i="10"/>
  <c r="N2975" i="10" s="1"/>
  <c r="O2975" i="10" s="1"/>
  <c r="P2975" i="10" s="1"/>
  <c r="Q2975" i="10" s="1"/>
  <c r="R2975" i="10" s="1"/>
  <c r="S2975" i="10" s="1"/>
  <c r="T2975" i="10" s="1"/>
  <c r="U2975" i="10" s="1"/>
  <c r="V2975" i="10" s="1"/>
  <c r="D2977" i="10" l="1"/>
  <c r="M2976" i="10"/>
  <c r="N2976" i="10" s="1"/>
  <c r="O2976" i="10" s="1"/>
  <c r="P2976" i="10" s="1"/>
  <c r="Q2976" i="10" s="1"/>
  <c r="R2976" i="10" s="1"/>
  <c r="S2976" i="10" s="1"/>
  <c r="T2976" i="10" s="1"/>
  <c r="U2976" i="10" s="1"/>
  <c r="V2976" i="10" s="1"/>
  <c r="D2978" i="10" l="1"/>
  <c r="M2977" i="10"/>
  <c r="N2977" i="10" s="1"/>
  <c r="O2977" i="10" s="1"/>
  <c r="P2977" i="10" s="1"/>
  <c r="Q2977" i="10" s="1"/>
  <c r="R2977" i="10" s="1"/>
  <c r="S2977" i="10" s="1"/>
  <c r="T2977" i="10" s="1"/>
  <c r="U2977" i="10" s="1"/>
  <c r="V2977" i="10" s="1"/>
  <c r="D2979" i="10" l="1"/>
  <c r="M2978" i="10"/>
  <c r="N2978" i="10" s="1"/>
  <c r="O2978" i="10" s="1"/>
  <c r="P2978" i="10" s="1"/>
  <c r="Q2978" i="10" s="1"/>
  <c r="R2978" i="10" s="1"/>
  <c r="S2978" i="10" s="1"/>
  <c r="T2978" i="10" s="1"/>
  <c r="U2978" i="10" s="1"/>
  <c r="V2978" i="10" s="1"/>
  <c r="D2980" i="10" l="1"/>
  <c r="M2979" i="10"/>
  <c r="N2979" i="10" s="1"/>
  <c r="O2979" i="10" s="1"/>
  <c r="P2979" i="10" s="1"/>
  <c r="Q2979" i="10" s="1"/>
  <c r="R2979" i="10" s="1"/>
  <c r="S2979" i="10" s="1"/>
  <c r="T2979" i="10" s="1"/>
  <c r="U2979" i="10" s="1"/>
  <c r="V2979" i="10" s="1"/>
  <c r="D2981" i="10" l="1"/>
  <c r="M2980" i="10"/>
  <c r="N2980" i="10" s="1"/>
  <c r="O2980" i="10" s="1"/>
  <c r="P2980" i="10" s="1"/>
  <c r="Q2980" i="10" s="1"/>
  <c r="R2980" i="10" s="1"/>
  <c r="S2980" i="10" s="1"/>
  <c r="T2980" i="10" s="1"/>
  <c r="U2980" i="10" s="1"/>
  <c r="V2980" i="10" s="1"/>
  <c r="D2982" i="10" l="1"/>
  <c r="M2981" i="10"/>
  <c r="N2981" i="10" s="1"/>
  <c r="O2981" i="10" s="1"/>
  <c r="P2981" i="10" s="1"/>
  <c r="Q2981" i="10" s="1"/>
  <c r="R2981" i="10" s="1"/>
  <c r="S2981" i="10" s="1"/>
  <c r="T2981" i="10" s="1"/>
  <c r="U2981" i="10" s="1"/>
  <c r="V2981" i="10" s="1"/>
  <c r="D2983" i="10" l="1"/>
  <c r="M2982" i="10"/>
  <c r="N2982" i="10" s="1"/>
  <c r="O2982" i="10" s="1"/>
  <c r="P2982" i="10" s="1"/>
  <c r="Q2982" i="10" s="1"/>
  <c r="R2982" i="10" s="1"/>
  <c r="S2982" i="10" s="1"/>
  <c r="T2982" i="10" s="1"/>
  <c r="U2982" i="10" s="1"/>
  <c r="V2982" i="10" s="1"/>
  <c r="D2984" i="10" l="1"/>
  <c r="M2983" i="10"/>
  <c r="N2983" i="10" s="1"/>
  <c r="O2983" i="10" s="1"/>
  <c r="P2983" i="10" s="1"/>
  <c r="Q2983" i="10" s="1"/>
  <c r="R2983" i="10" s="1"/>
  <c r="S2983" i="10" s="1"/>
  <c r="T2983" i="10" s="1"/>
  <c r="U2983" i="10" s="1"/>
  <c r="V2983" i="10" s="1"/>
  <c r="D2985" i="10" l="1"/>
  <c r="M2984" i="10"/>
  <c r="N2984" i="10" s="1"/>
  <c r="O2984" i="10" s="1"/>
  <c r="P2984" i="10" s="1"/>
  <c r="Q2984" i="10" s="1"/>
  <c r="R2984" i="10" s="1"/>
  <c r="S2984" i="10" s="1"/>
  <c r="T2984" i="10" s="1"/>
  <c r="U2984" i="10" s="1"/>
  <c r="V2984" i="10" s="1"/>
  <c r="D2986" i="10" l="1"/>
  <c r="M2985" i="10"/>
  <c r="N2985" i="10" s="1"/>
  <c r="O2985" i="10" s="1"/>
  <c r="P2985" i="10" s="1"/>
  <c r="Q2985" i="10" s="1"/>
  <c r="R2985" i="10" s="1"/>
  <c r="S2985" i="10" s="1"/>
  <c r="T2985" i="10" s="1"/>
  <c r="U2985" i="10" s="1"/>
  <c r="V2985" i="10" s="1"/>
  <c r="D2987" i="10" l="1"/>
  <c r="M2986" i="10"/>
  <c r="N2986" i="10" s="1"/>
  <c r="O2986" i="10" s="1"/>
  <c r="P2986" i="10" s="1"/>
  <c r="Q2986" i="10" s="1"/>
  <c r="R2986" i="10" s="1"/>
  <c r="S2986" i="10" s="1"/>
  <c r="T2986" i="10" s="1"/>
  <c r="U2986" i="10" s="1"/>
  <c r="V2986" i="10" s="1"/>
  <c r="D2988" i="10" l="1"/>
  <c r="M2987" i="10"/>
  <c r="N2987" i="10" s="1"/>
  <c r="O2987" i="10" s="1"/>
  <c r="P2987" i="10" s="1"/>
  <c r="Q2987" i="10" s="1"/>
  <c r="R2987" i="10" s="1"/>
  <c r="S2987" i="10" s="1"/>
  <c r="T2987" i="10" s="1"/>
  <c r="U2987" i="10" s="1"/>
  <c r="V2987" i="10" s="1"/>
  <c r="D2989" i="10" l="1"/>
  <c r="M2988" i="10"/>
  <c r="N2988" i="10" s="1"/>
  <c r="O2988" i="10" s="1"/>
  <c r="P2988" i="10" s="1"/>
  <c r="Q2988" i="10" s="1"/>
  <c r="R2988" i="10" s="1"/>
  <c r="S2988" i="10" s="1"/>
  <c r="T2988" i="10" s="1"/>
  <c r="U2988" i="10" s="1"/>
  <c r="V2988" i="10" s="1"/>
  <c r="D2990" i="10" l="1"/>
  <c r="M2989" i="10"/>
  <c r="N2989" i="10" s="1"/>
  <c r="O2989" i="10" s="1"/>
  <c r="P2989" i="10" s="1"/>
  <c r="Q2989" i="10" s="1"/>
  <c r="R2989" i="10" s="1"/>
  <c r="S2989" i="10" s="1"/>
  <c r="T2989" i="10" s="1"/>
  <c r="U2989" i="10" s="1"/>
  <c r="V2989" i="10" s="1"/>
  <c r="D2991" i="10" l="1"/>
  <c r="M2990" i="10"/>
  <c r="N2990" i="10" s="1"/>
  <c r="O2990" i="10" s="1"/>
  <c r="P2990" i="10" s="1"/>
  <c r="Q2990" i="10" s="1"/>
  <c r="R2990" i="10" s="1"/>
  <c r="S2990" i="10" s="1"/>
  <c r="T2990" i="10" s="1"/>
  <c r="U2990" i="10" s="1"/>
  <c r="V2990" i="10" s="1"/>
  <c r="D2992" i="10" l="1"/>
  <c r="M2991" i="10"/>
  <c r="N2991" i="10" s="1"/>
  <c r="O2991" i="10" s="1"/>
  <c r="P2991" i="10" s="1"/>
  <c r="Q2991" i="10" s="1"/>
  <c r="R2991" i="10" s="1"/>
  <c r="S2991" i="10" s="1"/>
  <c r="T2991" i="10" s="1"/>
  <c r="U2991" i="10" s="1"/>
  <c r="V2991" i="10" s="1"/>
  <c r="D2993" i="10" l="1"/>
  <c r="M2992" i="10"/>
  <c r="N2992" i="10" s="1"/>
  <c r="O2992" i="10" s="1"/>
  <c r="P2992" i="10" s="1"/>
  <c r="Q2992" i="10" s="1"/>
  <c r="R2992" i="10" s="1"/>
  <c r="S2992" i="10" s="1"/>
  <c r="T2992" i="10" s="1"/>
  <c r="U2992" i="10" s="1"/>
  <c r="V2992" i="10" s="1"/>
  <c r="D2994" i="10" l="1"/>
  <c r="M2993" i="10"/>
  <c r="N2993" i="10" s="1"/>
  <c r="O2993" i="10" s="1"/>
  <c r="P2993" i="10" s="1"/>
  <c r="Q2993" i="10" s="1"/>
  <c r="R2993" i="10" s="1"/>
  <c r="S2993" i="10" s="1"/>
  <c r="T2993" i="10" s="1"/>
  <c r="U2993" i="10" s="1"/>
  <c r="V2993" i="10" s="1"/>
  <c r="D2995" i="10" l="1"/>
  <c r="M2994" i="10"/>
  <c r="N2994" i="10" s="1"/>
  <c r="O2994" i="10" s="1"/>
  <c r="P2994" i="10" s="1"/>
  <c r="Q2994" i="10" s="1"/>
  <c r="R2994" i="10" s="1"/>
  <c r="S2994" i="10" s="1"/>
  <c r="T2994" i="10" s="1"/>
  <c r="U2994" i="10" s="1"/>
  <c r="V2994" i="10" s="1"/>
  <c r="D2996" i="10" l="1"/>
  <c r="M2995" i="10"/>
  <c r="N2995" i="10" s="1"/>
  <c r="O2995" i="10" s="1"/>
  <c r="P2995" i="10" s="1"/>
  <c r="Q2995" i="10" s="1"/>
  <c r="R2995" i="10" s="1"/>
  <c r="S2995" i="10" s="1"/>
  <c r="T2995" i="10" s="1"/>
  <c r="U2995" i="10" s="1"/>
  <c r="V2995" i="10" s="1"/>
  <c r="D2997" i="10" l="1"/>
  <c r="M2996" i="10"/>
  <c r="N2996" i="10" s="1"/>
  <c r="O2996" i="10" s="1"/>
  <c r="P2996" i="10" s="1"/>
  <c r="Q2996" i="10" s="1"/>
  <c r="R2996" i="10" s="1"/>
  <c r="S2996" i="10" s="1"/>
  <c r="T2996" i="10" s="1"/>
  <c r="U2996" i="10" s="1"/>
  <c r="V2996" i="10" s="1"/>
  <c r="D2998" i="10" l="1"/>
  <c r="M2997" i="10"/>
  <c r="N2997" i="10" s="1"/>
  <c r="O2997" i="10" s="1"/>
  <c r="P2997" i="10" s="1"/>
  <c r="Q2997" i="10" s="1"/>
  <c r="R2997" i="10" s="1"/>
  <c r="S2997" i="10" s="1"/>
  <c r="T2997" i="10" s="1"/>
  <c r="U2997" i="10" s="1"/>
  <c r="V2997" i="10" s="1"/>
  <c r="D2999" i="10" l="1"/>
  <c r="M2998" i="10"/>
  <c r="N2998" i="10" s="1"/>
  <c r="O2998" i="10" s="1"/>
  <c r="P2998" i="10" s="1"/>
  <c r="Q2998" i="10" s="1"/>
  <c r="R2998" i="10" s="1"/>
  <c r="S2998" i="10" s="1"/>
  <c r="T2998" i="10" s="1"/>
  <c r="U2998" i="10" s="1"/>
  <c r="V2998" i="10" s="1"/>
  <c r="D3000" i="10" l="1"/>
  <c r="M2999" i="10"/>
  <c r="N2999" i="10" s="1"/>
  <c r="O2999" i="10" s="1"/>
  <c r="P2999" i="10" s="1"/>
  <c r="Q2999" i="10" s="1"/>
  <c r="R2999" i="10" s="1"/>
  <c r="S2999" i="10" s="1"/>
  <c r="T2999" i="10" s="1"/>
  <c r="U2999" i="10" s="1"/>
  <c r="V2999" i="10" s="1"/>
  <c r="D3001" i="10" l="1"/>
  <c r="M3000" i="10"/>
  <c r="N3000" i="10" s="1"/>
  <c r="O3000" i="10" s="1"/>
  <c r="P3000" i="10" s="1"/>
  <c r="Q3000" i="10" s="1"/>
  <c r="R3000" i="10" s="1"/>
  <c r="S3000" i="10" s="1"/>
  <c r="T3000" i="10" s="1"/>
  <c r="U3000" i="10" s="1"/>
  <c r="V3000" i="10" s="1"/>
  <c r="D3002" i="10" l="1"/>
  <c r="M3001" i="10"/>
  <c r="N3001" i="10" s="1"/>
  <c r="O3001" i="10" s="1"/>
  <c r="P3001" i="10" s="1"/>
  <c r="Q3001" i="10" s="1"/>
  <c r="R3001" i="10" s="1"/>
  <c r="S3001" i="10" s="1"/>
  <c r="T3001" i="10" s="1"/>
  <c r="U3001" i="10" s="1"/>
  <c r="V3001" i="10" s="1"/>
  <c r="D3003" i="10" l="1"/>
  <c r="M3002" i="10"/>
  <c r="N3002" i="10" s="1"/>
  <c r="O3002" i="10" s="1"/>
  <c r="P3002" i="10" s="1"/>
  <c r="Q3002" i="10" s="1"/>
  <c r="R3002" i="10" s="1"/>
  <c r="S3002" i="10" s="1"/>
  <c r="T3002" i="10" s="1"/>
  <c r="U3002" i="10" s="1"/>
  <c r="V3002" i="10" s="1"/>
  <c r="D3004" i="10" l="1"/>
  <c r="M3003" i="10"/>
  <c r="N3003" i="10" s="1"/>
  <c r="O3003" i="10" s="1"/>
  <c r="P3003" i="10" s="1"/>
  <c r="Q3003" i="10" s="1"/>
  <c r="R3003" i="10" s="1"/>
  <c r="S3003" i="10" s="1"/>
  <c r="T3003" i="10" s="1"/>
  <c r="U3003" i="10" s="1"/>
  <c r="V3003" i="10" s="1"/>
  <c r="D3005" i="10" l="1"/>
  <c r="M3004" i="10"/>
  <c r="N3004" i="10" s="1"/>
  <c r="O3004" i="10" s="1"/>
  <c r="P3004" i="10" s="1"/>
  <c r="Q3004" i="10" s="1"/>
  <c r="R3004" i="10" s="1"/>
  <c r="S3004" i="10" s="1"/>
  <c r="T3004" i="10" s="1"/>
  <c r="U3004" i="10" s="1"/>
  <c r="V3004" i="10" s="1"/>
  <c r="D3006" i="10" l="1"/>
  <c r="M3005" i="10"/>
  <c r="N3005" i="10" s="1"/>
  <c r="O3005" i="10" s="1"/>
  <c r="P3005" i="10" s="1"/>
  <c r="Q3005" i="10" s="1"/>
  <c r="R3005" i="10" s="1"/>
  <c r="S3005" i="10" s="1"/>
  <c r="T3005" i="10" s="1"/>
  <c r="U3005" i="10" s="1"/>
  <c r="V3005" i="10" s="1"/>
  <c r="D3007" i="10" l="1"/>
  <c r="M3006" i="10"/>
  <c r="N3006" i="10" s="1"/>
  <c r="O3006" i="10" s="1"/>
  <c r="P3006" i="10" s="1"/>
  <c r="Q3006" i="10" s="1"/>
  <c r="R3006" i="10" s="1"/>
  <c r="S3006" i="10" s="1"/>
  <c r="T3006" i="10" s="1"/>
  <c r="U3006" i="10" s="1"/>
  <c r="V3006" i="10" s="1"/>
  <c r="D3008" i="10" l="1"/>
  <c r="M3007" i="10"/>
  <c r="N3007" i="10" s="1"/>
  <c r="O3007" i="10" s="1"/>
  <c r="P3007" i="10" s="1"/>
  <c r="Q3007" i="10" s="1"/>
  <c r="R3007" i="10" s="1"/>
  <c r="S3007" i="10" s="1"/>
  <c r="T3007" i="10" s="1"/>
  <c r="U3007" i="10" s="1"/>
  <c r="V3007" i="10" s="1"/>
  <c r="D3009" i="10" l="1"/>
  <c r="M3008" i="10"/>
  <c r="N3008" i="10" s="1"/>
  <c r="O3008" i="10" s="1"/>
  <c r="P3008" i="10" s="1"/>
  <c r="Q3008" i="10" s="1"/>
  <c r="R3008" i="10" s="1"/>
  <c r="S3008" i="10" s="1"/>
  <c r="T3008" i="10" s="1"/>
  <c r="U3008" i="10" s="1"/>
  <c r="V3008" i="10" s="1"/>
  <c r="D3010" i="10" l="1"/>
  <c r="M3009" i="10"/>
  <c r="N3009" i="10" s="1"/>
  <c r="O3009" i="10" s="1"/>
  <c r="P3009" i="10" s="1"/>
  <c r="Q3009" i="10" s="1"/>
  <c r="R3009" i="10" s="1"/>
  <c r="S3009" i="10" s="1"/>
  <c r="T3009" i="10" s="1"/>
  <c r="U3009" i="10" s="1"/>
  <c r="V3009" i="10" s="1"/>
  <c r="D3011" i="10" l="1"/>
  <c r="M3010" i="10"/>
  <c r="N3010" i="10" s="1"/>
  <c r="O3010" i="10" s="1"/>
  <c r="P3010" i="10" s="1"/>
  <c r="Q3010" i="10" s="1"/>
  <c r="R3010" i="10" s="1"/>
  <c r="S3010" i="10" s="1"/>
  <c r="T3010" i="10" s="1"/>
  <c r="U3010" i="10" s="1"/>
  <c r="V3010" i="10" s="1"/>
  <c r="D3012" i="10" l="1"/>
  <c r="M3011" i="10"/>
  <c r="N3011" i="10" s="1"/>
  <c r="O3011" i="10" s="1"/>
  <c r="P3011" i="10" s="1"/>
  <c r="Q3011" i="10" s="1"/>
  <c r="R3011" i="10" s="1"/>
  <c r="S3011" i="10" s="1"/>
  <c r="T3011" i="10" s="1"/>
  <c r="U3011" i="10" s="1"/>
  <c r="V3011" i="10" s="1"/>
  <c r="D3013" i="10" l="1"/>
  <c r="M3012" i="10"/>
  <c r="N3012" i="10" s="1"/>
  <c r="O3012" i="10" s="1"/>
  <c r="P3012" i="10" s="1"/>
  <c r="Q3012" i="10" s="1"/>
  <c r="R3012" i="10" s="1"/>
  <c r="S3012" i="10" s="1"/>
  <c r="T3012" i="10" s="1"/>
  <c r="U3012" i="10" s="1"/>
  <c r="V3012" i="10" s="1"/>
  <c r="D3014" i="10" l="1"/>
  <c r="M3013" i="10"/>
  <c r="N3013" i="10" s="1"/>
  <c r="O3013" i="10" s="1"/>
  <c r="P3013" i="10" s="1"/>
  <c r="Q3013" i="10" s="1"/>
  <c r="R3013" i="10" s="1"/>
  <c r="S3013" i="10" s="1"/>
  <c r="T3013" i="10" s="1"/>
  <c r="U3013" i="10" s="1"/>
  <c r="V3013" i="10" s="1"/>
  <c r="D3015" i="10" l="1"/>
  <c r="M3014" i="10"/>
  <c r="N3014" i="10" s="1"/>
  <c r="O3014" i="10" s="1"/>
  <c r="P3014" i="10" s="1"/>
  <c r="Q3014" i="10" s="1"/>
  <c r="R3014" i="10" s="1"/>
  <c r="S3014" i="10" s="1"/>
  <c r="T3014" i="10" s="1"/>
  <c r="U3014" i="10" s="1"/>
  <c r="V3014" i="10" s="1"/>
  <c r="D3016" i="10" l="1"/>
  <c r="M3015" i="10"/>
  <c r="N3015" i="10" s="1"/>
  <c r="O3015" i="10" s="1"/>
  <c r="P3015" i="10" s="1"/>
  <c r="Q3015" i="10" s="1"/>
  <c r="R3015" i="10" s="1"/>
  <c r="S3015" i="10" s="1"/>
  <c r="T3015" i="10" s="1"/>
  <c r="U3015" i="10" s="1"/>
  <c r="V3015" i="10" s="1"/>
  <c r="D3017" i="10" l="1"/>
  <c r="M3016" i="10"/>
  <c r="N3016" i="10" s="1"/>
  <c r="O3016" i="10" s="1"/>
  <c r="P3016" i="10" s="1"/>
  <c r="Q3016" i="10" s="1"/>
  <c r="R3016" i="10" s="1"/>
  <c r="S3016" i="10" s="1"/>
  <c r="T3016" i="10" s="1"/>
  <c r="U3016" i="10" s="1"/>
  <c r="V3016" i="10" s="1"/>
  <c r="D3018" i="10" l="1"/>
  <c r="M3017" i="10"/>
  <c r="N3017" i="10" s="1"/>
  <c r="O3017" i="10" s="1"/>
  <c r="P3017" i="10" s="1"/>
  <c r="Q3017" i="10" s="1"/>
  <c r="R3017" i="10" s="1"/>
  <c r="S3017" i="10" s="1"/>
  <c r="T3017" i="10" s="1"/>
  <c r="U3017" i="10" s="1"/>
  <c r="V3017" i="10" s="1"/>
  <c r="D3019" i="10" l="1"/>
  <c r="M3018" i="10"/>
  <c r="N3018" i="10" s="1"/>
  <c r="O3018" i="10" s="1"/>
  <c r="P3018" i="10" s="1"/>
  <c r="Q3018" i="10" s="1"/>
  <c r="R3018" i="10" s="1"/>
  <c r="S3018" i="10" s="1"/>
  <c r="T3018" i="10" s="1"/>
  <c r="U3018" i="10" s="1"/>
  <c r="V3018" i="10" s="1"/>
  <c r="D3020" i="10" l="1"/>
  <c r="M3019" i="10"/>
  <c r="N3019" i="10" s="1"/>
  <c r="O3019" i="10" s="1"/>
  <c r="P3019" i="10" s="1"/>
  <c r="Q3019" i="10" s="1"/>
  <c r="R3019" i="10" s="1"/>
  <c r="S3019" i="10" s="1"/>
  <c r="T3019" i="10" s="1"/>
  <c r="U3019" i="10" s="1"/>
  <c r="V3019" i="10" s="1"/>
  <c r="D3021" i="10" l="1"/>
  <c r="M3020" i="10"/>
  <c r="N3020" i="10" s="1"/>
  <c r="O3020" i="10" s="1"/>
  <c r="P3020" i="10" s="1"/>
  <c r="Q3020" i="10" s="1"/>
  <c r="R3020" i="10" s="1"/>
  <c r="S3020" i="10" s="1"/>
  <c r="T3020" i="10" s="1"/>
  <c r="U3020" i="10" s="1"/>
  <c r="V3020" i="10" s="1"/>
  <c r="D3022" i="10" l="1"/>
  <c r="M3021" i="10"/>
  <c r="N3021" i="10" s="1"/>
  <c r="O3021" i="10" s="1"/>
  <c r="P3021" i="10" s="1"/>
  <c r="Q3021" i="10" s="1"/>
  <c r="R3021" i="10" s="1"/>
  <c r="S3021" i="10" s="1"/>
  <c r="T3021" i="10" s="1"/>
  <c r="U3021" i="10" s="1"/>
  <c r="V3021" i="10" s="1"/>
  <c r="D3023" i="10" l="1"/>
  <c r="M3022" i="10"/>
  <c r="N3022" i="10" s="1"/>
  <c r="O3022" i="10" s="1"/>
  <c r="P3022" i="10" s="1"/>
  <c r="Q3022" i="10" s="1"/>
  <c r="R3022" i="10" s="1"/>
  <c r="S3022" i="10" s="1"/>
  <c r="T3022" i="10" s="1"/>
  <c r="U3022" i="10" s="1"/>
  <c r="V3022" i="10" s="1"/>
  <c r="D3024" i="10" l="1"/>
  <c r="M3023" i="10"/>
  <c r="N3023" i="10" s="1"/>
  <c r="O3023" i="10" s="1"/>
  <c r="P3023" i="10" s="1"/>
  <c r="Q3023" i="10" s="1"/>
  <c r="R3023" i="10" s="1"/>
  <c r="S3023" i="10" s="1"/>
  <c r="T3023" i="10" s="1"/>
  <c r="U3023" i="10" s="1"/>
  <c r="V3023" i="10" s="1"/>
  <c r="D3025" i="10" l="1"/>
  <c r="M3024" i="10"/>
  <c r="N3024" i="10" s="1"/>
  <c r="O3024" i="10" s="1"/>
  <c r="P3024" i="10" s="1"/>
  <c r="Q3024" i="10" s="1"/>
  <c r="R3024" i="10" s="1"/>
  <c r="S3024" i="10" s="1"/>
  <c r="T3024" i="10" s="1"/>
  <c r="U3024" i="10" s="1"/>
  <c r="V3024" i="10" s="1"/>
  <c r="D3026" i="10" l="1"/>
  <c r="M3025" i="10"/>
  <c r="N3025" i="10" s="1"/>
  <c r="O3025" i="10" s="1"/>
  <c r="P3025" i="10" s="1"/>
  <c r="Q3025" i="10" s="1"/>
  <c r="R3025" i="10" s="1"/>
  <c r="S3025" i="10" s="1"/>
  <c r="T3025" i="10" s="1"/>
  <c r="U3025" i="10" s="1"/>
  <c r="V3025" i="10" s="1"/>
  <c r="D3027" i="10" l="1"/>
  <c r="M3026" i="10"/>
  <c r="N3026" i="10" s="1"/>
  <c r="O3026" i="10" s="1"/>
  <c r="P3026" i="10" s="1"/>
  <c r="Q3026" i="10" s="1"/>
  <c r="R3026" i="10" s="1"/>
  <c r="S3026" i="10" s="1"/>
  <c r="T3026" i="10" s="1"/>
  <c r="U3026" i="10" s="1"/>
  <c r="V3026" i="10" s="1"/>
  <c r="D3028" i="10" l="1"/>
  <c r="M3027" i="10"/>
  <c r="N3027" i="10" s="1"/>
  <c r="O3027" i="10" s="1"/>
  <c r="P3027" i="10" s="1"/>
  <c r="Q3027" i="10" s="1"/>
  <c r="R3027" i="10" s="1"/>
  <c r="S3027" i="10" s="1"/>
  <c r="T3027" i="10" s="1"/>
  <c r="U3027" i="10" s="1"/>
  <c r="V3027" i="10" s="1"/>
  <c r="D3029" i="10" l="1"/>
  <c r="M3028" i="10"/>
  <c r="N3028" i="10" s="1"/>
  <c r="O3028" i="10" s="1"/>
  <c r="P3028" i="10" s="1"/>
  <c r="Q3028" i="10" s="1"/>
  <c r="R3028" i="10" s="1"/>
  <c r="S3028" i="10" s="1"/>
  <c r="T3028" i="10" s="1"/>
  <c r="U3028" i="10" s="1"/>
  <c r="V3028" i="10" s="1"/>
  <c r="D3030" i="10" l="1"/>
  <c r="M3029" i="10"/>
  <c r="N3029" i="10" s="1"/>
  <c r="O3029" i="10" s="1"/>
  <c r="P3029" i="10" s="1"/>
  <c r="Q3029" i="10" s="1"/>
  <c r="R3029" i="10" s="1"/>
  <c r="S3029" i="10" s="1"/>
  <c r="T3029" i="10" s="1"/>
  <c r="U3029" i="10" s="1"/>
  <c r="V3029" i="10" s="1"/>
  <c r="D3031" i="10" l="1"/>
  <c r="M3030" i="10"/>
  <c r="N3030" i="10" s="1"/>
  <c r="O3030" i="10" s="1"/>
  <c r="P3030" i="10" s="1"/>
  <c r="Q3030" i="10" s="1"/>
  <c r="R3030" i="10" s="1"/>
  <c r="S3030" i="10" s="1"/>
  <c r="T3030" i="10" s="1"/>
  <c r="U3030" i="10" s="1"/>
  <c r="V3030" i="10" s="1"/>
  <c r="D3032" i="10" l="1"/>
  <c r="M3031" i="10"/>
  <c r="N3031" i="10" s="1"/>
  <c r="O3031" i="10" s="1"/>
  <c r="P3031" i="10" s="1"/>
  <c r="Q3031" i="10" s="1"/>
  <c r="R3031" i="10" s="1"/>
  <c r="S3031" i="10" s="1"/>
  <c r="T3031" i="10" s="1"/>
  <c r="U3031" i="10" s="1"/>
  <c r="V3031" i="10" s="1"/>
  <c r="D3033" i="10" l="1"/>
  <c r="M3032" i="10"/>
  <c r="N3032" i="10" s="1"/>
  <c r="O3032" i="10" s="1"/>
  <c r="P3032" i="10" s="1"/>
  <c r="Q3032" i="10" s="1"/>
  <c r="R3032" i="10" s="1"/>
  <c r="S3032" i="10" s="1"/>
  <c r="T3032" i="10" s="1"/>
  <c r="U3032" i="10" s="1"/>
  <c r="V3032" i="10" s="1"/>
  <c r="D3034" i="10" l="1"/>
  <c r="M3033" i="10"/>
  <c r="N3033" i="10" s="1"/>
  <c r="O3033" i="10" s="1"/>
  <c r="P3033" i="10" s="1"/>
  <c r="Q3033" i="10" s="1"/>
  <c r="R3033" i="10" s="1"/>
  <c r="S3033" i="10" s="1"/>
  <c r="T3033" i="10" s="1"/>
  <c r="U3033" i="10" s="1"/>
  <c r="V3033" i="10" s="1"/>
  <c r="D3035" i="10" l="1"/>
  <c r="M3034" i="10"/>
  <c r="N3034" i="10" s="1"/>
  <c r="O3034" i="10" s="1"/>
  <c r="P3034" i="10" s="1"/>
  <c r="Q3034" i="10" s="1"/>
  <c r="R3034" i="10" s="1"/>
  <c r="S3034" i="10" s="1"/>
  <c r="T3034" i="10" s="1"/>
  <c r="U3034" i="10" s="1"/>
  <c r="V3034" i="10" s="1"/>
  <c r="D3036" i="10" l="1"/>
  <c r="M3035" i="10"/>
  <c r="N3035" i="10" s="1"/>
  <c r="O3035" i="10" s="1"/>
  <c r="P3035" i="10" s="1"/>
  <c r="Q3035" i="10" s="1"/>
  <c r="R3035" i="10" s="1"/>
  <c r="S3035" i="10" s="1"/>
  <c r="T3035" i="10" s="1"/>
  <c r="U3035" i="10" s="1"/>
  <c r="V3035" i="10" s="1"/>
  <c r="D3037" i="10" l="1"/>
  <c r="M3036" i="10"/>
  <c r="N3036" i="10" s="1"/>
  <c r="O3036" i="10" s="1"/>
  <c r="P3036" i="10" s="1"/>
  <c r="Q3036" i="10" s="1"/>
  <c r="R3036" i="10" s="1"/>
  <c r="S3036" i="10" s="1"/>
  <c r="T3036" i="10" s="1"/>
  <c r="U3036" i="10" s="1"/>
  <c r="V3036" i="10" s="1"/>
  <c r="D3038" i="10" l="1"/>
  <c r="M3037" i="10"/>
  <c r="N3037" i="10" s="1"/>
  <c r="O3037" i="10" s="1"/>
  <c r="P3037" i="10" s="1"/>
  <c r="Q3037" i="10" s="1"/>
  <c r="R3037" i="10" s="1"/>
  <c r="S3037" i="10" s="1"/>
  <c r="T3037" i="10" s="1"/>
  <c r="U3037" i="10" s="1"/>
  <c r="V3037" i="10" s="1"/>
  <c r="D3039" i="10" l="1"/>
  <c r="M3038" i="10"/>
  <c r="N3038" i="10" s="1"/>
  <c r="O3038" i="10" s="1"/>
  <c r="P3038" i="10" s="1"/>
  <c r="Q3038" i="10" s="1"/>
  <c r="R3038" i="10" s="1"/>
  <c r="S3038" i="10" s="1"/>
  <c r="T3038" i="10" s="1"/>
  <c r="U3038" i="10" s="1"/>
  <c r="V3038" i="10" s="1"/>
  <c r="D3040" i="10" l="1"/>
  <c r="M3039" i="10"/>
  <c r="N3039" i="10" s="1"/>
  <c r="O3039" i="10" s="1"/>
  <c r="P3039" i="10" s="1"/>
  <c r="Q3039" i="10" s="1"/>
  <c r="R3039" i="10" s="1"/>
  <c r="S3039" i="10" s="1"/>
  <c r="T3039" i="10" s="1"/>
  <c r="U3039" i="10" s="1"/>
  <c r="V3039" i="10" s="1"/>
  <c r="D3041" i="10" l="1"/>
  <c r="M3040" i="10"/>
  <c r="N3040" i="10" s="1"/>
  <c r="O3040" i="10" s="1"/>
  <c r="P3040" i="10" s="1"/>
  <c r="Q3040" i="10" s="1"/>
  <c r="R3040" i="10" s="1"/>
  <c r="S3040" i="10" s="1"/>
  <c r="T3040" i="10" s="1"/>
  <c r="U3040" i="10" s="1"/>
  <c r="V3040" i="10" s="1"/>
  <c r="D3042" i="10" l="1"/>
  <c r="M3041" i="10"/>
  <c r="N3041" i="10" s="1"/>
  <c r="O3041" i="10" s="1"/>
  <c r="P3041" i="10" s="1"/>
  <c r="Q3041" i="10" s="1"/>
  <c r="R3041" i="10" s="1"/>
  <c r="S3041" i="10" s="1"/>
  <c r="T3041" i="10" s="1"/>
  <c r="U3041" i="10" s="1"/>
  <c r="V3041" i="10" s="1"/>
  <c r="D3043" i="10" l="1"/>
  <c r="M3042" i="10"/>
  <c r="N3042" i="10" s="1"/>
  <c r="O3042" i="10" s="1"/>
  <c r="P3042" i="10" s="1"/>
  <c r="Q3042" i="10" s="1"/>
  <c r="R3042" i="10" s="1"/>
  <c r="S3042" i="10" s="1"/>
  <c r="T3042" i="10" s="1"/>
  <c r="U3042" i="10" s="1"/>
  <c r="V3042" i="10" s="1"/>
  <c r="D3044" i="10" l="1"/>
  <c r="M3043" i="10"/>
  <c r="N3043" i="10" s="1"/>
  <c r="O3043" i="10" s="1"/>
  <c r="P3043" i="10" s="1"/>
  <c r="Q3043" i="10" s="1"/>
  <c r="R3043" i="10" s="1"/>
  <c r="S3043" i="10" s="1"/>
  <c r="T3043" i="10" s="1"/>
  <c r="U3043" i="10" s="1"/>
  <c r="V3043" i="10" s="1"/>
  <c r="D3045" i="10" l="1"/>
  <c r="M3044" i="10"/>
  <c r="N3044" i="10" s="1"/>
  <c r="O3044" i="10" s="1"/>
  <c r="P3044" i="10" s="1"/>
  <c r="Q3044" i="10" s="1"/>
  <c r="R3044" i="10" s="1"/>
  <c r="S3044" i="10" s="1"/>
  <c r="T3044" i="10" s="1"/>
  <c r="U3044" i="10" s="1"/>
  <c r="V3044" i="10" s="1"/>
  <c r="D3046" i="10" l="1"/>
  <c r="M3045" i="10"/>
  <c r="N3045" i="10" s="1"/>
  <c r="O3045" i="10" s="1"/>
  <c r="P3045" i="10" s="1"/>
  <c r="Q3045" i="10" s="1"/>
  <c r="R3045" i="10" s="1"/>
  <c r="S3045" i="10" s="1"/>
  <c r="T3045" i="10" s="1"/>
  <c r="U3045" i="10" s="1"/>
  <c r="V3045" i="10" s="1"/>
  <c r="D3047" i="10" l="1"/>
  <c r="M3046" i="10"/>
  <c r="N3046" i="10" s="1"/>
  <c r="O3046" i="10" s="1"/>
  <c r="P3046" i="10" s="1"/>
  <c r="Q3046" i="10" s="1"/>
  <c r="R3046" i="10" s="1"/>
  <c r="S3046" i="10" s="1"/>
  <c r="T3046" i="10" s="1"/>
  <c r="U3046" i="10" s="1"/>
  <c r="V3046" i="10" s="1"/>
  <c r="D3048" i="10" l="1"/>
  <c r="M3047" i="10"/>
  <c r="N3047" i="10" s="1"/>
  <c r="O3047" i="10" s="1"/>
  <c r="P3047" i="10" s="1"/>
  <c r="Q3047" i="10" s="1"/>
  <c r="R3047" i="10" s="1"/>
  <c r="S3047" i="10" s="1"/>
  <c r="T3047" i="10" s="1"/>
  <c r="U3047" i="10" s="1"/>
  <c r="V3047" i="10" s="1"/>
  <c r="D3049" i="10" l="1"/>
  <c r="M3048" i="10"/>
  <c r="N3048" i="10" s="1"/>
  <c r="O3048" i="10" s="1"/>
  <c r="P3048" i="10" s="1"/>
  <c r="Q3048" i="10" s="1"/>
  <c r="R3048" i="10" s="1"/>
  <c r="S3048" i="10" s="1"/>
  <c r="T3048" i="10" s="1"/>
  <c r="U3048" i="10" s="1"/>
  <c r="V3048" i="10" s="1"/>
  <c r="D3050" i="10" l="1"/>
  <c r="M3049" i="10"/>
  <c r="N3049" i="10" s="1"/>
  <c r="O3049" i="10" s="1"/>
  <c r="P3049" i="10" s="1"/>
  <c r="Q3049" i="10" s="1"/>
  <c r="R3049" i="10" s="1"/>
  <c r="S3049" i="10" s="1"/>
  <c r="T3049" i="10" s="1"/>
  <c r="U3049" i="10" s="1"/>
  <c r="V3049" i="10" s="1"/>
  <c r="D3051" i="10" l="1"/>
  <c r="M3050" i="10"/>
  <c r="N3050" i="10" s="1"/>
  <c r="O3050" i="10" s="1"/>
  <c r="P3050" i="10" s="1"/>
  <c r="Q3050" i="10" s="1"/>
  <c r="R3050" i="10" s="1"/>
  <c r="S3050" i="10" s="1"/>
  <c r="T3050" i="10" s="1"/>
  <c r="U3050" i="10" s="1"/>
  <c r="V3050" i="10" s="1"/>
  <c r="D3052" i="10" l="1"/>
  <c r="M3051" i="10"/>
  <c r="N3051" i="10" s="1"/>
  <c r="O3051" i="10" s="1"/>
  <c r="P3051" i="10" s="1"/>
  <c r="Q3051" i="10" s="1"/>
  <c r="R3051" i="10" s="1"/>
  <c r="S3051" i="10" s="1"/>
  <c r="T3051" i="10" s="1"/>
  <c r="U3051" i="10" s="1"/>
  <c r="V3051" i="10" s="1"/>
  <c r="D3053" i="10" l="1"/>
  <c r="M3052" i="10"/>
  <c r="N3052" i="10" s="1"/>
  <c r="O3052" i="10" s="1"/>
  <c r="P3052" i="10" s="1"/>
  <c r="Q3052" i="10" s="1"/>
  <c r="R3052" i="10" s="1"/>
  <c r="S3052" i="10" s="1"/>
  <c r="T3052" i="10" s="1"/>
  <c r="U3052" i="10" s="1"/>
  <c r="V3052" i="10" s="1"/>
  <c r="D3054" i="10" l="1"/>
  <c r="M3053" i="10"/>
  <c r="N3053" i="10" s="1"/>
  <c r="O3053" i="10" s="1"/>
  <c r="P3053" i="10" s="1"/>
  <c r="Q3053" i="10" s="1"/>
  <c r="R3053" i="10" s="1"/>
  <c r="S3053" i="10" s="1"/>
  <c r="T3053" i="10" s="1"/>
  <c r="U3053" i="10" s="1"/>
  <c r="V3053" i="10" s="1"/>
  <c r="D3055" i="10" l="1"/>
  <c r="M3054" i="10"/>
  <c r="N3054" i="10" s="1"/>
  <c r="O3054" i="10" s="1"/>
  <c r="P3054" i="10" s="1"/>
  <c r="Q3054" i="10" s="1"/>
  <c r="R3054" i="10" s="1"/>
  <c r="S3054" i="10" s="1"/>
  <c r="T3054" i="10" s="1"/>
  <c r="U3054" i="10" s="1"/>
  <c r="V3054" i="10" s="1"/>
  <c r="D3056" i="10" l="1"/>
  <c r="M3055" i="10"/>
  <c r="N3055" i="10" s="1"/>
  <c r="O3055" i="10" s="1"/>
  <c r="P3055" i="10" s="1"/>
  <c r="Q3055" i="10" s="1"/>
  <c r="R3055" i="10" s="1"/>
  <c r="S3055" i="10" s="1"/>
  <c r="T3055" i="10" s="1"/>
  <c r="U3055" i="10" s="1"/>
  <c r="V3055" i="10" s="1"/>
  <c r="D3057" i="10" l="1"/>
  <c r="M3056" i="10"/>
  <c r="N3056" i="10" s="1"/>
  <c r="O3056" i="10" s="1"/>
  <c r="P3056" i="10" s="1"/>
  <c r="Q3056" i="10" s="1"/>
  <c r="R3056" i="10" s="1"/>
  <c r="S3056" i="10" s="1"/>
  <c r="T3056" i="10" s="1"/>
  <c r="U3056" i="10" s="1"/>
  <c r="V3056" i="10" s="1"/>
  <c r="D3058" i="10" l="1"/>
  <c r="M3057" i="10"/>
  <c r="N3057" i="10" s="1"/>
  <c r="O3057" i="10" s="1"/>
  <c r="P3057" i="10" s="1"/>
  <c r="Q3057" i="10" s="1"/>
  <c r="R3057" i="10" s="1"/>
  <c r="S3057" i="10" s="1"/>
  <c r="T3057" i="10" s="1"/>
  <c r="U3057" i="10" s="1"/>
  <c r="V3057" i="10" s="1"/>
  <c r="D3059" i="10" l="1"/>
  <c r="M3058" i="10"/>
  <c r="N3058" i="10" s="1"/>
  <c r="O3058" i="10" s="1"/>
  <c r="P3058" i="10" s="1"/>
  <c r="Q3058" i="10" s="1"/>
  <c r="R3058" i="10" s="1"/>
  <c r="S3058" i="10" s="1"/>
  <c r="T3058" i="10" s="1"/>
  <c r="U3058" i="10" s="1"/>
  <c r="V3058" i="10" s="1"/>
  <c r="D3060" i="10" l="1"/>
  <c r="M3059" i="10"/>
  <c r="N3059" i="10" s="1"/>
  <c r="O3059" i="10" s="1"/>
  <c r="P3059" i="10" s="1"/>
  <c r="Q3059" i="10" s="1"/>
  <c r="R3059" i="10" s="1"/>
  <c r="S3059" i="10" s="1"/>
  <c r="T3059" i="10" s="1"/>
  <c r="U3059" i="10" s="1"/>
  <c r="V3059" i="10" s="1"/>
  <c r="D3061" i="10" l="1"/>
  <c r="M3060" i="10"/>
  <c r="N3060" i="10" s="1"/>
  <c r="O3060" i="10" s="1"/>
  <c r="P3060" i="10" s="1"/>
  <c r="Q3060" i="10" s="1"/>
  <c r="R3060" i="10" s="1"/>
  <c r="S3060" i="10" s="1"/>
  <c r="T3060" i="10" s="1"/>
  <c r="U3060" i="10" s="1"/>
  <c r="V3060" i="10" s="1"/>
  <c r="D3062" i="10" l="1"/>
  <c r="M3061" i="10"/>
  <c r="N3061" i="10" s="1"/>
  <c r="O3061" i="10" s="1"/>
  <c r="P3061" i="10" s="1"/>
  <c r="Q3061" i="10" s="1"/>
  <c r="R3061" i="10" s="1"/>
  <c r="S3061" i="10" s="1"/>
  <c r="T3061" i="10" s="1"/>
  <c r="U3061" i="10" s="1"/>
  <c r="V3061" i="10" s="1"/>
  <c r="D3063" i="10" l="1"/>
  <c r="M3062" i="10"/>
  <c r="N3062" i="10" s="1"/>
  <c r="O3062" i="10" s="1"/>
  <c r="P3062" i="10" s="1"/>
  <c r="Q3062" i="10" s="1"/>
  <c r="R3062" i="10" s="1"/>
  <c r="S3062" i="10" s="1"/>
  <c r="T3062" i="10" s="1"/>
  <c r="U3062" i="10" s="1"/>
  <c r="V3062" i="10" s="1"/>
  <c r="D3064" i="10" l="1"/>
  <c r="M3063" i="10"/>
  <c r="N3063" i="10" s="1"/>
  <c r="O3063" i="10" s="1"/>
  <c r="P3063" i="10" s="1"/>
  <c r="Q3063" i="10" s="1"/>
  <c r="R3063" i="10" s="1"/>
  <c r="S3063" i="10" s="1"/>
  <c r="T3063" i="10" s="1"/>
  <c r="U3063" i="10" s="1"/>
  <c r="V3063" i="10" s="1"/>
  <c r="D3065" i="10" l="1"/>
  <c r="M3064" i="10"/>
  <c r="N3064" i="10" s="1"/>
  <c r="O3064" i="10" s="1"/>
  <c r="P3064" i="10" s="1"/>
  <c r="Q3064" i="10" s="1"/>
  <c r="R3064" i="10" s="1"/>
  <c r="S3064" i="10" s="1"/>
  <c r="T3064" i="10" s="1"/>
  <c r="U3064" i="10" s="1"/>
  <c r="V3064" i="10" s="1"/>
  <c r="D3066" i="10" l="1"/>
  <c r="M3065" i="10"/>
  <c r="N3065" i="10" s="1"/>
  <c r="O3065" i="10" s="1"/>
  <c r="P3065" i="10" s="1"/>
  <c r="Q3065" i="10" s="1"/>
  <c r="R3065" i="10" s="1"/>
  <c r="S3065" i="10" s="1"/>
  <c r="T3065" i="10" s="1"/>
  <c r="U3065" i="10" s="1"/>
  <c r="V3065" i="10" s="1"/>
  <c r="D3067" i="10" l="1"/>
  <c r="M3066" i="10"/>
  <c r="N3066" i="10" s="1"/>
  <c r="O3066" i="10" s="1"/>
  <c r="P3066" i="10" s="1"/>
  <c r="Q3066" i="10" s="1"/>
  <c r="R3066" i="10" s="1"/>
  <c r="S3066" i="10" s="1"/>
  <c r="T3066" i="10" s="1"/>
  <c r="U3066" i="10" s="1"/>
  <c r="V3066" i="10" s="1"/>
  <c r="D3068" i="10" l="1"/>
  <c r="M3067" i="10"/>
  <c r="N3067" i="10" s="1"/>
  <c r="O3067" i="10" s="1"/>
  <c r="P3067" i="10" s="1"/>
  <c r="Q3067" i="10" s="1"/>
  <c r="R3067" i="10" s="1"/>
  <c r="S3067" i="10" s="1"/>
  <c r="T3067" i="10" s="1"/>
  <c r="U3067" i="10" s="1"/>
  <c r="V3067" i="10" s="1"/>
  <c r="D3069" i="10" l="1"/>
  <c r="M3068" i="10"/>
  <c r="N3068" i="10" s="1"/>
  <c r="O3068" i="10" s="1"/>
  <c r="P3068" i="10" s="1"/>
  <c r="Q3068" i="10" s="1"/>
  <c r="R3068" i="10" s="1"/>
  <c r="S3068" i="10" s="1"/>
  <c r="T3068" i="10" s="1"/>
  <c r="U3068" i="10" s="1"/>
  <c r="V3068" i="10" s="1"/>
  <c r="D3070" i="10" l="1"/>
  <c r="M3069" i="10"/>
  <c r="N3069" i="10" s="1"/>
  <c r="O3069" i="10" s="1"/>
  <c r="P3069" i="10" s="1"/>
  <c r="Q3069" i="10" s="1"/>
  <c r="R3069" i="10" s="1"/>
  <c r="S3069" i="10" s="1"/>
  <c r="T3069" i="10" s="1"/>
  <c r="U3069" i="10" s="1"/>
  <c r="V3069" i="10" s="1"/>
  <c r="D3071" i="10" l="1"/>
  <c r="M3070" i="10"/>
  <c r="N3070" i="10" s="1"/>
  <c r="O3070" i="10" s="1"/>
  <c r="P3070" i="10" s="1"/>
  <c r="Q3070" i="10" s="1"/>
  <c r="R3070" i="10" s="1"/>
  <c r="S3070" i="10" s="1"/>
  <c r="T3070" i="10" s="1"/>
  <c r="U3070" i="10" s="1"/>
  <c r="V3070" i="10" s="1"/>
  <c r="D3072" i="10" l="1"/>
  <c r="M3071" i="10"/>
  <c r="N3071" i="10" s="1"/>
  <c r="O3071" i="10" s="1"/>
  <c r="P3071" i="10" s="1"/>
  <c r="Q3071" i="10" s="1"/>
  <c r="R3071" i="10" s="1"/>
  <c r="S3071" i="10" s="1"/>
  <c r="T3071" i="10" s="1"/>
  <c r="U3071" i="10" s="1"/>
  <c r="V3071" i="10" s="1"/>
  <c r="D3073" i="10" l="1"/>
  <c r="M3072" i="10"/>
  <c r="N3072" i="10" s="1"/>
  <c r="O3072" i="10" s="1"/>
  <c r="P3072" i="10" s="1"/>
  <c r="Q3072" i="10" s="1"/>
  <c r="R3072" i="10" s="1"/>
  <c r="S3072" i="10" s="1"/>
  <c r="T3072" i="10" s="1"/>
  <c r="U3072" i="10" s="1"/>
  <c r="V3072" i="10" s="1"/>
  <c r="D3074" i="10" l="1"/>
  <c r="M3073" i="10"/>
  <c r="N3073" i="10" s="1"/>
  <c r="O3073" i="10" s="1"/>
  <c r="P3073" i="10" s="1"/>
  <c r="Q3073" i="10" s="1"/>
  <c r="R3073" i="10" s="1"/>
  <c r="S3073" i="10" s="1"/>
  <c r="T3073" i="10" s="1"/>
  <c r="U3073" i="10" s="1"/>
  <c r="V3073" i="10" s="1"/>
  <c r="D3075" i="10" l="1"/>
  <c r="M3074" i="10"/>
  <c r="N3074" i="10" s="1"/>
  <c r="O3074" i="10" s="1"/>
  <c r="P3074" i="10" s="1"/>
  <c r="Q3074" i="10" s="1"/>
  <c r="R3074" i="10" s="1"/>
  <c r="S3074" i="10" s="1"/>
  <c r="T3074" i="10" s="1"/>
  <c r="U3074" i="10" s="1"/>
  <c r="V3074" i="10" s="1"/>
  <c r="D3076" i="10" l="1"/>
  <c r="M3075" i="10"/>
  <c r="N3075" i="10" s="1"/>
  <c r="O3075" i="10" s="1"/>
  <c r="P3075" i="10" s="1"/>
  <c r="Q3075" i="10" s="1"/>
  <c r="R3075" i="10" s="1"/>
  <c r="S3075" i="10" s="1"/>
  <c r="T3075" i="10" s="1"/>
  <c r="U3075" i="10" s="1"/>
  <c r="V3075" i="10" s="1"/>
  <c r="D3077" i="10" l="1"/>
  <c r="M3076" i="10"/>
  <c r="N3076" i="10" s="1"/>
  <c r="O3076" i="10" s="1"/>
  <c r="P3076" i="10" s="1"/>
  <c r="Q3076" i="10" s="1"/>
  <c r="R3076" i="10" s="1"/>
  <c r="S3076" i="10" s="1"/>
  <c r="T3076" i="10" s="1"/>
  <c r="U3076" i="10" s="1"/>
  <c r="V3076" i="10" s="1"/>
  <c r="D3078" i="10" l="1"/>
  <c r="M3077" i="10"/>
  <c r="N3077" i="10" s="1"/>
  <c r="O3077" i="10" s="1"/>
  <c r="P3077" i="10" s="1"/>
  <c r="Q3077" i="10" s="1"/>
  <c r="R3077" i="10" s="1"/>
  <c r="S3077" i="10" s="1"/>
  <c r="T3077" i="10" s="1"/>
  <c r="U3077" i="10" s="1"/>
  <c r="V3077" i="10" s="1"/>
  <c r="D3079" i="10" l="1"/>
  <c r="M3078" i="10"/>
  <c r="N3078" i="10" s="1"/>
  <c r="O3078" i="10" s="1"/>
  <c r="P3078" i="10" s="1"/>
  <c r="Q3078" i="10" s="1"/>
  <c r="R3078" i="10" s="1"/>
  <c r="S3078" i="10" s="1"/>
  <c r="T3078" i="10" s="1"/>
  <c r="U3078" i="10" s="1"/>
  <c r="V3078" i="10" s="1"/>
  <c r="D3080" i="10" l="1"/>
  <c r="M3079" i="10"/>
  <c r="N3079" i="10" s="1"/>
  <c r="O3079" i="10" s="1"/>
  <c r="P3079" i="10" s="1"/>
  <c r="Q3079" i="10" s="1"/>
  <c r="R3079" i="10" s="1"/>
  <c r="S3079" i="10" s="1"/>
  <c r="T3079" i="10" s="1"/>
  <c r="U3079" i="10" s="1"/>
  <c r="V3079" i="10" s="1"/>
  <c r="D3081" i="10" l="1"/>
  <c r="M3080" i="10"/>
  <c r="N3080" i="10" s="1"/>
  <c r="O3080" i="10" s="1"/>
  <c r="P3080" i="10" s="1"/>
  <c r="Q3080" i="10" s="1"/>
  <c r="R3080" i="10" s="1"/>
  <c r="S3080" i="10" s="1"/>
  <c r="T3080" i="10" s="1"/>
  <c r="U3080" i="10" s="1"/>
  <c r="V3080" i="10" s="1"/>
  <c r="D3082" i="10" l="1"/>
  <c r="M3081" i="10"/>
  <c r="N3081" i="10" s="1"/>
  <c r="O3081" i="10" s="1"/>
  <c r="P3081" i="10" s="1"/>
  <c r="Q3081" i="10" s="1"/>
  <c r="R3081" i="10" s="1"/>
  <c r="S3081" i="10" s="1"/>
  <c r="T3081" i="10" s="1"/>
  <c r="U3081" i="10" s="1"/>
  <c r="V3081" i="10" s="1"/>
  <c r="D3083" i="10" l="1"/>
  <c r="M3082" i="10"/>
  <c r="N3082" i="10" s="1"/>
  <c r="O3082" i="10" s="1"/>
  <c r="P3082" i="10" s="1"/>
  <c r="Q3082" i="10" s="1"/>
  <c r="R3082" i="10" s="1"/>
  <c r="S3082" i="10" s="1"/>
  <c r="T3082" i="10" s="1"/>
  <c r="U3082" i="10" s="1"/>
  <c r="V3082" i="10" s="1"/>
  <c r="D3084" i="10" l="1"/>
  <c r="M3083" i="10"/>
  <c r="N3083" i="10" s="1"/>
  <c r="O3083" i="10" s="1"/>
  <c r="P3083" i="10" s="1"/>
  <c r="Q3083" i="10" s="1"/>
  <c r="R3083" i="10" s="1"/>
  <c r="S3083" i="10" s="1"/>
  <c r="T3083" i="10" s="1"/>
  <c r="U3083" i="10" s="1"/>
  <c r="V3083" i="10" s="1"/>
  <c r="D3085" i="10" l="1"/>
  <c r="M3084" i="10"/>
  <c r="N3084" i="10" s="1"/>
  <c r="O3084" i="10" s="1"/>
  <c r="P3084" i="10" s="1"/>
  <c r="Q3084" i="10" s="1"/>
  <c r="R3084" i="10" s="1"/>
  <c r="S3084" i="10" s="1"/>
  <c r="T3084" i="10" s="1"/>
  <c r="U3084" i="10" s="1"/>
  <c r="V3084" i="10" s="1"/>
  <c r="D3086" i="10" l="1"/>
  <c r="M3085" i="10"/>
  <c r="N3085" i="10" s="1"/>
  <c r="O3085" i="10" s="1"/>
  <c r="P3085" i="10" s="1"/>
  <c r="Q3085" i="10" s="1"/>
  <c r="R3085" i="10" s="1"/>
  <c r="S3085" i="10" s="1"/>
  <c r="T3085" i="10" s="1"/>
  <c r="U3085" i="10" s="1"/>
  <c r="V3085" i="10" s="1"/>
  <c r="D3087" i="10" l="1"/>
  <c r="M3086" i="10"/>
  <c r="N3086" i="10" s="1"/>
  <c r="O3086" i="10" s="1"/>
  <c r="P3086" i="10" s="1"/>
  <c r="Q3086" i="10" s="1"/>
  <c r="R3086" i="10" s="1"/>
  <c r="S3086" i="10" s="1"/>
  <c r="T3086" i="10" s="1"/>
  <c r="U3086" i="10" s="1"/>
  <c r="V3086" i="10" s="1"/>
  <c r="D3088" i="10" l="1"/>
  <c r="M3087" i="10"/>
  <c r="N3087" i="10" s="1"/>
  <c r="O3087" i="10" s="1"/>
  <c r="P3087" i="10" s="1"/>
  <c r="Q3087" i="10" s="1"/>
  <c r="R3087" i="10" s="1"/>
  <c r="S3087" i="10" s="1"/>
  <c r="T3087" i="10" s="1"/>
  <c r="U3087" i="10" s="1"/>
  <c r="V3087" i="10" s="1"/>
  <c r="D3089" i="10" l="1"/>
  <c r="M3088" i="10"/>
  <c r="N3088" i="10" s="1"/>
  <c r="O3088" i="10" s="1"/>
  <c r="P3088" i="10" s="1"/>
  <c r="Q3088" i="10" s="1"/>
  <c r="R3088" i="10" s="1"/>
  <c r="S3088" i="10" s="1"/>
  <c r="T3088" i="10" s="1"/>
  <c r="U3088" i="10" s="1"/>
  <c r="V3088" i="10" s="1"/>
  <c r="D3090" i="10" l="1"/>
  <c r="M3089" i="10"/>
  <c r="N3089" i="10" s="1"/>
  <c r="O3089" i="10" s="1"/>
  <c r="P3089" i="10" s="1"/>
  <c r="Q3089" i="10" s="1"/>
  <c r="R3089" i="10" s="1"/>
  <c r="S3089" i="10" s="1"/>
  <c r="T3089" i="10" s="1"/>
  <c r="U3089" i="10" s="1"/>
  <c r="V3089" i="10" s="1"/>
  <c r="D3091" i="10" l="1"/>
  <c r="M3090" i="10"/>
  <c r="N3090" i="10" s="1"/>
  <c r="O3090" i="10" s="1"/>
  <c r="P3090" i="10" s="1"/>
  <c r="Q3090" i="10" s="1"/>
  <c r="R3090" i="10" s="1"/>
  <c r="S3090" i="10" s="1"/>
  <c r="T3090" i="10" s="1"/>
  <c r="U3090" i="10" s="1"/>
  <c r="V3090" i="10" s="1"/>
  <c r="D3092" i="10" l="1"/>
  <c r="M3091" i="10"/>
  <c r="N3091" i="10" s="1"/>
  <c r="O3091" i="10" s="1"/>
  <c r="P3091" i="10" s="1"/>
  <c r="Q3091" i="10" s="1"/>
  <c r="R3091" i="10" s="1"/>
  <c r="S3091" i="10" s="1"/>
  <c r="T3091" i="10" s="1"/>
  <c r="U3091" i="10" s="1"/>
  <c r="V3091" i="10" s="1"/>
  <c r="D3093" i="10" l="1"/>
  <c r="M3092" i="10"/>
  <c r="N3092" i="10" s="1"/>
  <c r="O3092" i="10" s="1"/>
  <c r="P3092" i="10" s="1"/>
  <c r="Q3092" i="10" s="1"/>
  <c r="R3092" i="10" s="1"/>
  <c r="S3092" i="10" s="1"/>
  <c r="T3092" i="10" s="1"/>
  <c r="U3092" i="10" s="1"/>
  <c r="V3092" i="10" s="1"/>
  <c r="D3094" i="10" l="1"/>
  <c r="M3093" i="10"/>
  <c r="N3093" i="10" s="1"/>
  <c r="O3093" i="10" s="1"/>
  <c r="P3093" i="10" s="1"/>
  <c r="Q3093" i="10" s="1"/>
  <c r="R3093" i="10" s="1"/>
  <c r="S3093" i="10" s="1"/>
  <c r="T3093" i="10" s="1"/>
  <c r="U3093" i="10" s="1"/>
  <c r="V3093" i="10" s="1"/>
  <c r="D3095" i="10" l="1"/>
  <c r="M3094" i="10"/>
  <c r="N3094" i="10" s="1"/>
  <c r="O3094" i="10" s="1"/>
  <c r="P3094" i="10" s="1"/>
  <c r="Q3094" i="10" s="1"/>
  <c r="R3094" i="10" s="1"/>
  <c r="S3094" i="10" s="1"/>
  <c r="T3094" i="10" s="1"/>
  <c r="U3094" i="10" s="1"/>
  <c r="V3094" i="10" s="1"/>
  <c r="D3096" i="10" l="1"/>
  <c r="M3095" i="10"/>
  <c r="N3095" i="10" s="1"/>
  <c r="O3095" i="10" s="1"/>
  <c r="P3095" i="10" s="1"/>
  <c r="Q3095" i="10" s="1"/>
  <c r="R3095" i="10" s="1"/>
  <c r="S3095" i="10" s="1"/>
  <c r="T3095" i="10" s="1"/>
  <c r="U3095" i="10" s="1"/>
  <c r="V3095" i="10" s="1"/>
  <c r="D3097" i="10" l="1"/>
  <c r="M3096" i="10"/>
  <c r="N3096" i="10" s="1"/>
  <c r="O3096" i="10" s="1"/>
  <c r="P3096" i="10" s="1"/>
  <c r="Q3096" i="10" s="1"/>
  <c r="R3096" i="10" s="1"/>
  <c r="S3096" i="10" s="1"/>
  <c r="T3096" i="10" s="1"/>
  <c r="U3096" i="10" s="1"/>
  <c r="V3096" i="10" s="1"/>
  <c r="D3098" i="10" l="1"/>
  <c r="M3097" i="10"/>
  <c r="N3097" i="10" s="1"/>
  <c r="O3097" i="10" s="1"/>
  <c r="P3097" i="10" s="1"/>
  <c r="Q3097" i="10" s="1"/>
  <c r="R3097" i="10" s="1"/>
  <c r="S3097" i="10" s="1"/>
  <c r="T3097" i="10" s="1"/>
  <c r="U3097" i="10" s="1"/>
  <c r="V3097" i="10" s="1"/>
  <c r="D3099" i="10" l="1"/>
  <c r="M3098" i="10"/>
  <c r="N3098" i="10" s="1"/>
  <c r="O3098" i="10" s="1"/>
  <c r="P3098" i="10" s="1"/>
  <c r="Q3098" i="10" s="1"/>
  <c r="R3098" i="10" s="1"/>
  <c r="S3098" i="10" s="1"/>
  <c r="T3098" i="10" s="1"/>
  <c r="U3098" i="10" s="1"/>
  <c r="V3098" i="10" s="1"/>
  <c r="D3100" i="10" l="1"/>
  <c r="M3099" i="10"/>
  <c r="N3099" i="10" s="1"/>
  <c r="O3099" i="10" s="1"/>
  <c r="P3099" i="10" s="1"/>
  <c r="Q3099" i="10" s="1"/>
  <c r="R3099" i="10" s="1"/>
  <c r="S3099" i="10" s="1"/>
  <c r="T3099" i="10" s="1"/>
  <c r="U3099" i="10" s="1"/>
  <c r="V3099" i="10" s="1"/>
  <c r="D3101" i="10" l="1"/>
  <c r="M3100" i="10"/>
  <c r="N3100" i="10" s="1"/>
  <c r="O3100" i="10" s="1"/>
  <c r="P3100" i="10" s="1"/>
  <c r="Q3100" i="10" s="1"/>
  <c r="R3100" i="10" s="1"/>
  <c r="S3100" i="10" s="1"/>
  <c r="T3100" i="10" s="1"/>
  <c r="U3100" i="10" s="1"/>
  <c r="V3100" i="10" s="1"/>
  <c r="D3102" i="10" l="1"/>
  <c r="M3101" i="10"/>
  <c r="N3101" i="10" s="1"/>
  <c r="O3101" i="10" s="1"/>
  <c r="P3101" i="10" s="1"/>
  <c r="Q3101" i="10" s="1"/>
  <c r="R3101" i="10" s="1"/>
  <c r="S3101" i="10" s="1"/>
  <c r="T3101" i="10" s="1"/>
  <c r="U3101" i="10" s="1"/>
  <c r="V3101" i="10" s="1"/>
  <c r="D3103" i="10" l="1"/>
  <c r="M3102" i="10"/>
  <c r="N3102" i="10" s="1"/>
  <c r="O3102" i="10" s="1"/>
  <c r="P3102" i="10" s="1"/>
  <c r="Q3102" i="10" s="1"/>
  <c r="R3102" i="10" s="1"/>
  <c r="S3102" i="10" s="1"/>
  <c r="T3102" i="10" s="1"/>
  <c r="U3102" i="10" s="1"/>
  <c r="V3102" i="10" s="1"/>
  <c r="D3104" i="10" l="1"/>
  <c r="M3103" i="10"/>
  <c r="N3103" i="10" s="1"/>
  <c r="O3103" i="10" s="1"/>
  <c r="P3103" i="10" s="1"/>
  <c r="Q3103" i="10" s="1"/>
  <c r="R3103" i="10" s="1"/>
  <c r="S3103" i="10" s="1"/>
  <c r="T3103" i="10" s="1"/>
  <c r="U3103" i="10" s="1"/>
  <c r="V3103" i="10" s="1"/>
  <c r="D3105" i="10" l="1"/>
  <c r="M3104" i="10"/>
  <c r="N3104" i="10" s="1"/>
  <c r="O3104" i="10" s="1"/>
  <c r="P3104" i="10" s="1"/>
  <c r="Q3104" i="10" s="1"/>
  <c r="R3104" i="10" s="1"/>
  <c r="S3104" i="10" s="1"/>
  <c r="T3104" i="10" s="1"/>
  <c r="U3104" i="10" s="1"/>
  <c r="V3104" i="10" s="1"/>
  <c r="D3106" i="10" l="1"/>
  <c r="M3105" i="10"/>
  <c r="N3105" i="10" s="1"/>
  <c r="O3105" i="10" s="1"/>
  <c r="P3105" i="10" s="1"/>
  <c r="Q3105" i="10" s="1"/>
  <c r="R3105" i="10" s="1"/>
  <c r="S3105" i="10" s="1"/>
  <c r="T3105" i="10" s="1"/>
  <c r="U3105" i="10" s="1"/>
  <c r="V3105" i="10" s="1"/>
  <c r="D3107" i="10" l="1"/>
  <c r="M3106" i="10"/>
  <c r="N3106" i="10" s="1"/>
  <c r="O3106" i="10" s="1"/>
  <c r="P3106" i="10" s="1"/>
  <c r="Q3106" i="10" s="1"/>
  <c r="R3106" i="10" s="1"/>
  <c r="S3106" i="10" s="1"/>
  <c r="T3106" i="10" s="1"/>
  <c r="U3106" i="10" s="1"/>
  <c r="V3106" i="10" s="1"/>
  <c r="D3108" i="10" l="1"/>
  <c r="M3107" i="10"/>
  <c r="N3107" i="10" s="1"/>
  <c r="O3107" i="10" s="1"/>
  <c r="P3107" i="10" s="1"/>
  <c r="Q3107" i="10" s="1"/>
  <c r="R3107" i="10" s="1"/>
  <c r="S3107" i="10" s="1"/>
  <c r="T3107" i="10" s="1"/>
  <c r="U3107" i="10" s="1"/>
  <c r="V3107" i="10" s="1"/>
  <c r="D3109" i="10" l="1"/>
  <c r="M3108" i="10"/>
  <c r="N3108" i="10" s="1"/>
  <c r="O3108" i="10" s="1"/>
  <c r="P3108" i="10" s="1"/>
  <c r="Q3108" i="10" s="1"/>
  <c r="R3108" i="10" s="1"/>
  <c r="S3108" i="10" s="1"/>
  <c r="T3108" i="10" s="1"/>
  <c r="U3108" i="10" s="1"/>
  <c r="V3108" i="10" s="1"/>
  <c r="D3110" i="10" l="1"/>
  <c r="M3109" i="10"/>
  <c r="N3109" i="10" s="1"/>
  <c r="O3109" i="10" s="1"/>
  <c r="P3109" i="10" s="1"/>
  <c r="Q3109" i="10" s="1"/>
  <c r="R3109" i="10" s="1"/>
  <c r="S3109" i="10" s="1"/>
  <c r="T3109" i="10" s="1"/>
  <c r="U3109" i="10" s="1"/>
  <c r="V3109" i="10" s="1"/>
  <c r="D3111" i="10" l="1"/>
  <c r="M3110" i="10"/>
  <c r="N3110" i="10" s="1"/>
  <c r="O3110" i="10" s="1"/>
  <c r="P3110" i="10" s="1"/>
  <c r="Q3110" i="10" s="1"/>
  <c r="R3110" i="10" s="1"/>
  <c r="S3110" i="10" s="1"/>
  <c r="T3110" i="10" s="1"/>
  <c r="U3110" i="10" s="1"/>
  <c r="V3110" i="10" s="1"/>
  <c r="D3112" i="10" l="1"/>
  <c r="M3111" i="10"/>
  <c r="N3111" i="10" s="1"/>
  <c r="O3111" i="10" s="1"/>
  <c r="P3111" i="10" s="1"/>
  <c r="Q3111" i="10" s="1"/>
  <c r="R3111" i="10" s="1"/>
  <c r="S3111" i="10" s="1"/>
  <c r="T3111" i="10" s="1"/>
  <c r="U3111" i="10" s="1"/>
  <c r="V3111" i="10" s="1"/>
  <c r="D3113" i="10" l="1"/>
  <c r="M3112" i="10"/>
  <c r="N3112" i="10" s="1"/>
  <c r="O3112" i="10" s="1"/>
  <c r="P3112" i="10" s="1"/>
  <c r="Q3112" i="10" s="1"/>
  <c r="R3112" i="10" s="1"/>
  <c r="S3112" i="10" s="1"/>
  <c r="T3112" i="10" s="1"/>
  <c r="U3112" i="10" s="1"/>
  <c r="V3112" i="10" s="1"/>
  <c r="D3114" i="10" l="1"/>
  <c r="M3113" i="10"/>
  <c r="N3113" i="10" s="1"/>
  <c r="O3113" i="10" s="1"/>
  <c r="P3113" i="10" s="1"/>
  <c r="Q3113" i="10" s="1"/>
  <c r="R3113" i="10" s="1"/>
  <c r="S3113" i="10" s="1"/>
  <c r="T3113" i="10" s="1"/>
  <c r="U3113" i="10" s="1"/>
  <c r="V3113" i="10" s="1"/>
  <c r="D3115" i="10" l="1"/>
  <c r="M3114" i="10"/>
  <c r="N3114" i="10" s="1"/>
  <c r="O3114" i="10" s="1"/>
  <c r="P3114" i="10" s="1"/>
  <c r="Q3114" i="10" s="1"/>
  <c r="R3114" i="10" s="1"/>
  <c r="S3114" i="10" s="1"/>
  <c r="T3114" i="10" s="1"/>
  <c r="U3114" i="10" s="1"/>
  <c r="V3114" i="10" s="1"/>
  <c r="D3116" i="10" l="1"/>
  <c r="M3115" i="10"/>
  <c r="N3115" i="10" s="1"/>
  <c r="O3115" i="10" s="1"/>
  <c r="P3115" i="10" s="1"/>
  <c r="Q3115" i="10" s="1"/>
  <c r="R3115" i="10" s="1"/>
  <c r="S3115" i="10" s="1"/>
  <c r="T3115" i="10" s="1"/>
  <c r="U3115" i="10" s="1"/>
  <c r="V3115" i="10" s="1"/>
  <c r="D3117" i="10" l="1"/>
  <c r="M3116" i="10"/>
  <c r="N3116" i="10" s="1"/>
  <c r="O3116" i="10" s="1"/>
  <c r="P3116" i="10" s="1"/>
  <c r="Q3116" i="10" s="1"/>
  <c r="R3116" i="10" s="1"/>
  <c r="S3116" i="10" s="1"/>
  <c r="T3116" i="10" s="1"/>
  <c r="U3116" i="10" s="1"/>
  <c r="V3116" i="10" s="1"/>
  <c r="D3118" i="10" l="1"/>
  <c r="M3117" i="10"/>
  <c r="N3117" i="10" s="1"/>
  <c r="O3117" i="10" s="1"/>
  <c r="P3117" i="10" s="1"/>
  <c r="Q3117" i="10" s="1"/>
  <c r="R3117" i="10" s="1"/>
  <c r="S3117" i="10" s="1"/>
  <c r="T3117" i="10" s="1"/>
  <c r="U3117" i="10" s="1"/>
  <c r="V3117" i="10" s="1"/>
  <c r="D3119" i="10" l="1"/>
  <c r="M3118" i="10"/>
  <c r="N3118" i="10" s="1"/>
  <c r="O3118" i="10" s="1"/>
  <c r="P3118" i="10" s="1"/>
  <c r="Q3118" i="10" s="1"/>
  <c r="R3118" i="10" s="1"/>
  <c r="S3118" i="10" s="1"/>
  <c r="T3118" i="10" s="1"/>
  <c r="U3118" i="10" s="1"/>
  <c r="V3118" i="10" s="1"/>
  <c r="D3120" i="10" l="1"/>
  <c r="M3119" i="10"/>
  <c r="N3119" i="10" s="1"/>
  <c r="O3119" i="10" s="1"/>
  <c r="P3119" i="10" s="1"/>
  <c r="Q3119" i="10" s="1"/>
  <c r="R3119" i="10" s="1"/>
  <c r="S3119" i="10" s="1"/>
  <c r="T3119" i="10" s="1"/>
  <c r="U3119" i="10" s="1"/>
  <c r="V3119" i="10" s="1"/>
  <c r="D3121" i="10" l="1"/>
  <c r="M3120" i="10"/>
  <c r="N3120" i="10" s="1"/>
  <c r="O3120" i="10" s="1"/>
  <c r="P3120" i="10" s="1"/>
  <c r="Q3120" i="10" s="1"/>
  <c r="R3120" i="10" s="1"/>
  <c r="S3120" i="10" s="1"/>
  <c r="T3120" i="10" s="1"/>
  <c r="U3120" i="10" s="1"/>
  <c r="V3120" i="10" s="1"/>
  <c r="D3122" i="10" l="1"/>
  <c r="M3121" i="10"/>
  <c r="N3121" i="10" s="1"/>
  <c r="O3121" i="10" s="1"/>
  <c r="P3121" i="10" s="1"/>
  <c r="Q3121" i="10" s="1"/>
  <c r="R3121" i="10" s="1"/>
  <c r="S3121" i="10" s="1"/>
  <c r="T3121" i="10" s="1"/>
  <c r="U3121" i="10" s="1"/>
  <c r="V3121" i="10" s="1"/>
  <c r="D3123" i="10" l="1"/>
  <c r="M3122" i="10"/>
  <c r="N3122" i="10" s="1"/>
  <c r="O3122" i="10" s="1"/>
  <c r="P3122" i="10" s="1"/>
  <c r="Q3122" i="10" s="1"/>
  <c r="R3122" i="10" s="1"/>
  <c r="S3122" i="10" s="1"/>
  <c r="T3122" i="10" s="1"/>
  <c r="U3122" i="10" s="1"/>
  <c r="V3122" i="10" s="1"/>
  <c r="D3124" i="10" l="1"/>
  <c r="M3123" i="10"/>
  <c r="N3123" i="10" s="1"/>
  <c r="O3123" i="10" s="1"/>
  <c r="P3123" i="10" s="1"/>
  <c r="Q3123" i="10" s="1"/>
  <c r="R3123" i="10" s="1"/>
  <c r="S3123" i="10" s="1"/>
  <c r="T3123" i="10" s="1"/>
  <c r="U3123" i="10" s="1"/>
  <c r="V3123" i="10" s="1"/>
  <c r="D3125" i="10" l="1"/>
  <c r="M3124" i="10"/>
  <c r="N3124" i="10" s="1"/>
  <c r="O3124" i="10" s="1"/>
  <c r="P3124" i="10" s="1"/>
  <c r="Q3124" i="10" s="1"/>
  <c r="R3124" i="10" s="1"/>
  <c r="S3124" i="10" s="1"/>
  <c r="T3124" i="10" s="1"/>
  <c r="U3124" i="10" s="1"/>
  <c r="V3124" i="10" s="1"/>
  <c r="D3126" i="10" l="1"/>
  <c r="M3125" i="10"/>
  <c r="N3125" i="10" s="1"/>
  <c r="O3125" i="10" s="1"/>
  <c r="P3125" i="10" s="1"/>
  <c r="Q3125" i="10" s="1"/>
  <c r="R3125" i="10" s="1"/>
  <c r="S3125" i="10" s="1"/>
  <c r="T3125" i="10" s="1"/>
  <c r="U3125" i="10" s="1"/>
  <c r="V3125" i="10" s="1"/>
  <c r="D3127" i="10" l="1"/>
  <c r="M3126" i="10"/>
  <c r="N3126" i="10" s="1"/>
  <c r="O3126" i="10" s="1"/>
  <c r="P3126" i="10" s="1"/>
  <c r="Q3126" i="10" s="1"/>
  <c r="R3126" i="10" s="1"/>
  <c r="S3126" i="10" s="1"/>
  <c r="T3126" i="10" s="1"/>
  <c r="U3126" i="10" s="1"/>
  <c r="V3126" i="10" s="1"/>
  <c r="D3128" i="10" l="1"/>
  <c r="M3127" i="10"/>
  <c r="N3127" i="10" s="1"/>
  <c r="O3127" i="10" s="1"/>
  <c r="P3127" i="10" s="1"/>
  <c r="Q3127" i="10" s="1"/>
  <c r="R3127" i="10" s="1"/>
  <c r="S3127" i="10" s="1"/>
  <c r="T3127" i="10" s="1"/>
  <c r="U3127" i="10" s="1"/>
  <c r="V3127" i="10" s="1"/>
  <c r="D3129" i="10" l="1"/>
  <c r="M3128" i="10"/>
  <c r="N3128" i="10" s="1"/>
  <c r="O3128" i="10" s="1"/>
  <c r="P3128" i="10" s="1"/>
  <c r="Q3128" i="10" s="1"/>
  <c r="R3128" i="10" s="1"/>
  <c r="S3128" i="10" s="1"/>
  <c r="T3128" i="10" s="1"/>
  <c r="U3128" i="10" s="1"/>
  <c r="V3128" i="10" s="1"/>
  <c r="D3130" i="10" l="1"/>
  <c r="M3129" i="10"/>
  <c r="N3129" i="10" s="1"/>
  <c r="O3129" i="10" s="1"/>
  <c r="P3129" i="10" s="1"/>
  <c r="Q3129" i="10" s="1"/>
  <c r="R3129" i="10" s="1"/>
  <c r="S3129" i="10" s="1"/>
  <c r="T3129" i="10" s="1"/>
  <c r="U3129" i="10" s="1"/>
  <c r="V3129" i="10" s="1"/>
  <c r="D3131" i="10" l="1"/>
  <c r="M3130" i="10"/>
  <c r="N3130" i="10" s="1"/>
  <c r="O3130" i="10" s="1"/>
  <c r="P3130" i="10" s="1"/>
  <c r="Q3130" i="10" s="1"/>
  <c r="R3130" i="10" s="1"/>
  <c r="S3130" i="10" s="1"/>
  <c r="T3130" i="10" s="1"/>
  <c r="U3130" i="10" s="1"/>
  <c r="V3130" i="10" s="1"/>
  <c r="D3132" i="10" l="1"/>
  <c r="M3131" i="10"/>
  <c r="N3131" i="10" s="1"/>
  <c r="O3131" i="10" s="1"/>
  <c r="P3131" i="10" s="1"/>
  <c r="Q3131" i="10" s="1"/>
  <c r="R3131" i="10" s="1"/>
  <c r="S3131" i="10" s="1"/>
  <c r="T3131" i="10" s="1"/>
  <c r="U3131" i="10" s="1"/>
  <c r="V3131" i="10" s="1"/>
  <c r="D3133" i="10" l="1"/>
  <c r="M3132" i="10"/>
  <c r="N3132" i="10" s="1"/>
  <c r="O3132" i="10" s="1"/>
  <c r="P3132" i="10" s="1"/>
  <c r="Q3132" i="10" s="1"/>
  <c r="R3132" i="10" s="1"/>
  <c r="S3132" i="10" s="1"/>
  <c r="T3132" i="10" s="1"/>
  <c r="U3132" i="10" s="1"/>
  <c r="V3132" i="10" s="1"/>
  <c r="D3134" i="10" l="1"/>
  <c r="M3133" i="10"/>
  <c r="N3133" i="10" s="1"/>
  <c r="O3133" i="10" s="1"/>
  <c r="P3133" i="10" s="1"/>
  <c r="Q3133" i="10" s="1"/>
  <c r="R3133" i="10" s="1"/>
  <c r="S3133" i="10" s="1"/>
  <c r="T3133" i="10" s="1"/>
  <c r="U3133" i="10" s="1"/>
  <c r="V3133" i="10" s="1"/>
  <c r="D3135" i="10" l="1"/>
  <c r="M3134" i="10"/>
  <c r="N3134" i="10" s="1"/>
  <c r="O3134" i="10" s="1"/>
  <c r="P3134" i="10" s="1"/>
  <c r="Q3134" i="10" s="1"/>
  <c r="R3134" i="10" s="1"/>
  <c r="S3134" i="10" s="1"/>
  <c r="T3134" i="10" s="1"/>
  <c r="U3134" i="10" s="1"/>
  <c r="V3134" i="10" s="1"/>
  <c r="D3136" i="10" l="1"/>
  <c r="M3135" i="10"/>
  <c r="N3135" i="10" s="1"/>
  <c r="O3135" i="10" s="1"/>
  <c r="P3135" i="10" s="1"/>
  <c r="Q3135" i="10" s="1"/>
  <c r="R3135" i="10" s="1"/>
  <c r="S3135" i="10" s="1"/>
  <c r="T3135" i="10" s="1"/>
  <c r="U3135" i="10" s="1"/>
  <c r="V3135" i="10" s="1"/>
  <c r="D3137" i="10" l="1"/>
  <c r="M3136" i="10"/>
  <c r="N3136" i="10" s="1"/>
  <c r="O3136" i="10" s="1"/>
  <c r="P3136" i="10" s="1"/>
  <c r="Q3136" i="10" s="1"/>
  <c r="R3136" i="10" s="1"/>
  <c r="S3136" i="10" s="1"/>
  <c r="T3136" i="10" s="1"/>
  <c r="U3136" i="10" s="1"/>
  <c r="V3136" i="10" s="1"/>
  <c r="D3138" i="10" l="1"/>
  <c r="M3137" i="10"/>
  <c r="N3137" i="10" s="1"/>
  <c r="O3137" i="10" s="1"/>
  <c r="P3137" i="10" s="1"/>
  <c r="Q3137" i="10" s="1"/>
  <c r="R3137" i="10" s="1"/>
  <c r="S3137" i="10" s="1"/>
  <c r="T3137" i="10" s="1"/>
  <c r="U3137" i="10" s="1"/>
  <c r="V3137" i="10" s="1"/>
  <c r="D3139" i="10" l="1"/>
  <c r="M3138" i="10"/>
  <c r="N3138" i="10" s="1"/>
  <c r="O3138" i="10" s="1"/>
  <c r="P3138" i="10" s="1"/>
  <c r="Q3138" i="10" s="1"/>
  <c r="R3138" i="10" s="1"/>
  <c r="S3138" i="10" s="1"/>
  <c r="T3138" i="10" s="1"/>
  <c r="U3138" i="10" s="1"/>
  <c r="V3138" i="10" s="1"/>
  <c r="D3140" i="10" l="1"/>
  <c r="M3139" i="10"/>
  <c r="N3139" i="10" s="1"/>
  <c r="O3139" i="10" s="1"/>
  <c r="P3139" i="10" s="1"/>
  <c r="Q3139" i="10" s="1"/>
  <c r="R3139" i="10" s="1"/>
  <c r="S3139" i="10" s="1"/>
  <c r="T3139" i="10" s="1"/>
  <c r="U3139" i="10" s="1"/>
  <c r="V3139" i="10" s="1"/>
  <c r="D3141" i="10" l="1"/>
  <c r="M3140" i="10"/>
  <c r="N3140" i="10" s="1"/>
  <c r="O3140" i="10" s="1"/>
  <c r="P3140" i="10" s="1"/>
  <c r="Q3140" i="10" s="1"/>
  <c r="R3140" i="10" s="1"/>
  <c r="S3140" i="10" s="1"/>
  <c r="T3140" i="10" s="1"/>
  <c r="U3140" i="10" s="1"/>
  <c r="V3140" i="10" s="1"/>
  <c r="D3142" i="10" l="1"/>
  <c r="M3141" i="10"/>
  <c r="N3141" i="10" s="1"/>
  <c r="O3141" i="10" s="1"/>
  <c r="P3141" i="10" s="1"/>
  <c r="Q3141" i="10" s="1"/>
  <c r="R3141" i="10" s="1"/>
  <c r="S3141" i="10" s="1"/>
  <c r="T3141" i="10" s="1"/>
  <c r="U3141" i="10" s="1"/>
  <c r="V3141" i="10" s="1"/>
  <c r="D3143" i="10" l="1"/>
  <c r="M3142" i="10"/>
  <c r="N3142" i="10" s="1"/>
  <c r="O3142" i="10" s="1"/>
  <c r="P3142" i="10" s="1"/>
  <c r="Q3142" i="10" s="1"/>
  <c r="R3142" i="10" s="1"/>
  <c r="S3142" i="10" s="1"/>
  <c r="T3142" i="10" s="1"/>
  <c r="U3142" i="10" s="1"/>
  <c r="V3142" i="10" s="1"/>
  <c r="D3144" i="10" l="1"/>
  <c r="M3143" i="10"/>
  <c r="N3143" i="10" s="1"/>
  <c r="O3143" i="10" s="1"/>
  <c r="P3143" i="10" s="1"/>
  <c r="Q3143" i="10" s="1"/>
  <c r="R3143" i="10" s="1"/>
  <c r="S3143" i="10" s="1"/>
  <c r="T3143" i="10" s="1"/>
  <c r="U3143" i="10" s="1"/>
  <c r="V3143" i="10" s="1"/>
  <c r="D3145" i="10" l="1"/>
  <c r="M3144" i="10"/>
  <c r="N3144" i="10" s="1"/>
  <c r="O3144" i="10" s="1"/>
  <c r="P3144" i="10" s="1"/>
  <c r="Q3144" i="10" s="1"/>
  <c r="R3144" i="10" s="1"/>
  <c r="S3144" i="10" s="1"/>
  <c r="T3144" i="10" s="1"/>
  <c r="U3144" i="10" s="1"/>
  <c r="V3144" i="10" s="1"/>
  <c r="D3146" i="10" l="1"/>
  <c r="M3145" i="10"/>
  <c r="N3145" i="10" s="1"/>
  <c r="O3145" i="10" s="1"/>
  <c r="P3145" i="10" s="1"/>
  <c r="Q3145" i="10" s="1"/>
  <c r="R3145" i="10" s="1"/>
  <c r="S3145" i="10" s="1"/>
  <c r="T3145" i="10" s="1"/>
  <c r="U3145" i="10" s="1"/>
  <c r="V3145" i="10" s="1"/>
  <c r="D3147" i="10" l="1"/>
  <c r="M3146" i="10"/>
  <c r="N3146" i="10" s="1"/>
  <c r="O3146" i="10" s="1"/>
  <c r="P3146" i="10" s="1"/>
  <c r="Q3146" i="10" s="1"/>
  <c r="R3146" i="10" s="1"/>
  <c r="S3146" i="10" s="1"/>
  <c r="T3146" i="10" s="1"/>
  <c r="U3146" i="10" s="1"/>
  <c r="V3146" i="10" s="1"/>
  <c r="D3148" i="10" l="1"/>
  <c r="M3147" i="10"/>
  <c r="N3147" i="10" s="1"/>
  <c r="O3147" i="10" s="1"/>
  <c r="P3147" i="10" s="1"/>
  <c r="Q3147" i="10" s="1"/>
  <c r="R3147" i="10" s="1"/>
  <c r="S3147" i="10" s="1"/>
  <c r="T3147" i="10" s="1"/>
  <c r="U3147" i="10" s="1"/>
  <c r="V3147" i="10" s="1"/>
  <c r="D3149" i="10" l="1"/>
  <c r="M3148" i="10"/>
  <c r="N3148" i="10" s="1"/>
  <c r="O3148" i="10" s="1"/>
  <c r="P3148" i="10" s="1"/>
  <c r="Q3148" i="10" s="1"/>
  <c r="R3148" i="10" s="1"/>
  <c r="S3148" i="10" s="1"/>
  <c r="T3148" i="10" s="1"/>
  <c r="U3148" i="10" s="1"/>
  <c r="V3148" i="10" s="1"/>
  <c r="D3150" i="10" l="1"/>
  <c r="M3149" i="10"/>
  <c r="N3149" i="10" s="1"/>
  <c r="O3149" i="10" s="1"/>
  <c r="P3149" i="10" s="1"/>
  <c r="Q3149" i="10" s="1"/>
  <c r="R3149" i="10" s="1"/>
  <c r="S3149" i="10" s="1"/>
  <c r="T3149" i="10" s="1"/>
  <c r="U3149" i="10" s="1"/>
  <c r="V3149" i="10" s="1"/>
  <c r="D3151" i="10" l="1"/>
  <c r="M3150" i="10"/>
  <c r="N3150" i="10" s="1"/>
  <c r="O3150" i="10" s="1"/>
  <c r="P3150" i="10" s="1"/>
  <c r="Q3150" i="10" s="1"/>
  <c r="R3150" i="10" s="1"/>
  <c r="S3150" i="10" s="1"/>
  <c r="T3150" i="10" s="1"/>
  <c r="U3150" i="10" s="1"/>
  <c r="V3150" i="10" s="1"/>
  <c r="D3152" i="10" l="1"/>
  <c r="M3151" i="10"/>
  <c r="N3151" i="10" s="1"/>
  <c r="O3151" i="10" s="1"/>
  <c r="P3151" i="10" s="1"/>
  <c r="Q3151" i="10" s="1"/>
  <c r="R3151" i="10" s="1"/>
  <c r="S3151" i="10" s="1"/>
  <c r="T3151" i="10" s="1"/>
  <c r="U3151" i="10" s="1"/>
  <c r="V3151" i="10" s="1"/>
  <c r="D3153" i="10" l="1"/>
  <c r="M3152" i="10"/>
  <c r="N3152" i="10" s="1"/>
  <c r="O3152" i="10" s="1"/>
  <c r="P3152" i="10" s="1"/>
  <c r="Q3152" i="10" s="1"/>
  <c r="R3152" i="10" s="1"/>
  <c r="S3152" i="10" s="1"/>
  <c r="T3152" i="10" s="1"/>
  <c r="U3152" i="10" s="1"/>
  <c r="V3152" i="10" s="1"/>
  <c r="D3154" i="10" l="1"/>
  <c r="M3153" i="10"/>
  <c r="N3153" i="10" s="1"/>
  <c r="O3153" i="10" s="1"/>
  <c r="P3153" i="10" s="1"/>
  <c r="Q3153" i="10" s="1"/>
  <c r="R3153" i="10" s="1"/>
  <c r="S3153" i="10" s="1"/>
  <c r="T3153" i="10" s="1"/>
  <c r="U3153" i="10" s="1"/>
  <c r="V3153" i="10" s="1"/>
  <c r="D3155" i="10" l="1"/>
  <c r="M3154" i="10"/>
  <c r="N3154" i="10" s="1"/>
  <c r="O3154" i="10" s="1"/>
  <c r="P3154" i="10" s="1"/>
  <c r="Q3154" i="10" s="1"/>
  <c r="R3154" i="10" s="1"/>
  <c r="S3154" i="10" s="1"/>
  <c r="T3154" i="10" s="1"/>
  <c r="U3154" i="10" s="1"/>
  <c r="V3154" i="10" s="1"/>
  <c r="D3156" i="10" l="1"/>
  <c r="M3155" i="10"/>
  <c r="N3155" i="10" s="1"/>
  <c r="O3155" i="10" s="1"/>
  <c r="P3155" i="10" s="1"/>
  <c r="Q3155" i="10" s="1"/>
  <c r="R3155" i="10" s="1"/>
  <c r="S3155" i="10" s="1"/>
  <c r="T3155" i="10" s="1"/>
  <c r="U3155" i="10" s="1"/>
  <c r="V3155" i="10" s="1"/>
  <c r="D3157" i="10" l="1"/>
  <c r="M3156" i="10"/>
  <c r="N3156" i="10" s="1"/>
  <c r="O3156" i="10" s="1"/>
  <c r="P3156" i="10" s="1"/>
  <c r="Q3156" i="10" s="1"/>
  <c r="R3156" i="10" s="1"/>
  <c r="S3156" i="10" s="1"/>
  <c r="T3156" i="10" s="1"/>
  <c r="U3156" i="10" s="1"/>
  <c r="V3156" i="10" s="1"/>
  <c r="D3158" i="10" l="1"/>
  <c r="M3157" i="10"/>
  <c r="N3157" i="10" s="1"/>
  <c r="O3157" i="10" s="1"/>
  <c r="P3157" i="10" s="1"/>
  <c r="Q3157" i="10" s="1"/>
  <c r="R3157" i="10" s="1"/>
  <c r="S3157" i="10" s="1"/>
  <c r="T3157" i="10" s="1"/>
  <c r="U3157" i="10" s="1"/>
  <c r="V3157" i="10" s="1"/>
  <c r="D3159" i="10" l="1"/>
  <c r="M3158" i="10"/>
  <c r="N3158" i="10" s="1"/>
  <c r="O3158" i="10" s="1"/>
  <c r="P3158" i="10" s="1"/>
  <c r="Q3158" i="10" s="1"/>
  <c r="R3158" i="10" s="1"/>
  <c r="S3158" i="10" s="1"/>
  <c r="T3158" i="10" s="1"/>
  <c r="U3158" i="10" s="1"/>
  <c r="V3158" i="10" s="1"/>
  <c r="D3160" i="10" l="1"/>
  <c r="M3159" i="10"/>
  <c r="N3159" i="10" s="1"/>
  <c r="O3159" i="10" s="1"/>
  <c r="P3159" i="10" s="1"/>
  <c r="Q3159" i="10" s="1"/>
  <c r="R3159" i="10" s="1"/>
  <c r="S3159" i="10" s="1"/>
  <c r="T3159" i="10" s="1"/>
  <c r="U3159" i="10" s="1"/>
  <c r="V3159" i="10" s="1"/>
  <c r="D3161" i="10" l="1"/>
  <c r="M3160" i="10"/>
  <c r="N3160" i="10" s="1"/>
  <c r="O3160" i="10" s="1"/>
  <c r="P3160" i="10" s="1"/>
  <c r="Q3160" i="10" s="1"/>
  <c r="R3160" i="10" s="1"/>
  <c r="S3160" i="10" s="1"/>
  <c r="T3160" i="10" s="1"/>
  <c r="U3160" i="10" s="1"/>
  <c r="V3160" i="10" s="1"/>
  <c r="D3162" i="10" l="1"/>
  <c r="M3161" i="10"/>
  <c r="N3161" i="10" s="1"/>
  <c r="O3161" i="10" s="1"/>
  <c r="P3161" i="10" s="1"/>
  <c r="Q3161" i="10" s="1"/>
  <c r="R3161" i="10" s="1"/>
  <c r="S3161" i="10" s="1"/>
  <c r="T3161" i="10" s="1"/>
  <c r="U3161" i="10" s="1"/>
  <c r="V3161" i="10" s="1"/>
  <c r="D3163" i="10" l="1"/>
  <c r="M3162" i="10"/>
  <c r="N3162" i="10" s="1"/>
  <c r="O3162" i="10" s="1"/>
  <c r="P3162" i="10" s="1"/>
  <c r="Q3162" i="10" s="1"/>
  <c r="R3162" i="10" s="1"/>
  <c r="S3162" i="10" s="1"/>
  <c r="T3162" i="10" s="1"/>
  <c r="U3162" i="10" s="1"/>
  <c r="V3162" i="10" s="1"/>
  <c r="D3164" i="10" l="1"/>
  <c r="M3163" i="10"/>
  <c r="N3163" i="10" s="1"/>
  <c r="O3163" i="10" s="1"/>
  <c r="P3163" i="10" s="1"/>
  <c r="Q3163" i="10" s="1"/>
  <c r="R3163" i="10" s="1"/>
  <c r="S3163" i="10" s="1"/>
  <c r="T3163" i="10" s="1"/>
  <c r="U3163" i="10" s="1"/>
  <c r="V3163" i="10" s="1"/>
  <c r="D3165" i="10" l="1"/>
  <c r="M3164" i="10"/>
  <c r="N3164" i="10" s="1"/>
  <c r="O3164" i="10" s="1"/>
  <c r="P3164" i="10" s="1"/>
  <c r="Q3164" i="10" s="1"/>
  <c r="R3164" i="10" s="1"/>
  <c r="S3164" i="10" s="1"/>
  <c r="T3164" i="10" s="1"/>
  <c r="U3164" i="10" s="1"/>
  <c r="V3164" i="10" s="1"/>
  <c r="D3166" i="10" l="1"/>
  <c r="M3165" i="10"/>
  <c r="N3165" i="10" s="1"/>
  <c r="O3165" i="10" s="1"/>
  <c r="P3165" i="10" s="1"/>
  <c r="Q3165" i="10" s="1"/>
  <c r="R3165" i="10" s="1"/>
  <c r="S3165" i="10" s="1"/>
  <c r="T3165" i="10" s="1"/>
  <c r="U3165" i="10" s="1"/>
  <c r="V3165" i="10" s="1"/>
  <c r="D3167" i="10" l="1"/>
  <c r="M3166" i="10"/>
  <c r="N3166" i="10" s="1"/>
  <c r="O3166" i="10" s="1"/>
  <c r="P3166" i="10" s="1"/>
  <c r="Q3166" i="10" s="1"/>
  <c r="R3166" i="10" s="1"/>
  <c r="S3166" i="10" s="1"/>
  <c r="T3166" i="10" s="1"/>
  <c r="U3166" i="10" s="1"/>
  <c r="V3166" i="10" s="1"/>
  <c r="D3168" i="10" l="1"/>
  <c r="M3167" i="10"/>
  <c r="N3167" i="10" s="1"/>
  <c r="O3167" i="10" s="1"/>
  <c r="P3167" i="10" s="1"/>
  <c r="Q3167" i="10" s="1"/>
  <c r="R3167" i="10" s="1"/>
  <c r="S3167" i="10" s="1"/>
  <c r="T3167" i="10" s="1"/>
  <c r="U3167" i="10" s="1"/>
  <c r="V3167" i="10" s="1"/>
  <c r="D3169" i="10" l="1"/>
  <c r="M3168" i="10"/>
  <c r="N3168" i="10" s="1"/>
  <c r="O3168" i="10" s="1"/>
  <c r="P3168" i="10" s="1"/>
  <c r="Q3168" i="10" s="1"/>
  <c r="R3168" i="10" s="1"/>
  <c r="S3168" i="10" s="1"/>
  <c r="T3168" i="10" s="1"/>
  <c r="U3168" i="10" s="1"/>
  <c r="V3168" i="10" s="1"/>
  <c r="D3170" i="10" l="1"/>
  <c r="M3169" i="10"/>
  <c r="N3169" i="10" s="1"/>
  <c r="O3169" i="10" s="1"/>
  <c r="P3169" i="10" s="1"/>
  <c r="Q3169" i="10" s="1"/>
  <c r="R3169" i="10" s="1"/>
  <c r="S3169" i="10" s="1"/>
  <c r="T3169" i="10" s="1"/>
  <c r="U3169" i="10" s="1"/>
  <c r="V3169" i="10" s="1"/>
  <c r="D3171" i="10" l="1"/>
  <c r="M3170" i="10"/>
  <c r="N3170" i="10" s="1"/>
  <c r="O3170" i="10" s="1"/>
  <c r="P3170" i="10" s="1"/>
  <c r="Q3170" i="10" s="1"/>
  <c r="R3170" i="10" s="1"/>
  <c r="S3170" i="10" s="1"/>
  <c r="T3170" i="10" s="1"/>
  <c r="U3170" i="10" s="1"/>
  <c r="V3170" i="10" s="1"/>
  <c r="D3172" i="10" l="1"/>
  <c r="M3171" i="10"/>
  <c r="N3171" i="10" s="1"/>
  <c r="O3171" i="10" s="1"/>
  <c r="P3171" i="10" s="1"/>
  <c r="Q3171" i="10" s="1"/>
  <c r="R3171" i="10" s="1"/>
  <c r="S3171" i="10" s="1"/>
  <c r="T3171" i="10" s="1"/>
  <c r="U3171" i="10" s="1"/>
  <c r="V3171" i="10" s="1"/>
  <c r="D3173" i="10" l="1"/>
  <c r="M3172" i="10"/>
  <c r="N3172" i="10" s="1"/>
  <c r="O3172" i="10" s="1"/>
  <c r="P3172" i="10" s="1"/>
  <c r="Q3172" i="10" s="1"/>
  <c r="R3172" i="10" s="1"/>
  <c r="S3172" i="10" s="1"/>
  <c r="T3172" i="10" s="1"/>
  <c r="U3172" i="10" s="1"/>
  <c r="V3172" i="10" s="1"/>
  <c r="D3174" i="10" l="1"/>
  <c r="M3173" i="10"/>
  <c r="N3173" i="10" s="1"/>
  <c r="O3173" i="10" s="1"/>
  <c r="P3173" i="10" s="1"/>
  <c r="Q3173" i="10" s="1"/>
  <c r="R3173" i="10" s="1"/>
  <c r="S3173" i="10" s="1"/>
  <c r="T3173" i="10" s="1"/>
  <c r="U3173" i="10" s="1"/>
  <c r="V3173" i="10" s="1"/>
  <c r="D3175" i="10" l="1"/>
  <c r="M3174" i="10"/>
  <c r="N3174" i="10" s="1"/>
  <c r="O3174" i="10" s="1"/>
  <c r="P3174" i="10" s="1"/>
  <c r="Q3174" i="10" s="1"/>
  <c r="R3174" i="10" s="1"/>
  <c r="S3174" i="10" s="1"/>
  <c r="T3174" i="10" s="1"/>
  <c r="U3174" i="10" s="1"/>
  <c r="V3174" i="10" s="1"/>
  <c r="D3176" i="10" l="1"/>
  <c r="M3175" i="10"/>
  <c r="N3175" i="10" s="1"/>
  <c r="O3175" i="10" s="1"/>
  <c r="P3175" i="10" s="1"/>
  <c r="Q3175" i="10" s="1"/>
  <c r="R3175" i="10" s="1"/>
  <c r="S3175" i="10" s="1"/>
  <c r="T3175" i="10" s="1"/>
  <c r="U3175" i="10" s="1"/>
  <c r="V3175" i="10" s="1"/>
  <c r="D3177" i="10" l="1"/>
  <c r="M3176" i="10"/>
  <c r="N3176" i="10" s="1"/>
  <c r="O3176" i="10" s="1"/>
  <c r="P3176" i="10" s="1"/>
  <c r="Q3176" i="10" s="1"/>
  <c r="R3176" i="10" s="1"/>
  <c r="S3176" i="10" s="1"/>
  <c r="T3176" i="10" s="1"/>
  <c r="U3176" i="10" s="1"/>
  <c r="V3176" i="10" s="1"/>
  <c r="D3178" i="10" l="1"/>
  <c r="M3177" i="10"/>
  <c r="N3177" i="10" s="1"/>
  <c r="O3177" i="10" s="1"/>
  <c r="P3177" i="10" s="1"/>
  <c r="Q3177" i="10" s="1"/>
  <c r="R3177" i="10" s="1"/>
  <c r="S3177" i="10" s="1"/>
  <c r="T3177" i="10" s="1"/>
  <c r="U3177" i="10" s="1"/>
  <c r="V3177" i="10" s="1"/>
  <c r="D3179" i="10" l="1"/>
  <c r="M3178" i="10"/>
  <c r="N3178" i="10" s="1"/>
  <c r="O3178" i="10" s="1"/>
  <c r="P3178" i="10" s="1"/>
  <c r="Q3178" i="10" s="1"/>
  <c r="R3178" i="10" s="1"/>
  <c r="S3178" i="10" s="1"/>
  <c r="T3178" i="10" s="1"/>
  <c r="U3178" i="10" s="1"/>
  <c r="V3178" i="10" s="1"/>
  <c r="D3180" i="10" l="1"/>
  <c r="M3179" i="10"/>
  <c r="N3179" i="10" s="1"/>
  <c r="O3179" i="10" s="1"/>
  <c r="P3179" i="10" s="1"/>
  <c r="Q3179" i="10" s="1"/>
  <c r="R3179" i="10" s="1"/>
  <c r="S3179" i="10" s="1"/>
  <c r="T3179" i="10" s="1"/>
  <c r="U3179" i="10" s="1"/>
  <c r="V3179" i="10" s="1"/>
  <c r="D3181" i="10" l="1"/>
  <c r="M3180" i="10"/>
  <c r="N3180" i="10" s="1"/>
  <c r="O3180" i="10" s="1"/>
  <c r="P3180" i="10" s="1"/>
  <c r="Q3180" i="10" s="1"/>
  <c r="R3180" i="10" s="1"/>
  <c r="S3180" i="10" s="1"/>
  <c r="T3180" i="10" s="1"/>
  <c r="U3180" i="10" s="1"/>
  <c r="V3180" i="10" s="1"/>
  <c r="D3182" i="10" l="1"/>
  <c r="M3181" i="10"/>
  <c r="N3181" i="10" s="1"/>
  <c r="O3181" i="10" s="1"/>
  <c r="P3181" i="10" s="1"/>
  <c r="Q3181" i="10" s="1"/>
  <c r="R3181" i="10" s="1"/>
  <c r="S3181" i="10" s="1"/>
  <c r="T3181" i="10" s="1"/>
  <c r="U3181" i="10" s="1"/>
  <c r="V3181" i="10" s="1"/>
  <c r="D3183" i="10" l="1"/>
  <c r="M3182" i="10"/>
  <c r="N3182" i="10" s="1"/>
  <c r="O3182" i="10" s="1"/>
  <c r="P3182" i="10" s="1"/>
  <c r="Q3182" i="10" s="1"/>
  <c r="R3182" i="10" s="1"/>
  <c r="S3182" i="10" s="1"/>
  <c r="T3182" i="10" s="1"/>
  <c r="U3182" i="10" s="1"/>
  <c r="V3182" i="10" s="1"/>
  <c r="D3184" i="10" l="1"/>
  <c r="M3183" i="10"/>
  <c r="N3183" i="10" s="1"/>
  <c r="O3183" i="10" s="1"/>
  <c r="P3183" i="10" s="1"/>
  <c r="Q3183" i="10" s="1"/>
  <c r="R3183" i="10" s="1"/>
  <c r="S3183" i="10" s="1"/>
  <c r="T3183" i="10" s="1"/>
  <c r="U3183" i="10" s="1"/>
  <c r="V3183" i="10" s="1"/>
  <c r="D3185" i="10" l="1"/>
  <c r="M3184" i="10"/>
  <c r="N3184" i="10" s="1"/>
  <c r="O3184" i="10" s="1"/>
  <c r="P3184" i="10" s="1"/>
  <c r="Q3184" i="10" s="1"/>
  <c r="R3184" i="10" s="1"/>
  <c r="S3184" i="10" s="1"/>
  <c r="T3184" i="10" s="1"/>
  <c r="U3184" i="10" s="1"/>
  <c r="V3184" i="10" s="1"/>
  <c r="D3186" i="10" l="1"/>
  <c r="M3185" i="10"/>
  <c r="N3185" i="10" s="1"/>
  <c r="O3185" i="10" s="1"/>
  <c r="P3185" i="10" s="1"/>
  <c r="Q3185" i="10" s="1"/>
  <c r="R3185" i="10" s="1"/>
  <c r="S3185" i="10" s="1"/>
  <c r="T3185" i="10" s="1"/>
  <c r="U3185" i="10" s="1"/>
  <c r="V3185" i="10" s="1"/>
  <c r="D3187" i="10" l="1"/>
  <c r="M3186" i="10"/>
  <c r="N3186" i="10" s="1"/>
  <c r="O3186" i="10" s="1"/>
  <c r="P3186" i="10" s="1"/>
  <c r="Q3186" i="10" s="1"/>
  <c r="R3186" i="10" s="1"/>
  <c r="S3186" i="10" s="1"/>
  <c r="T3186" i="10" s="1"/>
  <c r="U3186" i="10" s="1"/>
  <c r="V3186" i="10" s="1"/>
  <c r="D3188" i="10" l="1"/>
  <c r="M3187" i="10"/>
  <c r="N3187" i="10" s="1"/>
  <c r="O3187" i="10" s="1"/>
  <c r="P3187" i="10" s="1"/>
  <c r="Q3187" i="10" s="1"/>
  <c r="R3187" i="10" s="1"/>
  <c r="S3187" i="10" s="1"/>
  <c r="T3187" i="10" s="1"/>
  <c r="U3187" i="10" s="1"/>
  <c r="V3187" i="10" s="1"/>
  <c r="D3189" i="10" l="1"/>
  <c r="M3188" i="10"/>
  <c r="N3188" i="10" s="1"/>
  <c r="O3188" i="10" s="1"/>
  <c r="P3188" i="10" s="1"/>
  <c r="Q3188" i="10" s="1"/>
  <c r="R3188" i="10" s="1"/>
  <c r="S3188" i="10" s="1"/>
  <c r="T3188" i="10" s="1"/>
  <c r="U3188" i="10" s="1"/>
  <c r="V3188" i="10" s="1"/>
  <c r="D3190" i="10" l="1"/>
  <c r="M3189" i="10"/>
  <c r="N3189" i="10" s="1"/>
  <c r="O3189" i="10" s="1"/>
  <c r="P3189" i="10" s="1"/>
  <c r="Q3189" i="10" s="1"/>
  <c r="R3189" i="10" s="1"/>
  <c r="S3189" i="10" s="1"/>
  <c r="T3189" i="10" s="1"/>
  <c r="U3189" i="10" s="1"/>
  <c r="V3189" i="10" s="1"/>
  <c r="D3191" i="10" l="1"/>
  <c r="M3190" i="10"/>
  <c r="N3190" i="10" s="1"/>
  <c r="O3190" i="10" s="1"/>
  <c r="P3190" i="10" s="1"/>
  <c r="Q3190" i="10" s="1"/>
  <c r="R3190" i="10" s="1"/>
  <c r="S3190" i="10" s="1"/>
  <c r="T3190" i="10" s="1"/>
  <c r="U3190" i="10" s="1"/>
  <c r="V3190" i="10" s="1"/>
  <c r="D3192" i="10" l="1"/>
  <c r="M3191" i="10"/>
  <c r="N3191" i="10" s="1"/>
  <c r="O3191" i="10" s="1"/>
  <c r="P3191" i="10" s="1"/>
  <c r="Q3191" i="10" s="1"/>
  <c r="R3191" i="10" s="1"/>
  <c r="S3191" i="10" s="1"/>
  <c r="T3191" i="10" s="1"/>
  <c r="U3191" i="10" s="1"/>
  <c r="V3191" i="10" s="1"/>
  <c r="D3193" i="10" l="1"/>
  <c r="M3192" i="10"/>
  <c r="N3192" i="10" s="1"/>
  <c r="O3192" i="10" s="1"/>
  <c r="P3192" i="10" s="1"/>
  <c r="Q3192" i="10" s="1"/>
  <c r="R3192" i="10" s="1"/>
  <c r="S3192" i="10" s="1"/>
  <c r="T3192" i="10" s="1"/>
  <c r="U3192" i="10" s="1"/>
  <c r="V3192" i="10" s="1"/>
  <c r="D3194" i="10" l="1"/>
  <c r="M3193" i="10"/>
  <c r="N3193" i="10" s="1"/>
  <c r="O3193" i="10" s="1"/>
  <c r="P3193" i="10" s="1"/>
  <c r="Q3193" i="10" s="1"/>
  <c r="R3193" i="10" s="1"/>
  <c r="S3193" i="10" s="1"/>
  <c r="T3193" i="10" s="1"/>
  <c r="U3193" i="10" s="1"/>
  <c r="V3193" i="10" s="1"/>
  <c r="D3195" i="10" l="1"/>
  <c r="M3194" i="10"/>
  <c r="N3194" i="10" s="1"/>
  <c r="O3194" i="10" s="1"/>
  <c r="P3194" i="10" s="1"/>
  <c r="Q3194" i="10" s="1"/>
  <c r="R3194" i="10" s="1"/>
  <c r="S3194" i="10" s="1"/>
  <c r="T3194" i="10" s="1"/>
  <c r="U3194" i="10" s="1"/>
  <c r="V3194" i="10" s="1"/>
  <c r="D3196" i="10" l="1"/>
  <c r="M3195" i="10"/>
  <c r="N3195" i="10" s="1"/>
  <c r="O3195" i="10" s="1"/>
  <c r="P3195" i="10" s="1"/>
  <c r="Q3195" i="10" s="1"/>
  <c r="R3195" i="10" s="1"/>
  <c r="S3195" i="10" s="1"/>
  <c r="T3195" i="10" s="1"/>
  <c r="U3195" i="10" s="1"/>
  <c r="V3195" i="10" s="1"/>
  <c r="D3197" i="10" l="1"/>
  <c r="M3196" i="10"/>
  <c r="N3196" i="10" s="1"/>
  <c r="O3196" i="10" s="1"/>
  <c r="P3196" i="10" s="1"/>
  <c r="Q3196" i="10" s="1"/>
  <c r="R3196" i="10" s="1"/>
  <c r="S3196" i="10" s="1"/>
  <c r="T3196" i="10" s="1"/>
  <c r="U3196" i="10" s="1"/>
  <c r="V3196" i="10" s="1"/>
  <c r="D3198" i="10" l="1"/>
  <c r="M3197" i="10"/>
  <c r="N3197" i="10" s="1"/>
  <c r="O3197" i="10" s="1"/>
  <c r="P3197" i="10" s="1"/>
  <c r="Q3197" i="10" s="1"/>
  <c r="R3197" i="10" s="1"/>
  <c r="S3197" i="10" s="1"/>
  <c r="T3197" i="10" s="1"/>
  <c r="U3197" i="10" s="1"/>
  <c r="V3197" i="10" s="1"/>
  <c r="D3199" i="10" l="1"/>
  <c r="M3198" i="10"/>
  <c r="N3198" i="10" s="1"/>
  <c r="O3198" i="10" s="1"/>
  <c r="P3198" i="10" s="1"/>
  <c r="Q3198" i="10" s="1"/>
  <c r="R3198" i="10" s="1"/>
  <c r="S3198" i="10" s="1"/>
  <c r="T3198" i="10" s="1"/>
  <c r="U3198" i="10" s="1"/>
  <c r="V3198" i="10" s="1"/>
  <c r="D3200" i="10" l="1"/>
  <c r="M3199" i="10"/>
  <c r="N3199" i="10" s="1"/>
  <c r="O3199" i="10" s="1"/>
  <c r="P3199" i="10" s="1"/>
  <c r="Q3199" i="10" s="1"/>
  <c r="R3199" i="10" s="1"/>
  <c r="S3199" i="10" s="1"/>
  <c r="T3199" i="10" s="1"/>
  <c r="U3199" i="10" s="1"/>
  <c r="V3199" i="10" s="1"/>
  <c r="D3201" i="10" l="1"/>
  <c r="M3200" i="10"/>
  <c r="N3200" i="10" s="1"/>
  <c r="O3200" i="10" s="1"/>
  <c r="P3200" i="10" s="1"/>
  <c r="Q3200" i="10" s="1"/>
  <c r="R3200" i="10" s="1"/>
  <c r="S3200" i="10" s="1"/>
  <c r="T3200" i="10" s="1"/>
  <c r="U3200" i="10" s="1"/>
  <c r="V3200" i="10" s="1"/>
  <c r="D3202" i="10" l="1"/>
  <c r="M3201" i="10"/>
  <c r="N3201" i="10" s="1"/>
  <c r="O3201" i="10" s="1"/>
  <c r="P3201" i="10" s="1"/>
  <c r="Q3201" i="10" s="1"/>
  <c r="R3201" i="10" s="1"/>
  <c r="S3201" i="10" s="1"/>
  <c r="T3201" i="10" s="1"/>
  <c r="U3201" i="10" s="1"/>
  <c r="V3201" i="10" s="1"/>
  <c r="D3203" i="10" l="1"/>
  <c r="M3202" i="10"/>
  <c r="N3202" i="10" s="1"/>
  <c r="O3202" i="10" s="1"/>
  <c r="P3202" i="10" s="1"/>
  <c r="Q3202" i="10" s="1"/>
  <c r="R3202" i="10" s="1"/>
  <c r="S3202" i="10" s="1"/>
  <c r="T3202" i="10" s="1"/>
  <c r="U3202" i="10" s="1"/>
  <c r="V3202" i="10" s="1"/>
  <c r="D3204" i="10" l="1"/>
  <c r="M3203" i="10"/>
  <c r="N3203" i="10" s="1"/>
  <c r="O3203" i="10" s="1"/>
  <c r="P3203" i="10" s="1"/>
  <c r="Q3203" i="10" s="1"/>
  <c r="R3203" i="10" s="1"/>
  <c r="S3203" i="10" s="1"/>
  <c r="T3203" i="10" s="1"/>
  <c r="U3203" i="10" s="1"/>
  <c r="V3203" i="10" s="1"/>
  <c r="D3205" i="10" l="1"/>
  <c r="M3204" i="10"/>
  <c r="N3204" i="10" s="1"/>
  <c r="O3204" i="10" s="1"/>
  <c r="P3204" i="10" s="1"/>
  <c r="Q3204" i="10" s="1"/>
  <c r="R3204" i="10" s="1"/>
  <c r="S3204" i="10" s="1"/>
  <c r="T3204" i="10" s="1"/>
  <c r="U3204" i="10" s="1"/>
  <c r="V3204" i="10" s="1"/>
  <c r="D3206" i="10" l="1"/>
  <c r="M3205" i="10"/>
  <c r="N3205" i="10" s="1"/>
  <c r="O3205" i="10" s="1"/>
  <c r="P3205" i="10" s="1"/>
  <c r="Q3205" i="10" s="1"/>
  <c r="R3205" i="10" s="1"/>
  <c r="S3205" i="10" s="1"/>
  <c r="T3205" i="10" s="1"/>
  <c r="U3205" i="10" s="1"/>
  <c r="V3205" i="10" s="1"/>
  <c r="D3207" i="10" l="1"/>
  <c r="M3206" i="10"/>
  <c r="N3206" i="10" s="1"/>
  <c r="O3206" i="10" s="1"/>
  <c r="P3206" i="10" s="1"/>
  <c r="Q3206" i="10" s="1"/>
  <c r="R3206" i="10" s="1"/>
  <c r="S3206" i="10" s="1"/>
  <c r="T3206" i="10" s="1"/>
  <c r="U3206" i="10" s="1"/>
  <c r="V3206" i="10" s="1"/>
  <c r="D3208" i="10" l="1"/>
  <c r="M3207" i="10"/>
  <c r="N3207" i="10" s="1"/>
  <c r="O3207" i="10" s="1"/>
  <c r="P3207" i="10" s="1"/>
  <c r="Q3207" i="10" s="1"/>
  <c r="R3207" i="10" s="1"/>
  <c r="S3207" i="10" s="1"/>
  <c r="T3207" i="10" s="1"/>
  <c r="U3207" i="10" s="1"/>
  <c r="V3207" i="10" s="1"/>
  <c r="D3209" i="10" l="1"/>
  <c r="M3208" i="10"/>
  <c r="N3208" i="10" s="1"/>
  <c r="O3208" i="10" s="1"/>
  <c r="P3208" i="10" s="1"/>
  <c r="Q3208" i="10" s="1"/>
  <c r="R3208" i="10" s="1"/>
  <c r="S3208" i="10" s="1"/>
  <c r="T3208" i="10" s="1"/>
  <c r="U3208" i="10" s="1"/>
  <c r="V3208" i="10" s="1"/>
  <c r="D3210" i="10" l="1"/>
  <c r="M3209" i="10"/>
  <c r="N3209" i="10" s="1"/>
  <c r="O3209" i="10" s="1"/>
  <c r="P3209" i="10" s="1"/>
  <c r="Q3209" i="10" s="1"/>
  <c r="R3209" i="10" s="1"/>
  <c r="S3209" i="10" s="1"/>
  <c r="T3209" i="10" s="1"/>
  <c r="U3209" i="10" s="1"/>
  <c r="V3209" i="10" s="1"/>
  <c r="D3211" i="10" l="1"/>
  <c r="M3210" i="10"/>
  <c r="N3210" i="10" s="1"/>
  <c r="O3210" i="10" s="1"/>
  <c r="P3210" i="10" s="1"/>
  <c r="Q3210" i="10" s="1"/>
  <c r="R3210" i="10" s="1"/>
  <c r="S3210" i="10" s="1"/>
  <c r="T3210" i="10" s="1"/>
  <c r="U3210" i="10" s="1"/>
  <c r="V3210" i="10" s="1"/>
  <c r="D3212" i="10" l="1"/>
  <c r="M3211" i="10"/>
  <c r="N3211" i="10" s="1"/>
  <c r="O3211" i="10" s="1"/>
  <c r="P3211" i="10" s="1"/>
  <c r="Q3211" i="10" s="1"/>
  <c r="R3211" i="10" s="1"/>
  <c r="S3211" i="10" s="1"/>
  <c r="T3211" i="10" s="1"/>
  <c r="U3211" i="10" s="1"/>
  <c r="V3211" i="10" s="1"/>
  <c r="D3213" i="10" l="1"/>
  <c r="M3212" i="10"/>
  <c r="N3212" i="10" s="1"/>
  <c r="O3212" i="10" s="1"/>
  <c r="P3212" i="10" s="1"/>
  <c r="Q3212" i="10" s="1"/>
  <c r="R3212" i="10" s="1"/>
  <c r="S3212" i="10" s="1"/>
  <c r="T3212" i="10" s="1"/>
  <c r="U3212" i="10" s="1"/>
  <c r="V3212" i="10" s="1"/>
  <c r="D3214" i="10" l="1"/>
  <c r="M3213" i="10"/>
  <c r="N3213" i="10" s="1"/>
  <c r="O3213" i="10" s="1"/>
  <c r="P3213" i="10" s="1"/>
  <c r="Q3213" i="10" s="1"/>
  <c r="R3213" i="10" s="1"/>
  <c r="S3213" i="10" s="1"/>
  <c r="T3213" i="10" s="1"/>
  <c r="U3213" i="10" s="1"/>
  <c r="V3213" i="10" s="1"/>
  <c r="D3215" i="10" l="1"/>
  <c r="M3214" i="10"/>
  <c r="N3214" i="10" s="1"/>
  <c r="O3214" i="10" s="1"/>
  <c r="P3214" i="10" s="1"/>
  <c r="Q3214" i="10" s="1"/>
  <c r="R3214" i="10" s="1"/>
  <c r="S3214" i="10" s="1"/>
  <c r="T3214" i="10" s="1"/>
  <c r="U3214" i="10" s="1"/>
  <c r="V3214" i="10" s="1"/>
  <c r="D3216" i="10" l="1"/>
  <c r="M3215" i="10"/>
  <c r="N3215" i="10" s="1"/>
  <c r="O3215" i="10" s="1"/>
  <c r="P3215" i="10" s="1"/>
  <c r="Q3215" i="10" s="1"/>
  <c r="R3215" i="10" s="1"/>
  <c r="S3215" i="10" s="1"/>
  <c r="T3215" i="10" s="1"/>
  <c r="U3215" i="10" s="1"/>
  <c r="V3215" i="10" s="1"/>
  <c r="D3217" i="10" l="1"/>
  <c r="M3216" i="10"/>
  <c r="N3216" i="10" s="1"/>
  <c r="O3216" i="10" s="1"/>
  <c r="P3216" i="10" s="1"/>
  <c r="Q3216" i="10" s="1"/>
  <c r="R3216" i="10" s="1"/>
  <c r="S3216" i="10" s="1"/>
  <c r="T3216" i="10" s="1"/>
  <c r="U3216" i="10" s="1"/>
  <c r="V3216" i="10" s="1"/>
  <c r="D3218" i="10" l="1"/>
  <c r="M3217" i="10"/>
  <c r="N3217" i="10" s="1"/>
  <c r="O3217" i="10" s="1"/>
  <c r="P3217" i="10" s="1"/>
  <c r="Q3217" i="10" s="1"/>
  <c r="R3217" i="10" s="1"/>
  <c r="S3217" i="10" s="1"/>
  <c r="T3217" i="10" s="1"/>
  <c r="U3217" i="10" s="1"/>
  <c r="V3217" i="10" s="1"/>
  <c r="D3219" i="10" l="1"/>
  <c r="M3218" i="10"/>
  <c r="N3218" i="10" s="1"/>
  <c r="O3218" i="10" s="1"/>
  <c r="P3218" i="10" s="1"/>
  <c r="Q3218" i="10" s="1"/>
  <c r="R3218" i="10" s="1"/>
  <c r="S3218" i="10" s="1"/>
  <c r="T3218" i="10" s="1"/>
  <c r="U3218" i="10" s="1"/>
  <c r="V3218" i="10" s="1"/>
  <c r="D3220" i="10" l="1"/>
  <c r="M3219" i="10"/>
  <c r="N3219" i="10" s="1"/>
  <c r="O3219" i="10" s="1"/>
  <c r="P3219" i="10" s="1"/>
  <c r="Q3219" i="10" s="1"/>
  <c r="R3219" i="10" s="1"/>
  <c r="S3219" i="10" s="1"/>
  <c r="T3219" i="10" s="1"/>
  <c r="U3219" i="10" s="1"/>
  <c r="V3219" i="10" s="1"/>
  <c r="D3221" i="10" l="1"/>
  <c r="M3220" i="10"/>
  <c r="N3220" i="10" s="1"/>
  <c r="O3220" i="10" s="1"/>
  <c r="P3220" i="10" s="1"/>
  <c r="Q3220" i="10" s="1"/>
  <c r="R3220" i="10" s="1"/>
  <c r="S3220" i="10" s="1"/>
  <c r="T3220" i="10" s="1"/>
  <c r="U3220" i="10" s="1"/>
  <c r="V3220" i="10" s="1"/>
  <c r="D3222" i="10" l="1"/>
  <c r="M3221" i="10"/>
  <c r="N3221" i="10" s="1"/>
  <c r="O3221" i="10" s="1"/>
  <c r="P3221" i="10" s="1"/>
  <c r="Q3221" i="10" s="1"/>
  <c r="R3221" i="10" s="1"/>
  <c r="S3221" i="10" s="1"/>
  <c r="T3221" i="10" s="1"/>
  <c r="U3221" i="10" s="1"/>
  <c r="V3221" i="10" s="1"/>
  <c r="D3223" i="10" l="1"/>
  <c r="M3222" i="10"/>
  <c r="N3222" i="10" s="1"/>
  <c r="O3222" i="10" s="1"/>
  <c r="P3222" i="10" s="1"/>
  <c r="Q3222" i="10" s="1"/>
  <c r="R3222" i="10" s="1"/>
  <c r="S3222" i="10" s="1"/>
  <c r="T3222" i="10" s="1"/>
  <c r="U3222" i="10" s="1"/>
  <c r="V3222" i="10" s="1"/>
  <c r="D3224" i="10" l="1"/>
  <c r="M3223" i="10"/>
  <c r="N3223" i="10" s="1"/>
  <c r="O3223" i="10" s="1"/>
  <c r="P3223" i="10" s="1"/>
  <c r="Q3223" i="10" s="1"/>
  <c r="R3223" i="10" s="1"/>
  <c r="S3223" i="10" s="1"/>
  <c r="T3223" i="10" s="1"/>
  <c r="U3223" i="10" s="1"/>
  <c r="V3223" i="10" s="1"/>
  <c r="D3225" i="10" l="1"/>
  <c r="M3224" i="10"/>
  <c r="N3224" i="10" s="1"/>
  <c r="O3224" i="10" s="1"/>
  <c r="P3224" i="10" s="1"/>
  <c r="Q3224" i="10" s="1"/>
  <c r="R3224" i="10" s="1"/>
  <c r="S3224" i="10" s="1"/>
  <c r="T3224" i="10" s="1"/>
  <c r="U3224" i="10" s="1"/>
  <c r="V3224" i="10" s="1"/>
  <c r="D3226" i="10" l="1"/>
  <c r="M3225" i="10"/>
  <c r="N3225" i="10" s="1"/>
  <c r="O3225" i="10" s="1"/>
  <c r="P3225" i="10" s="1"/>
  <c r="Q3225" i="10" s="1"/>
  <c r="R3225" i="10" s="1"/>
  <c r="S3225" i="10" s="1"/>
  <c r="T3225" i="10" s="1"/>
  <c r="U3225" i="10" s="1"/>
  <c r="V3225" i="10" s="1"/>
  <c r="D3227" i="10" l="1"/>
  <c r="M3226" i="10"/>
  <c r="N3226" i="10" s="1"/>
  <c r="O3226" i="10" s="1"/>
  <c r="P3226" i="10" s="1"/>
  <c r="Q3226" i="10" s="1"/>
  <c r="R3226" i="10" s="1"/>
  <c r="S3226" i="10" s="1"/>
  <c r="T3226" i="10" s="1"/>
  <c r="U3226" i="10" s="1"/>
  <c r="V3226" i="10" s="1"/>
  <c r="D3228" i="10" l="1"/>
  <c r="M3227" i="10"/>
  <c r="N3227" i="10" s="1"/>
  <c r="O3227" i="10" s="1"/>
  <c r="P3227" i="10" s="1"/>
  <c r="Q3227" i="10" s="1"/>
  <c r="R3227" i="10" s="1"/>
  <c r="S3227" i="10" s="1"/>
  <c r="T3227" i="10" s="1"/>
  <c r="U3227" i="10" s="1"/>
  <c r="V3227" i="10" s="1"/>
  <c r="D3229" i="10" l="1"/>
  <c r="M3228" i="10"/>
  <c r="N3228" i="10" s="1"/>
  <c r="O3228" i="10" s="1"/>
  <c r="P3228" i="10" s="1"/>
  <c r="Q3228" i="10" s="1"/>
  <c r="R3228" i="10" s="1"/>
  <c r="S3228" i="10" s="1"/>
  <c r="T3228" i="10" s="1"/>
  <c r="U3228" i="10" s="1"/>
  <c r="V3228" i="10" s="1"/>
  <c r="D3230" i="10" l="1"/>
  <c r="M3229" i="10"/>
  <c r="N3229" i="10" s="1"/>
  <c r="O3229" i="10" s="1"/>
  <c r="P3229" i="10" s="1"/>
  <c r="Q3229" i="10" s="1"/>
  <c r="R3229" i="10" s="1"/>
  <c r="S3229" i="10" s="1"/>
  <c r="T3229" i="10" s="1"/>
  <c r="U3229" i="10" s="1"/>
  <c r="V3229" i="10" s="1"/>
  <c r="D3231" i="10" l="1"/>
  <c r="M3230" i="10"/>
  <c r="N3230" i="10" s="1"/>
  <c r="O3230" i="10" s="1"/>
  <c r="P3230" i="10" s="1"/>
  <c r="Q3230" i="10" s="1"/>
  <c r="R3230" i="10" s="1"/>
  <c r="S3230" i="10" s="1"/>
  <c r="T3230" i="10" s="1"/>
  <c r="U3230" i="10" s="1"/>
  <c r="V3230" i="10" s="1"/>
  <c r="D3232" i="10" l="1"/>
  <c r="M3231" i="10"/>
  <c r="N3231" i="10" s="1"/>
  <c r="O3231" i="10" s="1"/>
  <c r="P3231" i="10" s="1"/>
  <c r="Q3231" i="10" s="1"/>
  <c r="R3231" i="10" s="1"/>
  <c r="S3231" i="10" s="1"/>
  <c r="T3231" i="10" s="1"/>
  <c r="U3231" i="10" s="1"/>
  <c r="V3231" i="10" s="1"/>
  <c r="D3233" i="10" l="1"/>
  <c r="M3232" i="10"/>
  <c r="N3232" i="10" s="1"/>
  <c r="O3232" i="10" s="1"/>
  <c r="P3232" i="10" s="1"/>
  <c r="Q3232" i="10" s="1"/>
  <c r="R3232" i="10" s="1"/>
  <c r="S3232" i="10" s="1"/>
  <c r="T3232" i="10" s="1"/>
  <c r="U3232" i="10" s="1"/>
  <c r="V3232" i="10" s="1"/>
  <c r="D3234" i="10" l="1"/>
  <c r="M3233" i="10"/>
  <c r="N3233" i="10" s="1"/>
  <c r="O3233" i="10" s="1"/>
  <c r="P3233" i="10" s="1"/>
  <c r="Q3233" i="10" s="1"/>
  <c r="R3233" i="10" s="1"/>
  <c r="S3233" i="10" s="1"/>
  <c r="T3233" i="10" s="1"/>
  <c r="U3233" i="10" s="1"/>
  <c r="V3233" i="10" s="1"/>
  <c r="D3235" i="10" l="1"/>
  <c r="M3234" i="10"/>
  <c r="N3234" i="10" s="1"/>
  <c r="O3234" i="10" s="1"/>
  <c r="P3234" i="10" s="1"/>
  <c r="Q3234" i="10" s="1"/>
  <c r="R3234" i="10" s="1"/>
  <c r="S3234" i="10" s="1"/>
  <c r="T3234" i="10" s="1"/>
  <c r="U3234" i="10" s="1"/>
  <c r="V3234" i="10" s="1"/>
  <c r="D3236" i="10" l="1"/>
  <c r="M3235" i="10"/>
  <c r="N3235" i="10" s="1"/>
  <c r="O3235" i="10" s="1"/>
  <c r="P3235" i="10" s="1"/>
  <c r="Q3235" i="10" s="1"/>
  <c r="R3235" i="10" s="1"/>
  <c r="S3235" i="10" s="1"/>
  <c r="T3235" i="10" s="1"/>
  <c r="U3235" i="10" s="1"/>
  <c r="V3235" i="10" s="1"/>
  <c r="D3237" i="10" l="1"/>
  <c r="M3236" i="10"/>
  <c r="N3236" i="10" s="1"/>
  <c r="O3236" i="10" s="1"/>
  <c r="P3236" i="10" s="1"/>
  <c r="Q3236" i="10" s="1"/>
  <c r="R3236" i="10" s="1"/>
  <c r="S3236" i="10" s="1"/>
  <c r="T3236" i="10" s="1"/>
  <c r="U3236" i="10" s="1"/>
  <c r="V3236" i="10" s="1"/>
  <c r="D3238" i="10" l="1"/>
  <c r="M3237" i="10"/>
  <c r="N3237" i="10" s="1"/>
  <c r="O3237" i="10" s="1"/>
  <c r="P3237" i="10" s="1"/>
  <c r="Q3237" i="10" s="1"/>
  <c r="R3237" i="10" s="1"/>
  <c r="S3237" i="10" s="1"/>
  <c r="T3237" i="10" s="1"/>
  <c r="U3237" i="10" s="1"/>
  <c r="V3237" i="10" s="1"/>
  <c r="D3239" i="10" l="1"/>
  <c r="M3238" i="10"/>
  <c r="N3238" i="10" s="1"/>
  <c r="O3238" i="10" s="1"/>
  <c r="P3238" i="10" s="1"/>
  <c r="Q3238" i="10" s="1"/>
  <c r="R3238" i="10" s="1"/>
  <c r="S3238" i="10" s="1"/>
  <c r="T3238" i="10" s="1"/>
  <c r="U3238" i="10" s="1"/>
  <c r="V3238" i="10" s="1"/>
  <c r="D3240" i="10" l="1"/>
  <c r="M3239" i="10"/>
  <c r="N3239" i="10" s="1"/>
  <c r="O3239" i="10" s="1"/>
  <c r="P3239" i="10" s="1"/>
  <c r="Q3239" i="10" s="1"/>
  <c r="R3239" i="10" s="1"/>
  <c r="S3239" i="10" s="1"/>
  <c r="T3239" i="10" s="1"/>
  <c r="U3239" i="10" s="1"/>
  <c r="V3239" i="10" s="1"/>
  <c r="D3241" i="10" l="1"/>
  <c r="M3240" i="10"/>
  <c r="N3240" i="10" s="1"/>
  <c r="O3240" i="10" s="1"/>
  <c r="P3240" i="10" s="1"/>
  <c r="Q3240" i="10" s="1"/>
  <c r="R3240" i="10" s="1"/>
  <c r="S3240" i="10" s="1"/>
  <c r="T3240" i="10" s="1"/>
  <c r="U3240" i="10" s="1"/>
  <c r="V3240" i="10" s="1"/>
  <c r="D3242" i="10" l="1"/>
  <c r="M3241" i="10"/>
  <c r="N3241" i="10" s="1"/>
  <c r="O3241" i="10" s="1"/>
  <c r="P3241" i="10" s="1"/>
  <c r="Q3241" i="10" s="1"/>
  <c r="R3241" i="10" s="1"/>
  <c r="S3241" i="10" s="1"/>
  <c r="T3241" i="10" s="1"/>
  <c r="U3241" i="10" s="1"/>
  <c r="V3241" i="10" s="1"/>
  <c r="D3243" i="10" l="1"/>
  <c r="M3242" i="10"/>
  <c r="N3242" i="10" s="1"/>
  <c r="O3242" i="10" s="1"/>
  <c r="P3242" i="10" s="1"/>
  <c r="Q3242" i="10" s="1"/>
  <c r="R3242" i="10" s="1"/>
  <c r="S3242" i="10" s="1"/>
  <c r="T3242" i="10" s="1"/>
  <c r="U3242" i="10" s="1"/>
  <c r="V3242" i="10" s="1"/>
  <c r="D3244" i="10" l="1"/>
  <c r="M3243" i="10"/>
  <c r="N3243" i="10" s="1"/>
  <c r="O3243" i="10" s="1"/>
  <c r="P3243" i="10" s="1"/>
  <c r="Q3243" i="10" s="1"/>
  <c r="R3243" i="10" s="1"/>
  <c r="S3243" i="10" s="1"/>
  <c r="T3243" i="10" s="1"/>
  <c r="U3243" i="10" s="1"/>
  <c r="V3243" i="10" s="1"/>
  <c r="D3245" i="10" l="1"/>
  <c r="M3244" i="10"/>
  <c r="N3244" i="10" s="1"/>
  <c r="O3244" i="10" s="1"/>
  <c r="P3244" i="10" s="1"/>
  <c r="Q3244" i="10" s="1"/>
  <c r="R3244" i="10" s="1"/>
  <c r="S3244" i="10" s="1"/>
  <c r="T3244" i="10" s="1"/>
  <c r="U3244" i="10" s="1"/>
  <c r="V3244" i="10" s="1"/>
  <c r="D3246" i="10" l="1"/>
  <c r="M3245" i="10"/>
  <c r="N3245" i="10" s="1"/>
  <c r="O3245" i="10" s="1"/>
  <c r="P3245" i="10" s="1"/>
  <c r="Q3245" i="10" s="1"/>
  <c r="R3245" i="10" s="1"/>
  <c r="S3245" i="10" s="1"/>
  <c r="T3245" i="10" s="1"/>
  <c r="U3245" i="10" s="1"/>
  <c r="V3245" i="10" s="1"/>
  <c r="D3247" i="10" l="1"/>
  <c r="M3246" i="10"/>
  <c r="N3246" i="10" s="1"/>
  <c r="O3246" i="10" s="1"/>
  <c r="P3246" i="10" s="1"/>
  <c r="Q3246" i="10" s="1"/>
  <c r="R3246" i="10" s="1"/>
  <c r="S3246" i="10" s="1"/>
  <c r="T3246" i="10" s="1"/>
  <c r="U3246" i="10" s="1"/>
  <c r="V3246" i="10" s="1"/>
  <c r="D3248" i="10" l="1"/>
  <c r="M3247" i="10"/>
  <c r="N3247" i="10" s="1"/>
  <c r="O3247" i="10" s="1"/>
  <c r="P3247" i="10" s="1"/>
  <c r="Q3247" i="10" s="1"/>
  <c r="R3247" i="10" s="1"/>
  <c r="S3247" i="10" s="1"/>
  <c r="T3247" i="10" s="1"/>
  <c r="U3247" i="10" s="1"/>
  <c r="V3247" i="10" s="1"/>
  <c r="D3249" i="10" l="1"/>
  <c r="M3248" i="10"/>
  <c r="N3248" i="10" s="1"/>
  <c r="O3248" i="10" s="1"/>
  <c r="P3248" i="10" s="1"/>
  <c r="Q3248" i="10" s="1"/>
  <c r="R3248" i="10" s="1"/>
  <c r="S3248" i="10" s="1"/>
  <c r="T3248" i="10" s="1"/>
  <c r="U3248" i="10" s="1"/>
  <c r="V3248" i="10" s="1"/>
  <c r="D3250" i="10" l="1"/>
  <c r="M3249" i="10"/>
  <c r="N3249" i="10" s="1"/>
  <c r="O3249" i="10" s="1"/>
  <c r="P3249" i="10" s="1"/>
  <c r="Q3249" i="10" s="1"/>
  <c r="R3249" i="10" s="1"/>
  <c r="S3249" i="10" s="1"/>
  <c r="T3249" i="10" s="1"/>
  <c r="U3249" i="10" s="1"/>
  <c r="V3249" i="10" s="1"/>
  <c r="D3251" i="10" l="1"/>
  <c r="M3250" i="10"/>
  <c r="N3250" i="10" s="1"/>
  <c r="O3250" i="10" s="1"/>
  <c r="P3250" i="10" s="1"/>
  <c r="Q3250" i="10" s="1"/>
  <c r="R3250" i="10" s="1"/>
  <c r="S3250" i="10" s="1"/>
  <c r="T3250" i="10" s="1"/>
  <c r="U3250" i="10" s="1"/>
  <c r="V3250" i="10" s="1"/>
  <c r="D3252" i="10" l="1"/>
  <c r="M3251" i="10"/>
  <c r="N3251" i="10" s="1"/>
  <c r="O3251" i="10" s="1"/>
  <c r="P3251" i="10" s="1"/>
  <c r="Q3251" i="10" s="1"/>
  <c r="R3251" i="10" s="1"/>
  <c r="S3251" i="10" s="1"/>
  <c r="T3251" i="10" s="1"/>
  <c r="U3251" i="10" s="1"/>
  <c r="V3251" i="10" s="1"/>
  <c r="D3253" i="10" l="1"/>
  <c r="M3252" i="10"/>
  <c r="N3252" i="10" s="1"/>
  <c r="O3252" i="10" s="1"/>
  <c r="P3252" i="10" s="1"/>
  <c r="Q3252" i="10" s="1"/>
  <c r="R3252" i="10" s="1"/>
  <c r="S3252" i="10" s="1"/>
  <c r="T3252" i="10" s="1"/>
  <c r="U3252" i="10" s="1"/>
  <c r="V3252" i="10" s="1"/>
  <c r="D3254" i="10" l="1"/>
  <c r="M3253" i="10"/>
  <c r="N3253" i="10" s="1"/>
  <c r="O3253" i="10" s="1"/>
  <c r="P3253" i="10" s="1"/>
  <c r="Q3253" i="10" s="1"/>
  <c r="R3253" i="10" s="1"/>
  <c r="S3253" i="10" s="1"/>
  <c r="T3253" i="10" s="1"/>
  <c r="U3253" i="10" s="1"/>
  <c r="V3253" i="10" s="1"/>
  <c r="D3255" i="10" l="1"/>
  <c r="M3254" i="10"/>
  <c r="N3254" i="10" s="1"/>
  <c r="O3254" i="10" s="1"/>
  <c r="P3254" i="10" s="1"/>
  <c r="Q3254" i="10" s="1"/>
  <c r="R3254" i="10" s="1"/>
  <c r="S3254" i="10" s="1"/>
  <c r="T3254" i="10" s="1"/>
  <c r="U3254" i="10" s="1"/>
  <c r="V3254" i="10" s="1"/>
  <c r="D3256" i="10" l="1"/>
  <c r="M3255" i="10"/>
  <c r="N3255" i="10" s="1"/>
  <c r="O3255" i="10" s="1"/>
  <c r="P3255" i="10" s="1"/>
  <c r="Q3255" i="10" s="1"/>
  <c r="R3255" i="10" s="1"/>
  <c r="S3255" i="10" s="1"/>
  <c r="T3255" i="10" s="1"/>
  <c r="U3255" i="10" s="1"/>
  <c r="V3255" i="10" s="1"/>
  <c r="D3257" i="10" l="1"/>
  <c r="M3256" i="10"/>
  <c r="N3256" i="10" s="1"/>
  <c r="O3256" i="10" s="1"/>
  <c r="P3256" i="10" s="1"/>
  <c r="Q3256" i="10" s="1"/>
  <c r="R3256" i="10" s="1"/>
  <c r="S3256" i="10" s="1"/>
  <c r="T3256" i="10" s="1"/>
  <c r="U3256" i="10" s="1"/>
  <c r="V3256" i="10" s="1"/>
  <c r="D3258" i="10" l="1"/>
  <c r="M3257" i="10"/>
  <c r="N3257" i="10" s="1"/>
  <c r="O3257" i="10" s="1"/>
  <c r="P3257" i="10" s="1"/>
  <c r="Q3257" i="10" s="1"/>
  <c r="R3257" i="10" s="1"/>
  <c r="S3257" i="10" s="1"/>
  <c r="T3257" i="10" s="1"/>
  <c r="U3257" i="10" s="1"/>
  <c r="V3257" i="10" s="1"/>
  <c r="D3259" i="10" l="1"/>
  <c r="M3258" i="10"/>
  <c r="N3258" i="10" s="1"/>
  <c r="O3258" i="10" s="1"/>
  <c r="P3258" i="10" s="1"/>
  <c r="Q3258" i="10" s="1"/>
  <c r="R3258" i="10" s="1"/>
  <c r="S3258" i="10" s="1"/>
  <c r="T3258" i="10" s="1"/>
  <c r="U3258" i="10" s="1"/>
  <c r="V3258" i="10" s="1"/>
  <c r="D3260" i="10" l="1"/>
  <c r="M3259" i="10"/>
  <c r="N3259" i="10" s="1"/>
  <c r="O3259" i="10" s="1"/>
  <c r="P3259" i="10" s="1"/>
  <c r="Q3259" i="10" s="1"/>
  <c r="R3259" i="10" s="1"/>
  <c r="S3259" i="10" s="1"/>
  <c r="T3259" i="10" s="1"/>
  <c r="U3259" i="10" s="1"/>
  <c r="V3259" i="10" s="1"/>
  <c r="D3261" i="10" l="1"/>
  <c r="M3260" i="10"/>
  <c r="N3260" i="10" s="1"/>
  <c r="O3260" i="10" s="1"/>
  <c r="P3260" i="10" s="1"/>
  <c r="Q3260" i="10" s="1"/>
  <c r="R3260" i="10" s="1"/>
  <c r="S3260" i="10" s="1"/>
  <c r="T3260" i="10" s="1"/>
  <c r="U3260" i="10" s="1"/>
  <c r="V3260" i="10" s="1"/>
  <c r="D3262" i="10" l="1"/>
  <c r="M3261" i="10"/>
  <c r="N3261" i="10" s="1"/>
  <c r="O3261" i="10" s="1"/>
  <c r="P3261" i="10" s="1"/>
  <c r="Q3261" i="10" s="1"/>
  <c r="R3261" i="10" s="1"/>
  <c r="S3261" i="10" s="1"/>
  <c r="T3261" i="10" s="1"/>
  <c r="U3261" i="10" s="1"/>
  <c r="V3261" i="10" s="1"/>
  <c r="D3263" i="10" l="1"/>
  <c r="M3262" i="10"/>
  <c r="N3262" i="10" s="1"/>
  <c r="O3262" i="10" s="1"/>
  <c r="P3262" i="10" s="1"/>
  <c r="Q3262" i="10" s="1"/>
  <c r="R3262" i="10" s="1"/>
  <c r="S3262" i="10" s="1"/>
  <c r="T3262" i="10" s="1"/>
  <c r="U3262" i="10" s="1"/>
  <c r="V3262" i="10" s="1"/>
  <c r="D3264" i="10" l="1"/>
  <c r="M3263" i="10"/>
  <c r="N3263" i="10" s="1"/>
  <c r="O3263" i="10" s="1"/>
  <c r="P3263" i="10" s="1"/>
  <c r="Q3263" i="10" s="1"/>
  <c r="R3263" i="10" s="1"/>
  <c r="S3263" i="10" s="1"/>
  <c r="T3263" i="10" s="1"/>
  <c r="U3263" i="10" s="1"/>
  <c r="V3263" i="10" s="1"/>
  <c r="D3265" i="10" l="1"/>
  <c r="M3264" i="10"/>
  <c r="N3264" i="10" s="1"/>
  <c r="O3264" i="10" s="1"/>
  <c r="P3264" i="10" s="1"/>
  <c r="Q3264" i="10" s="1"/>
  <c r="R3264" i="10" s="1"/>
  <c r="S3264" i="10" s="1"/>
  <c r="T3264" i="10" s="1"/>
  <c r="U3264" i="10" s="1"/>
  <c r="V3264" i="10" s="1"/>
  <c r="D3266" i="10" l="1"/>
  <c r="M3265" i="10"/>
  <c r="N3265" i="10" s="1"/>
  <c r="O3265" i="10" s="1"/>
  <c r="P3265" i="10" s="1"/>
  <c r="Q3265" i="10" s="1"/>
  <c r="R3265" i="10" s="1"/>
  <c r="S3265" i="10" s="1"/>
  <c r="T3265" i="10" s="1"/>
  <c r="U3265" i="10" s="1"/>
  <c r="V3265" i="10" s="1"/>
  <c r="D3267" i="10" l="1"/>
  <c r="M3266" i="10"/>
  <c r="N3266" i="10" s="1"/>
  <c r="O3266" i="10" s="1"/>
  <c r="P3266" i="10" s="1"/>
  <c r="Q3266" i="10" s="1"/>
  <c r="R3266" i="10" s="1"/>
  <c r="S3266" i="10" s="1"/>
  <c r="T3266" i="10" s="1"/>
  <c r="U3266" i="10" s="1"/>
  <c r="V3266" i="10" s="1"/>
  <c r="D3268" i="10" l="1"/>
  <c r="M3267" i="10"/>
  <c r="N3267" i="10" s="1"/>
  <c r="O3267" i="10" s="1"/>
  <c r="P3267" i="10" s="1"/>
  <c r="Q3267" i="10" s="1"/>
  <c r="R3267" i="10" s="1"/>
  <c r="S3267" i="10" s="1"/>
  <c r="T3267" i="10" s="1"/>
  <c r="U3267" i="10" s="1"/>
  <c r="V3267" i="10" s="1"/>
  <c r="D3269" i="10" l="1"/>
  <c r="M3268" i="10"/>
  <c r="N3268" i="10" s="1"/>
  <c r="O3268" i="10" s="1"/>
  <c r="P3268" i="10" s="1"/>
  <c r="Q3268" i="10" s="1"/>
  <c r="R3268" i="10" s="1"/>
  <c r="S3268" i="10" s="1"/>
  <c r="T3268" i="10" s="1"/>
  <c r="U3268" i="10" s="1"/>
  <c r="V3268" i="10" s="1"/>
  <c r="D3270" i="10" l="1"/>
  <c r="M3269" i="10"/>
  <c r="N3269" i="10" s="1"/>
  <c r="O3269" i="10" s="1"/>
  <c r="P3269" i="10" s="1"/>
  <c r="Q3269" i="10" s="1"/>
  <c r="R3269" i="10" s="1"/>
  <c r="S3269" i="10" s="1"/>
  <c r="T3269" i="10" s="1"/>
  <c r="U3269" i="10" s="1"/>
  <c r="V3269" i="10" s="1"/>
  <c r="D3271" i="10" l="1"/>
  <c r="M3270" i="10"/>
  <c r="N3270" i="10" s="1"/>
  <c r="O3270" i="10" s="1"/>
  <c r="P3270" i="10" s="1"/>
  <c r="Q3270" i="10" s="1"/>
  <c r="R3270" i="10" s="1"/>
  <c r="S3270" i="10" s="1"/>
  <c r="T3270" i="10" s="1"/>
  <c r="U3270" i="10" s="1"/>
  <c r="V3270" i="10" s="1"/>
  <c r="D3272" i="10" l="1"/>
  <c r="M3271" i="10"/>
  <c r="N3271" i="10" s="1"/>
  <c r="O3271" i="10" s="1"/>
  <c r="P3271" i="10" s="1"/>
  <c r="Q3271" i="10" s="1"/>
  <c r="R3271" i="10" s="1"/>
  <c r="S3271" i="10" s="1"/>
  <c r="T3271" i="10" s="1"/>
  <c r="U3271" i="10" s="1"/>
  <c r="V3271" i="10" s="1"/>
  <c r="D3273" i="10" l="1"/>
  <c r="M3272" i="10"/>
  <c r="N3272" i="10" s="1"/>
  <c r="O3272" i="10" s="1"/>
  <c r="P3272" i="10" s="1"/>
  <c r="Q3272" i="10" s="1"/>
  <c r="R3272" i="10" s="1"/>
  <c r="S3272" i="10" s="1"/>
  <c r="T3272" i="10" s="1"/>
  <c r="U3272" i="10" s="1"/>
  <c r="V3272" i="10" s="1"/>
  <c r="D3274" i="10" l="1"/>
  <c r="M3273" i="10"/>
  <c r="N3273" i="10" s="1"/>
  <c r="O3273" i="10" s="1"/>
  <c r="P3273" i="10" s="1"/>
  <c r="Q3273" i="10" s="1"/>
  <c r="R3273" i="10" s="1"/>
  <c r="S3273" i="10" s="1"/>
  <c r="T3273" i="10" s="1"/>
  <c r="U3273" i="10" s="1"/>
  <c r="V3273" i="10" s="1"/>
  <c r="D3275" i="10" l="1"/>
  <c r="M3274" i="10"/>
  <c r="N3274" i="10" s="1"/>
  <c r="O3274" i="10" s="1"/>
  <c r="P3274" i="10" s="1"/>
  <c r="Q3274" i="10" s="1"/>
  <c r="R3274" i="10" s="1"/>
  <c r="S3274" i="10" s="1"/>
  <c r="T3274" i="10" s="1"/>
  <c r="U3274" i="10" s="1"/>
  <c r="V3274" i="10" s="1"/>
  <c r="D3276" i="10" l="1"/>
  <c r="M3275" i="10"/>
  <c r="N3275" i="10" s="1"/>
  <c r="O3275" i="10" s="1"/>
  <c r="P3275" i="10" s="1"/>
  <c r="Q3275" i="10" s="1"/>
  <c r="R3275" i="10" s="1"/>
  <c r="S3275" i="10" s="1"/>
  <c r="T3275" i="10" s="1"/>
  <c r="U3275" i="10" s="1"/>
  <c r="V3275" i="10" s="1"/>
  <c r="D3277" i="10" l="1"/>
  <c r="M3276" i="10"/>
  <c r="N3276" i="10" s="1"/>
  <c r="O3276" i="10" s="1"/>
  <c r="P3276" i="10" s="1"/>
  <c r="Q3276" i="10" s="1"/>
  <c r="R3276" i="10" s="1"/>
  <c r="S3276" i="10" s="1"/>
  <c r="T3276" i="10" s="1"/>
  <c r="U3276" i="10" s="1"/>
  <c r="V3276" i="10" s="1"/>
  <c r="D3278" i="10" l="1"/>
  <c r="M3277" i="10"/>
  <c r="N3277" i="10" s="1"/>
  <c r="O3277" i="10" s="1"/>
  <c r="P3277" i="10" s="1"/>
  <c r="Q3277" i="10" s="1"/>
  <c r="R3277" i="10" s="1"/>
  <c r="S3277" i="10" s="1"/>
  <c r="T3277" i="10" s="1"/>
  <c r="U3277" i="10" s="1"/>
  <c r="V3277" i="10" s="1"/>
  <c r="D3279" i="10" l="1"/>
  <c r="M3278" i="10"/>
  <c r="N3278" i="10" s="1"/>
  <c r="O3278" i="10" s="1"/>
  <c r="P3278" i="10" s="1"/>
  <c r="Q3278" i="10" s="1"/>
  <c r="R3278" i="10" s="1"/>
  <c r="S3278" i="10" s="1"/>
  <c r="T3278" i="10" s="1"/>
  <c r="U3278" i="10" s="1"/>
  <c r="V3278" i="10" s="1"/>
  <c r="D3280" i="10" l="1"/>
  <c r="M3279" i="10"/>
  <c r="N3279" i="10" s="1"/>
  <c r="O3279" i="10" s="1"/>
  <c r="P3279" i="10" s="1"/>
  <c r="Q3279" i="10" s="1"/>
  <c r="R3279" i="10" s="1"/>
  <c r="S3279" i="10" s="1"/>
  <c r="T3279" i="10" s="1"/>
  <c r="U3279" i="10" s="1"/>
  <c r="V3279" i="10" s="1"/>
  <c r="D3281" i="10" l="1"/>
  <c r="M3280" i="10"/>
  <c r="N3280" i="10" s="1"/>
  <c r="O3280" i="10" s="1"/>
  <c r="P3280" i="10" s="1"/>
  <c r="Q3280" i="10" s="1"/>
  <c r="R3280" i="10" s="1"/>
  <c r="S3280" i="10" s="1"/>
  <c r="T3280" i="10" s="1"/>
  <c r="U3280" i="10" s="1"/>
  <c r="V3280" i="10" s="1"/>
  <c r="D3282" i="10" l="1"/>
  <c r="M3281" i="10"/>
  <c r="N3281" i="10" s="1"/>
  <c r="O3281" i="10" s="1"/>
  <c r="P3281" i="10" s="1"/>
  <c r="Q3281" i="10" s="1"/>
  <c r="R3281" i="10" s="1"/>
  <c r="S3281" i="10" s="1"/>
  <c r="T3281" i="10" s="1"/>
  <c r="U3281" i="10" s="1"/>
  <c r="V3281" i="10" s="1"/>
  <c r="D3283" i="10" l="1"/>
  <c r="M3282" i="10"/>
  <c r="N3282" i="10" s="1"/>
  <c r="O3282" i="10" s="1"/>
  <c r="P3282" i="10" s="1"/>
  <c r="Q3282" i="10" s="1"/>
  <c r="R3282" i="10" s="1"/>
  <c r="S3282" i="10" s="1"/>
  <c r="T3282" i="10" s="1"/>
  <c r="U3282" i="10" s="1"/>
  <c r="V3282" i="10" s="1"/>
  <c r="D3284" i="10" l="1"/>
  <c r="M3283" i="10"/>
  <c r="N3283" i="10" s="1"/>
  <c r="O3283" i="10" s="1"/>
  <c r="P3283" i="10" s="1"/>
  <c r="Q3283" i="10" s="1"/>
  <c r="R3283" i="10" s="1"/>
  <c r="S3283" i="10" s="1"/>
  <c r="T3283" i="10" s="1"/>
  <c r="U3283" i="10" s="1"/>
  <c r="V3283" i="10" s="1"/>
  <c r="D3285" i="10" l="1"/>
  <c r="M3284" i="10"/>
  <c r="N3284" i="10" s="1"/>
  <c r="O3284" i="10" s="1"/>
  <c r="P3284" i="10" s="1"/>
  <c r="Q3284" i="10" s="1"/>
  <c r="R3284" i="10" s="1"/>
  <c r="S3284" i="10" s="1"/>
  <c r="T3284" i="10" s="1"/>
  <c r="U3284" i="10" s="1"/>
  <c r="V3284" i="10" s="1"/>
  <c r="D3286" i="10" l="1"/>
  <c r="M3285" i="10"/>
  <c r="N3285" i="10" s="1"/>
  <c r="O3285" i="10" s="1"/>
  <c r="P3285" i="10" s="1"/>
  <c r="Q3285" i="10" s="1"/>
  <c r="R3285" i="10" s="1"/>
  <c r="S3285" i="10" s="1"/>
  <c r="T3285" i="10" s="1"/>
  <c r="U3285" i="10" s="1"/>
  <c r="V3285" i="10" s="1"/>
  <c r="D3287" i="10" l="1"/>
  <c r="M3286" i="10"/>
  <c r="N3286" i="10" s="1"/>
  <c r="O3286" i="10" s="1"/>
  <c r="P3286" i="10" s="1"/>
  <c r="Q3286" i="10" s="1"/>
  <c r="R3286" i="10" s="1"/>
  <c r="S3286" i="10" s="1"/>
  <c r="T3286" i="10" s="1"/>
  <c r="U3286" i="10" s="1"/>
  <c r="V3286" i="10" s="1"/>
  <c r="D3288" i="10" l="1"/>
  <c r="M3287" i="10"/>
  <c r="N3287" i="10" s="1"/>
  <c r="O3287" i="10" s="1"/>
  <c r="P3287" i="10" s="1"/>
  <c r="Q3287" i="10" s="1"/>
  <c r="R3287" i="10" s="1"/>
  <c r="S3287" i="10" s="1"/>
  <c r="T3287" i="10" s="1"/>
  <c r="U3287" i="10" s="1"/>
  <c r="V3287" i="10" s="1"/>
  <c r="D3289" i="10" l="1"/>
  <c r="M3288" i="10"/>
  <c r="N3288" i="10" s="1"/>
  <c r="O3288" i="10" s="1"/>
  <c r="P3288" i="10" s="1"/>
  <c r="Q3288" i="10" s="1"/>
  <c r="R3288" i="10" s="1"/>
  <c r="S3288" i="10" s="1"/>
  <c r="T3288" i="10" s="1"/>
  <c r="U3288" i="10" s="1"/>
  <c r="V3288" i="10" s="1"/>
  <c r="D3290" i="10" l="1"/>
  <c r="M3289" i="10"/>
  <c r="N3289" i="10" s="1"/>
  <c r="O3289" i="10" s="1"/>
  <c r="P3289" i="10" s="1"/>
  <c r="Q3289" i="10" s="1"/>
  <c r="R3289" i="10" s="1"/>
  <c r="S3289" i="10" s="1"/>
  <c r="T3289" i="10" s="1"/>
  <c r="U3289" i="10" s="1"/>
  <c r="V3289" i="10" s="1"/>
  <c r="D3291" i="10" l="1"/>
  <c r="M3290" i="10"/>
  <c r="N3290" i="10" s="1"/>
  <c r="O3290" i="10" s="1"/>
  <c r="P3290" i="10" s="1"/>
  <c r="Q3290" i="10" s="1"/>
  <c r="R3290" i="10" s="1"/>
  <c r="S3290" i="10" s="1"/>
  <c r="T3290" i="10" s="1"/>
  <c r="U3290" i="10" s="1"/>
  <c r="V3290" i="10" s="1"/>
  <c r="D3292" i="10" l="1"/>
  <c r="M3291" i="10"/>
  <c r="N3291" i="10" s="1"/>
  <c r="O3291" i="10" s="1"/>
  <c r="P3291" i="10" s="1"/>
  <c r="Q3291" i="10" s="1"/>
  <c r="R3291" i="10" s="1"/>
  <c r="S3291" i="10" s="1"/>
  <c r="T3291" i="10" s="1"/>
  <c r="U3291" i="10" s="1"/>
  <c r="V3291" i="10" s="1"/>
  <c r="D3293" i="10" l="1"/>
  <c r="M3292" i="10"/>
  <c r="N3292" i="10" s="1"/>
  <c r="O3292" i="10" s="1"/>
  <c r="P3292" i="10" s="1"/>
  <c r="Q3292" i="10" s="1"/>
  <c r="R3292" i="10" s="1"/>
  <c r="S3292" i="10" s="1"/>
  <c r="T3292" i="10" s="1"/>
  <c r="U3292" i="10" s="1"/>
  <c r="V3292" i="10" s="1"/>
  <c r="D3294" i="10" l="1"/>
  <c r="M3293" i="10"/>
  <c r="N3293" i="10" s="1"/>
  <c r="O3293" i="10" s="1"/>
  <c r="P3293" i="10" s="1"/>
  <c r="Q3293" i="10" s="1"/>
  <c r="R3293" i="10" s="1"/>
  <c r="S3293" i="10" s="1"/>
  <c r="T3293" i="10" s="1"/>
  <c r="U3293" i="10" s="1"/>
  <c r="V3293" i="10" s="1"/>
  <c r="D3295" i="10" l="1"/>
  <c r="M3294" i="10"/>
  <c r="N3294" i="10" s="1"/>
  <c r="O3294" i="10" s="1"/>
  <c r="P3294" i="10" s="1"/>
  <c r="Q3294" i="10" s="1"/>
  <c r="R3294" i="10" s="1"/>
  <c r="S3294" i="10" s="1"/>
  <c r="T3294" i="10" s="1"/>
  <c r="U3294" i="10" s="1"/>
  <c r="V3294" i="10" s="1"/>
  <c r="D3296" i="10" l="1"/>
  <c r="M3295" i="10"/>
  <c r="N3295" i="10" s="1"/>
  <c r="O3295" i="10" s="1"/>
  <c r="P3295" i="10" s="1"/>
  <c r="Q3295" i="10" s="1"/>
  <c r="R3295" i="10" s="1"/>
  <c r="S3295" i="10" s="1"/>
  <c r="T3295" i="10" s="1"/>
  <c r="U3295" i="10" s="1"/>
  <c r="V3295" i="10" s="1"/>
  <c r="D3297" i="10" l="1"/>
  <c r="M3296" i="10"/>
  <c r="N3296" i="10" s="1"/>
  <c r="O3296" i="10" s="1"/>
  <c r="P3296" i="10" s="1"/>
  <c r="Q3296" i="10" s="1"/>
  <c r="R3296" i="10" s="1"/>
  <c r="S3296" i="10" s="1"/>
  <c r="T3296" i="10" s="1"/>
  <c r="U3296" i="10" s="1"/>
  <c r="V3296" i="10" s="1"/>
  <c r="D3298" i="10" l="1"/>
  <c r="M3297" i="10"/>
  <c r="N3297" i="10" s="1"/>
  <c r="O3297" i="10" s="1"/>
  <c r="P3297" i="10" s="1"/>
  <c r="Q3297" i="10" s="1"/>
  <c r="R3297" i="10" s="1"/>
  <c r="S3297" i="10" s="1"/>
  <c r="T3297" i="10" s="1"/>
  <c r="U3297" i="10" s="1"/>
  <c r="V3297" i="10" s="1"/>
  <c r="D3299" i="10" l="1"/>
  <c r="M3298" i="10"/>
  <c r="N3298" i="10" s="1"/>
  <c r="O3298" i="10" s="1"/>
  <c r="P3298" i="10" s="1"/>
  <c r="Q3298" i="10" s="1"/>
  <c r="R3298" i="10" s="1"/>
  <c r="S3298" i="10" s="1"/>
  <c r="T3298" i="10" s="1"/>
  <c r="U3298" i="10" s="1"/>
  <c r="V3298" i="10" s="1"/>
  <c r="D3300" i="10" l="1"/>
  <c r="M3299" i="10"/>
  <c r="N3299" i="10" s="1"/>
  <c r="O3299" i="10" s="1"/>
  <c r="P3299" i="10" s="1"/>
  <c r="Q3299" i="10" s="1"/>
  <c r="R3299" i="10" s="1"/>
  <c r="S3299" i="10" s="1"/>
  <c r="T3299" i="10" s="1"/>
  <c r="U3299" i="10" s="1"/>
  <c r="V3299" i="10" s="1"/>
  <c r="D3301" i="10" l="1"/>
  <c r="M3300" i="10"/>
  <c r="N3300" i="10" s="1"/>
  <c r="O3300" i="10" s="1"/>
  <c r="P3300" i="10" s="1"/>
  <c r="Q3300" i="10" s="1"/>
  <c r="R3300" i="10" s="1"/>
  <c r="S3300" i="10" s="1"/>
  <c r="T3300" i="10" s="1"/>
  <c r="U3300" i="10" s="1"/>
  <c r="V3300" i="10" s="1"/>
  <c r="D3302" i="10" l="1"/>
  <c r="M3301" i="10"/>
  <c r="N3301" i="10" s="1"/>
  <c r="O3301" i="10" s="1"/>
  <c r="P3301" i="10" s="1"/>
  <c r="Q3301" i="10" s="1"/>
  <c r="R3301" i="10" s="1"/>
  <c r="S3301" i="10" s="1"/>
  <c r="T3301" i="10" s="1"/>
  <c r="U3301" i="10" s="1"/>
  <c r="V3301" i="10" s="1"/>
  <c r="D3303" i="10" l="1"/>
  <c r="M3302" i="10"/>
  <c r="N3302" i="10" s="1"/>
  <c r="O3302" i="10" s="1"/>
  <c r="P3302" i="10" s="1"/>
  <c r="Q3302" i="10" s="1"/>
  <c r="R3302" i="10" s="1"/>
  <c r="S3302" i="10" s="1"/>
  <c r="T3302" i="10" s="1"/>
  <c r="U3302" i="10" s="1"/>
  <c r="V3302" i="10" s="1"/>
  <c r="D3304" i="10" l="1"/>
  <c r="M3303" i="10"/>
  <c r="N3303" i="10" s="1"/>
  <c r="O3303" i="10" s="1"/>
  <c r="P3303" i="10" s="1"/>
  <c r="Q3303" i="10" s="1"/>
  <c r="R3303" i="10" s="1"/>
  <c r="S3303" i="10" s="1"/>
  <c r="T3303" i="10" s="1"/>
  <c r="U3303" i="10" s="1"/>
  <c r="V3303" i="10" s="1"/>
  <c r="D3305" i="10" l="1"/>
  <c r="M3304" i="10"/>
  <c r="N3304" i="10" s="1"/>
  <c r="O3304" i="10" s="1"/>
  <c r="P3304" i="10" s="1"/>
  <c r="Q3304" i="10" s="1"/>
  <c r="R3304" i="10" s="1"/>
  <c r="S3304" i="10" s="1"/>
  <c r="T3304" i="10" s="1"/>
  <c r="U3304" i="10" s="1"/>
  <c r="V3304" i="10" s="1"/>
  <c r="D3306" i="10" l="1"/>
  <c r="M3305" i="10"/>
  <c r="N3305" i="10" s="1"/>
  <c r="O3305" i="10" s="1"/>
  <c r="P3305" i="10" s="1"/>
  <c r="Q3305" i="10" s="1"/>
  <c r="R3305" i="10" s="1"/>
  <c r="S3305" i="10" s="1"/>
  <c r="T3305" i="10" s="1"/>
  <c r="U3305" i="10" s="1"/>
  <c r="V3305" i="10" s="1"/>
  <c r="D3307" i="10" l="1"/>
  <c r="M3306" i="10"/>
  <c r="N3306" i="10" s="1"/>
  <c r="O3306" i="10" s="1"/>
  <c r="P3306" i="10" s="1"/>
  <c r="Q3306" i="10" s="1"/>
  <c r="R3306" i="10" s="1"/>
  <c r="S3306" i="10" s="1"/>
  <c r="T3306" i="10" s="1"/>
  <c r="U3306" i="10" s="1"/>
  <c r="V3306" i="10" s="1"/>
  <c r="D3308" i="10" l="1"/>
  <c r="M3307" i="10"/>
  <c r="N3307" i="10" s="1"/>
  <c r="O3307" i="10" s="1"/>
  <c r="P3307" i="10" s="1"/>
  <c r="Q3307" i="10" s="1"/>
  <c r="R3307" i="10" s="1"/>
  <c r="S3307" i="10" s="1"/>
  <c r="T3307" i="10" s="1"/>
  <c r="U3307" i="10" s="1"/>
  <c r="V3307" i="10" s="1"/>
  <c r="D3309" i="10" l="1"/>
  <c r="M3308" i="10"/>
  <c r="N3308" i="10" s="1"/>
  <c r="O3308" i="10" s="1"/>
  <c r="P3308" i="10" s="1"/>
  <c r="Q3308" i="10" s="1"/>
  <c r="R3308" i="10" s="1"/>
  <c r="S3308" i="10" s="1"/>
  <c r="T3308" i="10" s="1"/>
  <c r="U3308" i="10" s="1"/>
  <c r="V3308" i="10" s="1"/>
  <c r="D3310" i="10" l="1"/>
  <c r="M3309" i="10"/>
  <c r="N3309" i="10" s="1"/>
  <c r="O3309" i="10" s="1"/>
  <c r="P3309" i="10" s="1"/>
  <c r="Q3309" i="10" s="1"/>
  <c r="R3309" i="10" s="1"/>
  <c r="S3309" i="10" s="1"/>
  <c r="T3309" i="10" s="1"/>
  <c r="U3309" i="10" s="1"/>
  <c r="V3309" i="10" s="1"/>
  <c r="D3311" i="10" l="1"/>
  <c r="M3310" i="10"/>
  <c r="N3310" i="10" s="1"/>
  <c r="O3310" i="10" s="1"/>
  <c r="P3310" i="10" s="1"/>
  <c r="Q3310" i="10" s="1"/>
  <c r="R3310" i="10" s="1"/>
  <c r="S3310" i="10" s="1"/>
  <c r="T3310" i="10" s="1"/>
  <c r="U3310" i="10" s="1"/>
  <c r="V3310" i="10" s="1"/>
  <c r="D3312" i="10" l="1"/>
  <c r="M3311" i="10"/>
  <c r="N3311" i="10" s="1"/>
  <c r="O3311" i="10" s="1"/>
  <c r="P3311" i="10" s="1"/>
  <c r="Q3311" i="10" s="1"/>
  <c r="R3311" i="10" s="1"/>
  <c r="S3311" i="10" s="1"/>
  <c r="T3311" i="10" s="1"/>
  <c r="U3311" i="10" s="1"/>
  <c r="V3311" i="10" s="1"/>
  <c r="D3313" i="10" l="1"/>
  <c r="M3312" i="10"/>
  <c r="N3312" i="10" s="1"/>
  <c r="O3312" i="10" s="1"/>
  <c r="P3312" i="10" s="1"/>
  <c r="Q3312" i="10" s="1"/>
  <c r="R3312" i="10" s="1"/>
  <c r="S3312" i="10" s="1"/>
  <c r="T3312" i="10" s="1"/>
  <c r="U3312" i="10" s="1"/>
  <c r="V3312" i="10" s="1"/>
  <c r="D3314" i="10" l="1"/>
  <c r="M3313" i="10"/>
  <c r="N3313" i="10" s="1"/>
  <c r="O3313" i="10" s="1"/>
  <c r="P3313" i="10" s="1"/>
  <c r="Q3313" i="10" s="1"/>
  <c r="R3313" i="10" s="1"/>
  <c r="S3313" i="10" s="1"/>
  <c r="T3313" i="10" s="1"/>
  <c r="U3313" i="10" s="1"/>
  <c r="V3313" i="10" s="1"/>
  <c r="D3315" i="10" l="1"/>
  <c r="M3314" i="10"/>
  <c r="N3314" i="10" s="1"/>
  <c r="O3314" i="10" s="1"/>
  <c r="P3314" i="10" s="1"/>
  <c r="Q3314" i="10" s="1"/>
  <c r="R3314" i="10" s="1"/>
  <c r="S3314" i="10" s="1"/>
  <c r="T3314" i="10" s="1"/>
  <c r="U3314" i="10" s="1"/>
  <c r="V3314" i="10" s="1"/>
  <c r="D3316" i="10" l="1"/>
  <c r="M3315" i="10"/>
  <c r="N3315" i="10" s="1"/>
  <c r="O3315" i="10" s="1"/>
  <c r="P3315" i="10" s="1"/>
  <c r="Q3315" i="10" s="1"/>
  <c r="R3315" i="10" s="1"/>
  <c r="S3315" i="10" s="1"/>
  <c r="T3315" i="10" s="1"/>
  <c r="U3315" i="10" s="1"/>
  <c r="V3315" i="10" s="1"/>
  <c r="D3317" i="10" l="1"/>
  <c r="M3316" i="10"/>
  <c r="N3316" i="10" s="1"/>
  <c r="O3316" i="10" s="1"/>
  <c r="P3316" i="10" s="1"/>
  <c r="Q3316" i="10" s="1"/>
  <c r="R3316" i="10" s="1"/>
  <c r="S3316" i="10" s="1"/>
  <c r="T3316" i="10" s="1"/>
  <c r="U3316" i="10" s="1"/>
  <c r="V3316" i="10" s="1"/>
  <c r="D3318" i="10" l="1"/>
  <c r="M3317" i="10"/>
  <c r="N3317" i="10" s="1"/>
  <c r="O3317" i="10" s="1"/>
  <c r="P3317" i="10" s="1"/>
  <c r="Q3317" i="10" s="1"/>
  <c r="R3317" i="10" s="1"/>
  <c r="S3317" i="10" s="1"/>
  <c r="T3317" i="10" s="1"/>
  <c r="U3317" i="10" s="1"/>
  <c r="V3317" i="10" s="1"/>
  <c r="D3319" i="10" l="1"/>
  <c r="M3318" i="10"/>
  <c r="N3318" i="10" s="1"/>
  <c r="O3318" i="10" s="1"/>
  <c r="P3318" i="10" s="1"/>
  <c r="Q3318" i="10" s="1"/>
  <c r="R3318" i="10" s="1"/>
  <c r="S3318" i="10" s="1"/>
  <c r="T3318" i="10" s="1"/>
  <c r="U3318" i="10" s="1"/>
  <c r="V3318" i="10" s="1"/>
  <c r="D3320" i="10" l="1"/>
  <c r="M3319" i="10"/>
  <c r="N3319" i="10" s="1"/>
  <c r="O3319" i="10" s="1"/>
  <c r="P3319" i="10" s="1"/>
  <c r="Q3319" i="10" s="1"/>
  <c r="R3319" i="10" s="1"/>
  <c r="S3319" i="10" s="1"/>
  <c r="T3319" i="10" s="1"/>
  <c r="U3319" i="10" s="1"/>
  <c r="V3319" i="10" s="1"/>
  <c r="D3321" i="10" l="1"/>
  <c r="M3320" i="10"/>
  <c r="N3320" i="10" s="1"/>
  <c r="O3320" i="10" s="1"/>
  <c r="P3320" i="10" s="1"/>
  <c r="Q3320" i="10" s="1"/>
  <c r="R3320" i="10" s="1"/>
  <c r="S3320" i="10" s="1"/>
  <c r="T3320" i="10" s="1"/>
  <c r="U3320" i="10" s="1"/>
  <c r="V3320" i="10" s="1"/>
  <c r="D3322" i="10" l="1"/>
  <c r="M3321" i="10"/>
  <c r="N3321" i="10" s="1"/>
  <c r="O3321" i="10" s="1"/>
  <c r="P3321" i="10" s="1"/>
  <c r="Q3321" i="10" s="1"/>
  <c r="R3321" i="10" s="1"/>
  <c r="S3321" i="10" s="1"/>
  <c r="T3321" i="10" s="1"/>
  <c r="U3321" i="10" s="1"/>
  <c r="V3321" i="10" s="1"/>
  <c r="D3323" i="10" l="1"/>
  <c r="M3322" i="10"/>
  <c r="N3322" i="10" s="1"/>
  <c r="O3322" i="10" s="1"/>
  <c r="P3322" i="10" s="1"/>
  <c r="Q3322" i="10" s="1"/>
  <c r="R3322" i="10" s="1"/>
  <c r="S3322" i="10" s="1"/>
  <c r="T3322" i="10" s="1"/>
  <c r="U3322" i="10" s="1"/>
  <c r="V3322" i="10" s="1"/>
  <c r="D3324" i="10" l="1"/>
  <c r="M3323" i="10"/>
  <c r="N3323" i="10" s="1"/>
  <c r="O3323" i="10" s="1"/>
  <c r="P3323" i="10" s="1"/>
  <c r="Q3323" i="10" s="1"/>
  <c r="R3323" i="10" s="1"/>
  <c r="S3323" i="10" s="1"/>
  <c r="T3323" i="10" s="1"/>
  <c r="U3323" i="10" s="1"/>
  <c r="V3323" i="10" s="1"/>
  <c r="D3325" i="10" l="1"/>
  <c r="M3324" i="10"/>
  <c r="N3324" i="10" s="1"/>
  <c r="O3324" i="10" s="1"/>
  <c r="P3324" i="10" s="1"/>
  <c r="Q3324" i="10" s="1"/>
  <c r="R3324" i="10" s="1"/>
  <c r="S3324" i="10" s="1"/>
  <c r="T3324" i="10" s="1"/>
  <c r="U3324" i="10" s="1"/>
  <c r="V3324" i="10" s="1"/>
  <c r="D3326" i="10" l="1"/>
  <c r="M3325" i="10"/>
  <c r="N3325" i="10" s="1"/>
  <c r="O3325" i="10" s="1"/>
  <c r="P3325" i="10" s="1"/>
  <c r="Q3325" i="10" s="1"/>
  <c r="R3325" i="10" s="1"/>
  <c r="S3325" i="10" s="1"/>
  <c r="T3325" i="10" s="1"/>
  <c r="U3325" i="10" s="1"/>
  <c r="V3325" i="10" s="1"/>
  <c r="D3327" i="10" l="1"/>
  <c r="M3326" i="10"/>
  <c r="N3326" i="10" s="1"/>
  <c r="O3326" i="10" s="1"/>
  <c r="P3326" i="10" s="1"/>
  <c r="Q3326" i="10" s="1"/>
  <c r="R3326" i="10" s="1"/>
  <c r="S3326" i="10" s="1"/>
  <c r="T3326" i="10" s="1"/>
  <c r="U3326" i="10" s="1"/>
  <c r="V3326" i="10" s="1"/>
  <c r="D3328" i="10" l="1"/>
  <c r="M3327" i="10"/>
  <c r="N3327" i="10" s="1"/>
  <c r="O3327" i="10" s="1"/>
  <c r="P3327" i="10" s="1"/>
  <c r="Q3327" i="10" s="1"/>
  <c r="R3327" i="10" s="1"/>
  <c r="S3327" i="10" s="1"/>
  <c r="T3327" i="10" s="1"/>
  <c r="U3327" i="10" s="1"/>
  <c r="V3327" i="10" s="1"/>
  <c r="D3329" i="10" l="1"/>
  <c r="M3328" i="10"/>
  <c r="N3328" i="10" s="1"/>
  <c r="O3328" i="10" s="1"/>
  <c r="P3328" i="10" s="1"/>
  <c r="Q3328" i="10" s="1"/>
  <c r="R3328" i="10" s="1"/>
  <c r="S3328" i="10" s="1"/>
  <c r="T3328" i="10" s="1"/>
  <c r="U3328" i="10" s="1"/>
  <c r="V3328" i="10" s="1"/>
  <c r="D3330" i="10" l="1"/>
  <c r="M3329" i="10"/>
  <c r="N3329" i="10" s="1"/>
  <c r="O3329" i="10" s="1"/>
  <c r="P3329" i="10" s="1"/>
  <c r="Q3329" i="10" s="1"/>
  <c r="R3329" i="10" s="1"/>
  <c r="S3329" i="10" s="1"/>
  <c r="T3329" i="10" s="1"/>
  <c r="U3329" i="10" s="1"/>
  <c r="V3329" i="10" s="1"/>
  <c r="D3331" i="10" l="1"/>
  <c r="M3330" i="10"/>
  <c r="N3330" i="10" s="1"/>
  <c r="O3330" i="10" s="1"/>
  <c r="P3330" i="10" s="1"/>
  <c r="Q3330" i="10" s="1"/>
  <c r="R3330" i="10" s="1"/>
  <c r="S3330" i="10" s="1"/>
  <c r="T3330" i="10" s="1"/>
  <c r="U3330" i="10" s="1"/>
  <c r="V3330" i="10" s="1"/>
  <c r="D3332" i="10" l="1"/>
  <c r="M3331" i="10"/>
  <c r="N3331" i="10" s="1"/>
  <c r="O3331" i="10" s="1"/>
  <c r="P3331" i="10" s="1"/>
  <c r="Q3331" i="10" s="1"/>
  <c r="R3331" i="10" s="1"/>
  <c r="S3331" i="10" s="1"/>
  <c r="T3331" i="10" s="1"/>
  <c r="U3331" i="10" s="1"/>
  <c r="V3331" i="10" s="1"/>
  <c r="D3333" i="10" l="1"/>
  <c r="M3332" i="10"/>
  <c r="N3332" i="10" s="1"/>
  <c r="O3332" i="10" s="1"/>
  <c r="P3332" i="10" s="1"/>
  <c r="Q3332" i="10" s="1"/>
  <c r="R3332" i="10" s="1"/>
  <c r="S3332" i="10" s="1"/>
  <c r="T3332" i="10" s="1"/>
  <c r="U3332" i="10" s="1"/>
  <c r="V3332" i="10" s="1"/>
  <c r="D3334" i="10" l="1"/>
  <c r="M3333" i="10"/>
  <c r="N3333" i="10" s="1"/>
  <c r="O3333" i="10" s="1"/>
  <c r="P3333" i="10" s="1"/>
  <c r="Q3333" i="10" s="1"/>
  <c r="R3333" i="10" s="1"/>
  <c r="S3333" i="10" s="1"/>
  <c r="T3333" i="10" s="1"/>
  <c r="U3333" i="10" s="1"/>
  <c r="V3333" i="10" s="1"/>
  <c r="D3335" i="10" l="1"/>
  <c r="M3334" i="10"/>
  <c r="N3334" i="10" s="1"/>
  <c r="O3334" i="10" s="1"/>
  <c r="P3334" i="10" s="1"/>
  <c r="Q3334" i="10" s="1"/>
  <c r="R3334" i="10" s="1"/>
  <c r="S3334" i="10" s="1"/>
  <c r="T3334" i="10" s="1"/>
  <c r="U3334" i="10" s="1"/>
  <c r="V3334" i="10" s="1"/>
  <c r="D3336" i="10" l="1"/>
  <c r="M3335" i="10"/>
  <c r="N3335" i="10" s="1"/>
  <c r="O3335" i="10" s="1"/>
  <c r="P3335" i="10" s="1"/>
  <c r="Q3335" i="10" s="1"/>
  <c r="R3335" i="10" s="1"/>
  <c r="S3335" i="10" s="1"/>
  <c r="T3335" i="10" s="1"/>
  <c r="U3335" i="10" s="1"/>
  <c r="V3335" i="10" s="1"/>
  <c r="D3337" i="10" l="1"/>
  <c r="M3336" i="10"/>
  <c r="N3336" i="10" s="1"/>
  <c r="O3336" i="10" s="1"/>
  <c r="P3336" i="10" s="1"/>
  <c r="Q3336" i="10" s="1"/>
  <c r="R3336" i="10" s="1"/>
  <c r="S3336" i="10" s="1"/>
  <c r="T3336" i="10" s="1"/>
  <c r="U3336" i="10" s="1"/>
  <c r="V3336" i="10" s="1"/>
  <c r="D3338" i="10" l="1"/>
  <c r="M3337" i="10"/>
  <c r="N3337" i="10" s="1"/>
  <c r="O3337" i="10" s="1"/>
  <c r="P3337" i="10" s="1"/>
  <c r="Q3337" i="10" s="1"/>
  <c r="R3337" i="10" s="1"/>
  <c r="S3337" i="10" s="1"/>
  <c r="T3337" i="10" s="1"/>
  <c r="U3337" i="10" s="1"/>
  <c r="V3337" i="10" s="1"/>
  <c r="D3339" i="10" l="1"/>
  <c r="M3338" i="10"/>
  <c r="N3338" i="10" s="1"/>
  <c r="O3338" i="10" s="1"/>
  <c r="P3338" i="10" s="1"/>
  <c r="Q3338" i="10" s="1"/>
  <c r="R3338" i="10" s="1"/>
  <c r="S3338" i="10" s="1"/>
  <c r="T3338" i="10" s="1"/>
  <c r="U3338" i="10" s="1"/>
  <c r="V3338" i="10" s="1"/>
  <c r="D3340" i="10" l="1"/>
  <c r="M3339" i="10"/>
  <c r="N3339" i="10" s="1"/>
  <c r="O3339" i="10" s="1"/>
  <c r="P3339" i="10" s="1"/>
  <c r="Q3339" i="10" s="1"/>
  <c r="R3339" i="10" s="1"/>
  <c r="S3339" i="10" s="1"/>
  <c r="T3339" i="10" s="1"/>
  <c r="U3339" i="10" s="1"/>
  <c r="V3339" i="10" s="1"/>
  <c r="D3341" i="10" l="1"/>
  <c r="M3340" i="10"/>
  <c r="N3340" i="10" s="1"/>
  <c r="O3340" i="10" s="1"/>
  <c r="P3340" i="10" s="1"/>
  <c r="Q3340" i="10" s="1"/>
  <c r="R3340" i="10" s="1"/>
  <c r="S3340" i="10" s="1"/>
  <c r="T3340" i="10" s="1"/>
  <c r="U3340" i="10" s="1"/>
  <c r="V3340" i="10" s="1"/>
  <c r="D3342" i="10" l="1"/>
  <c r="M3341" i="10"/>
  <c r="N3341" i="10" s="1"/>
  <c r="O3341" i="10" s="1"/>
  <c r="P3341" i="10" s="1"/>
  <c r="Q3341" i="10" s="1"/>
  <c r="R3341" i="10" s="1"/>
  <c r="S3341" i="10" s="1"/>
  <c r="T3341" i="10" s="1"/>
  <c r="U3341" i="10" s="1"/>
  <c r="V3341" i="10" s="1"/>
  <c r="D3343" i="10" l="1"/>
  <c r="M3342" i="10"/>
  <c r="N3342" i="10" s="1"/>
  <c r="O3342" i="10" s="1"/>
  <c r="P3342" i="10" s="1"/>
  <c r="Q3342" i="10" s="1"/>
  <c r="R3342" i="10" s="1"/>
  <c r="S3342" i="10" s="1"/>
  <c r="T3342" i="10" s="1"/>
  <c r="U3342" i="10" s="1"/>
  <c r="V3342" i="10" s="1"/>
  <c r="D3344" i="10" l="1"/>
  <c r="M3343" i="10"/>
  <c r="N3343" i="10" s="1"/>
  <c r="O3343" i="10" s="1"/>
  <c r="P3343" i="10" s="1"/>
  <c r="Q3343" i="10" s="1"/>
  <c r="R3343" i="10" s="1"/>
  <c r="S3343" i="10" s="1"/>
  <c r="T3343" i="10" s="1"/>
  <c r="U3343" i="10" s="1"/>
  <c r="V3343" i="10" s="1"/>
  <c r="D3345" i="10" l="1"/>
  <c r="M3344" i="10"/>
  <c r="N3344" i="10" s="1"/>
  <c r="O3344" i="10" s="1"/>
  <c r="P3344" i="10" s="1"/>
  <c r="Q3344" i="10" s="1"/>
  <c r="R3344" i="10" s="1"/>
  <c r="S3344" i="10" s="1"/>
  <c r="T3344" i="10" s="1"/>
  <c r="U3344" i="10" s="1"/>
  <c r="V3344" i="10" s="1"/>
  <c r="D3346" i="10" l="1"/>
  <c r="M3345" i="10"/>
  <c r="N3345" i="10" s="1"/>
  <c r="O3345" i="10" s="1"/>
  <c r="P3345" i="10" s="1"/>
  <c r="Q3345" i="10" s="1"/>
  <c r="R3345" i="10" s="1"/>
  <c r="S3345" i="10" s="1"/>
  <c r="T3345" i="10" s="1"/>
  <c r="U3345" i="10" s="1"/>
  <c r="V3345" i="10" s="1"/>
  <c r="D3347" i="10" l="1"/>
  <c r="M3346" i="10"/>
  <c r="N3346" i="10" s="1"/>
  <c r="O3346" i="10" s="1"/>
  <c r="P3346" i="10" s="1"/>
  <c r="Q3346" i="10" s="1"/>
  <c r="R3346" i="10" s="1"/>
  <c r="S3346" i="10" s="1"/>
  <c r="T3346" i="10" s="1"/>
  <c r="U3346" i="10" s="1"/>
  <c r="V3346" i="10" s="1"/>
  <c r="D3348" i="10" l="1"/>
  <c r="M3347" i="10"/>
  <c r="N3347" i="10" s="1"/>
  <c r="O3347" i="10" s="1"/>
  <c r="P3347" i="10" s="1"/>
  <c r="Q3347" i="10" s="1"/>
  <c r="R3347" i="10" s="1"/>
  <c r="S3347" i="10" s="1"/>
  <c r="T3347" i="10" s="1"/>
  <c r="U3347" i="10" s="1"/>
  <c r="V3347" i="10" s="1"/>
  <c r="D3349" i="10" l="1"/>
  <c r="M3348" i="10"/>
  <c r="N3348" i="10" s="1"/>
  <c r="O3348" i="10" s="1"/>
  <c r="P3348" i="10" s="1"/>
  <c r="Q3348" i="10" s="1"/>
  <c r="R3348" i="10" s="1"/>
  <c r="S3348" i="10" s="1"/>
  <c r="T3348" i="10" s="1"/>
  <c r="U3348" i="10" s="1"/>
  <c r="V3348" i="10" s="1"/>
  <c r="D3350" i="10" l="1"/>
  <c r="M3349" i="10"/>
  <c r="N3349" i="10" s="1"/>
  <c r="O3349" i="10" s="1"/>
  <c r="P3349" i="10" s="1"/>
  <c r="Q3349" i="10" s="1"/>
  <c r="R3349" i="10" s="1"/>
  <c r="S3349" i="10" s="1"/>
  <c r="T3349" i="10" s="1"/>
  <c r="U3349" i="10" s="1"/>
  <c r="V3349" i="10" s="1"/>
  <c r="D3351" i="10" l="1"/>
  <c r="M3350" i="10"/>
  <c r="N3350" i="10" s="1"/>
  <c r="O3350" i="10" s="1"/>
  <c r="P3350" i="10" s="1"/>
  <c r="Q3350" i="10" s="1"/>
  <c r="R3350" i="10" s="1"/>
  <c r="S3350" i="10" s="1"/>
  <c r="T3350" i="10" s="1"/>
  <c r="U3350" i="10" s="1"/>
  <c r="V3350" i="10" s="1"/>
  <c r="D3352" i="10" l="1"/>
  <c r="M3351" i="10"/>
  <c r="N3351" i="10" s="1"/>
  <c r="O3351" i="10" s="1"/>
  <c r="P3351" i="10" s="1"/>
  <c r="Q3351" i="10" s="1"/>
  <c r="R3351" i="10" s="1"/>
  <c r="S3351" i="10" s="1"/>
  <c r="T3351" i="10" s="1"/>
  <c r="U3351" i="10" s="1"/>
  <c r="V3351" i="10" s="1"/>
  <c r="D3353" i="10" l="1"/>
  <c r="M3352" i="10"/>
  <c r="N3352" i="10" s="1"/>
  <c r="O3352" i="10" s="1"/>
  <c r="P3352" i="10" s="1"/>
  <c r="Q3352" i="10" s="1"/>
  <c r="R3352" i="10" s="1"/>
  <c r="S3352" i="10" s="1"/>
  <c r="T3352" i="10" s="1"/>
  <c r="U3352" i="10" s="1"/>
  <c r="V3352" i="10" s="1"/>
  <c r="D3354" i="10" l="1"/>
  <c r="M3353" i="10"/>
  <c r="N3353" i="10" s="1"/>
  <c r="O3353" i="10" s="1"/>
  <c r="P3353" i="10" s="1"/>
  <c r="Q3353" i="10" s="1"/>
  <c r="R3353" i="10" s="1"/>
  <c r="S3353" i="10" s="1"/>
  <c r="T3353" i="10" s="1"/>
  <c r="U3353" i="10" s="1"/>
  <c r="V3353" i="10" s="1"/>
  <c r="D3355" i="10" l="1"/>
  <c r="M3354" i="10"/>
  <c r="N3354" i="10" s="1"/>
  <c r="O3354" i="10" s="1"/>
  <c r="P3354" i="10" s="1"/>
  <c r="Q3354" i="10" s="1"/>
  <c r="R3354" i="10" s="1"/>
  <c r="S3354" i="10" s="1"/>
  <c r="T3354" i="10" s="1"/>
  <c r="U3354" i="10" s="1"/>
  <c r="V3354" i="10" s="1"/>
  <c r="D3356" i="10" l="1"/>
  <c r="M3355" i="10"/>
  <c r="N3355" i="10" s="1"/>
  <c r="O3355" i="10" s="1"/>
  <c r="P3355" i="10" s="1"/>
  <c r="Q3355" i="10" s="1"/>
  <c r="R3355" i="10" s="1"/>
  <c r="S3355" i="10" s="1"/>
  <c r="T3355" i="10" s="1"/>
  <c r="U3355" i="10" s="1"/>
  <c r="V3355" i="10" s="1"/>
  <c r="D3357" i="10" l="1"/>
  <c r="M3356" i="10"/>
  <c r="N3356" i="10" s="1"/>
  <c r="O3356" i="10" s="1"/>
  <c r="P3356" i="10" s="1"/>
  <c r="Q3356" i="10" s="1"/>
  <c r="R3356" i="10" s="1"/>
  <c r="S3356" i="10" s="1"/>
  <c r="T3356" i="10" s="1"/>
  <c r="U3356" i="10" s="1"/>
  <c r="V3356" i="10" s="1"/>
  <c r="D3358" i="10" l="1"/>
  <c r="M3357" i="10"/>
  <c r="N3357" i="10" s="1"/>
  <c r="O3357" i="10" s="1"/>
  <c r="P3357" i="10" s="1"/>
  <c r="Q3357" i="10" s="1"/>
  <c r="R3357" i="10" s="1"/>
  <c r="S3357" i="10" s="1"/>
  <c r="T3357" i="10" s="1"/>
  <c r="U3357" i="10" s="1"/>
  <c r="V3357" i="10" s="1"/>
  <c r="D3359" i="10" l="1"/>
  <c r="M3358" i="10"/>
  <c r="N3358" i="10" s="1"/>
  <c r="O3358" i="10" s="1"/>
  <c r="P3358" i="10" s="1"/>
  <c r="Q3358" i="10" s="1"/>
  <c r="R3358" i="10" s="1"/>
  <c r="S3358" i="10" s="1"/>
  <c r="T3358" i="10" s="1"/>
  <c r="U3358" i="10" s="1"/>
  <c r="V3358" i="10" s="1"/>
  <c r="D3360" i="10" l="1"/>
  <c r="M3359" i="10"/>
  <c r="N3359" i="10" s="1"/>
  <c r="O3359" i="10" s="1"/>
  <c r="P3359" i="10" s="1"/>
  <c r="Q3359" i="10" s="1"/>
  <c r="R3359" i="10" s="1"/>
  <c r="S3359" i="10" s="1"/>
  <c r="T3359" i="10" s="1"/>
  <c r="U3359" i="10" s="1"/>
  <c r="V3359" i="10" s="1"/>
  <c r="D3361" i="10" l="1"/>
  <c r="M3360" i="10"/>
  <c r="N3360" i="10" s="1"/>
  <c r="O3360" i="10" s="1"/>
  <c r="P3360" i="10" s="1"/>
  <c r="Q3360" i="10" s="1"/>
  <c r="R3360" i="10" s="1"/>
  <c r="S3360" i="10" s="1"/>
  <c r="T3360" i="10" s="1"/>
  <c r="U3360" i="10" s="1"/>
  <c r="V3360" i="10" s="1"/>
  <c r="D3362" i="10" l="1"/>
  <c r="M3361" i="10"/>
  <c r="N3361" i="10" s="1"/>
  <c r="O3361" i="10" s="1"/>
  <c r="P3361" i="10" s="1"/>
  <c r="Q3361" i="10" s="1"/>
  <c r="R3361" i="10" s="1"/>
  <c r="S3361" i="10" s="1"/>
  <c r="T3361" i="10" s="1"/>
  <c r="U3361" i="10" s="1"/>
  <c r="V3361" i="10" s="1"/>
  <c r="D3363" i="10" l="1"/>
  <c r="M3362" i="10"/>
  <c r="N3362" i="10" s="1"/>
  <c r="O3362" i="10" s="1"/>
  <c r="P3362" i="10" s="1"/>
  <c r="Q3362" i="10" s="1"/>
  <c r="R3362" i="10" s="1"/>
  <c r="S3362" i="10" s="1"/>
  <c r="T3362" i="10" s="1"/>
  <c r="U3362" i="10" s="1"/>
  <c r="V3362" i="10" s="1"/>
  <c r="D3364" i="10" l="1"/>
  <c r="M3363" i="10"/>
  <c r="N3363" i="10" s="1"/>
  <c r="O3363" i="10" s="1"/>
  <c r="P3363" i="10" s="1"/>
  <c r="Q3363" i="10" s="1"/>
  <c r="R3363" i="10" s="1"/>
  <c r="S3363" i="10" s="1"/>
  <c r="T3363" i="10" s="1"/>
  <c r="U3363" i="10" s="1"/>
  <c r="V3363" i="10" s="1"/>
  <c r="D3365" i="10" l="1"/>
  <c r="M3364" i="10"/>
  <c r="N3364" i="10" s="1"/>
  <c r="O3364" i="10" s="1"/>
  <c r="P3364" i="10" s="1"/>
  <c r="Q3364" i="10" s="1"/>
  <c r="R3364" i="10" s="1"/>
  <c r="S3364" i="10" s="1"/>
  <c r="T3364" i="10" s="1"/>
  <c r="U3364" i="10" s="1"/>
  <c r="V3364" i="10" s="1"/>
  <c r="D3366" i="10" l="1"/>
  <c r="M3365" i="10"/>
  <c r="N3365" i="10" s="1"/>
  <c r="O3365" i="10" s="1"/>
  <c r="P3365" i="10" s="1"/>
  <c r="Q3365" i="10" s="1"/>
  <c r="R3365" i="10" s="1"/>
  <c r="S3365" i="10" s="1"/>
  <c r="T3365" i="10" s="1"/>
  <c r="U3365" i="10" s="1"/>
  <c r="V3365" i="10" s="1"/>
  <c r="D3367" i="10" l="1"/>
  <c r="M3366" i="10"/>
  <c r="N3366" i="10" s="1"/>
  <c r="O3366" i="10" s="1"/>
  <c r="P3366" i="10" s="1"/>
  <c r="Q3366" i="10" s="1"/>
  <c r="R3366" i="10" s="1"/>
  <c r="S3366" i="10" s="1"/>
  <c r="T3366" i="10" s="1"/>
  <c r="U3366" i="10" s="1"/>
  <c r="V3366" i="10" s="1"/>
  <c r="D3368" i="10" l="1"/>
  <c r="M3367" i="10"/>
  <c r="N3367" i="10" s="1"/>
  <c r="O3367" i="10" s="1"/>
  <c r="P3367" i="10" s="1"/>
  <c r="Q3367" i="10" s="1"/>
  <c r="R3367" i="10" s="1"/>
  <c r="S3367" i="10" s="1"/>
  <c r="T3367" i="10" s="1"/>
  <c r="U3367" i="10" s="1"/>
  <c r="V3367" i="10" s="1"/>
  <c r="D3369" i="10" l="1"/>
  <c r="M3368" i="10"/>
  <c r="N3368" i="10" s="1"/>
  <c r="O3368" i="10" s="1"/>
  <c r="P3368" i="10" s="1"/>
  <c r="Q3368" i="10" s="1"/>
  <c r="R3368" i="10" s="1"/>
  <c r="S3368" i="10" s="1"/>
  <c r="T3368" i="10" s="1"/>
  <c r="U3368" i="10" s="1"/>
  <c r="V3368" i="10" s="1"/>
  <c r="D3370" i="10" l="1"/>
  <c r="M3369" i="10"/>
  <c r="N3369" i="10" s="1"/>
  <c r="O3369" i="10" s="1"/>
  <c r="P3369" i="10" s="1"/>
  <c r="Q3369" i="10" s="1"/>
  <c r="R3369" i="10" s="1"/>
  <c r="S3369" i="10" s="1"/>
  <c r="T3369" i="10" s="1"/>
  <c r="U3369" i="10" s="1"/>
  <c r="V3369" i="10" s="1"/>
  <c r="D3371" i="10" l="1"/>
  <c r="M3370" i="10"/>
  <c r="N3370" i="10" s="1"/>
  <c r="O3370" i="10" s="1"/>
  <c r="P3370" i="10" s="1"/>
  <c r="Q3370" i="10" s="1"/>
  <c r="R3370" i="10" s="1"/>
  <c r="S3370" i="10" s="1"/>
  <c r="T3370" i="10" s="1"/>
  <c r="U3370" i="10" s="1"/>
  <c r="V3370" i="10" s="1"/>
  <c r="D3372" i="10" l="1"/>
  <c r="M3371" i="10"/>
  <c r="N3371" i="10" s="1"/>
  <c r="O3371" i="10" s="1"/>
  <c r="P3371" i="10" s="1"/>
  <c r="Q3371" i="10" s="1"/>
  <c r="R3371" i="10" s="1"/>
  <c r="S3371" i="10" s="1"/>
  <c r="T3371" i="10" s="1"/>
  <c r="U3371" i="10" s="1"/>
  <c r="V3371" i="10" s="1"/>
  <c r="D3373" i="10" l="1"/>
  <c r="M3372" i="10"/>
  <c r="N3372" i="10" s="1"/>
  <c r="O3372" i="10" s="1"/>
  <c r="P3372" i="10" s="1"/>
  <c r="Q3372" i="10" s="1"/>
  <c r="R3372" i="10" s="1"/>
  <c r="S3372" i="10" s="1"/>
  <c r="T3372" i="10" s="1"/>
  <c r="U3372" i="10" s="1"/>
  <c r="V3372" i="10" s="1"/>
  <c r="D3374" i="10" l="1"/>
  <c r="M3373" i="10"/>
  <c r="N3373" i="10" s="1"/>
  <c r="O3373" i="10" s="1"/>
  <c r="P3373" i="10" s="1"/>
  <c r="Q3373" i="10" s="1"/>
  <c r="R3373" i="10" s="1"/>
  <c r="S3373" i="10" s="1"/>
  <c r="T3373" i="10" s="1"/>
  <c r="U3373" i="10" s="1"/>
  <c r="V3373" i="10" s="1"/>
  <c r="D3375" i="10" l="1"/>
  <c r="M3374" i="10"/>
  <c r="N3374" i="10" s="1"/>
  <c r="O3374" i="10" s="1"/>
  <c r="P3374" i="10" s="1"/>
  <c r="Q3374" i="10" s="1"/>
  <c r="R3374" i="10" s="1"/>
  <c r="S3374" i="10" s="1"/>
  <c r="T3374" i="10" s="1"/>
  <c r="U3374" i="10" s="1"/>
  <c r="V3374" i="10" s="1"/>
  <c r="D3376" i="10" l="1"/>
  <c r="M3375" i="10"/>
  <c r="N3375" i="10" s="1"/>
  <c r="O3375" i="10" s="1"/>
  <c r="P3375" i="10" s="1"/>
  <c r="Q3375" i="10" s="1"/>
  <c r="R3375" i="10" s="1"/>
  <c r="S3375" i="10" s="1"/>
  <c r="T3375" i="10" s="1"/>
  <c r="U3375" i="10" s="1"/>
  <c r="V3375" i="10" s="1"/>
  <c r="D3377" i="10" l="1"/>
  <c r="M3376" i="10"/>
  <c r="N3376" i="10" s="1"/>
  <c r="O3376" i="10" s="1"/>
  <c r="P3376" i="10" s="1"/>
  <c r="Q3376" i="10" s="1"/>
  <c r="R3376" i="10" s="1"/>
  <c r="S3376" i="10" s="1"/>
  <c r="T3376" i="10" s="1"/>
  <c r="U3376" i="10" s="1"/>
  <c r="V3376" i="10" s="1"/>
  <c r="D3378" i="10" l="1"/>
  <c r="M3377" i="10"/>
  <c r="N3377" i="10" s="1"/>
  <c r="O3377" i="10" s="1"/>
  <c r="P3377" i="10" s="1"/>
  <c r="Q3377" i="10" s="1"/>
  <c r="R3377" i="10" s="1"/>
  <c r="S3377" i="10" s="1"/>
  <c r="T3377" i="10" s="1"/>
  <c r="U3377" i="10" s="1"/>
  <c r="V3377" i="10" s="1"/>
  <c r="D3379" i="10" l="1"/>
  <c r="M3378" i="10"/>
  <c r="N3378" i="10" s="1"/>
  <c r="O3378" i="10" s="1"/>
  <c r="P3378" i="10" s="1"/>
  <c r="Q3378" i="10" s="1"/>
  <c r="R3378" i="10" s="1"/>
  <c r="S3378" i="10" s="1"/>
  <c r="T3378" i="10" s="1"/>
  <c r="U3378" i="10" s="1"/>
  <c r="V3378" i="10" s="1"/>
  <c r="D3380" i="10" l="1"/>
  <c r="M3379" i="10"/>
  <c r="N3379" i="10" s="1"/>
  <c r="O3379" i="10" s="1"/>
  <c r="P3379" i="10" s="1"/>
  <c r="Q3379" i="10" s="1"/>
  <c r="R3379" i="10" s="1"/>
  <c r="S3379" i="10" s="1"/>
  <c r="T3379" i="10" s="1"/>
  <c r="U3379" i="10" s="1"/>
  <c r="V3379" i="10" s="1"/>
  <c r="D3381" i="10" l="1"/>
  <c r="M3380" i="10"/>
  <c r="N3380" i="10" s="1"/>
  <c r="O3380" i="10" s="1"/>
  <c r="P3380" i="10" s="1"/>
  <c r="Q3380" i="10" s="1"/>
  <c r="R3380" i="10" s="1"/>
  <c r="S3380" i="10" s="1"/>
  <c r="T3380" i="10" s="1"/>
  <c r="U3380" i="10" s="1"/>
  <c r="V3380" i="10" s="1"/>
  <c r="D3382" i="10" l="1"/>
  <c r="M3381" i="10"/>
  <c r="N3381" i="10" s="1"/>
  <c r="O3381" i="10" s="1"/>
  <c r="P3381" i="10" s="1"/>
  <c r="Q3381" i="10" s="1"/>
  <c r="R3381" i="10" s="1"/>
  <c r="S3381" i="10" s="1"/>
  <c r="T3381" i="10" s="1"/>
  <c r="U3381" i="10" s="1"/>
  <c r="V3381" i="10" s="1"/>
  <c r="M3382" i="10" l="1"/>
  <c r="N3382" i="10" s="1"/>
  <c r="O3382" i="10" s="1"/>
  <c r="P3382" i="10" s="1"/>
  <c r="Q3382" i="10" s="1"/>
  <c r="R3382" i="10" s="1"/>
  <c r="S3382" i="10" s="1"/>
  <c r="T3382" i="10" s="1"/>
  <c r="U3382" i="10" s="1"/>
  <c r="V3382" i="10" s="1"/>
  <c r="M71" i="7" l="1"/>
  <c r="N71" i="7" s="1"/>
  <c r="M101" i="7"/>
  <c r="N101" i="7" s="1"/>
  <c r="N108" i="7"/>
  <c r="M77" i="7"/>
  <c r="N77" i="7" s="1"/>
  <c r="O108" i="7" l="1"/>
  <c r="O71" i="7"/>
  <c r="O77" i="7"/>
  <c r="O101" i="7"/>
  <c r="M91" i="7"/>
  <c r="N91" i="7" s="1"/>
  <c r="M67" i="7"/>
  <c r="N67" i="7" s="1"/>
  <c r="M65" i="7"/>
  <c r="M75" i="7"/>
  <c r="N75" i="7" s="1"/>
  <c r="M83" i="7"/>
  <c r="N83" i="7" s="1"/>
  <c r="M99" i="7"/>
  <c r="N99" i="7" s="1"/>
  <c r="M87" i="7"/>
  <c r="N87" i="7" s="1"/>
  <c r="M97" i="7"/>
  <c r="N97" i="7" s="1"/>
  <c r="M69" i="7"/>
  <c r="N69" i="7" s="1"/>
  <c r="M85" i="7"/>
  <c r="N85" i="7" s="1"/>
  <c r="M73" i="7"/>
  <c r="N73" i="7" s="1"/>
  <c r="M95" i="7"/>
  <c r="N95" i="7" s="1"/>
  <c r="P108" i="7"/>
  <c r="M79" i="7"/>
  <c r="N79" i="7" s="1"/>
  <c r="M89" i="7"/>
  <c r="N89" i="7" s="1"/>
  <c r="M132" i="7"/>
  <c r="M93" i="7"/>
  <c r="N93" i="7" s="1"/>
  <c r="M81" i="7"/>
  <c r="N81" i="7" s="1"/>
  <c r="M165" i="7" l="1"/>
  <c r="M164" i="7"/>
  <c r="O67" i="7"/>
  <c r="Q108" i="7"/>
  <c r="P101" i="7"/>
  <c r="O87" i="7"/>
  <c r="O79" i="7"/>
  <c r="O95" i="7"/>
  <c r="O73" i="7"/>
  <c r="O85" i="7"/>
  <c r="O81" i="7"/>
  <c r="P77" i="7"/>
  <c r="M130" i="7"/>
  <c r="M163" i="7" s="1"/>
  <c r="O75" i="7"/>
  <c r="P71" i="7"/>
  <c r="O91" i="7"/>
  <c r="O69" i="7"/>
  <c r="O97" i="7"/>
  <c r="O99" i="7"/>
  <c r="O93" i="7"/>
  <c r="O83" i="7"/>
  <c r="O89" i="7"/>
  <c r="Q77" i="7" l="1"/>
  <c r="P69" i="7"/>
  <c r="P89" i="7"/>
  <c r="Q101" i="7"/>
  <c r="R108" i="7"/>
  <c r="P85" i="7"/>
  <c r="P93" i="7"/>
  <c r="P73" i="7"/>
  <c r="M22" i="7"/>
  <c r="M18" i="7" s="1"/>
  <c r="M12" i="7" s="1"/>
  <c r="M131" i="7"/>
  <c r="P95" i="7"/>
  <c r="P67" i="7"/>
  <c r="P97" i="7"/>
  <c r="P81" i="7"/>
  <c r="P91" i="7"/>
  <c r="P87" i="7"/>
  <c r="Q71" i="7"/>
  <c r="P83" i="7"/>
  <c r="P75" i="7"/>
  <c r="P99" i="7"/>
  <c r="P79" i="7"/>
  <c r="R101" i="7" l="1"/>
  <c r="Q91" i="7"/>
  <c r="Q81" i="7"/>
  <c r="Q99" i="7"/>
  <c r="Q85" i="7"/>
  <c r="M23" i="7"/>
  <c r="Q83" i="7"/>
  <c r="Q73" i="7"/>
  <c r="Q69" i="7"/>
  <c r="Q75" i="7"/>
  <c r="Q89" i="7"/>
  <c r="Q97" i="7"/>
  <c r="R71" i="7"/>
  <c r="Q87" i="7"/>
  <c r="S108" i="7"/>
  <c r="Q67" i="7"/>
  <c r="Q79" i="7"/>
  <c r="Q95" i="7"/>
  <c r="Q93" i="7"/>
  <c r="R77" i="7"/>
  <c r="S77" i="7" l="1"/>
  <c r="R93" i="7"/>
  <c r="R87" i="7"/>
  <c r="R95" i="7"/>
  <c r="R67" i="7"/>
  <c r="R97" i="7"/>
  <c r="R73" i="7"/>
  <c r="S71" i="7"/>
  <c r="R79" i="7"/>
  <c r="R83" i="7"/>
  <c r="M30" i="7"/>
  <c r="M11" i="8"/>
  <c r="M13" i="8" s="1"/>
  <c r="M18" i="8" s="1"/>
  <c r="M19" i="7"/>
  <c r="R75" i="7"/>
  <c r="R91" i="7"/>
  <c r="T108" i="7"/>
  <c r="R85" i="7"/>
  <c r="R89" i="7"/>
  <c r="R81" i="7"/>
  <c r="R69" i="7"/>
  <c r="R99" i="7"/>
  <c r="S101" i="7"/>
  <c r="M158" i="8" l="1"/>
  <c r="M157" i="8" s="1"/>
  <c r="M163" i="8" s="1"/>
  <c r="M137" i="8"/>
  <c r="M138" i="8" s="1"/>
  <c r="N138" i="8" s="1"/>
  <c r="O138" i="8" s="1"/>
  <c r="P138" i="8" s="1"/>
  <c r="Q138" i="8" s="1"/>
  <c r="R138" i="8" s="1"/>
  <c r="S138" i="8" s="1"/>
  <c r="T138" i="8" s="1"/>
  <c r="U138" i="8" s="1"/>
  <c r="S91" i="7"/>
  <c r="T101" i="7"/>
  <c r="M31" i="7"/>
  <c r="M10" i="9"/>
  <c r="M32" i="7"/>
  <c r="T77" i="7"/>
  <c r="S81" i="7"/>
  <c r="S83" i="7"/>
  <c r="S89" i="7"/>
  <c r="S95" i="7"/>
  <c r="T71" i="7"/>
  <c r="S99" i="7"/>
  <c r="S97" i="7"/>
  <c r="S69" i="7"/>
  <c r="S93" i="7"/>
  <c r="S73" i="7"/>
  <c r="U108" i="7"/>
  <c r="S87" i="7"/>
  <c r="S79" i="7"/>
  <c r="S75" i="7"/>
  <c r="S85" i="7"/>
  <c r="S67" i="7"/>
  <c r="T75" i="7" l="1"/>
  <c r="T91" i="7"/>
  <c r="T85" i="7"/>
  <c r="T87" i="7"/>
  <c r="T67" i="7"/>
  <c r="T69" i="7"/>
  <c r="U71" i="7"/>
  <c r="T83" i="7"/>
  <c r="U101" i="7"/>
  <c r="T95" i="7"/>
  <c r="T93" i="7"/>
  <c r="T89" i="7"/>
  <c r="M11" i="9"/>
  <c r="T79" i="7"/>
  <c r="T73" i="7"/>
  <c r="T97" i="7"/>
  <c r="U77" i="7"/>
  <c r="V108" i="7"/>
  <c r="T99" i="7"/>
  <c r="T81" i="7"/>
  <c r="U97" i="7" l="1"/>
  <c r="U83" i="7"/>
  <c r="U91" i="7"/>
  <c r="U93" i="7"/>
  <c r="U87" i="7"/>
  <c r="U73" i="7"/>
  <c r="U69" i="7"/>
  <c r="U81" i="7"/>
  <c r="U75" i="7"/>
  <c r="V71" i="7"/>
  <c r="V77" i="7"/>
  <c r="U67" i="7"/>
  <c r="U95" i="7"/>
  <c r="U85" i="7"/>
  <c r="U89" i="7"/>
  <c r="V101" i="7"/>
  <c r="U99" i="7"/>
  <c r="U79" i="7"/>
  <c r="M67" i="8" l="1"/>
  <c r="M14" i="9"/>
  <c r="M15" i="9" s="1"/>
  <c r="V93" i="7"/>
  <c r="V69" i="7"/>
  <c r="V75" i="7"/>
  <c r="V89" i="7"/>
  <c r="V83" i="7"/>
  <c r="V85" i="7"/>
  <c r="V73" i="7"/>
  <c r="V95" i="7"/>
  <c r="V91" i="7"/>
  <c r="V99" i="7"/>
  <c r="V79" i="7"/>
  <c r="V87" i="7"/>
  <c r="V67" i="7"/>
  <c r="V97" i="7"/>
  <c r="V81" i="7"/>
  <c r="M169" i="8" l="1"/>
  <c r="M168" i="8" s="1"/>
  <c r="L168" i="8" s="1"/>
  <c r="M69" i="8"/>
  <c r="M18" i="9"/>
  <c r="M63" i="9" s="1"/>
  <c r="M75" i="8"/>
  <c r="M176" i="8" l="1"/>
  <c r="M224" i="8"/>
  <c r="M222" i="8"/>
  <c r="M21" i="9"/>
  <c r="L77" i="8"/>
  <c r="L170" i="8"/>
  <c r="M19" i="9"/>
  <c r="O191" i="7"/>
  <c r="P191" i="7" s="1"/>
  <c r="Q191" i="7" s="1"/>
  <c r="R191" i="7" s="1"/>
  <c r="S191" i="7" s="1"/>
  <c r="T191" i="7" s="1"/>
  <c r="U191" i="7" s="1"/>
  <c r="L177" i="8" l="1"/>
  <c r="L25" i="9"/>
  <c r="L183" i="8"/>
  <c r="L218" i="8" s="1"/>
  <c r="L72" i="8" s="1"/>
  <c r="L175" i="8"/>
  <c r="L182" i="8"/>
  <c r="L216" i="8" s="1"/>
  <c r="L70" i="8" s="1"/>
  <c r="M77" i="8"/>
  <c r="N187" i="7"/>
  <c r="L213" i="8" l="1"/>
  <c r="M216" i="8"/>
  <c r="M70" i="8" s="1"/>
  <c r="L214" i="8"/>
  <c r="M218" i="8"/>
  <c r="L73" i="8"/>
  <c r="O187" i="7"/>
  <c r="N188" i="7"/>
  <c r="N190" i="7" s="1"/>
  <c r="N189" i="7" s="1"/>
  <c r="L22" i="9" l="1"/>
  <c r="L71" i="8"/>
  <c r="L76" i="8"/>
  <c r="L79" i="8" s="1"/>
  <c r="L239" i="8" s="1"/>
  <c r="L240" i="8" s="1"/>
  <c r="N238" i="8" s="1"/>
  <c r="N113" i="8"/>
  <c r="N185" i="7"/>
  <c r="N112" i="8"/>
  <c r="P187" i="7"/>
  <c r="O188" i="7"/>
  <c r="O190" i="7" s="1"/>
  <c r="O189" i="7" s="1"/>
  <c r="L78" i="8" l="1"/>
  <c r="L23" i="9"/>
  <c r="L24" i="9"/>
  <c r="L26" i="9" s="1"/>
  <c r="Q187" i="7"/>
  <c r="P188" i="7"/>
  <c r="P190" i="7" s="1"/>
  <c r="P189" i="7" s="1"/>
  <c r="N151" i="8"/>
  <c r="N150" i="8" s="1"/>
  <c r="N59" i="8" s="1"/>
  <c r="N104" i="7"/>
  <c r="N186" i="7"/>
  <c r="O112" i="8"/>
  <c r="O113" i="8"/>
  <c r="O185" i="7"/>
  <c r="N111" i="8"/>
  <c r="L43" i="9" l="1"/>
  <c r="M43" i="9" s="1"/>
  <c r="L31" i="9"/>
  <c r="L36" i="9" s="1"/>
  <c r="O111" i="8"/>
  <c r="N109" i="8"/>
  <c r="N39" i="8" s="1"/>
  <c r="N40" i="8" s="1"/>
  <c r="N110" i="8"/>
  <c r="N41" i="8" s="1"/>
  <c r="N42" i="8" s="1"/>
  <c r="O110" i="8"/>
  <c r="O41" i="8" s="1"/>
  <c r="O109" i="8"/>
  <c r="O39" i="8" s="1"/>
  <c r="N53" i="9"/>
  <c r="N54" i="9" s="1"/>
  <c r="N56" i="9" s="1"/>
  <c r="N35" i="9" s="1"/>
  <c r="N24" i="7"/>
  <c r="N12" i="8" s="1"/>
  <c r="N38" i="7"/>
  <c r="N105" i="7"/>
  <c r="O104" i="7"/>
  <c r="O151" i="8"/>
  <c r="O150" i="8" s="1"/>
  <c r="O59" i="8" s="1"/>
  <c r="O186" i="7"/>
  <c r="N60" i="8"/>
  <c r="N57" i="8"/>
  <c r="P113" i="8"/>
  <c r="P185" i="7"/>
  <c r="P112" i="8"/>
  <c r="R187" i="7"/>
  <c r="Q188" i="7"/>
  <c r="Q190" i="7" s="1"/>
  <c r="Q189" i="7" s="1"/>
  <c r="L46" i="9" l="1"/>
  <c r="O42" i="8"/>
  <c r="O40" i="8"/>
  <c r="L38" i="9"/>
  <c r="O57" i="8"/>
  <c r="O60" i="8"/>
  <c r="Q185" i="7"/>
  <c r="Q112" i="8"/>
  <c r="Q113" i="8"/>
  <c r="Q111" i="8" s="1"/>
  <c r="P186" i="7"/>
  <c r="P151" i="8"/>
  <c r="P150" i="8" s="1"/>
  <c r="P59" i="8" s="1"/>
  <c r="P104" i="7"/>
  <c r="O24" i="7"/>
  <c r="O12" i="8" s="1"/>
  <c r="O38" i="7"/>
  <c r="O105" i="7"/>
  <c r="O53" i="9"/>
  <c r="O54" i="9" s="1"/>
  <c r="O56" i="9" s="1"/>
  <c r="O35" i="9" s="1"/>
  <c r="N64" i="7"/>
  <c r="N42" i="7"/>
  <c r="N58" i="7"/>
  <c r="N54" i="7"/>
  <c r="N44" i="7"/>
  <c r="N121" i="7"/>
  <c r="N39" i="7"/>
  <c r="N60" i="7"/>
  <c r="N46" i="7"/>
  <c r="N50" i="7"/>
  <c r="N40" i="7"/>
  <c r="N116" i="7" s="1"/>
  <c r="N52" i="7"/>
  <c r="N126" i="7" s="1"/>
  <c r="N48" i="7"/>
  <c r="N56" i="7"/>
  <c r="N11" i="4"/>
  <c r="N62" i="7"/>
  <c r="N43" i="4" s="1"/>
  <c r="R188" i="7"/>
  <c r="R190" i="7" s="1"/>
  <c r="R189" i="7" s="1"/>
  <c r="S187" i="7"/>
  <c r="P111" i="8"/>
  <c r="N58" i="8"/>
  <c r="N162" i="8"/>
  <c r="N16" i="9"/>
  <c r="N17" i="9" s="1"/>
  <c r="N61" i="4" l="1"/>
  <c r="N108" i="4"/>
  <c r="N110" i="4"/>
  <c r="N120" i="4"/>
  <c r="L44" i="9"/>
  <c r="L45" i="9" s="1"/>
  <c r="L48" i="9"/>
  <c r="M48" i="9" s="1"/>
  <c r="M46" i="9" s="1"/>
  <c r="M44" i="9" s="1"/>
  <c r="M45" i="9" s="1"/>
  <c r="N44" i="4"/>
  <c r="P38" i="7"/>
  <c r="P105" i="7"/>
  <c r="P24" i="7"/>
  <c r="P12" i="8" s="1"/>
  <c r="P53" i="9"/>
  <c r="P54" i="9" s="1"/>
  <c r="P56" i="9" s="1"/>
  <c r="T187" i="7"/>
  <c r="U187" i="7" s="1"/>
  <c r="U188" i="7" s="1"/>
  <c r="S188" i="7"/>
  <c r="S190" i="7" s="1"/>
  <c r="S189" i="7" s="1"/>
  <c r="N37" i="4"/>
  <c r="N118" i="7"/>
  <c r="N35" i="4"/>
  <c r="N120" i="7"/>
  <c r="N125" i="7"/>
  <c r="N127" i="7"/>
  <c r="N19" i="4"/>
  <c r="N20" i="4" s="1"/>
  <c r="P110" i="8"/>
  <c r="P41" i="8" s="1"/>
  <c r="P42" i="8" s="1"/>
  <c r="P109" i="8"/>
  <c r="P39" i="8" s="1"/>
  <c r="P40" i="8" s="1"/>
  <c r="N38" i="4"/>
  <c r="N119" i="7"/>
  <c r="N128" i="7"/>
  <c r="N41" i="4"/>
  <c r="N42" i="4" s="1"/>
  <c r="Q110" i="8"/>
  <c r="Q41" i="8" s="1"/>
  <c r="Q109" i="8"/>
  <c r="Q39" i="8" s="1"/>
  <c r="N129" i="7"/>
  <c r="N39" i="4"/>
  <c r="N40" i="4" s="1"/>
  <c r="N36" i="4"/>
  <c r="N117" i="7"/>
  <c r="O64" i="7"/>
  <c r="O48" i="7"/>
  <c r="O42" i="7"/>
  <c r="O50" i="7"/>
  <c r="O56" i="7"/>
  <c r="O52" i="7"/>
  <c r="O126" i="7" s="1"/>
  <c r="O54" i="7"/>
  <c r="O58" i="7"/>
  <c r="O121" i="7"/>
  <c r="O39" i="7"/>
  <c r="O11" i="4"/>
  <c r="O62" i="7"/>
  <c r="O43" i="4" s="1"/>
  <c r="O46" i="7"/>
  <c r="O60" i="7"/>
  <c r="O40" i="7"/>
  <c r="O44" i="7"/>
  <c r="P60" i="8"/>
  <c r="P57" i="8"/>
  <c r="R113" i="8"/>
  <c r="R112" i="8"/>
  <c r="R185" i="7"/>
  <c r="N14" i="4"/>
  <c r="N57" i="4"/>
  <c r="N59" i="4"/>
  <c r="N50" i="4"/>
  <c r="N45" i="4"/>
  <c r="N52" i="4"/>
  <c r="N65" i="4"/>
  <c r="N67" i="4" s="1"/>
  <c r="Q151" i="8"/>
  <c r="Q150" i="8" s="1"/>
  <c r="Q59" i="8" s="1"/>
  <c r="Q186" i="7"/>
  <c r="Q104" i="7"/>
  <c r="N124" i="7"/>
  <c r="N31" i="4"/>
  <c r="N32" i="4" s="1"/>
  <c r="N123" i="7"/>
  <c r="N17" i="4"/>
  <c r="N66" i="7"/>
  <c r="N92" i="7"/>
  <c r="N98" i="4" s="1"/>
  <c r="N99" i="4" s="1"/>
  <c r="N98" i="7"/>
  <c r="N80" i="7"/>
  <c r="N96" i="7"/>
  <c r="N106" i="4" s="1"/>
  <c r="N107" i="4" s="1"/>
  <c r="N74" i="7"/>
  <c r="N94" i="7"/>
  <c r="N100" i="4" s="1"/>
  <c r="N101" i="4" s="1"/>
  <c r="N78" i="7"/>
  <c r="N84" i="4" s="1"/>
  <c r="N85" i="4" s="1"/>
  <c r="N68" i="7"/>
  <c r="N72" i="7"/>
  <c r="N82" i="7"/>
  <c r="N88" i="4" s="1"/>
  <c r="N89" i="4" s="1"/>
  <c r="N86" i="7"/>
  <c r="N92" i="4" s="1"/>
  <c r="N93" i="4" s="1"/>
  <c r="N100" i="7"/>
  <c r="N76" i="7"/>
  <c r="N141" i="7"/>
  <c r="N88" i="7"/>
  <c r="N94" i="4" s="1"/>
  <c r="N95" i="4" s="1"/>
  <c r="N90" i="7"/>
  <c r="N96" i="4" s="1"/>
  <c r="N97" i="4" s="1"/>
  <c r="N84" i="7"/>
  <c r="N65" i="7"/>
  <c r="N70" i="7"/>
  <c r="O16" i="9"/>
  <c r="O17" i="9" s="1"/>
  <c r="O58" i="8"/>
  <c r="O162" i="8"/>
  <c r="Q42" i="8" l="1"/>
  <c r="O108" i="4"/>
  <c r="O110" i="4"/>
  <c r="O120" i="4"/>
  <c r="O44" i="4"/>
  <c r="N33" i="4"/>
  <c r="N34" i="4" s="1"/>
  <c r="R111" i="8"/>
  <c r="P162" i="8"/>
  <c r="P16" i="9"/>
  <c r="P17" i="9" s="1"/>
  <c r="P58" i="8"/>
  <c r="O19" i="4"/>
  <c r="O20" i="4" s="1"/>
  <c r="O125" i="7"/>
  <c r="O127" i="7"/>
  <c r="T188" i="7"/>
  <c r="T190" i="7" s="1"/>
  <c r="T189" i="7" s="1"/>
  <c r="O38" i="4"/>
  <c r="O119" i="7"/>
  <c r="N90" i="4"/>
  <c r="N142" i="7"/>
  <c r="O37" i="4"/>
  <c r="O118" i="7"/>
  <c r="O116" i="7"/>
  <c r="O35" i="4"/>
  <c r="O120" i="7"/>
  <c r="Q60" i="8"/>
  <c r="Q57" i="8"/>
  <c r="N80" i="4"/>
  <c r="N136" i="7"/>
  <c r="N90" i="8"/>
  <c r="N56" i="4"/>
  <c r="N34" i="9"/>
  <c r="N130" i="4" s="1"/>
  <c r="N79" i="4"/>
  <c r="N139" i="7"/>
  <c r="O124" i="7"/>
  <c r="O31" i="4"/>
  <c r="O32" i="4" s="1"/>
  <c r="N32" i="9"/>
  <c r="O117" i="7"/>
  <c r="O36" i="4"/>
  <c r="N140" i="7"/>
  <c r="N74" i="4"/>
  <c r="N101" i="8"/>
  <c r="P64" i="7"/>
  <c r="P46" i="7"/>
  <c r="P50" i="7"/>
  <c r="P54" i="7"/>
  <c r="P42" i="7"/>
  <c r="P52" i="7"/>
  <c r="P126" i="7" s="1"/>
  <c r="P11" i="4"/>
  <c r="P58" i="7"/>
  <c r="P56" i="7"/>
  <c r="P40" i="7"/>
  <c r="P121" i="7"/>
  <c r="P44" i="7"/>
  <c r="P39" i="7"/>
  <c r="P48" i="7"/>
  <c r="P62" i="7"/>
  <c r="P43" i="4" s="1"/>
  <c r="P60" i="7"/>
  <c r="N86" i="4"/>
  <c r="N87" i="4" s="1"/>
  <c r="N138" i="7"/>
  <c r="O123" i="7"/>
  <c r="O17" i="4"/>
  <c r="P35" i="9"/>
  <c r="N122" i="7"/>
  <c r="N155" i="7" s="1"/>
  <c r="N134" i="7"/>
  <c r="N78" i="4"/>
  <c r="N102" i="8"/>
  <c r="N135" i="7"/>
  <c r="N75" i="4"/>
  <c r="R104" i="7"/>
  <c r="R186" i="7"/>
  <c r="R151" i="8"/>
  <c r="R150" i="8" s="1"/>
  <c r="R59" i="8" s="1"/>
  <c r="R109" i="8"/>
  <c r="R39" i="8" s="1"/>
  <c r="R40" i="8" s="1"/>
  <c r="R110" i="8"/>
  <c r="R41" i="8" s="1"/>
  <c r="R42" i="8" s="1"/>
  <c r="S113" i="8"/>
  <c r="S185" i="7"/>
  <c r="S112" i="8"/>
  <c r="O128" i="7"/>
  <c r="O41" i="4"/>
  <c r="O42" i="4" s="1"/>
  <c r="O68" i="7"/>
  <c r="O94" i="7"/>
  <c r="O100" i="4" s="1"/>
  <c r="O101" i="4" s="1"/>
  <c r="O96" i="7"/>
  <c r="O106" i="4" s="1"/>
  <c r="O107" i="4" s="1"/>
  <c r="O100" i="7"/>
  <c r="O72" i="7"/>
  <c r="O66" i="7"/>
  <c r="O65" i="7"/>
  <c r="O90" i="7"/>
  <c r="O96" i="4" s="1"/>
  <c r="O97" i="4" s="1"/>
  <c r="O78" i="7"/>
  <c r="O84" i="4" s="1"/>
  <c r="O85" i="4" s="1"/>
  <c r="O141" i="7"/>
  <c r="O70" i="7"/>
  <c r="O74" i="7"/>
  <c r="O84" i="7"/>
  <c r="O88" i="7"/>
  <c r="O94" i="4" s="1"/>
  <c r="O95" i="4" s="1"/>
  <c r="O92" i="7"/>
  <c r="O98" i="4" s="1"/>
  <c r="O99" i="4" s="1"/>
  <c r="O80" i="7"/>
  <c r="O76" i="7"/>
  <c r="O82" i="7"/>
  <c r="O88" i="4" s="1"/>
  <c r="O89" i="4" s="1"/>
  <c r="O98" i="7"/>
  <c r="O86" i="7"/>
  <c r="O92" i="4" s="1"/>
  <c r="O93" i="4" s="1"/>
  <c r="N18" i="4"/>
  <c r="O14" i="4"/>
  <c r="O45" i="4"/>
  <c r="O50" i="4"/>
  <c r="O52" i="4"/>
  <c r="O59" i="4"/>
  <c r="O61" i="4"/>
  <c r="O32" i="9" s="1"/>
  <c r="O57" i="4"/>
  <c r="O34" i="9" s="1"/>
  <c r="O65" i="4"/>
  <c r="O67" i="4" s="1"/>
  <c r="N76" i="4"/>
  <c r="N137" i="7"/>
  <c r="Q53" i="9"/>
  <c r="Q54" i="9" s="1"/>
  <c r="Q56" i="9" s="1"/>
  <c r="Q38" i="7"/>
  <c r="Q24" i="7"/>
  <c r="Q12" i="8" s="1"/>
  <c r="Q105" i="7"/>
  <c r="O129" i="7"/>
  <c r="O39" i="4"/>
  <c r="O40" i="4" s="1"/>
  <c r="Q40" i="8"/>
  <c r="N115" i="7"/>
  <c r="N16" i="4" l="1"/>
  <c r="N13" i="4" s="1"/>
  <c r="P108" i="4"/>
  <c r="P110" i="4"/>
  <c r="P120" i="4"/>
  <c r="N33" i="9"/>
  <c r="N12" i="4"/>
  <c r="T112" i="8"/>
  <c r="T113" i="8"/>
  <c r="T111" i="8" s="1"/>
  <c r="T185" i="7"/>
  <c r="P117" i="7"/>
  <c r="P36" i="4"/>
  <c r="N133" i="7"/>
  <c r="N132" i="7" s="1"/>
  <c r="O90" i="4"/>
  <c r="O142" i="7"/>
  <c r="P41" i="4"/>
  <c r="P42" i="4" s="1"/>
  <c r="P128" i="7"/>
  <c r="O76" i="4"/>
  <c r="O137" i="7"/>
  <c r="O115" i="7"/>
  <c r="Q35" i="9"/>
  <c r="P38" i="4"/>
  <c r="P119" i="7"/>
  <c r="P74" i="7"/>
  <c r="P88" i="7"/>
  <c r="P94" i="4" s="1"/>
  <c r="P95" i="4" s="1"/>
  <c r="P96" i="7"/>
  <c r="P106" i="4" s="1"/>
  <c r="P107" i="4" s="1"/>
  <c r="P94" i="7"/>
  <c r="P100" i="4" s="1"/>
  <c r="P101" i="4" s="1"/>
  <c r="P80" i="7"/>
  <c r="P78" i="7"/>
  <c r="P84" i="4" s="1"/>
  <c r="P85" i="4" s="1"/>
  <c r="P141" i="7"/>
  <c r="P70" i="7"/>
  <c r="P65" i="7"/>
  <c r="P66" i="7"/>
  <c r="P82" i="7"/>
  <c r="P88" i="4" s="1"/>
  <c r="P89" i="4" s="1"/>
  <c r="P76" i="7"/>
  <c r="P92" i="7"/>
  <c r="P98" i="4" s="1"/>
  <c r="P99" i="4" s="1"/>
  <c r="P100" i="7"/>
  <c r="P72" i="7"/>
  <c r="P90" i="7"/>
  <c r="P96" i="4" s="1"/>
  <c r="P97" i="4" s="1"/>
  <c r="P86" i="7"/>
  <c r="P92" i="4" s="1"/>
  <c r="P93" i="4" s="1"/>
  <c r="P68" i="7"/>
  <c r="P84" i="7"/>
  <c r="P98" i="7"/>
  <c r="O130" i="4"/>
  <c r="N125" i="4"/>
  <c r="N102" i="7" s="1"/>
  <c r="N107" i="7" s="1"/>
  <c r="Q16" i="9"/>
  <c r="Q17" i="9" s="1"/>
  <c r="Q58" i="8"/>
  <c r="Q162" i="8"/>
  <c r="O33" i="4"/>
  <c r="O34" i="4" s="1"/>
  <c r="S151" i="8"/>
  <c r="S150" i="8" s="1"/>
  <c r="S59" i="8" s="1"/>
  <c r="S104" i="7"/>
  <c r="S186" i="7"/>
  <c r="P37" i="4"/>
  <c r="P118" i="7"/>
  <c r="N113" i="7"/>
  <c r="N20" i="7" s="1"/>
  <c r="N148" i="7"/>
  <c r="P116" i="7"/>
  <c r="P35" i="4"/>
  <c r="P120" i="7"/>
  <c r="N100" i="8"/>
  <c r="O135" i="7"/>
  <c r="O75" i="4"/>
  <c r="O102" i="8"/>
  <c r="Q64" i="7"/>
  <c r="Q42" i="7"/>
  <c r="Q44" i="7"/>
  <c r="Q52" i="7"/>
  <c r="Q126" i="7" s="1"/>
  <c r="Q58" i="7"/>
  <c r="Q54" i="7"/>
  <c r="Q39" i="7"/>
  <c r="Q121" i="7"/>
  <c r="Q48" i="7"/>
  <c r="Q62" i="7"/>
  <c r="Q43" i="4" s="1"/>
  <c r="Q56" i="7"/>
  <c r="Q46" i="7"/>
  <c r="Q11" i="4"/>
  <c r="Q60" i="7"/>
  <c r="Q50" i="7"/>
  <c r="Q40" i="7"/>
  <c r="U190" i="7"/>
  <c r="U189" i="7" s="1"/>
  <c r="V187" i="7"/>
  <c r="V188" i="7" s="1"/>
  <c r="V190" i="7" s="1"/>
  <c r="V189" i="7" s="1"/>
  <c r="P127" i="7"/>
  <c r="P125" i="7"/>
  <c r="P19" i="4"/>
  <c r="P20" i="4" s="1"/>
  <c r="N77" i="4"/>
  <c r="N72" i="4" s="1"/>
  <c r="N73" i="4" s="1"/>
  <c r="O136" i="7"/>
  <c r="O80" i="4"/>
  <c r="O90" i="8"/>
  <c r="O78" i="4"/>
  <c r="O134" i="7"/>
  <c r="O18" i="4"/>
  <c r="P31" i="4"/>
  <c r="P32" i="4" s="1"/>
  <c r="P124" i="7"/>
  <c r="P14" i="4"/>
  <c r="P57" i="4"/>
  <c r="P45" i="4"/>
  <c r="P52" i="4"/>
  <c r="P65" i="4"/>
  <c r="P67" i="4" s="1"/>
  <c r="P59" i="4"/>
  <c r="P50" i="4"/>
  <c r="P61" i="4"/>
  <c r="R105" i="7"/>
  <c r="R53" i="9"/>
  <c r="R54" i="9" s="1"/>
  <c r="R56" i="9" s="1"/>
  <c r="R38" i="7"/>
  <c r="R24" i="7"/>
  <c r="R12" i="8" s="1"/>
  <c r="O139" i="7"/>
  <c r="O79" i="4"/>
  <c r="P44" i="4"/>
  <c r="P123" i="7"/>
  <c r="P17" i="4"/>
  <c r="S111" i="8"/>
  <c r="O56" i="4"/>
  <c r="O33" i="9" s="1"/>
  <c r="O140" i="7"/>
  <c r="O101" i="8"/>
  <c r="O74" i="4"/>
  <c r="O86" i="4"/>
  <c r="O87" i="4" s="1"/>
  <c r="O138" i="7"/>
  <c r="R57" i="8"/>
  <c r="R60" i="8"/>
  <c r="O122" i="7"/>
  <c r="O155" i="7" s="1"/>
  <c r="P129" i="7"/>
  <c r="P39" i="4"/>
  <c r="P40" i="4" s="1"/>
  <c r="N85" i="8"/>
  <c r="N25" i="8" s="1"/>
  <c r="N86" i="8"/>
  <c r="N27" i="8" s="1"/>
  <c r="N28" i="8" s="1"/>
  <c r="N87" i="8"/>
  <c r="N29" i="8" s="1"/>
  <c r="N30" i="8" s="1"/>
  <c r="N68" i="4" l="1"/>
  <c r="Q108" i="4"/>
  <c r="Q110" i="4"/>
  <c r="Q120" i="4"/>
  <c r="N235" i="8"/>
  <c r="O237" i="8" s="1"/>
  <c r="N91" i="4"/>
  <c r="P34" i="9"/>
  <c r="P130" i="4" s="1"/>
  <c r="O133" i="7"/>
  <c r="O132" i="7" s="1"/>
  <c r="O164" i="7" s="1"/>
  <c r="O77" i="4"/>
  <c r="O72" i="4" s="1"/>
  <c r="O73" i="4" s="1"/>
  <c r="P33" i="4"/>
  <c r="P34" i="4" s="1"/>
  <c r="P115" i="7"/>
  <c r="P148" i="7" s="1"/>
  <c r="O16" i="4"/>
  <c r="O13" i="4" s="1"/>
  <c r="O12" i="4" s="1"/>
  <c r="P101" i="8"/>
  <c r="P140" i="7"/>
  <c r="P74" i="4"/>
  <c r="P142" i="7"/>
  <c r="P90" i="4"/>
  <c r="N52" i="9"/>
  <c r="N57" i="9" s="1"/>
  <c r="N126" i="4"/>
  <c r="U185" i="7"/>
  <c r="U112" i="8"/>
  <c r="U113" i="8"/>
  <c r="U111" i="8" s="1"/>
  <c r="P75" i="4"/>
  <c r="P135" i="7"/>
  <c r="P102" i="8"/>
  <c r="O125" i="4"/>
  <c r="Q116" i="7"/>
  <c r="Q35" i="4"/>
  <c r="Q120" i="7"/>
  <c r="P137" i="7"/>
  <c r="P76" i="4"/>
  <c r="O87" i="8"/>
  <c r="O29" i="8" s="1"/>
  <c r="O30" i="8" s="1"/>
  <c r="O85" i="8"/>
  <c r="O25" i="8" s="1"/>
  <c r="O86" i="8"/>
  <c r="O27" i="8" s="1"/>
  <c r="O28" i="8" s="1"/>
  <c r="P86" i="4"/>
  <c r="P87" i="4" s="1"/>
  <c r="P138" i="7"/>
  <c r="T104" i="7"/>
  <c r="T186" i="7"/>
  <c r="T151" i="8"/>
  <c r="T150" i="8" s="1"/>
  <c r="T59" i="8" s="1"/>
  <c r="Q19" i="4"/>
  <c r="Q20" i="4" s="1"/>
  <c r="Q125" i="7"/>
  <c r="Q127" i="7"/>
  <c r="S24" i="7"/>
  <c r="S12" i="8" s="1"/>
  <c r="S38" i="7"/>
  <c r="S105" i="7"/>
  <c r="S53" i="9"/>
  <c r="S54" i="9" s="1"/>
  <c r="S56" i="9" s="1"/>
  <c r="T110" i="8"/>
  <c r="T41" i="8" s="1"/>
  <c r="T109" i="8"/>
  <c r="T39" i="8" s="1"/>
  <c r="N165" i="7"/>
  <c r="N130" i="7"/>
  <c r="N164" i="7"/>
  <c r="Q39" i="4"/>
  <c r="Q40" i="4" s="1"/>
  <c r="Q129" i="7"/>
  <c r="R16" i="9"/>
  <c r="R17" i="9" s="1"/>
  <c r="R58" i="8"/>
  <c r="R162" i="8"/>
  <c r="Q118" i="7"/>
  <c r="Q37" i="4"/>
  <c r="P122" i="7"/>
  <c r="P155" i="7" s="1"/>
  <c r="Q128" i="7"/>
  <c r="Q41" i="4"/>
  <c r="Q42" i="4" s="1"/>
  <c r="Q38" i="4"/>
  <c r="Q119" i="7"/>
  <c r="S57" i="8"/>
  <c r="S60" i="8"/>
  <c r="P134" i="7"/>
  <c r="P78" i="4"/>
  <c r="V112" i="8"/>
  <c r="V185" i="7"/>
  <c r="V113" i="8"/>
  <c r="P18" i="4"/>
  <c r="O148" i="7"/>
  <c r="O113" i="7"/>
  <c r="P56" i="4"/>
  <c r="O100" i="8"/>
  <c r="Q117" i="7"/>
  <c r="Q36" i="4"/>
  <c r="Q14" i="4"/>
  <c r="Q59" i="4"/>
  <c r="Q45" i="4"/>
  <c r="Q52" i="4"/>
  <c r="Q50" i="4"/>
  <c r="Q65" i="4"/>
  <c r="Q67" i="4" s="1"/>
  <c r="Q57" i="4"/>
  <c r="Q61" i="4"/>
  <c r="Q32" i="9" s="1"/>
  <c r="Q124" i="7"/>
  <c r="Q31" i="4"/>
  <c r="Q32" i="4" s="1"/>
  <c r="Q17" i="4"/>
  <c r="Q123" i="7"/>
  <c r="N98" i="8"/>
  <c r="N35" i="8" s="1"/>
  <c r="N99" i="8"/>
  <c r="N37" i="8" s="1"/>
  <c r="N38" i="8" s="1"/>
  <c r="P79" i="4"/>
  <c r="P139" i="7"/>
  <c r="S109" i="8"/>
  <c r="S39" i="8" s="1"/>
  <c r="S40" i="8" s="1"/>
  <c r="S110" i="8"/>
  <c r="S41" i="8" s="1"/>
  <c r="S42" i="8" s="1"/>
  <c r="N147" i="7"/>
  <c r="N114" i="7"/>
  <c r="Q84" i="7"/>
  <c r="Q94" i="7"/>
  <c r="Q100" i="4" s="1"/>
  <c r="Q101" i="4" s="1"/>
  <c r="Q78" i="7"/>
  <c r="Q84" i="4" s="1"/>
  <c r="Q85" i="4" s="1"/>
  <c r="Q65" i="7"/>
  <c r="Q66" i="7"/>
  <c r="Q86" i="7"/>
  <c r="Q92" i="4" s="1"/>
  <c r="Q93" i="4" s="1"/>
  <c r="Q92" i="7"/>
  <c r="Q98" i="4" s="1"/>
  <c r="Q99" i="4" s="1"/>
  <c r="Q72" i="7"/>
  <c r="Q68" i="7"/>
  <c r="Q74" i="7"/>
  <c r="Q70" i="7"/>
  <c r="Q76" i="7"/>
  <c r="Q96" i="7"/>
  <c r="Q106" i="4" s="1"/>
  <c r="Q107" i="4" s="1"/>
  <c r="Q90" i="7"/>
  <c r="Q96" i="4" s="1"/>
  <c r="Q97" i="4" s="1"/>
  <c r="Q80" i="7"/>
  <c r="Q98" i="7"/>
  <c r="Q82" i="7"/>
  <c r="Q88" i="4" s="1"/>
  <c r="Q89" i="4" s="1"/>
  <c r="Q88" i="7"/>
  <c r="Q94" i="4" s="1"/>
  <c r="Q95" i="4" s="1"/>
  <c r="Q100" i="7"/>
  <c r="Q141" i="7"/>
  <c r="P32" i="9"/>
  <c r="Q44" i="4"/>
  <c r="R64" i="7"/>
  <c r="R48" i="7"/>
  <c r="R42" i="7"/>
  <c r="R62" i="7"/>
  <c r="R43" i="4" s="1"/>
  <c r="R56" i="7"/>
  <c r="R39" i="7"/>
  <c r="R60" i="7"/>
  <c r="R54" i="7"/>
  <c r="R11" i="4"/>
  <c r="R40" i="7"/>
  <c r="R58" i="7"/>
  <c r="R44" i="7"/>
  <c r="R121" i="7"/>
  <c r="R46" i="7"/>
  <c r="R50" i="7"/>
  <c r="R52" i="7"/>
  <c r="R126" i="7" s="1"/>
  <c r="N21" i="8"/>
  <c r="N26" i="8"/>
  <c r="R35" i="9"/>
  <c r="P90" i="8"/>
  <c r="P80" i="4"/>
  <c r="P136" i="7"/>
  <c r="O68" i="4" l="1"/>
  <c r="R108" i="4"/>
  <c r="R110" i="4"/>
  <c r="R120" i="4"/>
  <c r="N127" i="4"/>
  <c r="P16" i="4"/>
  <c r="P13" i="4" s="1"/>
  <c r="O91" i="4"/>
  <c r="P12" i="4"/>
  <c r="O165" i="7"/>
  <c r="Q34" i="9"/>
  <c r="Q130" i="4" s="1"/>
  <c r="T42" i="8"/>
  <c r="O130" i="7"/>
  <c r="O163" i="7" s="1"/>
  <c r="P33" i="9"/>
  <c r="U151" i="8"/>
  <c r="U150" i="8" s="1"/>
  <c r="U59" i="8" s="1"/>
  <c r="U104" i="7"/>
  <c r="U186" i="7"/>
  <c r="Q137" i="7"/>
  <c r="Q76" i="4"/>
  <c r="P77" i="4"/>
  <c r="P72" i="4" s="1"/>
  <c r="P73" i="4" s="1"/>
  <c r="R116" i="7"/>
  <c r="R35" i="4"/>
  <c r="R120" i="7"/>
  <c r="P87" i="8"/>
  <c r="P29" i="8" s="1"/>
  <c r="P30" i="8" s="1"/>
  <c r="P85" i="8"/>
  <c r="P25" i="8" s="1"/>
  <c r="P86" i="8"/>
  <c r="P27" i="8" s="1"/>
  <c r="P28" i="8" s="1"/>
  <c r="O235" i="8"/>
  <c r="P237" i="8" s="1"/>
  <c r="O126" i="4"/>
  <c r="O102" i="7"/>
  <c r="O52" i="9"/>
  <c r="O57" i="9" s="1"/>
  <c r="N103" i="7"/>
  <c r="P113" i="7"/>
  <c r="O99" i="8"/>
  <c r="O37" i="8" s="1"/>
  <c r="O38" i="8" s="1"/>
  <c r="O98" i="8"/>
  <c r="O35" i="8" s="1"/>
  <c r="P125" i="4"/>
  <c r="Q102" i="8"/>
  <c r="Q75" i="4"/>
  <c r="Q135" i="7"/>
  <c r="R41" i="4"/>
  <c r="R42" i="4" s="1"/>
  <c r="R128" i="7"/>
  <c r="Q140" i="7"/>
  <c r="Q74" i="4"/>
  <c r="Q101" i="8"/>
  <c r="Q33" i="4"/>
  <c r="Q34" i="4" s="1"/>
  <c r="S64" i="7"/>
  <c r="S40" i="7"/>
  <c r="S50" i="7"/>
  <c r="S46" i="7"/>
  <c r="S42" i="7"/>
  <c r="S58" i="7"/>
  <c r="S44" i="7"/>
  <c r="S60" i="7"/>
  <c r="S48" i="7"/>
  <c r="S56" i="7"/>
  <c r="S52" i="7"/>
  <c r="S126" i="7" s="1"/>
  <c r="S54" i="7"/>
  <c r="S39" i="7"/>
  <c r="S62" i="7"/>
  <c r="S43" i="4" s="1"/>
  <c r="S121" i="7"/>
  <c r="S11" i="4"/>
  <c r="P133" i="7"/>
  <c r="P132" i="7" s="1"/>
  <c r="R31" i="4"/>
  <c r="R32" i="4" s="1"/>
  <c r="R124" i="7"/>
  <c r="T38" i="7"/>
  <c r="T53" i="9"/>
  <c r="T54" i="9" s="1"/>
  <c r="T56" i="9" s="1"/>
  <c r="T105" i="7"/>
  <c r="T24" i="7"/>
  <c r="T12" i="8" s="1"/>
  <c r="R14" i="4"/>
  <c r="R61" i="4"/>
  <c r="R32" i="9" s="1"/>
  <c r="R57" i="4"/>
  <c r="R52" i="4"/>
  <c r="R50" i="4"/>
  <c r="R65" i="4"/>
  <c r="R67" i="4" s="1"/>
  <c r="R59" i="4"/>
  <c r="R45" i="4"/>
  <c r="N21" i="7"/>
  <c r="Q78" i="4"/>
  <c r="Q134" i="7"/>
  <c r="R19" i="4"/>
  <c r="R20" i="4" s="1"/>
  <c r="R125" i="7"/>
  <c r="R127" i="7"/>
  <c r="R117" i="7"/>
  <c r="R36" i="4"/>
  <c r="S35" i="9"/>
  <c r="Q115" i="7"/>
  <c r="N22" i="8"/>
  <c r="Q56" i="4"/>
  <c r="Q33" i="9" s="1"/>
  <c r="S16" i="9"/>
  <c r="S17" i="9" s="1"/>
  <c r="S162" i="8"/>
  <c r="S58" i="8"/>
  <c r="R38" i="4"/>
  <c r="R119" i="7"/>
  <c r="Q138" i="7"/>
  <c r="Q86" i="4"/>
  <c r="Q87" i="4" s="1"/>
  <c r="N36" i="8"/>
  <c r="N33" i="8"/>
  <c r="N34" i="8" s="1"/>
  <c r="N163" i="7"/>
  <c r="N131" i="7"/>
  <c r="N22" i="7"/>
  <c r="N23" i="7" s="1"/>
  <c r="O26" i="8"/>
  <c r="O21" i="8"/>
  <c r="T57" i="8"/>
  <c r="T60" i="8"/>
  <c r="R44" i="4"/>
  <c r="O20" i="7"/>
  <c r="O147" i="7"/>
  <c r="O114" i="7"/>
  <c r="R123" i="7"/>
  <c r="R17" i="4"/>
  <c r="R94" i="7"/>
  <c r="R100" i="4" s="1"/>
  <c r="R101" i="4" s="1"/>
  <c r="R84" i="7"/>
  <c r="R76" i="7"/>
  <c r="R90" i="7"/>
  <c r="R96" i="4" s="1"/>
  <c r="R97" i="4" s="1"/>
  <c r="R141" i="7"/>
  <c r="R100" i="7"/>
  <c r="R82" i="7"/>
  <c r="R88" i="4" s="1"/>
  <c r="R89" i="4" s="1"/>
  <c r="R72" i="7"/>
  <c r="R74" i="7"/>
  <c r="R78" i="7"/>
  <c r="R84" i="4" s="1"/>
  <c r="R85" i="4" s="1"/>
  <c r="R65" i="7"/>
  <c r="R68" i="7"/>
  <c r="R80" i="7"/>
  <c r="R98" i="7"/>
  <c r="R66" i="7"/>
  <c r="R70" i="7"/>
  <c r="R88" i="7"/>
  <c r="R94" i="4" s="1"/>
  <c r="R95" i="4" s="1"/>
  <c r="R92" i="7"/>
  <c r="R98" i="4" s="1"/>
  <c r="R99" i="4" s="1"/>
  <c r="R86" i="7"/>
  <c r="R92" i="4" s="1"/>
  <c r="R93" i="4" s="1"/>
  <c r="R96" i="7"/>
  <c r="R106" i="4" s="1"/>
  <c r="R107" i="4" s="1"/>
  <c r="R118" i="7"/>
  <c r="R37" i="4"/>
  <c r="Q142" i="7"/>
  <c r="Q90" i="4"/>
  <c r="Q122" i="7"/>
  <c r="Q155" i="7" s="1"/>
  <c r="U110" i="8"/>
  <c r="U41" i="8" s="1"/>
  <c r="U42" i="8" s="1"/>
  <c r="U109" i="8"/>
  <c r="U39" i="8" s="1"/>
  <c r="U40" i="8" s="1"/>
  <c r="P100" i="8"/>
  <c r="V151" i="8"/>
  <c r="V150" i="8" s="1"/>
  <c r="V59" i="8" s="1"/>
  <c r="V186" i="7"/>
  <c r="V104" i="7"/>
  <c r="Q139" i="7"/>
  <c r="Q79" i="4"/>
  <c r="R39" i="4"/>
  <c r="R40" i="4" s="1"/>
  <c r="R129" i="7"/>
  <c r="Q90" i="8"/>
  <c r="Q136" i="7"/>
  <c r="Q80" i="4"/>
  <c r="Q18" i="4"/>
  <c r="V111" i="8"/>
  <c r="T40" i="8"/>
  <c r="O127" i="4"/>
  <c r="P68" i="4" l="1"/>
  <c r="S108" i="4"/>
  <c r="S110" i="4"/>
  <c r="S120" i="4"/>
  <c r="O131" i="7"/>
  <c r="O22" i="7"/>
  <c r="O23" i="7" s="1"/>
  <c r="P91" i="4"/>
  <c r="Q100" i="8"/>
  <c r="Q98" i="8" s="1"/>
  <c r="Q35" i="8" s="1"/>
  <c r="R122" i="7"/>
  <c r="R155" i="7" s="1"/>
  <c r="R34" i="9"/>
  <c r="R130" i="4" s="1"/>
  <c r="Q16" i="4"/>
  <c r="Q13" i="4" s="1"/>
  <c r="Q12" i="4" s="1"/>
  <c r="S124" i="7"/>
  <c r="S31" i="4"/>
  <c r="S32" i="4" s="1"/>
  <c r="Q125" i="4"/>
  <c r="P26" i="8"/>
  <c r="P21" i="8"/>
  <c r="O33" i="8"/>
  <c r="O34" i="8" s="1"/>
  <c r="O36" i="8"/>
  <c r="R18" i="4"/>
  <c r="R33" i="4"/>
  <c r="R34" i="4" s="1"/>
  <c r="T64" i="7"/>
  <c r="T48" i="7"/>
  <c r="T42" i="7"/>
  <c r="T39" i="7"/>
  <c r="T40" i="7"/>
  <c r="T58" i="7"/>
  <c r="T60" i="7"/>
  <c r="T52" i="7"/>
  <c r="T126" i="7" s="1"/>
  <c r="T62" i="7"/>
  <c r="T43" i="4" s="1"/>
  <c r="T50" i="7"/>
  <c r="T121" i="7"/>
  <c r="T46" i="7"/>
  <c r="T44" i="7"/>
  <c r="T56" i="7"/>
  <c r="T54" i="7"/>
  <c r="T11" i="4"/>
  <c r="R115" i="7"/>
  <c r="N129" i="8"/>
  <c r="S36" i="4"/>
  <c r="S117" i="7"/>
  <c r="V109" i="8"/>
  <c r="V39" i="8" s="1"/>
  <c r="V40" i="8" s="1"/>
  <c r="V110" i="8"/>
  <c r="V41" i="8" s="1"/>
  <c r="V42" i="8" s="1"/>
  <c r="V105" i="7"/>
  <c r="V24" i="7"/>
  <c r="V12" i="8" s="1"/>
  <c r="V53" i="9"/>
  <c r="V54" i="9" s="1"/>
  <c r="V56" i="9" s="1"/>
  <c r="V38" i="7"/>
  <c r="R139" i="7"/>
  <c r="R79" i="4"/>
  <c r="Q86" i="8"/>
  <c r="Q27" i="8" s="1"/>
  <c r="Q28" i="8" s="1"/>
  <c r="Q87" i="8"/>
  <c r="Q29" i="8" s="1"/>
  <c r="Q30" i="8" s="1"/>
  <c r="Q85" i="8"/>
  <c r="Q25" i="8" s="1"/>
  <c r="S14" i="4"/>
  <c r="S61" i="4"/>
  <c r="S32" i="9" s="1"/>
  <c r="S57" i="4"/>
  <c r="S45" i="4"/>
  <c r="S50" i="4"/>
  <c r="S52" i="4"/>
  <c r="S65" i="4"/>
  <c r="S67" i="4" s="1"/>
  <c r="S59" i="4"/>
  <c r="S38" i="4"/>
  <c r="S119" i="7"/>
  <c r="S128" i="7"/>
  <c r="S41" i="4"/>
  <c r="S42" i="4" s="1"/>
  <c r="S37" i="4"/>
  <c r="S118" i="7"/>
  <c r="S39" i="4"/>
  <c r="S40" i="4" s="1"/>
  <c r="S129" i="7"/>
  <c r="P165" i="7"/>
  <c r="P164" i="7"/>
  <c r="P130" i="7"/>
  <c r="R56" i="4"/>
  <c r="R33" i="9" s="1"/>
  <c r="S125" i="7"/>
  <c r="S127" i="7"/>
  <c r="S19" i="4"/>
  <c r="S20" i="4" s="1"/>
  <c r="O107" i="7"/>
  <c r="O103" i="7"/>
  <c r="V57" i="8"/>
  <c r="V60" i="8"/>
  <c r="S44" i="4"/>
  <c r="S35" i="4"/>
  <c r="S116" i="7"/>
  <c r="S120" i="7"/>
  <c r="R135" i="7"/>
  <c r="R75" i="4"/>
  <c r="R102" i="8"/>
  <c r="S123" i="7"/>
  <c r="S17" i="4"/>
  <c r="P20" i="7"/>
  <c r="P147" i="7"/>
  <c r="P114" i="7"/>
  <c r="P98" i="8"/>
  <c r="P35" i="8" s="1"/>
  <c r="P99" i="8"/>
  <c r="P37" i="8" s="1"/>
  <c r="P38" i="8" s="1"/>
  <c r="O21" i="7"/>
  <c r="R74" i="4"/>
  <c r="R140" i="7"/>
  <c r="R101" i="8"/>
  <c r="R90" i="8"/>
  <c r="R80" i="4"/>
  <c r="R136" i="7"/>
  <c r="T16" i="9"/>
  <c r="T17" i="9" s="1"/>
  <c r="T58" i="8"/>
  <c r="T162" i="8"/>
  <c r="Q113" i="7"/>
  <c r="Q148" i="7"/>
  <c r="S84" i="7"/>
  <c r="S82" i="7"/>
  <c r="S88" i="4" s="1"/>
  <c r="S89" i="4" s="1"/>
  <c r="S86" i="7"/>
  <c r="S92" i="4" s="1"/>
  <c r="S93" i="4" s="1"/>
  <c r="S100" i="7"/>
  <c r="S72" i="7"/>
  <c r="S80" i="7"/>
  <c r="S78" i="7"/>
  <c r="S84" i="4" s="1"/>
  <c r="S85" i="4" s="1"/>
  <c r="S88" i="7"/>
  <c r="S94" i="4" s="1"/>
  <c r="S95" i="4" s="1"/>
  <c r="S74" i="7"/>
  <c r="S76" i="7"/>
  <c r="S92" i="7"/>
  <c r="S98" i="4" s="1"/>
  <c r="S99" i="4" s="1"/>
  <c r="S98" i="7"/>
  <c r="S90" i="7"/>
  <c r="S96" i="4" s="1"/>
  <c r="S97" i="4" s="1"/>
  <c r="S68" i="7"/>
  <c r="S70" i="7"/>
  <c r="S96" i="7"/>
  <c r="S106" i="4" s="1"/>
  <c r="S107" i="4" s="1"/>
  <c r="S94" i="7"/>
  <c r="S100" i="4" s="1"/>
  <c r="S101" i="4" s="1"/>
  <c r="S66" i="7"/>
  <c r="S65" i="7"/>
  <c r="S141" i="7"/>
  <c r="U38" i="7"/>
  <c r="U105" i="7"/>
  <c r="U24" i="7"/>
  <c r="U12" i="8" s="1"/>
  <c r="U53" i="9"/>
  <c r="U54" i="9" s="1"/>
  <c r="U56" i="9" s="1"/>
  <c r="N18" i="7"/>
  <c r="R134" i="7"/>
  <c r="R78" i="4"/>
  <c r="R142" i="7"/>
  <c r="R90" i="4"/>
  <c r="O22" i="8"/>
  <c r="Q133" i="7"/>
  <c r="Q132" i="7" s="1"/>
  <c r="U57" i="8"/>
  <c r="U60" i="8"/>
  <c r="T35" i="9"/>
  <c r="R76" i="4"/>
  <c r="R137" i="7"/>
  <c r="R86" i="4"/>
  <c r="R87" i="4" s="1"/>
  <c r="R138" i="7"/>
  <c r="Q77" i="4"/>
  <c r="Q72" i="4" s="1"/>
  <c r="Q73" i="4" s="1"/>
  <c r="P235" i="8"/>
  <c r="Q237" i="8" s="1"/>
  <c r="P102" i="7"/>
  <c r="P126" i="4"/>
  <c r="P52" i="9"/>
  <c r="P57" i="9" s="1"/>
  <c r="P127" i="4"/>
  <c r="Q68" i="4" l="1"/>
  <c r="S34" i="9"/>
  <c r="N12" i="7"/>
  <c r="N19" i="7"/>
  <c r="T108" i="4"/>
  <c r="T110" i="4"/>
  <c r="T120" i="4"/>
  <c r="Q99" i="8"/>
  <c r="Q37" i="8" s="1"/>
  <c r="O18" i="7"/>
  <c r="O12" i="7" s="1"/>
  <c r="Q91" i="4"/>
  <c r="R77" i="4"/>
  <c r="T44" i="4"/>
  <c r="Q21" i="8"/>
  <c r="Q26" i="8"/>
  <c r="S138" i="7"/>
  <c r="S86" i="4"/>
  <c r="S87" i="4" s="1"/>
  <c r="S18" i="4"/>
  <c r="T39" i="4"/>
  <c r="T40" i="4" s="1"/>
  <c r="T129" i="7"/>
  <c r="P21" i="7"/>
  <c r="R133" i="7"/>
  <c r="R132" i="7" s="1"/>
  <c r="R86" i="8"/>
  <c r="R27" i="8" s="1"/>
  <c r="R28" i="8" s="1"/>
  <c r="R87" i="8"/>
  <c r="R29" i="8" s="1"/>
  <c r="R30" i="8" s="1"/>
  <c r="R85" i="8"/>
  <c r="R25" i="8" s="1"/>
  <c r="R148" i="7"/>
  <c r="R113" i="7"/>
  <c r="T116" i="7"/>
  <c r="T35" i="4"/>
  <c r="T120" i="7"/>
  <c r="P22" i="8"/>
  <c r="T14" i="4"/>
  <c r="T61" i="4"/>
  <c r="T65" i="4"/>
  <c r="T67" i="4" s="1"/>
  <c r="T57" i="4"/>
  <c r="T59" i="4"/>
  <c r="T50" i="4"/>
  <c r="T45" i="4"/>
  <c r="T52" i="4"/>
  <c r="T41" i="4"/>
  <c r="T42" i="4" s="1"/>
  <c r="T128" i="7"/>
  <c r="S142" i="7"/>
  <c r="S90" i="4"/>
  <c r="V58" i="8"/>
  <c r="V162" i="8"/>
  <c r="V16" i="9"/>
  <c r="V64" i="7"/>
  <c r="V48" i="7"/>
  <c r="V11" i="4"/>
  <c r="V40" i="7"/>
  <c r="V46" i="7"/>
  <c r="V42" i="7"/>
  <c r="V44" i="7"/>
  <c r="V58" i="7"/>
  <c r="V50" i="7"/>
  <c r="V56" i="7"/>
  <c r="V60" i="7"/>
  <c r="V62" i="7"/>
  <c r="V43" i="4" s="1"/>
  <c r="V39" i="7"/>
  <c r="V54" i="7"/>
  <c r="V121" i="7"/>
  <c r="V52" i="7"/>
  <c r="V126" i="7" s="1"/>
  <c r="T117" i="7"/>
  <c r="T36" i="4"/>
  <c r="Q235" i="8"/>
  <c r="R237" i="8" s="1"/>
  <c r="Q52" i="9"/>
  <c r="Q57" i="9" s="1"/>
  <c r="Q126" i="4"/>
  <c r="Q102" i="7"/>
  <c r="S74" i="4"/>
  <c r="S101" i="8"/>
  <c r="S140" i="7"/>
  <c r="S78" i="4"/>
  <c r="S134" i="7"/>
  <c r="Q165" i="7"/>
  <c r="Q164" i="7"/>
  <c r="Q130" i="7"/>
  <c r="J3343" i="10"/>
  <c r="J3173" i="10"/>
  <c r="J1964" i="10"/>
  <c r="J476" i="10"/>
  <c r="J2207" i="10"/>
  <c r="J3344" i="10"/>
  <c r="J2892" i="10"/>
  <c r="J2947" i="10"/>
  <c r="J2984" i="10"/>
  <c r="J1721" i="10"/>
  <c r="J1537" i="10"/>
  <c r="J2713" i="10"/>
  <c r="J1256" i="10"/>
  <c r="J801" i="10"/>
  <c r="J3288" i="10"/>
  <c r="J1866" i="10"/>
  <c r="J2167" i="10"/>
  <c r="J1960" i="10"/>
  <c r="J1639" i="10"/>
  <c r="J2393" i="10"/>
  <c r="J2716" i="10"/>
  <c r="J1793" i="10"/>
  <c r="J3286" i="10"/>
  <c r="J1971" i="10"/>
  <c r="J2084" i="10"/>
  <c r="J2869" i="10"/>
  <c r="J2921" i="10"/>
  <c r="J201" i="10"/>
  <c r="J2943" i="10"/>
  <c r="J3223" i="10"/>
  <c r="J2231" i="10"/>
  <c r="J2980" i="10"/>
  <c r="J2833" i="10"/>
  <c r="J2929" i="10"/>
  <c r="J3211" i="10"/>
  <c r="J3021" i="10"/>
  <c r="J942" i="10"/>
  <c r="J2633" i="10"/>
  <c r="J3378" i="10"/>
  <c r="J2424" i="10"/>
  <c r="J1891" i="10"/>
  <c r="J2985" i="10"/>
  <c r="J2524" i="10"/>
  <c r="J1469" i="10"/>
  <c r="J2569" i="10"/>
  <c r="J3071" i="10"/>
  <c r="J1770" i="10"/>
  <c r="J2586" i="10"/>
  <c r="J3066" i="10"/>
  <c r="J1507" i="10"/>
  <c r="J2664" i="10"/>
  <c r="J1064" i="10"/>
  <c r="J2968" i="10"/>
  <c r="J3299" i="10"/>
  <c r="J2477" i="10"/>
  <c r="J2053" i="10"/>
  <c r="J2910" i="10"/>
  <c r="J2063" i="10"/>
  <c r="J3131" i="10"/>
  <c r="J392" i="10"/>
  <c r="J1892" i="10"/>
  <c r="J2887" i="10"/>
  <c r="J2168" i="10"/>
  <c r="J357" i="10"/>
  <c r="J3245" i="10"/>
  <c r="J1724" i="10"/>
  <c r="J1247" i="10"/>
  <c r="J3187" i="10"/>
  <c r="J3013" i="10"/>
  <c r="J173" i="10"/>
  <c r="J3043" i="10"/>
  <c r="J717" i="10"/>
  <c r="J3126" i="10"/>
  <c r="J2906" i="10"/>
  <c r="J1629" i="10"/>
  <c r="J2386" i="10"/>
  <c r="J2808" i="10"/>
  <c r="J1940" i="10"/>
  <c r="J3055" i="10"/>
  <c r="J3049" i="10"/>
  <c r="J2400" i="10"/>
  <c r="J2546" i="10"/>
  <c r="J959" i="10"/>
  <c r="J3086" i="10"/>
  <c r="J2738" i="10"/>
  <c r="J2848" i="10"/>
  <c r="J2283" i="10"/>
  <c r="J1717" i="10"/>
  <c r="J3244" i="10"/>
  <c r="J1863" i="10"/>
  <c r="J3146" i="10"/>
  <c r="J1801" i="10"/>
  <c r="J3203" i="10"/>
  <c r="J1903" i="10"/>
  <c r="J2810" i="10"/>
  <c r="J3381" i="10"/>
  <c r="J3306" i="10"/>
  <c r="J3113" i="10"/>
  <c r="J2417" i="10"/>
  <c r="J2543" i="10"/>
  <c r="J2511" i="10"/>
  <c r="J2352" i="10"/>
  <c r="J2836" i="10"/>
  <c r="J3290" i="10"/>
  <c r="J973" i="10"/>
  <c r="J1750" i="10"/>
  <c r="J3004" i="10"/>
  <c r="J881" i="10"/>
  <c r="J2644" i="10"/>
  <c r="J3105" i="10"/>
  <c r="J2588" i="10"/>
  <c r="J2566" i="10"/>
  <c r="J2671" i="10"/>
  <c r="J3356" i="10"/>
  <c r="J622" i="10"/>
  <c r="J1026" i="10"/>
  <c r="J1963" i="10"/>
  <c r="J1178" i="10"/>
  <c r="J3062" i="10"/>
  <c r="J3080" i="10"/>
  <c r="J1292" i="10"/>
  <c r="J2595" i="10"/>
  <c r="J1994" i="10"/>
  <c r="J129" i="10"/>
  <c r="J3012" i="10"/>
  <c r="J3032" i="10"/>
  <c r="J356" i="10"/>
  <c r="J2531" i="10"/>
  <c r="J1208" i="10"/>
  <c r="J3143" i="10"/>
  <c r="J3297" i="10"/>
  <c r="J2890" i="10"/>
  <c r="J1057" i="10"/>
  <c r="J2239" i="10"/>
  <c r="J3333" i="10"/>
  <c r="J3258" i="10"/>
  <c r="J2734" i="10"/>
  <c r="J2561" i="10"/>
  <c r="J2668" i="10"/>
  <c r="J3052" i="10"/>
  <c r="J2760" i="10"/>
  <c r="J1881" i="10"/>
  <c r="J3077" i="10"/>
  <c r="J3118" i="10"/>
  <c r="J2370" i="10"/>
  <c r="J1817" i="10"/>
  <c r="J2796" i="10"/>
  <c r="J1439" i="10"/>
  <c r="J501" i="10"/>
  <c r="J2878" i="10"/>
  <c r="J3287" i="10"/>
  <c r="J1037" i="10"/>
  <c r="J2442" i="10"/>
  <c r="J2820" i="10"/>
  <c r="J2720" i="10"/>
  <c r="J2333" i="10"/>
  <c r="J2114" i="10"/>
  <c r="J3369" i="10"/>
  <c r="J3038" i="10"/>
  <c r="J1374" i="10"/>
  <c r="J3204" i="10"/>
  <c r="J2646" i="10"/>
  <c r="J3205" i="10"/>
  <c r="J2870" i="10"/>
  <c r="J84" i="10"/>
  <c r="J2686" i="10"/>
  <c r="J2621" i="10"/>
  <c r="J1264" i="10"/>
  <c r="J3149" i="10"/>
  <c r="J3056" i="10"/>
  <c r="J941" i="10"/>
  <c r="J1446" i="10"/>
  <c r="J3182" i="10"/>
  <c r="J1928" i="10"/>
  <c r="J3300" i="10"/>
  <c r="J2888" i="10"/>
  <c r="J1543" i="10"/>
  <c r="J2866" i="10"/>
  <c r="J2674" i="10"/>
  <c r="J240" i="10"/>
  <c r="J2557" i="10"/>
  <c r="J2645" i="10"/>
  <c r="J1362" i="10"/>
  <c r="J2809" i="10"/>
  <c r="J2789" i="10"/>
  <c r="J3332" i="10"/>
  <c r="J2983" i="10"/>
  <c r="J2954" i="10"/>
  <c r="J2613" i="10"/>
  <c r="J2183" i="10"/>
  <c r="J1834" i="10"/>
  <c r="J2553" i="10"/>
  <c r="J2072" i="10"/>
  <c r="J1289" i="10"/>
  <c r="J1877" i="10"/>
  <c r="J2143" i="10"/>
  <c r="J2474" i="10"/>
  <c r="J2854" i="10"/>
  <c r="J3036" i="10"/>
  <c r="J2730" i="10"/>
  <c r="J3070" i="10"/>
  <c r="J2735" i="10"/>
  <c r="J2605" i="10"/>
  <c r="J2891" i="10"/>
  <c r="J3324" i="10"/>
  <c r="J1681" i="10"/>
  <c r="J3128" i="10"/>
  <c r="J2297" i="10"/>
  <c r="J3119" i="10"/>
  <c r="J1181" i="10"/>
  <c r="J3108" i="10"/>
  <c r="J2560" i="10"/>
  <c r="J2756" i="10"/>
  <c r="J1363" i="10"/>
  <c r="J774" i="10"/>
  <c r="J2732" i="10"/>
  <c r="J2747" i="10"/>
  <c r="J2698" i="10"/>
  <c r="J1769" i="10"/>
  <c r="J3026" i="10"/>
  <c r="J2966" i="10"/>
  <c r="J1151" i="10"/>
  <c r="J2801" i="10"/>
  <c r="J2652" i="10"/>
  <c r="J1409" i="10"/>
  <c r="J2710" i="10"/>
  <c r="J3050" i="10"/>
  <c r="J2623" i="10"/>
  <c r="J3172" i="10"/>
  <c r="J1539" i="10"/>
  <c r="J2999" i="10"/>
  <c r="J2272" i="10"/>
  <c r="J2473" i="10"/>
  <c r="J1907" i="10"/>
  <c r="J2270" i="10"/>
  <c r="J2806" i="10"/>
  <c r="J2471" i="10"/>
  <c r="J888" i="10"/>
  <c r="J3200" i="10"/>
  <c r="J2857" i="10"/>
  <c r="J1804" i="10"/>
  <c r="J1274" i="10"/>
  <c r="J2536" i="10"/>
  <c r="J2146" i="10"/>
  <c r="J2384" i="10"/>
  <c r="J2987" i="10"/>
  <c r="J3239" i="10"/>
  <c r="J3215" i="10"/>
  <c r="J3355" i="10"/>
  <c r="J2434" i="10"/>
  <c r="J3057" i="10"/>
  <c r="J13" i="10"/>
  <c r="J2190" i="10"/>
  <c r="J2196" i="10"/>
  <c r="J2879" i="10"/>
  <c r="J3133" i="10"/>
  <c r="J2944" i="10"/>
  <c r="J2458" i="10"/>
  <c r="J2945" i="10"/>
  <c r="J2744" i="10"/>
  <c r="J254" i="10"/>
  <c r="J3213" i="10"/>
  <c r="J2179" i="10"/>
  <c r="J1400" i="10"/>
  <c r="J2889" i="10"/>
  <c r="J1396" i="10"/>
  <c r="J1225" i="10"/>
  <c r="J1805" i="10"/>
  <c r="J2992" i="10"/>
  <c r="J2374" i="10"/>
  <c r="J3054" i="10"/>
  <c r="J2859" i="10"/>
  <c r="J1510" i="10"/>
  <c r="J2706" i="10"/>
  <c r="J2321" i="10"/>
  <c r="J965" i="10"/>
  <c r="J1089" i="10"/>
  <c r="J2295" i="10"/>
  <c r="J3316" i="10"/>
  <c r="J2533" i="10"/>
  <c r="J2512" i="10"/>
  <c r="J1916" i="10"/>
  <c r="J1067" i="10"/>
  <c r="J2741" i="10"/>
  <c r="J2494" i="10"/>
  <c r="J3121" i="10"/>
  <c r="J2942" i="10"/>
  <c r="J1346" i="10"/>
  <c r="J2551" i="10"/>
  <c r="J3120" i="10"/>
  <c r="J3046" i="10"/>
  <c r="J912" i="10"/>
  <c r="J1356" i="10"/>
  <c r="J2625" i="10"/>
  <c r="J2978" i="10"/>
  <c r="J2958" i="10"/>
  <c r="J1621" i="10"/>
  <c r="J1038" i="10"/>
  <c r="J3025" i="10"/>
  <c r="J2924" i="10"/>
  <c r="J2996" i="10"/>
  <c r="J1562" i="10"/>
  <c r="J1972" i="10"/>
  <c r="J3176" i="10"/>
  <c r="J957" i="10"/>
  <c r="J1192" i="10"/>
  <c r="J1553" i="10"/>
  <c r="J1895" i="10"/>
  <c r="J3127" i="10"/>
  <c r="J1813" i="10"/>
  <c r="J1651" i="10"/>
  <c r="J3141" i="10"/>
  <c r="J2026" i="10"/>
  <c r="J2761" i="10"/>
  <c r="J2584" i="10"/>
  <c r="J2413" i="10"/>
  <c r="J850" i="10"/>
  <c r="J3042" i="10"/>
  <c r="J2435" i="10"/>
  <c r="J1734" i="10"/>
  <c r="J2969" i="10"/>
  <c r="J3078" i="10"/>
  <c r="J2845" i="10"/>
  <c r="J849" i="10"/>
  <c r="J2443" i="10"/>
  <c r="J2028" i="10"/>
  <c r="J3210" i="10"/>
  <c r="J2803" i="10"/>
  <c r="J2768" i="10"/>
  <c r="J1399" i="10"/>
  <c r="J1655" i="10"/>
  <c r="J1713" i="10"/>
  <c r="J2449" i="10"/>
  <c r="J2453" i="10"/>
  <c r="J2372" i="10"/>
  <c r="J1218" i="10"/>
  <c r="J2781" i="10"/>
  <c r="J2807" i="10"/>
  <c r="J1259" i="10"/>
  <c r="J1850" i="10"/>
  <c r="J3138" i="10"/>
  <c r="J892" i="10"/>
  <c r="J2419" i="10"/>
  <c r="J2704" i="10"/>
  <c r="J2189" i="10"/>
  <c r="J2897" i="10"/>
  <c r="J1934" i="10"/>
  <c r="J3214" i="10"/>
  <c r="J3269" i="10"/>
  <c r="J3364" i="10"/>
  <c r="J3174" i="10"/>
  <c r="J2642" i="10"/>
  <c r="J2562" i="10"/>
  <c r="J3361" i="10"/>
  <c r="J911" i="10"/>
  <c r="J3206" i="10"/>
  <c r="J2587" i="10"/>
  <c r="J1741" i="10"/>
  <c r="J3273" i="10"/>
  <c r="J1763" i="10"/>
  <c r="J1986" i="10"/>
  <c r="J2230" i="10"/>
  <c r="J3353" i="10"/>
  <c r="J3362" i="10"/>
  <c r="J3285" i="10"/>
  <c r="J3196" i="10"/>
  <c r="J3335" i="10"/>
  <c r="J3357" i="10"/>
  <c r="J3137" i="10"/>
  <c r="J563" i="10"/>
  <c r="J1285" i="10"/>
  <c r="J2627" i="10"/>
  <c r="J2873" i="10"/>
  <c r="J2683" i="10"/>
  <c r="J3280" i="10"/>
  <c r="J2685" i="10"/>
  <c r="J2788" i="10"/>
  <c r="J2035" i="10"/>
  <c r="J3352" i="10"/>
  <c r="J1844" i="10"/>
  <c r="J1812" i="10"/>
  <c r="J3224" i="10"/>
  <c r="J875" i="10"/>
  <c r="J3234" i="10"/>
  <c r="J2024" i="10"/>
  <c r="J2357" i="10"/>
  <c r="J2687" i="10"/>
  <c r="J3243" i="10"/>
  <c r="J1896" i="10"/>
  <c r="J2153" i="10"/>
  <c r="J2398" i="10"/>
  <c r="J472" i="10"/>
  <c r="J3308" i="10"/>
  <c r="J3092" i="10"/>
  <c r="J2380" i="10"/>
  <c r="J2456" i="10"/>
  <c r="J2707" i="10"/>
  <c r="J1638" i="10"/>
  <c r="J3326" i="10"/>
  <c r="J1572" i="10"/>
  <c r="J1099" i="10"/>
  <c r="J3040" i="10"/>
  <c r="J1965" i="10"/>
  <c r="J2886" i="10"/>
  <c r="J2000" i="10"/>
  <c r="J2499" i="10"/>
  <c r="J2465" i="10"/>
  <c r="J3281" i="10"/>
  <c r="J2590" i="10"/>
  <c r="J2507" i="10"/>
  <c r="J290" i="10"/>
  <c r="J3132" i="10"/>
  <c r="J3301" i="10"/>
  <c r="J2964" i="10"/>
  <c r="J2527" i="10"/>
  <c r="J2379" i="10"/>
  <c r="J2912" i="10"/>
  <c r="J1200" i="10"/>
  <c r="J600" i="10"/>
  <c r="J2877" i="10"/>
  <c r="J3348" i="10"/>
  <c r="J1145" i="10"/>
  <c r="J2970" i="10"/>
  <c r="J2501" i="10"/>
  <c r="J2548" i="10"/>
  <c r="J2066" i="10"/>
  <c r="J2661" i="10"/>
  <c r="J2853" i="10"/>
  <c r="J3085" i="10"/>
  <c r="J2099" i="10"/>
  <c r="J2377" i="10"/>
  <c r="J3230" i="10"/>
  <c r="J2647" i="10"/>
  <c r="J2010" i="10"/>
  <c r="J3067" i="10"/>
  <c r="J3109" i="10"/>
  <c r="J3103" i="10"/>
  <c r="J2914" i="10"/>
  <c r="J1229" i="10"/>
  <c r="J1908" i="10"/>
  <c r="J3101" i="10"/>
  <c r="J374" i="10"/>
  <c r="J2423" i="10"/>
  <c r="J1878" i="10"/>
  <c r="J549" i="10"/>
  <c r="J2422" i="10"/>
  <c r="J3266" i="10"/>
  <c r="J1473" i="10"/>
  <c r="J1361" i="10"/>
  <c r="J2762" i="10"/>
  <c r="J2274" i="10"/>
  <c r="J3024" i="10"/>
  <c r="J2950" i="10"/>
  <c r="J3074" i="10"/>
  <c r="J3096" i="10"/>
  <c r="J2905" i="10"/>
  <c r="J797" i="10"/>
  <c r="J2269" i="10"/>
  <c r="J2291" i="10"/>
  <c r="J2604" i="10"/>
  <c r="J2299" i="10"/>
  <c r="J3019" i="10"/>
  <c r="J2340" i="10"/>
  <c r="J2097" i="10"/>
  <c r="J3329" i="10"/>
  <c r="J2276" i="10"/>
  <c r="J1604" i="10"/>
  <c r="J2250" i="10"/>
  <c r="J2850" i="10"/>
  <c r="J2729" i="10"/>
  <c r="J3222" i="10"/>
  <c r="J2709" i="10"/>
  <c r="J2215" i="10"/>
  <c r="J1545" i="10"/>
  <c r="J2485" i="10"/>
  <c r="J2579" i="10"/>
  <c r="J3030" i="10"/>
  <c r="J3084" i="10"/>
  <c r="J3193" i="10"/>
  <c r="J2743" i="10"/>
  <c r="J1049" i="10"/>
  <c r="J2757" i="10"/>
  <c r="J2844" i="10"/>
  <c r="J1700" i="10"/>
  <c r="J2328" i="10"/>
  <c r="J2316" i="10"/>
  <c r="J2060" i="10"/>
  <c r="J37" i="10"/>
  <c r="J2793" i="10"/>
  <c r="J1619" i="10"/>
  <c r="J1393" i="10"/>
  <c r="J2802" i="10"/>
  <c r="J1644" i="10"/>
  <c r="J568" i="10"/>
  <c r="J2822" i="10"/>
  <c r="J1082" i="10"/>
  <c r="J2977" i="10"/>
  <c r="J2928" i="10"/>
  <c r="J1567" i="10"/>
  <c r="J3011" i="10"/>
  <c r="J2791" i="10"/>
  <c r="J1766" i="10"/>
  <c r="J2171" i="10"/>
  <c r="J2401" i="10"/>
  <c r="J429" i="10"/>
  <c r="J2940" i="10"/>
  <c r="J2934" i="10"/>
  <c r="J2036" i="10"/>
  <c r="J1375" i="10"/>
  <c r="J415" i="10"/>
  <c r="J2211" i="10"/>
  <c r="J2616" i="10"/>
  <c r="J2733" i="10"/>
  <c r="J1649" i="10"/>
  <c r="J2193" i="10"/>
  <c r="J1544" i="10"/>
  <c r="J1296" i="10"/>
  <c r="J953" i="10"/>
  <c r="J2957" i="10"/>
  <c r="J3088" i="10"/>
  <c r="J1373" i="10"/>
  <c r="J2695" i="10"/>
  <c r="J2144" i="10"/>
  <c r="J1991" i="10"/>
  <c r="J2576" i="10"/>
  <c r="J2786" i="10"/>
  <c r="J2938" i="10"/>
  <c r="J2233" i="10"/>
  <c r="J3180" i="10"/>
  <c r="J3305" i="10"/>
  <c r="J3044" i="10"/>
  <c r="J2267" i="10"/>
  <c r="J1818" i="10"/>
  <c r="J3292" i="10"/>
  <c r="J2863" i="10"/>
  <c r="J2843" i="10"/>
  <c r="J2780" i="10"/>
  <c r="J1044" i="10"/>
  <c r="J3175" i="10"/>
  <c r="J2936" i="10"/>
  <c r="J211" i="10"/>
  <c r="J3237" i="10"/>
  <c r="J2378" i="10"/>
  <c r="J2048" i="10"/>
  <c r="J3341" i="10"/>
  <c r="J3035" i="10"/>
  <c r="J2195" i="10"/>
  <c r="J1112" i="10"/>
  <c r="J2872" i="10"/>
  <c r="J2725" i="10"/>
  <c r="J2865" i="10"/>
  <c r="J2718" i="10"/>
  <c r="J2814" i="10"/>
  <c r="J2937" i="10"/>
  <c r="J2640" i="10"/>
  <c r="J153" i="10"/>
  <c r="J2609" i="10"/>
  <c r="J3263" i="10"/>
  <c r="J2107" i="10"/>
  <c r="J2666" i="10"/>
  <c r="J3256" i="10"/>
  <c r="J2689" i="10"/>
  <c r="J3188" i="10"/>
  <c r="J1121" i="10"/>
  <c r="J2765" i="10"/>
  <c r="J2482" i="10"/>
  <c r="J2244" i="10"/>
  <c r="J1944" i="10"/>
  <c r="J3251" i="10"/>
  <c r="J1687" i="10"/>
  <c r="J3155" i="10"/>
  <c r="J3134" i="10"/>
  <c r="J2746" i="10"/>
  <c r="J2599" i="10"/>
  <c r="J2805" i="10"/>
  <c r="J2429" i="10"/>
  <c r="J2824" i="10"/>
  <c r="J2455" i="10"/>
  <c r="J2108" i="10"/>
  <c r="J2971" i="10"/>
  <c r="J3093" i="10"/>
  <c r="J3145" i="10"/>
  <c r="J2004" i="10"/>
  <c r="J3309" i="10"/>
  <c r="J2858" i="10"/>
  <c r="J1906" i="10"/>
  <c r="J3217" i="10"/>
  <c r="J1899" i="10"/>
  <c r="J2338" i="10"/>
  <c r="J3034" i="10"/>
  <c r="J2960" i="10"/>
  <c r="J891" i="10"/>
  <c r="J2029" i="10"/>
  <c r="J2726" i="10"/>
  <c r="J3114" i="10"/>
  <c r="J2717" i="10"/>
  <c r="J2792" i="10"/>
  <c r="J2186" i="10"/>
  <c r="J2750" i="10"/>
  <c r="J2545" i="10"/>
  <c r="J1060" i="10"/>
  <c r="J3122" i="10"/>
  <c r="J557" i="10"/>
  <c r="J1754" i="10"/>
  <c r="J2694" i="10"/>
  <c r="J2673" i="10"/>
  <c r="J3236" i="10"/>
  <c r="J2110" i="10"/>
  <c r="J586" i="10"/>
  <c r="J1580" i="10"/>
  <c r="J2232" i="10"/>
  <c r="J2431" i="10"/>
  <c r="J3144" i="10"/>
  <c r="J1634" i="10"/>
  <c r="J2884" i="10"/>
  <c r="J2285" i="10"/>
  <c r="J206" i="10"/>
  <c r="J1865" i="10"/>
  <c r="J2827" i="10"/>
  <c r="J796" i="10"/>
  <c r="J2389" i="10"/>
  <c r="J3265" i="10"/>
  <c r="J3191" i="10"/>
  <c r="J2654" i="10"/>
  <c r="J1466" i="10"/>
  <c r="J3162" i="10"/>
  <c r="J3254" i="10"/>
  <c r="J2949" i="10"/>
  <c r="J3045" i="10"/>
  <c r="J1212" i="10"/>
  <c r="J3367" i="10"/>
  <c r="J629" i="10"/>
  <c r="J2404" i="10"/>
  <c r="J2626" i="10"/>
  <c r="J2572" i="10"/>
  <c r="J2403" i="10"/>
  <c r="J3345" i="10"/>
  <c r="J2915" i="10"/>
  <c r="J3051" i="10"/>
  <c r="J2045" i="10"/>
  <c r="J222" i="10"/>
  <c r="J2766" i="10"/>
  <c r="J2509" i="10"/>
  <c r="J1680" i="10"/>
  <c r="V35" i="9"/>
  <c r="J3253" i="10"/>
  <c r="J3267" i="10"/>
  <c r="J2955" i="10"/>
  <c r="J978" i="10"/>
  <c r="J2280" i="10"/>
  <c r="J318" i="10"/>
  <c r="J3283" i="10"/>
  <c r="J3347" i="10"/>
  <c r="J2309" i="10"/>
  <c r="J2881" i="10"/>
  <c r="J1379" i="10"/>
  <c r="J2816" i="10"/>
  <c r="J2880" i="10"/>
  <c r="J2753" i="10"/>
  <c r="J2842" i="10"/>
  <c r="J2009" i="10"/>
  <c r="J3366" i="10"/>
  <c r="J1017" i="10"/>
  <c r="J3270" i="10"/>
  <c r="J3250" i="10"/>
  <c r="J2777" i="10"/>
  <c r="J2723" i="10"/>
  <c r="J2818" i="10"/>
  <c r="J1826" i="10"/>
  <c r="J2216" i="10"/>
  <c r="J2830" i="10"/>
  <c r="J2564" i="10"/>
  <c r="J121" i="10"/>
  <c r="J2341" i="10"/>
  <c r="J2489" i="10"/>
  <c r="J3194" i="10"/>
  <c r="J2773" i="10"/>
  <c r="J3147" i="10"/>
  <c r="J1517" i="10"/>
  <c r="J1516" i="10"/>
  <c r="J3006" i="10"/>
  <c r="J2993" i="10"/>
  <c r="J2405" i="10"/>
  <c r="J2475" i="10"/>
  <c r="J2855" i="10"/>
  <c r="J2580" i="10"/>
  <c r="J1822" i="10"/>
  <c r="J1103" i="10"/>
  <c r="J3232" i="10"/>
  <c r="J3028" i="10"/>
  <c r="J3129" i="10"/>
  <c r="J2359" i="10"/>
  <c r="J2317" i="10"/>
  <c r="J2500" i="10"/>
  <c r="J1962" i="10"/>
  <c r="J2353" i="10"/>
  <c r="J2867" i="10"/>
  <c r="J3340" i="10"/>
  <c r="J3334" i="10"/>
  <c r="J2972" i="10"/>
  <c r="J1058" i="10"/>
  <c r="J3342" i="10"/>
  <c r="J1912" i="10"/>
  <c r="J331" i="10"/>
  <c r="J2521" i="10"/>
  <c r="J2708" i="10"/>
  <c r="J1511" i="10"/>
  <c r="J1789" i="10"/>
  <c r="J3005" i="10"/>
  <c r="J2930" i="10"/>
  <c r="J2368" i="10"/>
  <c r="J2532" i="10"/>
  <c r="J2979" i="10"/>
  <c r="J3095" i="10"/>
  <c r="J2688" i="10"/>
  <c r="J2784" i="10"/>
  <c r="J1320" i="10"/>
  <c r="J3136" i="10"/>
  <c r="J1144" i="10"/>
  <c r="J1457" i="10"/>
  <c r="J2197" i="10"/>
  <c r="J1835" i="10"/>
  <c r="J2217" i="10"/>
  <c r="J2911" i="10"/>
  <c r="J2651" i="10"/>
  <c r="J2192" i="10"/>
  <c r="J2826" i="10"/>
  <c r="J2861" i="10"/>
  <c r="J1222" i="10"/>
  <c r="J2307" i="10"/>
  <c r="J2672" i="10"/>
  <c r="J2596" i="10"/>
  <c r="J2425" i="10"/>
  <c r="J1888" i="10"/>
  <c r="J3208" i="10"/>
  <c r="J3158" i="10"/>
  <c r="J2476" i="10"/>
  <c r="J2591" i="10"/>
  <c r="J2974" i="10"/>
  <c r="J2411" i="10"/>
  <c r="J2542" i="10"/>
  <c r="J2345" i="10"/>
  <c r="J2409" i="10"/>
  <c r="J140" i="10"/>
  <c r="J2575" i="10"/>
  <c r="J2296" i="10"/>
  <c r="J3100" i="10"/>
  <c r="J2459" i="10"/>
  <c r="J1703" i="10"/>
  <c r="J1970" i="10"/>
  <c r="J1046" i="10"/>
  <c r="J2430" i="10"/>
  <c r="J105" i="10"/>
  <c r="J3167" i="10"/>
  <c r="J1712" i="10"/>
  <c r="J2665" i="10"/>
  <c r="J2779" i="10"/>
  <c r="J1943" i="10"/>
  <c r="J3241" i="10"/>
  <c r="J3022" i="10"/>
  <c r="J477" i="10"/>
  <c r="J3031" i="10"/>
  <c r="J2764" i="10"/>
  <c r="J3018" i="10"/>
  <c r="J3170" i="10"/>
  <c r="J3165" i="10"/>
  <c r="J2556" i="10"/>
  <c r="J1640" i="10"/>
  <c r="J2335" i="10"/>
  <c r="J2752" i="10"/>
  <c r="J3380" i="10"/>
  <c r="J2963" i="10"/>
  <c r="J2490" i="10"/>
  <c r="J2313" i="10"/>
  <c r="J2927" i="10"/>
  <c r="J3303" i="10"/>
  <c r="J2514" i="10"/>
  <c r="J3102" i="10"/>
  <c r="J3318" i="10"/>
  <c r="J2289" i="10"/>
  <c r="J2926" i="10"/>
  <c r="J2071" i="10"/>
  <c r="J3161" i="10"/>
  <c r="J592" i="10"/>
  <c r="J2754" i="10"/>
  <c r="J2737" i="10"/>
  <c r="J2601" i="10"/>
  <c r="J1433" i="10"/>
  <c r="J3275" i="10"/>
  <c r="J1772" i="10"/>
  <c r="J1377" i="10"/>
  <c r="J1590" i="10"/>
  <c r="J3091" i="10"/>
  <c r="J3094" i="10"/>
  <c r="J3073" i="10"/>
  <c r="J3171" i="10"/>
  <c r="J3142" i="10"/>
  <c r="J3082" i="10"/>
  <c r="J1271" i="10"/>
  <c r="J502" i="10"/>
  <c r="J3007" i="10"/>
  <c r="J2039" i="10"/>
  <c r="J3330" i="10"/>
  <c r="J3166" i="10"/>
  <c r="J2745" i="10"/>
  <c r="J2669" i="10"/>
  <c r="J2636" i="10"/>
  <c r="J2670" i="10"/>
  <c r="J2941" i="10"/>
  <c r="J2849" i="10"/>
  <c r="J2347" i="10"/>
  <c r="J2660" i="10"/>
  <c r="J2090" i="10"/>
  <c r="J2875" i="10"/>
  <c r="J489" i="10"/>
  <c r="J2323" i="10"/>
  <c r="J3233" i="10"/>
  <c r="J2354" i="10"/>
  <c r="J1658" i="10"/>
  <c r="J2663" i="10"/>
  <c r="J2172" i="10"/>
  <c r="J1614" i="10"/>
  <c r="J3338" i="10"/>
  <c r="J3186" i="10"/>
  <c r="J2538" i="10"/>
  <c r="J2088" i="10"/>
  <c r="J2578" i="10"/>
  <c r="J3376" i="10"/>
  <c r="J2410" i="10"/>
  <c r="J3246" i="10"/>
  <c r="J538" i="10"/>
  <c r="J2946" i="10"/>
  <c r="J2742" i="10"/>
  <c r="J1541" i="10"/>
  <c r="J1068" i="10"/>
  <c r="J1244" i="10"/>
  <c r="J2697" i="10"/>
  <c r="J3268" i="10"/>
  <c r="J2574" i="10"/>
  <c r="J375" i="10"/>
  <c r="J2995" i="10"/>
  <c r="J2350" i="10"/>
  <c r="J3302" i="10"/>
  <c r="J2388" i="10"/>
  <c r="J3264" i="10"/>
  <c r="J923" i="10"/>
  <c r="J1080" i="10"/>
  <c r="J3365" i="10"/>
  <c r="J2770" i="10"/>
  <c r="J2838" i="10"/>
  <c r="J2933" i="10"/>
  <c r="J2447" i="10"/>
  <c r="J175" i="10"/>
  <c r="J2837" i="10"/>
  <c r="J2573" i="10"/>
  <c r="J1697" i="10"/>
  <c r="J3323" i="10"/>
  <c r="J3274" i="10"/>
  <c r="J1045" i="10"/>
  <c r="J3061" i="10"/>
  <c r="J2916" i="10"/>
  <c r="J1297" i="10"/>
  <c r="J3359" i="10"/>
  <c r="J2526" i="10"/>
  <c r="J1746" i="10"/>
  <c r="J3271" i="10"/>
  <c r="J3152" i="10"/>
  <c r="J1347" i="10"/>
  <c r="J838" i="10"/>
  <c r="J1843" i="10"/>
  <c r="J2902" i="10"/>
  <c r="J3169" i="10"/>
  <c r="J3081" i="10"/>
  <c r="J2019" i="10"/>
  <c r="J2981" i="10"/>
  <c r="J2790" i="10"/>
  <c r="J424" i="10"/>
  <c r="J1810" i="10"/>
  <c r="J2496" i="10"/>
  <c r="J2758" i="10"/>
  <c r="J2925" i="10"/>
  <c r="J2904" i="10"/>
  <c r="J1887" i="10"/>
  <c r="J1661" i="10"/>
  <c r="J3202" i="10"/>
  <c r="J2976" i="10"/>
  <c r="J2204" i="10"/>
  <c r="J2702" i="10"/>
  <c r="J3374" i="10"/>
  <c r="J1751" i="10"/>
  <c r="J2364" i="10"/>
  <c r="J1500" i="10"/>
  <c r="J2603" i="10"/>
  <c r="J1676" i="10"/>
  <c r="J3058" i="10"/>
  <c r="J1730" i="10"/>
  <c r="J2680" i="10"/>
  <c r="J3235" i="10"/>
  <c r="J2901" i="10"/>
  <c r="J996" i="10"/>
  <c r="J3354" i="10"/>
  <c r="J2962" i="10"/>
  <c r="J2160" i="10"/>
  <c r="J3179" i="10"/>
  <c r="J3014" i="10"/>
  <c r="J1923" i="10"/>
  <c r="J1858" i="10"/>
  <c r="J3083" i="10"/>
  <c r="J3212" i="10"/>
  <c r="J2862" i="10"/>
  <c r="J2813" i="10"/>
  <c r="J2337" i="10"/>
  <c r="J2896" i="10"/>
  <c r="J2922" i="10"/>
  <c r="J1901" i="10"/>
  <c r="J3262" i="10"/>
  <c r="J3117" i="10"/>
  <c r="J1929" i="10"/>
  <c r="J2363" i="10"/>
  <c r="J3328" i="10"/>
  <c r="J2602" i="10"/>
  <c r="J2479" i="10"/>
  <c r="J2308" i="10"/>
  <c r="J1781" i="10"/>
  <c r="J2597" i="10"/>
  <c r="J2932" i="10"/>
  <c r="J2650" i="10"/>
  <c r="J3282" i="10"/>
  <c r="J2990" i="10"/>
  <c r="J461" i="10"/>
  <c r="J2894" i="10"/>
  <c r="J2874" i="10"/>
  <c r="J2649" i="10"/>
  <c r="J2081" i="10"/>
  <c r="J2529" i="10"/>
  <c r="J3331" i="10"/>
  <c r="J2550" i="10"/>
  <c r="J3379" i="10"/>
  <c r="J3248" i="10"/>
  <c r="J3228" i="10"/>
  <c r="J2832" i="10"/>
  <c r="J2885" i="10"/>
  <c r="J2068" i="10"/>
  <c r="J3048" i="10"/>
  <c r="J2589" i="10"/>
  <c r="J1995" i="10"/>
  <c r="J3060" i="10"/>
  <c r="J2840" i="10"/>
  <c r="J423" i="10"/>
  <c r="J2776" i="10"/>
  <c r="J2394" i="10"/>
  <c r="J606" i="10"/>
  <c r="J2089" i="10"/>
  <c r="J2148" i="10"/>
  <c r="J2505" i="10"/>
  <c r="J3123" i="10"/>
  <c r="J2314" i="10"/>
  <c r="J1506" i="10"/>
  <c r="J2909" i="10"/>
  <c r="J2834" i="10"/>
  <c r="J275" i="10"/>
  <c r="J2821" i="10"/>
  <c r="J2513" i="10"/>
  <c r="J897" i="10"/>
  <c r="J3053" i="10"/>
  <c r="J1740" i="10"/>
  <c r="J2467" i="10"/>
  <c r="J2662" i="10"/>
  <c r="J2639" i="10"/>
  <c r="J1432" i="10"/>
  <c r="J1154" i="10"/>
  <c r="J2868" i="10"/>
  <c r="J3116" i="10"/>
  <c r="J1324" i="10"/>
  <c r="J2376" i="10"/>
  <c r="J3164" i="10"/>
  <c r="J2571" i="10"/>
  <c r="J3312" i="10"/>
  <c r="J1569" i="10"/>
  <c r="J2767" i="10"/>
  <c r="J3314" i="10"/>
  <c r="J2900" i="10"/>
  <c r="J2147" i="10"/>
  <c r="J2329" i="10"/>
  <c r="J2975" i="10"/>
  <c r="J2635" i="10"/>
  <c r="J459" i="10"/>
  <c r="J2124" i="10"/>
  <c r="J3047" i="10"/>
  <c r="J3198" i="10"/>
  <c r="J2121" i="10"/>
  <c r="J2775" i="10"/>
  <c r="J1249" i="10"/>
  <c r="J1357" i="10"/>
  <c r="J2290" i="10"/>
  <c r="J3377" i="10"/>
  <c r="J2433" i="10"/>
  <c r="J921" i="10"/>
  <c r="J1722" i="10"/>
  <c r="J1230" i="10"/>
  <c r="J1556" i="10"/>
  <c r="J2255" i="10"/>
  <c r="J2503" i="10"/>
  <c r="J2839" i="10"/>
  <c r="J2614" i="10"/>
  <c r="J2390" i="10"/>
  <c r="J2187" i="10"/>
  <c r="J2721" i="10"/>
  <c r="J1340" i="10"/>
  <c r="J2841" i="10"/>
  <c r="J3310" i="10"/>
  <c r="J3106" i="10"/>
  <c r="J508" i="10"/>
  <c r="J3010" i="10"/>
  <c r="J2989" i="10"/>
  <c r="J2017" i="10"/>
  <c r="J3252" i="10"/>
  <c r="J124" i="10"/>
  <c r="J2002" i="10"/>
  <c r="J2495" i="10"/>
  <c r="J2728" i="10"/>
  <c r="J2684" i="10"/>
  <c r="J1761" i="10"/>
  <c r="J2800" i="10"/>
  <c r="J2667" i="10"/>
  <c r="J3001" i="10"/>
  <c r="J2856" i="10"/>
  <c r="J1847" i="10"/>
  <c r="J2001" i="10"/>
  <c r="J3226" i="10"/>
  <c r="J2212" i="10"/>
  <c r="J2617" i="10"/>
  <c r="J417" i="10"/>
  <c r="J2676" i="10"/>
  <c r="J3373" i="10"/>
  <c r="J2749" i="10"/>
  <c r="J2593" i="10"/>
  <c r="J3156" i="10"/>
  <c r="J2563" i="10"/>
  <c r="J1313" i="10"/>
  <c r="J303" i="10"/>
  <c r="J3277" i="10"/>
  <c r="J3148" i="10"/>
  <c r="J3368" i="10"/>
  <c r="J2478" i="10"/>
  <c r="J2247" i="10"/>
  <c r="J1097" i="10"/>
  <c r="J2155" i="10"/>
  <c r="J3107" i="10"/>
  <c r="J2722" i="10"/>
  <c r="J1436" i="10"/>
  <c r="J3304" i="10"/>
  <c r="J2184" i="10"/>
  <c r="J3372" i="10"/>
  <c r="J3153" i="10"/>
  <c r="J1123" i="10"/>
  <c r="J3009" i="10"/>
  <c r="J3069" i="10"/>
  <c r="J2136" i="10"/>
  <c r="J3317" i="10"/>
  <c r="J2675" i="10"/>
  <c r="J2622" i="10"/>
  <c r="J2610" i="10"/>
  <c r="J1848" i="10"/>
  <c r="J2539" i="10"/>
  <c r="J2898" i="10"/>
  <c r="J2412" i="10"/>
  <c r="J2492" i="10"/>
  <c r="J1788" i="10"/>
  <c r="J3192" i="10"/>
  <c r="J2724" i="10"/>
  <c r="J1116" i="10"/>
  <c r="J2598" i="10"/>
  <c r="J1126" i="10"/>
  <c r="J2040" i="10"/>
  <c r="J2468" i="10"/>
  <c r="J2441" i="10"/>
  <c r="J1494" i="10"/>
  <c r="J2831" i="10"/>
  <c r="J3139" i="10"/>
  <c r="J3065" i="10"/>
  <c r="J3190" i="10"/>
  <c r="J2948" i="10"/>
  <c r="J2997" i="10"/>
  <c r="J869" i="10"/>
  <c r="J1570" i="10"/>
  <c r="J1808" i="10"/>
  <c r="J1936" i="10"/>
  <c r="J1231" i="10"/>
  <c r="J926" i="10"/>
  <c r="J2657" i="10"/>
  <c r="J976" i="10"/>
  <c r="J2102" i="10"/>
  <c r="J739" i="10"/>
  <c r="J2618" i="10"/>
  <c r="J1974" i="10"/>
  <c r="J599" i="10"/>
  <c r="J2369" i="10"/>
  <c r="J762" i="10"/>
  <c r="J205" i="10"/>
  <c r="J3015" i="10"/>
  <c r="J1194" i="10"/>
  <c r="J732" i="10"/>
  <c r="J100" i="10"/>
  <c r="J2082" i="10"/>
  <c r="J652" i="10"/>
  <c r="J3291" i="10"/>
  <c r="J1169" i="10"/>
  <c r="J2174" i="10"/>
  <c r="J176" i="10"/>
  <c r="J516" i="10"/>
  <c r="W35" i="9"/>
  <c r="J1487" i="10"/>
  <c r="J1841" i="10"/>
  <c r="J1672" i="10"/>
  <c r="J298" i="10"/>
  <c r="J925" i="10"/>
  <c r="J766" i="10"/>
  <c r="J3163" i="10"/>
  <c r="J2259" i="10"/>
  <c r="J1278" i="10"/>
  <c r="J1210" i="10"/>
  <c r="J51" i="10"/>
  <c r="J82" i="10"/>
  <c r="J1575" i="10"/>
  <c r="J2281" i="10"/>
  <c r="J1692" i="10"/>
  <c r="J1032" i="10"/>
  <c r="J2185" i="10"/>
  <c r="J707" i="10"/>
  <c r="J1485" i="10"/>
  <c r="J602" i="10"/>
  <c r="J2515" i="10"/>
  <c r="J1130" i="10"/>
  <c r="J1588" i="10"/>
  <c r="J683" i="10"/>
  <c r="J208" i="10"/>
  <c r="J497" i="10"/>
  <c r="J1065" i="10"/>
  <c r="J2771" i="10"/>
  <c r="J2098" i="10"/>
  <c r="J2462" i="10"/>
  <c r="J139" i="10"/>
  <c r="J810" i="10"/>
  <c r="J1462" i="10"/>
  <c r="J1667" i="10"/>
  <c r="J2658" i="10"/>
  <c r="J1109" i="10"/>
  <c r="J115" i="10"/>
  <c r="J876" i="10"/>
  <c r="J443" i="10"/>
  <c r="J390" i="10"/>
  <c r="J1589" i="10"/>
  <c r="J2141" i="10"/>
  <c r="J1501" i="10"/>
  <c r="J145" i="10"/>
  <c r="J120" i="10"/>
  <c r="J1683" i="10"/>
  <c r="J2445" i="10"/>
  <c r="J1272" i="10"/>
  <c r="J3075" i="10"/>
  <c r="J1100" i="10"/>
  <c r="J207" i="10"/>
  <c r="J605" i="10"/>
  <c r="J2037" i="10"/>
  <c r="J1020" i="10"/>
  <c r="J1968" i="10"/>
  <c r="J2213" i="10"/>
  <c r="J649" i="10"/>
  <c r="J506" i="10"/>
  <c r="J729" i="10"/>
  <c r="J1631" i="10"/>
  <c r="J1828" i="10"/>
  <c r="J844" i="10"/>
  <c r="J435" i="10"/>
  <c r="J492" i="10"/>
  <c r="J692" i="10"/>
  <c r="J1035" i="10"/>
  <c r="J1996" i="10"/>
  <c r="J2163" i="10"/>
  <c r="J690" i="10"/>
  <c r="J266" i="10"/>
  <c r="J999" i="10"/>
  <c r="J396" i="10"/>
  <c r="J308" i="10"/>
  <c r="J525" i="10"/>
  <c r="J1840" i="10"/>
  <c r="J2067" i="10"/>
  <c r="J2547" i="10"/>
  <c r="J2421" i="10"/>
  <c r="J721" i="10"/>
  <c r="J410" i="10"/>
  <c r="J1028" i="10"/>
  <c r="J1140" i="10"/>
  <c r="J1926" i="10"/>
  <c r="J2095" i="10"/>
  <c r="J2303" i="10"/>
  <c r="J734" i="10"/>
  <c r="J143" i="10"/>
  <c r="J1150" i="10"/>
  <c r="J821" i="10"/>
  <c r="J2241" i="10"/>
  <c r="J1918" i="10"/>
  <c r="J2330" i="10"/>
  <c r="J1803" i="10"/>
  <c r="J468" i="10"/>
  <c r="J212" i="10"/>
  <c r="J993" i="10"/>
  <c r="J1978" i="10"/>
  <c r="J2600" i="10"/>
  <c r="J2631" i="10"/>
  <c r="J2493" i="10"/>
  <c r="J505" i="10"/>
  <c r="J680" i="10"/>
  <c r="J309" i="10"/>
  <c r="J352" i="10"/>
  <c r="J1431" i="10"/>
  <c r="J2220" i="10"/>
  <c r="J2387" i="10"/>
  <c r="J1476" i="10"/>
  <c r="J215" i="10"/>
  <c r="J495" i="10"/>
  <c r="J893" i="10"/>
  <c r="J137" i="10"/>
  <c r="J2044" i="10"/>
  <c r="J2414" i="10"/>
  <c r="J1889" i="10"/>
  <c r="J252" i="10"/>
  <c r="J439" i="10"/>
  <c r="J1083" i="10"/>
  <c r="J450" i="10"/>
  <c r="J355" i="10"/>
  <c r="J2715" i="10"/>
  <c r="J1195" i="10"/>
  <c r="J1795" i="10"/>
  <c r="J752" i="10"/>
  <c r="J230" i="10"/>
  <c r="J1551" i="10"/>
  <c r="J853" i="10"/>
  <c r="J2320" i="10"/>
  <c r="J1171" i="10"/>
  <c r="J1584" i="10"/>
  <c r="J778" i="10"/>
  <c r="J555" i="10"/>
  <c r="J782" i="10"/>
  <c r="J209" i="10"/>
  <c r="J177" i="10"/>
  <c r="J2498" i="10"/>
  <c r="J1977" i="10"/>
  <c r="J1344" i="10"/>
  <c r="J511" i="10"/>
  <c r="J1525" i="10"/>
  <c r="J2825" i="10"/>
  <c r="J1499" i="10"/>
  <c r="J2812" i="10"/>
  <c r="J2567" i="10"/>
  <c r="J3346" i="10"/>
  <c r="J2491" i="10"/>
  <c r="J3098" i="10"/>
  <c r="J2537" i="10"/>
  <c r="J3154" i="10"/>
  <c r="J3140" i="10"/>
  <c r="J3293" i="10"/>
  <c r="J1326" i="10"/>
  <c r="J1392" i="10"/>
  <c r="J2437" i="10"/>
  <c r="J2876" i="10"/>
  <c r="J1952" i="10"/>
  <c r="J3033" i="10"/>
  <c r="J3339" i="10"/>
  <c r="J2986" i="10"/>
  <c r="J2701" i="10"/>
  <c r="J1924" i="10"/>
  <c r="J2016" i="10"/>
  <c r="J3150" i="10"/>
  <c r="J2228" i="10"/>
  <c r="J507" i="10"/>
  <c r="J38" i="10"/>
  <c r="J52" i="10"/>
  <c r="J1900" i="10"/>
  <c r="J882" i="10"/>
  <c r="J2643" i="10"/>
  <c r="J645" i="10"/>
  <c r="J2736" i="10"/>
  <c r="J496" i="10"/>
  <c r="J1437" i="10"/>
  <c r="J1298" i="10"/>
  <c r="J2344" i="10"/>
  <c r="J1720" i="10"/>
  <c r="J793" i="10"/>
  <c r="J2287" i="10"/>
  <c r="J1701" i="10"/>
  <c r="J1574" i="10"/>
  <c r="J2322" i="10"/>
  <c r="J1232" i="10"/>
  <c r="J1124" i="10"/>
  <c r="J226" i="10"/>
  <c r="J2268" i="10"/>
  <c r="J617" i="10"/>
  <c r="J1468" i="10"/>
  <c r="J1549" i="10"/>
  <c r="J2238" i="10"/>
  <c r="J575" i="10"/>
  <c r="J962" i="10"/>
  <c r="J1857" i="10"/>
  <c r="J1582" i="10"/>
  <c r="J2075" i="10"/>
  <c r="J1859" i="10"/>
  <c r="J1646" i="10"/>
  <c r="J31" i="10"/>
  <c r="J359" i="10"/>
  <c r="J3125" i="10"/>
  <c r="J2415" i="10"/>
  <c r="J2271" i="10"/>
  <c r="J1345" i="10"/>
  <c r="J152" i="10"/>
  <c r="J768" i="10"/>
  <c r="J1522" i="10"/>
  <c r="J2903" i="10"/>
  <c r="J1133" i="10"/>
  <c r="J1752" i="10"/>
  <c r="J161" i="10"/>
  <c r="J901" i="10"/>
  <c r="J943" i="10"/>
  <c r="J546" i="10"/>
  <c r="J3284" i="10"/>
  <c r="J2055" i="10"/>
  <c r="J210" i="10"/>
  <c r="J1675" i="10"/>
  <c r="J334" i="10"/>
  <c r="J249" i="10"/>
  <c r="J788" i="10"/>
  <c r="J2637" i="10"/>
  <c r="J1155" i="10"/>
  <c r="J2131" i="10"/>
  <c r="J310" i="10"/>
  <c r="J87" i="10"/>
  <c r="J675" i="10"/>
  <c r="J1323" i="10"/>
  <c r="J3298" i="10"/>
  <c r="J2452" i="10"/>
  <c r="J1540" i="10"/>
  <c r="J351" i="10"/>
  <c r="J665" i="10"/>
  <c r="J1329" i="10"/>
  <c r="J1961" i="10"/>
  <c r="J3020" i="10"/>
  <c r="J1513" i="10"/>
  <c r="J327" i="10"/>
  <c r="J719" i="10"/>
  <c r="J45" i="10"/>
  <c r="J245" i="10"/>
  <c r="J1386" i="10"/>
  <c r="J2815" i="10"/>
  <c r="J1869" i="10"/>
  <c r="J296" i="10"/>
  <c r="J1120" i="10"/>
  <c r="J27" i="10"/>
  <c r="J1947" i="10"/>
  <c r="J2336" i="10"/>
  <c r="J1806" i="10"/>
  <c r="J88" i="10"/>
  <c r="J426" i="10"/>
  <c r="J643" i="10"/>
  <c r="J2799" i="10"/>
  <c r="J1411" i="10"/>
  <c r="J1882" i="10"/>
  <c r="J536" i="10"/>
  <c r="J950" i="10"/>
  <c r="J281" i="10"/>
  <c r="J1078" i="10"/>
  <c r="J2678" i="10"/>
  <c r="J2157" i="10"/>
  <c r="J1596" i="10"/>
  <c r="J391" i="10"/>
  <c r="J2069" i="10"/>
  <c r="J854" i="10"/>
  <c r="J185" i="10"/>
  <c r="J874" i="10"/>
  <c r="J2582" i="10"/>
  <c r="J2061" i="10"/>
  <c r="J1523" i="10"/>
  <c r="J2092" i="10"/>
  <c r="J903" i="10"/>
  <c r="J300" i="10"/>
  <c r="J931" i="10"/>
  <c r="J966" i="10"/>
  <c r="J1627" i="10"/>
  <c r="J2420" i="10"/>
  <c r="J2451" i="10"/>
  <c r="J2325" i="10"/>
  <c r="J625" i="10"/>
  <c r="J26" i="10"/>
  <c r="J441" i="10"/>
  <c r="J1603" i="10"/>
  <c r="J798" i="10"/>
  <c r="J1951" i="10"/>
  <c r="J2177" i="10"/>
  <c r="J638" i="10"/>
  <c r="J47" i="10"/>
  <c r="J1054" i="10"/>
  <c r="J725" i="10"/>
  <c r="J1190" i="10"/>
  <c r="J1735" i="10"/>
  <c r="J2218" i="10"/>
  <c r="J1679" i="10"/>
  <c r="J372" i="10"/>
  <c r="J835" i="10"/>
  <c r="J237" i="10"/>
  <c r="J282" i="10"/>
  <c r="J2504" i="10"/>
  <c r="J2535" i="10"/>
  <c r="J2397" i="10"/>
  <c r="J409" i="10"/>
  <c r="J584" i="10"/>
  <c r="J964" i="10"/>
  <c r="J1479" i="10"/>
  <c r="J1047" i="10"/>
  <c r="J2076" i="10"/>
  <c r="J2288" i="10"/>
  <c r="J1332" i="10"/>
  <c r="J119" i="10"/>
  <c r="J399" i="10"/>
  <c r="J1293" i="10"/>
  <c r="J41" i="10"/>
  <c r="J1897" i="10"/>
  <c r="J2318" i="10"/>
  <c r="J1774" i="10"/>
  <c r="J156" i="10"/>
  <c r="J343" i="10"/>
  <c r="J951" i="10"/>
  <c r="J354" i="10"/>
  <c r="J885" i="10"/>
  <c r="J2619" i="10"/>
  <c r="J2481" i="10"/>
  <c r="J1669" i="10"/>
  <c r="J656" i="10"/>
  <c r="J907" i="10"/>
  <c r="J1455" i="10"/>
  <c r="J469" i="10"/>
  <c r="J2203" i="10"/>
  <c r="J560" i="10"/>
  <c r="J1780" i="10"/>
  <c r="J1876" i="10"/>
  <c r="J1606" i="10"/>
  <c r="J3157" i="10"/>
  <c r="J2381" i="10"/>
  <c r="J2608" i="10"/>
  <c r="J2577" i="10"/>
  <c r="J1538" i="10"/>
  <c r="J2154" i="10"/>
  <c r="J2093" i="10"/>
  <c r="J2628" i="10"/>
  <c r="J3260" i="10"/>
  <c r="J1184" i="10"/>
  <c r="J2712" i="10"/>
  <c r="J3160" i="10"/>
  <c r="J2305" i="10"/>
  <c r="J2260" i="10"/>
  <c r="J3360" i="10"/>
  <c r="J1019" i="10"/>
  <c r="J2396" i="10"/>
  <c r="J2787" i="10"/>
  <c r="J2484" i="10"/>
  <c r="J3227" i="10"/>
  <c r="J2541" i="10"/>
  <c r="J320" i="10"/>
  <c r="J151" i="10"/>
  <c r="J918" i="10"/>
  <c r="J190" i="10"/>
  <c r="J1686" i="10"/>
  <c r="J1762" i="10"/>
  <c r="J1650" i="10"/>
  <c r="J1648" i="10"/>
  <c r="J900" i="10"/>
  <c r="J467" i="10"/>
  <c r="J2223" i="10"/>
  <c r="J2612" i="10"/>
  <c r="J2522" i="10"/>
  <c r="J2013" i="10"/>
  <c r="J2565" i="10"/>
  <c r="J528" i="10"/>
  <c r="J1695" i="10"/>
  <c r="J946" i="10"/>
  <c r="J2919" i="10"/>
  <c r="J2277" i="10"/>
  <c r="J636" i="10"/>
  <c r="J3261" i="10"/>
  <c r="J1132" i="10"/>
  <c r="J1557" i="10"/>
  <c r="J1304" i="10"/>
  <c r="J2176" i="10"/>
  <c r="J2078" i="10"/>
  <c r="J80" i="10"/>
  <c r="J1576" i="10"/>
  <c r="J76" i="10"/>
  <c r="J1933" i="10"/>
  <c r="J1235" i="10"/>
  <c r="J1528" i="10"/>
  <c r="J202" i="10"/>
  <c r="J829" i="10"/>
  <c r="J3229" i="10"/>
  <c r="J1449" i="10"/>
  <c r="J1890" i="10"/>
  <c r="J1337" i="10"/>
  <c r="J1845" i="10"/>
  <c r="J938" i="10"/>
  <c r="J992" i="10"/>
  <c r="J2965" i="10"/>
  <c r="J2292" i="10"/>
  <c r="J1745" i="10"/>
  <c r="J1910" i="10"/>
  <c r="J2041" i="10"/>
  <c r="J611" i="10"/>
  <c r="J1389" i="10"/>
  <c r="J2638" i="10"/>
  <c r="J2049" i="10"/>
  <c r="J1434" i="10"/>
  <c r="J2119" i="10"/>
  <c r="J744" i="10"/>
  <c r="J112" i="10"/>
  <c r="J401" i="10"/>
  <c r="J1493" i="10"/>
  <c r="J1823" i="10"/>
  <c r="J2444" i="10"/>
  <c r="J2487" i="10"/>
  <c r="J188" i="10"/>
  <c r="J714" i="10"/>
  <c r="J1366" i="10"/>
  <c r="J1966" i="10"/>
  <c r="J763" i="10"/>
  <c r="J2751" i="10"/>
  <c r="J164" i="10"/>
  <c r="J937" i="10"/>
  <c r="J59" i="10"/>
  <c r="J294" i="10"/>
  <c r="J2893" i="10"/>
  <c r="J3027" i="10"/>
  <c r="J1942" i="10"/>
  <c r="J182" i="10"/>
  <c r="J220" i="10"/>
  <c r="J1587" i="10"/>
  <c r="J2349" i="10"/>
  <c r="J2331" i="10"/>
  <c r="J1087" i="10"/>
  <c r="J983" i="10"/>
  <c r="J232" i="10"/>
  <c r="J654" i="10"/>
  <c r="J1941" i="10"/>
  <c r="J369" i="10"/>
  <c r="J1367" i="10"/>
  <c r="J932" i="10"/>
  <c r="J686" i="10"/>
  <c r="J113" i="10"/>
  <c r="J1833" i="10"/>
  <c r="J2402" i="10"/>
  <c r="J1875" i="10"/>
  <c r="J2367" i="10"/>
  <c r="J787" i="10"/>
  <c r="J553" i="10"/>
  <c r="J122" i="10"/>
  <c r="J998" i="10"/>
  <c r="J1387" i="10"/>
  <c r="J1710" i="10"/>
  <c r="J2227" i="10"/>
  <c r="J2264" i="10"/>
  <c r="J691" i="10"/>
  <c r="J457" i="10"/>
  <c r="J757" i="10"/>
  <c r="J261" i="10"/>
  <c r="J1136" i="10"/>
  <c r="J114" i="10"/>
  <c r="J1583" i="10"/>
  <c r="J1925" i="10"/>
  <c r="J758" i="10"/>
  <c r="J89" i="10"/>
  <c r="J1905" i="10"/>
  <c r="J2486" i="10"/>
  <c r="J988" i="10"/>
  <c r="J1279" i="10"/>
  <c r="J1948" i="10"/>
  <c r="J807" i="10"/>
  <c r="J204" i="10"/>
  <c r="J547" i="10"/>
  <c r="J870" i="10"/>
  <c r="J1668" i="10"/>
  <c r="J2324" i="10"/>
  <c r="J2355" i="10"/>
  <c r="J2209" i="10"/>
  <c r="J529" i="10"/>
  <c r="J661" i="10"/>
  <c r="J904" i="10"/>
  <c r="J1311" i="10"/>
  <c r="J414" i="10"/>
  <c r="J1783" i="10"/>
  <c r="J2033" i="10"/>
  <c r="J542" i="10"/>
  <c r="J730" i="10"/>
  <c r="J753" i="10"/>
  <c r="J1221" i="10"/>
  <c r="J1094" i="10"/>
  <c r="J1495" i="10"/>
  <c r="J2074" i="10"/>
  <c r="J1535" i="10"/>
  <c r="J276" i="10"/>
  <c r="J451" i="10"/>
  <c r="J1426" i="10"/>
  <c r="J186" i="10"/>
  <c r="J2408" i="10"/>
  <c r="J2439" i="10"/>
  <c r="J2300" i="10"/>
  <c r="J313" i="10"/>
  <c r="J488" i="10"/>
  <c r="J751" i="10"/>
  <c r="J1383" i="10"/>
  <c r="J786" i="10"/>
  <c r="J1932" i="10"/>
  <c r="J2159" i="10"/>
  <c r="J1188" i="10"/>
  <c r="J23" i="10"/>
  <c r="J46" i="10"/>
  <c r="J1197" i="10"/>
  <c r="J724" i="10"/>
  <c r="J1711" i="10"/>
  <c r="J2200" i="10"/>
  <c r="J1643" i="10"/>
  <c r="J3104" i="10"/>
  <c r="J3307" i="10"/>
  <c r="J2763" i="10"/>
  <c r="J3181" i="10"/>
  <c r="J2882" i="10"/>
  <c r="J1585" i="10"/>
  <c r="J2225" i="10"/>
  <c r="J2151" i="10"/>
  <c r="J3041" i="10"/>
  <c r="J67" i="10"/>
  <c r="J3029" i="10"/>
  <c r="J2581" i="10"/>
  <c r="J2913" i="10"/>
  <c r="J2470" i="10"/>
  <c r="J1973" i="10"/>
  <c r="J3218" i="10"/>
  <c r="J3197" i="10"/>
  <c r="J2817" i="10"/>
  <c r="J2161" i="10"/>
  <c r="J3321" i="10"/>
  <c r="J2632" i="10"/>
  <c r="J3064" i="10"/>
  <c r="J2899" i="10"/>
  <c r="J2104" i="10"/>
  <c r="J1251" i="10"/>
  <c r="J2221" i="10"/>
  <c r="J1708" i="10"/>
  <c r="J610" i="10"/>
  <c r="J111" i="10"/>
  <c r="J509" i="10"/>
  <c r="J1784" i="10"/>
  <c r="J498" i="10"/>
  <c r="J1800" i="10"/>
  <c r="J995" i="10"/>
  <c r="J363" i="10"/>
  <c r="J773" i="10"/>
  <c r="J1474" i="10"/>
  <c r="J1202" i="10"/>
  <c r="J2236" i="10"/>
  <c r="J1990" i="10"/>
  <c r="J306" i="10"/>
  <c r="J743" i="10"/>
  <c r="J189" i="10"/>
  <c r="J2006" i="10"/>
  <c r="J2206" i="10"/>
  <c r="J1696" i="10"/>
  <c r="J1871" i="10"/>
  <c r="J1999" i="10"/>
  <c r="J1079" i="10"/>
  <c r="J666" i="10"/>
  <c r="J659" i="10"/>
  <c r="J1302" i="10"/>
  <c r="J2142" i="10"/>
  <c r="J479" i="10"/>
  <c r="J3000" i="10"/>
  <c r="J930" i="10"/>
  <c r="J148" i="10"/>
  <c r="J3195" i="10"/>
  <c r="J1657" i="10"/>
  <c r="J1550" i="10"/>
  <c r="J1011" i="10"/>
  <c r="J1602" i="10"/>
  <c r="J539" i="10"/>
  <c r="J1243" i="10"/>
  <c r="J1628" i="10"/>
  <c r="J1201" i="10"/>
  <c r="J56" i="10"/>
  <c r="J672" i="10"/>
  <c r="J3371" i="10"/>
  <c r="J1707" i="10"/>
  <c r="J2123" i="10"/>
  <c r="J1129" i="10"/>
  <c r="J556" i="10"/>
  <c r="J805" i="10"/>
  <c r="J847" i="10"/>
  <c r="J2719" i="10"/>
  <c r="J1093" i="10"/>
  <c r="J1548" i="10"/>
  <c r="J1055" i="10"/>
  <c r="J1428" i="10"/>
  <c r="J238" i="10"/>
  <c r="J1647" i="10"/>
  <c r="J2246" i="10"/>
  <c r="J1914" i="10"/>
  <c r="J1034" i="10"/>
  <c r="J1339" i="10"/>
  <c r="J587" i="10"/>
  <c r="J974" i="10"/>
  <c r="J291" i="10"/>
  <c r="J2087" i="10"/>
  <c r="J1310" i="10"/>
  <c r="J1954" i="10"/>
  <c r="J2366" i="10"/>
  <c r="J43" i="10"/>
  <c r="J569" i="10"/>
  <c r="J1233" i="10"/>
  <c r="J3199" i="10"/>
  <c r="J2334" i="10"/>
  <c r="J2630" i="10"/>
  <c r="J19" i="10"/>
  <c r="J780" i="10"/>
  <c r="J1630" i="10"/>
  <c r="J149" i="10"/>
  <c r="J2615" i="10"/>
  <c r="J1196" i="10"/>
  <c r="J158" i="10"/>
  <c r="J346" i="10"/>
  <c r="J1593" i="10"/>
  <c r="J626" i="10"/>
  <c r="J1839" i="10"/>
  <c r="J1956" i="10"/>
  <c r="J2021" i="10"/>
  <c r="J811" i="10"/>
  <c r="J1359" i="10"/>
  <c r="J85" i="10"/>
  <c r="J2059" i="10"/>
  <c r="J2273" i="10"/>
  <c r="J958" i="10"/>
  <c r="J1825" i="10"/>
  <c r="J1023" i="10"/>
  <c r="J330" i="10"/>
  <c r="J259" i="10"/>
  <c r="J2703" i="10"/>
  <c r="J1163" i="10"/>
  <c r="J981" i="10"/>
  <c r="J2132" i="10"/>
  <c r="J1608" i="10"/>
  <c r="J927" i="10"/>
  <c r="J234" i="10"/>
  <c r="J777" i="10"/>
  <c r="J2607" i="10"/>
  <c r="J1398" i="10"/>
  <c r="J2083" i="10"/>
  <c r="J2129" i="10"/>
  <c r="J595" i="10"/>
  <c r="J361" i="10"/>
  <c r="J373" i="10"/>
  <c r="J1072" i="10"/>
  <c r="J1935" i="10"/>
  <c r="J737" i="10"/>
  <c r="J1336" i="10"/>
  <c r="J1747" i="10"/>
  <c r="J662" i="10"/>
  <c r="J772" i="10"/>
  <c r="J1809" i="10"/>
  <c r="J1053" i="10"/>
  <c r="J225" i="10"/>
  <c r="J285" i="10"/>
  <c r="J1777" i="10"/>
  <c r="J711" i="10"/>
  <c r="J108" i="10"/>
  <c r="J163" i="10"/>
  <c r="J1354" i="10"/>
  <c r="J1524" i="10"/>
  <c r="J2208" i="10"/>
  <c r="J2249" i="10"/>
  <c r="J2065" i="10"/>
  <c r="J433" i="10"/>
  <c r="J277" i="10"/>
  <c r="J382" i="10"/>
  <c r="J1215" i="10"/>
  <c r="J30" i="10"/>
  <c r="J1552" i="10"/>
  <c r="J1884" i="10"/>
  <c r="J446" i="10"/>
  <c r="J634" i="10"/>
  <c r="J896" i="10"/>
  <c r="J1125" i="10"/>
  <c r="J940" i="10"/>
  <c r="J1248" i="10"/>
  <c r="J1930" i="10"/>
  <c r="J1391" i="10"/>
  <c r="J180" i="10"/>
  <c r="J419" i="10"/>
  <c r="J1330" i="10"/>
  <c r="J90" i="10"/>
  <c r="J2312" i="10"/>
  <c r="J2343" i="10"/>
  <c r="J2173" i="10"/>
  <c r="J217" i="10"/>
  <c r="J456" i="10"/>
  <c r="J655" i="10"/>
  <c r="J1287" i="10"/>
  <c r="J402" i="10"/>
  <c r="J1758" i="10"/>
  <c r="J2015" i="10"/>
  <c r="J460" i="10"/>
  <c r="J3255" i="10"/>
  <c r="J956" i="10"/>
  <c r="J1101" i="10"/>
  <c r="J628" i="10"/>
  <c r="J1464" i="10"/>
  <c r="J2056" i="10"/>
  <c r="J2883" i="10"/>
  <c r="J2025" i="10"/>
  <c r="J2525" i="10"/>
  <c r="J2311" i="10"/>
  <c r="J2052" i="10"/>
  <c r="J1529" i="10"/>
  <c r="J338" i="10"/>
  <c r="J3124" i="10"/>
  <c r="J2162" i="10"/>
  <c r="J1776" i="10"/>
  <c r="J1820" i="10"/>
  <c r="J2240" i="10"/>
  <c r="J1265" i="10"/>
  <c r="J2519" i="10"/>
  <c r="J3023" i="10"/>
  <c r="J3295" i="10"/>
  <c r="J2011" i="10"/>
  <c r="J3184" i="10"/>
  <c r="J2248" i="10"/>
  <c r="J1465" i="10"/>
  <c r="J3313" i="10"/>
  <c r="J1855" i="10"/>
  <c r="J2860" i="10"/>
  <c r="J2785" i="10"/>
  <c r="J839" i="10"/>
  <c r="J2846" i="10"/>
  <c r="J1879" i="10"/>
  <c r="J25" i="10"/>
  <c r="J200" i="10"/>
  <c r="J1024" i="10"/>
  <c r="J812" i="10"/>
  <c r="J1542" i="10"/>
  <c r="J257" i="10"/>
  <c r="J1381" i="10"/>
  <c r="J464" i="10"/>
  <c r="J961" i="10"/>
  <c r="J699" i="10"/>
  <c r="J2127" i="10"/>
  <c r="J2516" i="10"/>
  <c r="J1372" i="10"/>
  <c r="J170" i="10"/>
  <c r="J194" i="10"/>
  <c r="J400" i="10"/>
  <c r="J1341" i="10"/>
  <c r="J1443" i="10"/>
  <c r="J2823" i="10"/>
  <c r="J1470" i="10"/>
  <c r="J1452" i="10"/>
  <c r="J370" i="10"/>
  <c r="J1605" i="10"/>
  <c r="J1478" i="10"/>
  <c r="J934" i="10"/>
  <c r="J2032" i="10"/>
  <c r="J2199" i="10"/>
  <c r="J3221" i="10"/>
  <c r="J1773" i="10"/>
  <c r="J521" i="10"/>
  <c r="J1223" i="10"/>
  <c r="J1698" i="10"/>
  <c r="J1384" i="10"/>
  <c r="J106" i="10"/>
  <c r="J2852" i="10"/>
  <c r="J785" i="10"/>
  <c r="J1486" i="10"/>
  <c r="J1931" i="10"/>
  <c r="J1193" i="10"/>
  <c r="J1461" i="10"/>
  <c r="J842" i="10"/>
  <c r="J1635" i="10"/>
  <c r="J333" i="10"/>
  <c r="J2319" i="10"/>
  <c r="J2137" i="10"/>
  <c r="J1814" i="10"/>
  <c r="J1894" i="10"/>
  <c r="J515" i="10"/>
  <c r="J3110" i="10"/>
  <c r="J678" i="10"/>
  <c r="J2457" i="10"/>
  <c r="J1615" i="10"/>
  <c r="J1975" i="10"/>
  <c r="J648" i="10"/>
  <c r="J16" i="10"/>
  <c r="J2454" i="10"/>
  <c r="J1595" i="10"/>
  <c r="J1959" i="10"/>
  <c r="J833" i="10"/>
  <c r="J2391" i="10"/>
  <c r="J92" i="10"/>
  <c r="J618" i="10"/>
  <c r="J3272" i="10"/>
  <c r="J573" i="10"/>
  <c r="J894" i="10"/>
  <c r="J1987" i="10"/>
  <c r="J214" i="10"/>
  <c r="J841" i="10"/>
  <c r="J454" i="10"/>
  <c r="J2115" i="10"/>
  <c r="J1084" i="10"/>
  <c r="J2356" i="10"/>
  <c r="J1295" i="10"/>
  <c r="J255" i="10"/>
  <c r="J963" i="10"/>
  <c r="J1491" i="10"/>
  <c r="J3017" i="10"/>
  <c r="J1577" i="10"/>
  <c r="J1253" i="10"/>
  <c r="J49" i="10"/>
  <c r="J731" i="10"/>
  <c r="J558" i="10"/>
  <c r="J1831" i="10"/>
  <c r="J1414" i="10"/>
  <c r="J1851" i="10"/>
  <c r="J203" i="10"/>
  <c r="J759" i="10"/>
  <c r="J162" i="10"/>
  <c r="J1043" i="10"/>
  <c r="J2427" i="10"/>
  <c r="J365" i="10"/>
  <c r="J1110" i="10"/>
  <c r="J836" i="10"/>
  <c r="J590" i="10"/>
  <c r="J17" i="10"/>
  <c r="J1737" i="10"/>
  <c r="J2306" i="10"/>
  <c r="J1723" i="10"/>
  <c r="J760" i="10"/>
  <c r="J3327" i="10"/>
  <c r="J740" i="10"/>
  <c r="J494" i="10"/>
  <c r="J700" i="10"/>
  <c r="J1641" i="10"/>
  <c r="J1512" i="10"/>
  <c r="J765" i="10"/>
  <c r="J1988" i="10"/>
  <c r="J1360" i="10"/>
  <c r="J831" i="10"/>
  <c r="J138" i="10"/>
  <c r="J1115" i="10"/>
  <c r="J1186" i="10"/>
  <c r="J1254" i="10"/>
  <c r="J1939" i="10"/>
  <c r="J1985" i="10"/>
  <c r="J499" i="10"/>
  <c r="J265" i="10"/>
  <c r="J984" i="10"/>
  <c r="J716" i="10"/>
  <c r="J1824" i="10"/>
  <c r="J353" i="10"/>
  <c r="J1063" i="10"/>
  <c r="J1505" i="10"/>
  <c r="J566" i="10"/>
  <c r="J676" i="10"/>
  <c r="J219" i="10"/>
  <c r="J741" i="10"/>
  <c r="J933" i="10"/>
  <c r="J2113" i="10"/>
  <c r="J1547" i="10"/>
  <c r="J615" i="10"/>
  <c r="J1007" i="10"/>
  <c r="J263" i="10"/>
  <c r="J1258" i="10"/>
  <c r="J1380" i="10"/>
  <c r="J2064" i="10"/>
  <c r="J2111" i="10"/>
  <c r="J1921" i="10"/>
  <c r="J337" i="10"/>
  <c r="J576" i="10"/>
  <c r="J1004" i="10"/>
  <c r="J1119" i="10"/>
  <c r="J653" i="10"/>
  <c r="J1303" i="10"/>
  <c r="J1693" i="10"/>
  <c r="J350" i="10"/>
  <c r="J613" i="10"/>
  <c r="J800" i="10"/>
  <c r="J1029" i="10"/>
  <c r="J81" i="10"/>
  <c r="J2237" i="10"/>
  <c r="J1755" i="10"/>
  <c r="J1749" i="10"/>
  <c r="J1460" i="10"/>
  <c r="J323" i="10"/>
  <c r="J1234" i="10"/>
  <c r="J1001" i="10"/>
  <c r="J2191" i="10"/>
  <c r="J2235" i="10"/>
  <c r="J3325" i="10"/>
  <c r="J1927" i="10"/>
  <c r="J2178" i="10"/>
  <c r="J1306" i="10"/>
  <c r="J1504" i="10"/>
  <c r="J3289" i="10"/>
  <c r="J2407" i="10"/>
  <c r="J2460" i="10"/>
  <c r="J2170" i="10"/>
  <c r="J2973" i="10"/>
  <c r="J1945" i="10"/>
  <c r="J1206" i="10"/>
  <c r="J1624" i="10"/>
  <c r="J2480" i="10"/>
  <c r="J3225" i="10"/>
  <c r="J1477" i="10"/>
  <c r="J247" i="10"/>
  <c r="J702" i="10"/>
  <c r="J3115" i="10"/>
  <c r="J1325" i="10"/>
  <c r="J3370" i="10"/>
  <c r="J3257" i="10"/>
  <c r="J3037" i="10"/>
  <c r="J172" i="10"/>
  <c r="J2502" i="10"/>
  <c r="J1255" i="10"/>
  <c r="J1267" i="10"/>
  <c r="J2262" i="10"/>
  <c r="J887" i="10"/>
  <c r="J136" i="10"/>
  <c r="J413" i="10"/>
  <c r="J1656" i="10"/>
  <c r="J3008" i="10"/>
  <c r="J1355" i="10"/>
  <c r="J863" i="10"/>
  <c r="J55" i="10"/>
  <c r="J822" i="10"/>
  <c r="J1378" i="10"/>
  <c r="J1106" i="10"/>
  <c r="J713" i="10"/>
  <c r="J886" i="10"/>
  <c r="J319" i="10"/>
  <c r="J804" i="10"/>
  <c r="J83" i="10"/>
  <c r="J1909" i="10"/>
  <c r="J2062" i="10"/>
  <c r="J814" i="10"/>
  <c r="J295" i="10"/>
  <c r="J61" i="10"/>
  <c r="J144" i="10"/>
  <c r="J1599" i="10"/>
  <c r="J908" i="10"/>
  <c r="J861" i="10"/>
  <c r="J3358" i="10"/>
  <c r="J1566" i="10"/>
  <c r="J224" i="10"/>
  <c r="J1036" i="10"/>
  <c r="J1173" i="10"/>
  <c r="J3099" i="10"/>
  <c r="J1410" i="10"/>
  <c r="J1982" i="10"/>
  <c r="J2961" i="10"/>
  <c r="J693" i="10"/>
  <c r="J771" i="10"/>
  <c r="J1760" i="10"/>
  <c r="J1385" i="10"/>
  <c r="J909" i="10"/>
  <c r="J967" i="10"/>
  <c r="J2691" i="10"/>
  <c r="J412" i="10"/>
  <c r="J1353" i="10"/>
  <c r="J1699" i="10"/>
  <c r="J1782" i="10"/>
  <c r="J867" i="10"/>
  <c r="J709" i="10"/>
  <c r="J2797" i="10"/>
  <c r="J1617" i="10"/>
  <c r="J2164" i="10"/>
  <c r="J1607" i="10"/>
  <c r="J1498" i="10"/>
  <c r="J1180" i="10"/>
  <c r="J142" i="10"/>
  <c r="J2951" i="10"/>
  <c r="J533" i="10"/>
  <c r="J1953" i="10"/>
  <c r="J1290" i="10"/>
  <c r="J1073" i="10"/>
  <c r="J491" i="10"/>
  <c r="J878" i="10"/>
  <c r="J3349" i="10"/>
  <c r="J2229" i="10"/>
  <c r="J1704" i="10"/>
  <c r="J2348" i="10"/>
  <c r="J2263" i="10"/>
  <c r="J280" i="10"/>
  <c r="J473" i="10"/>
  <c r="J1429" i="10"/>
  <c r="J2018" i="10"/>
  <c r="J2624" i="10"/>
  <c r="J2655" i="10"/>
  <c r="J68" i="10"/>
  <c r="J684" i="10"/>
  <c r="J1534" i="10"/>
  <c r="J2953" i="10"/>
  <c r="J1338" i="10"/>
  <c r="J1266" i="10"/>
  <c r="J231" i="10"/>
  <c r="J623" i="10"/>
  <c r="J1497" i="10"/>
  <c r="J242" i="10"/>
  <c r="J1453" i="10"/>
  <c r="J483" i="10"/>
  <c r="J3159" i="10"/>
  <c r="J860" i="10"/>
  <c r="J969" i="10"/>
  <c r="J532" i="10"/>
  <c r="J1216" i="10"/>
  <c r="J1122" i="10"/>
  <c r="J1791" i="10"/>
  <c r="J1870" i="10"/>
  <c r="J715" i="10"/>
  <c r="J1263" i="10"/>
  <c r="J696" i="10"/>
  <c r="J1915" i="10"/>
  <c r="J1715" i="10"/>
  <c r="J1886" i="10"/>
  <c r="J1559" i="10"/>
  <c r="J1673" i="10"/>
  <c r="J619" i="10"/>
  <c r="J1167" i="10"/>
  <c r="J312" i="10"/>
  <c r="J44" i="10"/>
  <c r="J1579" i="10"/>
  <c r="J376" i="10"/>
  <c r="J3231" i="10"/>
  <c r="J644" i="10"/>
  <c r="J398" i="10"/>
  <c r="J604" i="10"/>
  <c r="J530" i="10"/>
  <c r="J1368" i="10"/>
  <c r="J1402" i="10"/>
  <c r="J1830" i="10"/>
  <c r="J1104" i="10"/>
  <c r="J735" i="10"/>
  <c r="J42" i="10"/>
  <c r="J389" i="10"/>
  <c r="J1090" i="10"/>
  <c r="J1098" i="10"/>
  <c r="J1764" i="10"/>
  <c r="J1827" i="10"/>
  <c r="J403" i="10"/>
  <c r="J169" i="10"/>
  <c r="J420" i="10"/>
  <c r="J332" i="10"/>
  <c r="J1705" i="10"/>
  <c r="J748" i="10"/>
  <c r="J3315" i="10"/>
  <c r="J1261" i="10"/>
  <c r="J470" i="10"/>
  <c r="J733" i="10"/>
  <c r="J818" i="10"/>
  <c r="J1040" i="10"/>
  <c r="J1702" i="10"/>
  <c r="J1969" i="10"/>
  <c r="J1300" i="10"/>
  <c r="J519" i="10"/>
  <c r="J746" i="10"/>
  <c r="J167" i="10"/>
  <c r="J1162" i="10"/>
  <c r="J1236" i="10"/>
  <c r="J1920" i="10"/>
  <c r="J1967" i="10"/>
  <c r="J1622" i="10"/>
  <c r="J2382" i="10"/>
  <c r="J480" i="10"/>
  <c r="J620" i="10"/>
  <c r="J1022" i="10"/>
  <c r="J269" i="10"/>
  <c r="J862" i="10"/>
  <c r="J1183" i="10"/>
  <c r="J792" i="10"/>
  <c r="J517" i="10"/>
  <c r="J704" i="10"/>
  <c r="J453" i="10"/>
  <c r="J345" i="10"/>
  <c r="J2096" i="10"/>
  <c r="J1768" i="10"/>
  <c r="J1365" i="10"/>
  <c r="J1213" i="10"/>
  <c r="J227" i="10"/>
  <c r="J1138" i="10"/>
  <c r="J905" i="10"/>
  <c r="J2047" i="10"/>
  <c r="J990" i="10"/>
  <c r="J2682" i="10"/>
  <c r="J2819" i="10"/>
  <c r="J1217" i="10"/>
  <c r="J286" i="10"/>
  <c r="J2544" i="10"/>
  <c r="J2935" i="10"/>
  <c r="J1902" i="10"/>
  <c r="J2252" i="10"/>
  <c r="J2125" i="10"/>
  <c r="J134" i="10"/>
  <c r="J1832" i="10"/>
  <c r="J670" i="10"/>
  <c r="J73" i="10"/>
  <c r="J2461" i="10"/>
  <c r="J2339" i="10"/>
  <c r="J3168" i="10"/>
  <c r="J3059" i="10"/>
  <c r="J2554" i="10"/>
  <c r="J543" i="10"/>
  <c r="J2450" i="10"/>
  <c r="J1148" i="10"/>
  <c r="J705" i="10"/>
  <c r="J2641" i="10"/>
  <c r="J3238" i="10"/>
  <c r="J2693" i="10"/>
  <c r="J3207" i="10"/>
  <c r="J2194" i="10"/>
  <c r="J62" i="10"/>
  <c r="J250" i="10"/>
  <c r="J393" i="10"/>
  <c r="J428" i="10"/>
  <c r="J2620" i="10"/>
  <c r="J1662" i="10"/>
  <c r="J1564" i="10"/>
  <c r="J514" i="10"/>
  <c r="J15" i="10"/>
  <c r="J315" i="10"/>
  <c r="J2031" i="10"/>
  <c r="J1187" i="10"/>
  <c r="J1152" i="10"/>
  <c r="J490" i="10"/>
  <c r="J267" i="10"/>
  <c r="J677" i="10"/>
  <c r="J1245" i="10"/>
  <c r="J1059" i="10"/>
  <c r="J856" i="10"/>
  <c r="J57" i="10"/>
  <c r="J243" i="10"/>
  <c r="J647" i="10"/>
  <c r="J1642" i="10"/>
  <c r="J1382" i="10"/>
  <c r="J2428" i="10"/>
  <c r="J1688" i="10"/>
  <c r="J1403" i="10"/>
  <c r="J899" i="10"/>
  <c r="J880" i="10"/>
  <c r="J570" i="10"/>
  <c r="J2406" i="10"/>
  <c r="J1448" i="10"/>
  <c r="J3112" i="10"/>
  <c r="J2469" i="10"/>
  <c r="J79" i="10"/>
  <c r="J834" i="10"/>
  <c r="J698" i="10"/>
  <c r="J1757" i="10"/>
  <c r="J813" i="10"/>
  <c r="J1454" i="10"/>
  <c r="J2700" i="10"/>
  <c r="J1002" i="10"/>
  <c r="J155" i="10"/>
  <c r="J3375" i="10"/>
  <c r="J1993" i="10"/>
  <c r="J1718" i="10"/>
  <c r="J1159" i="10"/>
  <c r="J1532" i="10"/>
  <c r="J216" i="10"/>
  <c r="J1611" i="10"/>
  <c r="J1979" i="10"/>
  <c r="J1471" i="10"/>
  <c r="J1815" i="10"/>
  <c r="J552" i="10"/>
  <c r="J2681" i="10"/>
  <c r="J1048" i="10"/>
  <c r="J2351" i="10"/>
  <c r="J1404" i="10"/>
  <c r="J449" i="10"/>
  <c r="J2293" i="10"/>
  <c r="J1003" i="10"/>
  <c r="J2705" i="10"/>
  <c r="J795" i="10"/>
  <c r="J1799" i="10"/>
  <c r="J513" i="10"/>
  <c r="J1829" i="10"/>
  <c r="J118" i="10"/>
  <c r="J745" i="10"/>
  <c r="J3089" i="10"/>
  <c r="J2094" i="10"/>
  <c r="J1214" i="10"/>
  <c r="J1787" i="10"/>
  <c r="J789" i="10"/>
  <c r="J159" i="10"/>
  <c r="J579" i="10"/>
  <c r="J816" i="10"/>
  <c r="J24" i="10"/>
  <c r="J2931" i="10"/>
  <c r="J1771" i="10"/>
  <c r="J86" i="10"/>
  <c r="J347" i="10"/>
  <c r="J462" i="10"/>
  <c r="J1445" i="10"/>
  <c r="J1706" i="10"/>
  <c r="J1085" i="10"/>
  <c r="J264" i="10"/>
  <c r="J463" i="10"/>
  <c r="J1095" i="10"/>
  <c r="J641" i="10"/>
  <c r="J1242" i="10"/>
  <c r="J1030" i="10"/>
  <c r="J1645" i="10"/>
  <c r="J107" i="10"/>
  <c r="J663" i="10"/>
  <c r="J66" i="10"/>
  <c r="J621" i="10"/>
  <c r="J877" i="10"/>
  <c r="J1081" i="10"/>
  <c r="J1665" i="10"/>
  <c r="J1397" i="10"/>
  <c r="J790" i="10"/>
  <c r="J567" i="10"/>
  <c r="J977" i="10"/>
  <c r="J221" i="10"/>
  <c r="J1571" i="10"/>
  <c r="J1790" i="10"/>
  <c r="J1315" i="10"/>
  <c r="J1424" i="10"/>
  <c r="J523" i="10"/>
  <c r="J1071" i="10"/>
  <c r="J534" i="10"/>
  <c r="J667" i="10"/>
  <c r="J1435" i="10"/>
  <c r="J123" i="10"/>
  <c r="J3135" i="10"/>
  <c r="J548" i="10"/>
  <c r="J302" i="10"/>
  <c r="J577" i="10"/>
  <c r="J146" i="10"/>
  <c r="J1224" i="10"/>
  <c r="J1012" i="10"/>
  <c r="J1613" i="10"/>
  <c r="J1573" i="10"/>
  <c r="J639" i="10"/>
  <c r="J866" i="10"/>
  <c r="J293" i="10"/>
  <c r="J922" i="10"/>
  <c r="J1874" i="10"/>
  <c r="J1531" i="10"/>
  <c r="J1609" i="10"/>
  <c r="J307" i="10"/>
  <c r="J915" i="10"/>
  <c r="J324" i="10"/>
  <c r="J955" i="10"/>
  <c r="J1561" i="10"/>
  <c r="J364" i="10"/>
  <c r="J3219" i="10"/>
  <c r="J2150" i="10"/>
  <c r="J871" i="10"/>
  <c r="J637" i="10"/>
  <c r="J434" i="10"/>
  <c r="J585" i="10"/>
  <c r="J1318" i="10"/>
  <c r="J1807" i="10"/>
  <c r="J1508" i="10"/>
  <c r="J1025" i="10"/>
  <c r="J650" i="10"/>
  <c r="J71" i="10"/>
  <c r="J1066" i="10"/>
  <c r="J1074" i="10"/>
  <c r="J1743" i="10"/>
  <c r="J1175" i="10"/>
  <c r="J1526" i="10"/>
  <c r="J2282" i="10"/>
  <c r="J384" i="10"/>
  <c r="J236" i="10"/>
  <c r="J381" i="10"/>
  <c r="J664" i="10"/>
  <c r="J1976" i="10"/>
  <c r="J561" i="10"/>
  <c r="J251" i="10"/>
  <c r="J421" i="10"/>
  <c r="J608" i="10"/>
  <c r="J1006" i="10"/>
  <c r="J1690" i="10"/>
  <c r="J2918" i="10"/>
  <c r="J2592" i="10"/>
  <c r="J2629" i="10"/>
  <c r="J77" i="10"/>
  <c r="J2483" i="10"/>
  <c r="J2436" i="10"/>
  <c r="J1992" i="10"/>
  <c r="J2180" i="10"/>
  <c r="J1406" i="10"/>
  <c r="J1937" i="10"/>
  <c r="J3322" i="10"/>
  <c r="J3319" i="10"/>
  <c r="J2570" i="10"/>
  <c r="J2304" i="10"/>
  <c r="J3068" i="10"/>
  <c r="J3016" i="10"/>
  <c r="J2998" i="10"/>
  <c r="J1981" i="10"/>
  <c r="J1111" i="10"/>
  <c r="J2472" i="10"/>
  <c r="J1459" i="10"/>
  <c r="J2755" i="10"/>
  <c r="J706" i="10"/>
  <c r="J1141" i="10"/>
  <c r="J2772" i="10"/>
  <c r="J3185" i="10"/>
  <c r="J1252" i="10"/>
  <c r="J1333" i="10"/>
  <c r="J2301" i="10"/>
  <c r="J948" i="10"/>
  <c r="J40" i="10"/>
  <c r="J317" i="10"/>
  <c r="J2517" i="10"/>
  <c r="J1949" i="10"/>
  <c r="J1685" i="10"/>
  <c r="J924" i="10"/>
  <c r="J104" i="10"/>
  <c r="J726" i="10"/>
  <c r="J1282" i="10"/>
  <c r="J2952" i="10"/>
  <c r="J2156" i="10"/>
  <c r="J1237" i="10"/>
  <c r="J368" i="10"/>
  <c r="J865" i="10"/>
  <c r="J478" i="10"/>
  <c r="J1794" i="10"/>
  <c r="J2731" i="10"/>
  <c r="J1633" i="10"/>
  <c r="J344" i="10"/>
  <c r="J98" i="10"/>
  <c r="J244" i="10"/>
  <c r="J1503" i="10"/>
  <c r="J379" i="10"/>
  <c r="J91" i="10"/>
  <c r="J929" i="10"/>
  <c r="J74" i="10"/>
  <c r="J274" i="10"/>
  <c r="J1509" i="10"/>
  <c r="J820" i="10"/>
  <c r="J3003" i="10"/>
  <c r="J845" i="10"/>
  <c r="J2023" i="10"/>
  <c r="J526" i="10"/>
  <c r="J1677" i="10"/>
  <c r="J425" i="10"/>
  <c r="J1520" i="10"/>
  <c r="J1134" i="10"/>
  <c r="J2851" i="10"/>
  <c r="J2182" i="10"/>
  <c r="J279" i="10"/>
  <c r="J689" i="10"/>
  <c r="J1390" i="10"/>
  <c r="J1451" i="10"/>
  <c r="J1652" i="10"/>
  <c r="J1077" i="10"/>
  <c r="J2371" i="10"/>
  <c r="J857" i="10"/>
  <c r="J1654" i="10"/>
  <c r="J2201" i="10"/>
  <c r="J1463" i="10"/>
  <c r="J1114" i="10"/>
  <c r="J1709" i="10"/>
  <c r="J1033" i="10"/>
  <c r="J1091" i="10"/>
  <c r="J582" i="10"/>
  <c r="J2361" i="10"/>
  <c r="J1146" i="10"/>
  <c r="J2149" i="10"/>
  <c r="J395" i="10"/>
  <c r="J2362" i="10"/>
  <c r="J846" i="10"/>
  <c r="J1351" i="10"/>
  <c r="J1853" i="10"/>
  <c r="J2242" i="10"/>
  <c r="J2128" i="10"/>
  <c r="J184" i="10"/>
  <c r="J2135" i="10"/>
  <c r="J179" i="10"/>
  <c r="J2139" i="10"/>
  <c r="J510" i="10"/>
  <c r="J2559" i="10"/>
  <c r="J979" i="10"/>
  <c r="J588" i="10"/>
  <c r="J2051" i="10"/>
  <c r="J1490" i="10"/>
  <c r="J2224" i="10"/>
  <c r="J2534" i="10"/>
  <c r="J256" i="10"/>
  <c r="J527" i="10"/>
  <c r="J1401" i="10"/>
  <c r="J1798" i="10"/>
  <c r="J1636" i="10"/>
  <c r="J873" i="10"/>
  <c r="J2488" i="10"/>
  <c r="J131" i="10"/>
  <c r="J1042" i="10"/>
  <c r="J809" i="10"/>
  <c r="J2243" i="10"/>
  <c r="J1309" i="10"/>
  <c r="J949" i="10"/>
  <c r="J3063" i="10"/>
  <c r="J764" i="10"/>
  <c r="J165" i="10"/>
  <c r="J436" i="10"/>
  <c r="J366" i="10"/>
  <c r="J2101" i="10"/>
  <c r="J1165" i="10"/>
  <c r="J408" i="10"/>
  <c r="J2967" i="10"/>
  <c r="J668" i="10"/>
  <c r="J916" i="10"/>
  <c r="J1563" i="10"/>
  <c r="J493" i="10"/>
  <c r="J1753" i="10"/>
  <c r="J1281" i="10"/>
  <c r="J1153" i="10"/>
  <c r="J694" i="10"/>
  <c r="J471" i="10"/>
  <c r="J710" i="10"/>
  <c r="J125" i="10"/>
  <c r="J1427" i="10"/>
  <c r="J1694" i="10"/>
  <c r="J1005" i="10"/>
  <c r="J1177" i="10"/>
  <c r="J427" i="10"/>
  <c r="J12" i="10"/>
  <c r="J438" i="10"/>
  <c r="J283" i="10"/>
  <c r="J1291" i="10"/>
  <c r="J589" i="10"/>
  <c r="J3039" i="10"/>
  <c r="J452" i="10"/>
  <c r="J991" i="10"/>
  <c r="J481" i="10"/>
  <c r="J781" i="10"/>
  <c r="J1050" i="10"/>
  <c r="J1653" i="10"/>
  <c r="J1369" i="10"/>
  <c r="J1240" i="10"/>
  <c r="J1016" i="10"/>
  <c r="J770" i="10"/>
  <c r="J197" i="10"/>
  <c r="J33" i="10"/>
  <c r="J1778" i="10"/>
  <c r="J1284" i="10"/>
  <c r="J2226" i="10"/>
  <c r="J1358" i="10"/>
  <c r="J819" i="10"/>
  <c r="J228" i="10"/>
  <c r="J571" i="10"/>
  <c r="J1417" i="10"/>
  <c r="J99" i="10"/>
  <c r="J1626" i="10"/>
  <c r="J2054" i="10"/>
  <c r="J775" i="10"/>
  <c r="J541" i="10"/>
  <c r="J50" i="10"/>
  <c r="J952" i="10"/>
  <c r="J465" i="10"/>
  <c r="J1352" i="10"/>
  <c r="J1364" i="10"/>
  <c r="J1719" i="10"/>
  <c r="J554" i="10"/>
  <c r="J754" i="10"/>
  <c r="J826" i="10"/>
  <c r="J1862" i="10"/>
  <c r="J1423" i="10"/>
  <c r="J273" i="10"/>
  <c r="J1430" i="10"/>
  <c r="J2152" i="10"/>
  <c r="J288" i="10"/>
  <c r="J982" i="10"/>
  <c r="J3079" i="10"/>
  <c r="J1856" i="10"/>
  <c r="J2774" i="10"/>
  <c r="J1370" i="10"/>
  <c r="J1061" i="10"/>
  <c r="J2134" i="10"/>
  <c r="J2759" i="10"/>
  <c r="J2466" i="10"/>
  <c r="J1182" i="10"/>
  <c r="J2982" i="10"/>
  <c r="J2302" i="10"/>
  <c r="J2117" i="10"/>
  <c r="J1496" i="10"/>
  <c r="J1280" i="10"/>
  <c r="J1586" i="10"/>
  <c r="J3249" i="10"/>
  <c r="J3382" i="10"/>
  <c r="J3216" i="10"/>
  <c r="J2804" i="10"/>
  <c r="J3130" i="10"/>
  <c r="J1456" i="10"/>
  <c r="J2908" i="10"/>
  <c r="J2923" i="10"/>
  <c r="J3278" i="10"/>
  <c r="J2091" i="10"/>
  <c r="J1185" i="10"/>
  <c r="J1069" i="10"/>
  <c r="J1726" i="10"/>
  <c r="J135" i="10"/>
  <c r="J154" i="10"/>
  <c r="J1659" i="10"/>
  <c r="J2939" i="10"/>
  <c r="J1786" i="10"/>
  <c r="J1728" i="10"/>
  <c r="J2166" i="10"/>
  <c r="J791" i="10"/>
  <c r="J902" i="10"/>
  <c r="J914" i="10"/>
  <c r="J1748" i="10"/>
  <c r="J1729" i="10"/>
  <c r="J1211" i="10"/>
  <c r="J767" i="10"/>
  <c r="J292" i="10"/>
  <c r="J581" i="10"/>
  <c r="J1149" i="10"/>
  <c r="J3177" i="10"/>
  <c r="J1625" i="10"/>
  <c r="J1838" i="10"/>
  <c r="J223" i="10"/>
  <c r="J708" i="10"/>
  <c r="J1546" i="10"/>
  <c r="J1286" i="10"/>
  <c r="J2828" i="10"/>
  <c r="J1308" i="10"/>
  <c r="J199" i="10"/>
  <c r="J960" i="10"/>
  <c r="J755" i="10"/>
  <c r="J474" i="10"/>
  <c r="J2310" i="10"/>
  <c r="J466" i="10"/>
  <c r="J2360" i="10"/>
  <c r="J936" i="10"/>
  <c r="J128" i="10"/>
  <c r="J537" i="10"/>
  <c r="J181" i="10"/>
  <c r="J1518" i="10"/>
  <c r="J1408" i="10"/>
  <c r="J2679" i="10"/>
  <c r="J380" i="10"/>
  <c r="J1108" i="10"/>
  <c r="J387" i="10"/>
  <c r="J3279" i="10"/>
  <c r="J1836" i="10"/>
  <c r="J2692" i="10"/>
  <c r="J1733" i="10"/>
  <c r="J110" i="10"/>
  <c r="J268" i="10"/>
  <c r="J1257" i="10"/>
  <c r="J1819" i="10"/>
  <c r="J1327" i="10"/>
  <c r="J314" i="10"/>
  <c r="J3320" i="10"/>
  <c r="J484" i="10"/>
  <c r="J1521" i="10"/>
  <c r="J2020" i="10"/>
  <c r="J1260" i="10"/>
  <c r="J65" i="10"/>
  <c r="J3351" i="10"/>
  <c r="J1849" i="10"/>
  <c r="J1785" i="10"/>
  <c r="J437" i="10"/>
  <c r="J1846" i="10"/>
  <c r="J1018" i="10"/>
  <c r="J1612" i="10"/>
  <c r="J22" i="10"/>
  <c r="J1189" i="10"/>
  <c r="J701" i="10"/>
  <c r="J2133" i="10"/>
  <c r="J1560" i="10"/>
  <c r="J1555" i="10"/>
  <c r="J2327" i="10"/>
  <c r="J63" i="10"/>
  <c r="J2829" i="10"/>
  <c r="J1312" i="10"/>
  <c r="J1527" i="10"/>
  <c r="J2251" i="10"/>
  <c r="J1536" i="10"/>
  <c r="J1009" i="10"/>
  <c r="J742" i="10"/>
  <c r="J198" i="10"/>
  <c r="J1816" i="10"/>
  <c r="J2138" i="10"/>
  <c r="J500" i="10"/>
  <c r="J325" i="10"/>
  <c r="J512" i="10"/>
  <c r="J297" i="10"/>
  <c r="J53" i="10"/>
  <c r="J1301" i="10"/>
  <c r="J1610" i="10"/>
  <c r="J2358" i="10"/>
  <c r="J168" i="10"/>
  <c r="J367" i="10"/>
  <c r="J945" i="10"/>
  <c r="J1305" i="10"/>
  <c r="J736" i="10"/>
  <c r="J1157" i="10"/>
  <c r="J1514" i="10"/>
  <c r="J2254" i="10"/>
  <c r="J72" i="10"/>
  <c r="J271" i="10"/>
  <c r="J879" i="10"/>
  <c r="J270" i="10"/>
  <c r="J1957" i="10"/>
  <c r="J2222" i="10"/>
  <c r="J646" i="10"/>
  <c r="J2871" i="10"/>
  <c r="J572" i="10"/>
  <c r="J823" i="10"/>
  <c r="J1467" i="10"/>
  <c r="J109" i="10"/>
  <c r="J1616" i="10"/>
  <c r="J21" i="10"/>
  <c r="J2464" i="10"/>
  <c r="J598" i="10"/>
  <c r="J130" i="10"/>
  <c r="J614" i="10"/>
  <c r="J29" i="10"/>
  <c r="J1283" i="10"/>
  <c r="J1598" i="10"/>
  <c r="J2346" i="10"/>
  <c r="J2046" i="10"/>
  <c r="J383" i="10"/>
  <c r="J939" i="10"/>
  <c r="J342" i="10"/>
  <c r="J837" i="10"/>
  <c r="J1147" i="10"/>
  <c r="J48" i="10"/>
  <c r="J1160" i="10"/>
  <c r="J1880" i="10"/>
  <c r="J895" i="10"/>
  <c r="J385" i="10"/>
  <c r="J397" i="10"/>
  <c r="J2864" i="10"/>
  <c r="J2696" i="10"/>
  <c r="J1919" i="10"/>
  <c r="J1226" i="10"/>
  <c r="J2003" i="10"/>
  <c r="J3072" i="10"/>
  <c r="J858" i="10"/>
  <c r="J2690" i="10"/>
  <c r="J1117" i="10"/>
  <c r="J3276" i="10"/>
  <c r="J3002" i="10"/>
  <c r="J1219" i="10"/>
  <c r="J2145" i="10"/>
  <c r="J1980" i="10"/>
  <c r="J3350" i="10"/>
  <c r="J2508" i="10"/>
  <c r="J3311" i="10"/>
  <c r="J2506" i="10"/>
  <c r="J1350" i="10"/>
  <c r="J3189" i="10"/>
  <c r="J3090" i="10"/>
  <c r="J2634" i="10"/>
  <c r="J2778" i="10"/>
  <c r="J2027" i="10"/>
  <c r="J3240" i="10"/>
  <c r="J2555" i="10"/>
  <c r="J2198" i="10"/>
  <c r="J262" i="10"/>
  <c r="J2835" i="10"/>
  <c r="J2205" i="10"/>
  <c r="J852" i="10"/>
  <c r="J975" i="10"/>
  <c r="J432" i="10"/>
  <c r="J722" i="10"/>
  <c r="J3111" i="10"/>
  <c r="J2050" i="10"/>
  <c r="J985" i="10"/>
  <c r="J1015" i="10"/>
  <c r="J630" i="10"/>
  <c r="J2677" i="10"/>
  <c r="J141" i="10"/>
  <c r="J1412" i="10"/>
  <c r="J1420" i="10"/>
  <c r="J418" i="10"/>
  <c r="J769" i="10"/>
  <c r="J94" i="10"/>
  <c r="J3178" i="10"/>
  <c r="J1997" i="10"/>
  <c r="J1796" i="10"/>
  <c r="J394" i="10"/>
  <c r="J171" i="10"/>
  <c r="J987" i="10"/>
  <c r="J1407" i="10"/>
  <c r="J3363" i="10"/>
  <c r="J1422" i="10"/>
  <c r="J1594" i="10"/>
  <c r="J147" i="10"/>
  <c r="J551" i="10"/>
  <c r="J1413" i="10"/>
  <c r="J898" i="10"/>
  <c r="J2549" i="10"/>
  <c r="J657" i="10"/>
  <c r="J1156" i="10"/>
  <c r="J803" i="10"/>
  <c r="J1714" i="10"/>
  <c r="J329" i="10"/>
  <c r="J1277" i="10"/>
  <c r="J157" i="10"/>
  <c r="J1811" i="10"/>
  <c r="J779" i="10"/>
  <c r="J304" i="10"/>
  <c r="J738" i="10"/>
  <c r="J1294" i="10"/>
  <c r="J1207" i="10"/>
  <c r="J1056" i="10"/>
  <c r="J2558" i="10"/>
  <c r="J235" i="10"/>
  <c r="J906" i="10"/>
  <c r="J550" i="10"/>
  <c r="J2057" i="10"/>
  <c r="J1319" i="10"/>
  <c r="J2383" i="10"/>
  <c r="J1678" i="10"/>
  <c r="J972" i="10"/>
  <c r="J827" i="10"/>
  <c r="J1515" i="10"/>
  <c r="J2257" i="10"/>
  <c r="J1898" i="10"/>
  <c r="J1591" i="10"/>
  <c r="J1873" i="10"/>
  <c r="J504" i="10"/>
  <c r="J681" i="10"/>
  <c r="J2245" i="10"/>
  <c r="J1738" i="10"/>
  <c r="J2100" i="10"/>
  <c r="J2165" i="10"/>
  <c r="J1442" i="10"/>
  <c r="J808" i="10"/>
  <c r="J411" i="10"/>
  <c r="J1674" i="10"/>
  <c r="J126" i="10"/>
  <c r="J2463" i="10"/>
  <c r="J883" i="10"/>
  <c r="J3220" i="10"/>
  <c r="J1666" i="10"/>
  <c r="J1922" i="10"/>
  <c r="J2528" i="10"/>
  <c r="J2438" i="10"/>
  <c r="J160" i="10"/>
  <c r="J431" i="10"/>
  <c r="J1137" i="10"/>
  <c r="J1176" i="10"/>
  <c r="J2214" i="10"/>
  <c r="J1334" i="10"/>
  <c r="J2008" i="10"/>
  <c r="J192" i="10"/>
  <c r="J475" i="10"/>
  <c r="J1395" i="10"/>
  <c r="J1568" i="10"/>
  <c r="J1492" i="10"/>
  <c r="J405" i="10"/>
  <c r="J2392" i="10"/>
  <c r="J35" i="10"/>
  <c r="J609" i="10"/>
  <c r="J358" i="10"/>
  <c r="J1299" i="10"/>
  <c r="J1321" i="10"/>
  <c r="J1348" i="10"/>
  <c r="J1623" i="10"/>
  <c r="J2294" i="10"/>
  <c r="J718" i="10"/>
  <c r="J968" i="10"/>
  <c r="J1209" i="10"/>
  <c r="J640" i="10"/>
  <c r="J2298" i="10"/>
  <c r="J1418" i="10"/>
  <c r="J2116" i="10"/>
  <c r="J971" i="10"/>
  <c r="J503" i="10"/>
  <c r="J783" i="10"/>
  <c r="J174" i="10"/>
  <c r="J1792" i="10"/>
  <c r="J2126" i="10"/>
  <c r="J116" i="10"/>
  <c r="J2181" i="10"/>
  <c r="J540" i="10"/>
  <c r="J727" i="10"/>
  <c r="J1371" i="10"/>
  <c r="J720" i="10"/>
  <c r="J1472" i="10"/>
  <c r="J1096" i="10"/>
  <c r="J1883" i="10"/>
  <c r="J2103" i="10"/>
  <c r="J34" i="10"/>
  <c r="J518" i="10"/>
  <c r="J712" i="10"/>
  <c r="J1135" i="10"/>
  <c r="J1502" i="10"/>
  <c r="J1205" i="10"/>
  <c r="J1950" i="10"/>
  <c r="J287" i="10"/>
  <c r="J843" i="10"/>
  <c r="J246" i="10"/>
  <c r="J1127" i="10"/>
  <c r="J2210" i="10"/>
  <c r="J1268" i="10"/>
  <c r="J2265" i="10"/>
  <c r="J1765" i="10"/>
  <c r="J799" i="10"/>
  <c r="J289" i="10"/>
  <c r="J1008" i="10"/>
  <c r="J2714" i="10"/>
  <c r="J2656" i="10"/>
  <c r="J2956" i="10"/>
  <c r="J1885" i="10"/>
  <c r="J1955" i="10"/>
  <c r="J2611" i="10"/>
  <c r="J1775" i="10"/>
  <c r="J2782" i="10"/>
  <c r="J2769" i="10"/>
  <c r="J565" i="10"/>
  <c r="J2258" i="10"/>
  <c r="J1331" i="10"/>
  <c r="J3247" i="10"/>
  <c r="J2261" i="10"/>
  <c r="J1864" i="10"/>
  <c r="J2994" i="10"/>
  <c r="J2568" i="10"/>
  <c r="J1458" i="10"/>
  <c r="J2275" i="10"/>
  <c r="J3294" i="10"/>
  <c r="J1744" i="10"/>
  <c r="J2520" i="10"/>
  <c r="J2446" i="10"/>
  <c r="J1170" i="10"/>
  <c r="J2740" i="10"/>
  <c r="J2959" i="10"/>
  <c r="J1533" i="10"/>
  <c r="J1394" i="10"/>
  <c r="J2080" i="10"/>
  <c r="J1480" i="10"/>
  <c r="J39" i="10"/>
  <c r="J58" i="10"/>
  <c r="J1684" i="10"/>
  <c r="J1670" i="10"/>
  <c r="J2418" i="10"/>
  <c r="J1062" i="10"/>
  <c r="J2070" i="10"/>
  <c r="J695" i="10"/>
  <c r="J806" i="10"/>
  <c r="J1314" i="10"/>
  <c r="J1716" i="10"/>
  <c r="J1779" i="10"/>
  <c r="J1441" i="10"/>
  <c r="J828" i="10"/>
  <c r="J196" i="10"/>
  <c r="J485" i="10"/>
  <c r="J2497" i="10"/>
  <c r="J2219" i="10"/>
  <c r="J2012" i="10"/>
  <c r="J1075" i="10"/>
  <c r="J272" i="10"/>
  <c r="J612" i="10"/>
  <c r="J1450" i="10"/>
  <c r="J2917" i="10"/>
  <c r="J2373" i="10"/>
  <c r="J1489" i="10"/>
  <c r="J248" i="10"/>
  <c r="J1021" i="10"/>
  <c r="J371" i="10"/>
  <c r="J378" i="10"/>
  <c r="J2530" i="10"/>
  <c r="J1867" i="10"/>
  <c r="J545" i="10"/>
  <c r="J997" i="10"/>
  <c r="J178" i="10"/>
  <c r="J1671" i="10"/>
  <c r="J635" i="10"/>
  <c r="J2711" i="10"/>
  <c r="J594" i="10"/>
  <c r="J1872" i="10"/>
  <c r="J430" i="10"/>
  <c r="J1581" i="10"/>
  <c r="J986" i="10"/>
  <c r="J3183" i="10"/>
  <c r="J339" i="10"/>
  <c r="J2266" i="10"/>
  <c r="J406" i="10"/>
  <c r="J183" i="10"/>
  <c r="J593" i="10"/>
  <c r="J1161" i="10"/>
  <c r="J1601" i="10"/>
  <c r="J1767" i="10"/>
  <c r="J1051" i="10"/>
  <c r="J447" i="10"/>
  <c r="J761" i="10"/>
  <c r="J1558" i="10"/>
  <c r="J1868" i="10"/>
  <c r="J1105" i="10"/>
  <c r="J3336" i="10"/>
  <c r="J340" i="10"/>
  <c r="J815" i="10"/>
  <c r="J928" i="10"/>
  <c r="J486" i="10"/>
  <c r="J1731" i="10"/>
  <c r="J832" i="10"/>
  <c r="J2005" i="10"/>
  <c r="J2315" i="10"/>
  <c r="J328" i="10"/>
  <c r="J750" i="10"/>
  <c r="J1088" i="10"/>
  <c r="J1416" i="10"/>
  <c r="J1307" i="10"/>
  <c r="J1984" i="10"/>
  <c r="J3151" i="10"/>
  <c r="J316" i="10"/>
  <c r="J1998" i="10"/>
  <c r="J1118" i="10"/>
  <c r="J2112" i="10"/>
  <c r="J1288" i="10"/>
  <c r="J913" i="10"/>
  <c r="J70" i="10"/>
  <c r="J1131" i="10"/>
  <c r="J2140" i="10"/>
  <c r="J1039" i="10"/>
  <c r="J669" i="10"/>
  <c r="J362" i="10"/>
  <c r="J562" i="10"/>
  <c r="J1438" i="10"/>
  <c r="J102" i="10"/>
  <c r="J1592" i="10"/>
  <c r="J2042" i="10"/>
  <c r="J2648" i="10"/>
  <c r="J229" i="10"/>
  <c r="J416" i="10"/>
  <c r="J335" i="10"/>
  <c r="J1342" i="10"/>
  <c r="J1013" i="10"/>
  <c r="J1349" i="10"/>
  <c r="J1946" i="10"/>
  <c r="J2552" i="10"/>
  <c r="J133" i="10"/>
  <c r="J660" i="10"/>
  <c r="J980" i="10"/>
  <c r="J1203" i="10"/>
  <c r="J1027" i="10"/>
  <c r="J1204" i="10"/>
  <c r="J1239" i="10"/>
  <c r="J1475" i="10"/>
  <c r="J697" i="10"/>
  <c r="J872" i="10"/>
  <c r="J1113" i="10"/>
  <c r="J544" i="10"/>
  <c r="J2202" i="10"/>
  <c r="J1322" i="10"/>
  <c r="J1447" i="10"/>
  <c r="J1756" i="10"/>
  <c r="J407" i="10"/>
  <c r="J687" i="10"/>
  <c r="J78" i="10"/>
  <c r="J1565" i="10"/>
  <c r="J2030" i="10"/>
  <c r="J524" i="10"/>
  <c r="J2279" i="10"/>
  <c r="J2448" i="10"/>
  <c r="J3337" i="10"/>
  <c r="J3097" i="10"/>
  <c r="J2585" i="10"/>
  <c r="J2794" i="10"/>
  <c r="J580" i="10"/>
  <c r="J3259" i="10"/>
  <c r="J2326" i="10"/>
  <c r="J2783" i="10"/>
  <c r="J1797" i="10"/>
  <c r="J2395" i="10"/>
  <c r="J2795" i="10"/>
  <c r="J2284" i="10"/>
  <c r="J1158" i="10"/>
  <c r="J1250" i="10"/>
  <c r="J3296" i="10"/>
  <c r="J3209" i="10"/>
  <c r="J2518" i="10"/>
  <c r="J241" i="10"/>
  <c r="J2748" i="10"/>
  <c r="J2988" i="10"/>
  <c r="J2798" i="10"/>
  <c r="J2058" i="10"/>
  <c r="J2920" i="10"/>
  <c r="J851" i="10"/>
  <c r="J1168" i="10"/>
  <c r="J1143" i="10"/>
  <c r="J2739" i="10"/>
  <c r="J2109" i="10"/>
  <c r="J756" i="10"/>
  <c r="J2699" i="10"/>
  <c r="J802" i="10"/>
  <c r="J868" i="10"/>
  <c r="J2440" i="10"/>
  <c r="J1904" i="10"/>
  <c r="J889" i="10"/>
  <c r="J919" i="10"/>
  <c r="J2278" i="10"/>
  <c r="J321" i="10"/>
  <c r="J1554" i="10"/>
  <c r="J1482" i="10"/>
  <c r="J1276" i="10"/>
  <c r="J322" i="10"/>
  <c r="J673" i="10"/>
  <c r="J3201" i="10"/>
  <c r="J2077" i="10"/>
  <c r="J1483" i="10"/>
  <c r="J1000" i="10"/>
  <c r="J671" i="10"/>
  <c r="J75" i="10"/>
  <c r="J603" i="10"/>
  <c r="J1405" i="10"/>
  <c r="J2038" i="10"/>
  <c r="J1481" i="10"/>
  <c r="J1742" i="10"/>
  <c r="J127" i="10"/>
  <c r="J455" i="10"/>
  <c r="J1317" i="10"/>
  <c r="J2653" i="10"/>
  <c r="J1860" i="10"/>
  <c r="J1164" i="10"/>
  <c r="J103" i="10"/>
  <c r="J864" i="10"/>
  <c r="J1618" i="10"/>
  <c r="J233" i="10"/>
  <c r="J2365" i="10"/>
  <c r="J1578" i="10"/>
  <c r="J2256" i="10"/>
  <c r="J840" i="10"/>
  <c r="J32" i="10"/>
  <c r="J642" i="10"/>
  <c r="J1198" i="10"/>
  <c r="J2659" i="10"/>
  <c r="J2540" i="10"/>
  <c r="J2583" i="10"/>
  <c r="J284" i="10"/>
  <c r="J994" i="10"/>
  <c r="J166" i="10"/>
  <c r="J1913" i="10"/>
  <c r="J440" i="10"/>
  <c r="J2847" i="10"/>
  <c r="J260" i="10"/>
  <c r="J14" i="10"/>
  <c r="J28" i="10"/>
  <c r="J1419" i="10"/>
  <c r="J2120" i="10"/>
  <c r="J1759" i="10"/>
  <c r="J2086" i="10"/>
  <c r="J278" i="10"/>
  <c r="J388" i="10"/>
  <c r="J1425" i="10"/>
  <c r="J2105" i="10"/>
  <c r="J1597" i="10"/>
  <c r="J3076" i="10"/>
  <c r="J93" i="10"/>
  <c r="J442" i="10"/>
  <c r="J1689" i="10"/>
  <c r="J341" i="10"/>
  <c r="J1530" i="10"/>
  <c r="J749" i="10"/>
  <c r="J2234" i="10"/>
  <c r="J3242" i="10"/>
  <c r="J1014" i="10"/>
  <c r="J574" i="10"/>
  <c r="J2043" i="10"/>
  <c r="J2432" i="10"/>
  <c r="J2342" i="10"/>
  <c r="J64" i="10"/>
  <c r="J377" i="10"/>
  <c r="J1174" i="10"/>
  <c r="J1241" i="10"/>
  <c r="J2253" i="10"/>
  <c r="J1736" i="10"/>
  <c r="J487" i="10"/>
  <c r="J253" i="10"/>
  <c r="J195" i="10"/>
  <c r="J1041" i="10"/>
  <c r="J1637" i="10"/>
  <c r="J2118" i="10"/>
  <c r="J1238" i="10"/>
  <c r="J1854" i="10"/>
  <c r="J96" i="10"/>
  <c r="J817" i="10"/>
  <c r="J794" i="10"/>
  <c r="J597" i="10"/>
  <c r="J1388" i="10"/>
  <c r="J2022" i="10"/>
  <c r="J1142" i="10"/>
  <c r="J2399" i="10"/>
  <c r="J830" i="10"/>
  <c r="J239" i="10"/>
  <c r="J1246" i="10"/>
  <c r="J917" i="10"/>
  <c r="J1086" i="10"/>
  <c r="J1837" i="10"/>
  <c r="J2426" i="10"/>
  <c r="J1917" i="10"/>
  <c r="J564" i="10"/>
  <c r="J596" i="10"/>
  <c r="J1107" i="10"/>
  <c r="J2122" i="10"/>
  <c r="J910" i="10"/>
  <c r="J2727" i="10"/>
  <c r="J1228" i="10"/>
  <c r="J601" i="10"/>
  <c r="J776" i="10"/>
  <c r="J1010" i="10"/>
  <c r="J448" i="10"/>
  <c r="J2106" i="10"/>
  <c r="J2332" i="10"/>
  <c r="J1199" i="10"/>
  <c r="J1620" i="10"/>
  <c r="J311" i="10"/>
  <c r="J591" i="10"/>
  <c r="J989" i="10"/>
  <c r="J1316" i="10"/>
  <c r="J2188" i="10"/>
  <c r="J2510" i="10"/>
  <c r="J1989" i="10"/>
  <c r="J348" i="10"/>
  <c r="J535" i="10"/>
  <c r="J1179" i="10"/>
  <c r="J947" i="10"/>
  <c r="J884" i="10"/>
  <c r="J2811" i="10"/>
  <c r="J1444" i="10"/>
  <c r="J1911" i="10"/>
  <c r="J848" i="10"/>
  <c r="J2007" i="10"/>
  <c r="J1842" i="10"/>
  <c r="J1664" i="10"/>
  <c r="J723" i="10"/>
  <c r="J1273" i="10"/>
  <c r="J1958" i="10"/>
  <c r="J685" i="10"/>
  <c r="J890" i="10"/>
  <c r="J1172" i="10"/>
  <c r="J1070" i="10"/>
  <c r="J1519" i="10"/>
  <c r="J944" i="10"/>
  <c r="J674" i="10"/>
  <c r="J3087" i="10"/>
  <c r="J824" i="10"/>
  <c r="J1725" i="10"/>
  <c r="J2034" i="10"/>
  <c r="J36" i="10"/>
  <c r="J522" i="10"/>
  <c r="J2895" i="10"/>
  <c r="J1983" i="10"/>
  <c r="J954" i="10"/>
  <c r="J422" i="10"/>
  <c r="J191" i="10"/>
  <c r="J1102" i="10"/>
  <c r="J1632" i="10"/>
  <c r="J624" i="10"/>
  <c r="J1861" i="10"/>
  <c r="J482" i="10"/>
  <c r="J299" i="10"/>
  <c r="J258" i="10"/>
  <c r="J2375" i="10"/>
  <c r="J1893" i="10"/>
  <c r="J2606" i="10"/>
  <c r="J1739" i="10"/>
  <c r="J101" i="10"/>
  <c r="J218" i="10"/>
  <c r="J1727" i="10"/>
  <c r="J54" i="10"/>
  <c r="J2594" i="10"/>
  <c r="J607" i="10"/>
  <c r="J1343" i="10"/>
  <c r="J559" i="10"/>
  <c r="J2523" i="10"/>
  <c r="J301" i="10"/>
  <c r="J2085" i="10"/>
  <c r="J616" i="10"/>
  <c r="J747" i="10"/>
  <c r="J2130" i="10"/>
  <c r="J132" i="10"/>
  <c r="J1732" i="10"/>
  <c r="J679" i="10"/>
  <c r="J117" i="10"/>
  <c r="J1092" i="10"/>
  <c r="J1335" i="10"/>
  <c r="J18" i="10"/>
  <c r="J935" i="10"/>
  <c r="J444" i="10"/>
  <c r="J1269" i="10"/>
  <c r="J1821" i="10"/>
  <c r="J2014" i="10"/>
  <c r="J578" i="10"/>
  <c r="J825" i="10"/>
  <c r="J1166" i="10"/>
  <c r="J633" i="10"/>
  <c r="J1484" i="10"/>
  <c r="J1852" i="10"/>
  <c r="J859" i="10"/>
  <c r="J386" i="10"/>
  <c r="J631" i="10"/>
  <c r="J2286" i="10"/>
  <c r="J150" i="10"/>
  <c r="J69" i="10"/>
  <c r="J703" i="10"/>
  <c r="J404" i="10"/>
  <c r="J2079" i="10"/>
  <c r="J688" i="10"/>
  <c r="J1052" i="10"/>
  <c r="J1938" i="10"/>
  <c r="J658" i="10"/>
  <c r="J1275" i="10"/>
  <c r="J2158" i="10"/>
  <c r="J326" i="10"/>
  <c r="J2416" i="10"/>
  <c r="J95" i="10"/>
  <c r="J305" i="10"/>
  <c r="J2073" i="10"/>
  <c r="J97" i="10"/>
  <c r="J20" i="10"/>
  <c r="J1660" i="10"/>
  <c r="J349" i="10"/>
  <c r="J336" i="10"/>
  <c r="J213" i="10"/>
  <c r="J1682" i="10"/>
  <c r="J1262" i="10"/>
  <c r="J187" i="10"/>
  <c r="J1376" i="10"/>
  <c r="J445" i="10"/>
  <c r="J60" i="10"/>
  <c r="J855" i="10"/>
  <c r="J1139" i="10"/>
  <c r="J531" i="10"/>
  <c r="J682" i="10"/>
  <c r="J1328" i="10"/>
  <c r="J1076" i="10"/>
  <c r="J1600" i="10"/>
  <c r="J2175" i="10"/>
  <c r="J784" i="10"/>
  <c r="J1421" i="10"/>
  <c r="J627" i="10"/>
  <c r="J1802" i="10"/>
  <c r="J360" i="10"/>
  <c r="J1191" i="10"/>
  <c r="J632" i="10"/>
  <c r="J2907" i="10"/>
  <c r="J1663" i="10"/>
  <c r="J1031" i="10"/>
  <c r="J2169" i="10"/>
  <c r="J193" i="10"/>
  <c r="J2991" i="10"/>
  <c r="J728" i="10"/>
  <c r="J1227" i="10"/>
  <c r="J1220" i="10"/>
  <c r="J458" i="10"/>
  <c r="J1440" i="10"/>
  <c r="J1691" i="10"/>
  <c r="J920" i="10"/>
  <c r="J520" i="10"/>
  <c r="J1415" i="10"/>
  <c r="J651" i="10"/>
  <c r="J970" i="10"/>
  <c r="J1488" i="10"/>
  <c r="J1270" i="10"/>
  <c r="J1128" i="10"/>
  <c r="J583" i="10"/>
  <c r="J2385" i="10"/>
  <c r="T31" i="4"/>
  <c r="T32" i="4" s="1"/>
  <c r="T124" i="7"/>
  <c r="T17" i="4"/>
  <c r="T123" i="7"/>
  <c r="S130" i="4"/>
  <c r="R125" i="4"/>
  <c r="U16" i="9"/>
  <c r="U17" i="9" s="1"/>
  <c r="U162" i="8"/>
  <c r="U58" i="8"/>
  <c r="N127" i="8"/>
  <c r="N31" i="8" s="1"/>
  <c r="N128" i="8"/>
  <c r="N45" i="8" s="1"/>
  <c r="N46" i="8" s="1"/>
  <c r="U35" i="9"/>
  <c r="O19" i="7"/>
  <c r="O11" i="8"/>
  <c r="O13" i="8" s="1"/>
  <c r="O18" i="8" s="1"/>
  <c r="O30" i="7"/>
  <c r="S115" i="7"/>
  <c r="T118" i="7"/>
  <c r="T37" i="4"/>
  <c r="T82" i="7"/>
  <c r="T88" i="4" s="1"/>
  <c r="T89" i="4" s="1"/>
  <c r="T90" i="7"/>
  <c r="T96" i="4" s="1"/>
  <c r="T97" i="4" s="1"/>
  <c r="T65" i="7"/>
  <c r="T72" i="7"/>
  <c r="T68" i="7"/>
  <c r="T100" i="7"/>
  <c r="T92" i="7"/>
  <c r="T98" i="4" s="1"/>
  <c r="T99" i="4" s="1"/>
  <c r="T86" i="7"/>
  <c r="T92" i="4" s="1"/>
  <c r="T93" i="4" s="1"/>
  <c r="T141" i="7"/>
  <c r="T84" i="7"/>
  <c r="T76" i="7"/>
  <c r="T98" i="7"/>
  <c r="T96" i="7"/>
  <c r="T106" i="4" s="1"/>
  <c r="T107" i="4" s="1"/>
  <c r="T88" i="7"/>
  <c r="T94" i="4" s="1"/>
  <c r="T95" i="4" s="1"/>
  <c r="T74" i="7"/>
  <c r="T70" i="7"/>
  <c r="T66" i="7"/>
  <c r="T80" i="7"/>
  <c r="T78" i="7"/>
  <c r="T84" i="4" s="1"/>
  <c r="T85" i="4" s="1"/>
  <c r="T94" i="7"/>
  <c r="T100" i="4" s="1"/>
  <c r="T101" i="4" s="1"/>
  <c r="Q38" i="8"/>
  <c r="R72" i="4"/>
  <c r="R73" i="4" s="1"/>
  <c r="S80" i="4"/>
  <c r="S136" i="7"/>
  <c r="S90" i="8"/>
  <c r="Q20" i="7"/>
  <c r="Q147" i="7"/>
  <c r="Q114" i="7"/>
  <c r="S33" i="4"/>
  <c r="S34" i="4" s="1"/>
  <c r="S56" i="4"/>
  <c r="S33" i="9" s="1"/>
  <c r="T34" i="9"/>
  <c r="T119" i="7"/>
  <c r="T38" i="4"/>
  <c r="Q33" i="8"/>
  <c r="Q36" i="8"/>
  <c r="P107" i="7"/>
  <c r="P103" i="7"/>
  <c r="S122" i="7"/>
  <c r="S155" i="7" s="1"/>
  <c r="R100" i="8"/>
  <c r="O129" i="8"/>
  <c r="U64" i="7"/>
  <c r="U48" i="7"/>
  <c r="U40" i="7"/>
  <c r="U62" i="7"/>
  <c r="U43" i="4" s="1"/>
  <c r="U11" i="4"/>
  <c r="U46" i="7"/>
  <c r="U60" i="7"/>
  <c r="U44" i="7"/>
  <c r="U50" i="7"/>
  <c r="U58" i="7"/>
  <c r="U52" i="7"/>
  <c r="U126" i="7" s="1"/>
  <c r="U42" i="7"/>
  <c r="U56" i="7"/>
  <c r="U121" i="7"/>
  <c r="U54" i="7"/>
  <c r="U39" i="7"/>
  <c r="S139" i="7"/>
  <c r="S79" i="4"/>
  <c r="P36" i="8"/>
  <c r="P33" i="8"/>
  <c r="P34" i="8" s="1"/>
  <c r="T32" i="9"/>
  <c r="P22" i="7"/>
  <c r="P23" i="7" s="1"/>
  <c r="P163" i="7"/>
  <c r="P131" i="7"/>
  <c r="S76" i="4"/>
  <c r="S137" i="7"/>
  <c r="S102" i="8"/>
  <c r="S135" i="7"/>
  <c r="S75" i="4"/>
  <c r="N11" i="8"/>
  <c r="N13" i="8" s="1"/>
  <c r="N18" i="8" s="1"/>
  <c r="N30" i="7"/>
  <c r="T19" i="4"/>
  <c r="T20" i="4" s="1"/>
  <c r="T125" i="7"/>
  <c r="T127" i="7"/>
  <c r="R16" i="4"/>
  <c r="R13" i="4" s="1"/>
  <c r="R12" i="4" s="1"/>
  <c r="R68" i="4" l="1"/>
  <c r="R91" i="4" s="1"/>
  <c r="V108" i="4"/>
  <c r="V110" i="4"/>
  <c r="V120" i="4"/>
  <c r="U108" i="4"/>
  <c r="U110" i="4"/>
  <c r="U120" i="4"/>
  <c r="Q127" i="4"/>
  <c r="U117" i="7"/>
  <c r="U36" i="4"/>
  <c r="T90" i="4"/>
  <c r="T142" i="7"/>
  <c r="S113" i="7"/>
  <c r="S148" i="7"/>
  <c r="V38" i="4"/>
  <c r="V119" i="7"/>
  <c r="O10" i="9"/>
  <c r="O32" i="7"/>
  <c r="O31" i="7"/>
  <c r="S133" i="7"/>
  <c r="S132" i="7" s="1"/>
  <c r="V116" i="7"/>
  <c r="V120" i="7"/>
  <c r="V35" i="4"/>
  <c r="P18" i="7"/>
  <c r="P12" i="7" s="1"/>
  <c r="O158" i="8"/>
  <c r="R235" i="8"/>
  <c r="S237" i="8" s="1"/>
  <c r="R102" i="7"/>
  <c r="R126" i="4"/>
  <c r="R52" i="9"/>
  <c r="R57" i="9" s="1"/>
  <c r="S77" i="4"/>
  <c r="S72" i="4" s="1"/>
  <c r="S73" i="4" s="1"/>
  <c r="V14" i="4"/>
  <c r="V57" i="4"/>
  <c r="V52" i="4"/>
  <c r="V45" i="4"/>
  <c r="V61" i="4"/>
  <c r="V50" i="4"/>
  <c r="V59" i="4"/>
  <c r="V65" i="4"/>
  <c r="V67" i="4" s="1"/>
  <c r="P129" i="8"/>
  <c r="U127" i="7"/>
  <c r="U125" i="7"/>
  <c r="U19" i="4"/>
  <c r="U20" i="4" s="1"/>
  <c r="R98" i="8"/>
  <c r="R35" i="8" s="1"/>
  <c r="R99" i="8"/>
  <c r="R37" i="8" s="1"/>
  <c r="R38" i="8" s="1"/>
  <c r="T130" i="4"/>
  <c r="S125" i="4"/>
  <c r="V123" i="7"/>
  <c r="V17" i="4"/>
  <c r="U39" i="4"/>
  <c r="U40" i="4" s="1"/>
  <c r="U129" i="7"/>
  <c r="Q21" i="7"/>
  <c r="T86" i="4"/>
  <c r="T87" i="4" s="1"/>
  <c r="T138" i="7"/>
  <c r="T122" i="7"/>
  <c r="T155" i="7" s="1"/>
  <c r="S100" i="8"/>
  <c r="V66" i="7"/>
  <c r="V70" i="7"/>
  <c r="V68" i="7"/>
  <c r="V98" i="7"/>
  <c r="V92" i="7"/>
  <c r="V98" i="4" s="1"/>
  <c r="V99" i="4" s="1"/>
  <c r="V82" i="7"/>
  <c r="V88" i="4" s="1"/>
  <c r="V89" i="4" s="1"/>
  <c r="V100" i="7"/>
  <c r="V76" i="7"/>
  <c r="V65" i="7"/>
  <c r="V88" i="7"/>
  <c r="V94" i="4" s="1"/>
  <c r="V95" i="4" s="1"/>
  <c r="V86" i="7"/>
  <c r="V92" i="4" s="1"/>
  <c r="V93" i="4" s="1"/>
  <c r="V141" i="7"/>
  <c r="V72" i="7"/>
  <c r="V84" i="7"/>
  <c r="V94" i="7"/>
  <c r="V100" i="4" s="1"/>
  <c r="V101" i="4" s="1"/>
  <c r="V90" i="7"/>
  <c r="V96" i="4" s="1"/>
  <c r="V97" i="4" s="1"/>
  <c r="V80" i="7"/>
  <c r="V74" i="7"/>
  <c r="V96" i="7"/>
  <c r="V106" i="4" s="1"/>
  <c r="V107" i="4" s="1"/>
  <c r="V78" i="7"/>
  <c r="V84" i="4" s="1"/>
  <c r="V85" i="4" s="1"/>
  <c r="T33" i="4"/>
  <c r="T34" i="4" s="1"/>
  <c r="N10" i="9"/>
  <c r="N32" i="7"/>
  <c r="N31" i="7"/>
  <c r="U37" i="4"/>
  <c r="U118" i="7"/>
  <c r="U128" i="7"/>
  <c r="U41" i="4"/>
  <c r="U42" i="4" s="1"/>
  <c r="S86" i="8"/>
  <c r="S27" i="8" s="1"/>
  <c r="S28" i="8" s="1"/>
  <c r="S87" i="8"/>
  <c r="S29" i="8" s="1"/>
  <c r="S30" i="8" s="1"/>
  <c r="S85" i="8"/>
  <c r="S25" i="8" s="1"/>
  <c r="T74" i="4"/>
  <c r="T101" i="8"/>
  <c r="T140" i="7"/>
  <c r="T75" i="4"/>
  <c r="T102" i="8"/>
  <c r="T135" i="7"/>
  <c r="T18" i="4"/>
  <c r="V44" i="4"/>
  <c r="V17" i="9"/>
  <c r="T115" i="7"/>
  <c r="S16" i="4"/>
  <c r="S13" i="4" s="1"/>
  <c r="S12" i="4" s="1"/>
  <c r="U38" i="4"/>
  <c r="U119" i="7"/>
  <c r="T76" i="4"/>
  <c r="T137" i="7"/>
  <c r="T134" i="7"/>
  <c r="T78" i="4"/>
  <c r="Q103" i="7"/>
  <c r="Q107" i="7"/>
  <c r="V128" i="7"/>
  <c r="V41" i="4"/>
  <c r="V42" i="4" s="1"/>
  <c r="T56" i="4"/>
  <c r="T33" i="9" s="1"/>
  <c r="R20" i="7"/>
  <c r="R114" i="7"/>
  <c r="R147" i="7"/>
  <c r="T79" i="4"/>
  <c r="T139" i="7"/>
  <c r="V124" i="7"/>
  <c r="V31" i="4"/>
  <c r="V32" i="4" s="1"/>
  <c r="N158" i="8"/>
  <c r="Q34" i="8"/>
  <c r="V125" i="7"/>
  <c r="V127" i="7"/>
  <c r="V19" i="4"/>
  <c r="V20" i="4" s="1"/>
  <c r="R26" i="8"/>
  <c r="R21" i="8"/>
  <c r="U14" i="4"/>
  <c r="U52" i="4"/>
  <c r="U65" i="4"/>
  <c r="U67" i="4" s="1"/>
  <c r="U61" i="4"/>
  <c r="U45" i="4"/>
  <c r="U57" i="4"/>
  <c r="U59" i="4"/>
  <c r="U50" i="4"/>
  <c r="U44" i="4"/>
  <c r="V129" i="7"/>
  <c r="V39" i="4"/>
  <c r="V40" i="4" s="1"/>
  <c r="Q22" i="8"/>
  <c r="Q129" i="8"/>
  <c r="Q163" i="7"/>
  <c r="Q131" i="7"/>
  <c r="Q22" i="7"/>
  <c r="Q23" i="7" s="1"/>
  <c r="V118" i="7"/>
  <c r="V37" i="4"/>
  <c r="O128" i="8"/>
  <c r="O45" i="8" s="1"/>
  <c r="O46" i="8" s="1"/>
  <c r="O127" i="8"/>
  <c r="O31" i="8" s="1"/>
  <c r="U116" i="7"/>
  <c r="U35" i="4"/>
  <c r="U120" i="7"/>
  <c r="N32" i="8"/>
  <c r="N19" i="8"/>
  <c r="U17" i="4"/>
  <c r="U123" i="7"/>
  <c r="U124" i="7"/>
  <c r="U31" i="4"/>
  <c r="U32" i="4" s="1"/>
  <c r="U76" i="7"/>
  <c r="U96" i="7"/>
  <c r="U106" i="4" s="1"/>
  <c r="U107" i="4" s="1"/>
  <c r="U66" i="7"/>
  <c r="U90" i="7"/>
  <c r="U96" i="4" s="1"/>
  <c r="U97" i="4" s="1"/>
  <c r="U92" i="7"/>
  <c r="U98" i="4" s="1"/>
  <c r="U99" i="4" s="1"/>
  <c r="U141" i="7"/>
  <c r="U74" i="7"/>
  <c r="U65" i="7"/>
  <c r="U72" i="7"/>
  <c r="U80" i="7"/>
  <c r="U70" i="7"/>
  <c r="U94" i="7"/>
  <c r="U100" i="4" s="1"/>
  <c r="U101" i="4" s="1"/>
  <c r="U98" i="7"/>
  <c r="U68" i="7"/>
  <c r="U78" i="7"/>
  <c r="U84" i="4" s="1"/>
  <c r="U85" i="4" s="1"/>
  <c r="U100" i="7"/>
  <c r="U84" i="7"/>
  <c r="U88" i="7"/>
  <c r="U94" i="4" s="1"/>
  <c r="U95" i="4" s="1"/>
  <c r="U86" i="7"/>
  <c r="U92" i="4" s="1"/>
  <c r="U93" i="4" s="1"/>
  <c r="U82" i="7"/>
  <c r="U88" i="4" s="1"/>
  <c r="U89" i="4" s="1"/>
  <c r="T90" i="8"/>
  <c r="T80" i="4"/>
  <c r="T136" i="7"/>
  <c r="V36" i="4"/>
  <c r="V117" i="7"/>
  <c r="R165" i="7"/>
  <c r="R164" i="7"/>
  <c r="R130" i="7"/>
  <c r="S68" i="4" l="1"/>
  <c r="S91" i="4"/>
  <c r="R127" i="4"/>
  <c r="U122" i="7"/>
  <c r="U155" i="7" s="1"/>
  <c r="T133" i="7"/>
  <c r="T132" i="7" s="1"/>
  <c r="V90" i="4"/>
  <c r="V142" i="7"/>
  <c r="V76" i="4"/>
  <c r="V137" i="7"/>
  <c r="S235" i="8"/>
  <c r="T237" i="8" s="1"/>
  <c r="S102" i="7"/>
  <c r="S126" i="4"/>
  <c r="S52" i="9"/>
  <c r="S57" i="9" s="1"/>
  <c r="S147" i="7"/>
  <c r="S114" i="7"/>
  <c r="S20" i="7"/>
  <c r="T125" i="4"/>
  <c r="N11" i="9"/>
  <c r="P19" i="7"/>
  <c r="P11" i="8"/>
  <c r="P13" i="8" s="1"/>
  <c r="P18" i="8" s="1"/>
  <c r="P30" i="7"/>
  <c r="V78" i="4"/>
  <c r="V134" i="7"/>
  <c r="R36" i="8"/>
  <c r="R33" i="8"/>
  <c r="R34" i="8" s="1"/>
  <c r="V56" i="4"/>
  <c r="V33" i="4"/>
  <c r="V34" i="4" s="1"/>
  <c r="V34" i="9"/>
  <c r="U56" i="4"/>
  <c r="U142" i="7"/>
  <c r="U90" i="4"/>
  <c r="T100" i="8"/>
  <c r="U140" i="7"/>
  <c r="U101" i="8"/>
  <c r="U74" i="4"/>
  <c r="S26" i="8"/>
  <c r="S21" i="8"/>
  <c r="V80" i="4"/>
  <c r="V136" i="7"/>
  <c r="V90" i="8"/>
  <c r="U18" i="4"/>
  <c r="N12" i="9"/>
  <c r="N13" i="9" s="1"/>
  <c r="N20" i="8"/>
  <c r="N159" i="8"/>
  <c r="N157" i="8" s="1"/>
  <c r="V32" i="9"/>
  <c r="R21" i="7"/>
  <c r="T113" i="7"/>
  <c r="T148" i="7"/>
  <c r="Q18" i="7"/>
  <c r="Q12" i="7" s="1"/>
  <c r="V115" i="7"/>
  <c r="S98" i="8"/>
  <c r="S35" i="8" s="1"/>
  <c r="S99" i="8"/>
  <c r="S37" i="8" s="1"/>
  <c r="S38" i="8" s="1"/>
  <c r="R129" i="8"/>
  <c r="R22" i="8"/>
  <c r="V139" i="7"/>
  <c r="V79" i="4"/>
  <c r="S130" i="7"/>
  <c r="S164" i="7"/>
  <c r="S165" i="7"/>
  <c r="V140" i="7"/>
  <c r="V101" i="8"/>
  <c r="V74" i="4"/>
  <c r="R22" i="7"/>
  <c r="R23" i="7" s="1"/>
  <c r="R163" i="7"/>
  <c r="R131" i="7"/>
  <c r="U34" i="9"/>
  <c r="U130" i="4" s="1"/>
  <c r="U102" i="8"/>
  <c r="U75" i="4"/>
  <c r="U135" i="7"/>
  <c r="U115" i="7"/>
  <c r="O32" i="8"/>
  <c r="O19" i="8"/>
  <c r="V86" i="4"/>
  <c r="V87" i="4" s="1"/>
  <c r="V138" i="7"/>
  <c r="U139" i="7"/>
  <c r="U79" i="4"/>
  <c r="Q127" i="8"/>
  <c r="Q31" i="8" s="1"/>
  <c r="Q128" i="8"/>
  <c r="Q45" i="8" s="1"/>
  <c r="U33" i="4"/>
  <c r="U34" i="4" s="1"/>
  <c r="U136" i="7"/>
  <c r="U90" i="8"/>
  <c r="U80" i="4"/>
  <c r="N137" i="8"/>
  <c r="N136" i="8" s="1"/>
  <c r="N53" i="8" s="1"/>
  <c r="U76" i="4"/>
  <c r="U137" i="7"/>
  <c r="U86" i="4"/>
  <c r="U87" i="4" s="1"/>
  <c r="U138" i="7"/>
  <c r="U32" i="9"/>
  <c r="V18" i="4"/>
  <c r="P128" i="8"/>
  <c r="P45" i="8" s="1"/>
  <c r="P46" i="8" s="1"/>
  <c r="P127" i="8"/>
  <c r="P31" i="8" s="1"/>
  <c r="T86" i="8"/>
  <c r="T27" i="8" s="1"/>
  <c r="T28" i="8" s="1"/>
  <c r="T85" i="8"/>
  <c r="T25" i="8" s="1"/>
  <c r="T87" i="8"/>
  <c r="T29" i="8" s="1"/>
  <c r="T30" i="8" s="1"/>
  <c r="U134" i="7"/>
  <c r="U78" i="4"/>
  <c r="T77" i="4"/>
  <c r="T72" i="4" s="1"/>
  <c r="T73" i="4" s="1"/>
  <c r="T16" i="4"/>
  <c r="T13" i="4" s="1"/>
  <c r="T12" i="4" s="1"/>
  <c r="V135" i="7"/>
  <c r="V102" i="8"/>
  <c r="V75" i="4"/>
  <c r="V122" i="7"/>
  <c r="V155" i="7" s="1"/>
  <c r="R107" i="7"/>
  <c r="R103" i="7"/>
  <c r="O11" i="9"/>
  <c r="T68" i="4" l="1"/>
  <c r="T91" i="4" s="1"/>
  <c r="U100" i="8"/>
  <c r="V77" i="4"/>
  <c r="U33" i="9"/>
  <c r="V72" i="4"/>
  <c r="V73" i="4" s="1"/>
  <c r="V100" i="8"/>
  <c r="V98" i="8" s="1"/>
  <c r="V35" i="8" s="1"/>
  <c r="S107" i="7"/>
  <c r="S103" i="7"/>
  <c r="V33" i="9"/>
  <c r="W32" i="9"/>
  <c r="U125" i="4"/>
  <c r="V130" i="4"/>
  <c r="V125" i="4" s="1"/>
  <c r="R128" i="8"/>
  <c r="R45" i="8" s="1"/>
  <c r="R46" i="8" s="1"/>
  <c r="R127" i="8"/>
  <c r="R31" i="8" s="1"/>
  <c r="T99" i="8"/>
  <c r="T37" i="8" s="1"/>
  <c r="T38" i="8" s="1"/>
  <c r="T98" i="8"/>
  <c r="T35" i="8" s="1"/>
  <c r="U98" i="8"/>
  <c r="U35" i="8" s="1"/>
  <c r="U99" i="8"/>
  <c r="U37" i="8" s="1"/>
  <c r="V16" i="4"/>
  <c r="V13" i="4" s="1"/>
  <c r="V12" i="4" s="1"/>
  <c r="Q30" i="7"/>
  <c r="Q11" i="8"/>
  <c r="Q13" i="8" s="1"/>
  <c r="Q18" i="8" s="1"/>
  <c r="Q19" i="7"/>
  <c r="U87" i="8"/>
  <c r="U29" i="8" s="1"/>
  <c r="U30" i="8" s="1"/>
  <c r="U86" i="8"/>
  <c r="U27" i="8" s="1"/>
  <c r="U28" i="8" s="1"/>
  <c r="U85" i="8"/>
  <c r="U25" i="8" s="1"/>
  <c r="V113" i="7"/>
  <c r="V148" i="7"/>
  <c r="S21" i="7"/>
  <c r="V133" i="7"/>
  <c r="V132" i="7" s="1"/>
  <c r="T165" i="7"/>
  <c r="T164" i="7"/>
  <c r="T130" i="7"/>
  <c r="U77" i="4"/>
  <c r="U72" i="4" s="1"/>
  <c r="U73" i="4" s="1"/>
  <c r="U16" i="4"/>
  <c r="U13" i="4" s="1"/>
  <c r="U12" i="4" s="1"/>
  <c r="T26" i="8"/>
  <c r="T21" i="8"/>
  <c r="S22" i="7"/>
  <c r="S23" i="7" s="1"/>
  <c r="S131" i="7"/>
  <c r="S163" i="7"/>
  <c r="T20" i="7"/>
  <c r="T147" i="7"/>
  <c r="T114" i="7"/>
  <c r="P32" i="8"/>
  <c r="P19" i="8"/>
  <c r="P137" i="8" s="1"/>
  <c r="P136" i="8" s="1"/>
  <c r="P53" i="8" s="1"/>
  <c r="S36" i="8"/>
  <c r="S33" i="8"/>
  <c r="S34" i="8" s="1"/>
  <c r="O20" i="8"/>
  <c r="O159" i="8"/>
  <c r="O157" i="8" s="1"/>
  <c r="O12" i="9"/>
  <c r="O137" i="8"/>
  <c r="O136" i="8" s="1"/>
  <c r="O53" i="8" s="1"/>
  <c r="U133" i="7"/>
  <c r="U132" i="7" s="1"/>
  <c r="P10" i="9"/>
  <c r="P32" i="7"/>
  <c r="P31" i="7"/>
  <c r="T235" i="8"/>
  <c r="U237" i="8" s="1"/>
  <c r="T102" i="7"/>
  <c r="T52" i="9"/>
  <c r="T57" i="9" s="1"/>
  <c r="T126" i="4"/>
  <c r="Q46" i="8"/>
  <c r="Q32" i="8"/>
  <c r="Q19" i="8"/>
  <c r="P158" i="8"/>
  <c r="S127" i="4"/>
  <c r="U148" i="7"/>
  <c r="U113" i="7"/>
  <c r="V86" i="8"/>
  <c r="V27" i="8" s="1"/>
  <c r="V85" i="8"/>
  <c r="V25" i="8" s="1"/>
  <c r="V87" i="8"/>
  <c r="V29" i="8" s="1"/>
  <c r="N144" i="8"/>
  <c r="N143" i="8" s="1"/>
  <c r="N55" i="8" s="1"/>
  <c r="N56" i="8" s="1"/>
  <c r="N54" i="8"/>
  <c r="R18" i="7"/>
  <c r="R12" i="7" s="1"/>
  <c r="S22" i="8"/>
  <c r="U68" i="4" l="1"/>
  <c r="V68" i="4"/>
  <c r="V91" i="4"/>
  <c r="U91" i="4"/>
  <c r="T127" i="4"/>
  <c r="V99" i="8"/>
  <c r="V37" i="8" s="1"/>
  <c r="V38" i="8" s="1"/>
  <c r="V28" i="8"/>
  <c r="S129" i="8"/>
  <c r="S128" i="8" s="1"/>
  <c r="S45" i="8" s="1"/>
  <c r="S46" i="8" s="1"/>
  <c r="P144" i="8"/>
  <c r="P143" i="8" s="1"/>
  <c r="P55" i="8" s="1"/>
  <c r="P47" i="8" s="1"/>
  <c r="P54" i="8"/>
  <c r="R32" i="8"/>
  <c r="R19" i="8"/>
  <c r="U235" i="8"/>
  <c r="V237" i="8" s="1"/>
  <c r="U126" i="4"/>
  <c r="U52" i="9"/>
  <c r="U57" i="9" s="1"/>
  <c r="U102" i="7"/>
  <c r="V30" i="8"/>
  <c r="V26" i="8"/>
  <c r="V21" i="8"/>
  <c r="U165" i="7"/>
  <c r="U164" i="7"/>
  <c r="U130" i="7"/>
  <c r="O13" i="9"/>
  <c r="H2168" i="10"/>
  <c r="I2168" i="10" s="1"/>
  <c r="H601" i="10"/>
  <c r="I601" i="10" s="1"/>
  <c r="H1775" i="10"/>
  <c r="I1775" i="10" s="1"/>
  <c r="H1533" i="10"/>
  <c r="I1533" i="10" s="1"/>
  <c r="H239" i="10"/>
  <c r="I239" i="10" s="1"/>
  <c r="H891" i="10"/>
  <c r="I891" i="10" s="1"/>
  <c r="H2552" i="10"/>
  <c r="I2552" i="10" s="1"/>
  <c r="H2207" i="10"/>
  <c r="I2207" i="10" s="1"/>
  <c r="H948" i="10"/>
  <c r="I948" i="10" s="1"/>
  <c r="H781" i="10"/>
  <c r="I781" i="10" s="1"/>
  <c r="H690" i="10"/>
  <c r="I690" i="10" s="1"/>
  <c r="H1614" i="10"/>
  <c r="I1614" i="10" s="1"/>
  <c r="H1514" i="10"/>
  <c r="I1514" i="10" s="1"/>
  <c r="H1138" i="10"/>
  <c r="I1138" i="10" s="1"/>
  <c r="H1410" i="10"/>
  <c r="I1410" i="10" s="1"/>
  <c r="H1685" i="10"/>
  <c r="I1685" i="10" s="1"/>
  <c r="H2576" i="10"/>
  <c r="I2576" i="10" s="1"/>
  <c r="H1136" i="10"/>
  <c r="I1136" i="10" s="1"/>
  <c r="H858" i="10"/>
  <c r="I858" i="10" s="1"/>
  <c r="H1798" i="10"/>
  <c r="I1798" i="10" s="1"/>
  <c r="H908" i="10"/>
  <c r="I908" i="10" s="1"/>
  <c r="H2339" i="10"/>
  <c r="I2339" i="10" s="1"/>
  <c r="H1372" i="10"/>
  <c r="I1372" i="10" s="1"/>
  <c r="H1972" i="10"/>
  <c r="I1972" i="10" s="1"/>
  <c r="H1140" i="10"/>
  <c r="I1140" i="10" s="1"/>
  <c r="H910" i="10"/>
  <c r="I910" i="10" s="1"/>
  <c r="H1396" i="10"/>
  <c r="I1396" i="10" s="1"/>
  <c r="H1660" i="10"/>
  <c r="I1660" i="10" s="1"/>
  <c r="H369" i="10"/>
  <c r="I369" i="10" s="1"/>
  <c r="H571" i="10"/>
  <c r="I571" i="10" s="1"/>
  <c r="H814" i="10"/>
  <c r="I814" i="10" s="1"/>
  <c r="H813" i="10"/>
  <c r="I813" i="10" s="1"/>
  <c r="H426" i="10"/>
  <c r="I426" i="10" s="1"/>
  <c r="H2426" i="10"/>
  <c r="I2426" i="10" s="1"/>
  <c r="H1112" i="10"/>
  <c r="I1112" i="10" s="1"/>
  <c r="H1453" i="10"/>
  <c r="I1453" i="10" s="1"/>
  <c r="H931" i="10"/>
  <c r="I931" i="10" s="1"/>
  <c r="H215" i="10"/>
  <c r="I215" i="10" s="1"/>
  <c r="H1493" i="10"/>
  <c r="I1493" i="10" s="1"/>
  <c r="H1960" i="10"/>
  <c r="I1960" i="10" s="1"/>
  <c r="H975" i="10"/>
  <c r="I975" i="10" s="1"/>
  <c r="H469" i="10"/>
  <c r="I469" i="10" s="1"/>
  <c r="H1252" i="10"/>
  <c r="I1252" i="10" s="1"/>
  <c r="H693" i="10"/>
  <c r="I693" i="10" s="1"/>
  <c r="H527" i="10"/>
  <c r="I527" i="10" s="1"/>
  <c r="H1582" i="10"/>
  <c r="I1582" i="10" s="1"/>
  <c r="H483" i="10"/>
  <c r="I483" i="10" s="1"/>
  <c r="H597" i="10"/>
  <c r="I597" i="10" s="1"/>
  <c r="H2397" i="10"/>
  <c r="I2397" i="10" s="1"/>
  <c r="H1941" i="10"/>
  <c r="I1941" i="10" s="1"/>
  <c r="H667" i="10"/>
  <c r="I667" i="10" s="1"/>
  <c r="H1159" i="10"/>
  <c r="I1159" i="10" s="1"/>
  <c r="H1642" i="10"/>
  <c r="I1642" i="10" s="1"/>
  <c r="H1833" i="10"/>
  <c r="I1833" i="10" s="1"/>
  <c r="H2229" i="10"/>
  <c r="I2229" i="10" s="1"/>
  <c r="H1096" i="10"/>
  <c r="I1096" i="10" s="1"/>
  <c r="H1089" i="10"/>
  <c r="I1089" i="10" s="1"/>
  <c r="H359" i="10"/>
  <c r="I359" i="10" s="1"/>
  <c r="H947" i="10"/>
  <c r="I947" i="10" s="1"/>
  <c r="H2085" i="10"/>
  <c r="I2085" i="10" s="1"/>
  <c r="H912" i="10"/>
  <c r="I912" i="10" s="1"/>
  <c r="H1423" i="10"/>
  <c r="I1423" i="10" s="1"/>
  <c r="H1719" i="10"/>
  <c r="I1719" i="10" s="1"/>
  <c r="H1200" i="10"/>
  <c r="I1200" i="10" s="1"/>
  <c r="H1367" i="10"/>
  <c r="I1367" i="10" s="1"/>
  <c r="H615" i="10"/>
  <c r="I615" i="10" s="1"/>
  <c r="H1164" i="10"/>
  <c r="I1164" i="10" s="1"/>
  <c r="H1904" i="10"/>
  <c r="I1904" i="10" s="1"/>
  <c r="H758" i="10"/>
  <c r="I758" i="10" s="1"/>
  <c r="H471" i="10"/>
  <c r="I471" i="10" s="1"/>
  <c r="H1339" i="10"/>
  <c r="I1339" i="10" s="1"/>
  <c r="H1371" i="10"/>
  <c r="I1371" i="10" s="1"/>
  <c r="H1851" i="10"/>
  <c r="I1851" i="10" s="1"/>
  <c r="H2219" i="10"/>
  <c r="I2219" i="10" s="1"/>
  <c r="H800" i="10"/>
  <c r="I800" i="10" s="1"/>
  <c r="H2206" i="10"/>
  <c r="I2206" i="10" s="1"/>
  <c r="H1937" i="10"/>
  <c r="I1937" i="10" s="1"/>
  <c r="H225" i="10"/>
  <c r="I225" i="10" s="1"/>
  <c r="H1238" i="10"/>
  <c r="I1238" i="10" s="1"/>
  <c r="H1115" i="10"/>
  <c r="I1115" i="10" s="1"/>
  <c r="H1079" i="10"/>
  <c r="I1079" i="10" s="1"/>
  <c r="H909" i="10"/>
  <c r="I909" i="10" s="1"/>
  <c r="H297" i="10"/>
  <c r="I297" i="10" s="1"/>
  <c r="H578" i="10"/>
  <c r="I578" i="10" s="1"/>
  <c r="H829" i="10"/>
  <c r="I829" i="10" s="1"/>
  <c r="H2128" i="10"/>
  <c r="I2128" i="10" s="1"/>
  <c r="H530" i="10"/>
  <c r="I530" i="10" s="1"/>
  <c r="H1659" i="10"/>
  <c r="I1659" i="10" s="1"/>
  <c r="H2051" i="10"/>
  <c r="I2051" i="10" s="1"/>
  <c r="H1084" i="10"/>
  <c r="I1084" i="10" s="1"/>
  <c r="H1470" i="10"/>
  <c r="I1470" i="10" s="1"/>
  <c r="H1484" i="10"/>
  <c r="I1484" i="10" s="1"/>
  <c r="H1070" i="10"/>
  <c r="I1070" i="10" s="1"/>
  <c r="H1090" i="10"/>
  <c r="I1090" i="10" s="1"/>
  <c r="H131" i="10"/>
  <c r="I131" i="10" s="1"/>
  <c r="H1774" i="10"/>
  <c r="I1774" i="10" s="1"/>
  <c r="H2217" i="10"/>
  <c r="I2217" i="10" s="1"/>
  <c r="H1082" i="10"/>
  <c r="I1082" i="10" s="1"/>
  <c r="H1968" i="10"/>
  <c r="I1968" i="10" s="1"/>
  <c r="H441" i="10"/>
  <c r="I441" i="10" s="1"/>
  <c r="H782" i="10"/>
  <c r="I782" i="10" s="1"/>
  <c r="H1069" i="10"/>
  <c r="I1069" i="10" s="1"/>
  <c r="H1284" i="10"/>
  <c r="I1284" i="10" s="1"/>
  <c r="H1349" i="10"/>
  <c r="I1349" i="10" s="1"/>
  <c r="H1816" i="10"/>
  <c r="I1816" i="10" s="1"/>
  <c r="H1523" i="10"/>
  <c r="I1523" i="10" s="1"/>
  <c r="H325" i="10"/>
  <c r="I325" i="10" s="1"/>
  <c r="H1108" i="10"/>
  <c r="I1108" i="10" s="1"/>
  <c r="H2140" i="10"/>
  <c r="I2140" i="10" s="1"/>
  <c r="H1415" i="10"/>
  <c r="I1415" i="10" s="1"/>
  <c r="H34" i="10"/>
  <c r="I34" i="10" s="1"/>
  <c r="H1845" i="10"/>
  <c r="I1845" i="10" s="1"/>
  <c r="H387" i="10"/>
  <c r="I387" i="10" s="1"/>
  <c r="H1687" i="10"/>
  <c r="I1687" i="10" s="1"/>
  <c r="H1010" i="10"/>
  <c r="I1010" i="10" s="1"/>
  <c r="H2184" i="10"/>
  <c r="I2184" i="10" s="1"/>
  <c r="H1014" i="10"/>
  <c r="I1014" i="10" s="1"/>
  <c r="H965" i="10"/>
  <c r="I965" i="10" s="1"/>
  <c r="H2170" i="10"/>
  <c r="I2170" i="10" s="1"/>
  <c r="H679" i="10"/>
  <c r="I679" i="10" s="1"/>
  <c r="H2236" i="10"/>
  <c r="I2236" i="10" s="1"/>
  <c r="H375" i="10"/>
  <c r="I375" i="10" s="1"/>
  <c r="H1673" i="10"/>
  <c r="I1673" i="10" s="1"/>
  <c r="H1143" i="10"/>
  <c r="I1143" i="10" s="1"/>
  <c r="H920" i="10"/>
  <c r="I920" i="10" s="1"/>
  <c r="H998" i="10"/>
  <c r="I998" i="10" s="1"/>
  <c r="H1326" i="10"/>
  <c r="I1326" i="10" s="1"/>
  <c r="H1319" i="10"/>
  <c r="I1319" i="10" s="1"/>
  <c r="H865" i="10"/>
  <c r="I865" i="10" s="1"/>
  <c r="H1920" i="10"/>
  <c r="I1920" i="10" s="1"/>
  <c r="H1761" i="10"/>
  <c r="I1761" i="10" s="1"/>
  <c r="H1137" i="10"/>
  <c r="I1137" i="10" s="1"/>
  <c r="H2141" i="10"/>
  <c r="I2141" i="10" s="1"/>
  <c r="H1808" i="10"/>
  <c r="I1808" i="10" s="1"/>
  <c r="H228" i="10"/>
  <c r="I228" i="10" s="1"/>
  <c r="H877" i="10"/>
  <c r="I877" i="10" s="1"/>
  <c r="H1598" i="10"/>
  <c r="I1598" i="10" s="1"/>
  <c r="H1764" i="10"/>
  <c r="I1764" i="10" s="1"/>
  <c r="H1026" i="10"/>
  <c r="I1026" i="10" s="1"/>
  <c r="H2354" i="10"/>
  <c r="I2354" i="10" s="1"/>
  <c r="H1913" i="10"/>
  <c r="I1913" i="10" s="1"/>
  <c r="H815" i="10"/>
  <c r="I815" i="10" s="1"/>
  <c r="H1977" i="10"/>
  <c r="I1977" i="10" s="1"/>
  <c r="H663" i="10"/>
  <c r="I663" i="10" s="1"/>
  <c r="H1967" i="10"/>
  <c r="I1967" i="10" s="1"/>
  <c r="H1431" i="10"/>
  <c r="I1431" i="10" s="1"/>
  <c r="H889" i="10"/>
  <c r="I889" i="10" s="1"/>
  <c r="H1289" i="10"/>
  <c r="I1289" i="10" s="1"/>
  <c r="H1756" i="10"/>
  <c r="I1756" i="10" s="1"/>
  <c r="H739" i="10"/>
  <c r="I739" i="10" s="1"/>
  <c r="H235" i="10"/>
  <c r="I235" i="10" s="1"/>
  <c r="H1555" i="10"/>
  <c r="I1555" i="10" s="1"/>
  <c r="H1053" i="10"/>
  <c r="I1053" i="10" s="1"/>
  <c r="H12" i="10"/>
  <c r="I12" i="10" s="1"/>
  <c r="H1669" i="10"/>
  <c r="I1669" i="10" s="1"/>
  <c r="H507" i="10"/>
  <c r="I507" i="10" s="1"/>
  <c r="H1811" i="10"/>
  <c r="I1811" i="10" s="1"/>
  <c r="H1419" i="10"/>
  <c r="I1419" i="10" s="1"/>
  <c r="H849" i="10"/>
  <c r="I849" i="10" s="1"/>
  <c r="H1421" i="10"/>
  <c r="I1421" i="10" s="1"/>
  <c r="H1888" i="10"/>
  <c r="I1888" i="10" s="1"/>
  <c r="H290" i="10"/>
  <c r="I290" i="10" s="1"/>
  <c r="H2325" i="10"/>
  <c r="I2325" i="10" s="1"/>
  <c r="H1881" i="10"/>
  <c r="I1881" i="10" s="1"/>
  <c r="H1322" i="10"/>
  <c r="I1322" i="10" s="1"/>
  <c r="H1021" i="10"/>
  <c r="I1021" i="10" s="1"/>
  <c r="H2193" i="10"/>
  <c r="I2193" i="10" s="1"/>
  <c r="H1148" i="10"/>
  <c r="I1148" i="10" s="1"/>
  <c r="H1040" i="10"/>
  <c r="I1040" i="10" s="1"/>
  <c r="H192" i="10"/>
  <c r="I192" i="10" s="1"/>
  <c r="H607" i="10"/>
  <c r="I607" i="10" s="1"/>
  <c r="H801" i="10"/>
  <c r="I801" i="10" s="1"/>
  <c r="H2255" i="10"/>
  <c r="I2255" i="10" s="1"/>
  <c r="H824" i="10"/>
  <c r="I824" i="10" s="1"/>
  <c r="H1028" i="10"/>
  <c r="I1028" i="10" s="1"/>
  <c r="H189" i="10"/>
  <c r="I189" i="10" s="1"/>
  <c r="H2044" i="10"/>
  <c r="I2044" i="10" s="1"/>
  <c r="H1476" i="10"/>
  <c r="I1476" i="10" s="1"/>
  <c r="H731" i="10"/>
  <c r="I731" i="10" s="1"/>
  <c r="H1871" i="10"/>
  <c r="I1871" i="10" s="1"/>
  <c r="H1341" i="10"/>
  <c r="I1341" i="10" s="1"/>
  <c r="H2179" i="10"/>
  <c r="I2179" i="10" s="1"/>
  <c r="H1429" i="10"/>
  <c r="I1429" i="10" s="1"/>
  <c r="H351" i="10"/>
  <c r="I351" i="10" s="1"/>
  <c r="H1643" i="10"/>
  <c r="I1643" i="10" s="1"/>
  <c r="H1407" i="10"/>
  <c r="I1407" i="10" s="1"/>
  <c r="H799" i="10"/>
  <c r="I799" i="10" s="1"/>
  <c r="H1553" i="10"/>
  <c r="I1553" i="10" s="1"/>
  <c r="H2020" i="10"/>
  <c r="I2020" i="10" s="1"/>
  <c r="H1005" i="10"/>
  <c r="I1005" i="10" s="1"/>
  <c r="H2624" i="10"/>
  <c r="I2624" i="10" s="1"/>
  <c r="H2396" i="10"/>
  <c r="I2396" i="10" s="1"/>
  <c r="H555" i="10"/>
  <c r="I555" i="10" s="1"/>
  <c r="H1859" i="10"/>
  <c r="I1859" i="10" s="1"/>
  <c r="H1612" i="10"/>
  <c r="I1612" i="10" s="1"/>
  <c r="H2068" i="10"/>
  <c r="I2068" i="10" s="1"/>
  <c r="H1959" i="10"/>
  <c r="I1959" i="10" s="1"/>
  <c r="H1670" i="10"/>
  <c r="I1670" i="10" s="1"/>
  <c r="H1836" i="10"/>
  <c r="I1836" i="10" s="1"/>
  <c r="H941" i="10"/>
  <c r="I941" i="10" s="1"/>
  <c r="H1230" i="10"/>
  <c r="I1230" i="10" s="1"/>
  <c r="H1557" i="10"/>
  <c r="I1557" i="10" s="1"/>
  <c r="H2282" i="10"/>
  <c r="I2282" i="10" s="1"/>
  <c r="H2372" i="10"/>
  <c r="I2372" i="10" s="1"/>
  <c r="H373" i="10"/>
  <c r="I373" i="10" s="1"/>
  <c r="H1990" i="10"/>
  <c r="I1990" i="10" s="1"/>
  <c r="H1298" i="10"/>
  <c r="I1298" i="10" s="1"/>
  <c r="H1316" i="10"/>
  <c r="I1316" i="10" s="1"/>
  <c r="H1157" i="10"/>
  <c r="I1157" i="10" s="1"/>
  <c r="H1606" i="10"/>
  <c r="I1606" i="10" s="1"/>
  <c r="H1698" i="10"/>
  <c r="I1698" i="10" s="1"/>
  <c r="H1622" i="10"/>
  <c r="I1622" i="10" s="1"/>
  <c r="H884" i="10"/>
  <c r="I884" i="10" s="1"/>
  <c r="H1387" i="10"/>
  <c r="I1387" i="10" s="1"/>
  <c r="H1251" i="10"/>
  <c r="I1251" i="10" s="1"/>
  <c r="H1196" i="10"/>
  <c r="I1196" i="10" s="1"/>
  <c r="H1541" i="10"/>
  <c r="I1541" i="10" s="1"/>
  <c r="H2008" i="10"/>
  <c r="I2008" i="10" s="1"/>
  <c r="H1139" i="10"/>
  <c r="I1139" i="10" s="1"/>
  <c r="H186" i="10"/>
  <c r="I186" i="10" s="1"/>
  <c r="H1237" i="10"/>
  <c r="I1237" i="10" s="1"/>
  <c r="H529" i="10"/>
  <c r="I529" i="10" s="1"/>
  <c r="H2146" i="10"/>
  <c r="I2146" i="10" s="1"/>
  <c r="H1455" i="10"/>
  <c r="I1455" i="10" s="1"/>
  <c r="H1748" i="10"/>
  <c r="I1748" i="10" s="1"/>
  <c r="H771" i="10"/>
  <c r="I771" i="10" s="1"/>
  <c r="H942" i="10"/>
  <c r="I942" i="10" s="1"/>
  <c r="H1214" i="10"/>
  <c r="I1214" i="10" s="1"/>
  <c r="H1233" i="10"/>
  <c r="I1233" i="10" s="1"/>
  <c r="H503" i="10"/>
  <c r="I503" i="10" s="1"/>
  <c r="H481" i="10"/>
  <c r="I481" i="10" s="1"/>
  <c r="H634" i="10"/>
  <c r="I634" i="10" s="1"/>
  <c r="H1504" i="10"/>
  <c r="I1504" i="10" s="1"/>
  <c r="H1227" i="10"/>
  <c r="I1227" i="10" s="1"/>
  <c r="H1705" i="10"/>
  <c r="I1705" i="10" s="1"/>
  <c r="H2075" i="10"/>
  <c r="I2075" i="10" s="1"/>
  <c r="H1841" i="10"/>
  <c r="I1841" i="10" s="1"/>
  <c r="H733" i="10"/>
  <c r="I733" i="10" s="1"/>
  <c r="H1956" i="10"/>
  <c r="I1956" i="10" s="1"/>
  <c r="H1361" i="10"/>
  <c r="I1361" i="10" s="1"/>
  <c r="H1805" i="10"/>
  <c r="I1805" i="10" s="1"/>
  <c r="H1840" i="10"/>
  <c r="I1840" i="10" s="1"/>
  <c r="H919" i="10"/>
  <c r="I919" i="10" s="1"/>
  <c r="H1646" i="10"/>
  <c r="I1646" i="10" s="1"/>
  <c r="H766" i="10"/>
  <c r="I766" i="10" s="1"/>
  <c r="H2074" i="10"/>
  <c r="I2074" i="10" s="1"/>
  <c r="H1517" i="10"/>
  <c r="I1517" i="10" s="1"/>
  <c r="H1508" i="10"/>
  <c r="I1508" i="10" s="1"/>
  <c r="H1223" i="10"/>
  <c r="I1223" i="10" s="1"/>
  <c r="H1071" i="10"/>
  <c r="I1071" i="10" s="1"/>
  <c r="H1147" i="10"/>
  <c r="I1147" i="10" s="1"/>
  <c r="H1091" i="10"/>
  <c r="I1091" i="10" s="1"/>
  <c r="H600" i="10"/>
  <c r="I600" i="10" s="1"/>
  <c r="H1394" i="10"/>
  <c r="I1394" i="10" s="1"/>
  <c r="H1658" i="10"/>
  <c r="I1658" i="10" s="1"/>
  <c r="H1511" i="10"/>
  <c r="I1511" i="10" s="1"/>
  <c r="H1359" i="10"/>
  <c r="I1359" i="10" s="1"/>
  <c r="H1414" i="10"/>
  <c r="I1414" i="10" s="1"/>
  <c r="H1074" i="10"/>
  <c r="I1074" i="10" s="1"/>
  <c r="H2412" i="10"/>
  <c r="I2412" i="10" s="1"/>
  <c r="H1843" i="10"/>
  <c r="I1843" i="10" s="1"/>
  <c r="H745" i="10"/>
  <c r="I745" i="10" s="1"/>
  <c r="H1360" i="10"/>
  <c r="I1360" i="10" s="1"/>
  <c r="H747" i="10"/>
  <c r="I747" i="10" s="1"/>
  <c r="H1249" i="10"/>
  <c r="I1249" i="10" s="1"/>
  <c r="H638" i="10"/>
  <c r="I638" i="10" s="1"/>
  <c r="H1907" i="10"/>
  <c r="I1907" i="10" s="1"/>
  <c r="H925" i="10"/>
  <c r="I925" i="10" s="1"/>
  <c r="H691" i="10"/>
  <c r="I691" i="10" s="1"/>
  <c r="H1195" i="10"/>
  <c r="I1195" i="10" s="1"/>
  <c r="H969" i="10"/>
  <c r="I969" i="10" s="1"/>
  <c r="H1399" i="10"/>
  <c r="I1399" i="10" s="1"/>
  <c r="H459" i="10"/>
  <c r="I459" i="10" s="1"/>
  <c r="H1509" i="10"/>
  <c r="I1509" i="10" s="1"/>
  <c r="H2203" i="10"/>
  <c r="I2203" i="10" s="1"/>
  <c r="H1797" i="10"/>
  <c r="I1797" i="10" s="1"/>
  <c r="H1527" i="10"/>
  <c r="I1527" i="10" s="1"/>
  <c r="H602" i="10"/>
  <c r="I602" i="10" s="1"/>
  <c r="H2588" i="10"/>
  <c r="I2588" i="10" s="1"/>
  <c r="H1477" i="10"/>
  <c r="I1477" i="10" s="1"/>
  <c r="H231" i="10"/>
  <c r="I231" i="10" s="1"/>
  <c r="H1459" i="10"/>
  <c r="I1459" i="10" s="1"/>
  <c r="H996" i="10"/>
  <c r="I996" i="10" s="1"/>
  <c r="H2172" i="10"/>
  <c r="I2172" i="10" s="1"/>
  <c r="H825" i="10"/>
  <c r="I825" i="10" s="1"/>
  <c r="H1001" i="10"/>
  <c r="I1001" i="10" s="1"/>
  <c r="H1175" i="10"/>
  <c r="I1175" i="10" s="1"/>
  <c r="H381" i="10"/>
  <c r="I381" i="10" s="1"/>
  <c r="H1776" i="10"/>
  <c r="I1776" i="10" s="1"/>
  <c r="H1597" i="10"/>
  <c r="I1597" i="10" s="1"/>
  <c r="H1135" i="10"/>
  <c r="I1135" i="10" s="1"/>
  <c r="H981" i="10"/>
  <c r="I981" i="10" s="1"/>
  <c r="H2160" i="10"/>
  <c r="I2160" i="10" s="1"/>
  <c r="H984" i="10"/>
  <c r="I984" i="10" s="1"/>
  <c r="H1302" i="10"/>
  <c r="I1302" i="10" s="1"/>
  <c r="H1161" i="10"/>
  <c r="I1161" i="10" s="1"/>
  <c r="H2165" i="10"/>
  <c r="I2165" i="10" s="1"/>
  <c r="H1285" i="10"/>
  <c r="I1285" i="10" s="1"/>
  <c r="H867" i="10"/>
  <c r="I867" i="10" s="1"/>
  <c r="H2235" i="10"/>
  <c r="I2235" i="10" s="1"/>
  <c r="H1932" i="10"/>
  <c r="I1932" i="10" s="1"/>
  <c r="H1640" i="10"/>
  <c r="I1640" i="10" s="1"/>
  <c r="H983" i="10"/>
  <c r="I983" i="10" s="1"/>
  <c r="H835" i="10"/>
  <c r="I835" i="10" s="1"/>
  <c r="H687" i="10"/>
  <c r="I687" i="10" s="1"/>
  <c r="H1991" i="10"/>
  <c r="I1991" i="10" s="1"/>
  <c r="H1456" i="10"/>
  <c r="I1456" i="10" s="1"/>
  <c r="H1935" i="10"/>
  <c r="I1935" i="10" s="1"/>
  <c r="H1331" i="10"/>
  <c r="I1331" i="10" s="1"/>
  <c r="H579" i="10"/>
  <c r="I579" i="10" s="1"/>
  <c r="H1346" i="10"/>
  <c r="I1346" i="10" s="1"/>
  <c r="H363" i="10"/>
  <c r="I363" i="10" s="1"/>
  <c r="H1657" i="10"/>
  <c r="I1657" i="10" s="1"/>
  <c r="H1275" i="10"/>
  <c r="I1275" i="10" s="1"/>
  <c r="H1246" i="10"/>
  <c r="I1246" i="10" s="1"/>
  <c r="H1277" i="10"/>
  <c r="I1277" i="10" s="1"/>
  <c r="H1744" i="10"/>
  <c r="I1744" i="10" s="1"/>
  <c r="H1449" i="10"/>
  <c r="I1449" i="10" s="1"/>
  <c r="H2023" i="10"/>
  <c r="I2023" i="10" s="1"/>
  <c r="H1737" i="10"/>
  <c r="I1737" i="10" s="1"/>
  <c r="H1178" i="10"/>
  <c r="I1178" i="10" s="1"/>
  <c r="H2208" i="10"/>
  <c r="I2208" i="10" s="1"/>
  <c r="H2049" i="10"/>
  <c r="I2049" i="10" s="1"/>
  <c r="H769" i="10"/>
  <c r="I769" i="10" s="1"/>
  <c r="H1104" i="10"/>
  <c r="I1104" i="10" s="1"/>
  <c r="H1119" i="10"/>
  <c r="I1119" i="10" s="1"/>
  <c r="H848" i="10"/>
  <c r="I848" i="10" s="1"/>
  <c r="H1265" i="10"/>
  <c r="I1265" i="10" s="1"/>
  <c r="H1732" i="10"/>
  <c r="I1732" i="10" s="1"/>
  <c r="H218" i="10"/>
  <c r="I218" i="10" s="1"/>
  <c r="H2310" i="10"/>
  <c r="I2310" i="10" s="1"/>
  <c r="H2108" i="10"/>
  <c r="I2108" i="10" s="1"/>
  <c r="H267" i="10"/>
  <c r="I267" i="10" s="1"/>
  <c r="H1531" i="10"/>
  <c r="I1531" i="10" s="1"/>
  <c r="H1324" i="10"/>
  <c r="I1324" i="10" s="1"/>
  <c r="H1780" i="10"/>
  <c r="I1780" i="10" s="1"/>
  <c r="H1052" i="10"/>
  <c r="I1052" i="10" s="1"/>
  <c r="H163" i="10"/>
  <c r="I163" i="10" s="1"/>
  <c r="H1821" i="10"/>
  <c r="I1821" i="10" s="1"/>
  <c r="H651" i="10"/>
  <c r="I651" i="10" s="1"/>
  <c r="H1955" i="10"/>
  <c r="I1955" i="10" s="1"/>
  <c r="H20" i="10"/>
  <c r="I20" i="10" s="1"/>
  <c r="H1224" i="10"/>
  <c r="I1224" i="10" s="1"/>
  <c r="H56" i="10"/>
  <c r="I56" i="10" s="1"/>
  <c r="H2032" i="10"/>
  <c r="I2032" i="10" s="1"/>
  <c r="H847" i="10"/>
  <c r="I847" i="10" s="1"/>
  <c r="H2492" i="10"/>
  <c r="I2492" i="10" s="1"/>
  <c r="H2025" i="10"/>
  <c r="I2025" i="10" s="1"/>
  <c r="H1466" i="10"/>
  <c r="I1466" i="10" s="1"/>
  <c r="H992" i="10"/>
  <c r="I992" i="10" s="1"/>
  <c r="H979" i="10"/>
  <c r="I979" i="10" s="1"/>
  <c r="H613" i="10"/>
  <c r="I613" i="10" s="1"/>
  <c r="H2230" i="10"/>
  <c r="I2230" i="10" s="1"/>
  <c r="H953" i="10"/>
  <c r="I953" i="10" s="1"/>
  <c r="H2136" i="10"/>
  <c r="I2136" i="10" s="1"/>
  <c r="H1253" i="10"/>
  <c r="I1253" i="10" s="1"/>
  <c r="H1720" i="10"/>
  <c r="I1720" i="10" s="1"/>
  <c r="H818" i="10"/>
  <c r="I818" i="10" s="1"/>
  <c r="H2468" i="10"/>
  <c r="I2468" i="10" s="1"/>
  <c r="H2384" i="10"/>
  <c r="I2384" i="10" s="1"/>
  <c r="H241" i="10"/>
  <c r="I241" i="10" s="1"/>
  <c r="H1858" i="10"/>
  <c r="I1858" i="10" s="1"/>
  <c r="H1167" i="10"/>
  <c r="I1167" i="10" s="1"/>
  <c r="H990" i="10"/>
  <c r="I990" i="10" s="1"/>
  <c r="H873" i="10"/>
  <c r="I873" i="10" s="1"/>
  <c r="H572" i="10"/>
  <c r="I572" i="10" s="1"/>
  <c r="H152" i="10"/>
  <c r="I152" i="10" s="1"/>
  <c r="H1528" i="10"/>
  <c r="I1528" i="10" s="1"/>
  <c r="H2007" i="10"/>
  <c r="I2007" i="10" s="1"/>
  <c r="H1113" i="10"/>
  <c r="I1113" i="10" s="1"/>
  <c r="H2117" i="10"/>
  <c r="I2117" i="10" s="1"/>
  <c r="H2072" i="10"/>
  <c r="I2072" i="10" s="1"/>
  <c r="H492" i="10"/>
  <c r="I492" i="10" s="1"/>
  <c r="H1834" i="10"/>
  <c r="I1834" i="10" s="1"/>
  <c r="H1286" i="10"/>
  <c r="I1286" i="10" s="1"/>
  <c r="H1292" i="10"/>
  <c r="I1292" i="10" s="1"/>
  <c r="H1156" i="10"/>
  <c r="I1156" i="10" s="1"/>
  <c r="H1619" i="10"/>
  <c r="I1619" i="10" s="1"/>
  <c r="H1317" i="10"/>
  <c r="I1317" i="10" s="1"/>
  <c r="H1609" i="10"/>
  <c r="I1609" i="10" s="1"/>
  <c r="H1290" i="10"/>
  <c r="I1290" i="10" s="1"/>
  <c r="H869" i="10"/>
  <c r="I869" i="10" s="1"/>
  <c r="H1105" i="10"/>
  <c r="I1105" i="10" s="1"/>
  <c r="H1980" i="10"/>
  <c r="I1980" i="10" s="1"/>
  <c r="H1097" i="10"/>
  <c r="I1097" i="10" s="1"/>
  <c r="H1518" i="10"/>
  <c r="I1518" i="10" s="1"/>
  <c r="H789" i="10"/>
  <c r="I789" i="10" s="1"/>
  <c r="H2454" i="10"/>
  <c r="I2454" i="10" s="1"/>
  <c r="H834" i="10"/>
  <c r="I834" i="10" s="1"/>
  <c r="H517" i="10"/>
  <c r="I517" i="10" s="1"/>
  <c r="H2134" i="10"/>
  <c r="I2134" i="10" s="1"/>
  <c r="H1442" i="10"/>
  <c r="I1442" i="10" s="1"/>
  <c r="H1587" i="10"/>
  <c r="I1587" i="10" s="1"/>
  <c r="H1301" i="10"/>
  <c r="I1301" i="10" s="1"/>
  <c r="H1436" i="10"/>
  <c r="I1436" i="10" s="1"/>
  <c r="H1386" i="10"/>
  <c r="I1386" i="10" s="1"/>
  <c r="H1240" i="10"/>
  <c r="I1240" i="10" s="1"/>
  <c r="H1954" i="10"/>
  <c r="I1954" i="10" s="1"/>
  <c r="H183" i="10"/>
  <c r="I183" i="10" s="1"/>
  <c r="H2036" i="10"/>
  <c r="I2036" i="10" s="1"/>
  <c r="H657" i="10"/>
  <c r="I657" i="10" s="1"/>
  <c r="H1098" i="10"/>
  <c r="I1098" i="10" s="1"/>
  <c r="H898" i="10"/>
  <c r="I898" i="10" s="1"/>
  <c r="H1812" i="10"/>
  <c r="I1812" i="10" s="1"/>
  <c r="H1073" i="10"/>
  <c r="I1073" i="10" s="1"/>
  <c r="H1651" i="10"/>
  <c r="I1651" i="10" s="1"/>
  <c r="H1692" i="10"/>
  <c r="I1692" i="10" s="1"/>
  <c r="H2312" i="10"/>
  <c r="I2312" i="10" s="1"/>
  <c r="H171" i="10"/>
  <c r="I171" i="10" s="1"/>
  <c r="H2127" i="10"/>
  <c r="I2127" i="10" s="1"/>
  <c r="H645" i="10"/>
  <c r="I645" i="10" s="1"/>
  <c r="H168" i="10"/>
  <c r="I168" i="10" s="1"/>
  <c r="H1106" i="10"/>
  <c r="I1106" i="10" s="1"/>
  <c r="H1308" i="10"/>
  <c r="I1308" i="10" s="1"/>
  <c r="H917" i="10"/>
  <c r="I917" i="10" s="1"/>
  <c r="H609" i="10"/>
  <c r="I609" i="10" s="1"/>
  <c r="H1674" i="10"/>
  <c r="I1674" i="10" s="1"/>
  <c r="H2192" i="10"/>
  <c r="I2192" i="10" s="1"/>
  <c r="H1696" i="10"/>
  <c r="I1696" i="10" s="1"/>
  <c r="H1502" i="10"/>
  <c r="I1502" i="10" s="1"/>
  <c r="H1077" i="10"/>
  <c r="I1077" i="10" s="1"/>
  <c r="H2081" i="10"/>
  <c r="I2081" i="10" s="1"/>
  <c r="H1100" i="10"/>
  <c r="I1100" i="10" s="1"/>
  <c r="H1382" i="10"/>
  <c r="I1382" i="10" s="1"/>
  <c r="H1259" i="10"/>
  <c r="I1259" i="10" s="1"/>
  <c r="H2116" i="10"/>
  <c r="I2116" i="10" s="1"/>
  <c r="H1648" i="10"/>
  <c r="I1648" i="10" s="1"/>
  <c r="H1205" i="10"/>
  <c r="I1205" i="10" s="1"/>
  <c r="H1664" i="10"/>
  <c r="I1664" i="10" s="1"/>
  <c r="H1379" i="10"/>
  <c r="I1379" i="10" s="1"/>
  <c r="H181" i="10"/>
  <c r="I181" i="10" s="1"/>
  <c r="H954" i="10"/>
  <c r="I954" i="10" s="1"/>
  <c r="H1919" i="10"/>
  <c r="I1919" i="10" s="1"/>
  <c r="H1381" i="10"/>
  <c r="I1381" i="10" s="1"/>
  <c r="H803" i="10"/>
  <c r="I803" i="10" s="1"/>
  <c r="H1215" i="10"/>
  <c r="I1215" i="10" s="1"/>
  <c r="H1111" i="10"/>
  <c r="I1111" i="10" s="1"/>
  <c r="H913" i="10"/>
  <c r="I913" i="10" s="1"/>
  <c r="H2238" i="10"/>
  <c r="I2238" i="10" s="1"/>
  <c r="H554" i="10"/>
  <c r="I554" i="10" s="1"/>
  <c r="H499" i="10"/>
  <c r="I499" i="10" s="1"/>
  <c r="H775" i="10"/>
  <c r="I775" i="10" s="1"/>
  <c r="H897" i="10"/>
  <c r="I897" i="10" s="1"/>
  <c r="H2024" i="10"/>
  <c r="I2024" i="10" s="1"/>
  <c r="H457" i="10"/>
  <c r="I457" i="10" s="1"/>
  <c r="H1615" i="10"/>
  <c r="I1615" i="10" s="1"/>
  <c r="H1389" i="10"/>
  <c r="I1389" i="10" s="1"/>
  <c r="H1176" i="10"/>
  <c r="I1176" i="10" s="1"/>
  <c r="H637" i="10"/>
  <c r="I637" i="10" s="1"/>
  <c r="H489" i="10"/>
  <c r="I489" i="10" s="1"/>
  <c r="H806" i="10"/>
  <c r="I806" i="10" s="1"/>
  <c r="H2016" i="10"/>
  <c r="I2016" i="10" s="1"/>
  <c r="H811" i="10"/>
  <c r="I811" i="10" s="1"/>
  <c r="H963" i="10"/>
  <c r="I963" i="10" s="1"/>
  <c r="H1017" i="10"/>
  <c r="I1017" i="10" s="1"/>
  <c r="H2021" i="10"/>
  <c r="I2021" i="10" s="1"/>
  <c r="H944" i="10"/>
  <c r="I944" i="10" s="1"/>
  <c r="H393" i="10"/>
  <c r="I393" i="10" s="1"/>
  <c r="H2091" i="10"/>
  <c r="I2091" i="10" s="1"/>
  <c r="H1788" i="10"/>
  <c r="I1788" i="10" s="1"/>
  <c r="H1860" i="10"/>
  <c r="I1860" i="10" s="1"/>
  <c r="H765" i="10"/>
  <c r="I765" i="10" s="1"/>
  <c r="H930" i="10"/>
  <c r="I930" i="10" s="1"/>
  <c r="H1149" i="10"/>
  <c r="I1149" i="10" s="1"/>
  <c r="H2153" i="10"/>
  <c r="I2153" i="10" s="1"/>
  <c r="H1668" i="10"/>
  <c r="I1668" i="10" s="1"/>
  <c r="H541" i="10"/>
  <c r="I541" i="10" s="1"/>
  <c r="H2158" i="10"/>
  <c r="I2158" i="10" s="1"/>
  <c r="H855" i="10"/>
  <c r="I855" i="10" s="1"/>
  <c r="H2095" i="10"/>
  <c r="I2095" i="10" s="1"/>
  <c r="H1769" i="10"/>
  <c r="I1769" i="10" s="1"/>
  <c r="H2133" i="10"/>
  <c r="I2133" i="10" s="1"/>
  <c r="H675" i="10"/>
  <c r="I675" i="10" s="1"/>
  <c r="H1979" i="10"/>
  <c r="I1979" i="10" s="1"/>
  <c r="H1299" i="10"/>
  <c r="I1299" i="10" s="1"/>
  <c r="H1294" i="10"/>
  <c r="I1294" i="10" s="1"/>
  <c r="H583" i="10"/>
  <c r="I583" i="10" s="1"/>
  <c r="H1579" i="10"/>
  <c r="I1579" i="10" s="1"/>
  <c r="H1583" i="10"/>
  <c r="I1583" i="10" s="1"/>
  <c r="H465" i="10"/>
  <c r="I465" i="10" s="1"/>
  <c r="H1042" i="10"/>
  <c r="I1042" i="10" s="1"/>
  <c r="H967" i="10"/>
  <c r="I967" i="10" s="1"/>
  <c r="H2148" i="10"/>
  <c r="I2148" i="10" s="1"/>
  <c r="H1121" i="10"/>
  <c r="I1121" i="10" s="1"/>
  <c r="H1563" i="10"/>
  <c r="I1563" i="10" s="1"/>
  <c r="H1437" i="10"/>
  <c r="I1437" i="10" s="1"/>
  <c r="H1987" i="10"/>
  <c r="I1987" i="10" s="1"/>
  <c r="H1964" i="10"/>
  <c r="I1964" i="10" s="1"/>
  <c r="H75" i="10"/>
  <c r="I75" i="10" s="1"/>
  <c r="H1243" i="10"/>
  <c r="I1243" i="10" s="1"/>
  <c r="H1180" i="10"/>
  <c r="I1180" i="10" s="1"/>
  <c r="H1374" i="10"/>
  <c r="I1374" i="10" s="1"/>
  <c r="H2220" i="10"/>
  <c r="I2220" i="10" s="1"/>
  <c r="H1682" i="10"/>
  <c r="I1682" i="10" s="1"/>
  <c r="H1848" i="10"/>
  <c r="I1848" i="10" s="1"/>
  <c r="H955" i="10"/>
  <c r="I955" i="10" s="1"/>
  <c r="H1254" i="10"/>
  <c r="I1254" i="10" s="1"/>
  <c r="H1425" i="10"/>
  <c r="I1425" i="10" s="1"/>
  <c r="H1951" i="10"/>
  <c r="I1951" i="10" s="1"/>
  <c r="H2096" i="10"/>
  <c r="I2096" i="10" s="1"/>
  <c r="H516" i="10"/>
  <c r="I516" i="10" s="1"/>
  <c r="H1530" i="10"/>
  <c r="I1530" i="10" s="1"/>
  <c r="H852" i="10"/>
  <c r="I852" i="10" s="1"/>
  <c r="H2052" i="10"/>
  <c r="I2052" i="10" s="1"/>
  <c r="H631" i="10"/>
  <c r="I631" i="10" s="1"/>
  <c r="H2660" i="10"/>
  <c r="I2660" i="10" s="1"/>
  <c r="H2201" i="10"/>
  <c r="I2201" i="10" s="1"/>
  <c r="H207" i="10"/>
  <c r="I207" i="10" s="1"/>
  <c r="H1411" i="10"/>
  <c r="I1411" i="10" s="1"/>
  <c r="H1263" i="10"/>
  <c r="I1263" i="10" s="1"/>
  <c r="H1222" i="10"/>
  <c r="I1222" i="10" s="1"/>
  <c r="H1409" i="10"/>
  <c r="I1409" i="10" s="1"/>
  <c r="H1876" i="10"/>
  <c r="I1876" i="10" s="1"/>
  <c r="H833" i="10"/>
  <c r="I833" i="10" s="1"/>
  <c r="H2480" i="10"/>
  <c r="I2480" i="10" s="1"/>
  <c r="H2252" i="10"/>
  <c r="I2252" i="10" s="1"/>
  <c r="H411" i="10"/>
  <c r="I411" i="10" s="1"/>
  <c r="H1715" i="10"/>
  <c r="I1715" i="10" s="1"/>
  <c r="H1468" i="10"/>
  <c r="I1468" i="10" s="1"/>
  <c r="H1924" i="10"/>
  <c r="I1924" i="10" s="1"/>
  <c r="H1366" i="10"/>
  <c r="I1366" i="10" s="1"/>
  <c r="H1526" i="10"/>
  <c r="I1526" i="10" s="1"/>
  <c r="H1688" i="10"/>
  <c r="I1688" i="10" s="1"/>
  <c r="H669" i="10"/>
  <c r="I669" i="10" s="1"/>
  <c r="H860" i="10"/>
  <c r="I860" i="10" s="1"/>
  <c r="H1413" i="10"/>
  <c r="I1413" i="10" s="1"/>
  <c r="H1915" i="10"/>
  <c r="I1915" i="10" s="1"/>
  <c r="H2228" i="10"/>
  <c r="I2228" i="10" s="1"/>
  <c r="H229" i="10"/>
  <c r="I229" i="10" s="1"/>
  <c r="H1846" i="10"/>
  <c r="I1846" i="10" s="1"/>
  <c r="H1154" i="10"/>
  <c r="I1154" i="10" s="1"/>
  <c r="H987" i="10"/>
  <c r="I987" i="10" s="1"/>
  <c r="H1013" i="10"/>
  <c r="I1013" i="10" s="1"/>
  <c r="H1350" i="10"/>
  <c r="I1350" i="10" s="1"/>
  <c r="H1500" i="10"/>
  <c r="I1500" i="10" s="1"/>
  <c r="H1046" i="10"/>
  <c r="I1046" i="10" s="1"/>
  <c r="H1348" i="10"/>
  <c r="I1348" i="10" s="1"/>
  <c r="H828" i="10"/>
  <c r="I828" i="10" s="1"/>
  <c r="H1665" i="10"/>
  <c r="I1665" i="10" s="1"/>
  <c r="H1611" i="10"/>
  <c r="I1611" i="10" s="1"/>
  <c r="H480" i="10"/>
  <c r="I480" i="10" s="1"/>
  <c r="H1458" i="10"/>
  <c r="I1458" i="10" s="1"/>
  <c r="H1130" i="10"/>
  <c r="I1130" i="10" s="1"/>
  <c r="H918" i="10"/>
  <c r="I918" i="10" s="1"/>
  <c r="H1144" i="10"/>
  <c r="I1144" i="10" s="1"/>
  <c r="H1605" i="10"/>
  <c r="I1605" i="10" s="1"/>
  <c r="H999" i="10"/>
  <c r="I999" i="10" s="1"/>
  <c r="H932" i="10"/>
  <c r="I932" i="10" s="1"/>
  <c r="H1832" i="10"/>
  <c r="I1832" i="10" s="1"/>
  <c r="H697" i="10"/>
  <c r="I697" i="10" s="1"/>
  <c r="H2303" i="10"/>
  <c r="I2303" i="10" s="1"/>
  <c r="H872" i="10"/>
  <c r="I872" i="10" s="1"/>
  <c r="H2765" i="10"/>
  <c r="I2765" i="10" s="1"/>
  <c r="H2151" i="10"/>
  <c r="I2151" i="10" s="1"/>
  <c r="H1257" i="10"/>
  <c r="I1257" i="10" s="1"/>
  <c r="H1210" i="10"/>
  <c r="I1210" i="10" s="1"/>
  <c r="H2216" i="10"/>
  <c r="I2216" i="10" s="1"/>
  <c r="H636" i="10"/>
  <c r="I636" i="10" s="1"/>
  <c r="H1978" i="10"/>
  <c r="I1978" i="10" s="1"/>
  <c r="H1430" i="10"/>
  <c r="I1430" i="10" s="1"/>
  <c r="H1572" i="10"/>
  <c r="I1572" i="10" s="1"/>
  <c r="H1300" i="10"/>
  <c r="I1300" i="10" s="1"/>
  <c r="H1779" i="10"/>
  <c r="I1779" i="10" s="1"/>
  <c r="H1461" i="10"/>
  <c r="I1461" i="10" s="1"/>
  <c r="H2059" i="10"/>
  <c r="I2059" i="10" s="1"/>
  <c r="H1570" i="10"/>
  <c r="I1570" i="10" s="1"/>
  <c r="H674" i="10"/>
  <c r="I674" i="10" s="1"/>
  <c r="H327" i="10"/>
  <c r="I327" i="10" s="1"/>
  <c r="H2351" i="10"/>
  <c r="I2351" i="10" s="1"/>
  <c r="H1103" i="10"/>
  <c r="I1103" i="10" s="1"/>
  <c r="H219" i="10"/>
  <c r="I219" i="10" s="1"/>
  <c r="H1206" i="10"/>
  <c r="I1206" i="10" s="1"/>
  <c r="H1628" i="10"/>
  <c r="I1628" i="10" s="1"/>
  <c r="H1672" i="10"/>
  <c r="I1672" i="10" s="1"/>
  <c r="H2098" i="10"/>
  <c r="I2098" i="10" s="1"/>
  <c r="H1918" i="10"/>
  <c r="I1918" i="10" s="1"/>
  <c r="H1983" i="10"/>
  <c r="I1983" i="10" s="1"/>
  <c r="H1521" i="10"/>
  <c r="I1521" i="10" s="1"/>
  <c r="H791" i="10"/>
  <c r="I791" i="10" s="1"/>
  <c r="H625" i="10"/>
  <c r="I625" i="10" s="1"/>
  <c r="H1516" i="10"/>
  <c r="I1516" i="10" s="1"/>
  <c r="H590" i="10"/>
  <c r="I590" i="10" s="1"/>
  <c r="H1793" i="10"/>
  <c r="I1793" i="10" s="1"/>
  <c r="H2324" i="10"/>
  <c r="I2324" i="10" s="1"/>
  <c r="H1094" i="10"/>
  <c r="I1094" i="10" s="1"/>
  <c r="H962" i="10"/>
  <c r="I962" i="10" s="1"/>
  <c r="H136" i="10"/>
  <c r="I136" i="10" s="1"/>
  <c r="H1601" i="10"/>
  <c r="I1601" i="10" s="1"/>
  <c r="H1515" i="10"/>
  <c r="I1515" i="10" s="1"/>
  <c r="H1995" i="10"/>
  <c r="I1995" i="10" s="1"/>
  <c r="H2363" i="10"/>
  <c r="I2363" i="10" s="1"/>
  <c r="H519" i="10"/>
  <c r="I519" i="10" s="1"/>
  <c r="H1839" i="10"/>
  <c r="I1839" i="10" s="1"/>
  <c r="H1568" i="10"/>
  <c r="I1568" i="10" s="1"/>
  <c r="H203" i="10"/>
  <c r="I203" i="10" s="1"/>
  <c r="H2218" i="10"/>
  <c r="I2218" i="10" s="1"/>
  <c r="H626" i="10"/>
  <c r="I626" i="10" s="1"/>
  <c r="H1561" i="10"/>
  <c r="I1561" i="10" s="1"/>
  <c r="H1489" i="10"/>
  <c r="I1489" i="10" s="1"/>
  <c r="H525" i="10"/>
  <c r="I525" i="10" s="1"/>
  <c r="H1365" i="10"/>
  <c r="I1365" i="10" s="1"/>
  <c r="H1771" i="10"/>
  <c r="I1771" i="10" s="1"/>
  <c r="H1641" i="10"/>
  <c r="I1641" i="10" s="1"/>
  <c r="H1383" i="10"/>
  <c r="I1383" i="10" s="1"/>
  <c r="H2348" i="10"/>
  <c r="I2348" i="10" s="1"/>
  <c r="H1072" i="10"/>
  <c r="I1072" i="10" s="1"/>
  <c r="H1018" i="10"/>
  <c r="I1018" i="10" s="1"/>
  <c r="H1061" i="10"/>
  <c r="I1061" i="10" s="1"/>
  <c r="H1446" i="10"/>
  <c r="I1446" i="10" s="1"/>
  <c r="H1235" i="10"/>
  <c r="I1235" i="10" s="1"/>
  <c r="H744" i="10"/>
  <c r="I744" i="10" s="1"/>
  <c r="H1538" i="10"/>
  <c r="I1538" i="10" s="1"/>
  <c r="H939" i="10"/>
  <c r="I939" i="10" s="1"/>
  <c r="H43" i="10"/>
  <c r="I43" i="10" s="1"/>
  <c r="H1362" i="10"/>
  <c r="I1362" i="10" s="1"/>
  <c r="H1370" i="10"/>
  <c r="I1370" i="10" s="1"/>
  <c r="H506" i="10"/>
  <c r="I506" i="10" s="1"/>
  <c r="H1102" i="10"/>
  <c r="I1102" i="10" s="1"/>
  <c r="H1068" i="10"/>
  <c r="I1068" i="10" s="1"/>
  <c r="H1550" i="10"/>
  <c r="I1550" i="10" s="1"/>
  <c r="H1716" i="10"/>
  <c r="I1716" i="10" s="1"/>
  <c r="H1708" i="10"/>
  <c r="I1708" i="10" s="1"/>
  <c r="H2187" i="10"/>
  <c r="I2187" i="10" s="1"/>
  <c r="H1003" i="10"/>
  <c r="I1003" i="10" s="1"/>
  <c r="H2009" i="10"/>
  <c r="I2009" i="10" s="1"/>
  <c r="H1452" i="10"/>
  <c r="I1452" i="10" s="1"/>
  <c r="H32" i="10"/>
  <c r="I32" i="10" s="1"/>
  <c r="H2014" i="10"/>
  <c r="I2014" i="10" s="1"/>
  <c r="H333" i="10"/>
  <c r="I333" i="10" s="1"/>
  <c r="H1901" i="10"/>
  <c r="I1901" i="10" s="1"/>
  <c r="H1607" i="10"/>
  <c r="I1607" i="10" s="1"/>
  <c r="H2031" i="10"/>
  <c r="I2031" i="10" s="1"/>
  <c r="H989" i="10"/>
  <c r="I989" i="10" s="1"/>
  <c r="H1997" i="10"/>
  <c r="I1997" i="10" s="1"/>
  <c r="H1654" i="10"/>
  <c r="I1654" i="10" s="1"/>
  <c r="H995" i="10"/>
  <c r="I995" i="10" s="1"/>
  <c r="H2157" i="10"/>
  <c r="I2157" i="10" s="1"/>
  <c r="H1454" i="10"/>
  <c r="I1454" i="10" s="1"/>
  <c r="H1602" i="10"/>
  <c r="I1602" i="10" s="1"/>
  <c r="H1187" i="10"/>
  <c r="I1187" i="10" s="1"/>
  <c r="H435" i="10"/>
  <c r="I435" i="10" s="1"/>
  <c r="H1202" i="10"/>
  <c r="I1202" i="10" s="1"/>
  <c r="H1823" i="10"/>
  <c r="I1823" i="10" s="1"/>
  <c r="H1287" i="10"/>
  <c r="I1287" i="10" s="1"/>
  <c r="H1270" i="10"/>
  <c r="I1270" i="10" s="1"/>
  <c r="H1145" i="10"/>
  <c r="I1145" i="10" s="1"/>
  <c r="H1592" i="10"/>
  <c r="I1592" i="10" s="1"/>
  <c r="H1463" i="10"/>
  <c r="I1463" i="10" s="1"/>
  <c r="H510" i="10"/>
  <c r="I510" i="10" s="1"/>
  <c r="H1267" i="10"/>
  <c r="I1267" i="10" s="1"/>
  <c r="H888" i="10"/>
  <c r="I888" i="10" s="1"/>
  <c r="H1702" i="10"/>
  <c r="I1702" i="10" s="1"/>
  <c r="H717" i="10"/>
  <c r="I717" i="10" s="1"/>
  <c r="H893" i="10"/>
  <c r="I893" i="10" s="1"/>
  <c r="H1281" i="10"/>
  <c r="I1281" i="10" s="1"/>
  <c r="H1426" i="10"/>
  <c r="I1426" i="10" s="1"/>
  <c r="H1952" i="10"/>
  <c r="I1952" i="10" s="1"/>
  <c r="H372" i="10"/>
  <c r="I372" i="10" s="1"/>
  <c r="H1242" i="10"/>
  <c r="I1242" i="10" s="1"/>
  <c r="H314" i="10"/>
  <c r="I314" i="10" s="1"/>
  <c r="H1908" i="10"/>
  <c r="I1908" i="10" s="1"/>
  <c r="H1170" i="10"/>
  <c r="I1170" i="10" s="1"/>
  <c r="H2516" i="10"/>
  <c r="I2516" i="10" s="1"/>
  <c r="H2057" i="10"/>
  <c r="I2057" i="10" s="1"/>
  <c r="H1540" i="10"/>
  <c r="I1540" i="10" s="1"/>
  <c r="H2019" i="10"/>
  <c r="I2019" i="10" s="1"/>
  <c r="H1125" i="10"/>
  <c r="I1125" i="10" s="1"/>
  <c r="H2129" i="10"/>
  <c r="I2129" i="10" s="1"/>
  <c r="H1940" i="10"/>
  <c r="I1940" i="10" s="1"/>
  <c r="H504" i="10"/>
  <c r="I504" i="10" s="1"/>
  <c r="H1506" i="10"/>
  <c r="I1506" i="10" s="1"/>
  <c r="H836" i="10"/>
  <c r="I836" i="10" s="1"/>
  <c r="H2279" i="10"/>
  <c r="I2279" i="10" s="1"/>
  <c r="H254" i="10"/>
  <c r="I254" i="10" s="1"/>
  <c r="H2223" i="10"/>
  <c r="I2223" i="10" s="1"/>
  <c r="H831" i="10"/>
  <c r="I831" i="10" s="1"/>
  <c r="H453" i="10"/>
  <c r="I453" i="10" s="1"/>
  <c r="H1060" i="10"/>
  <c r="I1060" i="10" s="1"/>
  <c r="H710" i="10"/>
  <c r="I710" i="10" s="1"/>
  <c r="H1992" i="10"/>
  <c r="I1992" i="10" s="1"/>
  <c r="H1109" i="10"/>
  <c r="I1109" i="10" s="1"/>
  <c r="H1542" i="10"/>
  <c r="I1542" i="10" s="1"/>
  <c r="H141" i="10"/>
  <c r="I141" i="10" s="1"/>
  <c r="H2296" i="10"/>
  <c r="I2296" i="10" s="1"/>
  <c r="H2240" i="10"/>
  <c r="I2240" i="10" s="1"/>
  <c r="H804" i="10"/>
  <c r="I804" i="10" s="1"/>
  <c r="H1714" i="10"/>
  <c r="I1714" i="10" s="1"/>
  <c r="H1023" i="10"/>
  <c r="I1023" i="10" s="1"/>
  <c r="H2196" i="10"/>
  <c r="I2196" i="10" s="1"/>
  <c r="H422" i="10"/>
  <c r="I422" i="10" s="1"/>
  <c r="H94" i="10"/>
  <c r="I94" i="10" s="1"/>
  <c r="H1697" i="10"/>
  <c r="I1697" i="10" s="1"/>
  <c r="H1384" i="10"/>
  <c r="I1384" i="10" s="1"/>
  <c r="H1863" i="10"/>
  <c r="I1863" i="10" s="1"/>
  <c r="H960" i="10"/>
  <c r="I960" i="10" s="1"/>
  <c r="H1973" i="10"/>
  <c r="I1973" i="10" s="1"/>
  <c r="H1928" i="10"/>
  <c r="I1928" i="10" s="1"/>
  <c r="H827" i="10"/>
  <c r="I827" i="10" s="1"/>
  <c r="H1686" i="10"/>
  <c r="I1686" i="10" s="1"/>
  <c r="H1142" i="10"/>
  <c r="I1142" i="10" s="1"/>
  <c r="H950" i="10"/>
  <c r="I950" i="10" s="1"/>
  <c r="H1011" i="10"/>
  <c r="I1011" i="10" s="1"/>
  <c r="H1369" i="10"/>
  <c r="I1369" i="10" s="1"/>
  <c r="H1173" i="10"/>
  <c r="I1173" i="10" s="1"/>
  <c r="H2177" i="10"/>
  <c r="I2177" i="10" s="1"/>
  <c r="H2181" i="10"/>
  <c r="I2181" i="10" s="1"/>
  <c r="H398" i="10"/>
  <c r="I398" i="10" s="1"/>
  <c r="H2194" i="10"/>
  <c r="I2194" i="10" s="1"/>
  <c r="H1535" i="10"/>
  <c r="I1535" i="10" s="1"/>
  <c r="H451" i="10"/>
  <c r="I451" i="10" s="1"/>
  <c r="H2109" i="10"/>
  <c r="I2109" i="10" s="1"/>
  <c r="H753" i="10"/>
  <c r="I753" i="10" s="1"/>
  <c r="H2243" i="10"/>
  <c r="I2243" i="10" s="1"/>
  <c r="H982" i="10"/>
  <c r="I982" i="10" s="1"/>
  <c r="H1321" i="10"/>
  <c r="I1321" i="10" s="1"/>
  <c r="H985" i="10"/>
  <c r="I985" i="10" s="1"/>
  <c r="H900" i="10"/>
  <c r="I900" i="10" s="1"/>
  <c r="H1163" i="10"/>
  <c r="I1163" i="10" s="1"/>
  <c r="H70" i="10"/>
  <c r="I70" i="10" s="1"/>
  <c r="H914" i="10"/>
  <c r="I914" i="10" s="1"/>
  <c r="H386" i="10"/>
  <c r="I386" i="10" s="1"/>
  <c r="H1114" i="10"/>
  <c r="I1114" i="10" s="1"/>
  <c r="H1291" i="10"/>
  <c r="I1291" i="10" s="1"/>
  <c r="H686" i="10"/>
  <c r="I686" i="10" s="1"/>
  <c r="H1817" i="10"/>
  <c r="I1817" i="10" s="1"/>
  <c r="H1772" i="10"/>
  <c r="I1772" i="10" s="1"/>
  <c r="H768" i="10"/>
  <c r="I768" i="10" s="1"/>
  <c r="H1810" i="10"/>
  <c r="I1810" i="10" s="1"/>
  <c r="H924" i="10"/>
  <c r="I924" i="10" s="1"/>
  <c r="H1225" i="10"/>
  <c r="I1225" i="10" s="1"/>
  <c r="H1942" i="10"/>
  <c r="I1942" i="10" s="1"/>
  <c r="H2004" i="10"/>
  <c r="I2004" i="10" s="1"/>
  <c r="H176" i="10"/>
  <c r="I176" i="10" s="1"/>
  <c r="H643" i="10"/>
  <c r="I643" i="10" s="1"/>
  <c r="H1247" i="10"/>
  <c r="I1247" i="10" s="1"/>
  <c r="H1694" i="10"/>
  <c r="I1694" i="10" s="1"/>
  <c r="H1358" i="10"/>
  <c r="I1358" i="10" s="1"/>
  <c r="H1637" i="10"/>
  <c r="I1637" i="10" s="1"/>
  <c r="H2180" i="10"/>
  <c r="I2180" i="10" s="1"/>
  <c r="H937" i="10"/>
  <c r="I937" i="10" s="1"/>
  <c r="H266" i="10"/>
  <c r="I266" i="10" s="1"/>
  <c r="H614" i="10"/>
  <c r="I614" i="10" s="1"/>
  <c r="H943" i="10"/>
  <c r="I943" i="10" s="1"/>
  <c r="H334" i="10"/>
  <c r="I334" i="10" s="1"/>
  <c r="H1930" i="10"/>
  <c r="I1930" i="10" s="1"/>
  <c r="H1373" i="10"/>
  <c r="I1373" i="10" s="1"/>
  <c r="H1220" i="10"/>
  <c r="I1220" i="10" s="1"/>
  <c r="H880" i="10"/>
  <c r="I880" i="10" s="1"/>
  <c r="H2100" i="10"/>
  <c r="I2100" i="10" s="1"/>
  <c r="H1505" i="10"/>
  <c r="I1505" i="10" s="1"/>
  <c r="H1949" i="10"/>
  <c r="I1949" i="10" s="1"/>
  <c r="H1984" i="10"/>
  <c r="I1984" i="10" s="1"/>
  <c r="H479" i="10"/>
  <c r="I479" i="10" s="1"/>
  <c r="H1627" i="10"/>
  <c r="I1627" i="10" s="1"/>
  <c r="H2073" i="10"/>
  <c r="I2073" i="10" s="1"/>
  <c r="H922" i="10"/>
  <c r="I922" i="10" s="1"/>
  <c r="H1824" i="10"/>
  <c r="I1824" i="10" s="1"/>
  <c r="H2336" i="10"/>
  <c r="I2336" i="10" s="1"/>
  <c r="H857" i="10"/>
  <c r="I857" i="10" s="1"/>
  <c r="H1691" i="10"/>
  <c r="I1691" i="10" s="1"/>
  <c r="H1880" i="10"/>
  <c r="I1880" i="10" s="1"/>
  <c r="H313" i="10"/>
  <c r="I313" i="10" s="1"/>
  <c r="H1363" i="10"/>
  <c r="I1363" i="10" s="1"/>
  <c r="H1086" i="10"/>
  <c r="I1086" i="10" s="1"/>
  <c r="H698" i="10"/>
  <c r="I698" i="10" s="1"/>
  <c r="H153" i="10"/>
  <c r="I153" i="10" s="1"/>
  <c r="H1221" i="10"/>
  <c r="I1221" i="10" s="1"/>
  <c r="H2225" i="10"/>
  <c r="I2225" i="10" s="1"/>
  <c r="H1405" i="10"/>
  <c r="I1405" i="10" s="1"/>
  <c r="H662" i="10"/>
  <c r="I662" i="10" s="1"/>
  <c r="H1403" i="10"/>
  <c r="I1403" i="10" s="1"/>
  <c r="H2456" i="10"/>
  <c r="I2456" i="10" s="1"/>
  <c r="H561" i="10"/>
  <c r="I561" i="10" s="1"/>
  <c r="H2195" i="10"/>
  <c r="I2195" i="10" s="1"/>
  <c r="H1228" i="10"/>
  <c r="I1228" i="10" s="1"/>
  <c r="H1828" i="10"/>
  <c r="I1828" i="10" s="1"/>
  <c r="H511" i="10"/>
  <c r="I511" i="10" s="1"/>
  <c r="H846" i="10"/>
  <c r="I846" i="10" s="1"/>
  <c r="H1408" i="10"/>
  <c r="I1408" i="10" s="1"/>
  <c r="H1887" i="10"/>
  <c r="I1887" i="10" s="1"/>
  <c r="H816" i="10"/>
  <c r="I816" i="10" s="1"/>
  <c r="H1853" i="10"/>
  <c r="I1853" i="10" s="1"/>
  <c r="H1428" i="10"/>
  <c r="I1428" i="10" s="1"/>
  <c r="H851" i="10"/>
  <c r="I851" i="10" s="1"/>
  <c r="H2013" i="10"/>
  <c r="I2013" i="10" s="1"/>
  <c r="H1310" i="10"/>
  <c r="I1310" i="10" s="1"/>
  <c r="H1340" i="10"/>
  <c r="I1340" i="10" s="1"/>
  <c r="H1043" i="10"/>
  <c r="I1043" i="10" s="1"/>
  <c r="H291" i="10"/>
  <c r="I291" i="10" s="1"/>
  <c r="H1058" i="10"/>
  <c r="I1058" i="10" s="1"/>
  <c r="H1693" i="10"/>
  <c r="I1693" i="10" s="1"/>
  <c r="H1404" i="10"/>
  <c r="I1404" i="10" s="1"/>
  <c r="H839" i="10"/>
  <c r="I839" i="10" s="1"/>
  <c r="H2145" i="10"/>
  <c r="I2145" i="10" s="1"/>
  <c r="H543" i="10"/>
  <c r="I543" i="10" s="1"/>
  <c r="H1847" i="10"/>
  <c r="I1847" i="10" s="1"/>
  <c r="H1312" i="10"/>
  <c r="I1312" i="10" s="1"/>
  <c r="H1791" i="10"/>
  <c r="I1791" i="10" s="1"/>
  <c r="H1309" i="10"/>
  <c r="I1309" i="10" s="1"/>
  <c r="H1479" i="10"/>
  <c r="I1479" i="10" s="1"/>
  <c r="H2444" i="10"/>
  <c r="I2444" i="10" s="1"/>
  <c r="H886" i="10"/>
  <c r="I886" i="10" s="1"/>
  <c r="H1133" i="10"/>
  <c r="I1133" i="10" s="1"/>
  <c r="H1578" i="10"/>
  <c r="I1578" i="10" s="1"/>
  <c r="H1305" i="10"/>
  <c r="I1305" i="10" s="1"/>
  <c r="H1567" i="10"/>
  <c r="I1567" i="10" s="1"/>
  <c r="H1569" i="10"/>
  <c r="I1569" i="10" s="1"/>
  <c r="H1034" i="10"/>
  <c r="I1034" i="10" s="1"/>
  <c r="H2064" i="10"/>
  <c r="I2064" i="10" s="1"/>
  <c r="H1905" i="10"/>
  <c r="I1905" i="10" s="1"/>
  <c r="H1875" i="10"/>
  <c r="I1875" i="10" s="1"/>
  <c r="H974" i="10"/>
  <c r="I974" i="10" s="1"/>
  <c r="H1985" i="10"/>
  <c r="I1985" i="10" s="1"/>
  <c r="H1796" i="10"/>
  <c r="I1796" i="10" s="1"/>
  <c r="H360" i="10"/>
  <c r="I360" i="10" s="1"/>
  <c r="H1218" i="10"/>
  <c r="I1218" i="10" s="1"/>
  <c r="H237" i="10"/>
  <c r="I237" i="10" s="1"/>
  <c r="H2135" i="10"/>
  <c r="I2135" i="10" s="1"/>
  <c r="H1600" i="10"/>
  <c r="I1600" i="10" s="1"/>
  <c r="H2079" i="10"/>
  <c r="I2079" i="10" s="1"/>
  <c r="H1475" i="10"/>
  <c r="I1475" i="10" s="1"/>
  <c r="H723" i="10"/>
  <c r="I723" i="10" s="1"/>
  <c r="H1490" i="10"/>
  <c r="I1490" i="10" s="1"/>
  <c r="H842" i="10"/>
  <c r="I842" i="10" s="1"/>
  <c r="H1679" i="10"/>
  <c r="I1679" i="10" s="1"/>
  <c r="H1626" i="10"/>
  <c r="I1626" i="10" s="1"/>
  <c r="H526" i="10"/>
  <c r="I526" i="10" s="1"/>
  <c r="H1188" i="10"/>
  <c r="I1188" i="10" s="1"/>
  <c r="H822" i="10"/>
  <c r="I822" i="10" s="1"/>
  <c r="H2267" i="10"/>
  <c r="I2267" i="10" s="1"/>
  <c r="H249" i="10"/>
  <c r="I249" i="10" s="1"/>
  <c r="H1272" i="10"/>
  <c r="I1272" i="10" s="1"/>
  <c r="H859" i="10"/>
  <c r="I859" i="10" s="1"/>
  <c r="H1889" i="10"/>
  <c r="I1889" i="10" s="1"/>
  <c r="H1893" i="10"/>
  <c r="I1893" i="10" s="1"/>
  <c r="H1480" i="10"/>
  <c r="I1480" i="10" s="1"/>
  <c r="H1906" i="10"/>
  <c r="I1906" i="10" s="1"/>
  <c r="H1684" i="10"/>
  <c r="I1684" i="10" s="1"/>
  <c r="H2163" i="10"/>
  <c r="I2163" i="10" s="1"/>
  <c r="H1269" i="10"/>
  <c r="I1269" i="10" s="1"/>
  <c r="H1330" i="10"/>
  <c r="I1330" i="10" s="1"/>
  <c r="H2084" i="10"/>
  <c r="I2084" i="10" s="1"/>
  <c r="H792" i="10"/>
  <c r="I792" i="10" s="1"/>
  <c r="H1700" i="10"/>
  <c r="I1700" i="10" s="1"/>
  <c r="H1009" i="10"/>
  <c r="I1009" i="10" s="1"/>
  <c r="H2423" i="10"/>
  <c r="I2423" i="10" s="1"/>
  <c r="H840" i="10"/>
  <c r="I840" i="10" s="1"/>
  <c r="H1030" i="10"/>
  <c r="I1030" i="10" s="1"/>
  <c r="H1212" i="10"/>
  <c r="I1212" i="10" s="1"/>
  <c r="H879" i="10"/>
  <c r="I879" i="10" s="1"/>
  <c r="H1204" i="10"/>
  <c r="I1204" i="10" s="1"/>
  <c r="H194" i="10"/>
  <c r="I194" i="10" s="1"/>
  <c r="H1447" i="10"/>
  <c r="I1447" i="10" s="1"/>
  <c r="H1356" i="10"/>
  <c r="I1356" i="10" s="1"/>
  <c r="H336" i="10"/>
  <c r="I336" i="10" s="1"/>
  <c r="H1160" i="10"/>
  <c r="I1160" i="10" s="1"/>
  <c r="H980" i="10"/>
  <c r="I980" i="10" s="1"/>
  <c r="H2399" i="10"/>
  <c r="I2399" i="10" s="1"/>
  <c r="H997" i="10"/>
  <c r="I997" i="10" s="1"/>
  <c r="H1345" i="10"/>
  <c r="I1345" i="10" s="1"/>
  <c r="H826" i="10"/>
  <c r="I826" i="10" s="1"/>
  <c r="H2188" i="10"/>
  <c r="I2188" i="10" s="1"/>
  <c r="H1683" i="10"/>
  <c r="I1683" i="10" s="1"/>
  <c r="H553" i="10"/>
  <c r="I553" i="10" s="1"/>
  <c r="H2159" i="10"/>
  <c r="I2159" i="10" s="1"/>
  <c r="H1487" i="10"/>
  <c r="I1487" i="10" s="1"/>
  <c r="H2907" i="10"/>
  <c r="I2907" i="10" s="1"/>
  <c r="H1655" i="10"/>
  <c r="I1655" i="10" s="1"/>
  <c r="H495" i="10"/>
  <c r="I495" i="10" s="1"/>
  <c r="H1799" i="10"/>
  <c r="I1799" i="10" s="1"/>
  <c r="H1551" i="10"/>
  <c r="I1551" i="10" s="1"/>
  <c r="H1198" i="10"/>
  <c r="I1198" i="10" s="1"/>
  <c r="H770" i="10"/>
  <c r="I770" i="10" s="1"/>
  <c r="H2164" i="10"/>
  <c r="I2164" i="10" s="1"/>
  <c r="H1151" i="10"/>
  <c r="I1151" i="10" s="1"/>
  <c r="H198" i="10"/>
  <c r="I198" i="10" s="1"/>
  <c r="H907" i="10"/>
  <c r="I907" i="10" s="1"/>
  <c r="H699" i="10"/>
  <c r="I699" i="10" s="1"/>
  <c r="H2003" i="10"/>
  <c r="I2003" i="10" s="1"/>
  <c r="H326" i="10"/>
  <c r="I326" i="10" s="1"/>
  <c r="H2212" i="10"/>
  <c r="I2212" i="10" s="1"/>
  <c r="H2103" i="10"/>
  <c r="I2103" i="10" s="1"/>
  <c r="H1008" i="10"/>
  <c r="I1008" i="10" s="1"/>
  <c r="H632" i="10"/>
  <c r="I632" i="10" s="1"/>
  <c r="H446" i="10"/>
  <c r="I446" i="10" s="1"/>
  <c r="H966" i="10"/>
  <c r="I966" i="10" s="1"/>
  <c r="H2387" i="10"/>
  <c r="I2387" i="10" s="1"/>
  <c r="H1132" i="10"/>
  <c r="I1132" i="10" s="1"/>
  <c r="H1591" i="10"/>
  <c r="I1591" i="10" s="1"/>
  <c r="H1134" i="10"/>
  <c r="I1134" i="10" s="1"/>
  <c r="H573" i="10"/>
  <c r="I573" i="10" s="1"/>
  <c r="H1117" i="10"/>
  <c r="I1117" i="10" s="1"/>
  <c r="H1537" i="10"/>
  <c r="I1537" i="10" s="1"/>
  <c r="H2104" i="10"/>
  <c r="I2104" i="10" s="1"/>
  <c r="H1083" i="10"/>
  <c r="I1083" i="10" s="1"/>
  <c r="H1513" i="10"/>
  <c r="I1513" i="10" s="1"/>
  <c r="H2086" i="10"/>
  <c r="I2086" i="10" s="1"/>
  <c r="H2175" i="10"/>
  <c r="I2175" i="10" s="1"/>
  <c r="H545" i="10"/>
  <c r="I545" i="10" s="1"/>
  <c r="H190" i="10"/>
  <c r="I190" i="10" s="1"/>
  <c r="H1786" i="10"/>
  <c r="I1786" i="10" s="1"/>
  <c r="H1229" i="10"/>
  <c r="I1229" i="10" s="1"/>
  <c r="H273" i="10"/>
  <c r="I273" i="10" s="1"/>
  <c r="H1216" i="10"/>
  <c r="I1216" i="10" s="1"/>
  <c r="H1785" i="10"/>
  <c r="I1785" i="10" s="1"/>
  <c r="H759" i="10"/>
  <c r="I759" i="10" s="1"/>
  <c r="H1460" i="10"/>
  <c r="I1460" i="10" s="1"/>
  <c r="H2048" i="10"/>
  <c r="I2048" i="10" s="1"/>
  <c r="H1552" i="10"/>
  <c r="I1552" i="10" s="1"/>
  <c r="H2062" i="10"/>
  <c r="I2062" i="10" s="1"/>
  <c r="H547" i="10"/>
  <c r="I547" i="10" s="1"/>
  <c r="H933" i="10"/>
  <c r="I933" i="10" s="1"/>
  <c r="H456" i="10"/>
  <c r="I456" i="10" s="1"/>
  <c r="H1250" i="10"/>
  <c r="I1250" i="10" s="1"/>
  <c r="H195" i="10"/>
  <c r="I195" i="10" s="1"/>
  <c r="H566" i="10"/>
  <c r="I566" i="10" s="1"/>
  <c r="H1763" i="10"/>
  <c r="I1763" i="10" s="1"/>
  <c r="H619" i="10"/>
  <c r="I619" i="10" s="1"/>
  <c r="H2139" i="10"/>
  <c r="I2139" i="10" s="1"/>
  <c r="H787" i="10"/>
  <c r="I787" i="10" s="1"/>
  <c r="H1131" i="10"/>
  <c r="I1131" i="10" s="1"/>
  <c r="H589" i="10"/>
  <c r="I589" i="10" s="1"/>
  <c r="H1929" i="10"/>
  <c r="I1929" i="10" s="1"/>
  <c r="H1044" i="10"/>
  <c r="I1044" i="10" s="1"/>
  <c r="H1226" i="10"/>
  <c r="I1226" i="10" s="1"/>
  <c r="H2112" i="10"/>
  <c r="I2112" i="10" s="1"/>
  <c r="H1128" i="10"/>
  <c r="I1128" i="10" s="1"/>
  <c r="H1559" i="10"/>
  <c r="I1559" i="10" s="1"/>
  <c r="H1062" i="10"/>
  <c r="I1062" i="10" s="1"/>
  <c r="H603" i="10"/>
  <c r="I603" i="10" s="1"/>
  <c r="H1435" i="10"/>
  <c r="I1435" i="10" s="1"/>
  <c r="H1736" i="10"/>
  <c r="I1736" i="10" s="1"/>
  <c r="H169" i="10"/>
  <c r="I169" i="10" s="1"/>
  <c r="H1045" i="10"/>
  <c r="I1045" i="10" s="1"/>
  <c r="H927" i="10"/>
  <c r="I927" i="10" s="1"/>
  <c r="H1731" i="10"/>
  <c r="I1731" i="10" s="1"/>
  <c r="H288" i="10"/>
  <c r="I288" i="10" s="1"/>
  <c r="H315" i="10"/>
  <c r="I315" i="10" s="1"/>
  <c r="H1503" i="10"/>
  <c r="I1503" i="10" s="1"/>
  <c r="H1081" i="10"/>
  <c r="I1081" i="10" s="1"/>
  <c r="H69" i="10"/>
  <c r="I69" i="10" s="1"/>
  <c r="H2564" i="10"/>
  <c r="I2564" i="10" s="1"/>
  <c r="H2253" i="10"/>
  <c r="I2253" i="10" s="1"/>
  <c r="H1273" i="10"/>
  <c r="I1273" i="10" s="1"/>
  <c r="H338" i="10"/>
  <c r="I338" i="10" s="1"/>
  <c r="H1495" i="10"/>
  <c r="I1495" i="10" s="1"/>
  <c r="H1099" i="10"/>
  <c r="I1099" i="10" s="1"/>
  <c r="H551" i="10"/>
  <c r="I551" i="10" s="1"/>
  <c r="H2001" i="10"/>
  <c r="I2001" i="10" s="1"/>
  <c r="H399" i="10"/>
  <c r="I399" i="10" s="1"/>
  <c r="H1701" i="10"/>
  <c r="I1701" i="10" s="1"/>
  <c r="H1168" i="10"/>
  <c r="I1168" i="10" s="1"/>
  <c r="H1633" i="10"/>
  <c r="I1633" i="10" s="1"/>
  <c r="H978" i="10"/>
  <c r="I978" i="10" s="1"/>
  <c r="H1335" i="10"/>
  <c r="I1335" i="10" s="1"/>
  <c r="H1355" i="10"/>
  <c r="I1355" i="10" s="1"/>
  <c r="H784" i="10"/>
  <c r="I784" i="10" s="1"/>
  <c r="H1989" i="10"/>
  <c r="I1989" i="10" s="1"/>
  <c r="H531" i="10"/>
  <c r="I531" i="10" s="1"/>
  <c r="H1835" i="10"/>
  <c r="I1835" i="10" s="1"/>
  <c r="H1155" i="10"/>
  <c r="I1155" i="10" s="1"/>
  <c r="H957" i="10"/>
  <c r="I957" i="10" s="1"/>
  <c r="H1158" i="10"/>
  <c r="I1158" i="10" s="1"/>
  <c r="H1303" i="10"/>
  <c r="I1303" i="10" s="1"/>
  <c r="H915" i="10"/>
  <c r="I915" i="10" s="1"/>
  <c r="H494" i="10"/>
  <c r="I494" i="10" s="1"/>
  <c r="H1063" i="10"/>
  <c r="I1063" i="10" s="1"/>
  <c r="H1278" i="10"/>
  <c r="I1278" i="10" s="1"/>
  <c r="H1293" i="10"/>
  <c r="I1293" i="10" s="1"/>
  <c r="H1498" i="10"/>
  <c r="I1498" i="10" s="1"/>
  <c r="H1820" i="10"/>
  <c r="I1820" i="10" s="1"/>
  <c r="H685" i="10"/>
  <c r="I685" i="10" s="1"/>
  <c r="H878" i="10"/>
  <c r="I878" i="10" s="1"/>
  <c r="H1036" i="10"/>
  <c r="I1036" i="10" s="1"/>
  <c r="H1057" i="10"/>
  <c r="I1057" i="10" s="1"/>
  <c r="H2076" i="10"/>
  <c r="I2076" i="10" s="1"/>
  <c r="H1471" i="10"/>
  <c r="I1471" i="10" s="1"/>
  <c r="H1380" i="10"/>
  <c r="I1380" i="10" s="1"/>
  <c r="H238" i="10"/>
  <c r="I238" i="10" s="1"/>
  <c r="H751" i="10"/>
  <c r="I751" i="10" s="1"/>
  <c r="H165" i="10"/>
  <c r="I165" i="10" s="1"/>
  <c r="H2123" i="10"/>
  <c r="I2123" i="10" s="1"/>
  <c r="H1443" i="10"/>
  <c r="I1443" i="10" s="1"/>
  <c r="H921" i="10"/>
  <c r="I921" i="10" s="1"/>
  <c r="H350" i="10"/>
  <c r="I350" i="10" s="1"/>
  <c r="H1745" i="10"/>
  <c r="I1745" i="10" s="1"/>
  <c r="H1749" i="10"/>
  <c r="I1749" i="10" s="1"/>
  <c r="H882" i="10"/>
  <c r="I882" i="10" s="1"/>
  <c r="H1357" i="10"/>
  <c r="I1357" i="10" s="1"/>
  <c r="H1547" i="10"/>
  <c r="I1547" i="10" s="1"/>
  <c r="H959" i="10"/>
  <c r="I959" i="10" s="1"/>
  <c r="H2121" i="10"/>
  <c r="I2121" i="10" s="1"/>
  <c r="H807" i="10"/>
  <c r="I807" i="10" s="1"/>
  <c r="H2111" i="10"/>
  <c r="I2111" i="10" s="1"/>
  <c r="H177" i="10"/>
  <c r="I177" i="10" s="1"/>
  <c r="H1248" i="10"/>
  <c r="I1248" i="10" s="1"/>
  <c r="H1433" i="10"/>
  <c r="I1433" i="10" s="1"/>
  <c r="H1900" i="10"/>
  <c r="I1900" i="10" s="1"/>
  <c r="H1184" i="10"/>
  <c r="I1184" i="10" s="1"/>
  <c r="H129" i="10"/>
  <c r="I129" i="10" s="1"/>
  <c r="H1727" i="10"/>
  <c r="I1727" i="10" s="1"/>
  <c r="H1197" i="10"/>
  <c r="I1197" i="10" s="1"/>
  <c r="H2102" i="10"/>
  <c r="I2102" i="10" s="1"/>
  <c r="H734" i="10"/>
  <c r="I734" i="10" s="1"/>
  <c r="H1829" i="10"/>
  <c r="I1829" i="10" s="1"/>
  <c r="H1784" i="10"/>
  <c r="I1784" i="10" s="1"/>
  <c r="H670" i="10"/>
  <c r="I670" i="10" s="1"/>
  <c r="H1482" i="10"/>
  <c r="I1482" i="10" s="1"/>
  <c r="H994" i="10"/>
  <c r="I994" i="10" s="1"/>
  <c r="H2411" i="10"/>
  <c r="I2411" i="10" s="1"/>
  <c r="H838" i="10"/>
  <c r="I838" i="10" s="1"/>
  <c r="H1056" i="10"/>
  <c r="I1056" i="10" s="1"/>
  <c r="H1029" i="10"/>
  <c r="I1029" i="10" s="1"/>
  <c r="H2033" i="10"/>
  <c r="I2033" i="10" s="1"/>
  <c r="H2037" i="10"/>
  <c r="I2037" i="10" s="1"/>
  <c r="H1624" i="10"/>
  <c r="I1624" i="10" s="1"/>
  <c r="H2050" i="10"/>
  <c r="I2050" i="10" s="1"/>
  <c r="H1391" i="10"/>
  <c r="I1391" i="10" s="1"/>
  <c r="H307" i="10"/>
  <c r="I307" i="10" s="1"/>
  <c r="H1965" i="10"/>
  <c r="I1965" i="10" s="1"/>
  <c r="H795" i="10"/>
  <c r="I795" i="10" s="1"/>
  <c r="H2099" i="10"/>
  <c r="I2099" i="10" s="1"/>
  <c r="H810" i="10"/>
  <c r="I810" i="10" s="1"/>
  <c r="H993" i="10"/>
  <c r="I993" i="10" s="1"/>
  <c r="H812" i="10"/>
  <c r="I812" i="10" s="1"/>
  <c r="H2176" i="10"/>
  <c r="I2176" i="10" s="1"/>
  <c r="H1019" i="10"/>
  <c r="I1019" i="10" s="1"/>
  <c r="H2636" i="10"/>
  <c r="I2636" i="10" s="1"/>
  <c r="H2169" i="10"/>
  <c r="I2169" i="10" s="1"/>
  <c r="H1610" i="10"/>
  <c r="I1610" i="10" s="1"/>
  <c r="H345" i="10"/>
  <c r="I345" i="10" s="1"/>
  <c r="H949" i="10"/>
  <c r="I949" i="10" s="1"/>
  <c r="H757" i="10"/>
  <c r="I757" i="10" s="1"/>
  <c r="H1076" i="10"/>
  <c r="I1076" i="10" s="1"/>
  <c r="H1107" i="10"/>
  <c r="I1107" i="10" s="1"/>
  <c r="H794" i="10"/>
  <c r="I794" i="10" s="1"/>
  <c r="H1397" i="10"/>
  <c r="I1397" i="10" s="1"/>
  <c r="H1864" i="10"/>
  <c r="I1864" i="10" s="1"/>
  <c r="H991" i="10"/>
  <c r="I991" i="10" s="1"/>
  <c r="H2612" i="10"/>
  <c r="I2612" i="10" s="1"/>
  <c r="H874" i="10"/>
  <c r="I874" i="10" s="1"/>
  <c r="H385" i="10"/>
  <c r="I385" i="10" s="1"/>
  <c r="H2002" i="10"/>
  <c r="I2002" i="10" s="1"/>
  <c r="H1311" i="10"/>
  <c r="I1311" i="10" s="1"/>
  <c r="H1318" i="10"/>
  <c r="I1318" i="10" s="1"/>
  <c r="H1041" i="10"/>
  <c r="I1041" i="10" s="1"/>
  <c r="H154" i="10"/>
  <c r="I154" i="10" s="1"/>
  <c r="H467" i="10"/>
  <c r="I467" i="10" s="1"/>
  <c r="H1809" i="10"/>
  <c r="I1809" i="10" s="1"/>
  <c r="H639" i="10"/>
  <c r="I639" i="10" s="1"/>
  <c r="H1943" i="10"/>
  <c r="I1943" i="10" s="1"/>
  <c r="H763" i="10"/>
  <c r="I763" i="10" s="1"/>
  <c r="H961" i="10"/>
  <c r="I961" i="10" s="1"/>
  <c r="H970" i="10"/>
  <c r="I970" i="10" s="1"/>
  <c r="H862" i="10"/>
  <c r="I862" i="10" s="1"/>
  <c r="H1295" i="10"/>
  <c r="I1295" i="10" s="1"/>
  <c r="H630" i="10"/>
  <c r="I630" i="10" s="1"/>
  <c r="H1261" i="10"/>
  <c r="I1261" i="10" s="1"/>
  <c r="H309" i="10"/>
  <c r="I309" i="10" s="1"/>
  <c r="H854" i="10"/>
  <c r="I854" i="10" s="1"/>
  <c r="H793" i="10"/>
  <c r="I793" i="10" s="1"/>
  <c r="H1162" i="10"/>
  <c r="I1162" i="10" s="1"/>
  <c r="H823" i="10"/>
  <c r="I823" i="10" s="1"/>
  <c r="H2028" i="10"/>
  <c r="I2028" i="10" s="1"/>
  <c r="H182" i="10"/>
  <c r="I182" i="10" s="1"/>
  <c r="H2211" i="10"/>
  <c r="I2211" i="10" s="1"/>
  <c r="H1031" i="10"/>
  <c r="I1031" i="10" s="1"/>
  <c r="H2648" i="10"/>
  <c r="I2648" i="10" s="1"/>
  <c r="H2026" i="10"/>
  <c r="I2026" i="10" s="1"/>
  <c r="H1469" i="10"/>
  <c r="I1469" i="10" s="1"/>
  <c r="H1677" i="10"/>
  <c r="I1677" i="10" s="1"/>
  <c r="H1762" i="10"/>
  <c r="I1762" i="10" s="1"/>
  <c r="H1747" i="10"/>
  <c r="I1747" i="10" s="1"/>
  <c r="H2215" i="10"/>
  <c r="I2215" i="10" s="1"/>
  <c r="H158" i="10"/>
  <c r="I158" i="10" s="1"/>
  <c r="H2413" i="10"/>
  <c r="I2413" i="10" s="1"/>
  <c r="H2762" i="10"/>
  <c r="I2762" i="10" s="1"/>
  <c r="H3227" i="10"/>
  <c r="I3227" i="10" s="1"/>
  <c r="H2502" i="10"/>
  <c r="I2502" i="10" s="1"/>
  <c r="H3044" i="10"/>
  <c r="I3044" i="10" s="1"/>
  <c r="H1801" i="10"/>
  <c r="I1801" i="10" s="1"/>
  <c r="H2715" i="10"/>
  <c r="I2715" i="10" s="1"/>
  <c r="H2508" i="10"/>
  <c r="I2508" i="10" s="1"/>
  <c r="H1666" i="10"/>
  <c r="I1666" i="10" s="1"/>
  <c r="H3132" i="10"/>
  <c r="I3132" i="10" s="1"/>
  <c r="H2209" i="10"/>
  <c r="I2209" i="10" s="1"/>
  <c r="H2260" i="10"/>
  <c r="I2260" i="10" s="1"/>
  <c r="H2911" i="10"/>
  <c r="I2911" i="10" s="1"/>
  <c r="H3237" i="10"/>
  <c r="I3237" i="10" s="1"/>
  <c r="H2497" i="10"/>
  <c r="I2497" i="10" s="1"/>
  <c r="H2524" i="10"/>
  <c r="I2524" i="10" s="1"/>
  <c r="H2405" i="10"/>
  <c r="I2405" i="10" s="1"/>
  <c r="H2035" i="10"/>
  <c r="I2035" i="10" s="1"/>
  <c r="H2626" i="10"/>
  <c r="I2626" i="10" s="1"/>
  <c r="H2355" i="10"/>
  <c r="I2355" i="10" s="1"/>
  <c r="H2618" i="10"/>
  <c r="I2618" i="10" s="1"/>
  <c r="H2754" i="10"/>
  <c r="I2754" i="10" s="1"/>
  <c r="H2982" i="10"/>
  <c r="I2982" i="10" s="1"/>
  <c r="H1910" i="10"/>
  <c r="I1910" i="10" s="1"/>
  <c r="H2089" i="10"/>
  <c r="I2089" i="10" s="1"/>
  <c r="H2811" i="10"/>
  <c r="I2811" i="10" s="1"/>
  <c r="H2604" i="10"/>
  <c r="I2604" i="10" s="1"/>
  <c r="H1926" i="10"/>
  <c r="I1926" i="10" s="1"/>
  <c r="H2901" i="10"/>
  <c r="I2901" i="10" s="1"/>
  <c r="H3313" i="10"/>
  <c r="I3313" i="10" s="1"/>
  <c r="H2725" i="10"/>
  <c r="I2725" i="10" s="1"/>
  <c r="H3226" i="10"/>
  <c r="I3226" i="10" s="1"/>
  <c r="H2498" i="10"/>
  <c r="I2498" i="10" s="1"/>
  <c r="H2518" i="10"/>
  <c r="I2518" i="10" s="1"/>
  <c r="H2804" i="10"/>
  <c r="I2804" i="10" s="1"/>
  <c r="H3168" i="10"/>
  <c r="I3168" i="10" s="1"/>
  <c r="H2897" i="10"/>
  <c r="I2897" i="10" s="1"/>
  <c r="H3081" i="10"/>
  <c r="I3081" i="10" s="1"/>
  <c r="H2813" i="10"/>
  <c r="I2813" i="10" s="1"/>
  <c r="H2349" i="10"/>
  <c r="I2349" i="10" s="1"/>
  <c r="H1758" i="10"/>
  <c r="I1758" i="10" s="1"/>
  <c r="H1522" i="10"/>
  <c r="I1522" i="10" s="1"/>
  <c r="H2470" i="10"/>
  <c r="I2470" i="10" s="1"/>
  <c r="H2029" i="10"/>
  <c r="I2029" i="10" s="1"/>
  <c r="H1652" i="10"/>
  <c r="I1652" i="10" s="1"/>
  <c r="H3023" i="10"/>
  <c r="I3023" i="10" s="1"/>
  <c r="H1499" i="10"/>
  <c r="I1499" i="10" s="1"/>
  <c r="H2792" i="10"/>
  <c r="I2792" i="10" s="1"/>
  <c r="H3156" i="10"/>
  <c r="I3156" i="10" s="1"/>
  <c r="H3274" i="10"/>
  <c r="I3274" i="10" s="1"/>
  <c r="H2909" i="10"/>
  <c r="I2909" i="10" s="1"/>
  <c r="H2513" i="10"/>
  <c r="I2513" i="10" s="1"/>
  <c r="H1595" i="10"/>
  <c r="I1595" i="10" s="1"/>
  <c r="H1462" i="10"/>
  <c r="I1462" i="10" s="1"/>
  <c r="H2458" i="10"/>
  <c r="I2458" i="10" s="1"/>
  <c r="H1922" i="10"/>
  <c r="I1922" i="10" s="1"/>
  <c r="H2744" i="10"/>
  <c r="I2744" i="10" s="1"/>
  <c r="H3108" i="10"/>
  <c r="I3108" i="10" s="1"/>
  <c r="H2381" i="10"/>
  <c r="I2381" i="10" s="1"/>
  <c r="H3033" i="10"/>
  <c r="I3033" i="10" s="1"/>
  <c r="H542" i="10"/>
  <c r="I542" i="10" s="1"/>
  <c r="H1781" i="10"/>
  <c r="I1781" i="10" s="1"/>
  <c r="H3262" i="10"/>
  <c r="I3262" i="10" s="1"/>
  <c r="H3272" i="10"/>
  <c r="I3272" i="10" s="1"/>
  <c r="H2335" i="10"/>
  <c r="I2335" i="10" s="1"/>
  <c r="H2799" i="10"/>
  <c r="I2799" i="10" s="1"/>
  <c r="H2592" i="10"/>
  <c r="I2592" i="10" s="1"/>
  <c r="H1890" i="10"/>
  <c r="I1890" i="10" s="1"/>
  <c r="H2745" i="10"/>
  <c r="I2745" i="10" s="1"/>
  <c r="H3301" i="10"/>
  <c r="I3301" i="10" s="1"/>
  <c r="H2689" i="10"/>
  <c r="I2689" i="10" s="1"/>
  <c r="H3214" i="10"/>
  <c r="I3214" i="10" s="1"/>
  <c r="H2418" i="10"/>
  <c r="I2418" i="10" s="1"/>
  <c r="H2465" i="10"/>
  <c r="I2465" i="10" s="1"/>
  <c r="H2000" i="10"/>
  <c r="I2000" i="10" s="1"/>
  <c r="H303" i="10"/>
  <c r="I303" i="10" s="1"/>
  <c r="H1585" i="10"/>
  <c r="I1585" i="10" s="1"/>
  <c r="H1789" i="10"/>
  <c r="I1789" i="10" s="1"/>
  <c r="H2178" i="10"/>
  <c r="I2178" i="10" s="1"/>
  <c r="H2985" i="10"/>
  <c r="I2985" i="10" s="1"/>
  <c r="H1464" i="10"/>
  <c r="I1464" i="10" s="1"/>
  <c r="H2545" i="10"/>
  <c r="I2545" i="10" s="1"/>
  <c r="H3166" i="10"/>
  <c r="I3166" i="10" s="1"/>
  <c r="H2246" i="10"/>
  <c r="I2246" i="10" s="1"/>
  <c r="H2393" i="10"/>
  <c r="I2393" i="10" s="1"/>
  <c r="H1723" i="10"/>
  <c r="I1723" i="10" s="1"/>
  <c r="H1631" i="10"/>
  <c r="I1631" i="10" s="1"/>
  <c r="H2495" i="10"/>
  <c r="I2495" i="10" s="1"/>
  <c r="H1618" i="10"/>
  <c r="I1618" i="10" s="1"/>
  <c r="H2987" i="10"/>
  <c r="I2987" i="10" s="1"/>
  <c r="H1936" i="10"/>
  <c r="I1936" i="10" s="1"/>
  <c r="H1548" i="10"/>
  <c r="I1548" i="10" s="1"/>
  <c r="H2369" i="10"/>
  <c r="I2369" i="10" s="1"/>
  <c r="H2654" i="10"/>
  <c r="I2654" i="10" s="1"/>
  <c r="H2882" i="10"/>
  <c r="I2882" i="10" s="1"/>
  <c r="H3357" i="10"/>
  <c r="I3357" i="10" s="1"/>
  <c r="H2838" i="10"/>
  <c r="I2838" i="10" s="1"/>
  <c r="H3164" i="10"/>
  <c r="I3164" i="10" s="1"/>
  <c r="H1729" i="10"/>
  <c r="I1729" i="10" s="1"/>
  <c r="H2691" i="10"/>
  <c r="I2691" i="10" s="1"/>
  <c r="H2628" i="10"/>
  <c r="I2628" i="10" s="1"/>
  <c r="H1274" i="10"/>
  <c r="I1274" i="10" s="1"/>
  <c r="H2147" i="10"/>
  <c r="I2147" i="10" s="1"/>
  <c r="H442" i="10"/>
  <c r="I442" i="10" s="1"/>
  <c r="H611" i="10"/>
  <c r="I611" i="10" s="1"/>
  <c r="H935" i="10"/>
  <c r="I935" i="10" s="1"/>
  <c r="H1953" i="10"/>
  <c r="I1953" i="10" s="1"/>
  <c r="H783" i="10"/>
  <c r="I783" i="10" s="1"/>
  <c r="H2087" i="10"/>
  <c r="I2087" i="10" s="1"/>
  <c r="H968" i="10"/>
  <c r="I968" i="10" s="1"/>
  <c r="H1297" i="10"/>
  <c r="I1297" i="10" s="1"/>
  <c r="H1122" i="10"/>
  <c r="I1122" i="10" s="1"/>
  <c r="H1231" i="10"/>
  <c r="I1231" i="10" s="1"/>
  <c r="H1439" i="10"/>
  <c r="I1439" i="10" s="1"/>
  <c r="H211" i="10"/>
  <c r="I211" i="10" s="1"/>
  <c r="H1549" i="10"/>
  <c r="I1549" i="10" s="1"/>
  <c r="H850" i="10"/>
  <c r="I850" i="10" s="1"/>
  <c r="H2291" i="10"/>
  <c r="I2291" i="10" s="1"/>
  <c r="H1025" i="10"/>
  <c r="I1025" i="10" s="1"/>
  <c r="H1327" i="10"/>
  <c r="I1327" i="10" s="1"/>
  <c r="H1088" i="10"/>
  <c r="I1088" i="10" s="1"/>
  <c r="H926" i="10"/>
  <c r="I926" i="10" s="1"/>
  <c r="H1201" i="10"/>
  <c r="I1201" i="10" s="1"/>
  <c r="H1545" i="10"/>
  <c r="I1545" i="10" s="1"/>
  <c r="H2268" i="10"/>
  <c r="I2268" i="10" s="1"/>
  <c r="H746" i="10"/>
  <c r="I746" i="10" s="1"/>
  <c r="H1562" i="10"/>
  <c r="I1562" i="10" s="1"/>
  <c r="H1728" i="10"/>
  <c r="I1728" i="10" s="1"/>
  <c r="H1576" i="10"/>
  <c r="I1576" i="10" s="1"/>
  <c r="H2055" i="10"/>
  <c r="I2055" i="10" s="1"/>
  <c r="H278" i="10"/>
  <c r="I278" i="10" s="1"/>
  <c r="H1733" i="10"/>
  <c r="I1733" i="10" s="1"/>
  <c r="H2264" i="10"/>
  <c r="I2264" i="10" s="1"/>
  <c r="H423" i="10"/>
  <c r="I423" i="10" s="1"/>
  <c r="H1364" i="10"/>
  <c r="I1364" i="10" s="1"/>
  <c r="H1712" i="10"/>
  <c r="I1712" i="10" s="1"/>
  <c r="H1217" i="10"/>
  <c r="I1217" i="10" s="1"/>
  <c r="H1678" i="10"/>
  <c r="I1678" i="10" s="1"/>
  <c r="H1245" i="10"/>
  <c r="I1245" i="10" s="1"/>
  <c r="H1039" i="10"/>
  <c r="I1039" i="10" s="1"/>
  <c r="H2204" i="10"/>
  <c r="I2204" i="10" s="1"/>
  <c r="H493" i="10"/>
  <c r="I493" i="10" s="1"/>
  <c r="H2110" i="10"/>
  <c r="I2110" i="10" s="1"/>
  <c r="H1767" i="10"/>
  <c r="I1767" i="10" s="1"/>
  <c r="H1279" i="10"/>
  <c r="I1279" i="10" s="1"/>
  <c r="H1185" i="10"/>
  <c r="I1185" i="10" s="1"/>
  <c r="H1706" i="10"/>
  <c r="I1706" i="10" s="1"/>
  <c r="H1872" i="10"/>
  <c r="I1872" i="10" s="1"/>
  <c r="H33" i="10"/>
  <c r="I33" i="10" s="1"/>
  <c r="H2199" i="10"/>
  <c r="I2199" i="10" s="1"/>
  <c r="H845" i="10"/>
  <c r="I845" i="10" s="1"/>
  <c r="H1877" i="10"/>
  <c r="I1877" i="10" s="1"/>
  <c r="H2408" i="10"/>
  <c r="I2408" i="10" s="1"/>
  <c r="H567" i="10"/>
  <c r="I567" i="10" s="1"/>
  <c r="H1616" i="10"/>
  <c r="I1616" i="10" s="1"/>
  <c r="H1856" i="10"/>
  <c r="I1856" i="10" s="1"/>
  <c r="H2370" i="10"/>
  <c r="I2370" i="10" s="1"/>
  <c r="H285" i="10"/>
  <c r="I285" i="10" s="1"/>
  <c r="H2763" i="10"/>
  <c r="I2763" i="10" s="1"/>
  <c r="H2919" i="10"/>
  <c r="I2919" i="10" s="1"/>
  <c r="H1123" i="10"/>
  <c r="I1123" i="10" s="1"/>
  <c r="H2242" i="10"/>
  <c r="I2242" i="10" s="1"/>
  <c r="H2865" i="10"/>
  <c r="I2865" i="10" s="1"/>
  <c r="H3277" i="10"/>
  <c r="I3277" i="10" s="1"/>
  <c r="H2617" i="10"/>
  <c r="I2617" i="10" s="1"/>
  <c r="H3190" i="10"/>
  <c r="I3190" i="10" s="1"/>
  <c r="H2786" i="10"/>
  <c r="I2786" i="10" s="1"/>
  <c r="H2573" i="10"/>
  <c r="I2573" i="10" s="1"/>
  <c r="H1795" i="10"/>
  <c r="I1795" i="10" s="1"/>
  <c r="H1753" i="10"/>
  <c r="I1753" i="10" s="1"/>
  <c r="H2402" i="10"/>
  <c r="I2402" i="10" s="1"/>
  <c r="H1782" i="10"/>
  <c r="I1782" i="10" s="1"/>
  <c r="H2565" i="10"/>
  <c r="I2565" i="10" s="1"/>
  <c r="H2971" i="10"/>
  <c r="I2971" i="10" s="1"/>
  <c r="H3371" i="10"/>
  <c r="I3371" i="10" s="1"/>
  <c r="H2867" i="10"/>
  <c r="I2867" i="10" s="1"/>
  <c r="H3188" i="10"/>
  <c r="I3188" i="10" s="1"/>
  <c r="H2233" i="10"/>
  <c r="I2233" i="10" s="1"/>
  <c r="H2859" i="10"/>
  <c r="I2859" i="10" s="1"/>
  <c r="H2652" i="10"/>
  <c r="I2652" i="10" s="1"/>
  <c r="H2106" i="10"/>
  <c r="I2106" i="10" s="1"/>
  <c r="H1806" i="10"/>
  <c r="I1806" i="10" s="1"/>
  <c r="H2840" i="10"/>
  <c r="I2840" i="10" s="1"/>
  <c r="H3024" i="10"/>
  <c r="I3024" i="10" s="1"/>
  <c r="H2575" i="10"/>
  <c r="I2575" i="10" s="1"/>
  <c r="H2923" i="10"/>
  <c r="I2923" i="10" s="1"/>
  <c r="H2669" i="10"/>
  <c r="I2669" i="10" s="1"/>
  <c r="H2083" i="10"/>
  <c r="I2083" i="10" s="1"/>
  <c r="H2005" i="10"/>
  <c r="I2005" i="10" s="1"/>
  <c r="H2759" i="10"/>
  <c r="I2759" i="10" s="1"/>
  <c r="H2298" i="10"/>
  <c r="I2298" i="10" s="1"/>
  <c r="H1573" i="10"/>
  <c r="I1573" i="10" s="1"/>
  <c r="H3264" i="10"/>
  <c r="I3264" i="10" s="1"/>
  <c r="H2854" i="10"/>
  <c r="I2854" i="10" s="1"/>
  <c r="H2544" i="10"/>
  <c r="I2544" i="10" s="1"/>
  <c r="H2674" i="10"/>
  <c r="I2674" i="10" s="1"/>
  <c r="H2553" i="10"/>
  <c r="I2553" i="10" s="1"/>
  <c r="H2957" i="10"/>
  <c r="I2957" i="10" s="1"/>
  <c r="H3215" i="10"/>
  <c r="I3215" i="10" s="1"/>
  <c r="H2466" i="10"/>
  <c r="I2466" i="10" s="1"/>
  <c r="H3032" i="10"/>
  <c r="I3032" i="10" s="1"/>
  <c r="H2812" i="10"/>
  <c r="I2812" i="10" s="1"/>
  <c r="H2703" i="10"/>
  <c r="I2703" i="10" s="1"/>
  <c r="H2496" i="10"/>
  <c r="I2496" i="10" s="1"/>
  <c r="H1580" i="10"/>
  <c r="I1580" i="10" s="1"/>
  <c r="H2661" i="10"/>
  <c r="I2661" i="10" s="1"/>
  <c r="H3073" i="10"/>
  <c r="I3073" i="10" s="1"/>
  <c r="H1613" i="10"/>
  <c r="I1613" i="10" s="1"/>
  <c r="H2662" i="10"/>
  <c r="I2662" i="10" s="1"/>
  <c r="H1741" i="10"/>
  <c r="I1741" i="10" s="1"/>
  <c r="H3312" i="10"/>
  <c r="I3312" i="10" s="1"/>
  <c r="H3059" i="10"/>
  <c r="I3059" i="10" s="1"/>
  <c r="H3225" i="10"/>
  <c r="I3225" i="10" s="1"/>
  <c r="H2461" i="10"/>
  <c r="I2461" i="10" s="1"/>
  <c r="H2512" i="10"/>
  <c r="I2512" i="10" s="1"/>
  <c r="H2190" i="10"/>
  <c r="I2190" i="10" s="1"/>
  <c r="H1999" i="10"/>
  <c r="I1999" i="10" s="1"/>
  <c r="H2614" i="10"/>
  <c r="I2614" i="10" s="1"/>
  <c r="H2326" i="10"/>
  <c r="I2326" i="10" s="1"/>
  <c r="H2546" i="10"/>
  <c r="I2546" i="10" s="1"/>
  <c r="H3167" i="10"/>
  <c r="I3167" i="10" s="1"/>
  <c r="H906" i="10"/>
  <c r="I906" i="10" s="1"/>
  <c r="H1703" i="10"/>
  <c r="I1703" i="10" s="1"/>
  <c r="H3300" i="10"/>
  <c r="I3300" i="10" s="1"/>
  <c r="H1632" i="10"/>
  <c r="I1632" i="10" s="1"/>
  <c r="H3069" i="10"/>
  <c r="I3069" i="10" s="1"/>
  <c r="H2657" i="10"/>
  <c r="I2657" i="10" s="1"/>
  <c r="H2047" i="10"/>
  <c r="I2047" i="10" s="1"/>
  <c r="H1969" i="10"/>
  <c r="I1969" i="10" s="1"/>
  <c r="H2603" i="10"/>
  <c r="I2603" i="10" s="1"/>
  <c r="H2284" i="10"/>
  <c r="I2284" i="10" s="1"/>
  <c r="H1510" i="10"/>
  <c r="I1510" i="10" s="1"/>
  <c r="H3252" i="10"/>
  <c r="I3252" i="10" s="1"/>
  <c r="H2825" i="10"/>
  <c r="I2825" i="10" s="1"/>
  <c r="H3177" i="10"/>
  <c r="I3177" i="10" s="1"/>
  <c r="H1314" i="10"/>
  <c r="I1314" i="10" s="1"/>
  <c r="H895" i="10"/>
  <c r="I895" i="10" s="1"/>
  <c r="H2088" i="10"/>
  <c r="I2088" i="10" s="1"/>
  <c r="H2596" i="10"/>
  <c r="I2596" i="10" s="1"/>
  <c r="H1544" i="10"/>
  <c r="I1544" i="10" s="1"/>
  <c r="H903" i="10"/>
  <c r="I903" i="10" s="1"/>
  <c r="H2210" i="10"/>
  <c r="I2210" i="10" s="1"/>
  <c r="H1064" i="10"/>
  <c r="I1064" i="10" s="1"/>
  <c r="H3204" i="10"/>
  <c r="I3204" i="10" s="1"/>
  <c r="H2683" i="10"/>
  <c r="I2683" i="10" s="1"/>
  <c r="H3117" i="10"/>
  <c r="I3117" i="10" s="1"/>
  <c r="H2569" i="10"/>
  <c r="I2569" i="10" s="1"/>
  <c r="H2548" i="10"/>
  <c r="I2548" i="10" s="1"/>
  <c r="H2261" i="10"/>
  <c r="I2261" i="10" s="1"/>
  <c r="H1711" i="10"/>
  <c r="I1711" i="10" s="1"/>
  <c r="H501" i="10"/>
  <c r="I501" i="10" s="1"/>
  <c r="H2368" i="10"/>
  <c r="I2368" i="10" s="1"/>
  <c r="H2061" i="10"/>
  <c r="I2061" i="10" s="1"/>
  <c r="H2142" i="10"/>
  <c r="I2142" i="10" s="1"/>
  <c r="H2541" i="10"/>
  <c r="I2541" i="10" s="1"/>
  <c r="H2942" i="10"/>
  <c r="I2942" i="10" s="1"/>
  <c r="H1416" i="10"/>
  <c r="I1416" i="10" s="1"/>
  <c r="H2884" i="10"/>
  <c r="I2884" i="10" s="1"/>
  <c r="H3310" i="10"/>
  <c r="I3310" i="10" s="1"/>
  <c r="H2714" i="10"/>
  <c r="I2714" i="10" s="1"/>
  <c r="H2549" i="10"/>
  <c r="I2549" i="10" s="1"/>
  <c r="H2155" i="10"/>
  <c r="I2155" i="10" s="1"/>
  <c r="H972" i="10"/>
  <c r="I972" i="10" s="1"/>
  <c r="H2639" i="10"/>
  <c r="I2639" i="10" s="1"/>
  <c r="H2066" i="10"/>
  <c r="I2066" i="10" s="1"/>
  <c r="H2989" i="10"/>
  <c r="I2989" i="10" s="1"/>
  <c r="H1141" i="10"/>
  <c r="I1141" i="10" s="1"/>
  <c r="H1209" i="10"/>
  <c r="I1209" i="10" s="1"/>
  <c r="H958" i="10"/>
  <c r="I958" i="10" s="1"/>
  <c r="H458" i="10"/>
  <c r="I458" i="10" s="1"/>
  <c r="H1050" i="10"/>
  <c r="I1050" i="10" s="1"/>
  <c r="H339" i="10"/>
  <c r="I339" i="10" s="1"/>
  <c r="H1629" i="10"/>
  <c r="I1629" i="10" s="1"/>
  <c r="H1395" i="10"/>
  <c r="I1395" i="10" s="1"/>
  <c r="H655" i="10"/>
  <c r="I655" i="10" s="1"/>
  <c r="H722" i="10"/>
  <c r="I722" i="10" s="1"/>
  <c r="H2152" i="10"/>
  <c r="I2152" i="10" s="1"/>
  <c r="H1283" i="10"/>
  <c r="I1283" i="10" s="1"/>
  <c r="H668" i="10"/>
  <c r="I668" i="10" s="1"/>
  <c r="H1525" i="10"/>
  <c r="I1525" i="10" s="1"/>
  <c r="H673" i="10"/>
  <c r="I673" i="10" s="1"/>
  <c r="H843" i="10"/>
  <c r="I843" i="10" s="1"/>
  <c r="H321" i="10"/>
  <c r="I321" i="10" s="1"/>
  <c r="H92" i="10"/>
  <c r="I92" i="10" s="1"/>
  <c r="H1473" i="10"/>
  <c r="I1473" i="10" s="1"/>
  <c r="H586" i="10"/>
  <c r="I586" i="10" s="1"/>
  <c r="H577" i="10"/>
  <c r="I577" i="10" s="1"/>
  <c r="H1101" i="10"/>
  <c r="I1101" i="10" s="1"/>
  <c r="H2105" i="10"/>
  <c r="I2105" i="10" s="1"/>
  <c r="H2060" i="10"/>
  <c r="I2060" i="10" s="1"/>
  <c r="H349" i="10"/>
  <c r="I349" i="10" s="1"/>
  <c r="H1966" i="10"/>
  <c r="I1966" i="10" s="1"/>
  <c r="H1420" i="10"/>
  <c r="I1420" i="10" s="1"/>
  <c r="H1899" i="10"/>
  <c r="I1899" i="10" s="1"/>
  <c r="H206" i="10"/>
  <c r="I206" i="10" s="1"/>
  <c r="H1721" i="10"/>
  <c r="I1721" i="10" s="1"/>
  <c r="H595" i="10"/>
  <c r="I595" i="10" s="1"/>
  <c r="H706" i="10"/>
  <c r="I706" i="10" s="1"/>
  <c r="H1726" i="10"/>
  <c r="I1726" i="10" s="1"/>
  <c r="H1179" i="10"/>
  <c r="I1179" i="10" s="1"/>
  <c r="H1803" i="10"/>
  <c r="I1803" i="10" s="1"/>
  <c r="H1883" i="10"/>
  <c r="I1883" i="10" s="1"/>
  <c r="H1377" i="10"/>
  <c r="I1377" i="10" s="1"/>
  <c r="H1807" i="10"/>
  <c r="I1807" i="10" s="1"/>
  <c r="H1760" i="10"/>
  <c r="I1760" i="10" s="1"/>
  <c r="H659" i="10"/>
  <c r="I659" i="10" s="1"/>
  <c r="H1656" i="10"/>
  <c r="I1656" i="10" s="1"/>
  <c r="H1406" i="10"/>
  <c r="I1406" i="10" s="1"/>
  <c r="H1532" i="10"/>
  <c r="I1532" i="10" s="1"/>
  <c r="H1255" i="10"/>
  <c r="I1255" i="10" s="1"/>
  <c r="H692" i="10"/>
  <c r="I692" i="10" s="1"/>
  <c r="H1988" i="10"/>
  <c r="I1988" i="10" s="1"/>
  <c r="H1564" i="10"/>
  <c r="I1564" i="10" s="1"/>
  <c r="H2043" i="10"/>
  <c r="I2043" i="10" s="1"/>
  <c r="H830" i="10"/>
  <c r="I830" i="10" s="1"/>
  <c r="H1865" i="10"/>
  <c r="I1865" i="10" s="1"/>
  <c r="H1153" i="10"/>
  <c r="I1153" i="10" s="1"/>
  <c r="H1007" i="10"/>
  <c r="I1007" i="10" s="1"/>
  <c r="H1870" i="10"/>
  <c r="I1870" i="10" s="1"/>
  <c r="H1467" i="10"/>
  <c r="I1467" i="10" s="1"/>
  <c r="H1947" i="10"/>
  <c r="I1947" i="10" s="1"/>
  <c r="H2027" i="10"/>
  <c r="I2027" i="10" s="1"/>
  <c r="H896" i="10"/>
  <c r="I896" i="10" s="1"/>
  <c r="H1172" i="10"/>
  <c r="I1172" i="10" s="1"/>
  <c r="H2621" i="10"/>
  <c r="I2621" i="10" s="1"/>
  <c r="H2777" i="10"/>
  <c r="I2777" i="10" s="1"/>
  <c r="H2476" i="10"/>
  <c r="I2476" i="10" s="1"/>
  <c r="H1638" i="10"/>
  <c r="I1638" i="10" s="1"/>
  <c r="H2723" i="10"/>
  <c r="I2723" i="10" s="1"/>
  <c r="H2256" i="10"/>
  <c r="I2256" i="10" s="1"/>
  <c r="H1344" i="10"/>
  <c r="I1344" i="10" s="1"/>
  <c r="H3372" i="10"/>
  <c r="I3372" i="10" s="1"/>
  <c r="H2969" i="10"/>
  <c r="I2969" i="10" s="1"/>
  <c r="H3285" i="10"/>
  <c r="I3285" i="10" s="1"/>
  <c r="H2641" i="10"/>
  <c r="I2641" i="10" s="1"/>
  <c r="H2584" i="10"/>
  <c r="I2584" i="10" s="1"/>
  <c r="H1400" i="10"/>
  <c r="I1400" i="10" s="1"/>
  <c r="H1861" i="10"/>
  <c r="I1861" i="10" s="1"/>
  <c r="H2415" i="10"/>
  <c r="I2415" i="10" s="1"/>
  <c r="H871" i="10"/>
  <c r="I871" i="10" s="1"/>
  <c r="H1826" i="10"/>
  <c r="I1826" i="10" s="1"/>
  <c r="H2912" i="10"/>
  <c r="I2912" i="10" s="1"/>
  <c r="H3334" i="10"/>
  <c r="I3334" i="10" s="1"/>
  <c r="H2981" i="10"/>
  <c r="I2981" i="10" s="1"/>
  <c r="H2717" i="10"/>
  <c r="I2717" i="10" s="1"/>
  <c r="H2227" i="10"/>
  <c r="I2227" i="10" s="1"/>
  <c r="H1392" i="10"/>
  <c r="I1392" i="10" s="1"/>
  <c r="H2356" i="10"/>
  <c r="I2356" i="10" s="1"/>
  <c r="H2530" i="10"/>
  <c r="I2530" i="10" s="1"/>
  <c r="H2398" i="10"/>
  <c r="I2398" i="10" s="1"/>
  <c r="H2726" i="10"/>
  <c r="I2726" i="10" s="1"/>
  <c r="H3071" i="10"/>
  <c r="I3071" i="10" s="1"/>
  <c r="H3381" i="10"/>
  <c r="I3381" i="10" s="1"/>
  <c r="H2864" i="10"/>
  <c r="I2864" i="10" s="1"/>
  <c r="H2668" i="10"/>
  <c r="I2668" i="10" s="1"/>
  <c r="H2559" i="10"/>
  <c r="I2559" i="10" s="1"/>
  <c r="H2330" i="10"/>
  <c r="I2330" i="10" s="1"/>
  <c r="H2770" i="10"/>
  <c r="I2770" i="10" s="1"/>
  <c r="H2517" i="10"/>
  <c r="I2517" i="10" s="1"/>
  <c r="H2914" i="10"/>
  <c r="I2914" i="10" s="1"/>
  <c r="H1903" i="10"/>
  <c r="I1903" i="10" s="1"/>
  <c r="H2700" i="10"/>
  <c r="I2700" i="10" s="1"/>
  <c r="H2401" i="10"/>
  <c r="I2401" i="10" s="1"/>
  <c r="H2853" i="10"/>
  <c r="I2853" i="10" s="1"/>
  <c r="H3265" i="10"/>
  <c r="I3265" i="10" s="1"/>
  <c r="H2581" i="10"/>
  <c r="I2581" i="10" s="1"/>
  <c r="H3178" i="10"/>
  <c r="I3178" i="10" s="1"/>
  <c r="H2289" i="10"/>
  <c r="I2289" i="10" s="1"/>
  <c r="H2561" i="10"/>
  <c r="I2561" i="10" s="1"/>
  <c r="H1759" i="10"/>
  <c r="I1759" i="10" s="1"/>
  <c r="H1675" i="10"/>
  <c r="I1675" i="10" s="1"/>
  <c r="H2519" i="10"/>
  <c r="I2519" i="10" s="1"/>
  <c r="H3061" i="10"/>
  <c r="I3061" i="10" s="1"/>
  <c r="H986" i="10"/>
  <c r="I986" i="10" s="1"/>
  <c r="H2688" i="10"/>
  <c r="I2688" i="10" s="1"/>
  <c r="H2818" i="10"/>
  <c r="I2818" i="10" s="1"/>
  <c r="H2697" i="10"/>
  <c r="I2697" i="10" s="1"/>
  <c r="H3109" i="10"/>
  <c r="I3109" i="10" s="1"/>
  <c r="H3359" i="10"/>
  <c r="I3359" i="10" s="1"/>
  <c r="H2852" i="10"/>
  <c r="I2852" i="10" s="1"/>
  <c r="H3176" i="10"/>
  <c r="I3176" i="10" s="1"/>
  <c r="H1765" i="10"/>
  <c r="I1765" i="10" s="1"/>
  <c r="H2847" i="10"/>
  <c r="I2847" i="10" s="1"/>
  <c r="H2640" i="10"/>
  <c r="I2640" i="10" s="1"/>
  <c r="H2034" i="10"/>
  <c r="I2034" i="10" s="1"/>
  <c r="H2805" i="10"/>
  <c r="I2805" i="10" s="1"/>
  <c r="H3217" i="10"/>
  <c r="I3217" i="10" s="1"/>
  <c r="H1773" i="10"/>
  <c r="I1773" i="10" s="1"/>
  <c r="H2806" i="10"/>
  <c r="I2806" i="10" s="1"/>
  <c r="H2173" i="10"/>
  <c r="I2173" i="10" s="1"/>
  <c r="H2186" i="10"/>
  <c r="I2186" i="10" s="1"/>
  <c r="H3203" i="10"/>
  <c r="I3203" i="10" s="1"/>
  <c r="H3369" i="10"/>
  <c r="I3369" i="10" s="1"/>
  <c r="H2850" i="10"/>
  <c r="I2850" i="10" s="1"/>
  <c r="H2656" i="10"/>
  <c r="I2656" i="10" s="1"/>
  <c r="H2391" i="10"/>
  <c r="I2391" i="10" s="1"/>
  <c r="H2316" i="10"/>
  <c r="I2316" i="10" s="1"/>
  <c r="H2758" i="10"/>
  <c r="I2758" i="10" s="1"/>
  <c r="H2493" i="10"/>
  <c r="I2493" i="10" s="1"/>
  <c r="H2885" i="10"/>
  <c r="I2885" i="10" s="1"/>
  <c r="H3311" i="10"/>
  <c r="I3311" i="10" s="1"/>
  <c r="H2171" i="10"/>
  <c r="I2171" i="10" s="1"/>
  <c r="H470" i="10"/>
  <c r="I470" i="10" s="1"/>
  <c r="H357" i="10"/>
  <c r="I357" i="10" s="1"/>
  <c r="H3260" i="10"/>
  <c r="I3260" i="10" s="1"/>
  <c r="H2752" i="10"/>
  <c r="I2752" i="10" s="1"/>
  <c r="H2643" i="10"/>
  <c r="I2643" i="10" s="1"/>
  <c r="H2258" i="10"/>
  <c r="I2258" i="10" s="1"/>
  <c r="H2710" i="10"/>
  <c r="I2710" i="10" s="1"/>
  <c r="H2441" i="10"/>
  <c r="I2441" i="10" s="1"/>
  <c r="H2827" i="10"/>
  <c r="I2827" i="10" s="1"/>
  <c r="H3251" i="10"/>
  <c r="I3251" i="10" s="1"/>
  <c r="H2896" i="10"/>
  <c r="I2896" i="10" s="1"/>
  <c r="H3212" i="10"/>
  <c r="I3212" i="10" s="1"/>
  <c r="H1873" i="10"/>
  <c r="I1873" i="10" s="1"/>
  <c r="H2751" i="10"/>
  <c r="I2751" i="10" s="1"/>
  <c r="H2144" i="10"/>
  <c r="I2144" i="10" s="1"/>
  <c r="H447" i="10"/>
  <c r="I447" i="10" s="1"/>
  <c r="H1751" i="10"/>
  <c r="I1751" i="10" s="1"/>
  <c r="H1472" i="10"/>
  <c r="I1472" i="10" s="1"/>
  <c r="H2386" i="10"/>
  <c r="I2386" i="10" s="1"/>
  <c r="H1742" i="10"/>
  <c r="I1742" i="10" s="1"/>
  <c r="H2400" i="10"/>
  <c r="I2400" i="10" s="1"/>
  <c r="H1849" i="10"/>
  <c r="I1849" i="10" s="1"/>
  <c r="H3348" i="10"/>
  <c r="I3348" i="10" s="1"/>
  <c r="H2940" i="10"/>
  <c r="I2940" i="10" s="1"/>
  <c r="H3261" i="10"/>
  <c r="I3261" i="10" s="1"/>
  <c r="H2893" i="10"/>
  <c r="I2893" i="10" s="1"/>
  <c r="H1268" i="10"/>
  <c r="I1268" i="10" s="1"/>
  <c r="H1768" i="10"/>
  <c r="I1768" i="10" s="1"/>
  <c r="H1037" i="10"/>
  <c r="I1037" i="10" s="1"/>
  <c r="H1412" i="10"/>
  <c r="I1412" i="10" s="1"/>
  <c r="H938" i="10"/>
  <c r="I938" i="10" s="1"/>
  <c r="H2124" i="10"/>
  <c r="I2124" i="10" s="1"/>
  <c r="H1241" i="10"/>
  <c r="I1241" i="10" s="1"/>
  <c r="H1707" i="10"/>
  <c r="I1707" i="10" s="1"/>
  <c r="H977" i="10"/>
  <c r="I977" i="10" s="1"/>
  <c r="H2600" i="10"/>
  <c r="I2600" i="10" s="1"/>
  <c r="H1213" i="10"/>
  <c r="I1213" i="10" s="1"/>
  <c r="H661" i="10"/>
  <c r="I661" i="10" s="1"/>
  <c r="H777" i="10"/>
  <c r="I777" i="10" s="1"/>
  <c r="H1586" i="10"/>
  <c r="I1586" i="10" s="1"/>
  <c r="H1752" i="10"/>
  <c r="I1752" i="10" s="1"/>
  <c r="H1445" i="10"/>
  <c r="I1445" i="10" s="1"/>
  <c r="H1912" i="10"/>
  <c r="I1912" i="10" s="1"/>
  <c r="H2132" i="10"/>
  <c r="I2132" i="10" s="1"/>
  <c r="H881" i="10"/>
  <c r="I881" i="10" s="1"/>
  <c r="H1194" i="10"/>
  <c r="I1194" i="10" s="1"/>
  <c r="H1596" i="10"/>
  <c r="I1596" i="10" s="1"/>
  <c r="H358" i="10"/>
  <c r="I358" i="10" s="1"/>
  <c r="H1434" i="10"/>
  <c r="I1434" i="10" s="1"/>
  <c r="H1262" i="10"/>
  <c r="I1262" i="10" s="1"/>
  <c r="H1244" i="10"/>
  <c r="I1244" i="10" s="1"/>
  <c r="H410" i="10"/>
  <c r="I410" i="10" s="1"/>
  <c r="H1519" i="10"/>
  <c r="I1519" i="10" s="1"/>
  <c r="H429" i="10"/>
  <c r="I429" i="10" s="1"/>
  <c r="H99" i="10"/>
  <c r="I99" i="10" s="1"/>
  <c r="H1725" i="10"/>
  <c r="I1725" i="10" s="1"/>
  <c r="H1022" i="10"/>
  <c r="I1022" i="10" s="1"/>
  <c r="H2435" i="10"/>
  <c r="I2435" i="10" s="1"/>
  <c r="H1313" i="10"/>
  <c r="I1313" i="10" s="1"/>
  <c r="H1593" i="10"/>
  <c r="I1593" i="10" s="1"/>
  <c r="H1398" i="10"/>
  <c r="I1398" i="10" s="1"/>
  <c r="H1892" i="10"/>
  <c r="I1892" i="10" s="1"/>
  <c r="H312" i="10"/>
  <c r="I312" i="10" s="1"/>
  <c r="H230" i="10"/>
  <c r="I230" i="10" s="1"/>
  <c r="H951" i="10"/>
  <c r="I951" i="10" s="1"/>
  <c r="H2375" i="10"/>
  <c r="I2375" i="10" s="1"/>
  <c r="H1264" i="10"/>
  <c r="I1264" i="10" s="1"/>
  <c r="H1743" i="10"/>
  <c r="I1743" i="10" s="1"/>
  <c r="H105" i="10"/>
  <c r="I105" i="10" s="1"/>
  <c r="H1709" i="10"/>
  <c r="I1709" i="10" s="1"/>
  <c r="H1126" i="10"/>
  <c r="I1126" i="10" s="1"/>
  <c r="H419" i="10"/>
  <c r="I419" i="10" s="1"/>
  <c r="H1869" i="10"/>
  <c r="I1869" i="10" s="1"/>
  <c r="H1166" i="10"/>
  <c r="I1166" i="10" s="1"/>
  <c r="H1020" i="10"/>
  <c r="I1020" i="10" s="1"/>
  <c r="H1457" i="10"/>
  <c r="I1457" i="10" s="1"/>
  <c r="H1757" i="10"/>
  <c r="I1757" i="10" s="1"/>
  <c r="H1635" i="10"/>
  <c r="I1635" i="10" s="1"/>
  <c r="H477" i="10"/>
  <c r="I477" i="10" s="1"/>
  <c r="H2092" i="10"/>
  <c r="I2092" i="10" s="1"/>
  <c r="H3333" i="10"/>
  <c r="I3333" i="10" s="1"/>
  <c r="H2337" i="10"/>
  <c r="I2337" i="10" s="1"/>
  <c r="H3140" i="10"/>
  <c r="I3140" i="10" s="1"/>
  <c r="H2776" i="10"/>
  <c r="I2776" i="10" s="1"/>
  <c r="H2523" i="10"/>
  <c r="I2523" i="10" s="1"/>
  <c r="H2286" i="10"/>
  <c r="I2286" i="10" s="1"/>
  <c r="H2734" i="10"/>
  <c r="I2734" i="10" s="1"/>
  <c r="H2613" i="10"/>
  <c r="I2613" i="10" s="1"/>
  <c r="H3025" i="10"/>
  <c r="I3025" i="10" s="1"/>
  <c r="H2670" i="10"/>
  <c r="I2670" i="10" s="1"/>
  <c r="H2924" i="10"/>
  <c r="I2924" i="10" s="1"/>
  <c r="H3248" i="10"/>
  <c r="I3248" i="10" s="1"/>
  <c r="H2331" i="10"/>
  <c r="I2331" i="10" s="1"/>
  <c r="H2620" i="10"/>
  <c r="I2620" i="10" s="1"/>
  <c r="H2082" i="10"/>
  <c r="I2082" i="10" s="1"/>
  <c r="H1258" i="10"/>
  <c r="I1258" i="10" s="1"/>
  <c r="H2428" i="10"/>
  <c r="I2428" i="10" s="1"/>
  <c r="H1921" i="10"/>
  <c r="I1921" i="10" s="1"/>
  <c r="H2433" i="10"/>
  <c r="I2433" i="10" s="1"/>
  <c r="H3119" i="10"/>
  <c r="I3119" i="10" s="1"/>
  <c r="H1914" i="10"/>
  <c r="I1914" i="10" s="1"/>
  <c r="H2922" i="10"/>
  <c r="I2922" i="10" s="1"/>
  <c r="H2728" i="10"/>
  <c r="I2728" i="10" s="1"/>
  <c r="H2388" i="10"/>
  <c r="I2388" i="10" s="1"/>
  <c r="H2556" i="10"/>
  <c r="I2556" i="10" s="1"/>
  <c r="H2214" i="10"/>
  <c r="I2214" i="10" s="1"/>
  <c r="H2709" i="10"/>
  <c r="I2709" i="10" s="1"/>
  <c r="H3121" i="10"/>
  <c r="I3121" i="10" s="1"/>
  <c r="H1802" i="10"/>
  <c r="I1802" i="10" s="1"/>
  <c r="H3034" i="10"/>
  <c r="I3034" i="10" s="1"/>
  <c r="H3332" i="10"/>
  <c r="I3332" i="10" s="1"/>
  <c r="H2407" i="10"/>
  <c r="I2407" i="10" s="1"/>
  <c r="H3003" i="10"/>
  <c r="I3003" i="10" s="1"/>
  <c r="H2796" i="10"/>
  <c r="I2796" i="10" s="1"/>
  <c r="H2357" i="10"/>
  <c r="I2357" i="10" s="1"/>
  <c r="H2582" i="10"/>
  <c r="I2582" i="10" s="1"/>
  <c r="H2749" i="10"/>
  <c r="I2749" i="10" s="1"/>
  <c r="H2292" i="10"/>
  <c r="I2292" i="10" s="1"/>
  <c r="H2046" i="10"/>
  <c r="I2046" i="10" s="1"/>
  <c r="H2711" i="10"/>
  <c r="I2711" i="10" s="1"/>
  <c r="H2241" i="10"/>
  <c r="I2241" i="10" s="1"/>
  <c r="H1232" i="10"/>
  <c r="I1232" i="10" s="1"/>
  <c r="H3216" i="10"/>
  <c r="I3216" i="10" s="1"/>
  <c r="H2719" i="10"/>
  <c r="I2719" i="10" s="1"/>
  <c r="H3273" i="10"/>
  <c r="I3273" i="10" s="1"/>
  <c r="H2605" i="10"/>
  <c r="I2605" i="10" s="1"/>
  <c r="H2560" i="10"/>
  <c r="I2560" i="10" s="1"/>
  <c r="H2290" i="10"/>
  <c r="I2290" i="10" s="1"/>
  <c r="H1634" i="10"/>
  <c r="I1634" i="10" s="1"/>
  <c r="H1800" i="10"/>
  <c r="I1800" i="10" s="1"/>
  <c r="H2277" i="10"/>
  <c r="I2277" i="10" s="1"/>
  <c r="H934" i="10"/>
  <c r="I934" i="10" s="1"/>
  <c r="H2555" i="10"/>
  <c r="I2555" i="10" s="1"/>
  <c r="H2997" i="10"/>
  <c r="I2997" i="10" s="1"/>
  <c r="H1676" i="10"/>
  <c r="I1676" i="10" s="1"/>
  <c r="H2898" i="10"/>
  <c r="I2898" i="10" s="1"/>
  <c r="H3322" i="10"/>
  <c r="I3322" i="10" s="1"/>
  <c r="H2750" i="10"/>
  <c r="I2750" i="10" s="1"/>
  <c r="H2705" i="10"/>
  <c r="I2705" i="10" s="1"/>
  <c r="H2191" i="10"/>
  <c r="I2191" i="10" s="1"/>
  <c r="H1150" i="10"/>
  <c r="I1150" i="10" s="1"/>
  <c r="H2663" i="10"/>
  <c r="I2663" i="10" s="1"/>
  <c r="H3205" i="10"/>
  <c r="I3205" i="10" s="1"/>
  <c r="H1315" i="10"/>
  <c r="I1315" i="10" s="1"/>
  <c r="H374" i="10"/>
  <c r="I374" i="10" s="1"/>
  <c r="H1746" i="10"/>
  <c r="I1746" i="10" s="1"/>
  <c r="H2841" i="10"/>
  <c r="I2841" i="10" s="1"/>
  <c r="H3253" i="10"/>
  <c r="I3253" i="10" s="1"/>
  <c r="H1647" i="10"/>
  <c r="I1647" i="10" s="1"/>
  <c r="H3022" i="10"/>
  <c r="I3022" i="10" s="1"/>
  <c r="H3320" i="10"/>
  <c r="I3320" i="10" s="1"/>
  <c r="H2197" i="10"/>
  <c r="I2197" i="10" s="1"/>
  <c r="H2991" i="10"/>
  <c r="I2991" i="10" s="1"/>
  <c r="H2784" i="10"/>
  <c r="I2784" i="10" s="1"/>
  <c r="H2329" i="10"/>
  <c r="I2329" i="10" s="1"/>
  <c r="H2949" i="10"/>
  <c r="I2949" i="10" s="1"/>
  <c r="H3361" i="10"/>
  <c r="I3361" i="10" s="1"/>
  <c r="H1027" i="10"/>
  <c r="I1027" i="10" s="1"/>
  <c r="H902" i="10"/>
  <c r="I902" i="10" s="1"/>
  <c r="H1925" i="10"/>
  <c r="I1925" i="10" s="1"/>
  <c r="H1378" i="10"/>
  <c r="I1378" i="10" s="1"/>
  <c r="H1766" i="10"/>
  <c r="I1766" i="10" s="1"/>
  <c r="H2501" i="10"/>
  <c r="I2501" i="10" s="1"/>
  <c r="H2943" i="10"/>
  <c r="I2943" i="10" s="1"/>
  <c r="H2736" i="10"/>
  <c r="I2736" i="10" s="1"/>
  <c r="H2271" i="10"/>
  <c r="I2271" i="10" s="1"/>
  <c r="H2889" i="10"/>
  <c r="I2889" i="10" s="1"/>
  <c r="H2090" i="10"/>
  <c r="I2090" i="10" s="1"/>
  <c r="H2941" i="10"/>
  <c r="I2941" i="10" s="1"/>
  <c r="H3358" i="10"/>
  <c r="I3358" i="10" s="1"/>
  <c r="H2837" i="10"/>
  <c r="I2837" i="10" s="1"/>
  <c r="H2609" i="10"/>
  <c r="I2609" i="10" s="1"/>
  <c r="H1584" i="10"/>
  <c r="I1584" i="10" s="1"/>
  <c r="H1059" i="10"/>
  <c r="I1059" i="10" s="1"/>
  <c r="H2232" i="10"/>
  <c r="I2232" i="10" s="1"/>
  <c r="H2740" i="10"/>
  <c r="I2740" i="10" s="1"/>
  <c r="H2010" i="10"/>
  <c r="I2010" i="10" s="1"/>
  <c r="H1819" i="10"/>
  <c r="I1819" i="10" s="1"/>
  <c r="H2430" i="10"/>
  <c r="I2430" i="10" s="1"/>
  <c r="H1092" i="10"/>
  <c r="I1092" i="10" s="1"/>
  <c r="H2589" i="10"/>
  <c r="I2589" i="10" s="1"/>
  <c r="H3000" i="10"/>
  <c r="I3000" i="10" s="1"/>
  <c r="H2077" i="10"/>
  <c r="I2077" i="10" s="1"/>
  <c r="H3058" i="10"/>
  <c r="I3058" i="10" s="1"/>
  <c r="H2447" i="10"/>
  <c r="I2447" i="10" s="1"/>
  <c r="H1236" i="10"/>
  <c r="I1236" i="10" s="1"/>
  <c r="H2294" i="10"/>
  <c r="I2294" i="10" s="1"/>
  <c r="H621" i="10"/>
  <c r="I621" i="10" s="1"/>
  <c r="H817" i="10"/>
  <c r="I817" i="10" s="1"/>
  <c r="H1401" i="10"/>
  <c r="I1401" i="10" s="1"/>
  <c r="H1879" i="10"/>
  <c r="I1879" i="10" s="1"/>
  <c r="H2360" i="10"/>
  <c r="I2360" i="10" s="1"/>
  <c r="H505" i="10"/>
  <c r="I505" i="10" s="1"/>
  <c r="H2122" i="10"/>
  <c r="I2122" i="10" s="1"/>
  <c r="H1574" i="10"/>
  <c r="I1574" i="10" s="1"/>
  <c r="H1740" i="10"/>
  <c r="I1740" i="10" s="1"/>
  <c r="H1444" i="10"/>
  <c r="I1444" i="10" s="1"/>
  <c r="H1923" i="10"/>
  <c r="I1923" i="10" s="1"/>
  <c r="H362" i="10"/>
  <c r="I362" i="10" s="1"/>
  <c r="H2340" i="10"/>
  <c r="I2340" i="10" s="1"/>
  <c r="H1738" i="10"/>
  <c r="I1738" i="10" s="1"/>
  <c r="H1181" i="10"/>
  <c r="I1181" i="10" s="1"/>
  <c r="H1644" i="10"/>
  <c r="I1644" i="10" s="1"/>
  <c r="H2097" i="10"/>
  <c r="I2097" i="10" s="1"/>
  <c r="H705" i="10"/>
  <c r="I705" i="10" s="1"/>
  <c r="H2231" i="10"/>
  <c r="I2231" i="10" s="1"/>
  <c r="H1120" i="10"/>
  <c r="I1120" i="10" s="1"/>
  <c r="H1577" i="10"/>
  <c r="I1577" i="10" s="1"/>
  <c r="H1427" i="10"/>
  <c r="I1427" i="10" s="1"/>
  <c r="H63" i="10"/>
  <c r="I63" i="10" s="1"/>
  <c r="H1713" i="10"/>
  <c r="I1713" i="10" s="1"/>
  <c r="H39" i="10"/>
  <c r="I39" i="10" s="1"/>
  <c r="H1219" i="10"/>
  <c r="I1219" i="10" s="1"/>
  <c r="H853" i="10"/>
  <c r="I853" i="10" s="1"/>
  <c r="H1087" i="10"/>
  <c r="I1087" i="10" s="1"/>
  <c r="H434" i="10"/>
  <c r="I434" i="10" s="1"/>
  <c r="H709" i="10"/>
  <c r="I709" i="10" s="1"/>
  <c r="H721" i="10"/>
  <c r="I721" i="10" s="1"/>
  <c r="H1075" i="10"/>
  <c r="I1075" i="10" s="1"/>
  <c r="H627" i="10"/>
  <c r="I627" i="10" s="1"/>
  <c r="H1931" i="10"/>
  <c r="I1931" i="10" s="1"/>
  <c r="H715" i="10"/>
  <c r="I715" i="10" s="1"/>
  <c r="H929" i="10"/>
  <c r="I929" i="10" s="1"/>
  <c r="H1110" i="10"/>
  <c r="I1110" i="10" s="1"/>
  <c r="H1207" i="10"/>
  <c r="I1207" i="10" s="1"/>
  <c r="H1146" i="10"/>
  <c r="I1146" i="10" s="1"/>
  <c r="H111" i="10"/>
  <c r="I111" i="10" s="1"/>
  <c r="H213" i="10"/>
  <c r="I213" i="10" s="1"/>
  <c r="H407" i="10"/>
  <c r="I407" i="10" s="1"/>
  <c r="H1857" i="10"/>
  <c r="I1857" i="10" s="1"/>
  <c r="H255" i="10"/>
  <c r="I255" i="10" s="1"/>
  <c r="H1507" i="10"/>
  <c r="I1507" i="10" s="1"/>
  <c r="H1024" i="10"/>
  <c r="I1024" i="10" s="1"/>
  <c r="H1393" i="10"/>
  <c r="I1393" i="10" s="1"/>
  <c r="H876" i="10"/>
  <c r="I876" i="10" s="1"/>
  <c r="H147" i="10"/>
  <c r="I147" i="10" s="1"/>
  <c r="H159" i="10"/>
  <c r="I159" i="10" s="1"/>
  <c r="H905" i="10"/>
  <c r="I905" i="10" s="1"/>
  <c r="H2540" i="10"/>
  <c r="I2540" i="10" s="1"/>
  <c r="H3018" i="10"/>
  <c r="I3018" i="10" s="1"/>
  <c r="H2473" i="10"/>
  <c r="I2473" i="10" s="1"/>
  <c r="H3286" i="10"/>
  <c r="I3286" i="10" s="1"/>
  <c r="H2042" i="10"/>
  <c r="I2042" i="10" s="1"/>
  <c r="H2365" i="10"/>
  <c r="I2365" i="10" s="1"/>
  <c r="H2967" i="10"/>
  <c r="I2967" i="10" s="1"/>
  <c r="H2760" i="10"/>
  <c r="I2760" i="10" s="1"/>
  <c r="H2471" i="10"/>
  <c r="I2471" i="10" s="1"/>
  <c r="H1440" i="10"/>
  <c r="I1440" i="10" s="1"/>
  <c r="H2265" i="10"/>
  <c r="I2265" i="10" s="1"/>
  <c r="H2970" i="10"/>
  <c r="I2970" i="10" s="1"/>
  <c r="H417" i="10"/>
  <c r="I417" i="10" s="1"/>
  <c r="H2790" i="10"/>
  <c r="I2790" i="10" s="1"/>
  <c r="H3284" i="10"/>
  <c r="I3284" i="10" s="1"/>
  <c r="H1645" i="10"/>
  <c r="I1645" i="10" s="1"/>
  <c r="H2667" i="10"/>
  <c r="I2667" i="10" s="1"/>
  <c r="H2460" i="10"/>
  <c r="I2460" i="10" s="1"/>
  <c r="H1354" i="10"/>
  <c r="I1354" i="10" s="1"/>
  <c r="H2757" i="10"/>
  <c r="I2757" i="10" s="1"/>
  <c r="H3169" i="10"/>
  <c r="I3169" i="10" s="1"/>
  <c r="H2259" i="10"/>
  <c r="I2259" i="10" s="1"/>
  <c r="H3082" i="10"/>
  <c r="I3082" i="10" s="1"/>
  <c r="H1320" i="10"/>
  <c r="I1320" i="10" s="1"/>
  <c r="H1304" i="10"/>
  <c r="I1304" i="10" s="1"/>
  <c r="H1939" i="10"/>
  <c r="I1939" i="10" s="1"/>
  <c r="H1594" i="10"/>
  <c r="I1594" i="10" s="1"/>
  <c r="H2567" i="10"/>
  <c r="I2567" i="10" s="1"/>
  <c r="H1814" i="10"/>
  <c r="I1814" i="10" s="1"/>
  <c r="H2708" i="10"/>
  <c r="I2708" i="10" s="1"/>
  <c r="H3072" i="10"/>
  <c r="I3072" i="10" s="1"/>
  <c r="H2251" i="10"/>
  <c r="I2251" i="10" s="1"/>
  <c r="H3129" i="10"/>
  <c r="I3129" i="10" s="1"/>
  <c r="H1898" i="10"/>
  <c r="I1898" i="10" s="1"/>
  <c r="H2406" i="10"/>
  <c r="I2406" i="10" s="1"/>
  <c r="H1938" i="10"/>
  <c r="I1938" i="10" s="1"/>
  <c r="H1827" i="10"/>
  <c r="I1827" i="10" s="1"/>
  <c r="H2968" i="10"/>
  <c r="I2968" i="10" s="1"/>
  <c r="H2980" i="10"/>
  <c r="I2980" i="10" s="1"/>
  <c r="H1603" i="10"/>
  <c r="I1603" i="10" s="1"/>
  <c r="H2511" i="10"/>
  <c r="I2511" i="10" s="1"/>
  <c r="H2272" i="10"/>
  <c r="I2272" i="10" s="1"/>
  <c r="H2722" i="10"/>
  <c r="I2722" i="10" s="1"/>
  <c r="H2455" i="10"/>
  <c r="I2455" i="10" s="1"/>
  <c r="H3013" i="10"/>
  <c r="I3013" i="10" s="1"/>
  <c r="H1874" i="10"/>
  <c r="I1874" i="10" s="1"/>
  <c r="H2910" i="10"/>
  <c r="I2910" i="10" s="1"/>
  <c r="H3224" i="10"/>
  <c r="I3224" i="10" s="1"/>
  <c r="H1945" i="10"/>
  <c r="I1945" i="10" s="1"/>
  <c r="H1492" i="10"/>
  <c r="I1492" i="10" s="1"/>
  <c r="H1971" i="10"/>
  <c r="I1971" i="10" s="1"/>
  <c r="H2965" i="10"/>
  <c r="I2965" i="10" s="1"/>
  <c r="H2464" i="10"/>
  <c r="I2464" i="10" s="1"/>
  <c r="H2333" i="10"/>
  <c r="I2333" i="10" s="1"/>
  <c r="H1093" i="10"/>
  <c r="I1093" i="10" s="1"/>
  <c r="H2414" i="10"/>
  <c r="I2414" i="10" s="1"/>
  <c r="H1885" i="10"/>
  <c r="I1885" i="10" s="1"/>
  <c r="H3360" i="10"/>
  <c r="I3360" i="10" s="1"/>
  <c r="H2954" i="10"/>
  <c r="I2954" i="10" s="1"/>
  <c r="H1770" i="10"/>
  <c r="I1770" i="10" s="1"/>
  <c r="H2908" i="10"/>
  <c r="I2908" i="10" s="1"/>
  <c r="H2704" i="10"/>
  <c r="I2704" i="10" s="1"/>
  <c r="H2463" i="10"/>
  <c r="I2463" i="10" s="1"/>
  <c r="H518" i="10"/>
  <c r="I518" i="10" s="1"/>
  <c r="H1944" i="10"/>
  <c r="I1944" i="10" s="1"/>
  <c r="H2450" i="10"/>
  <c r="I2450" i="10" s="1"/>
  <c r="H1825" i="10"/>
  <c r="I1825" i="10" s="1"/>
  <c r="H2699" i="10"/>
  <c r="I2699" i="10" s="1"/>
  <c r="H1778" i="10"/>
  <c r="I1778" i="10" s="1"/>
  <c r="H2696" i="10"/>
  <c r="I2696" i="10" s="1"/>
  <c r="H3060" i="10"/>
  <c r="I3060" i="10" s="1"/>
  <c r="H2166" i="10"/>
  <c r="I2166" i="10" s="1"/>
  <c r="H2966" i="10"/>
  <c r="I2966" i="10" s="1"/>
  <c r="H1754" i="10"/>
  <c r="I1754" i="10" s="1"/>
  <c r="H2392" i="10"/>
  <c r="I2392" i="10" s="1"/>
  <c r="H1866" i="10"/>
  <c r="I1866" i="10" s="1"/>
  <c r="H2807" i="10"/>
  <c r="I2807" i="10" s="1"/>
  <c r="H2352" i="10"/>
  <c r="I2352" i="10" s="1"/>
  <c r="H1792" i="10"/>
  <c r="I1792" i="10" s="1"/>
  <c r="H1260" i="10"/>
  <c r="I1260" i="10" s="1"/>
  <c r="H2137" i="10"/>
  <c r="I2137" i="10" s="1"/>
  <c r="H2078" i="10"/>
  <c r="I2078" i="10" s="1"/>
  <c r="H2539" i="10"/>
  <c r="I2539" i="10" s="1"/>
  <c r="H3213" i="10"/>
  <c r="I3213" i="10" s="1"/>
  <c r="H2801" i="10"/>
  <c r="I2801" i="10" s="1"/>
  <c r="H2334" i="10"/>
  <c r="I2334" i="10" s="1"/>
  <c r="H1722" i="10"/>
  <c r="I1722" i="10" s="1"/>
  <c r="H2747" i="10"/>
  <c r="I2747" i="10" s="1"/>
  <c r="H2457" i="10"/>
  <c r="I2457" i="10" s="1"/>
  <c r="H1993" i="10"/>
  <c r="I1993" i="10" s="1"/>
  <c r="H1424" i="10"/>
  <c r="I1424" i="10" s="1"/>
  <c r="H2998" i="10"/>
  <c r="I2998" i="10" s="1"/>
  <c r="H3321" i="10"/>
  <c r="I3321" i="10" s="1"/>
  <c r="H2315" i="10"/>
  <c r="I2315" i="10" s="1"/>
  <c r="H883" i="10"/>
  <c r="I883" i="10" s="1"/>
  <c r="H1116" i="10"/>
  <c r="I1116" i="10" s="1"/>
  <c r="H1604" i="10"/>
  <c r="I1604" i="10" s="1"/>
  <c r="H1558" i="10"/>
  <c r="I1558" i="10" s="1"/>
  <c r="H2787" i="10"/>
  <c r="I2787" i="10" s="1"/>
  <c r="H1546" i="10"/>
  <c r="I1546" i="10" s="1"/>
  <c r="H1376" i="10"/>
  <c r="I1376" i="10" s="1"/>
  <c r="H2443" i="10"/>
  <c r="I2443" i="10" s="1"/>
  <c r="H1234" i="10"/>
  <c r="I1234" i="10" s="1"/>
  <c r="H2732" i="10"/>
  <c r="I2732" i="10" s="1"/>
  <c r="H3096" i="10"/>
  <c r="I3096" i="10" s="1"/>
  <c r="H1671" i="10"/>
  <c r="I1671" i="10" s="1"/>
  <c r="H1288" i="10"/>
  <c r="I1288" i="10" s="1"/>
  <c r="H1976" i="10"/>
  <c r="I1976" i="10" s="1"/>
  <c r="H1417" i="10"/>
  <c r="I1417" i="10" s="1"/>
  <c r="H1571" i="10"/>
  <c r="I1571" i="10" s="1"/>
  <c r="H1174" i="10"/>
  <c r="I1174" i="10" s="1"/>
  <c r="H945" i="10"/>
  <c r="I945" i="10" s="1"/>
  <c r="H1961" i="10"/>
  <c r="I1961" i="10" s="1"/>
  <c r="H1916" i="10"/>
  <c r="I1916" i="10" s="1"/>
  <c r="H205" i="10"/>
  <c r="I205" i="10" s="1"/>
  <c r="H1822" i="10"/>
  <c r="I1822" i="10" s="1"/>
  <c r="H1418" i="10"/>
  <c r="I1418" i="10" s="1"/>
  <c r="H1556" i="10"/>
  <c r="I1556" i="10" s="1"/>
  <c r="H1432" i="10"/>
  <c r="I1432" i="10" s="1"/>
  <c r="H1911" i="10"/>
  <c r="I1911" i="10" s="1"/>
  <c r="H535" i="10"/>
  <c r="I535" i="10" s="1"/>
  <c r="H1565" i="10"/>
  <c r="I1565" i="10" s="1"/>
  <c r="H2120" i="10"/>
  <c r="I2120" i="10" s="1"/>
  <c r="H279" i="10"/>
  <c r="I279" i="10" s="1"/>
  <c r="H1051" i="10"/>
  <c r="I1051" i="10" s="1"/>
  <c r="H1524" i="10"/>
  <c r="I1524" i="10" s="1"/>
  <c r="H2431" i="10"/>
  <c r="I2431" i="10" s="1"/>
  <c r="H1787" i="10"/>
  <c r="I1787" i="10" s="1"/>
  <c r="H1539" i="10"/>
  <c r="I1539" i="10" s="1"/>
  <c r="H1171" i="10"/>
  <c r="I1171" i="10" s="1"/>
  <c r="H956" i="10"/>
  <c r="I956" i="10" s="1"/>
  <c r="H819" i="10"/>
  <c r="I819" i="10" s="1"/>
  <c r="H1501" i="10"/>
  <c r="I1501" i="10" s="1"/>
  <c r="H805" i="10"/>
  <c r="I805" i="10" s="1"/>
  <c r="H1189" i="10"/>
  <c r="I1189" i="10" s="1"/>
  <c r="H242" i="10"/>
  <c r="I242" i="10" s="1"/>
  <c r="H1896" i="10"/>
  <c r="I1896" i="10" s="1"/>
  <c r="H261" i="10"/>
  <c r="I261" i="10" s="1"/>
  <c r="H2056" i="10"/>
  <c r="I2056" i="10" s="1"/>
  <c r="H2276" i="10"/>
  <c r="I2276" i="10" s="1"/>
  <c r="H1047" i="10"/>
  <c r="I1047" i="10" s="1"/>
  <c r="H1067" i="10"/>
  <c r="I1067" i="10" s="1"/>
  <c r="H2063" i="10"/>
  <c r="I2063" i="10" s="1"/>
  <c r="H1239" i="10"/>
  <c r="I1239" i="10" s="1"/>
  <c r="H1165" i="10"/>
  <c r="I1165" i="10" s="1"/>
  <c r="H1529" i="10"/>
  <c r="I1529" i="10" s="1"/>
  <c r="H1996" i="10"/>
  <c r="I1996" i="10" s="1"/>
  <c r="H1271" i="10"/>
  <c r="I1271" i="10" s="1"/>
  <c r="H1307" i="10"/>
  <c r="I1307" i="10" s="1"/>
  <c r="H866" i="10"/>
  <c r="I866" i="10" s="1"/>
  <c r="H1699" i="10"/>
  <c r="I1699" i="10" s="1"/>
  <c r="H243" i="10"/>
  <c r="I243" i="10" s="1"/>
  <c r="H1483" i="10"/>
  <c r="I1483" i="10" s="1"/>
  <c r="H837" i="10"/>
  <c r="I837" i="10" s="1"/>
  <c r="H2040" i="10"/>
  <c r="I2040" i="10" s="1"/>
  <c r="H841" i="10"/>
  <c r="I841" i="10" s="1"/>
  <c r="H2200" i="10"/>
  <c r="I2200" i="10" s="1"/>
  <c r="H2420" i="10"/>
  <c r="I2420" i="10" s="1"/>
  <c r="H1191" i="10"/>
  <c r="I1191" i="10" s="1"/>
  <c r="H1211" i="10"/>
  <c r="I1211" i="10" s="1"/>
  <c r="H2300" i="10"/>
  <c r="I2300" i="10" s="1"/>
  <c r="H1662" i="10"/>
  <c r="I1662" i="10" s="1"/>
  <c r="H2138" i="10"/>
  <c r="I2138" i="10" s="1"/>
  <c r="H1777" i="10"/>
  <c r="I1777" i="10" s="1"/>
  <c r="H3324" i="10"/>
  <c r="I3324" i="10" s="1"/>
  <c r="H2611" i="10"/>
  <c r="I2611" i="10" s="1"/>
  <c r="H3093" i="10"/>
  <c r="I3093" i="10" s="1"/>
  <c r="H1282" i="10"/>
  <c r="I1282" i="10" s="1"/>
  <c r="H2364" i="10"/>
  <c r="I2364" i="10" s="1"/>
  <c r="H2226" i="10"/>
  <c r="I2226" i="10" s="1"/>
  <c r="H1581" i="10"/>
  <c r="I1581" i="10" s="1"/>
  <c r="H2482" i="10"/>
  <c r="I2482" i="10" s="1"/>
  <c r="H2101" i="10"/>
  <c r="I2101" i="10" s="1"/>
  <c r="H1950" i="10"/>
  <c r="I1950" i="10" s="1"/>
  <c r="H2855" i="10"/>
  <c r="I2855" i="10" s="1"/>
  <c r="H1790" i="10"/>
  <c r="I1790" i="10" s="1"/>
  <c r="H2642" i="10"/>
  <c r="I2642" i="10" s="1"/>
  <c r="H2525" i="10"/>
  <c r="I2525" i="10" s="1"/>
  <c r="H1639" i="10"/>
  <c r="I1639" i="10" s="1"/>
  <c r="H1534" i="10"/>
  <c r="I1534" i="10" s="1"/>
  <c r="H2615" i="10"/>
  <c r="I2615" i="10" s="1"/>
  <c r="H1958" i="10"/>
  <c r="I1958" i="10" s="1"/>
  <c r="H2756" i="10"/>
  <c r="I2756" i="10" s="1"/>
  <c r="H3120" i="10"/>
  <c r="I3120" i="10" s="1"/>
  <c r="H2467" i="10"/>
  <c r="I2467" i="10" s="1"/>
  <c r="H2287" i="10"/>
  <c r="I2287" i="10" s="1"/>
  <c r="H2785" i="10"/>
  <c r="I2785" i="10" s="1"/>
  <c r="H2764" i="10"/>
  <c r="I2764" i="10" s="1"/>
  <c r="H2347" i="10"/>
  <c r="I2347" i="10" s="1"/>
  <c r="H1891" i="10"/>
  <c r="I1891" i="10" s="1"/>
  <c r="H2578" i="10"/>
  <c r="I2578" i="10" s="1"/>
  <c r="H2283" i="10"/>
  <c r="I2283" i="10" s="1"/>
  <c r="H2842" i="10"/>
  <c r="I2842" i="10" s="1"/>
  <c r="H3263" i="10"/>
  <c r="I3263" i="10" s="1"/>
  <c r="H2610" i="10"/>
  <c r="I2610" i="10" s="1"/>
  <c r="H3080" i="10"/>
  <c r="I3080" i="10" s="1"/>
  <c r="H1402" i="10"/>
  <c r="I1402" i="10" s="1"/>
  <c r="H1375" i="10"/>
  <c r="I1375" i="10" s="1"/>
  <c r="H3012" i="10"/>
  <c r="I3012" i="10" s="1"/>
  <c r="H3130" i="10"/>
  <c r="I3130" i="10" s="1"/>
  <c r="H2606" i="10"/>
  <c r="I2606" i="10" s="1"/>
  <c r="H2350" i="10"/>
  <c r="I2350" i="10" s="1"/>
  <c r="H2955" i="10"/>
  <c r="I2955" i="10" s="1"/>
  <c r="H2748" i="10"/>
  <c r="I2748" i="10" s="1"/>
  <c r="H2285" i="10"/>
  <c r="I2285" i="10" s="1"/>
  <c r="H1352" i="10"/>
  <c r="I1352" i="10" s="1"/>
  <c r="H2198" i="10"/>
  <c r="I2198" i="10" s="1"/>
  <c r="H2956" i="10"/>
  <c r="I2956" i="10" s="1"/>
  <c r="H3370" i="10"/>
  <c r="I3370" i="10" s="1"/>
  <c r="H2866" i="10"/>
  <c r="I2866" i="10" s="1"/>
  <c r="H727" i="10"/>
  <c r="I727" i="10" s="1"/>
  <c r="H1621" i="10"/>
  <c r="I1621" i="10" s="1"/>
  <c r="H3118" i="10"/>
  <c r="I3118" i="10" s="1"/>
  <c r="H3128" i="10"/>
  <c r="I3128" i="10" s="1"/>
  <c r="H2053" i="10"/>
  <c r="I2053" i="10" s="1"/>
  <c r="H2655" i="10"/>
  <c r="I2655" i="10" s="1"/>
  <c r="H2445" i="10"/>
  <c r="I2445" i="10" s="1"/>
  <c r="H1256" i="10"/>
  <c r="I1256" i="10" s="1"/>
  <c r="H2601" i="10"/>
  <c r="I2601" i="10" s="1"/>
  <c r="H3157" i="10"/>
  <c r="I3157" i="10" s="1"/>
  <c r="H2185" i="10"/>
  <c r="I2185" i="10" s="1"/>
  <c r="H3070" i="10"/>
  <c r="I3070" i="10" s="1"/>
  <c r="H3368" i="10"/>
  <c r="I3368" i="10" s="1"/>
  <c r="H2293" i="10"/>
  <c r="I2293" i="10" s="1"/>
  <c r="H1636" i="10"/>
  <c r="I1636" i="10" s="1"/>
  <c r="H2115" i="10"/>
  <c r="I2115" i="10" s="1"/>
  <c r="H3116" i="10"/>
  <c r="I3116" i="10" s="1"/>
  <c r="H2608" i="10"/>
  <c r="I2608" i="10" s="1"/>
  <c r="H2499" i="10"/>
  <c r="I2499" i="10" s="1"/>
  <c r="H1855" i="10"/>
  <c r="I1855" i="10" s="1"/>
  <c r="H2566" i="10"/>
  <c r="I2566" i="10" s="1"/>
  <c r="H2269" i="10"/>
  <c r="I2269" i="10" s="1"/>
  <c r="H2390" i="10"/>
  <c r="I2390" i="10" s="1"/>
  <c r="H3107" i="10"/>
  <c r="I3107" i="10" s="1"/>
  <c r="H2574" i="10"/>
  <c r="I2574" i="10" s="1"/>
  <c r="H3068" i="10"/>
  <c r="I3068" i="10" s="1"/>
  <c r="H1177" i="10"/>
  <c r="I1177" i="10" s="1"/>
  <c r="H2607" i="10"/>
  <c r="I2607" i="10" s="1"/>
  <c r="H1485" i="10"/>
  <c r="I1485" i="10" s="1"/>
  <c r="H2131" i="10"/>
  <c r="I2131" i="10" s="1"/>
  <c r="H1917" i="10"/>
  <c r="I1917" i="10" s="1"/>
  <c r="H1710" i="10"/>
  <c r="I1710" i="10" s="1"/>
  <c r="H2383" i="10"/>
  <c r="I2383" i="10" s="1"/>
  <c r="H2690" i="10"/>
  <c r="I2690" i="10" s="1"/>
  <c r="H3347" i="10"/>
  <c r="I3347" i="10" s="1"/>
  <c r="H2424" i="10"/>
  <c r="I2424" i="10" s="1"/>
  <c r="H3020" i="10"/>
  <c r="I3020" i="10" s="1"/>
  <c r="H2800" i="10"/>
  <c r="I2800" i="10" s="1"/>
  <c r="H2547" i="10"/>
  <c r="I2547" i="10" s="1"/>
  <c r="H2484" i="10"/>
  <c r="I2484" i="10" s="1"/>
  <c r="H1520" i="10"/>
  <c r="I1520" i="10" s="1"/>
  <c r="H2637" i="10"/>
  <c r="I2637" i="10" s="1"/>
  <c r="H3049" i="10"/>
  <c r="I3049" i="10" s="1"/>
  <c r="H2963" i="10"/>
  <c r="I2963" i="10" s="1"/>
  <c r="H537" i="10"/>
  <c r="I537" i="10" s="1"/>
  <c r="H1065" i="10"/>
  <c r="I1065" i="10" s="1"/>
  <c r="H2069" i="10"/>
  <c r="I2069" i="10" s="1"/>
  <c r="H2503" i="10"/>
  <c r="I2503" i="10" s="1"/>
  <c r="H2570" i="10"/>
  <c r="I2570" i="10" s="1"/>
  <c r="H2645" i="10"/>
  <c r="I2645" i="10" s="1"/>
  <c r="H2417" i="10"/>
  <c r="I2417" i="10" s="1"/>
  <c r="H2500" i="10"/>
  <c r="I2500" i="10" s="1"/>
  <c r="H2154" i="10"/>
  <c r="I2154" i="10" s="1"/>
  <c r="H1450" i="10"/>
  <c r="I1450" i="10" s="1"/>
  <c r="H2602" i="10"/>
  <c r="I2602" i="10" s="1"/>
  <c r="H2311" i="10"/>
  <c r="I2311" i="10" s="1"/>
  <c r="H1266" i="10"/>
  <c r="I1266" i="10" s="1"/>
  <c r="H1002" i="10"/>
  <c r="I1002" i="10" s="1"/>
  <c r="H128" i="10"/>
  <c r="I128" i="10" s="1"/>
  <c r="H2093" i="10"/>
  <c r="I2093" i="10" s="1"/>
  <c r="H1332" i="10"/>
  <c r="I1332" i="10" s="1"/>
  <c r="H776" i="10"/>
  <c r="I776" i="10" s="1"/>
  <c r="H1129" i="10"/>
  <c r="I1129" i="10" s="1"/>
  <c r="H1118" i="10"/>
  <c r="I1118" i="10" s="1"/>
  <c r="H885" i="10"/>
  <c r="I885" i="10" s="1"/>
  <c r="H1276" i="10"/>
  <c r="I1276" i="10" s="1"/>
  <c r="H1755" i="10"/>
  <c r="I1755" i="10" s="1"/>
  <c r="H482" i="10"/>
  <c r="I482" i="10" s="1"/>
  <c r="H1543" i="10"/>
  <c r="I1543" i="10" s="1"/>
  <c r="H1451" i="10"/>
  <c r="I1451" i="10" s="1"/>
  <c r="H93" i="10"/>
  <c r="I93" i="10" s="1"/>
  <c r="H1554" i="10"/>
  <c r="I1554" i="10" s="1"/>
  <c r="H1035" i="10"/>
  <c r="I1035" i="10" s="1"/>
  <c r="H1649" i="10"/>
  <c r="I1649" i="10" s="1"/>
  <c r="H1739" i="10"/>
  <c r="I1739" i="10" s="1"/>
  <c r="H1095" i="10"/>
  <c r="I1095" i="10" s="1"/>
  <c r="H650" i="10"/>
  <c r="I650" i="10" s="1"/>
  <c r="H1385" i="10"/>
  <c r="I1385" i="10" s="1"/>
  <c r="H1852" i="10"/>
  <c r="I1852" i="10" s="1"/>
  <c r="H1127" i="10"/>
  <c r="I1127" i="10" s="1"/>
  <c r="H649" i="10"/>
  <c r="I649" i="10" s="1"/>
  <c r="H633" i="10"/>
  <c r="I633" i="10" s="1"/>
  <c r="H170" i="10"/>
  <c r="I170" i="10" s="1"/>
  <c r="H1884" i="10"/>
  <c r="I1884" i="10" s="1"/>
  <c r="H1588" i="10"/>
  <c r="I1588" i="10" s="1"/>
  <c r="H2067" i="10"/>
  <c r="I2067" i="10" s="1"/>
  <c r="H861" i="10"/>
  <c r="I861" i="10" s="1"/>
  <c r="H2504" i="10"/>
  <c r="I2504" i="10" s="1"/>
  <c r="H1882" i="10"/>
  <c r="I1882" i="10" s="1"/>
  <c r="H1325" i="10"/>
  <c r="I1325" i="10" s="1"/>
  <c r="H1465" i="10"/>
  <c r="I1465" i="10" s="1"/>
  <c r="H302" i="10"/>
  <c r="I302" i="10" s="1"/>
  <c r="H1085" i="10"/>
  <c r="I1085" i="10" s="1"/>
  <c r="H1494" i="10"/>
  <c r="I1494" i="10" s="1"/>
  <c r="H741" i="10"/>
  <c r="I741" i="10" s="1"/>
  <c r="H2440" i="10"/>
  <c r="I2440" i="10" s="1"/>
  <c r="H1186" i="10"/>
  <c r="I1186" i="10" s="1"/>
  <c r="H1724" i="10"/>
  <c r="I1724" i="10" s="1"/>
  <c r="H96" i="10"/>
  <c r="I96" i="10" s="1"/>
  <c r="H26" i="10"/>
  <c r="I26" i="10" s="1"/>
  <c r="H30" i="10"/>
  <c r="I30" i="10" s="1"/>
  <c r="H161" i="10"/>
  <c r="I161" i="10" s="1"/>
  <c r="H546" i="10"/>
  <c r="I546" i="10" s="1"/>
  <c r="H596" i="10"/>
  <c r="I596" i="10" s="1"/>
  <c r="H384" i="10"/>
  <c r="I384" i="10" s="1"/>
  <c r="H767" i="10"/>
  <c r="I767" i="10" s="1"/>
  <c r="H322" i="10"/>
  <c r="I322" i="10" s="1"/>
  <c r="H134" i="10"/>
  <c r="I134" i="10" s="1"/>
  <c r="H292" i="10"/>
  <c r="I292" i="10" s="1"/>
  <c r="H45" i="10"/>
  <c r="I45" i="10" s="1"/>
  <c r="H606" i="10"/>
  <c r="I606" i="10" s="1"/>
  <c r="H524" i="10"/>
  <c r="I524" i="10" s="1"/>
  <c r="H264" i="10"/>
  <c r="I264" i="10" s="1"/>
  <c r="H515" i="10"/>
  <c r="I515" i="10" s="1"/>
  <c r="H110" i="10"/>
  <c r="I110" i="10" s="1"/>
  <c r="H904" i="10"/>
  <c r="I904" i="10" s="1"/>
  <c r="H581" i="10"/>
  <c r="I581" i="10" s="1"/>
  <c r="H15" i="10"/>
  <c r="I15" i="10" s="1"/>
  <c r="H587" i="10"/>
  <c r="I587" i="10" s="1"/>
  <c r="H2338" i="10"/>
  <c r="I2338" i="10" s="1"/>
  <c r="H3143" i="10"/>
  <c r="I3143" i="10" s="1"/>
  <c r="H2389" i="10"/>
  <c r="I2389" i="10" s="1"/>
  <c r="H2205" i="10"/>
  <c r="I2205" i="10" s="1"/>
  <c r="H2371" i="10"/>
  <c r="I2371" i="10" s="1"/>
  <c r="H2685" i="10"/>
  <c r="I2685" i="10" s="1"/>
  <c r="H3097" i="10"/>
  <c r="I3097" i="10" s="1"/>
  <c r="H2509" i="10"/>
  <c r="I2509" i="10" s="1"/>
  <c r="H3010" i="10"/>
  <c r="I3010" i="10" s="1"/>
  <c r="H3308" i="10"/>
  <c r="I3308" i="10" s="1"/>
  <c r="H2161" i="10"/>
  <c r="I2161" i="10" s="1"/>
  <c r="H2835" i="10"/>
  <c r="I2835" i="10" s="1"/>
  <c r="H2772" i="10"/>
  <c r="I2772" i="10" s="1"/>
  <c r="H2314" i="10"/>
  <c r="I2314" i="10" s="1"/>
  <c r="H2925" i="10"/>
  <c r="I2925" i="10" s="1"/>
  <c r="H3337" i="10"/>
  <c r="I3337" i="10" s="1"/>
  <c r="H2826" i="10"/>
  <c r="I2826" i="10" s="1"/>
  <c r="H870" i="10"/>
  <c r="I870" i="10" s="1"/>
  <c r="H2224" i="10"/>
  <c r="I2224" i="10" s="1"/>
  <c r="H1868" i="10"/>
  <c r="I1868" i="10" s="1"/>
  <c r="H2673" i="10"/>
  <c r="I2673" i="10" s="1"/>
  <c r="H3085" i="10"/>
  <c r="I3085" i="10" s="1"/>
  <c r="H3191" i="10"/>
  <c r="I3191" i="10" s="1"/>
  <c r="H2824" i="10"/>
  <c r="I2824" i="10" s="1"/>
  <c r="H3008" i="10"/>
  <c r="I3008" i="10" s="1"/>
  <c r="H2788" i="10"/>
  <c r="I2788" i="10" s="1"/>
  <c r="H2535" i="10"/>
  <c r="I2535" i="10" s="1"/>
  <c r="H2301" i="10"/>
  <c r="I2301" i="10" s="1"/>
  <c r="H1448" i="10"/>
  <c r="I1448" i="10" s="1"/>
  <c r="H2625" i="10"/>
  <c r="I2625" i="10" s="1"/>
  <c r="H3037" i="10"/>
  <c r="I3037" i="10" s="1"/>
  <c r="H2814" i="10"/>
  <c r="I2814" i="10" s="1"/>
  <c r="H2953" i="10"/>
  <c r="I2953" i="10" s="1"/>
  <c r="H1334" i="10"/>
  <c r="I1334" i="10" s="1"/>
  <c r="H1388" i="10"/>
  <c r="I1388" i="10" s="1"/>
  <c r="H1337" i="10"/>
  <c r="I1337" i="10" s="1"/>
  <c r="H1804" i="10"/>
  <c r="I1804" i="10" s="1"/>
  <c r="H3045" i="10"/>
  <c r="I3045" i="10" s="1"/>
  <c r="H2489" i="10"/>
  <c r="I2489" i="10" s="1"/>
  <c r="H1975" i="10"/>
  <c r="I1975" i="10" s="1"/>
  <c r="H1280" i="10"/>
  <c r="I1280" i="10" s="1"/>
  <c r="H2429" i="10"/>
  <c r="I2429" i="10" s="1"/>
  <c r="H1066" i="10"/>
  <c r="I1066" i="10" s="1"/>
  <c r="H1970" i="10"/>
  <c r="I1970" i="10" s="1"/>
  <c r="H3084" i="10"/>
  <c r="I3084" i="10" s="1"/>
  <c r="H2295" i="10"/>
  <c r="I2295" i="10" s="1"/>
  <c r="H2995" i="10"/>
  <c r="I2995" i="10" s="1"/>
  <c r="H2729" i="10"/>
  <c r="I2729" i="10" s="1"/>
  <c r="H2262" i="10"/>
  <c r="I2262" i="10" s="1"/>
  <c r="H711" i="10"/>
  <c r="I711" i="10" s="1"/>
  <c r="H2015" i="10"/>
  <c r="I2015" i="10" s="1"/>
  <c r="H1336" i="10"/>
  <c r="I1336" i="10" s="1"/>
  <c r="H1815" i="10"/>
  <c r="I1815" i="10" s="1"/>
  <c r="H549" i="10"/>
  <c r="I549" i="10" s="1"/>
  <c r="H2382" i="10"/>
  <c r="I2382" i="10" s="1"/>
  <c r="H3323" i="10"/>
  <c r="I3323" i="10" s="1"/>
  <c r="H3345" i="10"/>
  <c r="I3345" i="10" s="1"/>
  <c r="H2994" i="10"/>
  <c r="I2994" i="10" s="1"/>
  <c r="H2632" i="10"/>
  <c r="I2632" i="10" s="1"/>
  <c r="H2362" i="10"/>
  <c r="I2362" i="10" s="1"/>
  <c r="H1927" i="10"/>
  <c r="I1927" i="10" s="1"/>
  <c r="H2590" i="10"/>
  <c r="I2590" i="10" s="1"/>
  <c r="H2469" i="10"/>
  <c r="I2469" i="10" s="1"/>
  <c r="H2856" i="10"/>
  <c r="I2856" i="10" s="1"/>
  <c r="H3275" i="10"/>
  <c r="I3275" i="10" s="1"/>
  <c r="H2646" i="10"/>
  <c r="I2646" i="10" s="1"/>
  <c r="H3104" i="10"/>
  <c r="I3104" i="10" s="1"/>
  <c r="H1617" i="10"/>
  <c r="I1617" i="10" s="1"/>
  <c r="H2439" i="10"/>
  <c r="I2439" i="10" s="1"/>
  <c r="H2557" i="10"/>
  <c r="I2557" i="10" s="1"/>
  <c r="H2876" i="10"/>
  <c r="I2876" i="10" s="1"/>
  <c r="H3112" i="10"/>
  <c r="I3112" i="10" s="1"/>
  <c r="H1560" i="10"/>
  <c r="I1560" i="10" s="1"/>
  <c r="H2899" i="10"/>
  <c r="I2899" i="10" s="1"/>
  <c r="H3236" i="10"/>
  <c r="I3236" i="10" s="1"/>
  <c r="H1690" i="10"/>
  <c r="I1690" i="10" s="1"/>
  <c r="H2932" i="10"/>
  <c r="I2932" i="10" s="1"/>
  <c r="H3376" i="10"/>
  <c r="I3376" i="10" s="1"/>
  <c r="H2022" i="10"/>
  <c r="I2022" i="10" s="1"/>
  <c r="H3328" i="10"/>
  <c r="I3328" i="10" s="1"/>
  <c r="H1296" i="10"/>
  <c r="I1296" i="10" s="1"/>
  <c r="H3016" i="10"/>
  <c r="I3016" i="10" s="1"/>
  <c r="H2659" i="10"/>
  <c r="I2659" i="10" s="1"/>
  <c r="H3282" i="10"/>
  <c r="I3282" i="10" s="1"/>
  <c r="H2126" i="10"/>
  <c r="I2126" i="10" s="1"/>
  <c r="H2743" i="10"/>
  <c r="I2743" i="10" s="1"/>
  <c r="H2505" i="10"/>
  <c r="I2505" i="10" s="1"/>
  <c r="H3159" i="10"/>
  <c r="I3159" i="10" s="1"/>
  <c r="H3196" i="10"/>
  <c r="I3196" i="10" s="1"/>
  <c r="H2988" i="10"/>
  <c r="I2988" i="10" s="1"/>
  <c r="H2563" i="10"/>
  <c r="I2563" i="10" s="1"/>
  <c r="H2114" i="10"/>
  <c r="I2114" i="10" s="1"/>
  <c r="H3007" i="10"/>
  <c r="I3007" i="10" s="1"/>
  <c r="H1909" i="10"/>
  <c r="I1909" i="10" s="1"/>
  <c r="H2485" i="10"/>
  <c r="I2485" i="10" s="1"/>
  <c r="H3374" i="10"/>
  <c r="I3374" i="10" s="1"/>
  <c r="H2863" i="10"/>
  <c r="I2863" i="10" s="1"/>
  <c r="H3066" i="10"/>
  <c r="I3066" i="10" s="1"/>
  <c r="H2234" i="10"/>
  <c r="I2234" i="10" s="1"/>
  <c r="H2651" i="10"/>
  <c r="I2651" i="10" s="1"/>
  <c r="H1006" i="10"/>
  <c r="I1006" i="10" s="1"/>
  <c r="H2903" i="10"/>
  <c r="I2903" i="10" s="1"/>
  <c r="H3005" i="10"/>
  <c r="I3005" i="10" s="1"/>
  <c r="H3268" i="10"/>
  <c r="I3268" i="10" s="1"/>
  <c r="H2323" i="10"/>
  <c r="I2323" i="10" s="1"/>
  <c r="H2809" i="10"/>
  <c r="I2809" i="10" s="1"/>
  <c r="H3299" i="10"/>
  <c r="I3299" i="10" s="1"/>
  <c r="H2587" i="10"/>
  <c r="I2587" i="10" s="1"/>
  <c r="H3100" i="10"/>
  <c r="I3100" i="10" s="1"/>
  <c r="H3123" i="10"/>
  <c r="I3123" i="10" s="1"/>
  <c r="H2598" i="10"/>
  <c r="I2598" i="10" s="1"/>
  <c r="H3309" i="10"/>
  <c r="I3309" i="10" s="1"/>
  <c r="H1496" i="10"/>
  <c r="I1496" i="10" s="1"/>
  <c r="H3242" i="10"/>
  <c r="I3242" i="10" s="1"/>
  <c r="H3317" i="10"/>
  <c r="I3317" i="10" s="1"/>
  <c r="H3162" i="10"/>
  <c r="I3162" i="10" s="1"/>
  <c r="H3269" i="10"/>
  <c r="I3269" i="10" s="1"/>
  <c r="H2107" i="10"/>
  <c r="I2107" i="10" s="1"/>
  <c r="H3027" i="10"/>
  <c r="I3027" i="10" s="1"/>
  <c r="H2622" i="10"/>
  <c r="I2622" i="10" s="1"/>
  <c r="H2562" i="10"/>
  <c r="I2562" i="10" s="1"/>
  <c r="H2634" i="10"/>
  <c r="I2634" i="10" s="1"/>
  <c r="H2702" i="10"/>
  <c r="I2702" i="10" s="1"/>
  <c r="H3278" i="10"/>
  <c r="I3278" i="10" s="1"/>
  <c r="H3146" i="10"/>
  <c r="I3146" i="10" s="1"/>
  <c r="H3207" i="10"/>
  <c r="I3207" i="10" s="1"/>
  <c r="H2972" i="10"/>
  <c r="I2972" i="10" s="1"/>
  <c r="H2522" i="10"/>
  <c r="I2522" i="10" s="1"/>
  <c r="H3235" i="10"/>
  <c r="I3235" i="10" s="1"/>
  <c r="H2990" i="10"/>
  <c r="I2990" i="10" s="1"/>
  <c r="H2677" i="10"/>
  <c r="I2677" i="10" s="1"/>
  <c r="H3040" i="10"/>
  <c r="I3040" i="10" s="1"/>
  <c r="H2731" i="10"/>
  <c r="I2731" i="10" s="1"/>
  <c r="H2878" i="10"/>
  <c r="I2878" i="10" s="1"/>
  <c r="H2452" i="10"/>
  <c r="I2452" i="10" s="1"/>
  <c r="H2815" i="10"/>
  <c r="I2815" i="10" s="1"/>
  <c r="H2248" i="10"/>
  <c r="I2248" i="10" s="1"/>
  <c r="H3182" i="10"/>
  <c r="I3182" i="10" s="1"/>
  <c r="H2113" i="10"/>
  <c r="I2113" i="10" s="1"/>
  <c r="H3041" i="10"/>
  <c r="I3041" i="10" s="1"/>
  <c r="H3306" i="10"/>
  <c r="I3306" i="10" s="1"/>
  <c r="H3281" i="10"/>
  <c r="I3281" i="10" s="1"/>
  <c r="H2080" i="10"/>
  <c r="I2080" i="10" s="1"/>
  <c r="H106" i="10"/>
  <c r="I106" i="10" s="1"/>
  <c r="H232" i="10"/>
  <c r="I232" i="10" s="1"/>
  <c r="H520" i="10"/>
  <c r="I520" i="10" s="1"/>
  <c r="H413" i="10"/>
  <c r="I413" i="10" s="1"/>
  <c r="H570" i="10"/>
  <c r="I570" i="10" s="1"/>
  <c r="H620" i="10"/>
  <c r="I620" i="10" s="1"/>
  <c r="H299" i="10"/>
  <c r="I299" i="10" s="1"/>
  <c r="H478" i="10"/>
  <c r="I478" i="10" s="1"/>
  <c r="H550" i="10"/>
  <c r="I550" i="10" s="1"/>
  <c r="H62" i="10"/>
  <c r="I62" i="10" s="1"/>
  <c r="H952" i="10"/>
  <c r="I952" i="10" s="1"/>
  <c r="H270" i="10"/>
  <c r="I270" i="10" s="1"/>
  <c r="H428" i="10"/>
  <c r="I428" i="10" s="1"/>
  <c r="H262" i="10"/>
  <c r="I262" i="10" s="1"/>
  <c r="H179" i="10"/>
  <c r="I179" i="10" s="1"/>
  <c r="H348" i="10"/>
  <c r="I348" i="10" s="1"/>
  <c r="H137" i="10"/>
  <c r="I137" i="10" s="1"/>
  <c r="H616" i="10"/>
  <c r="I616" i="10" s="1"/>
  <c r="H258" i="10"/>
  <c r="I258" i="10" s="1"/>
  <c r="H162" i="10"/>
  <c r="I162" i="10" s="1"/>
  <c r="H408" i="10"/>
  <c r="I408" i="10" s="1"/>
  <c r="H113" i="10"/>
  <c r="I113" i="10" s="1"/>
  <c r="H928" i="10"/>
  <c r="I928" i="10" s="1"/>
  <c r="H402" i="10"/>
  <c r="I402" i="10" s="1"/>
  <c r="H2510" i="10"/>
  <c r="I2510" i="10" s="1"/>
  <c r="H3193" i="10"/>
  <c r="I3193" i="10" s="1"/>
  <c r="H2528" i="10"/>
  <c r="I2528" i="10" s="1"/>
  <c r="H1895" i="10"/>
  <c r="I1895" i="10" s="1"/>
  <c r="H1974" i="10"/>
  <c r="I1974" i="10" s="1"/>
  <c r="H2543" i="10"/>
  <c r="I2543" i="10" s="1"/>
  <c r="H2174" i="10"/>
  <c r="I2174" i="10" s="1"/>
  <c r="H2684" i="10"/>
  <c r="I2684" i="10" s="1"/>
  <c r="H3048" i="10"/>
  <c r="I3048" i="10" s="1"/>
  <c r="H2058" i="10"/>
  <c r="I2058" i="10" s="1"/>
  <c r="H2952" i="10"/>
  <c r="I2952" i="10" s="1"/>
  <c r="H2693" i="10"/>
  <c r="I2693" i="10" s="1"/>
  <c r="H2378" i="10"/>
  <c r="I2378" i="10" s="1"/>
  <c r="H1830" i="10"/>
  <c r="I1830" i="10" s="1"/>
  <c r="H2783" i="10"/>
  <c r="I2783" i="10" s="1"/>
  <c r="H2342" i="10"/>
  <c r="I2342" i="10" s="1"/>
  <c r="H1575" i="10"/>
  <c r="I1575" i="10" s="1"/>
  <c r="H1055" i="10"/>
  <c r="I1055" i="10" s="1"/>
  <c r="H2672" i="10"/>
  <c r="I2672" i="10" s="1"/>
  <c r="H1016" i="10"/>
  <c r="I1016" i="10" s="1"/>
  <c r="H2531" i="10"/>
  <c r="I2531" i="10" s="1"/>
  <c r="H2829" i="10"/>
  <c r="I2829" i="10" s="1"/>
  <c r="H3241" i="10"/>
  <c r="I3241" i="10" s="1"/>
  <c r="H2869" i="10"/>
  <c r="I2869" i="10" s="1"/>
  <c r="H3154" i="10"/>
  <c r="I3154" i="10" s="1"/>
  <c r="H2150" i="10"/>
  <c r="I2150" i="10" s="1"/>
  <c r="H2379" i="10"/>
  <c r="I2379" i="10" s="1"/>
  <c r="H2979" i="10"/>
  <c r="I2979" i="10" s="1"/>
  <c r="H1589" i="10"/>
  <c r="I1589" i="10" s="1"/>
  <c r="H2483" i="10"/>
  <c r="I2483" i="10" s="1"/>
  <c r="H1512" i="10"/>
  <c r="I1512" i="10" s="1"/>
  <c r="H2308" i="10"/>
  <c r="I2308" i="10" s="1"/>
  <c r="H2999" i="10"/>
  <c r="I2999" i="10" s="1"/>
  <c r="H1192" i="10"/>
  <c r="I1192" i="10" s="1"/>
  <c r="H1663" i="10"/>
  <c r="I1663" i="10" s="1"/>
  <c r="H1497" i="10"/>
  <c r="I1497" i="10" s="1"/>
  <c r="H2167" i="10"/>
  <c r="I2167" i="10" s="1"/>
  <c r="H3179" i="10"/>
  <c r="I3179" i="10" s="1"/>
  <c r="H3201" i="10"/>
  <c r="I3201" i="10" s="1"/>
  <c r="H2821" i="10"/>
  <c r="I2821" i="10" s="1"/>
  <c r="H2488" i="10"/>
  <c r="I2488" i="10" s="1"/>
  <c r="H2118" i="10"/>
  <c r="I2118" i="10" s="1"/>
  <c r="H1368" i="10"/>
  <c r="I1368" i="10" s="1"/>
  <c r="H2442" i="10"/>
  <c r="I2442" i="10" s="1"/>
  <c r="H2297" i="10"/>
  <c r="I2297" i="10" s="1"/>
  <c r="H2474" i="10"/>
  <c r="I2474" i="10" s="1"/>
  <c r="H3131" i="10"/>
  <c r="I3131" i="10" s="1"/>
  <c r="H2054" i="10"/>
  <c r="I2054" i="10" s="1"/>
  <c r="H2951" i="10"/>
  <c r="I2951" i="10" s="1"/>
  <c r="H1323" i="10"/>
  <c r="I1323" i="10" s="1"/>
  <c r="H1342" i="10"/>
  <c r="I1342" i="10" s="1"/>
  <c r="H1182" i="10"/>
  <c r="I1182" i="10" s="1"/>
  <c r="H1351" i="10"/>
  <c r="I1351" i="10" s="1"/>
  <c r="H2156" i="10"/>
  <c r="I2156" i="10" s="1"/>
  <c r="H2961" i="10"/>
  <c r="I2961" i="10" s="1"/>
  <c r="H3373" i="10"/>
  <c r="I3373" i="10" s="1"/>
  <c r="H729" i="10"/>
  <c r="I729" i="10" s="1"/>
  <c r="H3142" i="10"/>
  <c r="I3142" i="10" s="1"/>
  <c r="H3296" i="10"/>
  <c r="I3296" i="10" s="1"/>
  <c r="H2125" i="10"/>
  <c r="I2125" i="10" s="1"/>
  <c r="H2823" i="10"/>
  <c r="I2823" i="10" s="1"/>
  <c r="H2616" i="10"/>
  <c r="I2616" i="10" s="1"/>
  <c r="H2299" i="10"/>
  <c r="I2299" i="10" s="1"/>
  <c r="H2913" i="10"/>
  <c r="I2913" i="10" s="1"/>
  <c r="H3325" i="10"/>
  <c r="I3325" i="10" s="1"/>
  <c r="H2761" i="10"/>
  <c r="I2761" i="10" s="1"/>
  <c r="H3250" i="10"/>
  <c r="I3250" i="10" s="1"/>
  <c r="H2782" i="10"/>
  <c r="I2782" i="10" s="1"/>
  <c r="H2438" i="10"/>
  <c r="I2438" i="10" s="1"/>
  <c r="H3075" i="10"/>
  <c r="I3075" i="10" s="1"/>
  <c r="H3163" i="10"/>
  <c r="I3163" i="10" s="1"/>
  <c r="H3067" i="10"/>
  <c r="I3067" i="10" s="1"/>
  <c r="H2738" i="10"/>
  <c r="I2738" i="10" s="1"/>
  <c r="H3002" i="10"/>
  <c r="I3002" i="10" s="1"/>
  <c r="H3382" i="10"/>
  <c r="I3382" i="10" s="1"/>
  <c r="H2886" i="10"/>
  <c r="I2886" i="10" s="1"/>
  <c r="H3255" i="10"/>
  <c r="I3255" i="10" s="1"/>
  <c r="H3331" i="10"/>
  <c r="I3331" i="10" s="1"/>
  <c r="H2918" i="10"/>
  <c r="I2918" i="10" s="1"/>
  <c r="H3283" i="10"/>
  <c r="I3283" i="10" s="1"/>
  <c r="H2716" i="10"/>
  <c r="I2716" i="10" s="1"/>
  <c r="H3327" i="10"/>
  <c r="I3327" i="10" s="1"/>
  <c r="H3086" i="10"/>
  <c r="I3086" i="10" s="1"/>
  <c r="H1208" i="10"/>
  <c r="I1208" i="10" s="1"/>
  <c r="H3355" i="10"/>
  <c r="I3355" i="10" s="1"/>
  <c r="H3113" i="10"/>
  <c r="I3113" i="10" s="1"/>
  <c r="H2343" i="10"/>
  <c r="I2343" i="10" s="1"/>
  <c r="H3158" i="10"/>
  <c r="I3158" i="10" s="1"/>
  <c r="H1842" i="10"/>
  <c r="I1842" i="10" s="1"/>
  <c r="H2404" i="10"/>
  <c r="I2404" i="10" s="1"/>
  <c r="H2309" i="10"/>
  <c r="I2309" i="10" s="1"/>
  <c r="H2862" i="10"/>
  <c r="I2862" i="10" s="1"/>
  <c r="H3349" i="10"/>
  <c r="I3349" i="10" s="1"/>
  <c r="H2851" i="10"/>
  <c r="I2851" i="10" s="1"/>
  <c r="H3051" i="10"/>
  <c r="I3051" i="10" s="1"/>
  <c r="H2694" i="10"/>
  <c r="I2694" i="10" s="1"/>
  <c r="H2861" i="10"/>
  <c r="I2861" i="10" s="1"/>
  <c r="H3079" i="10"/>
  <c r="I3079" i="10" s="1"/>
  <c r="H2774" i="10"/>
  <c r="I2774" i="10" s="1"/>
  <c r="H2449" i="10"/>
  <c r="I2449" i="10" s="1"/>
  <c r="H2857" i="10"/>
  <c r="I2857" i="10" s="1"/>
  <c r="H3231" i="10"/>
  <c r="I3231" i="10" s="1"/>
  <c r="H3031" i="10"/>
  <c r="I3031" i="10" s="1"/>
  <c r="H3223" i="10"/>
  <c r="I3223" i="10" s="1"/>
  <c r="H2976" i="10"/>
  <c r="I2976" i="10" s="1"/>
  <c r="H2937" i="10"/>
  <c r="I2937" i="10" s="1"/>
  <c r="H2403" i="10"/>
  <c r="I2403" i="10" s="1"/>
  <c r="H3062" i="10"/>
  <c r="I3062" i="10" s="1"/>
  <c r="H2833" i="10"/>
  <c r="I2833" i="10" s="1"/>
  <c r="H3053" i="10"/>
  <c r="I3053" i="10" s="1"/>
  <c r="H3258" i="10"/>
  <c r="I3258" i="10" s="1"/>
  <c r="H2828" i="10"/>
  <c r="I2828" i="10" s="1"/>
  <c r="H2902" i="10"/>
  <c r="I2902" i="10" s="1"/>
  <c r="H3244" i="10"/>
  <c r="I3244" i="10" s="1"/>
  <c r="H1183" i="10"/>
  <c r="I1183" i="10" s="1"/>
  <c r="H2935" i="10"/>
  <c r="I2935" i="10" s="1"/>
  <c r="H2361" i="10"/>
  <c r="I2361" i="10" s="1"/>
  <c r="H2883" i="10"/>
  <c r="I2883" i="10" s="1"/>
  <c r="H3314" i="10"/>
  <c r="I3314" i="10" s="1"/>
  <c r="H2629" i="10"/>
  <c r="I2629" i="10" s="1"/>
  <c r="H3006" i="10"/>
  <c r="I3006" i="10" s="1"/>
  <c r="H3341" i="10"/>
  <c r="I3341" i="10" s="1"/>
  <c r="H3102" i="10"/>
  <c r="I3102" i="10" s="1"/>
  <c r="H2328" i="10"/>
  <c r="I2328" i="10" s="1"/>
  <c r="H3148" i="10"/>
  <c r="I3148" i="10" s="1"/>
  <c r="H1982" i="10"/>
  <c r="I1982" i="10" s="1"/>
  <c r="H2975" i="10"/>
  <c r="I2975" i="10" s="1"/>
  <c r="H3342" i="10"/>
  <c r="I3342" i="10" s="1"/>
  <c r="H2237" i="10"/>
  <c r="I2237" i="10" s="1"/>
  <c r="H3276" i="10"/>
  <c r="I3276" i="10" s="1"/>
  <c r="H2939" i="10"/>
  <c r="I2939" i="10" s="1"/>
  <c r="H3351" i="10"/>
  <c r="I3351" i="10" s="1"/>
  <c r="H3122" i="10"/>
  <c r="I3122" i="10" s="1"/>
  <c r="H2875" i="10"/>
  <c r="I2875" i="10" s="1"/>
  <c r="H3379" i="10"/>
  <c r="I3379" i="10" s="1"/>
  <c r="H3137" i="10"/>
  <c r="I3137" i="10" s="1"/>
  <c r="H2936" i="10"/>
  <c r="I2936" i="10" s="1"/>
  <c r="H3184" i="10"/>
  <c r="I3184" i="10" s="1"/>
  <c r="H2959" i="10"/>
  <c r="I2959" i="10" s="1"/>
  <c r="H2958" i="10"/>
  <c r="I2958" i="10" s="1"/>
  <c r="H2950" i="10"/>
  <c r="I2950" i="10" s="1"/>
  <c r="H405" i="10"/>
  <c r="I405" i="10" s="1"/>
  <c r="H83" i="10"/>
  <c r="I83" i="10" s="1"/>
  <c r="H130" i="10"/>
  <c r="I130" i="10" s="1"/>
  <c r="H49" i="10"/>
  <c r="I49" i="10" s="1"/>
  <c r="H472" i="10"/>
  <c r="I472" i="10" s="1"/>
  <c r="H976" i="10"/>
  <c r="I976" i="10" s="1"/>
  <c r="H786" i="10"/>
  <c r="I786" i="10" s="1"/>
  <c r="H666" i="10"/>
  <c r="I666" i="10" s="1"/>
  <c r="H409" i="10"/>
  <c r="I409" i="10" s="1"/>
  <c r="H588" i="10"/>
  <c r="I588" i="10" s="1"/>
  <c r="H660" i="10"/>
  <c r="I660" i="10" s="1"/>
  <c r="H112" i="10"/>
  <c r="I112" i="10" s="1"/>
  <c r="H293" i="10"/>
  <c r="I293" i="10" s="1"/>
  <c r="H306" i="10"/>
  <c r="I306" i="10" s="1"/>
  <c r="H164" i="10"/>
  <c r="I164" i="10" s="1"/>
  <c r="H418" i="10"/>
  <c r="I418" i="10" s="1"/>
  <c r="H289" i="10"/>
  <c r="I289" i="10" s="1"/>
  <c r="H346" i="10"/>
  <c r="I346" i="10" s="1"/>
  <c r="H66" i="10"/>
  <c r="I66" i="10" s="1"/>
  <c r="H221" i="10"/>
  <c r="I221" i="10" s="1"/>
  <c r="H2781" i="10"/>
  <c r="I2781" i="10" s="1"/>
  <c r="H890" i="10"/>
  <c r="I890" i="10" s="1"/>
  <c r="H591" i="10"/>
  <c r="I591" i="10" s="1"/>
  <c r="H1080" i="10"/>
  <c r="I1080" i="10" s="1"/>
  <c r="H1486" i="10"/>
  <c r="I1486" i="10" s="1"/>
  <c r="H2319" i="10"/>
  <c r="I2319" i="10" s="1"/>
  <c r="H2244" i="10"/>
  <c r="I2244" i="10" s="1"/>
  <c r="H2554" i="10"/>
  <c r="I2554" i="10" s="1"/>
  <c r="H2254" i="10"/>
  <c r="I2254" i="10" s="1"/>
  <c r="H2346" i="10"/>
  <c r="I2346" i="10" s="1"/>
  <c r="H3095" i="10"/>
  <c r="I3095" i="10" s="1"/>
  <c r="H1608" i="10"/>
  <c r="I1608" i="10" s="1"/>
  <c r="H3056" i="10"/>
  <c r="I3056" i="10" s="1"/>
  <c r="H1004" i="10"/>
  <c r="I1004" i="10" s="1"/>
  <c r="H2583" i="10"/>
  <c r="I2583" i="10" s="1"/>
  <c r="H2373" i="10"/>
  <c r="I2373" i="10" s="1"/>
  <c r="H2045" i="10"/>
  <c r="I2045" i="10" s="1"/>
  <c r="H2432" i="10"/>
  <c r="I2432" i="10" s="1"/>
  <c r="H735" i="10"/>
  <c r="I735" i="10" s="1"/>
  <c r="H2039" i="10"/>
  <c r="I2039" i="10" s="1"/>
  <c r="H2305" i="10"/>
  <c r="I2305" i="10" s="1"/>
  <c r="H2687" i="10"/>
  <c r="I2687" i="10" s="1"/>
  <c r="H2385" i="10"/>
  <c r="I2385" i="10" s="1"/>
  <c r="H864" i="10"/>
  <c r="I864" i="10" s="1"/>
  <c r="H3192" i="10"/>
  <c r="I3192" i="10" s="1"/>
  <c r="H2647" i="10"/>
  <c r="I2647" i="10" s="1"/>
  <c r="H3105" i="10"/>
  <c r="I3105" i="10" s="1"/>
  <c r="H1590" i="10"/>
  <c r="I1590" i="10" s="1"/>
  <c r="H2536" i="10"/>
  <c r="I2536" i="10" s="1"/>
  <c r="H2247" i="10"/>
  <c r="I2247" i="10" s="1"/>
  <c r="H1625" i="10"/>
  <c r="I1625" i="10" s="1"/>
  <c r="H2506" i="10"/>
  <c r="I2506" i="10" s="1"/>
  <c r="H2891" i="10"/>
  <c r="I2891" i="10" s="1"/>
  <c r="H1038" i="10"/>
  <c r="I1038" i="10" s="1"/>
  <c r="H1032" i="10"/>
  <c r="I1032" i="10" s="1"/>
  <c r="H2012" i="10"/>
  <c r="I2012" i="10" s="1"/>
  <c r="H2817" i="10"/>
  <c r="I2817" i="10" s="1"/>
  <c r="H3229" i="10"/>
  <c r="I3229" i="10" s="1"/>
  <c r="H3335" i="10"/>
  <c r="I3335" i="10" s="1"/>
  <c r="H2996" i="10"/>
  <c r="I2996" i="10" s="1"/>
  <c r="H3152" i="10"/>
  <c r="I3152" i="10" s="1"/>
  <c r="H1689" i="10"/>
  <c r="I1689" i="10" s="1"/>
  <c r="H2679" i="10"/>
  <c r="I2679" i="10" s="1"/>
  <c r="H2472" i="10"/>
  <c r="I2472" i="10" s="1"/>
  <c r="H1962" i="10"/>
  <c r="I1962" i="10" s="1"/>
  <c r="H2769" i="10"/>
  <c r="I2769" i="10" s="1"/>
  <c r="H3181" i="10"/>
  <c r="I3181" i="10" s="1"/>
  <c r="H2302" i="10"/>
  <c r="I2302" i="10" s="1"/>
  <c r="H3106" i="10"/>
  <c r="I3106" i="10" s="1"/>
  <c r="H1169" i="10"/>
  <c r="I1169" i="10" s="1"/>
  <c r="H1620" i="10"/>
  <c r="I1620" i="10" s="1"/>
  <c r="H1343" i="10"/>
  <c r="I1343" i="10" s="1"/>
  <c r="H259" i="10"/>
  <c r="I259" i="10" s="1"/>
  <c r="H1599" i="10"/>
  <c r="I1599" i="10" s="1"/>
  <c r="H2819" i="10"/>
  <c r="I2819" i="10" s="1"/>
  <c r="H1704" i="10"/>
  <c r="I1704" i="10" s="1"/>
  <c r="H2816" i="10"/>
  <c r="I2816" i="10" s="1"/>
  <c r="H3180" i="10"/>
  <c r="I3180" i="10" s="1"/>
  <c r="H1934" i="10"/>
  <c r="I1934" i="10" s="1"/>
  <c r="H2938" i="10"/>
  <c r="I2938" i="10" s="1"/>
  <c r="H2681" i="10"/>
  <c r="I2681" i="10" s="1"/>
  <c r="H2119" i="10"/>
  <c r="I2119" i="10" s="1"/>
  <c r="H1794" i="10"/>
  <c r="I1794" i="10" s="1"/>
  <c r="H2771" i="10"/>
  <c r="I2771" i="10" s="1"/>
  <c r="H2313" i="10"/>
  <c r="I2313" i="10" s="1"/>
  <c r="H1661" i="10"/>
  <c r="I1661" i="10" s="1"/>
  <c r="H3288" i="10"/>
  <c r="I3288" i="10" s="1"/>
  <c r="H2808" i="10"/>
  <c r="I2808" i="10" s="1"/>
  <c r="H2446" i="10"/>
  <c r="I2446" i="10" s="1"/>
  <c r="H3362" i="10"/>
  <c r="I3362" i="10" s="1"/>
  <c r="H3161" i="10"/>
  <c r="I3161" i="10" s="1"/>
  <c r="H3353" i="10"/>
  <c r="I3353" i="10" s="1"/>
  <c r="H3078" i="10"/>
  <c r="I3078" i="10" s="1"/>
  <c r="H2065" i="10"/>
  <c r="I2065" i="10" s="1"/>
  <c r="H2844" i="10"/>
  <c r="I2844" i="10" s="1"/>
  <c r="H2888" i="10"/>
  <c r="I2888" i="10" s="1"/>
  <c r="H2353" i="10"/>
  <c r="I2353" i="10" s="1"/>
  <c r="H3329" i="10"/>
  <c r="I3329" i="10" s="1"/>
  <c r="H3292" i="10"/>
  <c r="I3292" i="10" s="1"/>
  <c r="H2410" i="10"/>
  <c r="I2410" i="10" s="1"/>
  <c r="H3380" i="10"/>
  <c r="I3380" i="10" s="1"/>
  <c r="H2551" i="10"/>
  <c r="I2551" i="10" s="1"/>
  <c r="H3088" i="10"/>
  <c r="I3088" i="10" s="1"/>
  <c r="H1124" i="10"/>
  <c r="I1124" i="10" s="1"/>
  <c r="H2635" i="10"/>
  <c r="I2635" i="10" s="1"/>
  <c r="H2848" i="10"/>
  <c r="I2848" i="10" s="1"/>
  <c r="H1902" i="10"/>
  <c r="I1902" i="10" s="1"/>
  <c r="H3160" i="10"/>
  <c r="I3160" i="10" s="1"/>
  <c r="H2930" i="10"/>
  <c r="I2930" i="10" s="1"/>
  <c r="H3330" i="10"/>
  <c r="I3330" i="10" s="1"/>
  <c r="H1718" i="10"/>
  <c r="I1718" i="10" s="1"/>
  <c r="H2964" i="10"/>
  <c r="I2964" i="10" s="1"/>
  <c r="H2920" i="10"/>
  <c r="I2920" i="10" s="1"/>
  <c r="H3011" i="10"/>
  <c r="I3011" i="10" s="1"/>
  <c r="H3338" i="10"/>
  <c r="I3338" i="10" s="1"/>
  <c r="H2701" i="10"/>
  <c r="I2701" i="10" s="1"/>
  <c r="H3246" i="10"/>
  <c r="I3246" i="10" s="1"/>
  <c r="H3365" i="10"/>
  <c r="I3365" i="10" s="1"/>
  <c r="H3222" i="10"/>
  <c r="I3222" i="10" s="1"/>
  <c r="H2278" i="10"/>
  <c r="I2278" i="10" s="1"/>
  <c r="H2860" i="10"/>
  <c r="I2860" i="10" s="1"/>
  <c r="H2202" i="10"/>
  <c r="I2202" i="10" s="1"/>
  <c r="H3029" i="10"/>
  <c r="I3029" i="10" s="1"/>
  <c r="H2130" i="10"/>
  <c r="I2130" i="10" s="1"/>
  <c r="H3340" i="10"/>
  <c r="I3340" i="10" s="1"/>
  <c r="H2795" i="10"/>
  <c r="I2795" i="10" s="1"/>
  <c r="H2479" i="10"/>
  <c r="I2479" i="10" s="1"/>
  <c r="H3064" i="10"/>
  <c r="I3064" i="10" s="1"/>
  <c r="H3149" i="10"/>
  <c r="I3149" i="10" s="1"/>
  <c r="H2322" i="10"/>
  <c r="I2322" i="10" s="1"/>
  <c r="H2779" i="10"/>
  <c r="I2779" i="10" s="1"/>
  <c r="H2831" i="10"/>
  <c r="I2831" i="10" s="1"/>
  <c r="H3206" i="10"/>
  <c r="I3206" i="10" s="1"/>
  <c r="H2317" i="10"/>
  <c r="I2317" i="10" s="1"/>
  <c r="H3343" i="10"/>
  <c r="I3343" i="10" s="1"/>
  <c r="H3233" i="10"/>
  <c r="I3233" i="10" s="1"/>
  <c r="H3186" i="10"/>
  <c r="I3186" i="10" s="1"/>
  <c r="H2741" i="10"/>
  <c r="I2741" i="10" s="1"/>
  <c r="H2514" i="10"/>
  <c r="I2514" i="10" s="1"/>
  <c r="H3099" i="10"/>
  <c r="I3099" i="10" s="1"/>
  <c r="H2018" i="10"/>
  <c r="I2018" i="10" s="1"/>
  <c r="H2594" i="10"/>
  <c r="I2594" i="10" s="1"/>
  <c r="H3127" i="10"/>
  <c r="I3127" i="10" s="1"/>
  <c r="H2358" i="10"/>
  <c r="I2358" i="10" s="1"/>
  <c r="H3171" i="10"/>
  <c r="I3171" i="10" s="1"/>
  <c r="H2915" i="10"/>
  <c r="I2915" i="10" s="1"/>
  <c r="H2453" i="10"/>
  <c r="I2453" i="10" s="1"/>
  <c r="H2273" i="10"/>
  <c r="I2273" i="10" s="1"/>
  <c r="H2947" i="10"/>
  <c r="I2947" i="10" s="1"/>
  <c r="H2934" i="10"/>
  <c r="I2934" i="10" s="1"/>
  <c r="H3290" i="10"/>
  <c r="I3290" i="10" s="1"/>
  <c r="H2623" i="10"/>
  <c r="I2623" i="10" s="1"/>
  <c r="H3124" i="10"/>
  <c r="I3124" i="10" s="1"/>
  <c r="H2730" i="10"/>
  <c r="I2730" i="10" s="1"/>
  <c r="H2707" i="10"/>
  <c r="I2707" i="10" s="1"/>
  <c r="H2395" i="10"/>
  <c r="I2395" i="10" s="1"/>
  <c r="H3094" i="10"/>
  <c r="I3094" i="10" s="1"/>
  <c r="H1695" i="10"/>
  <c r="I1695" i="10" s="1"/>
  <c r="H3266" i="10"/>
  <c r="I3266" i="10" s="1"/>
  <c r="H2960" i="10"/>
  <c r="I2960" i="10" s="1"/>
  <c r="H3245" i="10"/>
  <c r="I3245" i="10" s="1"/>
  <c r="W34" i="9"/>
  <c r="H2143" i="10"/>
  <c r="I2143" i="10" s="1"/>
  <c r="H95" i="10"/>
  <c r="I95" i="10" s="1"/>
  <c r="H36" i="10"/>
  <c r="I36" i="10" s="1"/>
  <c r="H50" i="10"/>
  <c r="I50" i="10" s="1"/>
  <c r="H280" i="10"/>
  <c r="I280" i="10" s="1"/>
  <c r="H605" i="10"/>
  <c r="I605" i="10" s="1"/>
  <c r="H117" i="10"/>
  <c r="I117" i="10" s="1"/>
  <c r="H774" i="10"/>
  <c r="I774" i="10" s="1"/>
  <c r="H64" i="10"/>
  <c r="I64" i="10" s="1"/>
  <c r="H371" i="10"/>
  <c r="I371" i="10" s="1"/>
  <c r="H47" i="10"/>
  <c r="I47" i="10" s="1"/>
  <c r="H316" i="10"/>
  <c r="I316" i="10" s="1"/>
  <c r="H461" i="10"/>
  <c r="I461" i="10" s="1"/>
  <c r="H702" i="10"/>
  <c r="I702" i="10" s="1"/>
  <c r="H740" i="10"/>
  <c r="I740" i="10" s="1"/>
  <c r="H528" i="10"/>
  <c r="I528" i="10" s="1"/>
  <c r="H911" i="10"/>
  <c r="I911" i="10" s="1"/>
  <c r="H658" i="10"/>
  <c r="I658" i="10" s="1"/>
  <c r="H376" i="10"/>
  <c r="I376" i="10" s="1"/>
  <c r="H485" i="10"/>
  <c r="I485" i="10" s="1"/>
  <c r="H486" i="10"/>
  <c r="I486" i="10" s="1"/>
  <c r="H406" i="10"/>
  <c r="I406" i="10" s="1"/>
  <c r="H1998" i="10"/>
  <c r="I1998" i="10" s="1"/>
  <c r="H2895" i="10"/>
  <c r="I2895" i="10" s="1"/>
  <c r="H2288" i="10"/>
  <c r="I2288" i="10" s="1"/>
  <c r="H1203" i="10"/>
  <c r="I1203" i="10" s="1"/>
  <c r="H1422" i="10"/>
  <c r="I1422" i="10" s="1"/>
  <c r="H2534" i="10"/>
  <c r="I2534" i="10" s="1"/>
  <c r="H2017" i="10"/>
  <c r="I2017" i="10" s="1"/>
  <c r="H2931" i="10"/>
  <c r="I2931" i="10" s="1"/>
  <c r="H2580" i="10"/>
  <c r="I2580" i="10" s="1"/>
  <c r="H1854" i="10"/>
  <c r="I1854" i="10" s="1"/>
  <c r="H2733" i="10"/>
  <c r="I2733" i="10" s="1"/>
  <c r="H3145" i="10"/>
  <c r="I3145" i="10" s="1"/>
  <c r="H2653" i="10"/>
  <c r="I2653" i="10" s="1"/>
  <c r="H3202" i="10"/>
  <c r="I3202" i="10" s="1"/>
  <c r="H2376" i="10"/>
  <c r="I2376" i="10" s="1"/>
  <c r="H2437" i="10"/>
  <c r="I2437" i="10" s="1"/>
  <c r="H1152" i="10"/>
  <c r="I1152" i="10" s="1"/>
  <c r="H743" i="10"/>
  <c r="I743" i="10" s="1"/>
  <c r="H1894" i="10"/>
  <c r="I1894" i="10" s="1"/>
  <c r="H1347" i="10"/>
  <c r="I1347" i="10" s="1"/>
  <c r="H1390" i="10"/>
  <c r="I1390" i="10" s="1"/>
  <c r="H1981" i="10"/>
  <c r="I1981" i="10" s="1"/>
  <c r="H2487" i="10"/>
  <c r="I2487" i="10" s="1"/>
  <c r="H2416" i="10"/>
  <c r="I2416" i="10" s="1"/>
  <c r="H2698" i="10"/>
  <c r="I2698" i="10" s="1"/>
  <c r="H2427" i="10"/>
  <c r="I2427" i="10" s="1"/>
  <c r="H2798" i="10"/>
  <c r="I2798" i="10" s="1"/>
  <c r="H3239" i="10"/>
  <c r="I3239" i="10" s="1"/>
  <c r="H2538" i="10"/>
  <c r="I2538" i="10" s="1"/>
  <c r="H3200" i="10"/>
  <c r="I3200" i="10" s="1"/>
  <c r="H1837" i="10"/>
  <c r="I1837" i="10" s="1"/>
  <c r="H2727" i="10"/>
  <c r="I2727" i="10" s="1"/>
  <c r="H2532" i="10"/>
  <c r="I2532" i="10" s="1"/>
  <c r="H1667" i="10"/>
  <c r="I1667" i="10" s="1"/>
  <c r="H1199" i="10"/>
  <c r="I1199" i="10" s="1"/>
  <c r="H678" i="10"/>
  <c r="I678" i="10" s="1"/>
  <c r="H1338" i="10"/>
  <c r="I1338" i="10" s="1"/>
  <c r="H2675" i="10"/>
  <c r="I2675" i="10" s="1"/>
  <c r="H2973" i="10"/>
  <c r="I2973" i="10" s="1"/>
  <c r="H936" i="10"/>
  <c r="I936" i="10" s="1"/>
  <c r="H3036" i="10"/>
  <c r="I3036" i="10" s="1"/>
  <c r="H3298" i="10"/>
  <c r="I3298" i="10" s="1"/>
  <c r="H2678" i="10"/>
  <c r="I2678" i="10" s="1"/>
  <c r="H2537" i="10"/>
  <c r="I2537" i="10" s="1"/>
  <c r="H1681" i="10"/>
  <c r="I1681" i="10" s="1"/>
  <c r="H559" i="10"/>
  <c r="I559" i="10" s="1"/>
  <c r="H2627" i="10"/>
  <c r="I2627" i="10" s="1"/>
  <c r="H1994" i="10"/>
  <c r="I1994" i="10" s="1"/>
  <c r="H2780" i="10"/>
  <c r="I2780" i="10" s="1"/>
  <c r="H3144" i="10"/>
  <c r="I3144" i="10" s="1"/>
  <c r="H1329" i="10"/>
  <c r="I1329" i="10" s="1"/>
  <c r="H1653" i="10"/>
  <c r="I1653" i="10" s="1"/>
  <c r="H1333" i="10"/>
  <c r="I1333" i="10" s="1"/>
  <c r="H894" i="10"/>
  <c r="I894" i="10" s="1"/>
  <c r="H2327" i="10"/>
  <c r="I2327" i="10" s="1"/>
  <c r="H2619" i="10"/>
  <c r="I2619" i="10" s="1"/>
  <c r="H1783" i="10"/>
  <c r="I1783" i="10" s="1"/>
  <c r="H2686" i="10"/>
  <c r="I2686" i="10" s="1"/>
  <c r="H2239" i="10"/>
  <c r="I2239" i="10" s="1"/>
  <c r="H2304" i="10"/>
  <c r="I2304" i="10" s="1"/>
  <c r="H3083" i="10"/>
  <c r="I3083" i="10" s="1"/>
  <c r="H1328" i="10"/>
  <c r="I1328" i="10" s="1"/>
  <c r="H2879" i="10"/>
  <c r="I2879" i="10" s="1"/>
  <c r="H703" i="10"/>
  <c r="I703" i="10" s="1"/>
  <c r="H2571" i="10"/>
  <c r="I2571" i="10" s="1"/>
  <c r="H2344" i="10"/>
  <c r="I2344" i="10" s="1"/>
  <c r="H2794" i="10"/>
  <c r="I2794" i="10" s="1"/>
  <c r="H2984" i="10"/>
  <c r="I2984" i="10" s="1"/>
  <c r="H2421" i="10"/>
  <c r="I2421" i="10" s="1"/>
  <c r="H3039" i="10"/>
  <c r="I3039" i="10" s="1"/>
  <c r="H2658" i="10"/>
  <c r="I2658" i="10" s="1"/>
  <c r="H3187" i="10"/>
  <c r="I3187" i="10" s="1"/>
  <c r="H2630" i="10"/>
  <c r="I2630" i="10" s="1"/>
  <c r="H3139" i="10"/>
  <c r="I3139" i="10" s="1"/>
  <c r="H1623" i="10"/>
  <c r="I1623" i="10" s="1"/>
  <c r="H2843" i="10"/>
  <c r="I2843" i="10" s="1"/>
  <c r="H3219" i="10"/>
  <c r="I3219" i="10" s="1"/>
  <c r="H3352" i="10"/>
  <c r="I3352" i="10" s="1"/>
  <c r="H3254" i="10"/>
  <c r="I3254" i="10" s="1"/>
  <c r="H3247" i="10"/>
  <c r="I3247" i="10" s="1"/>
  <c r="H3147" i="10"/>
  <c r="I3147" i="10" s="1"/>
  <c r="H2425" i="10"/>
  <c r="I2425" i="10" s="1"/>
  <c r="H3050" i="10"/>
  <c r="I3050" i="10" s="1"/>
  <c r="H2409" i="10"/>
  <c r="I2409" i="10" s="1"/>
  <c r="H3150" i="10"/>
  <c r="I3150" i="10" s="1"/>
  <c r="H3077" i="10"/>
  <c r="I3077" i="10" s="1"/>
  <c r="H3270" i="10"/>
  <c r="I3270" i="10" s="1"/>
  <c r="H1306" i="10"/>
  <c r="I1306" i="10" s="1"/>
  <c r="H1033" i="10"/>
  <c r="I1033" i="10" s="1"/>
  <c r="H3230" i="10"/>
  <c r="I3230" i="10" s="1"/>
  <c r="H2491" i="10"/>
  <c r="I2491" i="10" s="1"/>
  <c r="H2706" i="10"/>
  <c r="I2706" i="10" s="1"/>
  <c r="H3257" i="10"/>
  <c r="I3257" i="10" s="1"/>
  <c r="H2649" i="10"/>
  <c r="I2649" i="10" s="1"/>
  <c r="H3303" i="10"/>
  <c r="I3303" i="10" s="1"/>
  <c r="H2586" i="10"/>
  <c r="I2586" i="10" s="1"/>
  <c r="H3135" i="10"/>
  <c r="I3135" i="10" s="1"/>
  <c r="H2892" i="10"/>
  <c r="I2892" i="10" s="1"/>
  <c r="H2666" i="10"/>
  <c r="I2666" i="10" s="1"/>
  <c r="H3151" i="10"/>
  <c r="I3151" i="10" s="1"/>
  <c r="H3021" i="10"/>
  <c r="I3021" i="10" s="1"/>
  <c r="H3195" i="10"/>
  <c r="I3195" i="10" s="1"/>
  <c r="H2944" i="10"/>
  <c r="I2944" i="10" s="1"/>
  <c r="H3055" i="10"/>
  <c r="I3055" i="10" s="1"/>
  <c r="H2933" i="10"/>
  <c r="I2933" i="10" s="1"/>
  <c r="H3295" i="10"/>
  <c r="I3295" i="10" s="1"/>
  <c r="H2595" i="10"/>
  <c r="I2595" i="10" s="1"/>
  <c r="H3026" i="10"/>
  <c r="I3026" i="10" s="1"/>
  <c r="H3375" i="10"/>
  <c r="I3375" i="10" s="1"/>
  <c r="H3175" i="10"/>
  <c r="I3175" i="10" s="1"/>
  <c r="H3367" i="10"/>
  <c r="I3367" i="10" s="1"/>
  <c r="H3125" i="10"/>
  <c r="I3125" i="10" s="1"/>
  <c r="H2858" i="10"/>
  <c r="I2858" i="10" s="1"/>
  <c r="H3208" i="10"/>
  <c r="I3208" i="10" s="1"/>
  <c r="H3293" i="10"/>
  <c r="I3293" i="10" s="1"/>
  <c r="H3267" i="10"/>
  <c r="I3267" i="10" s="1"/>
  <c r="H2222" i="10"/>
  <c r="I2222" i="10" s="1"/>
  <c r="H3134" i="10"/>
  <c r="I3134" i="10" s="1"/>
  <c r="H2162" i="10"/>
  <c r="I2162" i="10" s="1"/>
  <c r="H2521" i="10"/>
  <c r="I2521" i="10" s="1"/>
  <c r="H2280" i="10"/>
  <c r="I2280" i="10" s="1"/>
  <c r="H1566" i="10"/>
  <c r="I1566" i="10" s="1"/>
  <c r="H3210" i="10"/>
  <c r="I3210" i="10" s="1"/>
  <c r="H2366" i="10"/>
  <c r="I2366" i="10" s="1"/>
  <c r="H973" i="10"/>
  <c r="I973" i="10" s="1"/>
  <c r="H1488" i="10"/>
  <c r="I1488" i="10" s="1"/>
  <c r="H2917" i="10"/>
  <c r="I2917" i="10" s="1"/>
  <c r="H2448" i="10"/>
  <c r="I2448" i="10" s="1"/>
  <c r="H1878" i="10"/>
  <c r="I1878" i="10" s="1"/>
  <c r="H3316" i="10"/>
  <c r="I3316" i="10" s="1"/>
  <c r="H2494" i="10"/>
  <c r="I2494" i="10" s="1"/>
  <c r="H3315" i="10"/>
  <c r="I3315" i="10" s="1"/>
  <c r="H3074" i="10"/>
  <c r="I3074" i="10" s="1"/>
  <c r="H2849" i="10"/>
  <c r="I2849" i="10" s="1"/>
  <c r="H2737" i="10"/>
  <c r="I2737" i="10" s="1"/>
  <c r="H3101" i="10"/>
  <c r="I3101" i="10" s="1"/>
  <c r="H2768" i="10"/>
  <c r="I2768" i="10" s="1"/>
  <c r="H2992" i="10"/>
  <c r="I2992" i="10" s="1"/>
  <c r="H2916" i="10"/>
  <c r="I2916" i="10" s="1"/>
  <c r="H3019" i="10"/>
  <c r="I3019" i="10" s="1"/>
  <c r="H2906" i="10"/>
  <c r="I2906" i="10" s="1"/>
  <c r="H2274" i="10"/>
  <c r="I2274" i="10" s="1"/>
  <c r="H2434" i="10"/>
  <c r="I2434" i="10" s="1"/>
  <c r="H82" i="10"/>
  <c r="I82" i="10" s="1"/>
  <c r="H132" i="10"/>
  <c r="I132" i="10" s="1"/>
  <c r="H208" i="10"/>
  <c r="I208" i="10" s="1"/>
  <c r="H688" i="10"/>
  <c r="I688" i="10" s="1"/>
  <c r="H725" i="10"/>
  <c r="I725" i="10" s="1"/>
  <c r="H284" i="10"/>
  <c r="I284" i="10" s="1"/>
  <c r="H57" i="10"/>
  <c r="I57" i="10" s="1"/>
  <c r="H742" i="10"/>
  <c r="I742" i="10" s="1"/>
  <c r="H46" i="10"/>
  <c r="I46" i="10" s="1"/>
  <c r="H118" i="10"/>
  <c r="I118" i="10" s="1"/>
  <c r="H664" i="10"/>
  <c r="I664" i="10" s="1"/>
  <c r="H629" i="10"/>
  <c r="I629" i="10" s="1"/>
  <c r="H726" i="10"/>
  <c r="I726" i="10" s="1"/>
  <c r="H764" i="10"/>
  <c r="I764" i="10" s="1"/>
  <c r="H443" i="10"/>
  <c r="I443" i="10" s="1"/>
  <c r="H622" i="10"/>
  <c r="I622" i="10" s="1"/>
  <c r="H144" i="10"/>
  <c r="I144" i="10" s="1"/>
  <c r="H496" i="10"/>
  <c r="I496" i="10" s="1"/>
  <c r="H604" i="10"/>
  <c r="I604" i="10" s="1"/>
  <c r="H123" i="10"/>
  <c r="I123" i="10" s="1"/>
  <c r="H562" i="10"/>
  <c r="I562" i="10" s="1"/>
  <c r="H563" i="10"/>
  <c r="I563" i="10" s="1"/>
  <c r="H53" i="10"/>
  <c r="I53" i="10" s="1"/>
  <c r="H173" i="10"/>
  <c r="I173" i="10" s="1"/>
  <c r="H2263" i="10"/>
  <c r="I2263" i="10" s="1"/>
  <c r="H2753" i="10"/>
  <c r="I2753" i="10" s="1"/>
  <c r="H1750" i="10"/>
  <c r="I1750" i="10" s="1"/>
  <c r="H1049" i="10"/>
  <c r="I1049" i="10" s="1"/>
  <c r="H2213" i="10"/>
  <c r="I2213" i="10" s="1"/>
  <c r="H2868" i="10"/>
  <c r="I2868" i="10" s="1"/>
  <c r="H2894" i="10"/>
  <c r="I2894" i="10" s="1"/>
  <c r="H2789" i="10"/>
  <c r="I2789" i="10" s="1"/>
  <c r="H2011" i="10"/>
  <c r="I2011" i="10" s="1"/>
  <c r="H1933" i="10"/>
  <c r="I1933" i="10" s="1"/>
  <c r="H2591" i="10"/>
  <c r="I2591" i="10" s="1"/>
  <c r="H1886" i="10"/>
  <c r="I1886" i="10" s="1"/>
  <c r="H1438" i="10"/>
  <c r="I1438" i="10" s="1"/>
  <c r="H3240" i="10"/>
  <c r="I3240" i="10" s="1"/>
  <c r="H2791" i="10"/>
  <c r="I2791" i="10" s="1"/>
  <c r="H3153" i="10"/>
  <c r="I3153" i="10" s="1"/>
  <c r="H2245" i="10"/>
  <c r="I2245" i="10" s="1"/>
  <c r="H1190" i="10"/>
  <c r="I1190" i="10" s="1"/>
  <c r="H1078" i="10"/>
  <c r="I1078" i="10" s="1"/>
  <c r="H1193" i="10"/>
  <c r="I1193" i="10" s="1"/>
  <c r="H1650" i="10"/>
  <c r="I1650" i="10" s="1"/>
  <c r="H2880" i="10"/>
  <c r="I2880" i="10" s="1"/>
  <c r="H2321" i="10"/>
  <c r="I2321" i="10" s="1"/>
  <c r="H1474" i="10"/>
  <c r="I1474" i="10" s="1"/>
  <c r="H2724" i="10"/>
  <c r="I2724" i="10" s="1"/>
  <c r="H2257" i="10"/>
  <c r="I2257" i="10" s="1"/>
  <c r="H2877" i="10"/>
  <c r="I2877" i="10" s="1"/>
  <c r="H3289" i="10"/>
  <c r="I3289" i="10" s="1"/>
  <c r="H2927" i="10"/>
  <c r="I2927" i="10" s="1"/>
  <c r="H3346" i="10"/>
  <c r="I3346" i="10" s="1"/>
  <c r="H2822" i="10"/>
  <c r="I2822" i="10" s="1"/>
  <c r="H2585" i="10"/>
  <c r="I2585" i="10" s="1"/>
  <c r="H1867" i="10"/>
  <c r="I1867" i="10" s="1"/>
  <c r="H2189" i="10"/>
  <c r="I2189" i="10" s="1"/>
  <c r="H1015" i="10"/>
  <c r="I1015" i="10" s="1"/>
  <c r="H513" i="10"/>
  <c r="I513" i="10" s="1"/>
  <c r="H2183" i="10"/>
  <c r="I2183" i="10" s="1"/>
  <c r="H2475" i="10"/>
  <c r="I2475" i="10" s="1"/>
  <c r="H201" i="10"/>
  <c r="I201" i="10" s="1"/>
  <c r="H2542" i="10"/>
  <c r="I2542" i="10" s="1"/>
  <c r="H1813" i="10"/>
  <c r="I1813" i="10" s="1"/>
  <c r="H3336" i="10"/>
  <c r="I3336" i="10" s="1"/>
  <c r="H2926" i="10"/>
  <c r="I2926" i="10" s="1"/>
  <c r="H3249" i="10"/>
  <c r="I3249" i="10" s="1"/>
  <c r="H2533" i="10"/>
  <c r="I2533" i="10" s="1"/>
  <c r="H2680" i="10"/>
  <c r="I2680" i="10" s="1"/>
  <c r="H2419" i="10"/>
  <c r="I2419" i="10" s="1"/>
  <c r="H2071" i="10"/>
  <c r="I2071" i="10" s="1"/>
  <c r="H2650" i="10"/>
  <c r="I2650" i="10" s="1"/>
  <c r="H2797" i="10"/>
  <c r="I2797" i="10" s="1"/>
  <c r="H1844" i="10"/>
  <c r="I1844" i="10" s="1"/>
  <c r="H565" i="10"/>
  <c r="I565" i="10" s="1"/>
  <c r="H2182" i="10"/>
  <c r="I2182" i="10" s="1"/>
  <c r="H523" i="10"/>
  <c r="I523" i="10" s="1"/>
  <c r="H681" i="10"/>
  <c r="I681" i="10" s="1"/>
  <c r="H2477" i="10"/>
  <c r="I2477" i="10" s="1"/>
  <c r="H2775" i="10"/>
  <c r="I2775" i="10" s="1"/>
  <c r="H2712" i="10"/>
  <c r="I2712" i="10" s="1"/>
  <c r="H1818" i="10"/>
  <c r="I1818" i="10" s="1"/>
  <c r="H2721" i="10"/>
  <c r="I2721" i="10" s="1"/>
  <c r="H3133" i="10"/>
  <c r="I3133" i="10" s="1"/>
  <c r="H1946" i="10"/>
  <c r="I1946" i="10" s="1"/>
  <c r="H3046" i="10"/>
  <c r="I3046" i="10" s="1"/>
  <c r="H2332" i="10"/>
  <c r="I2332" i="10" s="1"/>
  <c r="H2422" i="10"/>
  <c r="I2422" i="10" s="1"/>
  <c r="H585" i="10"/>
  <c r="I585" i="10" s="1"/>
  <c r="H2820" i="10"/>
  <c r="I2820" i="10" s="1"/>
  <c r="H2597" i="10"/>
  <c r="I2597" i="10" s="1"/>
  <c r="H3092" i="10"/>
  <c r="I3092" i="10" s="1"/>
  <c r="H3326" i="10"/>
  <c r="I3326" i="10" s="1"/>
  <c r="H2665" i="10"/>
  <c r="I2665" i="10" s="1"/>
  <c r="H3185" i="10"/>
  <c r="I3185" i="10" s="1"/>
  <c r="H3354" i="10"/>
  <c r="I3354" i="10" s="1"/>
  <c r="H2490" i="10"/>
  <c r="I2490" i="10" s="1"/>
  <c r="H1717" i="10"/>
  <c r="I1717" i="10" s="1"/>
  <c r="H2845" i="10"/>
  <c r="I2845" i="10" s="1"/>
  <c r="H2094" i="10"/>
  <c r="I2094" i="10" s="1"/>
  <c r="H3307" i="10"/>
  <c r="I3307" i="10" s="1"/>
  <c r="H3256" i="10"/>
  <c r="I3256" i="10" s="1"/>
  <c r="H2281" i="10"/>
  <c r="I2281" i="10" s="1"/>
  <c r="H2341" i="10"/>
  <c r="I2341" i="10" s="1"/>
  <c r="H3015" i="10"/>
  <c r="I3015" i="10" s="1"/>
  <c r="H3052" i="10"/>
  <c r="I3052" i="10" s="1"/>
  <c r="H2803" i="10"/>
  <c r="I2803" i="10" s="1"/>
  <c r="H1734" i="10"/>
  <c r="I1734" i="10" s="1"/>
  <c r="H2526" i="10"/>
  <c r="I2526" i="10" s="1"/>
  <c r="H2834" i="10"/>
  <c r="I2834" i="10" s="1"/>
  <c r="H2462" i="10"/>
  <c r="I2462" i="10" s="1"/>
  <c r="H2887" i="10"/>
  <c r="I2887" i="10" s="1"/>
  <c r="H3232" i="10"/>
  <c r="I3232" i="10" s="1"/>
  <c r="H2486" i="10"/>
  <c r="I2486" i="10" s="1"/>
  <c r="H2921" i="10"/>
  <c r="I2921" i="10" s="1"/>
  <c r="H2318" i="10"/>
  <c r="I2318" i="10" s="1"/>
  <c r="H2507" i="10"/>
  <c r="I2507" i="10" s="1"/>
  <c r="H3302" i="10"/>
  <c r="I3302" i="10" s="1"/>
  <c r="H2593" i="10"/>
  <c r="I2593" i="10" s="1"/>
  <c r="H2832" i="10"/>
  <c r="I2832" i="10" s="1"/>
  <c r="H2767" i="10"/>
  <c r="I2767" i="10" s="1"/>
  <c r="H3090" i="10"/>
  <c r="I3090" i="10" s="1"/>
  <c r="H2359" i="10"/>
  <c r="I2359" i="10" s="1"/>
  <c r="H3155" i="10"/>
  <c r="I3155" i="10" s="1"/>
  <c r="H1838" i="10"/>
  <c r="I1838" i="10" s="1"/>
  <c r="H2946" i="10"/>
  <c r="I2946" i="10" s="1"/>
  <c r="H2974" i="10"/>
  <c r="I2974" i="10" s="1"/>
  <c r="H3304" i="10"/>
  <c r="I3304" i="10" s="1"/>
  <c r="H2345" i="10"/>
  <c r="I2345" i="10" s="1"/>
  <c r="H2451" i="10"/>
  <c r="I2451" i="10" s="1"/>
  <c r="H3028" i="10"/>
  <c r="I3028" i="10" s="1"/>
  <c r="H2695" i="10"/>
  <c r="I2695" i="10" s="1"/>
  <c r="H3173" i="10"/>
  <c r="I3173" i="10" s="1"/>
  <c r="H2671" i="10"/>
  <c r="I2671" i="10" s="1"/>
  <c r="H2905" i="10"/>
  <c r="I2905" i="10" s="1"/>
  <c r="H3170" i="10"/>
  <c r="I3170" i="10" s="1"/>
  <c r="H1986" i="10"/>
  <c r="I1986" i="10" s="1"/>
  <c r="H3364" i="10"/>
  <c r="I3364" i="10" s="1"/>
  <c r="H3197" i="10"/>
  <c r="I3197" i="10" s="1"/>
  <c r="H3174" i="10"/>
  <c r="I3174" i="10" s="1"/>
  <c r="H3136" i="10"/>
  <c r="I3136" i="10" s="1"/>
  <c r="H3001" i="10"/>
  <c r="I3001" i="10" s="1"/>
  <c r="H3063" i="10"/>
  <c r="I3063" i="10" s="1"/>
  <c r="H2766" i="10"/>
  <c r="I2766" i="10" s="1"/>
  <c r="H1536" i="10"/>
  <c r="I1536" i="10" s="1"/>
  <c r="H3091" i="10"/>
  <c r="I3091" i="10" s="1"/>
  <c r="H2810" i="10"/>
  <c r="I2810" i="10" s="1"/>
  <c r="H2149" i="10"/>
  <c r="I2149" i="10" s="1"/>
  <c r="H2872" i="10"/>
  <c r="I2872" i="10" s="1"/>
  <c r="H3243" i="10"/>
  <c r="I3243" i="10" s="1"/>
  <c r="H3054" i="10"/>
  <c r="I3054" i="10" s="1"/>
  <c r="H2904" i="10"/>
  <c r="I2904" i="10" s="1"/>
  <c r="H3271" i="10"/>
  <c r="I3271" i="10" s="1"/>
  <c r="H2520" i="10"/>
  <c r="I2520" i="10" s="1"/>
  <c r="H2515" i="10"/>
  <c r="I2515" i="10" s="1"/>
  <c r="H3076" i="10"/>
  <c r="I3076" i="10" s="1"/>
  <c r="H2846" i="10"/>
  <c r="I2846" i="10" s="1"/>
  <c r="H2599" i="10"/>
  <c r="I2599" i="10" s="1"/>
  <c r="H2742" i="10"/>
  <c r="I2742" i="10" s="1"/>
  <c r="H2638" i="10"/>
  <c r="I2638" i="10" s="1"/>
  <c r="H3030" i="10"/>
  <c r="I3030" i="10" s="1"/>
  <c r="H3218" i="10"/>
  <c r="I3218" i="10" s="1"/>
  <c r="H3017" i="10"/>
  <c r="I3017" i="10" s="1"/>
  <c r="H3209" i="10"/>
  <c r="I3209" i="10" s="1"/>
  <c r="H3318" i="10"/>
  <c r="I3318" i="10" s="1"/>
  <c r="H2692" i="10"/>
  <c r="I2692" i="10" s="1"/>
  <c r="H108" i="10"/>
  <c r="I108" i="10" s="1"/>
  <c r="H145" i="10"/>
  <c r="I145" i="10" s="1"/>
  <c r="H41" i="10"/>
  <c r="I41" i="10" s="1"/>
  <c r="H868" i="10"/>
  <c r="I868" i="10" s="1"/>
  <c r="H81" i="10"/>
  <c r="I81" i="10" s="1"/>
  <c r="H403" i="10"/>
  <c r="I403" i="10" s="1"/>
  <c r="H166" i="10"/>
  <c r="I166" i="10" s="1"/>
  <c r="H140" i="10"/>
  <c r="I140" i="10" s="1"/>
  <c r="H204" i="10"/>
  <c r="I204" i="10" s="1"/>
  <c r="H120" i="10"/>
  <c r="I120" i="10" s="1"/>
  <c r="H712" i="10"/>
  <c r="I712" i="10" s="1"/>
  <c r="H1000" i="10"/>
  <c r="I1000" i="10" s="1"/>
  <c r="H343" i="10"/>
  <c r="I343" i="10" s="1"/>
  <c r="H320" i="10"/>
  <c r="I320" i="10" s="1"/>
  <c r="H500" i="10"/>
  <c r="I500" i="10" s="1"/>
  <c r="H732" i="10"/>
  <c r="I732" i="10" s="1"/>
  <c r="H86" i="10"/>
  <c r="I86" i="10" s="1"/>
  <c r="H808" i="10"/>
  <c r="I808" i="10" s="1"/>
  <c r="H3356" i="10"/>
  <c r="I3356" i="10" s="1"/>
  <c r="H3009" i="10"/>
  <c r="I3009" i="10" s="1"/>
  <c r="H2250" i="10"/>
  <c r="I2250" i="10" s="1"/>
  <c r="H2459" i="10"/>
  <c r="I2459" i="10" s="1"/>
  <c r="H2529" i="10"/>
  <c r="I2529" i="10" s="1"/>
  <c r="H2928" i="10"/>
  <c r="I2928" i="10" s="1"/>
  <c r="H3047" i="10"/>
  <c r="I3047" i="10" s="1"/>
  <c r="H2380" i="10"/>
  <c r="I2380" i="10" s="1"/>
  <c r="H2836" i="10"/>
  <c r="I2836" i="10" s="1"/>
  <c r="H2644" i="10"/>
  <c r="I2644" i="10" s="1"/>
  <c r="H2377" i="10"/>
  <c r="I2377" i="10" s="1"/>
  <c r="H1963" i="10"/>
  <c r="I1963" i="10" s="1"/>
  <c r="H2746" i="10"/>
  <c r="I2746" i="10" s="1"/>
  <c r="H2481" i="10"/>
  <c r="I2481" i="10" s="1"/>
  <c r="H2870" i="10"/>
  <c r="I2870" i="10" s="1"/>
  <c r="H3287" i="10"/>
  <c r="I3287" i="10" s="1"/>
  <c r="H2718" i="10"/>
  <c r="I2718" i="10" s="1"/>
  <c r="H1048" i="10"/>
  <c r="I1048" i="10" s="1"/>
  <c r="H1441" i="10"/>
  <c r="I1441" i="10" s="1"/>
  <c r="H1353" i="10"/>
  <c r="I1353" i="10" s="1"/>
  <c r="H1735" i="10"/>
  <c r="I1735" i="10" s="1"/>
  <c r="H3035" i="10"/>
  <c r="I3035" i="10" s="1"/>
  <c r="H3057" i="10"/>
  <c r="I3057" i="10" s="1"/>
  <c r="H2374" i="10"/>
  <c r="I2374" i="10" s="1"/>
  <c r="H2320" i="10"/>
  <c r="I2320" i="10" s="1"/>
  <c r="H1680" i="10"/>
  <c r="I1680" i="10" s="1"/>
  <c r="H2735" i="10"/>
  <c r="I2735" i="10" s="1"/>
  <c r="H2270" i="10"/>
  <c r="I2270" i="10" s="1"/>
  <c r="H1957" i="10"/>
  <c r="I1957" i="10" s="1"/>
  <c r="H821" i="10"/>
  <c r="I821" i="10" s="1"/>
  <c r="H2983" i="10"/>
  <c r="I2983" i="10" s="1"/>
  <c r="H3297" i="10"/>
  <c r="I3297" i="10" s="1"/>
  <c r="H2713" i="10"/>
  <c r="I2713" i="10" s="1"/>
  <c r="H552" i="10"/>
  <c r="I552" i="10" s="1"/>
  <c r="H2038" i="10"/>
  <c r="I2038" i="10" s="1"/>
  <c r="H1491" i="10"/>
  <c r="I1491" i="10" s="1"/>
  <c r="H1054" i="10"/>
  <c r="I1054" i="10" s="1"/>
  <c r="H2307" i="10"/>
  <c r="I2307" i="10" s="1"/>
  <c r="H2631" i="10"/>
  <c r="I2631" i="10" s="1"/>
  <c r="H2568" i="10"/>
  <c r="I2568" i="10" s="1"/>
  <c r="H901" i="10"/>
  <c r="I901" i="10" s="1"/>
  <c r="H2577" i="10"/>
  <c r="I2577" i="10" s="1"/>
  <c r="H2986" i="10"/>
  <c r="I2986" i="10" s="1"/>
  <c r="H13" i="10"/>
  <c r="I13" i="10" s="1"/>
  <c r="H2881" i="10"/>
  <c r="I2881" i="10" s="1"/>
  <c r="H3344" i="10"/>
  <c r="I3344" i="10" s="1"/>
  <c r="H2249" i="10"/>
  <c r="I2249" i="10" s="1"/>
  <c r="H2871" i="10"/>
  <c r="I2871" i="10" s="1"/>
  <c r="H2676" i="10"/>
  <c r="I2676" i="10" s="1"/>
  <c r="H2739" i="10"/>
  <c r="I2739" i="10" s="1"/>
  <c r="H946" i="10"/>
  <c r="I946" i="10" s="1"/>
  <c r="H1478" i="10"/>
  <c r="I1478" i="10" s="1"/>
  <c r="H1630" i="10"/>
  <c r="I1630" i="10" s="1"/>
  <c r="H1481" i="10"/>
  <c r="I1481" i="10" s="1"/>
  <c r="H1948" i="10"/>
  <c r="I1948" i="10" s="1"/>
  <c r="H3189" i="10"/>
  <c r="I3189" i="10" s="1"/>
  <c r="H2633" i="10"/>
  <c r="I2633" i="10" s="1"/>
  <c r="H2306" i="10"/>
  <c r="I2306" i="10" s="1"/>
  <c r="H1897" i="10"/>
  <c r="I1897" i="10" s="1"/>
  <c r="H2579" i="10"/>
  <c r="I2579" i="10" s="1"/>
  <c r="H1850" i="10"/>
  <c r="I1850" i="10" s="1"/>
  <c r="H2720" i="10"/>
  <c r="I2720" i="10" s="1"/>
  <c r="H3228" i="10"/>
  <c r="I3228" i="10" s="1"/>
  <c r="H2755" i="10"/>
  <c r="I2755" i="10" s="1"/>
  <c r="H3141" i="10"/>
  <c r="I3141" i="10" s="1"/>
  <c r="H2041" i="10"/>
  <c r="I2041" i="10" s="1"/>
  <c r="H2436" i="10"/>
  <c r="I2436" i="10" s="1"/>
  <c r="H2830" i="10"/>
  <c r="I2830" i="10" s="1"/>
  <c r="H3238" i="10"/>
  <c r="I3238" i="10" s="1"/>
  <c r="H2550" i="10"/>
  <c r="I2550" i="10" s="1"/>
  <c r="H3111" i="10"/>
  <c r="I3111" i="10" s="1"/>
  <c r="H3110" i="10"/>
  <c r="I3110" i="10" s="1"/>
  <c r="H3103" i="10"/>
  <c r="I3103" i="10" s="1"/>
  <c r="H2394" i="10"/>
  <c r="I2394" i="10" s="1"/>
  <c r="H2572" i="10"/>
  <c r="I2572" i="10" s="1"/>
  <c r="H3183" i="10"/>
  <c r="I3183" i="10" s="1"/>
  <c r="H2929" i="10"/>
  <c r="I2929" i="10" s="1"/>
  <c r="H3305" i="10"/>
  <c r="I3305" i="10" s="1"/>
  <c r="H3211" i="10"/>
  <c r="I3211" i="10" s="1"/>
  <c r="H2962" i="10"/>
  <c r="I2962" i="10" s="1"/>
  <c r="H2070" i="10"/>
  <c r="I2070" i="10" s="1"/>
  <c r="H3014" i="10"/>
  <c r="I3014" i="10" s="1"/>
  <c r="H3363" i="10"/>
  <c r="I3363" i="10" s="1"/>
  <c r="H2948" i="10"/>
  <c r="I2948" i="10" s="1"/>
  <c r="H2778" i="10"/>
  <c r="I2778" i="10" s="1"/>
  <c r="H3114" i="10"/>
  <c r="I3114" i="10" s="1"/>
  <c r="H3291" i="10"/>
  <c r="I3291" i="10" s="1"/>
  <c r="H2839" i="10"/>
  <c r="I2839" i="10" s="1"/>
  <c r="H3194" i="10"/>
  <c r="I3194" i="10" s="1"/>
  <c r="H2221" i="10"/>
  <c r="I2221" i="10" s="1"/>
  <c r="H3198" i="10"/>
  <c r="I3198" i="10" s="1"/>
  <c r="H3221" i="10"/>
  <c r="I3221" i="10" s="1"/>
  <c r="H3042" i="10"/>
  <c r="I3042" i="10" s="1"/>
  <c r="H2275" i="10"/>
  <c r="I2275" i="10" s="1"/>
  <c r="H2478" i="10"/>
  <c r="I2478" i="10" s="1"/>
  <c r="H3087" i="10"/>
  <c r="I3087" i="10" s="1"/>
  <c r="H3234" i="10"/>
  <c r="I3234" i="10" s="1"/>
  <c r="H2558" i="10"/>
  <c r="I2558" i="10" s="1"/>
  <c r="H3115" i="10"/>
  <c r="I3115" i="10" s="1"/>
  <c r="H2793" i="10"/>
  <c r="I2793" i="10" s="1"/>
  <c r="H2977" i="10"/>
  <c r="I2977" i="10" s="1"/>
  <c r="H2900" i="10"/>
  <c r="I2900" i="10" s="1"/>
  <c r="H3279" i="10"/>
  <c r="I3279" i="10" s="1"/>
  <c r="H2890" i="10"/>
  <c r="I2890" i="10" s="1"/>
  <c r="H3259" i="10"/>
  <c r="I3259" i="10" s="1"/>
  <c r="H2802" i="10"/>
  <c r="I2802" i="10" s="1"/>
  <c r="H3165" i="10"/>
  <c r="I3165" i="10" s="1"/>
  <c r="H3339" i="10"/>
  <c r="I3339" i="10" s="1"/>
  <c r="H3098" i="10"/>
  <c r="I3098" i="10" s="1"/>
  <c r="H3199" i="10"/>
  <c r="I3199" i="10" s="1"/>
  <c r="H3089" i="10"/>
  <c r="I3089" i="10" s="1"/>
  <c r="H3138" i="10"/>
  <c r="I3138" i="10" s="1"/>
  <c r="H3172" i="10"/>
  <c r="I3172" i="10" s="1"/>
  <c r="H2945" i="10"/>
  <c r="I2945" i="10" s="1"/>
  <c r="H3319" i="10"/>
  <c r="I3319" i="10" s="1"/>
  <c r="H1862" i="10"/>
  <c r="I1862" i="10" s="1"/>
  <c r="H2978" i="10"/>
  <c r="I2978" i="10" s="1"/>
  <c r="H2030" i="10"/>
  <c r="I2030" i="10" s="1"/>
  <c r="H3004" i="10"/>
  <c r="I3004" i="10" s="1"/>
  <c r="H3350" i="10"/>
  <c r="I3350" i="10" s="1"/>
  <c r="H2773" i="10"/>
  <c r="I2773" i="10" s="1"/>
  <c r="H3294" i="10"/>
  <c r="I3294" i="10" s="1"/>
  <c r="H3377" i="10"/>
  <c r="I3377" i="10" s="1"/>
  <c r="H3366" i="10"/>
  <c r="I3366" i="10" s="1"/>
  <c r="H2682" i="10"/>
  <c r="I2682" i="10" s="1"/>
  <c r="H2874" i="10"/>
  <c r="I2874" i="10" s="1"/>
  <c r="H2266" i="10"/>
  <c r="I2266" i="10" s="1"/>
  <c r="H2527" i="10"/>
  <c r="I2527" i="10" s="1"/>
  <c r="H3280" i="10"/>
  <c r="I3280" i="10" s="1"/>
  <c r="H2367" i="10"/>
  <c r="I2367" i="10" s="1"/>
  <c r="H1831" i="10"/>
  <c r="I1831" i="10" s="1"/>
  <c r="H3038" i="10"/>
  <c r="I3038" i="10" s="1"/>
  <c r="H1730" i="10"/>
  <c r="I1730" i="10" s="1"/>
  <c r="H3378" i="10"/>
  <c r="I3378" i="10" s="1"/>
  <c r="H3065" i="10"/>
  <c r="I3065" i="10" s="1"/>
  <c r="H3126" i="10"/>
  <c r="I3126" i="10" s="1"/>
  <c r="H2664" i="10"/>
  <c r="I2664" i="10" s="1"/>
  <c r="H2873" i="10"/>
  <c r="I2873" i="10" s="1"/>
  <c r="H3220" i="10"/>
  <c r="I3220" i="10" s="1"/>
  <c r="H3043" i="10"/>
  <c r="I3043" i="10" s="1"/>
  <c r="H2006" i="10"/>
  <c r="I2006" i="10" s="1"/>
  <c r="H2993" i="10"/>
  <c r="I2993" i="10" s="1"/>
  <c r="H16" i="10"/>
  <c r="I16" i="10" s="1"/>
  <c r="H323" i="10"/>
  <c r="I323" i="10" s="1"/>
  <c r="H172" i="10"/>
  <c r="I172" i="10" s="1"/>
  <c r="H367" i="10"/>
  <c r="I367" i="10" s="1"/>
  <c r="H148" i="10"/>
  <c r="I148" i="10" s="1"/>
  <c r="H425" i="10"/>
  <c r="I425" i="10" s="1"/>
  <c r="H392" i="10"/>
  <c r="I392" i="10" s="1"/>
  <c r="H382" i="10"/>
  <c r="I382" i="10" s="1"/>
  <c r="H214" i="10"/>
  <c r="I214" i="10" s="1"/>
  <c r="H71" i="10"/>
  <c r="I71" i="10" s="1"/>
  <c r="H78" i="10"/>
  <c r="I78" i="10" s="1"/>
  <c r="H736" i="10"/>
  <c r="I736" i="10" s="1"/>
  <c r="H282" i="10"/>
  <c r="I282" i="10" s="1"/>
  <c r="H391" i="10"/>
  <c r="I391" i="10" s="1"/>
  <c r="H463" i="10"/>
  <c r="I463" i="10" s="1"/>
  <c r="H755" i="10"/>
  <c r="I755" i="10" s="1"/>
  <c r="H27" i="10"/>
  <c r="I27" i="10" s="1"/>
  <c r="H38" i="10"/>
  <c r="I38" i="10" s="1"/>
  <c r="H328" i="10"/>
  <c r="I328" i="10" s="1"/>
  <c r="H185" i="10"/>
  <c r="I185" i="10" s="1"/>
  <c r="H594" i="10"/>
  <c r="I594" i="10" s="1"/>
  <c r="H750" i="10"/>
  <c r="I750" i="10" s="1"/>
  <c r="H167" i="10"/>
  <c r="I167" i="10" s="1"/>
  <c r="H704" i="10"/>
  <c r="I704" i="10" s="1"/>
  <c r="H107" i="10"/>
  <c r="I107" i="10" s="1"/>
  <c r="H508" i="10"/>
  <c r="I508" i="10" s="1"/>
  <c r="H509" i="10"/>
  <c r="I509" i="10" s="1"/>
  <c r="H714" i="10"/>
  <c r="I714" i="10" s="1"/>
  <c r="H752" i="10"/>
  <c r="I752" i="10" s="1"/>
  <c r="H178" i="10"/>
  <c r="I178" i="10" s="1"/>
  <c r="H157" i="10"/>
  <c r="I157" i="10" s="1"/>
  <c r="H275" i="10"/>
  <c r="I275" i="10" s="1"/>
  <c r="H90" i="10"/>
  <c r="I90" i="10" s="1"/>
  <c r="H401" i="10"/>
  <c r="I401" i="10" s="1"/>
  <c r="H749" i="10"/>
  <c r="I749" i="10" s="1"/>
  <c r="H440" i="10"/>
  <c r="I440" i="10" s="1"/>
  <c r="H475" i="10"/>
  <c r="I475" i="10" s="1"/>
  <c r="H276" i="10"/>
  <c r="I276" i="10" s="1"/>
  <c r="H539" i="10"/>
  <c r="I539" i="10" s="1"/>
  <c r="H125" i="10"/>
  <c r="I125" i="10" s="1"/>
  <c r="H80" i="10"/>
  <c r="I80" i="10" s="1"/>
  <c r="H653" i="10"/>
  <c r="I653" i="10" s="1"/>
  <c r="H319" i="10"/>
  <c r="I319" i="10" s="1"/>
  <c r="H654" i="10"/>
  <c r="I654" i="10" s="1"/>
  <c r="H684" i="10"/>
  <c r="I684" i="10" s="1"/>
  <c r="H156" i="10"/>
  <c r="I156" i="10" s="1"/>
  <c r="H802" i="10"/>
  <c r="I802" i="10" s="1"/>
  <c r="H121" i="10"/>
  <c r="I121" i="10" s="1"/>
  <c r="H256" i="10"/>
  <c r="I256" i="10" s="1"/>
  <c r="H390" i="10"/>
  <c r="I390" i="10" s="1"/>
  <c r="H260" i="10"/>
  <c r="I260" i="10" s="1"/>
  <c r="H226" i="10"/>
  <c r="I226" i="10" s="1"/>
  <c r="H564" i="10"/>
  <c r="I564" i="10" s="1"/>
  <c r="H538" i="10"/>
  <c r="I538" i="10" s="1"/>
  <c r="H40" i="10"/>
  <c r="I40" i="10" s="1"/>
  <c r="H91" i="10"/>
  <c r="I91" i="10" s="1"/>
  <c r="H856" i="10"/>
  <c r="I856" i="10" s="1"/>
  <c r="H404" i="10"/>
  <c r="I404" i="10" s="1"/>
  <c r="H548" i="10"/>
  <c r="I548" i="10" s="1"/>
  <c r="H598" i="10"/>
  <c r="I598" i="10" s="1"/>
  <c r="H337" i="10"/>
  <c r="I337" i="10" s="1"/>
  <c r="H832" i="10"/>
  <c r="I832" i="10" s="1"/>
  <c r="H433" i="10"/>
  <c r="I433" i="10" s="1"/>
  <c r="H25" i="10"/>
  <c r="I25" i="10" s="1"/>
  <c r="H55" i="10"/>
  <c r="I55" i="10" s="1"/>
  <c r="H234" i="10"/>
  <c r="I234" i="10" s="1"/>
  <c r="H88" i="10"/>
  <c r="I88" i="10" s="1"/>
  <c r="H560" i="10"/>
  <c r="I560" i="10" s="1"/>
  <c r="H432" i="10"/>
  <c r="I432" i="10" s="1"/>
  <c r="H143" i="10"/>
  <c r="I143" i="10" s="1"/>
  <c r="H388" i="10"/>
  <c r="I388" i="10" s="1"/>
  <c r="H305" i="10"/>
  <c r="I305" i="10" s="1"/>
  <c r="H534" i="10"/>
  <c r="I534" i="10" s="1"/>
  <c r="H380" i="10"/>
  <c r="I380" i="10" s="1"/>
  <c r="H287" i="10"/>
  <c r="I287" i="10" s="1"/>
  <c r="H466" i="10"/>
  <c r="I466" i="10" s="1"/>
  <c r="H217" i="10"/>
  <c r="I217" i="10" s="1"/>
  <c r="H220" i="10"/>
  <c r="I220" i="10" s="1"/>
  <c r="H460" i="10"/>
  <c r="I460" i="10" s="1"/>
  <c r="H785" i="10"/>
  <c r="I785" i="10" s="1"/>
  <c r="H522" i="10"/>
  <c r="I522" i="10" s="1"/>
  <c r="H536" i="10"/>
  <c r="I536" i="10" s="1"/>
  <c r="H277" i="10"/>
  <c r="I277" i="10" s="1"/>
  <c r="H324" i="10"/>
  <c r="I324" i="10" s="1"/>
  <c r="H84" i="10"/>
  <c r="I84" i="10" s="1"/>
  <c r="H700" i="10"/>
  <c r="I700" i="10" s="1"/>
  <c r="H844" i="10"/>
  <c r="I844" i="10" s="1"/>
  <c r="H738" i="10"/>
  <c r="I738" i="10" s="1"/>
  <c r="H331" i="10"/>
  <c r="I331" i="10" s="1"/>
  <c r="H396" i="10"/>
  <c r="I396" i="10" s="1"/>
  <c r="H779" i="10"/>
  <c r="I779" i="10" s="1"/>
  <c r="H216" i="10"/>
  <c r="I216" i="10" s="1"/>
  <c r="H304" i="10"/>
  <c r="I304" i="10" s="1"/>
  <c r="H580" i="10"/>
  <c r="I580" i="10" s="1"/>
  <c r="H271" i="10"/>
  <c r="I271" i="10" s="1"/>
  <c r="H354" i="10"/>
  <c r="I354" i="10" s="1"/>
  <c r="H719" i="10"/>
  <c r="I719" i="10" s="1"/>
  <c r="H191" i="10"/>
  <c r="I191" i="10" s="1"/>
  <c r="H707" i="10"/>
  <c r="I707" i="10" s="1"/>
  <c r="H109" i="10"/>
  <c r="I109" i="10" s="1"/>
  <c r="H149" i="10"/>
  <c r="I149" i="10" s="1"/>
  <c r="H246" i="10"/>
  <c r="I246" i="10" s="1"/>
  <c r="H52" i="10"/>
  <c r="I52" i="10" s="1"/>
  <c r="H788" i="10"/>
  <c r="I788" i="10" s="1"/>
  <c r="H599" i="10"/>
  <c r="I599" i="10" s="1"/>
  <c r="H646" i="10"/>
  <c r="I646" i="10" s="1"/>
  <c r="H48" i="10"/>
  <c r="I48" i="10" s="1"/>
  <c r="H17" i="10"/>
  <c r="I17" i="10" s="1"/>
  <c r="H377" i="10"/>
  <c r="I377" i="10" s="1"/>
  <c r="H582" i="10"/>
  <c r="I582" i="10" s="1"/>
  <c r="H379" i="10"/>
  <c r="I379" i="10" s="1"/>
  <c r="H439" i="10"/>
  <c r="I439" i="10" s="1"/>
  <c r="H680" i="10"/>
  <c r="I680" i="10" s="1"/>
  <c r="H671" i="10"/>
  <c r="I671" i="10" s="1"/>
  <c r="H133" i="10"/>
  <c r="I133" i="10" s="1"/>
  <c r="H544" i="10"/>
  <c r="I544" i="10" s="1"/>
  <c r="H44" i="10"/>
  <c r="I44" i="10" s="1"/>
  <c r="H124" i="10"/>
  <c r="I124" i="10" s="1"/>
  <c r="H356" i="10"/>
  <c r="I356" i="10" s="1"/>
  <c r="H708" i="10"/>
  <c r="I708" i="10" s="1"/>
  <c r="H971" i="10"/>
  <c r="I971" i="10" s="1"/>
  <c r="H640" i="10"/>
  <c r="I640" i="10" s="1"/>
  <c r="H761" i="10"/>
  <c r="I761" i="10" s="1"/>
  <c r="H773" i="10"/>
  <c r="I773" i="10" s="1"/>
  <c r="H366" i="10"/>
  <c r="I366" i="10" s="1"/>
  <c r="H102" i="10"/>
  <c r="I102" i="10" s="1"/>
  <c r="H281" i="10"/>
  <c r="I281" i="10" s="1"/>
  <c r="H257" i="10"/>
  <c r="I257" i="10" s="1"/>
  <c r="H187" i="10"/>
  <c r="I187" i="10" s="1"/>
  <c r="H135" i="10"/>
  <c r="I135" i="10" s="1"/>
  <c r="H347" i="10"/>
  <c r="I347" i="10" s="1"/>
  <c r="H72" i="10"/>
  <c r="I72" i="10" s="1"/>
  <c r="H42" i="10"/>
  <c r="I42" i="10" s="1"/>
  <c r="H748" i="10"/>
  <c r="I748" i="10" s="1"/>
  <c r="H318" i="10"/>
  <c r="I318" i="10" s="1"/>
  <c r="H464" i="10"/>
  <c r="I464" i="10" s="1"/>
  <c r="H397" i="10"/>
  <c r="I397" i="10" s="1"/>
  <c r="H576" i="10"/>
  <c r="I576" i="10" s="1"/>
  <c r="H695" i="10"/>
  <c r="I695" i="10" s="1"/>
  <c r="H244" i="10"/>
  <c r="I244" i="10" s="1"/>
  <c r="H532" i="10"/>
  <c r="I532" i="10" s="1"/>
  <c r="H1012" i="10"/>
  <c r="I1012" i="10" s="1"/>
  <c r="H416" i="10"/>
  <c r="I416" i="10" s="1"/>
  <c r="H716" i="10"/>
  <c r="I716" i="10" s="1"/>
  <c r="H899" i="10"/>
  <c r="I899" i="10" s="1"/>
  <c r="H251" i="10"/>
  <c r="I251" i="10" s="1"/>
  <c r="H37" i="10"/>
  <c r="I37" i="10" s="1"/>
  <c r="H724" i="10"/>
  <c r="I724" i="10" s="1"/>
  <c r="H593" i="10"/>
  <c r="I593" i="10" s="1"/>
  <c r="H798" i="10"/>
  <c r="I798" i="10" s="1"/>
  <c r="H762" i="10"/>
  <c r="I762" i="10" s="1"/>
  <c r="H311" i="10"/>
  <c r="I311" i="10" s="1"/>
  <c r="H310" i="10"/>
  <c r="I310" i="10" s="1"/>
  <c r="H85" i="10"/>
  <c r="I85" i="10" s="1"/>
  <c r="H652" i="10"/>
  <c r="I652" i="10" s="1"/>
  <c r="H760" i="10"/>
  <c r="I760" i="10" s="1"/>
  <c r="H151" i="10"/>
  <c r="I151" i="10" s="1"/>
  <c r="H414" i="10"/>
  <c r="I414" i="10" s="1"/>
  <c r="H430" i="10"/>
  <c r="I430" i="10" s="1"/>
  <c r="H301" i="10"/>
  <c r="I301" i="10" s="1"/>
  <c r="H648" i="10"/>
  <c r="I648" i="10" s="1"/>
  <c r="H196" i="10"/>
  <c r="I196" i="10" s="1"/>
  <c r="H209" i="10"/>
  <c r="I209" i="10" s="1"/>
  <c r="H438" i="10"/>
  <c r="I438" i="10" s="1"/>
  <c r="H51" i="10"/>
  <c r="I51" i="10" s="1"/>
  <c r="H394" i="10"/>
  <c r="I394" i="10" s="1"/>
  <c r="H202" i="10"/>
  <c r="I202" i="10" s="1"/>
  <c r="H756" i="10"/>
  <c r="I756" i="10" s="1"/>
  <c r="H23" i="10"/>
  <c r="I23" i="10" s="1"/>
  <c r="H103" i="10"/>
  <c r="I103" i="10" s="1"/>
  <c r="H436" i="10"/>
  <c r="I436" i="10" s="1"/>
  <c r="H474" i="10"/>
  <c r="I474" i="10" s="1"/>
  <c r="H642" i="10"/>
  <c r="I642" i="10" s="1"/>
  <c r="H344" i="10"/>
  <c r="I344" i="10" s="1"/>
  <c r="H300" i="10"/>
  <c r="I300" i="10" s="1"/>
  <c r="H60" i="10"/>
  <c r="I60" i="10" s="1"/>
  <c r="H31" i="10"/>
  <c r="I31" i="10" s="1"/>
  <c r="H400" i="10"/>
  <c r="I400" i="10" s="1"/>
  <c r="H341" i="10"/>
  <c r="I341" i="10" s="1"/>
  <c r="H199" i="10"/>
  <c r="I199" i="10" s="1"/>
  <c r="H240" i="10"/>
  <c r="I240" i="10" s="1"/>
  <c r="H623" i="10"/>
  <c r="I623" i="10" s="1"/>
  <c r="H778" i="10"/>
  <c r="I778" i="10" s="1"/>
  <c r="H59" i="10"/>
  <c r="I59" i="10" s="1"/>
  <c r="H116" i="10"/>
  <c r="I116" i="10" s="1"/>
  <c r="H353" i="10"/>
  <c r="I353" i="10" s="1"/>
  <c r="H126" i="10"/>
  <c r="I126" i="10" s="1"/>
  <c r="H197" i="10"/>
  <c r="I197" i="10" s="1"/>
  <c r="H737" i="10"/>
  <c r="I737" i="10" s="1"/>
  <c r="H200" i="10"/>
  <c r="I200" i="10" s="1"/>
  <c r="H253" i="10"/>
  <c r="I253" i="10" s="1"/>
  <c r="H780" i="10"/>
  <c r="I780" i="10" s="1"/>
  <c r="H115" i="10"/>
  <c r="I115" i="10" s="1"/>
  <c r="H79" i="10"/>
  <c r="I79" i="10" s="1"/>
  <c r="H641" i="10"/>
  <c r="I641" i="10" s="1"/>
  <c r="H342" i="10"/>
  <c r="I342" i="10" s="1"/>
  <c r="H488" i="10"/>
  <c r="I488" i="10" s="1"/>
  <c r="H28" i="10"/>
  <c r="I28" i="10" s="1"/>
  <c r="H491" i="10"/>
  <c r="I491" i="10" s="1"/>
  <c r="H682" i="10"/>
  <c r="I682" i="10" s="1"/>
  <c r="H61" i="10"/>
  <c r="I61" i="10" s="1"/>
  <c r="H352" i="10"/>
  <c r="I352" i="10" s="1"/>
  <c r="H317" i="10"/>
  <c r="I317" i="10" s="1"/>
  <c r="H584" i="10"/>
  <c r="I584" i="10" s="1"/>
  <c r="H431" i="10"/>
  <c r="I431" i="10" s="1"/>
  <c r="H610" i="10"/>
  <c r="I610" i="10" s="1"/>
  <c r="H361" i="10"/>
  <c r="I361" i="10" s="1"/>
  <c r="H65" i="10"/>
  <c r="I65" i="10" s="1"/>
  <c r="H676" i="10"/>
  <c r="I676" i="10" s="1"/>
  <c r="H713" i="10"/>
  <c r="I713" i="10" s="1"/>
  <c r="H150" i="10"/>
  <c r="I150" i="10" s="1"/>
  <c r="H21" i="10"/>
  <c r="I21" i="10" s="1"/>
  <c r="H421" i="10"/>
  <c r="I421" i="10" s="1"/>
  <c r="H468" i="10"/>
  <c r="I468" i="10" s="1"/>
  <c r="H98" i="10"/>
  <c r="I98" i="10" s="1"/>
  <c r="H892" i="10"/>
  <c r="I892" i="10" s="1"/>
  <c r="H437" i="10"/>
  <c r="I437" i="10" s="1"/>
  <c r="H175" i="10"/>
  <c r="I175" i="10" s="1"/>
  <c r="H236" i="10"/>
  <c r="I236" i="10" s="1"/>
  <c r="H540" i="10"/>
  <c r="I540" i="10" s="1"/>
  <c r="H923" i="10"/>
  <c r="I923" i="10" s="1"/>
  <c r="H142" i="10"/>
  <c r="I142" i="10" s="1"/>
  <c r="H29" i="10"/>
  <c r="I29" i="10" s="1"/>
  <c r="H424" i="10"/>
  <c r="I424" i="10" s="1"/>
  <c r="H294" i="10"/>
  <c r="I294" i="10" s="1"/>
  <c r="H174" i="10"/>
  <c r="I174" i="10" s="1"/>
  <c r="H487" i="10"/>
  <c r="I487" i="10" s="1"/>
  <c r="H420" i="10"/>
  <c r="I420" i="10" s="1"/>
  <c r="H683" i="10"/>
  <c r="I683" i="10" s="1"/>
  <c r="H97" i="10"/>
  <c r="I97" i="10" s="1"/>
  <c r="H628" i="10"/>
  <c r="I628" i="10" s="1"/>
  <c r="H329" i="10"/>
  <c r="I329" i="10" s="1"/>
  <c r="H557" i="10"/>
  <c r="I557" i="10" s="1"/>
  <c r="H188" i="10"/>
  <c r="I188" i="10" s="1"/>
  <c r="H718" i="10"/>
  <c r="I718" i="10" s="1"/>
  <c r="H790" i="10"/>
  <c r="I790" i="10" s="1"/>
  <c r="H35" i="10"/>
  <c r="I35" i="10" s="1"/>
  <c r="H364" i="10"/>
  <c r="I364" i="10" s="1"/>
  <c r="H448" i="10"/>
  <c r="I448" i="10" s="1"/>
  <c r="H533" i="10"/>
  <c r="I533" i="10" s="1"/>
  <c r="H452" i="10"/>
  <c r="I452" i="10" s="1"/>
  <c r="H155" i="10"/>
  <c r="I155" i="10" s="1"/>
  <c r="H274" i="10"/>
  <c r="I274" i="10" s="1"/>
  <c r="H89" i="10"/>
  <c r="I89" i="10" s="1"/>
  <c r="H450" i="10"/>
  <c r="I450" i="10" s="1"/>
  <c r="H672" i="10"/>
  <c r="I672" i="10" s="1"/>
  <c r="H389" i="10"/>
  <c r="I389" i="10" s="1"/>
  <c r="H283" i="10"/>
  <c r="I283" i="10" s="1"/>
  <c r="H76" i="10"/>
  <c r="I76" i="10" s="1"/>
  <c r="H412" i="10"/>
  <c r="I412" i="10" s="1"/>
  <c r="H569" i="10"/>
  <c r="I569" i="10" s="1"/>
  <c r="H224" i="10"/>
  <c r="I224" i="10" s="1"/>
  <c r="H875" i="10"/>
  <c r="I875" i="10" s="1"/>
  <c r="H263" i="10"/>
  <c r="I263" i="10" s="1"/>
  <c r="H139" i="10"/>
  <c r="I139" i="10" s="1"/>
  <c r="H160" i="10"/>
  <c r="I160" i="10" s="1"/>
  <c r="H378" i="10"/>
  <c r="I378" i="10" s="1"/>
  <c r="H701" i="10"/>
  <c r="I701" i="10" s="1"/>
  <c r="H644" i="10"/>
  <c r="I644" i="10" s="1"/>
  <c r="H730" i="10"/>
  <c r="I730" i="10" s="1"/>
  <c r="H22" i="10"/>
  <c r="I22" i="10" s="1"/>
  <c r="H73" i="10"/>
  <c r="I73" i="10" s="1"/>
  <c r="H184" i="10"/>
  <c r="I184" i="10" s="1"/>
  <c r="H964" i="10"/>
  <c r="I964" i="10" s="1"/>
  <c r="H462" i="10"/>
  <c r="I462" i="10" s="1"/>
  <c r="H608" i="10"/>
  <c r="I608" i="10" s="1"/>
  <c r="H368" i="10"/>
  <c r="I368" i="10" s="1"/>
  <c r="H720" i="10"/>
  <c r="I720" i="10" s="1"/>
  <c r="H490" i="10"/>
  <c r="I490" i="10" s="1"/>
  <c r="H146" i="10"/>
  <c r="I146" i="10" s="1"/>
  <c r="H233" i="10"/>
  <c r="I233" i="10" s="1"/>
  <c r="H449" i="10"/>
  <c r="I449" i="10" s="1"/>
  <c r="H296" i="10"/>
  <c r="I296" i="10" s="1"/>
  <c r="H298" i="10"/>
  <c r="I298" i="10" s="1"/>
  <c r="H100" i="10"/>
  <c r="I100" i="10" s="1"/>
  <c r="H395" i="10"/>
  <c r="I395" i="10" s="1"/>
  <c r="H122" i="10"/>
  <c r="I122" i="10" s="1"/>
  <c r="H916" i="10"/>
  <c r="I916" i="10" s="1"/>
  <c r="H809" i="10"/>
  <c r="I809" i="10" s="1"/>
  <c r="H355" i="10"/>
  <c r="I355" i="10" s="1"/>
  <c r="H512" i="10"/>
  <c r="I512" i="10" s="1"/>
  <c r="H455" i="10"/>
  <c r="I455" i="10" s="1"/>
  <c r="H502" i="10"/>
  <c r="I502" i="10" s="1"/>
  <c r="H119" i="10"/>
  <c r="I119" i="10" s="1"/>
  <c r="H484" i="10"/>
  <c r="I484" i="10" s="1"/>
  <c r="H988" i="10"/>
  <c r="I988" i="10" s="1"/>
  <c r="H415" i="10"/>
  <c r="I415" i="10" s="1"/>
  <c r="H223" i="10"/>
  <c r="I223" i="10" s="1"/>
  <c r="H863" i="10"/>
  <c r="I863" i="10" s="1"/>
  <c r="H335" i="10"/>
  <c r="I335" i="10" s="1"/>
  <c r="H694" i="10"/>
  <c r="I694" i="10" s="1"/>
  <c r="H114" i="10"/>
  <c r="I114" i="10" s="1"/>
  <c r="H54" i="10"/>
  <c r="I54" i="10" s="1"/>
  <c r="H521" i="10"/>
  <c r="I521" i="10" s="1"/>
  <c r="H665" i="10"/>
  <c r="I665" i="10" s="1"/>
  <c r="H212" i="10"/>
  <c r="I212" i="10" s="1"/>
  <c r="H68" i="10"/>
  <c r="I68" i="10" s="1"/>
  <c r="H193" i="10"/>
  <c r="I193" i="10" s="1"/>
  <c r="H24" i="10"/>
  <c r="I24" i="10" s="1"/>
  <c r="H772" i="10"/>
  <c r="I772" i="10" s="1"/>
  <c r="H592" i="10"/>
  <c r="I592" i="10" s="1"/>
  <c r="H210" i="10"/>
  <c r="I210" i="10" s="1"/>
  <c r="H476" i="10"/>
  <c r="I476" i="10" s="1"/>
  <c r="H265" i="10"/>
  <c r="I265" i="10" s="1"/>
  <c r="H444" i="10"/>
  <c r="I444" i="10" s="1"/>
  <c r="H383" i="10"/>
  <c r="I383" i="10" s="1"/>
  <c r="H19" i="10"/>
  <c r="I19" i="10" s="1"/>
  <c r="H556" i="10"/>
  <c r="I556" i="10" s="1"/>
  <c r="H248" i="10"/>
  <c r="I248" i="10" s="1"/>
  <c r="H74" i="10"/>
  <c r="I74" i="10" s="1"/>
  <c r="H473" i="10"/>
  <c r="I473" i="10" s="1"/>
  <c r="H677" i="10"/>
  <c r="I677" i="10" s="1"/>
  <c r="H332" i="10"/>
  <c r="I332" i="10" s="1"/>
  <c r="H696" i="10"/>
  <c r="I696" i="10" s="1"/>
  <c r="H624" i="10"/>
  <c r="I624" i="10" s="1"/>
  <c r="H268" i="10"/>
  <c r="I268" i="10" s="1"/>
  <c r="H365" i="10"/>
  <c r="I365" i="10" s="1"/>
  <c r="H617" i="10"/>
  <c r="I617" i="10" s="1"/>
  <c r="H272" i="10"/>
  <c r="I272" i="10" s="1"/>
  <c r="H427" i="10"/>
  <c r="I427" i="10" s="1"/>
  <c r="H104" i="10"/>
  <c r="I104" i="10" s="1"/>
  <c r="H180" i="10"/>
  <c r="I180" i="10" s="1"/>
  <c r="H14" i="10"/>
  <c r="I14" i="10" s="1"/>
  <c r="H77" i="10"/>
  <c r="I77" i="10" s="1"/>
  <c r="H497" i="10"/>
  <c r="I497" i="10" s="1"/>
  <c r="H558" i="10"/>
  <c r="I558" i="10" s="1"/>
  <c r="H498" i="10"/>
  <c r="I498" i="10" s="1"/>
  <c r="H252" i="10"/>
  <c r="I252" i="10" s="1"/>
  <c r="H635" i="10"/>
  <c r="I635" i="10" s="1"/>
  <c r="H647" i="10"/>
  <c r="I647" i="10" s="1"/>
  <c r="H18" i="10"/>
  <c r="I18" i="10" s="1"/>
  <c r="H568" i="10"/>
  <c r="I568" i="10" s="1"/>
  <c r="H87" i="10"/>
  <c r="I87" i="10" s="1"/>
  <c r="H728" i="10"/>
  <c r="I728" i="10" s="1"/>
  <c r="H575" i="10"/>
  <c r="I575" i="10" s="1"/>
  <c r="H754" i="10"/>
  <c r="I754" i="10" s="1"/>
  <c r="H58" i="10"/>
  <c r="I58" i="10" s="1"/>
  <c r="H67" i="10"/>
  <c r="I67" i="10" s="1"/>
  <c r="H940" i="10"/>
  <c r="I940" i="10" s="1"/>
  <c r="H222" i="10"/>
  <c r="I222" i="10" s="1"/>
  <c r="H618" i="10"/>
  <c r="I618" i="10" s="1"/>
  <c r="H250" i="10"/>
  <c r="I250" i="10" s="1"/>
  <c r="H656" i="10"/>
  <c r="I656" i="10" s="1"/>
  <c r="H612" i="10"/>
  <c r="I612" i="10" s="1"/>
  <c r="H101" i="10"/>
  <c r="I101" i="10" s="1"/>
  <c r="H796" i="10"/>
  <c r="I796" i="10" s="1"/>
  <c r="H245" i="10"/>
  <c r="I245" i="10" s="1"/>
  <c r="H295" i="10"/>
  <c r="I295" i="10" s="1"/>
  <c r="H247" i="10"/>
  <c r="I247" i="10" s="1"/>
  <c r="H574" i="10"/>
  <c r="I574" i="10" s="1"/>
  <c r="H445" i="10"/>
  <c r="I445" i="10" s="1"/>
  <c r="H514" i="10"/>
  <c r="I514" i="10" s="1"/>
  <c r="H138" i="10"/>
  <c r="I138" i="10" s="1"/>
  <c r="H269" i="10"/>
  <c r="I269" i="10" s="1"/>
  <c r="H797" i="10"/>
  <c r="I797" i="10" s="1"/>
  <c r="H689" i="10"/>
  <c r="I689" i="10" s="1"/>
  <c r="H308" i="10"/>
  <c r="I308" i="10" s="1"/>
  <c r="H454" i="10"/>
  <c r="I454" i="10" s="1"/>
  <c r="H286" i="10"/>
  <c r="I286" i="10" s="1"/>
  <c r="H127" i="10"/>
  <c r="I127" i="10" s="1"/>
  <c r="H340" i="10"/>
  <c r="I340" i="10" s="1"/>
  <c r="H820" i="10"/>
  <c r="I820" i="10" s="1"/>
  <c r="H330" i="10"/>
  <c r="I330" i="10" s="1"/>
  <c r="H370" i="10"/>
  <c r="I370" i="10" s="1"/>
  <c r="H887" i="10"/>
  <c r="I887" i="10" s="1"/>
  <c r="H227" i="10"/>
  <c r="I227" i="10" s="1"/>
  <c r="O144" i="8"/>
  <c r="O143" i="8" s="1"/>
  <c r="O55" i="8" s="1"/>
  <c r="O56" i="8" s="1"/>
  <c r="O54" i="8"/>
  <c r="T22" i="8"/>
  <c r="Q31" i="7"/>
  <c r="Q32" i="7"/>
  <c r="Q10" i="9"/>
  <c r="V126" i="4"/>
  <c r="V52" i="9"/>
  <c r="V57" i="9" s="1"/>
  <c r="V102" i="7"/>
  <c r="V235" i="8"/>
  <c r="V130" i="7"/>
  <c r="V165" i="7"/>
  <c r="V164" i="7"/>
  <c r="Q137" i="8"/>
  <c r="Q136" i="8" s="1"/>
  <c r="Q53" i="8" s="1"/>
  <c r="Q158" i="8"/>
  <c r="V127" i="4"/>
  <c r="P11" i="9"/>
  <c r="T21" i="7"/>
  <c r="S127" i="8"/>
  <c r="S31" i="8" s="1"/>
  <c r="S18" i="7"/>
  <c r="S12" i="7" s="1"/>
  <c r="V36" i="8"/>
  <c r="T107" i="7"/>
  <c r="T103" i="7"/>
  <c r="V147" i="7"/>
  <c r="V20" i="7"/>
  <c r="V114" i="7"/>
  <c r="U38" i="8"/>
  <c r="Q20" i="8"/>
  <c r="Q159" i="8"/>
  <c r="Q12" i="9"/>
  <c r="R30" i="7"/>
  <c r="R11" i="8"/>
  <c r="R13" i="8" s="1"/>
  <c r="R18" i="8" s="1"/>
  <c r="R19" i="7"/>
  <c r="P20" i="8"/>
  <c r="P159" i="8"/>
  <c r="P157" i="8" s="1"/>
  <c r="P12" i="9"/>
  <c r="P13" i="9" s="1"/>
  <c r="U21" i="8"/>
  <c r="U26" i="8"/>
  <c r="U36" i="8"/>
  <c r="U33" i="8"/>
  <c r="T22" i="7"/>
  <c r="T23" i="7" s="1"/>
  <c r="T163" i="7"/>
  <c r="T131" i="7"/>
  <c r="U114" i="7"/>
  <c r="U20" i="7"/>
  <c r="U147" i="7"/>
  <c r="U127" i="4"/>
  <c r="N47" i="8"/>
  <c r="T33" i="8"/>
  <c r="T34" i="8" s="1"/>
  <c r="T36" i="8"/>
  <c r="V33" i="8" l="1"/>
  <c r="Q13" i="9"/>
  <c r="U34" i="8"/>
  <c r="Q157" i="8"/>
  <c r="U107" i="7"/>
  <c r="U103" i="7"/>
  <c r="S19" i="7"/>
  <c r="S11" i="8"/>
  <c r="S13" i="8" s="1"/>
  <c r="S18" i="8" s="1"/>
  <c r="S30" i="7"/>
  <c r="V163" i="7"/>
  <c r="V22" i="7"/>
  <c r="V23" i="7" s="1"/>
  <c r="V131" i="7"/>
  <c r="S32" i="8"/>
  <c r="S19" i="8"/>
  <c r="T18" i="7"/>
  <c r="T12" i="7" s="1"/>
  <c r="U21" i="7"/>
  <c r="T129" i="8"/>
  <c r="U129" i="8"/>
  <c r="U22" i="8"/>
  <c r="N14" i="9"/>
  <c r="N48" i="8"/>
  <c r="N161" i="8"/>
  <c r="N160" i="8" s="1"/>
  <c r="N163" i="8" s="1"/>
  <c r="N67" i="8"/>
  <c r="V103" i="7"/>
  <c r="V107" i="7"/>
  <c r="O47" i="8"/>
  <c r="P48" i="8" s="1"/>
  <c r="R159" i="8"/>
  <c r="R12" i="9"/>
  <c r="R13" i="9" s="1"/>
  <c r="R20" i="8"/>
  <c r="V21" i="7"/>
  <c r="U22" i="7"/>
  <c r="U23" i="7" s="1"/>
  <c r="U131" i="7"/>
  <c r="U163" i="7"/>
  <c r="P161" i="8"/>
  <c r="P160" i="8" s="1"/>
  <c r="P163" i="8" s="1"/>
  <c r="P14" i="9"/>
  <c r="P67" i="8"/>
  <c r="Q11" i="9"/>
  <c r="V22" i="8"/>
  <c r="V129" i="8"/>
  <c r="P56" i="8"/>
  <c r="R158" i="8"/>
  <c r="R137" i="8"/>
  <c r="R136" i="8" s="1"/>
  <c r="R53" i="8" s="1"/>
  <c r="R31" i="7"/>
  <c r="R10" i="9"/>
  <c r="R32" i="7"/>
  <c r="Q54" i="8"/>
  <c r="Q144" i="8"/>
  <c r="Q143" i="8" s="1"/>
  <c r="Q55" i="8" s="1"/>
  <c r="Q56" i="8" s="1"/>
  <c r="V34" i="8"/>
  <c r="R157" i="8" l="1"/>
  <c r="V18" i="7"/>
  <c r="V12" i="7" s="1"/>
  <c r="T30" i="7"/>
  <c r="T19" i="7"/>
  <c r="T11" i="8"/>
  <c r="T13" i="8" s="1"/>
  <c r="T18" i="8" s="1"/>
  <c r="N15" i="9"/>
  <c r="N18" i="9"/>
  <c r="U128" i="8"/>
  <c r="U45" i="8" s="1"/>
  <c r="U127" i="8"/>
  <c r="U31" i="8" s="1"/>
  <c r="S137" i="8"/>
  <c r="S136" i="8" s="1"/>
  <c r="S53" i="8" s="1"/>
  <c r="S158" i="8"/>
  <c r="V128" i="8"/>
  <c r="V45" i="8" s="1"/>
  <c r="V127" i="8"/>
  <c r="V31" i="8" s="1"/>
  <c r="N69" i="8"/>
  <c r="N223" i="8" s="1"/>
  <c r="N169" i="8"/>
  <c r="R11" i="9"/>
  <c r="P69" i="8"/>
  <c r="P223" i="8" s="1"/>
  <c r="P169" i="8"/>
  <c r="U18" i="7"/>
  <c r="U12" i="7" s="1"/>
  <c r="Q47" i="8"/>
  <c r="V19" i="7"/>
  <c r="V30" i="7"/>
  <c r="R54" i="8"/>
  <c r="R144" i="8"/>
  <c r="R143" i="8" s="1"/>
  <c r="R55" i="8" s="1"/>
  <c r="R56" i="8" s="1"/>
  <c r="T127" i="8"/>
  <c r="T31" i="8" s="1"/>
  <c r="T128" i="8"/>
  <c r="T45" i="8" s="1"/>
  <c r="T46" i="8" s="1"/>
  <c r="O161" i="8"/>
  <c r="O160" i="8" s="1"/>
  <c r="O163" i="8" s="1"/>
  <c r="O48" i="8"/>
  <c r="O14" i="9"/>
  <c r="P15" i="9" s="1"/>
  <c r="O67" i="8"/>
  <c r="S20" i="8"/>
  <c r="S12" i="9"/>
  <c r="S13" i="9" s="1"/>
  <c r="S159" i="8"/>
  <c r="S10" i="9"/>
  <c r="S32" i="7"/>
  <c r="S31" i="7"/>
  <c r="P18" i="9"/>
  <c r="V11" i="8" l="1"/>
  <c r="V13" i="8" s="1"/>
  <c r="V18" i="8" s="1"/>
  <c r="V46" i="8"/>
  <c r="S157" i="8"/>
  <c r="R47" i="8"/>
  <c r="R161" i="8" s="1"/>
  <c r="R160" i="8" s="1"/>
  <c r="R163" i="8" s="1"/>
  <c r="O69" i="8"/>
  <c r="O223" i="8" s="1"/>
  <c r="O169" i="8"/>
  <c r="S54" i="8"/>
  <c r="S144" i="8"/>
  <c r="S143" i="8" s="1"/>
  <c r="S55" i="8" s="1"/>
  <c r="S56" i="8" s="1"/>
  <c r="V10" i="9"/>
  <c r="V32" i="7"/>
  <c r="V31" i="7"/>
  <c r="Q48" i="8"/>
  <c r="Q14" i="9"/>
  <c r="Q161" i="8"/>
  <c r="Q160" i="8" s="1"/>
  <c r="Q163" i="8" s="1"/>
  <c r="Q67" i="8"/>
  <c r="U32" i="8"/>
  <c r="U19" i="8"/>
  <c r="N19" i="9"/>
  <c r="N63" i="9"/>
  <c r="N21" i="9"/>
  <c r="O15" i="9"/>
  <c r="O18" i="9"/>
  <c r="P63" i="9" s="1"/>
  <c r="P21" i="9"/>
  <c r="P176" i="8"/>
  <c r="T32" i="8"/>
  <c r="T19" i="8"/>
  <c r="T137" i="8" s="1"/>
  <c r="T136" i="8" s="1"/>
  <c r="T53" i="8" s="1"/>
  <c r="S11" i="9"/>
  <c r="T158" i="8"/>
  <c r="N176" i="8"/>
  <c r="U19" i="7"/>
  <c r="U11" i="8"/>
  <c r="U13" i="8" s="1"/>
  <c r="U18" i="8" s="1"/>
  <c r="U30" i="7"/>
  <c r="U46" i="8"/>
  <c r="V158" i="8"/>
  <c r="V32" i="8"/>
  <c r="V19" i="8"/>
  <c r="T32" i="7"/>
  <c r="T31" i="7"/>
  <c r="T10" i="9"/>
  <c r="R67" i="8" l="1"/>
  <c r="R48" i="8"/>
  <c r="R14" i="9"/>
  <c r="R18" i="9" s="1"/>
  <c r="T54" i="8"/>
  <c r="T144" i="8"/>
  <c r="T143" i="8" s="1"/>
  <c r="T55" i="8" s="1"/>
  <c r="T56" i="8" s="1"/>
  <c r="Q69" i="8"/>
  <c r="Q223" i="8" s="1"/>
  <c r="Q169" i="8"/>
  <c r="Q15" i="9"/>
  <c r="Q18" i="9"/>
  <c r="R69" i="8"/>
  <c r="R223" i="8" s="1"/>
  <c r="R169" i="8"/>
  <c r="R15" i="9"/>
  <c r="T11" i="9"/>
  <c r="U158" i="8"/>
  <c r="U137" i="8"/>
  <c r="U136" i="8" s="1"/>
  <c r="U53" i="8" s="1"/>
  <c r="T20" i="8"/>
  <c r="T159" i="8"/>
  <c r="T157" i="8" s="1"/>
  <c r="T12" i="9"/>
  <c r="T13" i="9" s="1"/>
  <c r="S47" i="8"/>
  <c r="U32" i="7"/>
  <c r="U10" i="9"/>
  <c r="V11" i="9" s="1"/>
  <c r="U31" i="7"/>
  <c r="O63" i="9"/>
  <c r="O21" i="9"/>
  <c r="O19" i="9"/>
  <c r="V12" i="9"/>
  <c r="V20" i="8"/>
  <c r="V159" i="8"/>
  <c r="V157" i="8" s="1"/>
  <c r="V137" i="8"/>
  <c r="V136" i="8" s="1"/>
  <c r="V53" i="8" s="1"/>
  <c r="U20" i="8"/>
  <c r="U12" i="9"/>
  <c r="U159" i="8"/>
  <c r="P19" i="9"/>
  <c r="O176" i="8"/>
  <c r="U157" i="8" l="1"/>
  <c r="T47" i="8"/>
  <c r="T48" i="8" s="1"/>
  <c r="V13" i="9"/>
  <c r="R176" i="8"/>
  <c r="V54" i="8"/>
  <c r="V144" i="8"/>
  <c r="V143" i="8" s="1"/>
  <c r="V55" i="8" s="1"/>
  <c r="V47" i="8" s="1"/>
  <c r="U54" i="8"/>
  <c r="U144" i="8"/>
  <c r="U143" i="8" s="1"/>
  <c r="U55" i="8" s="1"/>
  <c r="U56" i="8" s="1"/>
  <c r="Q21" i="9"/>
  <c r="Q19" i="9"/>
  <c r="Q63" i="9"/>
  <c r="Q176" i="8"/>
  <c r="U11" i="9"/>
  <c r="U13" i="9"/>
  <c r="S14" i="9"/>
  <c r="S48" i="8"/>
  <c r="S161" i="8"/>
  <c r="S160" i="8" s="1"/>
  <c r="S163" i="8" s="1"/>
  <c r="S67" i="8"/>
  <c r="R63" i="9"/>
  <c r="R21" i="9"/>
  <c r="R19" i="9"/>
  <c r="T67" i="8" l="1"/>
  <c r="T161" i="8"/>
  <c r="T160" i="8" s="1"/>
  <c r="T163" i="8" s="1"/>
  <c r="T14" i="9"/>
  <c r="T18" i="9" s="1"/>
  <c r="T21" i="9" s="1"/>
  <c r="S69" i="8"/>
  <c r="S223" i="8" s="1"/>
  <c r="S169" i="8"/>
  <c r="V56" i="8"/>
  <c r="S15" i="9"/>
  <c r="S18" i="9"/>
  <c r="V14" i="9"/>
  <c r="V161" i="8"/>
  <c r="V160" i="8" s="1"/>
  <c r="V163" i="8" s="1"/>
  <c r="V67" i="8"/>
  <c r="U47" i="8"/>
  <c r="T169" i="8"/>
  <c r="T69" i="8"/>
  <c r="T223" i="8" s="1"/>
  <c r="T15" i="9"/>
  <c r="T63" i="9" l="1"/>
  <c r="T19" i="9"/>
  <c r="U48" i="8"/>
  <c r="U161" i="8"/>
  <c r="U160" i="8" s="1"/>
  <c r="U163" i="8" s="1"/>
  <c r="U14" i="9"/>
  <c r="V15" i="9" s="1"/>
  <c r="U67" i="8"/>
  <c r="V169" i="8"/>
  <c r="V168" i="8" s="1"/>
  <c r="V77" i="8" s="1"/>
  <c r="V69" i="8"/>
  <c r="V223" i="8" s="1"/>
  <c r="V48" i="8"/>
  <c r="V18" i="9"/>
  <c r="S19" i="9"/>
  <c r="S63" i="9"/>
  <c r="S21" i="9"/>
  <c r="T176" i="8"/>
  <c r="S176" i="8"/>
  <c r="V177" i="8" l="1"/>
  <c r="V25" i="9"/>
  <c r="V176" i="8"/>
  <c r="V75" i="8"/>
  <c r="U169" i="8"/>
  <c r="U69" i="8"/>
  <c r="U223" i="8" s="1"/>
  <c r="V21" i="9"/>
  <c r="U15" i="9"/>
  <c r="U18" i="9"/>
  <c r="U19" i="9" l="1"/>
  <c r="U21" i="9"/>
  <c r="U63" i="9"/>
  <c r="V63" i="9"/>
  <c r="V175" i="8"/>
  <c r="V19" i="9"/>
  <c r="U176" i="8"/>
  <c r="O168" i="8"/>
  <c r="O77" i="8" s="1"/>
  <c r="M177" i="8"/>
  <c r="M183" i="8" l="1"/>
  <c r="M182" i="8"/>
  <c r="M175" i="8"/>
  <c r="N168" i="8"/>
  <c r="N77" i="8" s="1"/>
  <c r="O25" i="9"/>
  <c r="O177" i="8"/>
  <c r="M214" i="8"/>
  <c r="M72" i="8"/>
  <c r="M73" i="8" s="1"/>
  <c r="M187" i="8"/>
  <c r="M185" i="8"/>
  <c r="M25" i="9"/>
  <c r="M188" i="8" l="1"/>
  <c r="N177" i="8"/>
  <c r="N175" i="8" s="1"/>
  <c r="N25" i="9"/>
  <c r="P168" i="8"/>
  <c r="P77" i="8" s="1"/>
  <c r="M213" i="8"/>
  <c r="M186" i="8"/>
  <c r="M76" i="8"/>
  <c r="M78" i="8" s="1"/>
  <c r="O175" i="8"/>
  <c r="M22" i="9" l="1"/>
  <c r="M71" i="8"/>
  <c r="Q168" i="8"/>
  <c r="Q77" i="8" s="1"/>
  <c r="P25" i="9"/>
  <c r="P177" i="8"/>
  <c r="Q177" i="8" l="1"/>
  <c r="Q25" i="9"/>
  <c r="P175" i="8"/>
  <c r="R168" i="8"/>
  <c r="R77" i="8" s="1"/>
  <c r="M24" i="9"/>
  <c r="M26" i="9" s="1"/>
  <c r="M31" i="9" s="1"/>
  <c r="M23" i="9"/>
  <c r="M79" i="8"/>
  <c r="M27" i="9" l="1"/>
  <c r="R177" i="8"/>
  <c r="R25" i="9"/>
  <c r="S168" i="8"/>
  <c r="S77" i="8" s="1"/>
  <c r="Q175" i="8"/>
  <c r="T168" i="8" l="1"/>
  <c r="T77" i="8" s="1"/>
  <c r="U168" i="8"/>
  <c r="U77" i="8" s="1"/>
  <c r="S177" i="8"/>
  <c r="S25" i="9"/>
  <c r="N201" i="8"/>
  <c r="N198" i="8" s="1"/>
  <c r="N180" i="8" s="1"/>
  <c r="N183" i="8" s="1"/>
  <c r="N218" i="8" s="1"/>
  <c r="N47" i="9"/>
  <c r="N200" i="8"/>
  <c r="N197" i="8" s="1"/>
  <c r="N179" i="8" s="1"/>
  <c r="N182" i="8" s="1"/>
  <c r="N216" i="8" s="1"/>
  <c r="R175" i="8"/>
  <c r="M39" i="9"/>
  <c r="N72" i="8" l="1"/>
  <c r="N73" i="8" s="1"/>
  <c r="N187" i="8"/>
  <c r="N188" i="8" s="1"/>
  <c r="N185" i="8"/>
  <c r="N186" i="8" s="1"/>
  <c r="N70" i="8"/>
  <c r="S175" i="8"/>
  <c r="U177" i="8"/>
  <c r="U25" i="9"/>
  <c r="T177" i="8"/>
  <c r="T25" i="9"/>
  <c r="T175" i="8" l="1"/>
  <c r="M64" i="9"/>
  <c r="M65" i="9" s="1"/>
  <c r="U175" i="8"/>
  <c r="N71" i="8"/>
  <c r="N74" i="8" l="1"/>
  <c r="N190" i="8"/>
  <c r="N213" i="8"/>
  <c r="N191" i="8"/>
  <c r="N214" i="8"/>
  <c r="N75" i="8" l="1"/>
  <c r="N76" i="8"/>
  <c r="N22" i="9"/>
  <c r="N23" i="9" l="1"/>
  <c r="N24" i="9"/>
  <c r="N26" i="9" s="1"/>
  <c r="N27" i="9" s="1"/>
  <c r="N79" i="8"/>
  <c r="N239" i="8" s="1"/>
  <c r="N240" i="8" s="1"/>
  <c r="N78" i="8"/>
  <c r="O238" i="8" l="1"/>
  <c r="N43" i="9"/>
  <c r="N31" i="9"/>
  <c r="N39" i="9" s="1"/>
  <c r="N36" i="9" l="1"/>
  <c r="O47" i="9"/>
  <c r="O200" i="8"/>
  <c r="O197" i="8" s="1"/>
  <c r="O179" i="8" s="1"/>
  <c r="O182" i="8" s="1"/>
  <c r="O216" i="8" s="1"/>
  <c r="O201" i="8"/>
  <c r="O198" i="8" s="1"/>
  <c r="O180" i="8" s="1"/>
  <c r="O183" i="8" s="1"/>
  <c r="O218" i="8" s="1"/>
  <c r="N46" i="9" l="1"/>
  <c r="O187" i="8"/>
  <c r="O188" i="8" s="1"/>
  <c r="O72" i="8"/>
  <c r="O73" i="8" s="1"/>
  <c r="O185" i="8"/>
  <c r="O186" i="8" s="1"/>
  <c r="O70" i="8"/>
  <c r="N44" i="9"/>
  <c r="N38" i="9"/>
  <c r="N45" i="9" l="1"/>
  <c r="N64" i="9" s="1"/>
  <c r="N65" i="9" s="1"/>
  <c r="N48" i="9"/>
  <c r="O71" i="8"/>
  <c r="O191" i="8" l="1"/>
  <c r="O214" i="8"/>
  <c r="O74" i="8"/>
  <c r="O190" i="8"/>
  <c r="O213" i="8"/>
  <c r="O75" i="8" l="1"/>
  <c r="O76" i="8"/>
  <c r="O22" i="9"/>
  <c r="O23" i="9" l="1"/>
  <c r="O24" i="9"/>
  <c r="O26" i="9" s="1"/>
  <c r="O79" i="8"/>
  <c r="O78" i="8"/>
  <c r="O239" i="8" l="1"/>
  <c r="O240" i="8" s="1"/>
  <c r="P238" i="8" s="1"/>
  <c r="O43" i="9"/>
  <c r="O31" i="9"/>
  <c r="O27" i="9"/>
  <c r="O36" i="9" l="1"/>
  <c r="O39" i="9"/>
  <c r="P200" i="8"/>
  <c r="P197" i="8" s="1"/>
  <c r="P179" i="8" s="1"/>
  <c r="P182" i="8" s="1"/>
  <c r="P216" i="8" s="1"/>
  <c r="P47" i="9"/>
  <c r="P201" i="8"/>
  <c r="P198" i="8" s="1"/>
  <c r="P180" i="8" s="1"/>
  <c r="P183" i="8" s="1"/>
  <c r="P218" i="8" s="1"/>
  <c r="P72" i="8" l="1"/>
  <c r="P73" i="8" s="1"/>
  <c r="P187" i="8"/>
  <c r="P188" i="8" s="1"/>
  <c r="P70" i="8"/>
  <c r="P185" i="8"/>
  <c r="P186" i="8" s="1"/>
  <c r="O38" i="9"/>
  <c r="O46" i="9"/>
  <c r="O48" i="9" l="1"/>
  <c r="O44" i="9"/>
  <c r="O45" i="9" s="1"/>
  <c r="O64" i="9" s="1"/>
  <c r="O65" i="9" s="1"/>
  <c r="P71" i="8"/>
  <c r="P190" i="8" l="1"/>
  <c r="P74" i="8"/>
  <c r="P213" i="8"/>
  <c r="P191" i="8"/>
  <c r="P214" i="8"/>
  <c r="P75" i="8" l="1"/>
  <c r="P22" i="9"/>
  <c r="P76" i="8"/>
  <c r="P79" i="8" l="1"/>
  <c r="P78" i="8"/>
  <c r="P24" i="9"/>
  <c r="P26" i="9" s="1"/>
  <c r="P23" i="9"/>
  <c r="P27" i="9" l="1"/>
  <c r="P31" i="9"/>
  <c r="P43" i="9"/>
  <c r="P239" i="8"/>
  <c r="P240" i="8" s="1"/>
  <c r="Q238" i="8" s="1"/>
  <c r="Q47" i="9" l="1"/>
  <c r="Q201" i="8"/>
  <c r="Q198" i="8" s="1"/>
  <c r="Q180" i="8" s="1"/>
  <c r="Q183" i="8" s="1"/>
  <c r="Q218" i="8" s="1"/>
  <c r="Q200" i="8"/>
  <c r="Q197" i="8" s="1"/>
  <c r="Q179" i="8" s="1"/>
  <c r="Q182" i="8" s="1"/>
  <c r="Q216" i="8" s="1"/>
  <c r="P36" i="9"/>
  <c r="P39" i="9"/>
  <c r="Q185" i="8" l="1"/>
  <c r="Q186" i="8" s="1"/>
  <c r="Q70" i="8"/>
  <c r="P46" i="9"/>
  <c r="P38" i="9"/>
  <c r="Q72" i="8"/>
  <c r="Q73" i="8" s="1"/>
  <c r="Q187" i="8"/>
  <c r="Q188" i="8" s="1"/>
  <c r="P48" i="9" l="1"/>
  <c r="P44" i="9"/>
  <c r="P45" i="9" s="1"/>
  <c r="P64" i="9" s="1"/>
  <c r="P65" i="9" s="1"/>
  <c r="Q71" i="8"/>
  <c r="Q74" i="8" l="1"/>
  <c r="Q190" i="8"/>
  <c r="Q213" i="8"/>
  <c r="Q191" i="8"/>
  <c r="Q214" i="8"/>
  <c r="Q75" i="8" l="1"/>
  <c r="Q22" i="9"/>
  <c r="Q76" i="8"/>
  <c r="Q79" i="8" l="1"/>
  <c r="Q78" i="8"/>
  <c r="Q23" i="9"/>
  <c r="Q24" i="9"/>
  <c r="Q26" i="9" s="1"/>
  <c r="Q27" i="9" l="1"/>
  <c r="Q43" i="9"/>
  <c r="Q31" i="9"/>
  <c r="Q239" i="8"/>
  <c r="Q240" i="8" s="1"/>
  <c r="R238" i="8" s="1"/>
  <c r="R201" i="8" l="1"/>
  <c r="R198" i="8" s="1"/>
  <c r="R180" i="8" s="1"/>
  <c r="R183" i="8" s="1"/>
  <c r="R218" i="8" s="1"/>
  <c r="R200" i="8"/>
  <c r="R197" i="8" s="1"/>
  <c r="R179" i="8" s="1"/>
  <c r="R182" i="8" s="1"/>
  <c r="R216" i="8" s="1"/>
  <c r="R47" i="9"/>
  <c r="Q36" i="9"/>
  <c r="Q39" i="9"/>
  <c r="R185" i="8" l="1"/>
  <c r="R186" i="8" s="1"/>
  <c r="R70" i="8"/>
  <c r="Q46" i="9"/>
  <c r="Q38" i="9"/>
  <c r="R187" i="8"/>
  <c r="R188" i="8" s="1"/>
  <c r="R72" i="8"/>
  <c r="R73" i="8" s="1"/>
  <c r="Q48" i="9" l="1"/>
  <c r="Q44" i="9"/>
  <c r="Q45" i="9" s="1"/>
  <c r="Q64" i="9" s="1"/>
  <c r="Q65" i="9" s="1"/>
  <c r="R71" i="8"/>
  <c r="R191" i="8" l="1"/>
  <c r="R214" i="8"/>
  <c r="R190" i="8"/>
  <c r="R74" i="8"/>
  <c r="R213" i="8"/>
  <c r="R75" i="8" l="1"/>
  <c r="R22" i="9"/>
  <c r="R76" i="8"/>
  <c r="R79" i="8" l="1"/>
  <c r="R78" i="8"/>
  <c r="R24" i="9"/>
  <c r="R26" i="9" s="1"/>
  <c r="R23" i="9"/>
  <c r="R239" i="8" l="1"/>
  <c r="R240" i="8" s="1"/>
  <c r="S238" i="8" s="1"/>
  <c r="R27" i="9"/>
  <c r="R31" i="9"/>
  <c r="R43" i="9"/>
  <c r="R36" i="9" l="1"/>
  <c r="R39" i="9"/>
  <c r="S201" i="8"/>
  <c r="S198" i="8" s="1"/>
  <c r="S180" i="8" s="1"/>
  <c r="S183" i="8" s="1"/>
  <c r="S218" i="8" s="1"/>
  <c r="S200" i="8"/>
  <c r="S197" i="8" s="1"/>
  <c r="S179" i="8" s="1"/>
  <c r="S182" i="8" s="1"/>
  <c r="S216" i="8" s="1"/>
  <c r="S47" i="9"/>
  <c r="S185" i="8" l="1"/>
  <c r="S186" i="8" s="1"/>
  <c r="S70" i="8"/>
  <c r="S72" i="8"/>
  <c r="S73" i="8" s="1"/>
  <c r="S187" i="8"/>
  <c r="S188" i="8" s="1"/>
  <c r="R46" i="9"/>
  <c r="R38" i="9"/>
  <c r="R48" i="9" l="1"/>
  <c r="R44" i="9"/>
  <c r="R45" i="9" s="1"/>
  <c r="R64" i="9" s="1"/>
  <c r="R65" i="9" s="1"/>
  <c r="S71" i="8"/>
  <c r="S191" i="8" l="1"/>
  <c r="S214" i="8"/>
  <c r="S74" i="8"/>
  <c r="S190" i="8"/>
  <c r="S213" i="8"/>
  <c r="S75" i="8" l="1"/>
  <c r="S76" i="8"/>
  <c r="S22" i="9"/>
  <c r="S23" i="9" l="1"/>
  <c r="S24" i="9"/>
  <c r="S26" i="9" s="1"/>
  <c r="S79" i="8"/>
  <c r="S78" i="8"/>
  <c r="S239" i="8" l="1"/>
  <c r="S240" i="8" s="1"/>
  <c r="T238" i="8" s="1"/>
  <c r="S43" i="9"/>
  <c r="S27" i="9"/>
  <c r="S31" i="9"/>
  <c r="S36" i="9" l="1"/>
  <c r="S39" i="9"/>
  <c r="T47" i="9"/>
  <c r="T200" i="8"/>
  <c r="T197" i="8" s="1"/>
  <c r="T179" i="8" s="1"/>
  <c r="T182" i="8" s="1"/>
  <c r="T216" i="8" s="1"/>
  <c r="T201" i="8"/>
  <c r="T198" i="8" s="1"/>
  <c r="T180" i="8" s="1"/>
  <c r="T183" i="8" s="1"/>
  <c r="T218" i="8" s="1"/>
  <c r="T187" i="8" l="1"/>
  <c r="T188" i="8" s="1"/>
  <c r="T72" i="8"/>
  <c r="T73" i="8" s="1"/>
  <c r="T185" i="8"/>
  <c r="T186" i="8" s="1"/>
  <c r="T70" i="8"/>
  <c r="S46" i="9"/>
  <c r="S38" i="9"/>
  <c r="S48" i="9" l="1"/>
  <c r="S44" i="9"/>
  <c r="S45" i="9" s="1"/>
  <c r="S64" i="9" s="1"/>
  <c r="S65" i="9" s="1"/>
  <c r="T71" i="8"/>
  <c r="T190" i="8" l="1"/>
  <c r="T74" i="8"/>
  <c r="T213" i="8"/>
  <c r="T191" i="8"/>
  <c r="T214" i="8"/>
  <c r="T75" i="8" l="1"/>
  <c r="T22" i="9"/>
  <c r="T76" i="8"/>
  <c r="T79" i="8" l="1"/>
  <c r="T78" i="8"/>
  <c r="T24" i="9"/>
  <c r="T26" i="9" s="1"/>
  <c r="T23" i="9"/>
  <c r="T43" i="9" l="1"/>
  <c r="T31" i="9"/>
  <c r="T27" i="9"/>
  <c r="T239" i="8"/>
  <c r="T240" i="8" s="1"/>
  <c r="U238" i="8" s="1"/>
  <c r="U47" i="9" l="1"/>
  <c r="U201" i="8"/>
  <c r="U198" i="8" s="1"/>
  <c r="U180" i="8" s="1"/>
  <c r="U183" i="8" s="1"/>
  <c r="U218" i="8" s="1"/>
  <c r="U200" i="8"/>
  <c r="U197" i="8" s="1"/>
  <c r="U179" i="8" s="1"/>
  <c r="U182" i="8" s="1"/>
  <c r="U216" i="8" s="1"/>
  <c r="T39" i="9"/>
  <c r="T36" i="9"/>
  <c r="U185" i="8" l="1"/>
  <c r="U186" i="8" s="1"/>
  <c r="U70" i="8"/>
  <c r="T46" i="9"/>
  <c r="T38" i="9"/>
  <c r="U187" i="8"/>
  <c r="U188" i="8" s="1"/>
  <c r="U72" i="8"/>
  <c r="U73" i="8" s="1"/>
  <c r="T44" i="9" l="1"/>
  <c r="T45" i="9" s="1"/>
  <c r="T64" i="9" s="1"/>
  <c r="T65" i="9" s="1"/>
  <c r="T48" i="9"/>
  <c r="U71" i="8"/>
  <c r="U74" i="8" l="1"/>
  <c r="U190" i="8"/>
  <c r="U213" i="8"/>
  <c r="U191" i="8"/>
  <c r="U214" i="8"/>
  <c r="U75" i="8" l="1"/>
  <c r="U22" i="9"/>
  <c r="U76" i="8"/>
  <c r="U79" i="8" l="1"/>
  <c r="U78" i="8"/>
  <c r="U23" i="9"/>
  <c r="U24" i="9"/>
  <c r="U26" i="9" s="1"/>
  <c r="U27" i="9" l="1"/>
  <c r="U31" i="9"/>
  <c r="U43" i="9"/>
  <c r="U239" i="8"/>
  <c r="U240" i="8" s="1"/>
  <c r="V238" i="8" s="1"/>
  <c r="V201" i="8" l="1"/>
  <c r="V198" i="8" s="1"/>
  <c r="V180" i="8" s="1"/>
  <c r="V183" i="8" s="1"/>
  <c r="V218" i="8" s="1"/>
  <c r="V200" i="8"/>
  <c r="V197" i="8" s="1"/>
  <c r="V179" i="8" s="1"/>
  <c r="V182" i="8" s="1"/>
  <c r="V216" i="8" s="1"/>
  <c r="V47" i="9"/>
  <c r="U36" i="9"/>
  <c r="U39" i="9"/>
  <c r="U38" i="9" l="1"/>
  <c r="U46" i="9"/>
  <c r="V70" i="8"/>
  <c r="V185" i="8"/>
  <c r="V186" i="8" s="1"/>
  <c r="V187" i="8"/>
  <c r="V188" i="8" s="1"/>
  <c r="V72" i="8"/>
  <c r="V73" i="8" s="1"/>
  <c r="V22" i="9" l="1"/>
  <c r="V71" i="8"/>
  <c r="V76" i="8"/>
  <c r="U48" i="9"/>
  <c r="U44" i="9"/>
  <c r="U45" i="9" s="1"/>
  <c r="U64" i="9" s="1"/>
  <c r="U65" i="9" s="1"/>
  <c r="V190" i="8" l="1"/>
  <c r="V213" i="8"/>
  <c r="V191" i="8"/>
  <c r="V214" i="8"/>
  <c r="V78" i="8"/>
  <c r="V79" i="8"/>
  <c r="V239" i="8" s="1"/>
  <c r="V240" i="8" s="1"/>
  <c r="V23" i="9"/>
  <c r="V24" i="9"/>
  <c r="V26" i="9" s="1"/>
  <c r="V31" i="9" l="1"/>
  <c r="V43" i="9"/>
  <c r="V27" i="9"/>
  <c r="V36" i="9" l="1"/>
  <c r="V39" i="9"/>
  <c r="W31" i="9"/>
  <c r="W36" i="9" l="1"/>
  <c r="P14" i="14"/>
  <c r="S13" i="3" s="1"/>
  <c r="G14" i="14"/>
  <c r="J13" i="3" s="1"/>
  <c r="N14" i="14"/>
  <c r="Q13" i="3" s="1"/>
  <c r="L14" i="14"/>
  <c r="O13" i="3" s="1"/>
  <c r="I14" i="14"/>
  <c r="L13" i="3" s="1"/>
  <c r="K14" i="14"/>
  <c r="N13" i="3" s="1"/>
  <c r="O14" i="14"/>
  <c r="R13" i="3" s="1"/>
  <c r="J14" i="14"/>
  <c r="M13" i="3" s="1"/>
  <c r="M14" i="14"/>
  <c r="P13" i="3" s="1"/>
  <c r="H14" i="14"/>
  <c r="K13" i="3" s="1"/>
  <c r="G15" i="14"/>
  <c r="J14" i="3" s="1"/>
  <c r="K13" i="14"/>
  <c r="N12" i="3" s="1"/>
  <c r="G13" i="14"/>
  <c r="J12" i="3" s="1"/>
  <c r="O15" i="14"/>
  <c r="R14" i="3" s="1"/>
  <c r="J13" i="14"/>
  <c r="M12" i="3" s="1"/>
  <c r="N15" i="14"/>
  <c r="Q14" i="3" s="1"/>
  <c r="N13" i="14"/>
  <c r="Q12" i="3" s="1"/>
  <c r="H15" i="14"/>
  <c r="K14" i="3" s="1"/>
  <c r="L13" i="14"/>
  <c r="O12" i="3" s="1"/>
  <c r="L15" i="14"/>
  <c r="O14" i="3" s="1"/>
  <c r="P15" i="14"/>
  <c r="S14" i="3" s="1"/>
  <c r="H13" i="14"/>
  <c r="K12" i="3" s="1"/>
  <c r="P13" i="14"/>
  <c r="S12" i="3" s="1"/>
  <c r="K15" i="14"/>
  <c r="N14" i="3" s="1"/>
  <c r="J15" i="14"/>
  <c r="M14" i="3" s="1"/>
  <c r="I13" i="14"/>
  <c r="L12" i="3" s="1"/>
  <c r="M15" i="14"/>
  <c r="P14" i="3" s="1"/>
  <c r="O13" i="14"/>
  <c r="R12" i="3" s="1"/>
  <c r="I15" i="14"/>
  <c r="L14" i="3" s="1"/>
  <c r="M13" i="14"/>
  <c r="P12" i="3" s="1"/>
  <c r="J16" i="14"/>
  <c r="M15" i="3" s="1"/>
  <c r="O12" i="14"/>
  <c r="R11" i="3" s="1"/>
  <c r="I16" i="14"/>
  <c r="L15" i="3" s="1"/>
  <c r="H16" i="14"/>
  <c r="K15" i="3" s="1"/>
  <c r="G12" i="14"/>
  <c r="J11" i="3" s="1"/>
  <c r="N16" i="14"/>
  <c r="Q15" i="3" s="1"/>
  <c r="M16" i="14"/>
  <c r="P15" i="3" s="1"/>
  <c r="K16" i="14"/>
  <c r="N15" i="3" s="1"/>
  <c r="J12" i="14"/>
  <c r="M11" i="3" s="1"/>
  <c r="H12" i="14"/>
  <c r="K11" i="3" s="1"/>
  <c r="P12" i="14"/>
  <c r="S11" i="3" s="1"/>
  <c r="M12" i="14"/>
  <c r="P11" i="3" s="1"/>
  <c r="K12" i="14"/>
  <c r="N11" i="3" s="1"/>
  <c r="N12" i="14"/>
  <c r="Q11" i="3" s="1"/>
  <c r="I12" i="14"/>
  <c r="L11" i="3" s="1"/>
  <c r="O16" i="14"/>
  <c r="R15" i="3" s="1"/>
  <c r="P16" i="14"/>
  <c r="S15" i="3" s="1"/>
  <c r="L16" i="14"/>
  <c r="O15" i="3" s="1"/>
  <c r="G16" i="14"/>
  <c r="J15" i="3" s="1"/>
  <c r="L12" i="14"/>
  <c r="O11" i="3" s="1"/>
  <c r="L11" i="14"/>
  <c r="O10" i="3" s="1"/>
  <c r="M17" i="14"/>
  <c r="P16" i="3" s="1"/>
  <c r="N18" i="14"/>
  <c r="Q17" i="3" s="1"/>
  <c r="L17" i="14"/>
  <c r="O16" i="3" s="1"/>
  <c r="K17" i="14"/>
  <c r="N16" i="3" s="1"/>
  <c r="J17" i="14"/>
  <c r="M16" i="3" s="1"/>
  <c r="I17" i="14"/>
  <c r="L16" i="3" s="1"/>
  <c r="G11" i="14"/>
  <c r="J10" i="3" s="1"/>
  <c r="P17" i="14"/>
  <c r="S16" i="3" s="1"/>
  <c r="O17" i="14"/>
  <c r="R16" i="3" s="1"/>
  <c r="G17" i="14"/>
  <c r="J16" i="3" s="1"/>
  <c r="O18" i="14"/>
  <c r="R17" i="3" s="1"/>
  <c r="M11" i="14"/>
  <c r="P10" i="3" s="1"/>
  <c r="P11" i="14"/>
  <c r="S10" i="3" s="1"/>
  <c r="O11" i="14"/>
  <c r="R10" i="3" s="1"/>
  <c r="H17" i="14"/>
  <c r="K16" i="3" s="1"/>
  <c r="J11" i="14"/>
  <c r="M10" i="3" s="1"/>
  <c r="K11" i="14"/>
  <c r="N10" i="3" s="1"/>
  <c r="H11" i="14"/>
  <c r="K10" i="3" s="1"/>
  <c r="I11" i="14"/>
  <c r="L10" i="3" s="1"/>
  <c r="N11" i="14"/>
  <c r="Q10" i="3" s="1"/>
  <c r="N17" i="14"/>
  <c r="Q16" i="3" s="1"/>
  <c r="G10" i="14"/>
  <c r="J9" i="3" s="1"/>
  <c r="I10" i="14"/>
  <c r="L9" i="3" s="1"/>
  <c r="H10" i="14"/>
  <c r="K9" i="3" s="1"/>
  <c r="I18" i="14"/>
  <c r="L17" i="3" s="1"/>
  <c r="N10" i="14"/>
  <c r="Q9" i="3" s="1"/>
  <c r="J18" i="14"/>
  <c r="M17" i="3" s="1"/>
  <c r="K18" i="14"/>
  <c r="N17" i="3" s="1"/>
  <c r="K10" i="14"/>
  <c r="N9" i="3" s="1"/>
  <c r="H18" i="14"/>
  <c r="K17" i="3" s="1"/>
  <c r="L18" i="14"/>
  <c r="O17" i="3" s="1"/>
  <c r="L10" i="14"/>
  <c r="O9" i="3" s="1"/>
  <c r="M10" i="14"/>
  <c r="P9" i="3" s="1"/>
  <c r="G18" i="14"/>
  <c r="J17" i="3" s="1"/>
  <c r="P18" i="14"/>
  <c r="S17" i="3" s="1"/>
  <c r="O10" i="14"/>
  <c r="R9" i="3" s="1"/>
  <c r="M18" i="14"/>
  <c r="P17" i="3" s="1"/>
  <c r="P10" i="14"/>
  <c r="S9" i="3" s="1"/>
  <c r="J10" i="14"/>
  <c r="M9" i="3" s="1"/>
  <c r="G1353" i="10"/>
  <c r="G1186" i="10"/>
  <c r="G720" i="10"/>
  <c r="G859" i="10"/>
  <c r="G166" i="10"/>
  <c r="G871" i="10"/>
  <c r="G944" i="10"/>
  <c r="G57" i="10"/>
  <c r="G1115" i="10"/>
  <c r="G315" i="10"/>
  <c r="G726" i="10"/>
  <c r="G1281" i="10"/>
  <c r="G1063" i="10"/>
  <c r="G989" i="10"/>
  <c r="G975" i="10"/>
  <c r="G257" i="10"/>
  <c r="G28" i="10"/>
  <c r="G357" i="10"/>
  <c r="G438" i="10"/>
  <c r="G888" i="10"/>
  <c r="G870" i="10"/>
  <c r="G1215" i="10"/>
  <c r="G103" i="10"/>
  <c r="G926" i="10"/>
  <c r="G590" i="10"/>
  <c r="G724" i="10"/>
  <c r="G725" i="10"/>
  <c r="G454" i="10"/>
  <c r="G121" i="10"/>
  <c r="G1198" i="10"/>
  <c r="G783" i="10"/>
  <c r="G197" i="10"/>
  <c r="G559" i="10"/>
  <c r="G42" i="10"/>
  <c r="G229" i="10"/>
  <c r="G976" i="10"/>
  <c r="G83" i="10"/>
  <c r="G54" i="10"/>
  <c r="G38" i="10"/>
  <c r="G586" i="10"/>
  <c r="G440" i="10"/>
  <c r="G1378" i="10"/>
  <c r="G533" i="10"/>
  <c r="G87" i="10"/>
  <c r="G477" i="10"/>
  <c r="G299" i="10"/>
  <c r="G1298" i="10"/>
  <c r="G494" i="10"/>
  <c r="G1143" i="10"/>
  <c r="G710" i="10"/>
  <c r="G1331" i="10"/>
  <c r="G169" i="10"/>
  <c r="G603" i="10"/>
  <c r="G192" i="10"/>
  <c r="G500" i="10"/>
  <c r="G750" i="10"/>
  <c r="G1002" i="10"/>
  <c r="G363" i="10"/>
  <c r="G147" i="10"/>
  <c r="G117" i="10"/>
  <c r="G191" i="10"/>
  <c r="G857" i="10"/>
  <c r="G781" i="10"/>
  <c r="G526" i="10"/>
  <c r="G990" i="10"/>
  <c r="G1125" i="10"/>
  <c r="G123" i="10"/>
  <c r="G184" i="10"/>
  <c r="G620" i="10"/>
  <c r="G71" i="10"/>
  <c r="G124" i="10"/>
  <c r="G1376" i="10"/>
  <c r="G637" i="10"/>
  <c r="G1438" i="10"/>
  <c r="G404" i="10"/>
  <c r="G640" i="10"/>
  <c r="G899" i="10"/>
  <c r="G1109" i="10"/>
  <c r="G47" i="10"/>
  <c r="G73" i="10"/>
  <c r="G387" i="10"/>
  <c r="G158" i="10"/>
  <c r="G505" i="10"/>
  <c r="G868" i="10"/>
  <c r="G788" i="10"/>
  <c r="W38" i="9"/>
  <c r="G549" i="10"/>
  <c r="G344" i="10"/>
  <c r="G1168" i="10"/>
  <c r="G436" i="10"/>
  <c r="G345" i="10"/>
  <c r="G767" i="10"/>
  <c r="G573" i="10"/>
  <c r="G911" i="10"/>
  <c r="G1020" i="10"/>
  <c r="G252" i="10"/>
  <c r="G193" i="10"/>
  <c r="G593" i="10"/>
  <c r="G314" i="10"/>
  <c r="G368" i="10"/>
  <c r="G264" i="10"/>
  <c r="G75" i="10"/>
  <c r="G1340" i="10"/>
  <c r="G100" i="10"/>
  <c r="G435" i="10"/>
  <c r="G320" i="10"/>
  <c r="G906" i="10"/>
  <c r="G446" i="10"/>
  <c r="G1233" i="10"/>
  <c r="G698" i="10"/>
  <c r="G176" i="10"/>
  <c r="G541" i="10"/>
  <c r="G370" i="10"/>
  <c r="G1552" i="10"/>
  <c r="G546" i="10"/>
  <c r="G925" i="10"/>
  <c r="G589" i="10"/>
  <c r="G456" i="10"/>
  <c r="G879" i="10"/>
  <c r="G667" i="10"/>
  <c r="G823" i="10"/>
  <c r="G1341" i="10"/>
  <c r="G1459" i="10"/>
  <c r="G459" i="10"/>
  <c r="G937" i="10"/>
  <c r="G1084" i="10"/>
  <c r="G636" i="10"/>
  <c r="G761" i="10"/>
  <c r="G623" i="10"/>
  <c r="G878" i="10"/>
  <c r="G1633" i="10"/>
  <c r="G223" i="10"/>
  <c r="G424" i="10"/>
  <c r="G790" i="10"/>
  <c r="G317" i="10"/>
  <c r="G1406" i="10"/>
  <c r="G961" i="10"/>
  <c r="G173" i="10"/>
  <c r="G365" i="10"/>
  <c r="G936" i="10"/>
  <c r="G905" i="10"/>
  <c r="G1831" i="10"/>
  <c r="G1396" i="10"/>
  <c r="G407" i="10"/>
  <c r="G914" i="10"/>
  <c r="G606" i="10"/>
  <c r="G617" i="10"/>
  <c r="G525" i="10"/>
  <c r="G898" i="10"/>
  <c r="G847" i="10"/>
  <c r="G523" i="10"/>
  <c r="G1256" i="10"/>
  <c r="G82" i="10"/>
  <c r="G37" i="10"/>
  <c r="G202" i="10"/>
  <c r="G434" i="10"/>
  <c r="G616" i="10"/>
  <c r="G133" i="10"/>
  <c r="G530" i="10"/>
  <c r="G1280" i="10"/>
  <c r="G701" i="10"/>
  <c r="G768" i="10"/>
  <c r="G703" i="10"/>
  <c r="G336" i="10"/>
  <c r="G551" i="10"/>
  <c r="G934" i="10"/>
  <c r="G982" i="10"/>
  <c r="G540" i="10"/>
  <c r="G302" i="10"/>
  <c r="G1068" i="10"/>
  <c r="G272" i="10"/>
  <c r="G912" i="10"/>
  <c r="G153" i="10"/>
  <c r="G1211" i="10"/>
  <c r="G16" i="10"/>
  <c r="G43" i="10"/>
  <c r="G1394" i="10"/>
  <c r="G303" i="10"/>
  <c r="G880" i="10"/>
  <c r="G534" i="10"/>
  <c r="G233" i="10"/>
  <c r="G206" i="10"/>
  <c r="G602" i="10"/>
  <c r="G17" i="10"/>
  <c r="G178" i="10"/>
  <c r="G1171" i="10"/>
  <c r="G894" i="10"/>
  <c r="G364" i="10"/>
  <c r="G754" i="10"/>
  <c r="G59" i="10"/>
  <c r="G55" i="10"/>
  <c r="G186" i="10"/>
  <c r="G402" i="10"/>
  <c r="G1055" i="10"/>
  <c r="G97" i="10"/>
  <c r="G867" i="10"/>
  <c r="G1713" i="10"/>
  <c r="G61" i="10"/>
  <c r="G707" i="10"/>
  <c r="G235" i="10"/>
  <c r="G1313" i="10"/>
  <c r="G76" i="10"/>
  <c r="G306" i="10"/>
  <c r="G107" i="10"/>
  <c r="G688" i="10"/>
  <c r="G954" i="10"/>
  <c r="G328" i="10"/>
  <c r="G846" i="10"/>
  <c r="G741" i="10"/>
  <c r="G118" i="10"/>
  <c r="G532" i="10"/>
  <c r="G91" i="10"/>
  <c r="G366" i="10"/>
  <c r="G1872" i="10"/>
  <c r="G1306" i="10"/>
  <c r="G460" i="10"/>
  <c r="G1300" i="10"/>
  <c r="G992" i="10"/>
  <c r="G405" i="10"/>
  <c r="G537" i="10"/>
  <c r="G1441" i="10"/>
  <c r="G1264" i="10"/>
  <c r="G605" i="10"/>
  <c r="G1062" i="10"/>
  <c r="G1262" i="10"/>
  <c r="G294" i="10"/>
  <c r="G24" i="10"/>
  <c r="G44" i="10"/>
  <c r="G932" i="10"/>
  <c r="G1354" i="10"/>
  <c r="G1073" i="10"/>
  <c r="G1733" i="10"/>
  <c r="G1349" i="10"/>
  <c r="G604" i="10"/>
  <c r="G555" i="10"/>
  <c r="G1276" i="10"/>
  <c r="G130" i="10"/>
  <c r="G104" i="10"/>
  <c r="G570" i="10"/>
  <c r="G471" i="10"/>
  <c r="G512" i="10"/>
  <c r="G326" i="10"/>
  <c r="G735" i="10"/>
  <c r="G1214" i="10"/>
  <c r="G1270" i="10"/>
  <c r="G122" i="10"/>
  <c r="G766" i="10"/>
  <c r="G755" i="10"/>
  <c r="G348" i="10"/>
  <c r="G268" i="10"/>
  <c r="G860" i="10"/>
  <c r="G291" i="10"/>
  <c r="G563" i="10"/>
  <c r="G1057" i="10"/>
  <c r="G1399" i="10"/>
  <c r="G343" i="10"/>
  <c r="G267" i="10"/>
  <c r="G1465" i="10"/>
  <c r="G536" i="10"/>
  <c r="G1221" i="10"/>
  <c r="G401" i="10"/>
  <c r="G821" i="10"/>
  <c r="G2247" i="10"/>
  <c r="G1352" i="10"/>
  <c r="G779" i="10"/>
  <c r="G437" i="10"/>
  <c r="G175" i="10"/>
  <c r="G1269" i="10"/>
  <c r="G591" i="10"/>
  <c r="G730" i="10"/>
  <c r="G1159" i="10"/>
  <c r="G829" i="10"/>
  <c r="G1411" i="10"/>
  <c r="G1076" i="10"/>
  <c r="G183" i="10"/>
  <c r="G967" i="10"/>
  <c r="G1075" i="10"/>
  <c r="G312" i="10"/>
  <c r="G513" i="10"/>
  <c r="G777" i="10"/>
  <c r="G2056" i="10"/>
  <c r="G819" i="10"/>
  <c r="G797" i="10"/>
  <c r="G535" i="10"/>
  <c r="G1355" i="10"/>
  <c r="G716" i="10"/>
  <c r="G282" i="10"/>
  <c r="G1028" i="10"/>
  <c r="G242" i="10"/>
  <c r="G686" i="10"/>
  <c r="G660" i="10"/>
  <c r="G1008" i="10"/>
  <c r="G449" i="10"/>
  <c r="G1358" i="10"/>
  <c r="G423" i="10"/>
  <c r="G492" i="10"/>
  <c r="G1283" i="10"/>
  <c r="G429" i="10"/>
  <c r="G131" i="10"/>
  <c r="G1359" i="10"/>
  <c r="G1001" i="10"/>
  <c r="G89" i="10"/>
  <c r="G309" i="10"/>
  <c r="G1205" i="10"/>
  <c r="G349" i="10"/>
  <c r="G34" i="10"/>
  <c r="G195" i="10"/>
  <c r="G1131" i="10"/>
  <c r="G216" i="10"/>
  <c r="G217" i="10"/>
  <c r="G502" i="10"/>
  <c r="G503" i="10"/>
  <c r="G170" i="10"/>
  <c r="G2249" i="10"/>
  <c r="G803" i="10"/>
  <c r="G2036" i="10"/>
  <c r="G69" i="10"/>
  <c r="G168" i="10"/>
  <c r="G818" i="10"/>
  <c r="G334" i="10"/>
  <c r="G682" i="10"/>
  <c r="G1067" i="10"/>
  <c r="G1292" i="10"/>
  <c r="G278" i="10"/>
  <c r="G204" i="10"/>
  <c r="G64" i="10"/>
  <c r="G642" i="10"/>
  <c r="G155" i="10"/>
  <c r="G634" i="10"/>
  <c r="G1102" i="10"/>
  <c r="G337" i="10"/>
  <c r="G885" i="10"/>
  <c r="G1993" i="10"/>
  <c r="G902" i="10"/>
  <c r="G375" i="10"/>
  <c r="G74" i="10"/>
  <c r="G1103" i="10"/>
  <c r="G1771" i="10"/>
  <c r="G1091" i="10"/>
  <c r="G1371" i="10"/>
  <c r="G1274" i="10"/>
  <c r="G1337" i="10"/>
  <c r="G1232" i="10"/>
  <c r="G995" i="10"/>
  <c r="G241" i="10"/>
  <c r="G1705" i="10"/>
  <c r="G164" i="10"/>
  <c r="G2354" i="10"/>
  <c r="G40" i="10"/>
  <c r="G479" i="10"/>
  <c r="G305" i="10"/>
  <c r="G943" i="10"/>
  <c r="G293" i="10"/>
  <c r="G556" i="10"/>
  <c r="G838" i="10"/>
  <c r="G510" i="10"/>
  <c r="G876" i="10"/>
  <c r="G115" i="10"/>
  <c r="G396" i="10"/>
  <c r="G1342" i="10"/>
  <c r="G1412" i="10"/>
  <c r="G1807" i="10"/>
  <c r="G1311" i="10"/>
  <c r="G836" i="10"/>
  <c r="G935" i="10"/>
  <c r="G1503" i="10"/>
  <c r="G2135" i="10"/>
  <c r="G1209" i="10"/>
  <c r="G718" i="10"/>
  <c r="G468" i="10"/>
  <c r="G996" i="10"/>
  <c r="G211" i="10"/>
  <c r="G1199" i="10"/>
  <c r="G110" i="10"/>
  <c r="G507" i="10"/>
  <c r="G465" i="10"/>
  <c r="G732" i="10"/>
  <c r="G842" i="10"/>
  <c r="G144" i="10"/>
  <c r="G53" i="10"/>
  <c r="G105" i="10"/>
  <c r="G529" i="10"/>
  <c r="G917" i="10"/>
  <c r="G1649" i="10"/>
  <c r="G1114" i="10"/>
  <c r="G1969" i="10"/>
  <c r="G430" i="10"/>
  <c r="G151" i="10"/>
  <c r="G900" i="10"/>
  <c r="G150" i="10"/>
  <c r="G1669" i="10"/>
  <c r="G666" i="10"/>
  <c r="G1659" i="10"/>
  <c r="G669" i="10"/>
  <c r="G463" i="10"/>
  <c r="G210" i="10"/>
  <c r="G886" i="10"/>
  <c r="G1608" i="10"/>
  <c r="G1505" i="10"/>
  <c r="G893" i="10"/>
  <c r="G1137" i="10"/>
  <c r="G2333" i="10"/>
  <c r="G837" i="10"/>
  <c r="G704" i="10"/>
  <c r="G1348" i="10"/>
  <c r="G1582" i="10"/>
  <c r="G1066" i="10"/>
  <c r="G300" i="10"/>
  <c r="G1549" i="10"/>
  <c r="G1039" i="10"/>
  <c r="G214" i="10"/>
  <c r="G920" i="10"/>
  <c r="G1189" i="10"/>
  <c r="G29" i="10"/>
  <c r="G2165" i="10"/>
  <c r="G1251" i="10"/>
  <c r="G592" i="10"/>
  <c r="G1879" i="10"/>
  <c r="G1765" i="10"/>
  <c r="G1360" i="10"/>
  <c r="G960" i="10"/>
  <c r="G391" i="10"/>
  <c r="G517" i="10"/>
  <c r="G1961" i="10"/>
  <c r="G745" i="10"/>
  <c r="G295" i="10"/>
  <c r="G372" i="10"/>
  <c r="G152" i="10"/>
  <c r="G509" i="10"/>
  <c r="G1422" i="10"/>
  <c r="G322" i="10"/>
  <c r="G469" i="10"/>
  <c r="G470" i="10"/>
  <c r="G1247" i="10"/>
  <c r="G2091" i="10"/>
  <c r="G1375" i="10"/>
  <c r="G179" i="10"/>
  <c r="G922" i="10"/>
  <c r="G2307" i="10"/>
  <c r="G522" i="10"/>
  <c r="G931" i="10"/>
  <c r="G1419" i="10"/>
  <c r="G1051" i="10"/>
  <c r="G316" i="10"/>
  <c r="G1043" i="10"/>
  <c r="G287" i="10"/>
  <c r="G1658" i="10"/>
  <c r="G1263" i="10"/>
  <c r="G1891" i="10"/>
  <c r="G1343" i="10"/>
  <c r="G808" i="10"/>
  <c r="G1282" i="10"/>
  <c r="G31" i="10"/>
  <c r="G489" i="10"/>
  <c r="G112" i="10"/>
  <c r="G1304" i="10"/>
  <c r="G1598" i="10"/>
  <c r="G1022" i="10"/>
  <c r="G77" i="10"/>
  <c r="G442" i="10"/>
  <c r="G265" i="10"/>
  <c r="G1259" i="10"/>
  <c r="G95" i="10"/>
  <c r="G289" i="10"/>
  <c r="G1455" i="10"/>
  <c r="G1021" i="10"/>
  <c r="G398" i="10"/>
  <c r="G595" i="10"/>
  <c r="G1654" i="10"/>
  <c r="G450" i="10"/>
  <c r="G411" i="10"/>
  <c r="G1089" i="10"/>
  <c r="G1222" i="10"/>
  <c r="G638" i="10"/>
  <c r="G2229" i="10"/>
  <c r="G1518" i="10"/>
  <c r="G789" i="10"/>
  <c r="G891" i="10"/>
  <c r="G232" i="10"/>
  <c r="G1160" i="10"/>
  <c r="G323" i="10"/>
  <c r="G632" i="10"/>
  <c r="G771" i="10"/>
  <c r="G63" i="10"/>
  <c r="G1241" i="10"/>
  <c r="G1979" i="10"/>
  <c r="G1753" i="10"/>
  <c r="G764" i="10"/>
  <c r="G362" i="10"/>
  <c r="G2088" i="10"/>
  <c r="G773" i="10"/>
  <c r="G938" i="10"/>
  <c r="G1830" i="10"/>
  <c r="G141" i="10"/>
  <c r="G558" i="10"/>
  <c r="G12" i="10"/>
  <c r="G2077" i="10"/>
  <c r="G574" i="10"/>
  <c r="G1741" i="10"/>
  <c r="G2361" i="10"/>
  <c r="G94" i="10"/>
  <c r="G948" i="10"/>
  <c r="G2377" i="10"/>
  <c r="G553" i="10"/>
  <c r="G280" i="10"/>
  <c r="G266" i="10"/>
  <c r="G1443" i="10"/>
  <c r="G524" i="10"/>
  <c r="G1178" i="10"/>
  <c r="G1986" i="10"/>
  <c r="G1682" i="10"/>
  <c r="G188" i="10"/>
  <c r="G796" i="10"/>
  <c r="G657" i="10"/>
  <c r="G516" i="10"/>
  <c r="G1426" i="10"/>
  <c r="G1707" i="10"/>
  <c r="G956" i="10"/>
  <c r="G443" i="10"/>
  <c r="G1435" i="10"/>
  <c r="G889" i="10"/>
  <c r="G1046" i="10"/>
  <c r="G1130" i="10"/>
  <c r="G329" i="10"/>
  <c r="G762" i="10"/>
  <c r="G751" i="10"/>
  <c r="G2293" i="10"/>
  <c r="G1898" i="10"/>
  <c r="G406" i="10"/>
  <c r="G940" i="10"/>
  <c r="G557" i="10"/>
  <c r="G1421" i="10"/>
  <c r="G258" i="10"/>
  <c r="G356" i="10"/>
  <c r="G275" i="10"/>
  <c r="G483" i="10"/>
  <c r="G1277" i="10"/>
  <c r="G238" i="10"/>
  <c r="G866" i="10"/>
  <c r="G776" i="10"/>
  <c r="G416" i="10"/>
  <c r="G467" i="10"/>
  <c r="G1034" i="10"/>
  <c r="G580" i="10"/>
  <c r="G445" i="10"/>
  <c r="G1074" i="10"/>
  <c r="G126" i="10"/>
  <c r="G1129" i="10"/>
  <c r="G2095" i="10"/>
  <c r="G1568" i="10"/>
  <c r="G35" i="10"/>
  <c r="G820" i="10"/>
  <c r="G157" i="10"/>
  <c r="G1417" i="10"/>
  <c r="G1776" i="10"/>
  <c r="G665" i="10"/>
  <c r="G839" i="10"/>
  <c r="G816" i="10"/>
  <c r="G675" i="10"/>
  <c r="G1322" i="10"/>
  <c r="G2352" i="10"/>
  <c r="G1632" i="10"/>
  <c r="G835" i="10"/>
  <c r="G237" i="10"/>
  <c r="G548" i="10"/>
  <c r="G1016" i="10"/>
  <c r="G949" i="10"/>
  <c r="G1329" i="10"/>
  <c r="G1985" i="10"/>
  <c r="G111" i="10"/>
  <c r="G977" i="10"/>
  <c r="G1049" i="10"/>
  <c r="G1444" i="10"/>
  <c r="G1040" i="10"/>
  <c r="G476" i="10"/>
  <c r="G271" i="10"/>
  <c r="G1843" i="10"/>
  <c r="G1706" i="10"/>
  <c r="G1762" i="10"/>
  <c r="G861" i="10"/>
  <c r="G677" i="10"/>
  <c r="G1174" i="10"/>
  <c r="G1758" i="10"/>
  <c r="G571" i="10"/>
  <c r="G1336" i="10"/>
  <c r="G684" i="10"/>
  <c r="G119" i="10"/>
  <c r="G828" i="10"/>
  <c r="G947" i="10"/>
  <c r="G1094" i="10"/>
  <c r="G1236" i="10"/>
  <c r="G132" i="10"/>
  <c r="G1183" i="10"/>
  <c r="G1431" i="10"/>
  <c r="G359" i="10"/>
  <c r="G1132" i="10"/>
  <c r="G1226" i="10"/>
  <c r="G361" i="10"/>
  <c r="G1619" i="10"/>
  <c r="G1010" i="10"/>
  <c r="G433" i="10"/>
  <c r="G1077" i="10"/>
  <c r="G757" i="10"/>
  <c r="G1166" i="10"/>
  <c r="G564" i="10"/>
  <c r="G971" i="10"/>
  <c r="G358" i="10"/>
  <c r="G1901" i="10"/>
  <c r="G1822" i="10"/>
  <c r="G2233" i="10"/>
  <c r="G397" i="10"/>
  <c r="G1202" i="10"/>
  <c r="G1366" i="10"/>
  <c r="G1514" i="10"/>
  <c r="G1208" i="10"/>
  <c r="G544" i="10"/>
  <c r="G1308" i="10"/>
  <c r="G756" i="10"/>
  <c r="G18" i="10"/>
  <c r="G830" i="10"/>
  <c r="G1719" i="10"/>
  <c r="G495" i="10"/>
  <c r="G744" i="10"/>
  <c r="G262" i="10"/>
  <c r="G1471" i="10"/>
  <c r="G2047" i="10"/>
  <c r="G286" i="10"/>
  <c r="G138" i="10"/>
  <c r="G851" i="10"/>
  <c r="G290" i="10"/>
  <c r="G566" i="10"/>
  <c r="G1852" i="10"/>
  <c r="G1242" i="10"/>
  <c r="G301" i="10"/>
  <c r="G1204" i="10"/>
  <c r="G129" i="10"/>
  <c r="G663" i="10"/>
  <c r="G629" i="10"/>
  <c r="G518" i="10"/>
  <c r="G1618" i="10"/>
  <c r="G1537" i="10"/>
  <c r="G1121" i="10"/>
  <c r="G415" i="10"/>
  <c r="G1364" i="10"/>
  <c r="G855" i="10"/>
  <c r="G246" i="10"/>
  <c r="G81" i="10"/>
  <c r="G784" i="10"/>
  <c r="G1941" i="10"/>
  <c r="G2289" i="10"/>
  <c r="G378" i="10"/>
  <c r="G1120" i="10"/>
  <c r="G856" i="10"/>
  <c r="G1224" i="10"/>
  <c r="G543" i="10"/>
  <c r="G227" i="10"/>
  <c r="G386" i="10"/>
  <c r="G388" i="10"/>
  <c r="G1710" i="10"/>
  <c r="G2379" i="10"/>
  <c r="G1347" i="10"/>
  <c r="G251" i="10"/>
  <c r="G520" i="10"/>
  <c r="G50" i="10"/>
  <c r="G20" i="10"/>
  <c r="G108" i="10"/>
  <c r="G93" i="10"/>
  <c r="G514" i="10"/>
  <c r="G538" i="10"/>
  <c r="G98" i="10"/>
  <c r="G897" i="10"/>
  <c r="G2031" i="10"/>
  <c r="G350" i="10"/>
  <c r="G1295" i="10"/>
  <c r="G661" i="10"/>
  <c r="G709" i="10"/>
  <c r="G1803" i="10"/>
  <c r="G106" i="10"/>
  <c r="G149" i="10"/>
  <c r="G1148" i="10"/>
  <c r="G1764" i="10"/>
  <c r="G1257" i="10"/>
  <c r="G340" i="10"/>
  <c r="G1012" i="10"/>
  <c r="G86" i="10"/>
  <c r="G997" i="10"/>
  <c r="G923" i="10"/>
  <c r="G575" i="10"/>
  <c r="G297" i="10"/>
  <c r="G1165" i="10"/>
  <c r="G833" i="10"/>
  <c r="G1609" i="10"/>
  <c r="G1815" i="10"/>
  <c r="G1564" i="10"/>
  <c r="G342" i="10"/>
  <c r="G630" i="10"/>
  <c r="G1142" i="10"/>
  <c r="G466" i="10"/>
  <c r="G1195" i="10"/>
  <c r="G1857" i="10"/>
  <c r="G678" i="10"/>
  <c r="G484" i="10"/>
  <c r="G1097" i="10"/>
  <c r="G1027" i="10"/>
  <c r="G951" i="10"/>
  <c r="G1801" i="10"/>
  <c r="G23" i="10"/>
  <c r="G930" i="10"/>
  <c r="G139" i="10"/>
  <c r="G1585" i="10"/>
  <c r="G2052" i="10"/>
  <c r="G1286" i="10"/>
  <c r="G199" i="10"/>
  <c r="G612" i="10"/>
  <c r="G645" i="10"/>
  <c r="G224" i="10"/>
  <c r="G942" i="10"/>
  <c r="G1890" i="10"/>
  <c r="G848" i="10"/>
  <c r="G1370" i="10"/>
  <c r="G209" i="10"/>
  <c r="G190" i="10"/>
  <c r="G2030" i="10"/>
  <c r="G30" i="10"/>
  <c r="G650" i="10"/>
  <c r="G360" i="10"/>
  <c r="G324" i="10"/>
  <c r="G1708" i="10"/>
  <c r="G800" i="10"/>
  <c r="G1258" i="10"/>
  <c r="G635" i="10"/>
  <c r="G2078" i="10"/>
  <c r="G2111" i="10"/>
  <c r="G313" i="10"/>
  <c r="G2392" i="10"/>
  <c r="G594" i="10"/>
  <c r="G102" i="10"/>
  <c r="G308" i="10"/>
  <c r="G128" i="10"/>
  <c r="G774" i="10"/>
  <c r="G1825" i="10"/>
  <c r="G824" i="10"/>
  <c r="G1949" i="10"/>
  <c r="G1862" i="10"/>
  <c r="G1440" i="10"/>
  <c r="G491" i="10"/>
  <c r="G946" i="10"/>
  <c r="G196" i="10"/>
  <c r="G1885" i="10"/>
  <c r="G1693" i="10"/>
  <c r="G1357" i="10"/>
  <c r="G2179" i="10"/>
  <c r="G201" i="10"/>
  <c r="G511" i="10"/>
  <c r="G318" i="10"/>
  <c r="G987" i="10"/>
  <c r="G1126" i="10"/>
  <c r="G697" i="10"/>
  <c r="G203" i="10"/>
  <c r="G907" i="10"/>
  <c r="G451" i="10"/>
  <c r="G1569" i="10"/>
  <c r="G1369" i="10"/>
  <c r="G608" i="10"/>
  <c r="G215" i="10"/>
  <c r="G834" i="10"/>
  <c r="G2311" i="10"/>
  <c r="G770" i="10"/>
  <c r="G1136" i="10"/>
  <c r="G2080" i="10"/>
  <c r="G1294" i="10"/>
  <c r="G928" i="10"/>
  <c r="G410" i="10"/>
  <c r="G1663" i="10"/>
  <c r="G2193" i="10"/>
  <c r="G1777" i="10"/>
  <c r="G384" i="10"/>
  <c r="G1826" i="10"/>
  <c r="G554" i="10"/>
  <c r="G1180" i="10"/>
  <c r="G1365" i="10"/>
  <c r="G247" i="10"/>
  <c r="G721" i="10"/>
  <c r="G447" i="10"/>
  <c r="G653" i="10"/>
  <c r="G1840" i="10"/>
  <c r="G1108" i="10"/>
  <c r="G46" i="10"/>
  <c r="G1903" i="10"/>
  <c r="G1414" i="10"/>
  <c r="G256" i="10"/>
  <c r="G583" i="10"/>
  <c r="G792" i="10"/>
  <c r="G673" i="10"/>
  <c r="G428" i="10"/>
  <c r="G114" i="10"/>
  <c r="G284" i="10"/>
  <c r="G279" i="10"/>
  <c r="G651" i="10"/>
  <c r="G700" i="10"/>
  <c r="G1877" i="10"/>
  <c r="G1149" i="10"/>
  <c r="G288" i="10"/>
  <c r="G929" i="10"/>
  <c r="G382" i="10"/>
  <c r="G1088" i="10"/>
  <c r="G2308" i="10"/>
  <c r="G736" i="10"/>
  <c r="G14" i="10"/>
  <c r="G116" i="10"/>
  <c r="G2291" i="10"/>
  <c r="G1319" i="10"/>
  <c r="G331" i="10"/>
  <c r="G78" i="10"/>
  <c r="G550" i="10"/>
  <c r="G2221" i="10"/>
  <c r="G79" i="10"/>
  <c r="G1858" i="10"/>
  <c r="G758" i="10"/>
  <c r="G156" i="10"/>
  <c r="G882" i="10"/>
  <c r="G52" i="10"/>
  <c r="G831" i="10"/>
  <c r="G2006" i="10"/>
  <c r="G2150" i="10"/>
  <c r="G135" i="10"/>
  <c r="G985" i="10"/>
  <c r="G488" i="10"/>
  <c r="G801" i="10"/>
  <c r="G253" i="10"/>
  <c r="G80" i="10"/>
  <c r="G65" i="10"/>
  <c r="G49" i="10"/>
  <c r="G1379" i="10"/>
  <c r="G2317" i="10"/>
  <c r="G2060" i="10"/>
  <c r="G845" i="10"/>
  <c r="G1265" i="10"/>
  <c r="G561" i="10"/>
  <c r="G41" i="10"/>
  <c r="G780" i="10"/>
  <c r="G2137" i="10"/>
  <c r="G1906" i="10"/>
  <c r="G421" i="10"/>
  <c r="G1747" i="10"/>
  <c r="G625" i="10"/>
  <c r="G988" i="10"/>
  <c r="G90" i="10"/>
  <c r="G1432" i="10"/>
  <c r="G385" i="10"/>
  <c r="G248" i="10"/>
  <c r="G1623" i="10"/>
  <c r="G51" i="10"/>
  <c r="G1289" i="10"/>
  <c r="G719" i="10"/>
  <c r="G369" i="10"/>
  <c r="G1323" i="10"/>
  <c r="G1383" i="10"/>
  <c r="G1592" i="10"/>
  <c r="G560" i="10"/>
  <c r="G1185" i="10"/>
  <c r="G600" i="10"/>
  <c r="G1384" i="10"/>
  <c r="G485" i="10"/>
  <c r="G346" i="10"/>
  <c r="G27" i="10"/>
  <c r="G134" i="10"/>
  <c r="G1907" i="10"/>
  <c r="G763" i="10"/>
  <c r="G136" i="10"/>
  <c r="G1389" i="10"/>
  <c r="G1275" i="10"/>
  <c r="G1122" i="10"/>
  <c r="G230" i="10"/>
  <c r="G1285" i="10"/>
  <c r="G1904" i="10"/>
  <c r="G1696" i="10"/>
  <c r="G394" i="10"/>
  <c r="G333" i="10"/>
  <c r="G1014" i="10"/>
  <c r="G259" i="10"/>
  <c r="G88" i="10"/>
  <c r="G419" i="10"/>
  <c r="G496" i="10"/>
  <c r="G2044" i="10"/>
  <c r="G1913" i="10"/>
  <c r="G941" i="10"/>
  <c r="G681" i="10"/>
  <c r="G655" i="10"/>
  <c r="G19" i="10"/>
  <c r="G160" i="10"/>
  <c r="G1050" i="10"/>
  <c r="G1635" i="10"/>
  <c r="G379" i="10"/>
  <c r="G901" i="10"/>
  <c r="G1491" i="10"/>
  <c r="G376" i="10"/>
  <c r="G775" i="10"/>
  <c r="G161" i="10"/>
  <c r="G568" i="10"/>
  <c r="G32" i="10"/>
  <c r="G587" i="10"/>
  <c r="G2235" i="10"/>
  <c r="G332" i="10"/>
  <c r="G519" i="10"/>
  <c r="G1813" i="10"/>
  <c r="G1848" i="10"/>
  <c r="G1106" i="10"/>
  <c r="G966" i="10"/>
  <c r="G2113" i="10"/>
  <c r="G746" i="10"/>
  <c r="G182" i="10"/>
  <c r="G2049" i="10"/>
  <c r="G1119" i="10"/>
  <c r="G986" i="10"/>
  <c r="G646" i="10"/>
  <c r="G413" i="10"/>
  <c r="G2008" i="10"/>
  <c r="G2234" i="10"/>
  <c r="G474" i="10"/>
  <c r="G631" i="10"/>
  <c r="G352" i="10"/>
  <c r="G1220" i="10"/>
  <c r="G742" i="10"/>
  <c r="G371" i="10"/>
  <c r="G1613" i="10"/>
  <c r="G341" i="10"/>
  <c r="G576" i="10"/>
  <c r="G444" i="10"/>
  <c r="G2007" i="10"/>
  <c r="G194" i="10"/>
  <c r="G462" i="10"/>
  <c r="G482" i="10"/>
  <c r="G58" i="10"/>
  <c r="G172" i="10"/>
  <c r="G1931" i="10"/>
  <c r="G1871" i="10"/>
  <c r="G972" i="10"/>
  <c r="G254" i="10"/>
  <c r="G869" i="10"/>
  <c r="G668" i="10"/>
  <c r="G827" i="10"/>
  <c r="G584" i="10"/>
  <c r="G933" i="10"/>
  <c r="G1606" i="10"/>
  <c r="G772" i="10"/>
  <c r="G1954" i="10"/>
  <c r="G1098" i="10"/>
  <c r="G392" i="10"/>
  <c r="G219" i="10"/>
  <c r="G125" i="10"/>
  <c r="G2173" i="10"/>
  <c r="G339" i="10"/>
  <c r="G1324" i="10"/>
  <c r="G2189" i="10"/>
  <c r="G453" i="10"/>
  <c r="G1162" i="10"/>
  <c r="G1154" i="10"/>
  <c r="G2219" i="10"/>
  <c r="G1478" i="10"/>
  <c r="G578" i="10"/>
  <c r="G1648" i="10"/>
  <c r="G374" i="10"/>
  <c r="G1604" i="10"/>
  <c r="G778" i="10"/>
  <c r="G325" i="10"/>
  <c r="G863" i="10"/>
  <c r="G611" i="10"/>
  <c r="G1643" i="10"/>
  <c r="G501" i="10"/>
  <c r="G579" i="10"/>
  <c r="G1033" i="10"/>
  <c r="G782" i="10"/>
  <c r="G814" i="10"/>
  <c r="G21" i="10"/>
  <c r="G185" i="10"/>
  <c r="G2130" i="10"/>
  <c r="G1968" i="10"/>
  <c r="G508" i="10"/>
  <c r="G1079" i="10"/>
  <c r="G1058" i="10"/>
  <c r="G1574" i="10"/>
  <c r="G283" i="10"/>
  <c r="G969" i="10"/>
  <c r="G873" i="10"/>
  <c r="G622" i="10"/>
  <c r="G1926" i="10"/>
  <c r="G659" i="10"/>
  <c r="G679" i="10"/>
  <c r="G472" i="10"/>
  <c r="G260" i="10"/>
  <c r="G807" i="10"/>
  <c r="G2399" i="10"/>
  <c r="G865" i="10"/>
  <c r="G1179" i="10"/>
  <c r="G1135" i="10"/>
  <c r="G862" i="10"/>
  <c r="G641" i="10"/>
  <c r="G672" i="10"/>
  <c r="G26" i="10"/>
  <c r="G1413" i="10"/>
  <c r="G101" i="10"/>
  <c r="G408" i="10"/>
  <c r="G872" i="10"/>
  <c r="G674" i="10"/>
  <c r="G1639" i="10"/>
  <c r="G832" i="10"/>
  <c r="G99" i="10"/>
  <c r="G1253" i="10"/>
  <c r="G713" i="10"/>
  <c r="G1681" i="10"/>
  <c r="G598" i="10"/>
  <c r="G239" i="10"/>
  <c r="G747" i="10"/>
  <c r="G373" i="10"/>
  <c r="G1072" i="10"/>
  <c r="G1932" i="10"/>
  <c r="G1334" i="10"/>
  <c r="G1530" i="10"/>
  <c r="G1196" i="10"/>
  <c r="G1381" i="10"/>
  <c r="G390" i="10"/>
  <c r="G225" i="10"/>
  <c r="G1532" i="10"/>
  <c r="G327" i="10"/>
  <c r="G727" i="10"/>
  <c r="G143" i="10"/>
  <c r="G531" i="10"/>
  <c r="G692" i="10"/>
  <c r="G1293" i="10"/>
  <c r="G695" i="10"/>
  <c r="G729" i="10"/>
  <c r="G1388" i="10"/>
  <c r="G1709" i="10"/>
  <c r="G1391" i="10"/>
  <c r="G1116" i="10"/>
  <c r="G307" i="10"/>
  <c r="G381" i="10"/>
  <c r="G417" i="10"/>
  <c r="G717" i="10"/>
  <c r="G802" i="10"/>
  <c r="G691" i="10"/>
  <c r="G1933" i="10"/>
  <c r="G1395" i="10"/>
  <c r="G1118" i="10"/>
  <c r="G213" i="10"/>
  <c r="G1083" i="10"/>
  <c r="G705" i="10"/>
  <c r="G163" i="10"/>
  <c r="G276" i="10"/>
  <c r="G167" i="10"/>
  <c r="G2110" i="10"/>
  <c r="G2403" i="10"/>
  <c r="G545" i="10"/>
  <c r="G245" i="10"/>
  <c r="G683" i="10"/>
  <c r="G1930" i="10"/>
  <c r="G70" i="10"/>
  <c r="G1717" i="10"/>
  <c r="G1400" i="10"/>
  <c r="G687" i="10"/>
  <c r="G1271" i="10"/>
  <c r="G109" i="10"/>
  <c r="G785" i="10"/>
  <c r="G850" i="10"/>
  <c r="G458" i="10"/>
  <c r="G2151" i="10"/>
  <c r="G924" i="10"/>
  <c r="G515" i="10"/>
  <c r="G2218" i="10"/>
  <c r="G48" i="10"/>
  <c r="G793" i="10"/>
  <c r="G1234" i="10"/>
  <c r="G1228" i="10"/>
  <c r="G1889" i="10"/>
  <c r="G304" i="10"/>
  <c r="G2335" i="10"/>
  <c r="G738" i="10"/>
  <c r="G92" i="10"/>
  <c r="G981" i="10"/>
  <c r="G274" i="10"/>
  <c r="G991" i="10"/>
  <c r="G624" i="10"/>
  <c r="G569" i="10"/>
  <c r="G999" i="10"/>
  <c r="G1078" i="10"/>
  <c r="G36" i="10"/>
  <c r="G798" i="10"/>
  <c r="G127" i="10"/>
  <c r="G207" i="10"/>
  <c r="G853" i="10"/>
  <c r="G1210" i="10"/>
  <c r="G1314" i="10"/>
  <c r="G694" i="10"/>
  <c r="G1305" i="10"/>
  <c r="G1052" i="10"/>
  <c r="G22" i="10"/>
  <c r="G1268" i="10"/>
  <c r="G787" i="10"/>
  <c r="G528" i="10"/>
  <c r="G1405" i="10"/>
  <c r="G1612" i="10"/>
  <c r="G2388" i="10"/>
  <c r="G292" i="10"/>
  <c r="G1082" i="10"/>
  <c r="G1203" i="10"/>
  <c r="G354" i="10"/>
  <c r="G1144" i="10"/>
  <c r="G2302" i="10"/>
  <c r="G137" i="10"/>
  <c r="G478" i="10"/>
  <c r="G1192" i="10"/>
  <c r="G1328" i="10"/>
  <c r="G1287" i="10"/>
  <c r="G1605" i="10"/>
  <c r="G56" i="10"/>
  <c r="G945" i="10"/>
  <c r="G769" i="10"/>
  <c r="G1099" i="10"/>
  <c r="G162" i="10"/>
  <c r="G752" i="10"/>
  <c r="G618" i="10"/>
  <c r="G473" i="10"/>
  <c r="G427" i="10"/>
  <c r="G980" i="10"/>
  <c r="G1124" i="10"/>
  <c r="G1525" i="10"/>
  <c r="G2033" i="10"/>
  <c r="G1213" i="10"/>
  <c r="G963" i="10"/>
  <c r="G1346" i="10"/>
  <c r="G874" i="10"/>
  <c r="G120" i="10"/>
  <c r="G240" i="10"/>
  <c r="G791" i="10"/>
  <c r="G1780" i="10"/>
  <c r="G1107" i="10"/>
  <c r="G627" i="10"/>
  <c r="G452" i="10"/>
  <c r="G955" i="10"/>
  <c r="G380" i="10"/>
  <c r="G822" i="10"/>
  <c r="G497" i="10"/>
  <c r="G647" i="10"/>
  <c r="G2372" i="10"/>
  <c r="G425" i="10"/>
  <c r="G84" i="10"/>
  <c r="G285" i="10"/>
  <c r="G499" i="10"/>
  <c r="G1325" i="10"/>
  <c r="G1401" i="10"/>
  <c r="G715" i="10"/>
  <c r="G1521" i="10"/>
  <c r="G979" i="10"/>
  <c r="G1699" i="10"/>
  <c r="G748" i="10"/>
  <c r="G355" i="10"/>
  <c r="G809" i="10"/>
  <c r="G1206" i="10"/>
  <c r="G1045" i="10"/>
  <c r="G148" i="10"/>
  <c r="G854" i="10"/>
  <c r="G33" i="10"/>
  <c r="G1897" i="10"/>
  <c r="G581" i="10"/>
  <c r="G319" i="10"/>
  <c r="G1007" i="10"/>
  <c r="G1646" i="10"/>
  <c r="G908" i="10"/>
  <c r="G749" i="10"/>
  <c r="G1288" i="10"/>
  <c r="G599" i="10"/>
  <c r="G974" i="10"/>
  <c r="G330" i="10"/>
  <c r="G1157" i="10"/>
  <c r="G1827" i="10"/>
  <c r="G1856" i="10"/>
  <c r="G25" i="10"/>
  <c r="G1377" i="10"/>
  <c r="G552" i="10"/>
  <c r="G542" i="10"/>
  <c r="G1382" i="10"/>
  <c r="G198" i="10"/>
  <c r="G39" i="10"/>
  <c r="G72" i="10"/>
  <c r="G200" i="10"/>
  <c r="G2021" i="10"/>
  <c r="G1296" i="10"/>
  <c r="G221" i="10"/>
  <c r="G643" i="10"/>
  <c r="G67" i="10"/>
  <c r="G174" i="10"/>
  <c r="G1442" i="10"/>
  <c r="G2364" i="10"/>
  <c r="G1404" i="10"/>
  <c r="G877" i="10"/>
  <c r="G810" i="10"/>
  <c r="G711" i="10"/>
  <c r="G1420" i="10"/>
  <c r="G547" i="10"/>
  <c r="G1536" i="10"/>
  <c r="G1231" i="10"/>
  <c r="G96" i="10"/>
  <c r="G1299" i="10"/>
  <c r="G913" i="10"/>
  <c r="G1013" i="10"/>
  <c r="G1786" i="10"/>
  <c r="G916" i="10"/>
  <c r="G490" i="10"/>
  <c r="G1617" i="10"/>
  <c r="G1297" i="10"/>
  <c r="G1425" i="10"/>
  <c r="G1727" i="10"/>
  <c r="G1590" i="10"/>
  <c r="G1630" i="10"/>
  <c r="G464" i="10"/>
  <c r="G270" i="10"/>
  <c r="G825" i="10"/>
  <c r="G1092" i="10"/>
  <c r="G804" i="10"/>
  <c r="G250" i="10"/>
  <c r="G234" i="10"/>
  <c r="G145" i="10"/>
  <c r="G1301" i="10"/>
  <c r="G2155" i="10"/>
  <c r="G1715" i="10"/>
  <c r="G1312" i="10"/>
  <c r="G426" i="10"/>
  <c r="G731" i="10"/>
  <c r="G1836" i="10"/>
  <c r="G2063" i="10"/>
  <c r="G2454" i="10"/>
  <c r="G66" i="10"/>
  <c r="G2125" i="10"/>
  <c r="G480" i="10"/>
  <c r="G2117" i="10"/>
  <c r="G957" i="10"/>
  <c r="G244" i="10"/>
  <c r="G205" i="10"/>
  <c r="G187" i="10"/>
  <c r="G422" i="10"/>
  <c r="G15" i="10"/>
  <c r="G826" i="10"/>
  <c r="G1785" i="10"/>
  <c r="G1484" i="10"/>
  <c r="G2203" i="10"/>
  <c r="G1177" i="10"/>
  <c r="G1567" i="10"/>
  <c r="G2850" i="10"/>
  <c r="G1589" i="10"/>
  <c r="G1112" i="10"/>
  <c r="G626" i="10"/>
  <c r="G1988" i="10"/>
  <c r="G2288" i="10"/>
  <c r="G2164" i="10"/>
  <c r="G85" i="10"/>
  <c r="G1216" i="10"/>
  <c r="G68" i="10"/>
  <c r="G1601" i="10"/>
  <c r="G1616" i="10"/>
  <c r="G648" i="10"/>
  <c r="G1686" i="10"/>
  <c r="G1566" i="10"/>
  <c r="G2171" i="10"/>
  <c r="G1513" i="10"/>
  <c r="G2167" i="10"/>
  <c r="G1000" i="10"/>
  <c r="G1802" i="10"/>
  <c r="G62" i="10"/>
  <c r="G351" i="10"/>
  <c r="G1470" i="10"/>
  <c r="G180" i="10"/>
  <c r="G311" i="10"/>
  <c r="G654" i="10"/>
  <c r="G1624" i="10"/>
  <c r="G649" i="10"/>
  <c r="G656" i="10"/>
  <c r="G1944" i="10"/>
  <c r="G2228" i="10"/>
  <c r="G2020" i="10"/>
  <c r="G418" i="10"/>
  <c r="G1861" i="10"/>
  <c r="G1380" i="10"/>
  <c r="G2970" i="10"/>
  <c r="G1697" i="10"/>
  <c r="G1579" i="10"/>
  <c r="G1134" i="10"/>
  <c r="G1372" i="10"/>
  <c r="G1181" i="10"/>
  <c r="G1191" i="10"/>
  <c r="G892" i="10"/>
  <c r="G577" i="10"/>
  <c r="G189" i="10"/>
  <c r="G400" i="10"/>
  <c r="G572" i="10"/>
  <c r="G582" i="10"/>
  <c r="G1677" i="10"/>
  <c r="G1225" i="10"/>
  <c r="G2213" i="10"/>
  <c r="G1290" i="10"/>
  <c r="G2176" i="10"/>
  <c r="G2754" i="10"/>
  <c r="G277" i="10"/>
  <c r="G1657" i="10"/>
  <c r="G733" i="10"/>
  <c r="G1390" i="10"/>
  <c r="G506" i="10"/>
  <c r="G399" i="10"/>
  <c r="G712" i="10"/>
  <c r="G1146" i="10"/>
  <c r="G840" i="10"/>
  <c r="G60" i="10"/>
  <c r="G644" i="10"/>
  <c r="G1670" i="10"/>
  <c r="G412" i="10"/>
  <c r="G2149" i="10"/>
  <c r="G1716" i="10"/>
  <c r="G1859" i="10"/>
  <c r="G1520" i="10"/>
  <c r="G1056" i="10"/>
  <c r="G983" i="10"/>
  <c r="G2389" i="10"/>
  <c r="G1746" i="10"/>
  <c r="G393" i="10"/>
  <c r="G1987" i="10"/>
  <c r="G441" i="10"/>
  <c r="G457" i="10"/>
  <c r="G2236" i="10"/>
  <c r="G639" i="10"/>
  <c r="G218" i="10"/>
  <c r="G1768" i="10"/>
  <c r="G1248" i="10"/>
  <c r="G498" i="10"/>
  <c r="G1486" i="10"/>
  <c r="G2014" i="10"/>
  <c r="G2577" i="10"/>
  <c r="G1563" i="10"/>
  <c r="G1061" i="10"/>
  <c r="G236" i="10"/>
  <c r="G1687" i="10"/>
  <c r="G689" i="10"/>
  <c r="G338" i="10"/>
  <c r="G706" i="10"/>
  <c r="G680" i="10"/>
  <c r="G597" i="10"/>
  <c r="G1779" i="10"/>
  <c r="G609" i="10"/>
  <c r="G2129" i="10"/>
  <c r="G918" i="10"/>
  <c r="G1238" i="10"/>
  <c r="G1218" i="10"/>
  <c r="G2990" i="10"/>
  <c r="G2395" i="10"/>
  <c r="G273" i="10"/>
  <c r="G734" i="10"/>
  <c r="G1967" i="10"/>
  <c r="G1711" i="10"/>
  <c r="G448" i="10"/>
  <c r="G222" i="10"/>
  <c r="G113" i="10"/>
  <c r="G652" i="10"/>
  <c r="G2018" i="10"/>
  <c r="G439" i="10"/>
  <c r="G377" i="10"/>
  <c r="G950" i="10"/>
  <c r="G2046" i="10"/>
  <c r="G1680" i="10"/>
  <c r="G1864" i="10"/>
  <c r="G2321" i="10"/>
  <c r="G2168" i="10"/>
  <c r="G3034" i="10"/>
  <c r="G813" i="10"/>
  <c r="G521" i="10"/>
  <c r="G2041" i="10"/>
  <c r="G1936" i="10"/>
  <c r="G614" i="10"/>
  <c r="G45" i="10"/>
  <c r="G610" i="10"/>
  <c r="G228" i="10"/>
  <c r="G2200" i="10"/>
  <c r="G2204" i="10"/>
  <c r="G1273" i="10"/>
  <c r="G1501" i="10"/>
  <c r="G753" i="10"/>
  <c r="G1141" i="10"/>
  <c r="G1509" i="10"/>
  <c r="G1173" i="10"/>
  <c r="G3346" i="10"/>
  <c r="G475" i="10"/>
  <c r="G795" i="10"/>
  <c r="G414" i="10"/>
  <c r="G181" i="10"/>
  <c r="G1437" i="10"/>
  <c r="G1330" i="10"/>
  <c r="G431" i="10"/>
  <c r="G1227" i="10"/>
  <c r="G296" i="10"/>
  <c r="G2098" i="10"/>
  <c r="G1032" i="10"/>
  <c r="G1158" i="10"/>
  <c r="G298" i="10"/>
  <c r="G2175" i="10"/>
  <c r="G671" i="10"/>
  <c r="G2461" i="10"/>
  <c r="G2132" i="10"/>
  <c r="G3283" i="10"/>
  <c r="G1069" i="10"/>
  <c r="G1674" i="10"/>
  <c r="G261" i="10"/>
  <c r="G1965" i="10"/>
  <c r="G1427" i="10"/>
  <c r="G2735" i="10"/>
  <c r="G1315" i="10"/>
  <c r="G1415" i="10"/>
  <c r="G2102" i="10"/>
  <c r="G2115" i="10"/>
  <c r="G909" i="10"/>
  <c r="G1187" i="10"/>
  <c r="G1672" i="10"/>
  <c r="G1821" i="10"/>
  <c r="G3084" i="10"/>
  <c r="G1783" i="10"/>
  <c r="G1140" i="10"/>
  <c r="G3324" i="10"/>
  <c r="G1316" i="10"/>
  <c r="G1675" i="10"/>
  <c r="G1454" i="10"/>
  <c r="G2177" i="10"/>
  <c r="G1468" i="10"/>
  <c r="G3022" i="10"/>
  <c r="G3025" i="10"/>
  <c r="G1502" i="10"/>
  <c r="G2210" i="10"/>
  <c r="G2034" i="10"/>
  <c r="G1255" i="10"/>
  <c r="G1921" i="10"/>
  <c r="G1895" i="10"/>
  <c r="G2989" i="10"/>
  <c r="G2254" i="10"/>
  <c r="G142" i="10"/>
  <c r="G2120" i="10"/>
  <c r="G1090" i="10"/>
  <c r="G1644" i="10"/>
  <c r="G2195" i="10"/>
  <c r="G1837" i="10"/>
  <c r="G2711" i="10"/>
  <c r="G2961" i="10"/>
  <c r="G3321" i="10"/>
  <c r="G601" i="10"/>
  <c r="G2145" i="10"/>
  <c r="G2374" i="10"/>
  <c r="G1667" i="10"/>
  <c r="G2292" i="10"/>
  <c r="G2485" i="10"/>
  <c r="G1477" i="10"/>
  <c r="G1793" i="10"/>
  <c r="G1190" i="10"/>
  <c r="G2186" i="10"/>
  <c r="G1615" i="10"/>
  <c r="G1772" i="10"/>
  <c r="G1748" i="10"/>
  <c r="G2350" i="10"/>
  <c r="G1811" i="10"/>
  <c r="G670" i="10"/>
  <c r="G2977" i="10"/>
  <c r="G2084" i="10"/>
  <c r="G1223" i="10"/>
  <c r="G1584" i="10"/>
  <c r="G2300" i="10"/>
  <c r="G1095" i="10"/>
  <c r="G2972" i="10"/>
  <c r="G2999" i="10"/>
  <c r="G1572" i="10"/>
  <c r="G1846" i="10"/>
  <c r="G2378" i="10"/>
  <c r="G2299" i="10"/>
  <c r="G2339" i="10"/>
  <c r="G1244" i="10"/>
  <c r="G1519" i="10"/>
  <c r="G1184" i="10"/>
  <c r="G2997" i="10"/>
  <c r="G3103" i="10"/>
  <c r="G2309" i="10"/>
  <c r="G2029" i="10"/>
  <c r="G1524" i="10"/>
  <c r="G699" i="10"/>
  <c r="G1631" i="10"/>
  <c r="G2760" i="10"/>
  <c r="G2790" i="10"/>
  <c r="G1245" i="10"/>
  <c r="G165" i="10"/>
  <c r="G2622" i="10"/>
  <c r="G1875" i="10"/>
  <c r="G2146" i="10"/>
  <c r="G1637" i="10"/>
  <c r="G1578" i="10"/>
  <c r="G1025" i="10"/>
  <c r="G3217" i="10"/>
  <c r="G1591" i="10"/>
  <c r="G2285" i="10"/>
  <c r="G159" i="10"/>
  <c r="G1893" i="10"/>
  <c r="G1207" i="10"/>
  <c r="G2269" i="10"/>
  <c r="G2636" i="10"/>
  <c r="G2428" i="10"/>
  <c r="G1361" i="10"/>
  <c r="G2261" i="10"/>
  <c r="G2949" i="10"/>
  <c r="G2026" i="10"/>
  <c r="G2401" i="10"/>
  <c r="G1770" i="10"/>
  <c r="G2076" i="10"/>
  <c r="G2957" i="10"/>
  <c r="G1009" i="10"/>
  <c r="G2769" i="10"/>
  <c r="G1998" i="10"/>
  <c r="G1712" i="10"/>
  <c r="G904" i="10"/>
  <c r="G1595" i="10"/>
  <c r="G1634" i="10"/>
  <c r="G3210" i="10"/>
  <c r="G2172" i="10"/>
  <c r="G2290" i="10"/>
  <c r="G1201" i="10"/>
  <c r="G2273" i="10"/>
  <c r="G1750" i="10"/>
  <c r="G1335" i="10"/>
  <c r="G1721" i="10"/>
  <c r="G1742" i="10"/>
  <c r="G2242" i="10"/>
  <c r="G2795" i="10"/>
  <c r="G1614" i="10"/>
  <c r="G1482" i="10"/>
  <c r="G2376" i="10"/>
  <c r="G2276" i="10"/>
  <c r="G1557" i="10"/>
  <c r="G1041" i="10"/>
  <c r="G3360" i="10"/>
  <c r="G1508" i="10"/>
  <c r="G1997" i="10"/>
  <c r="G353" i="10"/>
  <c r="G2025" i="10"/>
  <c r="G1070" i="10"/>
  <c r="G1498" i="10"/>
  <c r="G1627" i="10"/>
  <c r="G1600" i="10"/>
  <c r="G2188" i="10"/>
  <c r="G2982" i="10"/>
  <c r="G2750" i="10"/>
  <c r="G1004" i="10"/>
  <c r="G2373" i="10"/>
  <c r="G2152" i="10"/>
  <c r="G2301" i="10"/>
  <c r="G1910" i="10"/>
  <c r="G208" i="10"/>
  <c r="G2264" i="10"/>
  <c r="G1152" i="10"/>
  <c r="G2000" i="10"/>
  <c r="G2568" i="10"/>
  <c r="G896" i="10"/>
  <c r="G1788" i="10"/>
  <c r="G1725" i="10"/>
  <c r="G2051" i="10"/>
  <c r="G1599" i="10"/>
  <c r="G1194" i="10"/>
  <c r="G3109" i="10"/>
  <c r="G1797" i="10"/>
  <c r="G2001" i="10"/>
  <c r="G1694" i="10"/>
  <c r="G1373" i="10"/>
  <c r="G1550" i="10"/>
  <c r="G2932" i="10"/>
  <c r="G1487" i="10"/>
  <c r="G970" i="10"/>
  <c r="G927" i="10"/>
  <c r="G2845" i="10"/>
  <c r="G1408" i="10"/>
  <c r="G2270" i="10"/>
  <c r="G1978" i="10"/>
  <c r="G1085" i="10"/>
  <c r="G1230" i="10"/>
  <c r="G3142" i="10"/>
  <c r="G2538" i="10"/>
  <c r="G2124" i="10"/>
  <c r="G903" i="10"/>
  <c r="G2054" i="10"/>
  <c r="G1953" i="10"/>
  <c r="G1030" i="10"/>
  <c r="G3035" i="10"/>
  <c r="G3358" i="10"/>
  <c r="G1472" i="10"/>
  <c r="G1975" i="10"/>
  <c r="G2844" i="10"/>
  <c r="G1960" i="10"/>
  <c r="G2122" i="10"/>
  <c r="G1450" i="10"/>
  <c r="G2138" i="10"/>
  <c r="G3117" i="10"/>
  <c r="G1767" i="10"/>
  <c r="G3072" i="10"/>
  <c r="G1436" i="10"/>
  <c r="G1896" i="10"/>
  <c r="G1735" i="10"/>
  <c r="G2341" i="10"/>
  <c r="G3204" i="10"/>
  <c r="G1790" i="10"/>
  <c r="G2992" i="10"/>
  <c r="G1832" i="10"/>
  <c r="G1543" i="10"/>
  <c r="G919" i="10"/>
  <c r="G2089" i="10"/>
  <c r="G1964" i="10"/>
  <c r="G1541" i="10"/>
  <c r="G3272" i="10"/>
  <c r="G953" i="10"/>
  <c r="G1163" i="10"/>
  <c r="G1553" i="10"/>
  <c r="G243" i="10"/>
  <c r="G310" i="10"/>
  <c r="G3079" i="10"/>
  <c r="G3236" i="10"/>
  <c r="G1757" i="10"/>
  <c r="G1730" i="10"/>
  <c r="G2312" i="10"/>
  <c r="G2092" i="10"/>
  <c r="G1086" i="10"/>
  <c r="G565" i="10"/>
  <c r="G2384" i="10"/>
  <c r="G2896" i="10"/>
  <c r="G2473" i="10"/>
  <c r="G2629" i="10"/>
  <c r="G1999" i="10"/>
  <c r="G2104" i="10"/>
  <c r="G2347" i="10"/>
  <c r="G2257" i="10"/>
  <c r="G2612" i="10"/>
  <c r="G1332" i="10"/>
  <c r="G3191" i="10"/>
  <c r="G714" i="10"/>
  <c r="G1254" i="10"/>
  <c r="G702" i="10"/>
  <c r="G849" i="10"/>
  <c r="G958" i="10"/>
  <c r="G1842" i="10"/>
  <c r="G910" i="10"/>
  <c r="G881" i="10"/>
  <c r="G1809" i="10"/>
  <c r="G3005" i="10"/>
  <c r="G1533" i="10"/>
  <c r="G1403" i="10"/>
  <c r="G621" i="10"/>
  <c r="G2367" i="10"/>
  <c r="G1423" i="10"/>
  <c r="G3253" i="10"/>
  <c r="G2453" i="10"/>
  <c r="G2194" i="10"/>
  <c r="G389" i="10"/>
  <c r="G1867" i="10"/>
  <c r="G1217" i="10"/>
  <c r="G2058" i="10"/>
  <c r="G3326" i="10"/>
  <c r="G1739" i="10"/>
  <c r="G2064" i="10"/>
  <c r="G1555" i="10"/>
  <c r="G3256" i="10"/>
  <c r="G2663" i="10"/>
  <c r="G2211" i="10"/>
  <c r="G1700" i="10"/>
  <c r="G2071" i="10"/>
  <c r="G1071" i="10"/>
  <c r="G1720" i="10"/>
  <c r="G3054" i="10"/>
  <c r="G1963" i="10"/>
  <c r="G154" i="10"/>
  <c r="G2197" i="10"/>
  <c r="G1402" i="10"/>
  <c r="G1303" i="10"/>
  <c r="G2360" i="10"/>
  <c r="G740" i="10"/>
  <c r="G1466" i="10"/>
  <c r="G2414" i="10"/>
  <c r="G2785" i="10"/>
  <c r="G2996" i="10"/>
  <c r="G890" i="10"/>
  <c r="G1723" i="10"/>
  <c r="G2096" i="10"/>
  <c r="G1240" i="10"/>
  <c r="G739" i="10"/>
  <c r="G3347" i="10"/>
  <c r="G2262" i="10"/>
  <c r="G2131" i="10"/>
  <c r="G1844" i="10"/>
  <c r="G1476" i="10"/>
  <c r="G1060" i="10"/>
  <c r="G2659" i="10"/>
  <c r="G1367" i="10"/>
  <c r="G1229" i="10"/>
  <c r="G973" i="10"/>
  <c r="G2222" i="10"/>
  <c r="G3202" i="10"/>
  <c r="G1038" i="10"/>
  <c r="G1386" i="10"/>
  <c r="G952" i="10"/>
  <c r="G1781" i="10"/>
  <c r="G1580" i="10"/>
  <c r="G3242" i="10"/>
  <c r="G2465" i="10"/>
  <c r="G1333" i="10"/>
  <c r="G1814" i="10"/>
  <c r="G1851" i="10"/>
  <c r="G1929" i="10"/>
  <c r="G527" i="10"/>
  <c r="G2747" i="10"/>
  <c r="G2582" i="10"/>
  <c r="G2641" i="10"/>
  <c r="G1874" i="10"/>
  <c r="G1810" i="10"/>
  <c r="G493" i="10"/>
  <c r="G1219" i="10"/>
  <c r="G2557" i="10"/>
  <c r="G2013" i="10"/>
  <c r="G1996" i="10"/>
  <c r="G1489" i="10"/>
  <c r="G2106" i="10"/>
  <c r="G2217" i="10"/>
  <c r="G2365" i="10"/>
  <c r="G2043" i="10"/>
  <c r="G685" i="10"/>
  <c r="G1363" i="10"/>
  <c r="G2093" i="10"/>
  <c r="G3006" i="10"/>
  <c r="G1981" i="10"/>
  <c r="G212" i="10"/>
  <c r="G676" i="10"/>
  <c r="G596" i="10"/>
  <c r="G2010" i="10"/>
  <c r="G1778" i="10"/>
  <c r="G811" i="10"/>
  <c r="G2592" i="10"/>
  <c r="G2074" i="10"/>
  <c r="G1155" i="10"/>
  <c r="G2216" i="10"/>
  <c r="G504" i="10"/>
  <c r="G1138" i="10"/>
  <c r="G1019" i="10"/>
  <c r="G812" i="10"/>
  <c r="G2984" i="10"/>
  <c r="G2443" i="10"/>
  <c r="G2635" i="10"/>
  <c r="G1923" i="10"/>
  <c r="G628" i="10"/>
  <c r="G2118" i="10"/>
  <c r="G1940" i="10"/>
  <c r="G1011" i="10"/>
  <c r="G2817" i="10"/>
  <c r="G3315" i="10"/>
  <c r="G2266" i="10"/>
  <c r="G2207" i="10"/>
  <c r="G1828" i="10"/>
  <c r="G664" i="10"/>
  <c r="G1698" i="10"/>
  <c r="G2323" i="10"/>
  <c r="G2325" i="10"/>
  <c r="G1766" i="10"/>
  <c r="G2032" i="10"/>
  <c r="G3014" i="10"/>
  <c r="G2745" i="10"/>
  <c r="G962" i="10"/>
  <c r="G567" i="10"/>
  <c r="G805" i="10"/>
  <c r="G1064" i="10"/>
  <c r="G3139" i="10"/>
  <c r="G2387" i="10"/>
  <c r="G2979" i="10"/>
  <c r="G2103" i="10"/>
  <c r="G1661" i="10"/>
  <c r="G2086" i="10"/>
  <c r="G2038" i="10"/>
  <c r="G1909" i="10"/>
  <c r="G347" i="10"/>
  <c r="G1104" i="10"/>
  <c r="G249" i="10"/>
  <c r="G3071" i="10"/>
  <c r="G3104" i="10"/>
  <c r="G1547" i="10"/>
  <c r="G1869" i="10"/>
  <c r="G1980" i="10"/>
  <c r="G486" i="10"/>
  <c r="G1805" i="10"/>
  <c r="G1863" i="10"/>
  <c r="G3279" i="10"/>
  <c r="G1117" i="10"/>
  <c r="G1984" i="10"/>
  <c r="G1947" i="10"/>
  <c r="G2358" i="10"/>
  <c r="G1982" i="10"/>
  <c r="G728" i="10"/>
  <c r="G1493" i="10"/>
  <c r="G2570" i="10"/>
  <c r="G2985" i="10"/>
  <c r="G2423" i="10"/>
  <c r="G1894" i="10"/>
  <c r="G1666" i="10"/>
  <c r="G1429" i="10"/>
  <c r="G1164" i="10"/>
  <c r="G2256" i="10"/>
  <c r="G2467" i="10"/>
  <c r="G3215" i="10"/>
  <c r="G1087" i="10"/>
  <c r="G1398" i="10"/>
  <c r="G1474" i="10"/>
  <c r="G1150" i="10"/>
  <c r="G3000" i="10"/>
  <c r="G2824" i="10"/>
  <c r="G1176" i="10"/>
  <c r="G2075" i="10"/>
  <c r="G2027" i="10"/>
  <c r="G1451" i="10"/>
  <c r="G921" i="10"/>
  <c r="G1182" i="10"/>
  <c r="G1385" i="10"/>
  <c r="G2642" i="10"/>
  <c r="G619" i="10"/>
  <c r="G1249" i="10"/>
  <c r="G1761" i="10"/>
  <c r="G1570" i="10"/>
  <c r="G2400" i="10"/>
  <c r="G2039" i="10"/>
  <c r="G3011" i="10"/>
  <c r="G817" i="10"/>
  <c r="G2353" i="10"/>
  <c r="G895" i="10"/>
  <c r="G1656" i="10"/>
  <c r="G1534" i="10"/>
  <c r="G2070" i="10"/>
  <c r="G1284" i="10"/>
  <c r="G2381" i="10"/>
  <c r="G1992" i="10"/>
  <c r="G2099" i="10"/>
  <c r="G1678" i="10"/>
  <c r="G1596" i="10"/>
  <c r="G1920" i="10"/>
  <c r="G2486" i="10"/>
  <c r="G1037" i="10"/>
  <c r="G1100" i="10"/>
  <c r="G1882" i="10"/>
  <c r="G1528" i="10"/>
  <c r="G2277" i="10"/>
  <c r="G2286" i="10"/>
  <c r="G2366" i="10"/>
  <c r="G2251" i="10"/>
  <c r="G2314" i="10"/>
  <c r="G1460" i="10"/>
  <c r="G2280" i="10"/>
  <c r="G3122" i="10"/>
  <c r="G2613" i="10"/>
  <c r="G1318" i="10"/>
  <c r="G1823" i="10"/>
  <c r="G2320" i="10"/>
  <c r="G1743" i="10"/>
  <c r="G2083" i="10"/>
  <c r="G1880" i="10"/>
  <c r="G3004" i="10"/>
  <c r="G722" i="10"/>
  <c r="G1928" i="10"/>
  <c r="G2296" i="10"/>
  <c r="G1791" i="10"/>
  <c r="G1583" i="10"/>
  <c r="G1934" i="10"/>
  <c r="G2800" i="10"/>
  <c r="G1464" i="10"/>
  <c r="G1156" i="10"/>
  <c r="G1540" i="10"/>
  <c r="G1036" i="10"/>
  <c r="G3001" i="10"/>
  <c r="G1866" i="10"/>
  <c r="G2318" i="10"/>
  <c r="G2281" i="10"/>
  <c r="G1542" i="10"/>
  <c r="G1029" i="10"/>
  <c r="G2180" i="10"/>
  <c r="G968" i="10"/>
  <c r="G3318" i="10"/>
  <c r="G1912" i="10"/>
  <c r="G420" i="10"/>
  <c r="G1749" i="10"/>
  <c r="G2223" i="10"/>
  <c r="G959" i="10"/>
  <c r="G2772" i="10"/>
  <c r="G2922" i="10"/>
  <c r="G1787" i="10"/>
  <c r="G2073" i="10"/>
  <c r="G1003" i="10"/>
  <c r="G1475" i="10"/>
  <c r="G2227" i="10"/>
  <c r="G3150" i="10"/>
  <c r="G2607" i="10"/>
  <c r="G2097" i="10"/>
  <c r="G615" i="10"/>
  <c r="G1345" i="10"/>
  <c r="G2313" i="10"/>
  <c r="G1494" i="10"/>
  <c r="G1512" i="10"/>
  <c r="G3143" i="10"/>
  <c r="G1824" i="10"/>
  <c r="G1515" i="10"/>
  <c r="G2023" i="10"/>
  <c r="G2342" i="10"/>
  <c r="G723" i="10"/>
  <c r="G2610" i="10"/>
  <c r="G2998" i="10"/>
  <c r="G461" i="10"/>
  <c r="G1362" i="10"/>
  <c r="G409" i="10"/>
  <c r="G2141" i="10"/>
  <c r="G2362" i="10"/>
  <c r="G3018" i="10"/>
  <c r="G2921" i="10"/>
  <c r="G1731" i="10"/>
  <c r="G1246" i="10"/>
  <c r="G1892" i="10"/>
  <c r="G658" i="10"/>
  <c r="G3286" i="10"/>
  <c r="G2174" i="10"/>
  <c r="G3352" i="10"/>
  <c r="G1971" i="10"/>
  <c r="G1645" i="10"/>
  <c r="G487" i="10"/>
  <c r="G1702" i="10"/>
  <c r="G3291" i="10"/>
  <c r="G2337" i="10"/>
  <c r="G2598" i="10"/>
  <c r="G1235" i="10"/>
  <c r="G1497" i="10"/>
  <c r="G1607" i="10"/>
  <c r="G2359" i="10"/>
  <c r="G1546" i="10"/>
  <c r="G3148" i="10"/>
  <c r="G3214" i="10"/>
  <c r="G1105" i="10"/>
  <c r="G1784" i="10"/>
  <c r="G1972" i="10"/>
  <c r="G690" i="10"/>
  <c r="G2487" i="10"/>
  <c r="G1193" i="10"/>
  <c r="G2539" i="10"/>
  <c r="G2067" i="10"/>
  <c r="G403" i="10"/>
  <c r="G2107" i="10"/>
  <c r="G1662" i="10"/>
  <c r="G1925" i="10"/>
  <c r="G1935" i="10"/>
  <c r="G1526" i="10"/>
  <c r="G852" i="10"/>
  <c r="G2066" i="10"/>
  <c r="G2105" i="10"/>
  <c r="G2942" i="10"/>
  <c r="G3152" i="10"/>
  <c r="G263" i="10"/>
  <c r="G432" i="10"/>
  <c r="G2198" i="10"/>
  <c r="G1905" i="10"/>
  <c r="G1535" i="10"/>
  <c r="G226" i="10"/>
  <c r="G1878" i="10"/>
  <c r="G1704" i="10"/>
  <c r="G759" i="10"/>
  <c r="G1467" i="10"/>
  <c r="G1006" i="10"/>
  <c r="G231" i="10"/>
  <c r="G2597" i="10"/>
  <c r="G3327" i="10"/>
  <c r="G2902" i="10"/>
  <c r="G1819" i="10"/>
  <c r="G1551" i="10"/>
  <c r="G1724" i="10"/>
  <c r="G1409" i="10"/>
  <c r="G1321" i="10"/>
  <c r="G3234" i="10"/>
  <c r="G2330" i="10"/>
  <c r="G588" i="10"/>
  <c r="G1565" i="10"/>
  <c r="G1876" i="10"/>
  <c r="G1729" i="10"/>
  <c r="G2037" i="10"/>
  <c r="G1504" i="10"/>
  <c r="G765" i="10"/>
  <c r="G875" i="10"/>
  <c r="G1252" i="10"/>
  <c r="G2498" i="10"/>
  <c r="G2250" i="10"/>
  <c r="G2946" i="10"/>
  <c r="G1834" i="10"/>
  <c r="G696" i="10"/>
  <c r="G1955" i="10"/>
  <c r="G1737" i="10"/>
  <c r="G1760" i="10"/>
  <c r="G2779" i="10"/>
  <c r="G2422" i="10"/>
  <c r="G1798" i="10"/>
  <c r="G1973" i="10"/>
  <c r="G321" i="10"/>
  <c r="G1317" i="10"/>
  <c r="G1692" i="10"/>
  <c r="G1756" i="10"/>
  <c r="G2832" i="10"/>
  <c r="G2263" i="10"/>
  <c r="G1310" i="10"/>
  <c r="G220" i="10"/>
  <c r="G1392" i="10"/>
  <c r="G1015" i="10"/>
  <c r="G2576" i="10"/>
  <c r="G1267" i="10"/>
  <c r="G2243" i="10"/>
  <c r="G1351" i="10"/>
  <c r="G799" i="10"/>
  <c r="G1732" i="10"/>
  <c r="G1796" i="10"/>
  <c r="G2707" i="10"/>
  <c r="G146" i="10"/>
  <c r="G1561" i="10"/>
  <c r="G2072" i="10"/>
  <c r="G1679" i="10"/>
  <c r="G2157" i="10"/>
  <c r="G1650" i="10"/>
  <c r="G2674" i="10"/>
  <c r="G1812" i="10"/>
  <c r="G1035" i="10"/>
  <c r="G1995" i="10"/>
  <c r="G1865" i="10"/>
  <c r="G1172" i="10"/>
  <c r="G3092" i="10"/>
  <c r="G3296" i="10"/>
  <c r="G1804" i="10"/>
  <c r="G1695" i="10"/>
  <c r="G1922" i="10"/>
  <c r="G2237" i="10"/>
  <c r="G1684" i="10"/>
  <c r="G1309" i="10"/>
  <c r="G2738" i="10"/>
  <c r="G2518" i="10"/>
  <c r="G2163" i="10"/>
  <c r="G883" i="10"/>
  <c r="G1881" i="10"/>
  <c r="G1044" i="10"/>
  <c r="G2412" i="10"/>
  <c r="G1820" i="10"/>
  <c r="G1093" i="10"/>
  <c r="G1243" i="10"/>
  <c r="G1839" i="10"/>
  <c r="G140" i="10"/>
  <c r="G2632" i="10"/>
  <c r="G3223" i="10"/>
  <c r="G2245" i="10"/>
  <c r="G2315" i="10"/>
  <c r="G177" i="10"/>
  <c r="G1774" i="10"/>
  <c r="G1250" i="10"/>
  <c r="G1101" i="10"/>
  <c r="G3028" i="10"/>
  <c r="G1538" i="10"/>
  <c r="G1625" i="10"/>
  <c r="G1799" i="10"/>
  <c r="G841" i="10"/>
  <c r="G1469" i="10"/>
  <c r="G2934" i="10"/>
  <c r="G2734" i="10"/>
  <c r="G978" i="10"/>
  <c r="G998" i="10"/>
  <c r="G1511" i="10"/>
  <c r="G964" i="10"/>
  <c r="G2126" i="10"/>
  <c r="G1522" i="10"/>
  <c r="G2397" i="10"/>
  <c r="G1499" i="10"/>
  <c r="G2144" i="10"/>
  <c r="G915" i="10"/>
  <c r="G1636" i="10"/>
  <c r="G2327" i="10"/>
  <c r="G1326" i="10"/>
  <c r="G2794" i="10"/>
  <c r="G1818" i="10"/>
  <c r="G994" i="10"/>
  <c r="G864" i="10"/>
  <c r="G1272" i="10"/>
  <c r="G1110" i="10"/>
  <c r="G1496" i="10"/>
  <c r="G1900" i="10"/>
  <c r="G455" i="10"/>
  <c r="G1886" i="10"/>
  <c r="G2040" i="10"/>
  <c r="G1169" i="10"/>
  <c r="G2952" i="10"/>
  <c r="G2460" i="10"/>
  <c r="G585" i="10"/>
  <c r="G1430" i="10"/>
  <c r="G708" i="10"/>
  <c r="G1835" i="10"/>
  <c r="G2009" i="10"/>
  <c r="G2477" i="10"/>
  <c r="G3096" i="10"/>
  <c r="G1291" i="10"/>
  <c r="G1545" i="10"/>
  <c r="G1838" i="10"/>
  <c r="G887" i="10"/>
  <c r="G1620" i="10"/>
  <c r="G1902" i="10"/>
  <c r="G1327" i="10"/>
  <c r="G1026" i="10"/>
  <c r="G633" i="10"/>
  <c r="G1544" i="10"/>
  <c r="G2019" i="10"/>
  <c r="G2324" i="10"/>
  <c r="G2417" i="10"/>
  <c r="G2630" i="10"/>
  <c r="G1017" i="10"/>
  <c r="G843" i="10"/>
  <c r="G1974" i="10"/>
  <c r="G1018" i="10"/>
  <c r="G383" i="10"/>
  <c r="G2809" i="10"/>
  <c r="G1914" i="10"/>
  <c r="G1081" i="10"/>
  <c r="G1759" i="10"/>
  <c r="G2017" i="10"/>
  <c r="G1745" i="10"/>
  <c r="G1059" i="10"/>
  <c r="G2682" i="10"/>
  <c r="G1393" i="10"/>
  <c r="G2169" i="10"/>
  <c r="G1239" i="10"/>
  <c r="G1307" i="10"/>
  <c r="G613" i="10"/>
  <c r="G2085" i="10"/>
  <c r="G2463" i="10"/>
  <c r="G2154" i="10"/>
  <c r="G1147" i="10"/>
  <c r="G2143" i="10"/>
  <c r="G2295" i="10"/>
  <c r="G2394" i="10"/>
  <c r="G1573" i="10"/>
  <c r="G2852" i="10"/>
  <c r="G1688" i="10"/>
  <c r="G1655" i="10"/>
  <c r="G1517" i="10"/>
  <c r="G858" i="10"/>
  <c r="G2185" i="10"/>
  <c r="G3349" i="10"/>
  <c r="G3298" i="10"/>
  <c r="G1554" i="10"/>
  <c r="G1558" i="10"/>
  <c r="G786" i="10"/>
  <c r="G1302" i="10"/>
  <c r="G1145" i="10"/>
  <c r="G1447" i="10"/>
  <c r="G1054" i="10"/>
  <c r="G1161" i="10"/>
  <c r="G1641" i="10"/>
  <c r="G1446" i="10"/>
  <c r="G2331" i="10"/>
  <c r="G1407" i="10"/>
  <c r="G3266" i="10"/>
  <c r="G1023" i="10"/>
  <c r="G2259" i="10"/>
  <c r="G1629" i="10"/>
  <c r="G171" i="10"/>
  <c r="G3073" i="10"/>
  <c r="G2886" i="10"/>
  <c r="G3047" i="10"/>
  <c r="G1096" i="10"/>
  <c r="G1577" i="10"/>
  <c r="G760" i="10"/>
  <c r="G1279" i="10"/>
  <c r="G1853" i="10"/>
  <c r="G1128" i="10"/>
  <c r="G2509" i="10"/>
  <c r="G1507" i="10"/>
  <c r="G1690" i="10"/>
  <c r="G1883" i="10"/>
  <c r="G2170" i="10"/>
  <c r="G1676" i="10"/>
  <c r="G794" i="10"/>
  <c r="G3091" i="10"/>
  <c r="G1873" i="10"/>
  <c r="G2012" i="10"/>
  <c r="G2255" i="10"/>
  <c r="G1860" i="10"/>
  <c r="G2484" i="10"/>
  <c r="G1005" i="10"/>
  <c r="G1945" i="10"/>
  <c r="G1320" i="10"/>
  <c r="G1849" i="10"/>
  <c r="G965" i="10"/>
  <c r="G1175" i="10"/>
  <c r="G1483" i="10"/>
  <c r="G2142" i="10"/>
  <c r="G1603" i="10"/>
  <c r="G562" i="10"/>
  <c r="G1586" i="10"/>
  <c r="G1495" i="10"/>
  <c r="G3365" i="10"/>
  <c r="G1775" i="10"/>
  <c r="G1416" i="10"/>
  <c r="G269" i="10"/>
  <c r="G2246" i="10"/>
  <c r="G255" i="10"/>
  <c r="G1951" i="10"/>
  <c r="G2472" i="10"/>
  <c r="G2187" i="10"/>
  <c r="G3130" i="10"/>
  <c r="G1621" i="10"/>
  <c r="G1167" i="10"/>
  <c r="G806" i="10"/>
  <c r="G1031" i="10"/>
  <c r="G1653" i="10"/>
  <c r="G2959" i="10"/>
  <c r="G2427" i="10"/>
  <c r="G1113" i="10"/>
  <c r="G1445" i="10"/>
  <c r="G984" i="10"/>
  <c r="G1153" i="10"/>
  <c r="G1338" i="10"/>
  <c r="G2743" i="10"/>
  <c r="G1479" i="10"/>
  <c r="G1350" i="10"/>
  <c r="G1260" i="10"/>
  <c r="G2045" i="10"/>
  <c r="G1170" i="10"/>
  <c r="G481" i="10"/>
  <c r="G2139" i="10"/>
  <c r="G2495" i="10"/>
  <c r="G3307" i="10"/>
  <c r="G3063" i="10"/>
  <c r="G3136" i="10"/>
  <c r="G2160" i="10"/>
  <c r="G2370" i="10"/>
  <c r="G2571" i="10"/>
  <c r="G3278" i="10"/>
  <c r="G2602" i="10"/>
  <c r="G3308" i="10"/>
  <c r="G1048" i="10"/>
  <c r="G2741" i="10"/>
  <c r="G2552" i="10"/>
  <c r="G2601" i="10"/>
  <c r="G2523" i="10"/>
  <c r="G2767" i="10"/>
  <c r="G2958" i="10"/>
  <c r="G2924" i="10"/>
  <c r="G2559" i="10"/>
  <c r="G2695" i="10"/>
  <c r="G2651" i="10"/>
  <c r="G2947" i="10"/>
  <c r="G2764" i="10"/>
  <c r="G1919" i="10"/>
  <c r="G1490" i="10"/>
  <c r="G2284" i="10"/>
  <c r="G367" i="10"/>
  <c r="G2614" i="10"/>
  <c r="G2282" i="10"/>
  <c r="G1962" i="10"/>
  <c r="G1994" i="10"/>
  <c r="G1387" i="10"/>
  <c r="G939" i="10"/>
  <c r="G3246" i="10"/>
  <c r="G3314" i="10"/>
  <c r="G2590" i="10"/>
  <c r="G3064" i="10"/>
  <c r="G1628" i="10"/>
  <c r="G3137" i="10"/>
  <c r="G2928" i="10"/>
  <c r="G3030" i="10"/>
  <c r="G2626" i="10"/>
  <c r="G1610" i="10"/>
  <c r="G1462" i="10"/>
  <c r="G2521" i="10"/>
  <c r="G2265" i="10"/>
  <c r="G2305" i="10"/>
  <c r="G2693" i="10"/>
  <c r="G3113" i="10"/>
  <c r="G2499" i="10"/>
  <c r="G3163" i="10"/>
  <c r="G2349" i="10"/>
  <c r="G1800" i="10"/>
  <c r="G1024" i="10"/>
  <c r="G2589" i="10"/>
  <c r="G2304" i="10"/>
  <c r="G2055" i="10"/>
  <c r="G2480" i="10"/>
  <c r="G2059" i="10"/>
  <c r="G1523" i="10"/>
  <c r="G3105" i="10"/>
  <c r="G1722" i="10"/>
  <c r="G884" i="10"/>
  <c r="G1952" i="10"/>
  <c r="G1752" i="10"/>
  <c r="G1588" i="10"/>
  <c r="G2994" i="10"/>
  <c r="G2983" i="10"/>
  <c r="G3110" i="10"/>
  <c r="G2670" i="10"/>
  <c r="G2821" i="10"/>
  <c r="G1527" i="10"/>
  <c r="G1597" i="10"/>
  <c r="G3262" i="10"/>
  <c r="G3232" i="10"/>
  <c r="G3303" i="10"/>
  <c r="G2831" i="10"/>
  <c r="G3380" i="10"/>
  <c r="G2534" i="10"/>
  <c r="G2549" i="10"/>
  <c r="G2431" i="10"/>
  <c r="G2803" i="10"/>
  <c r="G1917" i="10"/>
  <c r="G3133" i="10"/>
  <c r="G1911" i="10"/>
  <c r="G2061" i="10"/>
  <c r="G1065" i="10"/>
  <c r="G2156" i="10"/>
  <c r="G3101" i="10"/>
  <c r="G2517" i="10"/>
  <c r="G2474" i="10"/>
  <c r="G2283" i="10"/>
  <c r="G1647" i="10"/>
  <c r="G3050" i="10"/>
  <c r="G2608" i="10"/>
  <c r="G2119" i="10"/>
  <c r="G1449" i="10"/>
  <c r="G737" i="10"/>
  <c r="G815" i="10"/>
  <c r="G1047" i="10"/>
  <c r="G2225" i="10"/>
  <c r="G1212" i="10"/>
  <c r="G2926" i="10"/>
  <c r="G2355" i="10"/>
  <c r="G1576" i="10"/>
  <c r="G2413" i="10"/>
  <c r="G2683" i="10"/>
  <c r="G3270" i="10"/>
  <c r="G2418" i="10"/>
  <c r="G2478" i="10"/>
  <c r="G2252" i="10"/>
  <c r="G3257" i="10"/>
  <c r="G2511" i="10"/>
  <c r="G3169" i="10"/>
  <c r="G3254" i="10"/>
  <c r="G13" i="10"/>
  <c r="G3167" i="10"/>
  <c r="G3338" i="10"/>
  <c r="G1439" i="10"/>
  <c r="G2452" i="10"/>
  <c r="G3188" i="10"/>
  <c r="G2544" i="10"/>
  <c r="G2456" i="10"/>
  <c r="G2648" i="10"/>
  <c r="G2811" i="10"/>
  <c r="G2971" i="10"/>
  <c r="G2079" i="10"/>
  <c r="G3227" i="10"/>
  <c r="G2993" i="10"/>
  <c r="G2069" i="10"/>
  <c r="G1424" i="10"/>
  <c r="G1457" i="10"/>
  <c r="G1942" i="10"/>
  <c r="G1410" i="10"/>
  <c r="G1188" i="10"/>
  <c r="G3089" i="10"/>
  <c r="G2239" i="10"/>
  <c r="G3082" i="10"/>
  <c r="G2532" i="10"/>
  <c r="G2240" i="10"/>
  <c r="G1651" i="10"/>
  <c r="G2524" i="10"/>
  <c r="G3078" i="10"/>
  <c r="G2716" i="10"/>
  <c r="G2334" i="10"/>
  <c r="G3168" i="10"/>
  <c r="G2976" i="10"/>
  <c r="G3098" i="10"/>
  <c r="G3235" i="10"/>
  <c r="G2732" i="10"/>
  <c r="G2501" i="10"/>
  <c r="G2720" i="10"/>
  <c r="G2537" i="10"/>
  <c r="G1946" i="10"/>
  <c r="G3115" i="10"/>
  <c r="G2419" i="10"/>
  <c r="G2953" i="10"/>
  <c r="G3055" i="10"/>
  <c r="G3182" i="10"/>
  <c r="G2675" i="10"/>
  <c r="G1368" i="10"/>
  <c r="G607" i="10"/>
  <c r="G2162" i="10"/>
  <c r="G2101" i="10"/>
  <c r="G1418" i="10"/>
  <c r="G2348" i="10"/>
  <c r="G2294" i="10"/>
  <c r="G1927" i="10"/>
  <c r="G1151" i="10"/>
  <c r="G2988" i="10"/>
  <c r="G2978" i="10"/>
  <c r="G2609" i="10"/>
  <c r="G2133" i="10"/>
  <c r="G2322" i="10"/>
  <c r="G2884" i="10"/>
  <c r="G3112" i="10"/>
  <c r="G3341" i="10"/>
  <c r="G2439" i="10"/>
  <c r="G2814" i="10"/>
  <c r="G3345" i="10"/>
  <c r="G2858" i="10"/>
  <c r="G2714" i="10"/>
  <c r="G2564" i="10"/>
  <c r="G2731" i="10"/>
  <c r="G2855" i="10"/>
  <c r="G3081" i="10"/>
  <c r="G2455" i="10"/>
  <c r="G2015" i="10"/>
  <c r="G2166" i="10"/>
  <c r="G1683" i="10"/>
  <c r="G2525" i="10"/>
  <c r="G3041" i="10"/>
  <c r="G2540" i="10"/>
  <c r="G2094" i="10"/>
  <c r="G2469" i="10"/>
  <c r="G2287" i="10"/>
  <c r="G3203" i="10"/>
  <c r="G2065" i="10"/>
  <c r="G3067" i="10"/>
  <c r="G1433" i="10"/>
  <c r="G2158" i="10"/>
  <c r="G1237" i="10"/>
  <c r="G395" i="10"/>
  <c r="G2396" i="10"/>
  <c r="G1452" i="10"/>
  <c r="G3008" i="10"/>
  <c r="G3275" i="10"/>
  <c r="G3288" i="10"/>
  <c r="G1197" i="10"/>
  <c r="G2963" i="10"/>
  <c r="G3038" i="10"/>
  <c r="G2802" i="10"/>
  <c r="G3069" i="10"/>
  <c r="G2836" i="10"/>
  <c r="G3138" i="10"/>
  <c r="G1642" i="10"/>
  <c r="G2690" i="10"/>
  <c r="G2875" i="10"/>
  <c r="G2404" i="10"/>
  <c r="G3304" i="10"/>
  <c r="G2407" i="10"/>
  <c r="G2192" i="10"/>
  <c r="G2053" i="10"/>
  <c r="G3118" i="10"/>
  <c r="G1845" i="10"/>
  <c r="G3212" i="10"/>
  <c r="G2752" i="10"/>
  <c r="G2783" i="10"/>
  <c r="G1506" i="10"/>
  <c r="G2224" i="10"/>
  <c r="G2780" i="10"/>
  <c r="G2948" i="10"/>
  <c r="G1581" i="10"/>
  <c r="G693" i="10"/>
  <c r="G1691" i="10"/>
  <c r="G1948" i="10"/>
  <c r="G1480" i="10"/>
  <c r="G1261" i="10"/>
  <c r="G3313" i="10"/>
  <c r="G3276" i="10"/>
  <c r="G2812" i="10"/>
  <c r="G2930" i="10"/>
  <c r="G3046" i="10"/>
  <c r="G3221" i="10"/>
  <c r="G3277" i="10"/>
  <c r="G2894" i="10"/>
  <c r="G3192" i="10"/>
  <c r="G3302" i="10"/>
  <c r="G2944" i="10"/>
  <c r="G2838" i="10"/>
  <c r="G2623" i="10"/>
  <c r="G2326" i="10"/>
  <c r="G3114" i="10"/>
  <c r="G1556" i="10"/>
  <c r="G2368" i="10"/>
  <c r="G1593" i="10"/>
  <c r="G3211" i="10"/>
  <c r="G2035" i="10"/>
  <c r="G3027" i="10"/>
  <c r="G3356" i="10"/>
  <c r="G2208" i="10"/>
  <c r="G2669" i="10"/>
  <c r="G2183" i="10"/>
  <c r="G2458" i="10"/>
  <c r="G3339" i="10"/>
  <c r="G3241" i="10"/>
  <c r="G1560" i="10"/>
  <c r="G1080" i="10"/>
  <c r="G743" i="10"/>
  <c r="G1611" i="10"/>
  <c r="G2749" i="10"/>
  <c r="G1463" i="10"/>
  <c r="G2459" i="10"/>
  <c r="G1458" i="10"/>
  <c r="G3003" i="10"/>
  <c r="G3319" i="10"/>
  <c r="G3374" i="10"/>
  <c r="G2933" i="10"/>
  <c r="G2966" i="10"/>
  <c r="G2868" i="10"/>
  <c r="G3353" i="10"/>
  <c r="G1763" i="10"/>
  <c r="G2839" i="10"/>
  <c r="G2402" i="10"/>
  <c r="G2687" i="10"/>
  <c r="G3354" i="10"/>
  <c r="G3297" i="10"/>
  <c r="G2677" i="10"/>
  <c r="G3281" i="10"/>
  <c r="G2657" i="10"/>
  <c r="G3376" i="10"/>
  <c r="G3357" i="10"/>
  <c r="G3368" i="10"/>
  <c r="G3127" i="10"/>
  <c r="G2475" i="10"/>
  <c r="G3331" i="10"/>
  <c r="G1594" i="10"/>
  <c r="G2756" i="10"/>
  <c r="G2603" i="10"/>
  <c r="G1916" i="10"/>
  <c r="G1915" i="10"/>
  <c r="G1133" i="10"/>
  <c r="G662" i="10"/>
  <c r="G2332" i="10"/>
  <c r="G844" i="10"/>
  <c r="G3153" i="10"/>
  <c r="G3023" i="10"/>
  <c r="G2268" i="10"/>
  <c r="G2967" i="10"/>
  <c r="G2369" i="10"/>
  <c r="G2421" i="10"/>
  <c r="G2968" i="10"/>
  <c r="G3049" i="10"/>
  <c r="G3059" i="10"/>
  <c r="G3301" i="10"/>
  <c r="G1703" i="10"/>
  <c r="G2565" i="10"/>
  <c r="G1983" i="10"/>
  <c r="G3244" i="10"/>
  <c r="G3161" i="10"/>
  <c r="G2876" i="10"/>
  <c r="G2697" i="10"/>
  <c r="G2662" i="10"/>
  <c r="G1668" i="10"/>
  <c r="G2409" i="10"/>
  <c r="G3255" i="10"/>
  <c r="G2569" i="10"/>
  <c r="G2522" i="10"/>
  <c r="G2650" i="10"/>
  <c r="G1714" i="10"/>
  <c r="G2819" i="10"/>
  <c r="G335" i="10"/>
  <c r="G2820" i="10"/>
  <c r="G281" i="10"/>
  <c r="G2002" i="10"/>
  <c r="G539" i="10"/>
  <c r="G2181" i="10"/>
  <c r="G1665" i="10"/>
  <c r="G1485" i="10"/>
  <c r="G3325" i="10"/>
  <c r="G1671" i="10"/>
  <c r="G2827" i="10"/>
  <c r="G3070" i="10"/>
  <c r="G2548" i="10"/>
  <c r="G2605" i="10"/>
  <c r="G2638" i="10"/>
  <c r="G3233" i="10"/>
  <c r="G1640" i="10"/>
  <c r="G2500" i="10"/>
  <c r="G2725" i="10"/>
  <c r="G3240" i="10"/>
  <c r="G3065" i="10"/>
  <c r="G1755" i="10"/>
  <c r="G3265" i="10"/>
  <c r="G2759" i="10"/>
  <c r="G2918" i="10"/>
  <c r="G3320" i="10"/>
  <c r="G3261" i="10"/>
  <c r="G2016" i="10"/>
  <c r="G1924" i="10"/>
  <c r="G2631" i="10"/>
  <c r="G2591" i="10"/>
  <c r="G1344" i="10"/>
  <c r="G2715" i="10"/>
  <c r="G1453" i="10"/>
  <c r="G2112" i="10"/>
  <c r="G2442" i="10"/>
  <c r="G2798" i="10"/>
  <c r="G1456" i="10"/>
  <c r="G1754" i="10"/>
  <c r="G2230" i="10"/>
  <c r="G1908" i="10"/>
  <c r="G2835" i="10"/>
  <c r="G1854" i="10"/>
  <c r="G1736" i="10"/>
  <c r="G3075" i="10"/>
  <c r="G2121" i="10"/>
  <c r="G1899" i="10"/>
  <c r="G1887" i="10"/>
  <c r="G2796" i="10"/>
  <c r="G2929" i="10"/>
  <c r="G3062" i="10"/>
  <c r="G2241" i="10"/>
  <c r="G1792" i="10"/>
  <c r="G2492" i="10"/>
  <c r="G2196" i="10"/>
  <c r="G2730" i="10"/>
  <c r="G2615" i="10"/>
  <c r="G3362" i="10"/>
  <c r="G2808" i="10"/>
  <c r="G1111" i="10"/>
  <c r="G1806" i="10"/>
  <c r="G1278" i="10"/>
  <c r="G3020" i="10"/>
  <c r="G2940" i="10"/>
  <c r="G2471" i="10"/>
  <c r="G3300" i="10"/>
  <c r="G2191" i="10"/>
  <c r="G2751" i="10"/>
  <c r="G2545" i="10"/>
  <c r="G2784" i="10"/>
  <c r="G1500" i="10"/>
  <c r="G2987" i="10"/>
  <c r="G2655" i="10"/>
  <c r="G2238" i="10"/>
  <c r="G2766" i="10"/>
  <c r="G2090" i="10"/>
  <c r="G1548" i="10"/>
  <c r="G3094" i="10"/>
  <c r="G2451" i="10"/>
  <c r="G2915" i="10"/>
  <c r="G1847" i="10"/>
  <c r="G3132" i="10"/>
  <c r="G2883" i="10"/>
  <c r="G2717" i="10"/>
  <c r="G3077" i="10"/>
  <c r="G3033" i="10"/>
  <c r="G3135" i="10"/>
  <c r="G3194" i="10"/>
  <c r="G2740" i="10"/>
  <c r="G2969" i="10"/>
  <c r="G3090" i="10"/>
  <c r="G2964" i="10"/>
  <c r="G2900" i="10"/>
  <c r="G2739" i="10"/>
  <c r="G3171" i="10"/>
  <c r="G2604" i="10"/>
  <c r="G2701" i="10"/>
  <c r="G3290" i="10"/>
  <c r="G2927" i="10"/>
  <c r="G2447" i="10"/>
  <c r="G3126" i="10"/>
  <c r="G1728" i="10"/>
  <c r="G1726" i="10"/>
  <c r="G2490" i="10"/>
  <c r="G2885" i="10"/>
  <c r="G3179" i="10"/>
  <c r="G2462" i="10"/>
  <c r="G2508" i="10"/>
  <c r="G2851" i="10"/>
  <c r="G3238" i="10"/>
  <c r="G2547" i="10"/>
  <c r="G2482" i="10"/>
  <c r="G2718" i="10"/>
  <c r="G1950" i="10"/>
  <c r="G2298" i="10"/>
  <c r="G2910" i="10"/>
  <c r="G1473" i="10"/>
  <c r="G3206" i="10"/>
  <c r="G2680" i="10"/>
  <c r="G3026" i="10"/>
  <c r="G1562" i="10"/>
  <c r="G2668" i="10"/>
  <c r="G3312" i="10"/>
  <c r="G2386" i="10"/>
  <c r="G1816" i="10"/>
  <c r="G3019" i="10"/>
  <c r="G2882" i="10"/>
  <c r="G2371" i="10"/>
  <c r="G1817" i="10"/>
  <c r="G2874" i="10"/>
  <c r="G2272" i="10"/>
  <c r="G1794" i="10"/>
  <c r="G2329" i="10"/>
  <c r="G2357" i="10"/>
  <c r="G2328" i="10"/>
  <c r="G2639" i="10"/>
  <c r="G3134" i="10"/>
  <c r="G2340" i="10"/>
  <c r="G2862" i="10"/>
  <c r="G3329" i="10"/>
  <c r="G2464" i="10"/>
  <c r="G2430" i="10"/>
  <c r="G2541" i="10"/>
  <c r="G3012" i="10"/>
  <c r="G2892" i="10"/>
  <c r="G2587" i="10"/>
  <c r="G2804" i="10"/>
  <c r="G3328" i="10"/>
  <c r="G2833" i="10"/>
  <c r="G2048" i="10"/>
  <c r="G3061" i="10"/>
  <c r="G3057" i="10"/>
  <c r="G2744" i="10"/>
  <c r="G3036" i="10"/>
  <c r="G1958" i="10"/>
  <c r="G2617" i="10"/>
  <c r="G2123" i="10"/>
  <c r="G3155" i="10"/>
  <c r="G2306" i="10"/>
  <c r="G2843" i="10"/>
  <c r="G2267" i="10"/>
  <c r="G2432" i="10"/>
  <c r="G3074" i="10"/>
  <c r="G2939" i="10"/>
  <c r="G2178" i="10"/>
  <c r="G2859" i="10"/>
  <c r="G2909" i="10"/>
  <c r="G3123" i="10"/>
  <c r="G3180" i="10"/>
  <c r="G3177" i="10"/>
  <c r="G2937" i="10"/>
  <c r="G3195" i="10"/>
  <c r="G2763" i="10"/>
  <c r="G1602" i="10"/>
  <c r="G3289" i="10"/>
  <c r="G2645" i="10"/>
  <c r="G2114" i="10"/>
  <c r="G2575" i="10"/>
  <c r="G2620" i="10"/>
  <c r="G2962" i="10"/>
  <c r="G2594" i="10"/>
  <c r="G3189" i="10"/>
  <c r="G2494" i="10"/>
  <c r="G2700" i="10"/>
  <c r="G1529" i="10"/>
  <c r="G2853" i="10"/>
  <c r="G2660" i="10"/>
  <c r="G2781" i="10"/>
  <c r="G2161" i="10"/>
  <c r="G3340" i="10"/>
  <c r="G1428" i="10"/>
  <c r="G2556" i="10"/>
  <c r="G3116" i="10"/>
  <c r="G1977" i="10"/>
  <c r="G3120" i="10"/>
  <c r="G2050" i="10"/>
  <c r="G1850" i="10"/>
  <c r="G1492" i="10"/>
  <c r="G2338" i="10"/>
  <c r="G3381" i="10"/>
  <c r="G3121" i="10"/>
  <c r="G2726" i="10"/>
  <c r="G3002" i="10"/>
  <c r="G3158" i="10"/>
  <c r="G2136" i="10"/>
  <c r="G1664" i="10"/>
  <c r="G1970" i="10"/>
  <c r="G2275" i="10"/>
  <c r="G2935" i="10"/>
  <c r="G3379" i="10"/>
  <c r="G3293" i="10"/>
  <c r="G3164" i="10"/>
  <c r="G2956" i="10"/>
  <c r="G3363" i="10"/>
  <c r="G2788" i="10"/>
  <c r="G2954" i="10"/>
  <c r="G2278" i="10"/>
  <c r="G2116" i="10"/>
  <c r="G3039" i="10"/>
  <c r="G1991" i="10"/>
  <c r="G3317" i="10"/>
  <c r="G2466" i="10"/>
  <c r="G3285" i="10"/>
  <c r="G3156" i="10"/>
  <c r="G2777" i="10"/>
  <c r="G2435" i="10"/>
  <c r="G1374" i="10"/>
  <c r="G1829" i="10"/>
  <c r="G3330" i="10"/>
  <c r="G2710" i="10"/>
  <c r="G3190" i="10"/>
  <c r="G2382" i="10"/>
  <c r="G3208" i="10"/>
  <c r="G2567" i="10"/>
  <c r="G2585" i="10"/>
  <c r="G3260" i="10"/>
  <c r="G2506" i="10"/>
  <c r="G2813" i="10"/>
  <c r="G2555" i="10"/>
  <c r="G2005" i="10"/>
  <c r="G2705" i="10"/>
  <c r="G3160" i="10"/>
  <c r="G3029" i="10"/>
  <c r="G2708" i="10"/>
  <c r="G2688" i="10"/>
  <c r="G1356" i="10"/>
  <c r="G2408" i="10"/>
  <c r="G3024" i="10"/>
  <c r="G1701" i="10"/>
  <c r="G2489" i="10"/>
  <c r="G3157" i="10"/>
  <c r="G2923" i="10"/>
  <c r="G2911" i="10"/>
  <c r="G3107" i="10"/>
  <c r="G2865" i="10"/>
  <c r="G3259" i="10"/>
  <c r="G3086" i="10"/>
  <c r="G2724" i="10"/>
  <c r="G2815" i="10"/>
  <c r="G2147" i="10"/>
  <c r="G2673" i="10"/>
  <c r="G2621" i="10"/>
  <c r="G2578" i="10"/>
  <c r="G1789" i="10"/>
  <c r="G2483" i="10"/>
  <c r="G3183" i="10"/>
  <c r="G2728" i="10"/>
  <c r="G2303" i="10"/>
  <c r="G2390" i="10"/>
  <c r="G3173" i="10"/>
  <c r="G2986" i="10"/>
  <c r="G2003" i="10"/>
  <c r="G2560" i="10"/>
  <c r="G2974" i="10"/>
  <c r="G2497" i="10"/>
  <c r="G3337" i="10"/>
  <c r="G1744" i="10"/>
  <c r="G2951" i="10"/>
  <c r="G2995" i="10"/>
  <c r="G3097" i="10"/>
  <c r="G2405" i="10"/>
  <c r="G2232" i="10"/>
  <c r="G2709" i="10"/>
  <c r="G3245" i="10"/>
  <c r="G2694" i="10"/>
  <c r="G2899" i="10"/>
  <c r="G2212" i="10"/>
  <c r="G2840" i="10"/>
  <c r="G3197" i="10"/>
  <c r="G2848" i="10"/>
  <c r="G2618" i="10"/>
  <c r="G3309" i="10"/>
  <c r="G2888" i="10"/>
  <c r="G2898" i="10"/>
  <c r="G2913" i="10"/>
  <c r="G2563" i="10"/>
  <c r="G2316" i="10"/>
  <c r="G2825" i="10"/>
  <c r="G1888" i="10"/>
  <c r="G3088" i="10"/>
  <c r="G1685" i="10"/>
  <c r="G3129" i="10"/>
  <c r="G2866" i="10"/>
  <c r="G2955" i="10"/>
  <c r="G2628" i="10"/>
  <c r="G2542" i="10"/>
  <c r="G2530" i="10"/>
  <c r="G2134" i="10"/>
  <c r="G2960" i="10"/>
  <c r="G3141" i="10"/>
  <c r="G2611" i="10"/>
  <c r="G3333" i="10"/>
  <c r="G2363" i="10"/>
  <c r="G2746" i="10"/>
  <c r="G2433" i="10"/>
  <c r="G2100" i="10"/>
  <c r="G2644" i="10"/>
  <c r="G2024" i="10"/>
  <c r="G2042" i="10"/>
  <c r="G3031" i="10"/>
  <c r="G2391" i="10"/>
  <c r="G3369" i="10"/>
  <c r="G1870" i="10"/>
  <c r="G1939" i="10"/>
  <c r="G2666" i="10"/>
  <c r="G2801" i="10"/>
  <c r="G1339" i="10"/>
  <c r="G1571" i="10"/>
  <c r="G3335" i="10"/>
  <c r="G2562" i="10"/>
  <c r="G3068" i="10"/>
  <c r="G2981" i="10"/>
  <c r="G2842" i="10"/>
  <c r="G3226" i="10"/>
  <c r="G2975" i="10"/>
  <c r="G2274" i="10"/>
  <c r="G3108" i="10"/>
  <c r="G2920" i="10"/>
  <c r="G2706" i="10"/>
  <c r="G2712" i="10"/>
  <c r="G3273" i="10"/>
  <c r="G2434" i="10"/>
  <c r="G2057" i="10"/>
  <c r="G3336" i="10"/>
  <c r="G2686" i="10"/>
  <c r="G2393" i="10"/>
  <c r="G3316" i="10"/>
  <c r="G2722" i="10"/>
  <c r="G2864" i="10"/>
  <c r="G3359" i="10"/>
  <c r="G3251" i="10"/>
  <c r="G2877" i="10"/>
  <c r="G2148" i="10"/>
  <c r="G1782" i="10"/>
  <c r="G2415" i="10"/>
  <c r="G3066" i="10"/>
  <c r="G2793" i="10"/>
  <c r="G2640" i="10"/>
  <c r="G3184" i="10"/>
  <c r="G2231" i="10"/>
  <c r="G3332" i="10"/>
  <c r="G2656" i="10"/>
  <c r="G2925" i="10"/>
  <c r="G2755" i="10"/>
  <c r="G3147" i="10"/>
  <c r="G2679" i="10"/>
  <c r="G2860" i="10"/>
  <c r="G2846" i="10"/>
  <c r="G1481" i="10"/>
  <c r="G2692" i="10"/>
  <c r="G2786" i="10"/>
  <c r="G3222" i="10"/>
  <c r="G2807" i="10"/>
  <c r="G2588" i="10"/>
  <c r="G3119" i="10"/>
  <c r="G2729" i="10"/>
  <c r="G3377" i="10"/>
  <c r="G2771" i="10"/>
  <c r="G2519" i="10"/>
  <c r="G2140" i="10"/>
  <c r="G2566" i="10"/>
  <c r="G2879" i="10"/>
  <c r="G2936" i="10"/>
  <c r="G2450" i="10"/>
  <c r="G2206" i="10"/>
  <c r="G2599" i="10"/>
  <c r="G3364" i="10"/>
  <c r="G3151" i="10"/>
  <c r="G1868" i="10"/>
  <c r="G2733" i="10"/>
  <c r="G2375" i="10"/>
  <c r="G2941" i="10"/>
  <c r="G3080" i="10"/>
  <c r="G2226" i="10"/>
  <c r="G3229" i="10"/>
  <c r="G2109" i="10"/>
  <c r="G2416" i="10"/>
  <c r="G2914" i="10"/>
  <c r="G2861" i="10"/>
  <c r="G3218" i="10"/>
  <c r="G3334" i="10"/>
  <c r="G3292" i="10"/>
  <c r="G2945" i="10"/>
  <c r="G3209" i="10"/>
  <c r="G3378" i="10"/>
  <c r="G2758" i="10"/>
  <c r="G2579" i="10"/>
  <c r="G2558" i="10"/>
  <c r="G2880" i="10"/>
  <c r="G1734" i="10"/>
  <c r="G1510" i="10"/>
  <c r="G2973" i="10"/>
  <c r="G2260" i="10"/>
  <c r="G2209" i="10"/>
  <c r="G2476" i="10"/>
  <c r="G2087" i="10"/>
  <c r="G3247" i="10"/>
  <c r="G2856" i="10"/>
  <c r="G2633" i="10"/>
  <c r="G3198" i="10"/>
  <c r="G2488" i="10"/>
  <c r="G3269" i="10"/>
  <c r="G2791" i="10"/>
  <c r="G2742" i="10"/>
  <c r="G2553" i="10"/>
  <c r="G2737" i="10"/>
  <c r="G3165" i="10"/>
  <c r="G2834" i="10"/>
  <c r="G2912" i="10"/>
  <c r="G1833" i="10"/>
  <c r="G2916" i="10"/>
  <c r="G3225" i="10"/>
  <c r="G2646" i="10"/>
  <c r="G2887" i="10"/>
  <c r="G3220" i="10"/>
  <c r="G2891" i="10"/>
  <c r="G3076" i="10"/>
  <c r="G3280" i="10"/>
  <c r="G2980" i="10"/>
  <c r="G3185" i="10"/>
  <c r="G1738" i="10"/>
  <c r="G2420" i="10"/>
  <c r="G3175" i="10"/>
  <c r="G1660" i="10"/>
  <c r="G3343" i="10"/>
  <c r="G2507" i="10"/>
  <c r="G3231" i="10"/>
  <c r="G2493" i="10"/>
  <c r="G2919" i="10"/>
  <c r="G3044" i="10"/>
  <c r="G2531" i="10"/>
  <c r="G3010" i="10"/>
  <c r="G2799" i="10"/>
  <c r="G2436" i="10"/>
  <c r="G1200" i="10"/>
  <c r="G1808" i="10"/>
  <c r="G2822" i="10"/>
  <c r="G2736" i="10"/>
  <c r="G2546" i="10"/>
  <c r="G2510" i="10"/>
  <c r="G2425" i="10"/>
  <c r="G3144" i="10"/>
  <c r="G3170" i="10"/>
  <c r="G2385" i="10"/>
  <c r="G3056" i="10"/>
  <c r="G3037" i="10"/>
  <c r="G2526" i="10"/>
  <c r="G2424" i="10"/>
  <c r="G3181" i="10"/>
  <c r="G1751" i="10"/>
  <c r="G2128" i="10"/>
  <c r="G2689" i="10"/>
  <c r="G2649" i="10"/>
  <c r="G2863" i="10"/>
  <c r="G2901" i="10"/>
  <c r="G2449" i="10"/>
  <c r="G2889" i="10"/>
  <c r="G1516" i="10"/>
  <c r="G3249" i="10"/>
  <c r="G3264" i="10"/>
  <c r="G2770" i="10"/>
  <c r="G3124" i="10"/>
  <c r="G2658" i="10"/>
  <c r="G1575" i="10"/>
  <c r="G1461" i="10"/>
  <c r="G2319" i="10"/>
  <c r="G2572" i="10"/>
  <c r="G2627" i="10"/>
  <c r="G2446" i="10"/>
  <c r="G3213" i="10"/>
  <c r="G1587" i="10"/>
  <c r="G2504" i="10"/>
  <c r="G2586" i="10"/>
  <c r="G3216" i="10"/>
  <c r="G2574" i="10"/>
  <c r="G1123" i="10"/>
  <c r="G2081" i="10"/>
  <c r="G1127" i="10"/>
  <c r="G3149" i="10"/>
  <c r="G2616" i="10"/>
  <c r="G2528" i="10"/>
  <c r="G1042" i="10"/>
  <c r="G3166" i="10"/>
  <c r="G3284" i="10"/>
  <c r="G3125" i="10"/>
  <c r="G2905" i="10"/>
  <c r="G3230" i="10"/>
  <c r="G2696" i="10"/>
  <c r="G2757" i="10"/>
  <c r="G2776" i="10"/>
  <c r="G2753" i="10"/>
  <c r="G3306" i="10"/>
  <c r="G3174" i="10"/>
  <c r="G2773" i="10"/>
  <c r="G2774" i="10"/>
  <c r="G2652" i="10"/>
  <c r="G3043" i="10"/>
  <c r="G3310" i="10"/>
  <c r="G2789" i="10"/>
  <c r="G2536" i="10"/>
  <c r="G2890" i="10"/>
  <c r="G3042" i="10"/>
  <c r="G2768" i="10"/>
  <c r="G3271" i="10"/>
  <c r="G3106" i="10"/>
  <c r="G3045" i="10"/>
  <c r="G1884" i="10"/>
  <c r="G1689" i="10"/>
  <c r="G2931" i="10"/>
  <c r="G2426" i="10"/>
  <c r="G2634" i="10"/>
  <c r="G2837" i="10"/>
  <c r="G2184" i="10"/>
  <c r="G2826" i="10"/>
  <c r="G2702" i="10"/>
  <c r="G2108" i="10"/>
  <c r="G2159" i="10"/>
  <c r="G2457" i="10"/>
  <c r="G3048" i="10"/>
  <c r="G1531" i="10"/>
  <c r="G3102" i="10"/>
  <c r="G2513" i="10"/>
  <c r="G2867" i="10"/>
  <c r="G2022" i="10"/>
  <c r="G2665" i="10"/>
  <c r="G2596" i="10"/>
  <c r="G3323" i="10"/>
  <c r="G2664" i="10"/>
  <c r="G2671" i="10"/>
  <c r="G3258" i="10"/>
  <c r="G2637" i="10"/>
  <c r="G1626" i="10"/>
  <c r="G3342" i="10"/>
  <c r="G3263" i="10"/>
  <c r="G2841" i="10"/>
  <c r="G2535" i="10"/>
  <c r="G3032" i="10"/>
  <c r="G2527" i="10"/>
  <c r="G2698" i="10"/>
  <c r="G3250" i="10"/>
  <c r="G2561" i="10"/>
  <c r="G3058" i="10"/>
  <c r="G2678" i="10"/>
  <c r="G1559" i="10"/>
  <c r="G2857" i="10"/>
  <c r="G2643" i="10"/>
  <c r="G2704" i="10"/>
  <c r="G3007" i="10"/>
  <c r="G3193" i="10"/>
  <c r="G3111" i="10"/>
  <c r="G1957" i="10"/>
  <c r="G2723" i="10"/>
  <c r="G3140" i="10"/>
  <c r="G2654" i="10"/>
  <c r="G3207" i="10"/>
  <c r="G2906" i="10"/>
  <c r="G3295" i="10"/>
  <c r="G1943" i="10"/>
  <c r="G2713" i="10"/>
  <c r="G3239" i="10"/>
  <c r="G2721" i="10"/>
  <c r="G1918" i="10"/>
  <c r="G2346" i="10"/>
  <c r="G2667" i="10"/>
  <c r="G2004" i="10"/>
  <c r="G1841" i="10"/>
  <c r="G3237" i="10"/>
  <c r="G3375" i="10"/>
  <c r="G2573" i="10"/>
  <c r="G3248" i="10"/>
  <c r="G3201" i="10"/>
  <c r="G2895" i="10"/>
  <c r="G2624" i="10"/>
  <c r="G3187" i="10"/>
  <c r="G1938" i="10"/>
  <c r="G3053" i="10"/>
  <c r="G3021" i="10"/>
  <c r="G2691" i="10"/>
  <c r="G1966" i="10"/>
  <c r="G3099" i="10"/>
  <c r="G1740" i="10"/>
  <c r="G2761" i="10"/>
  <c r="G2253" i="10"/>
  <c r="G2828" i="10"/>
  <c r="G1959" i="10"/>
  <c r="G3268" i="10"/>
  <c r="G2503" i="10"/>
  <c r="G2345" i="10"/>
  <c r="G2625" i="10"/>
  <c r="G3294" i="10"/>
  <c r="G2505" i="10"/>
  <c r="G2600" i="10"/>
  <c r="G2593" i="10"/>
  <c r="G2220" i="10"/>
  <c r="G2908" i="10"/>
  <c r="G3040" i="10"/>
  <c r="G1937" i="10"/>
  <c r="G2279" i="10"/>
  <c r="G2356" i="10"/>
  <c r="G2127" i="10"/>
  <c r="G2595" i="10"/>
  <c r="G2797" i="10"/>
  <c r="G2351" i="10"/>
  <c r="G1397" i="10"/>
  <c r="G1795" i="10"/>
  <c r="G3093" i="10"/>
  <c r="G2516" i="10"/>
  <c r="G3009" i="10"/>
  <c r="G3382" i="10"/>
  <c r="G2028" i="10"/>
  <c r="G3051" i="10"/>
  <c r="G3205" i="10"/>
  <c r="G3060" i="10"/>
  <c r="G3146" i="10"/>
  <c r="G1673" i="10"/>
  <c r="G2810" i="10"/>
  <c r="G3370" i="10"/>
  <c r="G3299" i="10"/>
  <c r="G2481" i="10"/>
  <c r="G2182" i="10"/>
  <c r="G2619" i="10"/>
  <c r="G3351" i="10"/>
  <c r="G2938" i="10"/>
  <c r="G2479" i="10"/>
  <c r="G2297" i="10"/>
  <c r="G3267" i="10"/>
  <c r="G2512" i="10"/>
  <c r="G3159" i="10"/>
  <c r="G2470" i="10"/>
  <c r="G2991" i="10"/>
  <c r="G2816" i="10"/>
  <c r="G2684" i="10"/>
  <c r="G2672" i="10"/>
  <c r="G2153" i="10"/>
  <c r="G993" i="10"/>
  <c r="G3172" i="10"/>
  <c r="G2543" i="10"/>
  <c r="G3016" i="10"/>
  <c r="G2854" i="10"/>
  <c r="G3162" i="10"/>
  <c r="G2681" i="10"/>
  <c r="G2870" i="10"/>
  <c r="G3311" i="10"/>
  <c r="G2787" i="10"/>
  <c r="G3200" i="10"/>
  <c r="G1434" i="10"/>
  <c r="G3131" i="10"/>
  <c r="G2215" i="10"/>
  <c r="G2429" i="10"/>
  <c r="G2871" i="10"/>
  <c r="G3322" i="10"/>
  <c r="G2917" i="10"/>
  <c r="G2818" i="10"/>
  <c r="G2336" i="10"/>
  <c r="G3243" i="10"/>
  <c r="G2445" i="10"/>
  <c r="G2214" i="10"/>
  <c r="G3178" i="10"/>
  <c r="G2515" i="10"/>
  <c r="G3196" i="10"/>
  <c r="G3052" i="10"/>
  <c r="G2661" i="10"/>
  <c r="G2762" i="10"/>
  <c r="G3344" i="10"/>
  <c r="G2344" i="10"/>
  <c r="G3287" i="10"/>
  <c r="G2765" i="10"/>
  <c r="G2406" i="10"/>
  <c r="G1266" i="10"/>
  <c r="G2965" i="10"/>
  <c r="G2343" i="10"/>
  <c r="G3087" i="10"/>
  <c r="G3176" i="10"/>
  <c r="G2380" i="10"/>
  <c r="G2398" i="10"/>
  <c r="G2410" i="10"/>
  <c r="G2950" i="10"/>
  <c r="G3085" i="10"/>
  <c r="G2082" i="10"/>
  <c r="G2448" i="10"/>
  <c r="G1769" i="10"/>
  <c r="G3224" i="10"/>
  <c r="G2873" i="10"/>
  <c r="G3350" i="10"/>
  <c r="G2438" i="10"/>
  <c r="G2441" i="10"/>
  <c r="G2830" i="10"/>
  <c r="G3145" i="10"/>
  <c r="G1855" i="10"/>
  <c r="G2748" i="10"/>
  <c r="G2271" i="10"/>
  <c r="G2244" i="10"/>
  <c r="G3186" i="10"/>
  <c r="G3372" i="10"/>
  <c r="G2411" i="10"/>
  <c r="G2878" i="10"/>
  <c r="G2943" i="10"/>
  <c r="G1053" i="10"/>
  <c r="G3252" i="10"/>
  <c r="G2583" i="10"/>
  <c r="G2062" i="10"/>
  <c r="G2514" i="10"/>
  <c r="G1622" i="10"/>
  <c r="G2893" i="10"/>
  <c r="G1976" i="10"/>
  <c r="G2897" i="10"/>
  <c r="G2778" i="10"/>
  <c r="G2011" i="10"/>
  <c r="G2248" i="10"/>
  <c r="G2676" i="10"/>
  <c r="G3366" i="10"/>
  <c r="G2554" i="10"/>
  <c r="G3367" i="10"/>
  <c r="G2440" i="10"/>
  <c r="G2806" i="10"/>
  <c r="G3015" i="10"/>
  <c r="G2202" i="10"/>
  <c r="G2310" i="10"/>
  <c r="G1448" i="10"/>
  <c r="G1956" i="10"/>
  <c r="G2727" i="10"/>
  <c r="G2847" i="10"/>
  <c r="G3305" i="10"/>
  <c r="G2703" i="10"/>
  <c r="G2881" i="10"/>
  <c r="G3274" i="10"/>
  <c r="G2580" i="10"/>
  <c r="G2647" i="10"/>
  <c r="G1989" i="10"/>
  <c r="G2849" i="10"/>
  <c r="G3282" i="10"/>
  <c r="G3373" i="10"/>
  <c r="G3355" i="10"/>
  <c r="G2792" i="10"/>
  <c r="G1488" i="10"/>
  <c r="G3083" i="10"/>
  <c r="G2823" i="10"/>
  <c r="G1638" i="10"/>
  <c r="G2068" i="10"/>
  <c r="G2502" i="10"/>
  <c r="G3128" i="10"/>
  <c r="G2437" i="10"/>
  <c r="G2805" i="10"/>
  <c r="G2551" i="10"/>
  <c r="G2829" i="10"/>
  <c r="G2775" i="10"/>
  <c r="G1139" i="10"/>
  <c r="G3095" i="10"/>
  <c r="G2907" i="10"/>
  <c r="G1773" i="10"/>
  <c r="G2903" i="10"/>
  <c r="G2533" i="10"/>
  <c r="G2520" i="10"/>
  <c r="G2782" i="10"/>
  <c r="G2606" i="10"/>
  <c r="G3013" i="10"/>
  <c r="G2685" i="10"/>
  <c r="G2529" i="10"/>
  <c r="G3361" i="10"/>
  <c r="G2205" i="10"/>
  <c r="G3219" i="10"/>
  <c r="G3228" i="10"/>
  <c r="G2719" i="10"/>
  <c r="G3154" i="10"/>
  <c r="G3199" i="10"/>
  <c r="G1718" i="10"/>
  <c r="G2872" i="10"/>
  <c r="G1539" i="10"/>
  <c r="G2699" i="10"/>
  <c r="G2199" i="10"/>
  <c r="G2468" i="10"/>
  <c r="G2550" i="10"/>
  <c r="G1990" i="10"/>
  <c r="G3017" i="10"/>
  <c r="G2491" i="10"/>
  <c r="G2581" i="10"/>
  <c r="G1652" i="10"/>
  <c r="G2904" i="10"/>
  <c r="G3371" i="10"/>
  <c r="G2584" i="10"/>
  <c r="G2869" i="10"/>
  <c r="G2201" i="10"/>
  <c r="G2496" i="10"/>
  <c r="G2383" i="10"/>
  <c r="G3100" i="10"/>
  <c r="G3348" i="10"/>
  <c r="G2258" i="10"/>
  <c r="G2190" i="10"/>
  <c r="G2444" i="10"/>
  <c r="G2653" i="10"/>
  <c r="V38" i="9"/>
  <c r="V46" i="9"/>
  <c r="F12" i="3" l="1"/>
  <c r="F2062" i="10"/>
  <c r="F3343" i="10"/>
  <c r="F335" i="10"/>
  <c r="F2584" i="10"/>
  <c r="F1539" i="10"/>
  <c r="F3013" i="10"/>
  <c r="F2551" i="10"/>
  <c r="F3373" i="10"/>
  <c r="F1956" i="10"/>
  <c r="F2011" i="10"/>
  <c r="F2878" i="10"/>
  <c r="F3350" i="10"/>
  <c r="F3087" i="10"/>
  <c r="F3196" i="10"/>
  <c r="F2215" i="10"/>
  <c r="F3172" i="10"/>
  <c r="F2479" i="10"/>
  <c r="F3205" i="10"/>
  <c r="F2127" i="10"/>
  <c r="F2345" i="10"/>
  <c r="F3053" i="10"/>
  <c r="F2667" i="10"/>
  <c r="F2723" i="10"/>
  <c r="F3250" i="10"/>
  <c r="F2664" i="10"/>
  <c r="F2108" i="10"/>
  <c r="F3271" i="10"/>
  <c r="F3306" i="10"/>
  <c r="F2616" i="10"/>
  <c r="F1990" i="10"/>
  <c r="F2681" i="10"/>
  <c r="F2770" i="10"/>
  <c r="F2594" i="10"/>
  <c r="F2778" i="10"/>
  <c r="F2938" i="10"/>
  <c r="F1938" i="10"/>
  <c r="F1957" i="10"/>
  <c r="F2698" i="10"/>
  <c r="F3323" i="10"/>
  <c r="F2702" i="10"/>
  <c r="F2768" i="10"/>
  <c r="F2753" i="10"/>
  <c r="F3149" i="10"/>
  <c r="F2572" i="10"/>
  <c r="F2901" i="10"/>
  <c r="F3170" i="10"/>
  <c r="F2531" i="10"/>
  <c r="F2980" i="10"/>
  <c r="F3165" i="10"/>
  <c r="F2476" i="10"/>
  <c r="F2945" i="10"/>
  <c r="F1855" i="10"/>
  <c r="F2857" i="10"/>
  <c r="F3332" i="10"/>
  <c r="F3077" i="10"/>
  <c r="F2606" i="10"/>
  <c r="F2411" i="10"/>
  <c r="F2310" i="10"/>
  <c r="F2965" i="10"/>
  <c r="F2153" i="10"/>
  <c r="F3351" i="10"/>
  <c r="F2028" i="10"/>
  <c r="F2279" i="10"/>
  <c r="F3268" i="10"/>
  <c r="F3187" i="10"/>
  <c r="F1918" i="10"/>
  <c r="F3111" i="10"/>
  <c r="F2527" i="10"/>
  <c r="F2596" i="10"/>
  <c r="F2826" i="10"/>
  <c r="F3042" i="10"/>
  <c r="F2776" i="10"/>
  <c r="F1127" i="10"/>
  <c r="F2881" i="10"/>
  <c r="F3370" i="10"/>
  <c r="F3102" i="10"/>
  <c r="F2646" i="10"/>
  <c r="F3108" i="10"/>
  <c r="F2892" i="10"/>
  <c r="F3282" i="10"/>
  <c r="F2515" i="10"/>
  <c r="F3051" i="10"/>
  <c r="F1718" i="10"/>
  <c r="F3372" i="10"/>
  <c r="F2520" i="10"/>
  <c r="F2202" i="10"/>
  <c r="F1976" i="10"/>
  <c r="F3186" i="10"/>
  <c r="F1769" i="10"/>
  <c r="F1266" i="10"/>
  <c r="F2214" i="10"/>
  <c r="F3200" i="10"/>
  <c r="F2672" i="10"/>
  <c r="F2619" i="10"/>
  <c r="F3382" i="10"/>
  <c r="F1937" i="10"/>
  <c r="F1959" i="10"/>
  <c r="F2624" i="10"/>
  <c r="F2721" i="10"/>
  <c r="F3193" i="10"/>
  <c r="F3032" i="10"/>
  <c r="F2665" i="10"/>
  <c r="F2184" i="10"/>
  <c r="F2890" i="10"/>
  <c r="F2757" i="10"/>
  <c r="F2081" i="10"/>
  <c r="F2823" i="10"/>
  <c r="F2470" i="10"/>
  <c r="F3342" i="10"/>
  <c r="F2822" i="10"/>
  <c r="F2807" i="10"/>
  <c r="F1685" i="10"/>
  <c r="F1562" i="10"/>
  <c r="F2872" i="10"/>
  <c r="F2343" i="10"/>
  <c r="F2346" i="10"/>
  <c r="F2904" i="10"/>
  <c r="F2849" i="10"/>
  <c r="F3224" i="10"/>
  <c r="F2444" i="10"/>
  <c r="F3199" i="10"/>
  <c r="F3154" i="10"/>
  <c r="F2502" i="10"/>
  <c r="F2647" i="10"/>
  <c r="F3015" i="10"/>
  <c r="F2893" i="10"/>
  <c r="F2244" i="10"/>
  <c r="F2448" i="10"/>
  <c r="F2406" i="10"/>
  <c r="F2445" i="10"/>
  <c r="F2787" i="10"/>
  <c r="F2684" i="10"/>
  <c r="F2182" i="10"/>
  <c r="F3009" i="10"/>
  <c r="F3040" i="10"/>
  <c r="F2828" i="10"/>
  <c r="F2895" i="10"/>
  <c r="F3239" i="10"/>
  <c r="F3007" i="10"/>
  <c r="F2535" i="10"/>
  <c r="F2022" i="10"/>
  <c r="F2837" i="10"/>
  <c r="F2536" i="10"/>
  <c r="F2696" i="10"/>
  <c r="F1123" i="10"/>
  <c r="F1575" i="10"/>
  <c r="F3219" i="10"/>
  <c r="F2818" i="10"/>
  <c r="F3295" i="10"/>
  <c r="F2586" i="10"/>
  <c r="F2416" i="10"/>
  <c r="F2363" i="10"/>
  <c r="F2701" i="10"/>
  <c r="F2805" i="10"/>
  <c r="F2873" i="10"/>
  <c r="F993" i="10"/>
  <c r="F2503" i="10"/>
  <c r="F2653" i="10"/>
  <c r="F2782" i="10"/>
  <c r="F2897" i="10"/>
  <c r="F3178" i="10"/>
  <c r="F1652" i="10"/>
  <c r="F1989" i="10"/>
  <c r="F2719" i="10"/>
  <c r="F2580" i="10"/>
  <c r="F1622" i="10"/>
  <c r="F2271" i="10"/>
  <c r="F2082" i="10"/>
  <c r="F2765" i="10"/>
  <c r="F3243" i="10"/>
  <c r="F3311" i="10"/>
  <c r="F2816" i="10"/>
  <c r="F2481" i="10"/>
  <c r="F2516" i="10"/>
  <c r="F2908" i="10"/>
  <c r="F2253" i="10"/>
  <c r="F3201" i="10"/>
  <c r="F2713" i="10"/>
  <c r="F2704" i="10"/>
  <c r="F2841" i="10"/>
  <c r="F2867" i="10"/>
  <c r="F2634" i="10"/>
  <c r="F2789" i="10"/>
  <c r="F3230" i="10"/>
  <c r="F2574" i="10"/>
  <c r="F3367" i="10"/>
  <c r="F1795" i="10"/>
  <c r="F2931" i="10"/>
  <c r="F2488" i="10"/>
  <c r="F2666" i="10"/>
  <c r="F2329" i="10"/>
  <c r="F3371" i="10"/>
  <c r="F1448" i="10"/>
  <c r="F3131" i="10"/>
  <c r="F2356" i="10"/>
  <c r="F2437" i="10"/>
  <c r="F1434" i="10"/>
  <c r="F3128" i="10"/>
  <c r="F2190" i="10"/>
  <c r="F2581" i="10"/>
  <c r="F2533" i="10"/>
  <c r="F2258" i="10"/>
  <c r="F2491" i="10"/>
  <c r="F2903" i="10"/>
  <c r="F2068" i="10"/>
  <c r="F2806" i="10"/>
  <c r="F3348" i="10"/>
  <c r="F3017" i="10"/>
  <c r="F3228" i="10"/>
  <c r="F1773" i="10"/>
  <c r="F1638" i="10"/>
  <c r="F3274" i="10"/>
  <c r="F2440" i="10"/>
  <c r="F2514" i="10"/>
  <c r="F2748" i="10"/>
  <c r="F3085" i="10"/>
  <c r="F3287" i="10"/>
  <c r="F2336" i="10"/>
  <c r="F2870" i="10"/>
  <c r="F2991" i="10"/>
  <c r="F3299" i="10"/>
  <c r="F3093" i="10"/>
  <c r="F2220" i="10"/>
  <c r="F2761" i="10"/>
  <c r="F3248" i="10"/>
  <c r="F1943" i="10"/>
  <c r="F2643" i="10"/>
  <c r="F3263" i="10"/>
  <c r="F2513" i="10"/>
  <c r="F2426" i="10"/>
  <c r="F3310" i="10"/>
  <c r="F2905" i="10"/>
  <c r="F3216" i="10"/>
  <c r="F3124" i="10"/>
  <c r="F2907" i="10"/>
  <c r="F2593" i="10"/>
  <c r="F3125" i="10"/>
  <c r="F2880" i="10"/>
  <c r="F2864" i="10"/>
  <c r="F3197" i="10"/>
  <c r="F2911" i="10"/>
  <c r="F3330" i="10"/>
  <c r="F2278" i="10"/>
  <c r="F2136" i="10"/>
  <c r="F3116" i="10"/>
  <c r="F3180" i="10"/>
  <c r="F2123" i="10"/>
  <c r="F2851" i="10"/>
  <c r="F2655" i="10"/>
  <c r="F1806" i="10"/>
  <c r="F2796" i="10"/>
  <c r="F2798" i="10"/>
  <c r="F2918" i="10"/>
  <c r="F2548" i="10"/>
  <c r="F3161" i="10"/>
  <c r="F2268" i="10"/>
  <c r="F3331" i="10"/>
  <c r="F2402" i="10"/>
  <c r="F1463" i="10"/>
  <c r="F3356" i="10"/>
  <c r="F3302" i="10"/>
  <c r="F1948" i="10"/>
  <c r="F3118" i="10"/>
  <c r="F2802" i="10"/>
  <c r="F1433" i="10"/>
  <c r="F2015" i="10"/>
  <c r="F3112" i="10"/>
  <c r="F2101" i="10"/>
  <c r="F2720" i="10"/>
  <c r="F2240" i="10"/>
  <c r="F3227" i="10"/>
  <c r="F13" i="10"/>
  <c r="F2983" i="10"/>
  <c r="F2304" i="10"/>
  <c r="F1462" i="10"/>
  <c r="F1387" i="10"/>
  <c r="F2695" i="10"/>
  <c r="F3278" i="10"/>
  <c r="F1260" i="10"/>
  <c r="F1775" i="10"/>
  <c r="F2573" i="10"/>
  <c r="F1744" i="10"/>
  <c r="F2549" i="10"/>
  <c r="F2554" i="10"/>
  <c r="F1559" i="10"/>
  <c r="F2206" i="10"/>
  <c r="F1031" i="10"/>
  <c r="F2383" i="10"/>
  <c r="F2550" i="10"/>
  <c r="F2205" i="10"/>
  <c r="F3095" i="10"/>
  <c r="F3083" i="10"/>
  <c r="F2703" i="10"/>
  <c r="F2583" i="10"/>
  <c r="F3145" i="10"/>
  <c r="F2410" i="10"/>
  <c r="F3344" i="10"/>
  <c r="F2917" i="10"/>
  <c r="F3162" i="10"/>
  <c r="F3159" i="10"/>
  <c r="F2810" i="10"/>
  <c r="F1397" i="10"/>
  <c r="F2600" i="10"/>
  <c r="F3099" i="10"/>
  <c r="F2344" i="10"/>
  <c r="F3043" i="10"/>
  <c r="F2483" i="10"/>
  <c r="F2283" i="10"/>
  <c r="F2201" i="10"/>
  <c r="F2199" i="10"/>
  <c r="F2529" i="10"/>
  <c r="F2775" i="10"/>
  <c r="F2792" i="10"/>
  <c r="F2847" i="10"/>
  <c r="F2676" i="10"/>
  <c r="F1053" i="10"/>
  <c r="F2441" i="10"/>
  <c r="F2380" i="10"/>
  <c r="F2661" i="10"/>
  <c r="F2871" i="10"/>
  <c r="F3016" i="10"/>
  <c r="F3267" i="10"/>
  <c r="F3146" i="10"/>
  <c r="F2797" i="10"/>
  <c r="F3294" i="10"/>
  <c r="F2691" i="10"/>
  <c r="F1841" i="10"/>
  <c r="F2654" i="10"/>
  <c r="F3058" i="10"/>
  <c r="F3258" i="10"/>
  <c r="F2457" i="10"/>
  <c r="F3045" i="10"/>
  <c r="F2773" i="10"/>
  <c r="F1042" i="10"/>
  <c r="F3213" i="10"/>
  <c r="F3100" i="10"/>
  <c r="F2950" i="10"/>
  <c r="F1740" i="10"/>
  <c r="F3181" i="10"/>
  <c r="F2705" i="10"/>
  <c r="F2355" i="10"/>
  <c r="F2869" i="10"/>
  <c r="F2699" i="10"/>
  <c r="F2685" i="10"/>
  <c r="F2829" i="10"/>
  <c r="F3355" i="10"/>
  <c r="F2727" i="10"/>
  <c r="F2248" i="10"/>
  <c r="F2943" i="10"/>
  <c r="F2438" i="10"/>
  <c r="F3176" i="10"/>
  <c r="F3052" i="10"/>
  <c r="F2429" i="10"/>
  <c r="F2543" i="10"/>
  <c r="F2297" i="10"/>
  <c r="F3060" i="10"/>
  <c r="F2595" i="10"/>
  <c r="F2625" i="10"/>
  <c r="F3021" i="10"/>
  <c r="F2004" i="10"/>
  <c r="F3140" i="10"/>
  <c r="F2561" i="10"/>
  <c r="F2671" i="10"/>
  <c r="F2159" i="10"/>
  <c r="F3106" i="10"/>
  <c r="F3174" i="10"/>
  <c r="F2528" i="10"/>
  <c r="F2446" i="10"/>
  <c r="F2627" i="10"/>
  <c r="F2449" i="10"/>
  <c r="F2385" i="10"/>
  <c r="F3010" i="10"/>
  <c r="F3185" i="10"/>
  <c r="F2834" i="10"/>
  <c r="F2087" i="10"/>
  <c r="F3209" i="10"/>
  <c r="F2941" i="10"/>
  <c r="F2140" i="10"/>
  <c r="F2846" i="10"/>
  <c r="F3066" i="10"/>
  <c r="F3336" i="10"/>
  <c r="F2981" i="10"/>
  <c r="F3031" i="10"/>
  <c r="F2134" i="10"/>
  <c r="F2563" i="10"/>
  <c r="F3245" i="10"/>
  <c r="F2003" i="10"/>
  <c r="F2147" i="10"/>
  <c r="F3024" i="10"/>
  <c r="F3260" i="10"/>
  <c r="F3156" i="10"/>
  <c r="F3164" i="10"/>
  <c r="F3381" i="10"/>
  <c r="F2781" i="10"/>
  <c r="F2645" i="10"/>
  <c r="F2939" i="10"/>
  <c r="F3057" i="10"/>
  <c r="F3329" i="10"/>
  <c r="F2371" i="10"/>
  <c r="F2910" i="10"/>
  <c r="F2490" i="10"/>
  <c r="F2964" i="10"/>
  <c r="F2915" i="10"/>
  <c r="F2751" i="10"/>
  <c r="F2730" i="10"/>
  <c r="F1736" i="10"/>
  <c r="F1344" i="10"/>
  <c r="F3240" i="10"/>
  <c r="F1485" i="10"/>
  <c r="F2569" i="10"/>
  <c r="F3301" i="10"/>
  <c r="F662" i="10"/>
  <c r="F3376" i="10"/>
  <c r="F2966" i="10"/>
  <c r="F1560" i="10"/>
  <c r="F2368" i="10"/>
  <c r="F3046" i="10"/>
  <c r="F2780" i="10"/>
  <c r="F2404" i="10"/>
  <c r="F3275" i="10"/>
  <c r="F2469" i="10"/>
  <c r="F2564" i="10"/>
  <c r="F2978" i="10"/>
  <c r="F3182" i="10"/>
  <c r="F2976" i="10"/>
  <c r="F1188" i="10"/>
  <c r="F2456" i="10"/>
  <c r="F2252" i="10"/>
  <c r="F815" i="10"/>
  <c r="F1065" i="10"/>
  <c r="F3232" i="10"/>
  <c r="F884" i="10"/>
  <c r="F3163" i="10"/>
  <c r="F3137" i="10"/>
  <c r="F367" i="10"/>
  <c r="F2523" i="10"/>
  <c r="F3063" i="10"/>
  <c r="F1153" i="10"/>
  <c r="F2187" i="10"/>
  <c r="F1603" i="10"/>
  <c r="F2012" i="10"/>
  <c r="F1279" i="10"/>
  <c r="F1407" i="10"/>
  <c r="F3298" i="10"/>
  <c r="F1147" i="10"/>
  <c r="F2017" i="10"/>
  <c r="F2324" i="10"/>
  <c r="F3096" i="10"/>
  <c r="F455" i="10"/>
  <c r="F915" i="10"/>
  <c r="F1469" i="10"/>
  <c r="F3223" i="10"/>
  <c r="F2518" i="10"/>
  <c r="F1995" i="10"/>
  <c r="F1732" i="10"/>
  <c r="F1756" i="10"/>
  <c r="F1834" i="10"/>
  <c r="F588" i="10"/>
  <c r="F1006" i="10"/>
  <c r="F2942" i="10"/>
  <c r="F1193" i="10"/>
  <c r="F1235" i="10"/>
  <c r="F1892" i="10"/>
  <c r="F723" i="10"/>
  <c r="F2607" i="10"/>
  <c r="F420" i="10"/>
  <c r="F1540" i="10"/>
  <c r="F2083" i="10"/>
  <c r="F2286" i="10"/>
  <c r="F2381" i="10"/>
  <c r="F1761" i="10"/>
  <c r="F3000" i="10"/>
  <c r="F2423" i="10"/>
  <c r="F1805" i="10"/>
  <c r="F2086" i="10"/>
  <c r="F2032" i="10"/>
  <c r="F1940" i="10"/>
  <c r="F1155" i="10"/>
  <c r="F1363" i="10"/>
  <c r="F1810" i="10"/>
  <c r="F1580" i="10"/>
  <c r="F1476" i="10"/>
  <c r="F2414" i="10"/>
  <c r="F2071" i="10"/>
  <c r="F389" i="10"/>
  <c r="F910" i="10"/>
  <c r="F2104" i="10"/>
  <c r="F3236" i="10"/>
  <c r="F1543" i="10"/>
  <c r="F2138" i="10"/>
  <c r="F903" i="10"/>
  <c r="F1487" i="10"/>
  <c r="F1788" i="10"/>
  <c r="F2750" i="10"/>
  <c r="F1041" i="10"/>
  <c r="F2273" i="10"/>
  <c r="F2957" i="10"/>
  <c r="F1893" i="10"/>
  <c r="F1245" i="10"/>
  <c r="F1244" i="10"/>
  <c r="F2084" i="10"/>
  <c r="F2485" i="10"/>
  <c r="F1090" i="10"/>
  <c r="F3022" i="10"/>
  <c r="F1187" i="10"/>
  <c r="F3283" i="10"/>
  <c r="F1330" i="10"/>
  <c r="F1273" i="10"/>
  <c r="F2168" i="10"/>
  <c r="F448" i="10"/>
  <c r="F1779" i="10"/>
  <c r="F1486" i="10"/>
  <c r="F2389" i="10"/>
  <c r="F1146" i="10"/>
  <c r="F1225" i="10"/>
  <c r="F1579" i="10"/>
  <c r="F654" i="10"/>
  <c r="F1686" i="10"/>
  <c r="F1589" i="10"/>
  <c r="F244" i="10"/>
  <c r="F1715" i="10"/>
  <c r="F1590" i="10"/>
  <c r="F1231" i="10"/>
  <c r="F643" i="10"/>
  <c r="F25" i="10"/>
  <c r="F319" i="10"/>
  <c r="F979" i="10"/>
  <c r="F822" i="10"/>
  <c r="F963" i="10"/>
  <c r="F769" i="10"/>
  <c r="F1203" i="10"/>
  <c r="F694" i="10"/>
  <c r="F991" i="10"/>
  <c r="F2218" i="10"/>
  <c r="F70" i="10"/>
  <c r="F213" i="10"/>
  <c r="F1709" i="10"/>
  <c r="F390" i="10"/>
  <c r="F713" i="10"/>
  <c r="F641" i="10"/>
  <c r="F622" i="10"/>
  <c r="F814" i="10"/>
  <c r="F1648" i="10"/>
  <c r="F219" i="10"/>
  <c r="F972" i="10"/>
  <c r="F1613" i="10"/>
  <c r="F1119" i="10"/>
  <c r="F587" i="10"/>
  <c r="F19" i="10"/>
  <c r="F394" i="10"/>
  <c r="F27" i="10"/>
  <c r="F1289" i="10"/>
  <c r="F2137" i="10"/>
  <c r="F253" i="10"/>
  <c r="F1858" i="10"/>
  <c r="F1088" i="10"/>
  <c r="F673" i="10"/>
  <c r="F247" i="10"/>
  <c r="F2080" i="10"/>
  <c r="F697" i="10"/>
  <c r="F491" i="10"/>
  <c r="F313" i="10"/>
  <c r="F190" i="10"/>
  <c r="F1585" i="10"/>
  <c r="F466" i="10"/>
  <c r="F997" i="10"/>
  <c r="F1295" i="10"/>
  <c r="F251" i="10"/>
  <c r="F2289" i="10"/>
  <c r="F629" i="10"/>
  <c r="E629" i="10" s="1" a="1"/>
  <c r="E629" i="10" s="1"/>
  <c r="C629" i="10" s="1"/>
  <c r="F2047" i="10"/>
  <c r="F1514" i="10"/>
  <c r="F1077" i="10"/>
  <c r="F1094" i="10"/>
  <c r="F1706" i="10"/>
  <c r="F1016" i="10"/>
  <c r="F1417" i="10"/>
  <c r="F467" i="10"/>
  <c r="F940" i="10"/>
  <c r="F956" i="10"/>
  <c r="F266" i="10"/>
  <c r="F141" i="10"/>
  <c r="F632" i="10"/>
  <c r="F450" i="10"/>
  <c r="F1022" i="10"/>
  <c r="F287" i="10"/>
  <c r="F1247" i="10"/>
  <c r="F391" i="10"/>
  <c r="F1039" i="10"/>
  <c r="F1608" i="10"/>
  <c r="F1969" i="10"/>
  <c r="F110" i="10"/>
  <c r="F1807" i="10"/>
  <c r="F479" i="10"/>
  <c r="F1771" i="10"/>
  <c r="F64" i="10"/>
  <c r="F2249" i="10"/>
  <c r="F89" i="10"/>
  <c r="F686" i="10"/>
  <c r="F312" i="10"/>
  <c r="F437" i="10"/>
  <c r="F1057" i="10"/>
  <c r="F326" i="10"/>
  <c r="F1354" i="10"/>
  <c r="F992" i="10"/>
  <c r="F954" i="10"/>
  <c r="F1055" i="10"/>
  <c r="F206" i="10"/>
  <c r="F1068" i="10"/>
  <c r="F530" i="10"/>
  <c r="F617" i="10"/>
  <c r="F1084" i="10"/>
  <c r="F1552" i="10"/>
  <c r="F435" i="10"/>
  <c r="F573" i="10"/>
  <c r="F387" i="10"/>
  <c r="F71" i="10"/>
  <c r="F363" i="10"/>
  <c r="F229" i="10"/>
  <c r="F103" i="10"/>
  <c r="F1281" i="10"/>
  <c r="F2375" i="10"/>
  <c r="F2519" i="10"/>
  <c r="F2860" i="10"/>
  <c r="F2415" i="10"/>
  <c r="F2057" i="10"/>
  <c r="F3068" i="10"/>
  <c r="F2042" i="10"/>
  <c r="F2530" i="10"/>
  <c r="F2913" i="10"/>
  <c r="F2709" i="10"/>
  <c r="F2986" i="10"/>
  <c r="F2815" i="10"/>
  <c r="F2408" i="10"/>
  <c r="F2585" i="10"/>
  <c r="F3285" i="10"/>
  <c r="F3293" i="10"/>
  <c r="F2338" i="10"/>
  <c r="F2660" i="10"/>
  <c r="F3289" i="10"/>
  <c r="F3074" i="10"/>
  <c r="F3061" i="10"/>
  <c r="F2862" i="10"/>
  <c r="F2882" i="10"/>
  <c r="F2298" i="10"/>
  <c r="F1726" i="10"/>
  <c r="F3090" i="10"/>
  <c r="F2451" i="10"/>
  <c r="F2191" i="10"/>
  <c r="F2196" i="10"/>
  <c r="F1854" i="10"/>
  <c r="F2591" i="10"/>
  <c r="F2725" i="10"/>
  <c r="F1665" i="10"/>
  <c r="F3255" i="10"/>
  <c r="F3059" i="10"/>
  <c r="F1133" i="10"/>
  <c r="F2657" i="10"/>
  <c r="F2933" i="10"/>
  <c r="F3241" i="10"/>
  <c r="F1556" i="10"/>
  <c r="F2930" i="10"/>
  <c r="F2224" i="10"/>
  <c r="F2875" i="10"/>
  <c r="F3008" i="10"/>
  <c r="F2094" i="10"/>
  <c r="F2714" i="10"/>
  <c r="F2988" i="10"/>
  <c r="F3055" i="10"/>
  <c r="F3168" i="10"/>
  <c r="F1410" i="10"/>
  <c r="F2544" i="10"/>
  <c r="F2478" i="10"/>
  <c r="F737" i="10"/>
  <c r="F2061" i="10"/>
  <c r="F3262" i="10"/>
  <c r="F1722" i="10"/>
  <c r="F2499" i="10"/>
  <c r="F1628" i="10"/>
  <c r="F2284" i="10"/>
  <c r="F2601" i="10"/>
  <c r="F3307" i="10"/>
  <c r="F984" i="10"/>
  <c r="F2472" i="10"/>
  <c r="F2142" i="10"/>
  <c r="F1873" i="10"/>
  <c r="F760" i="10"/>
  <c r="F2331" i="10"/>
  <c r="F3349" i="10"/>
  <c r="F2154" i="10"/>
  <c r="F1759" i="10"/>
  <c r="F2019" i="10"/>
  <c r="F2477" i="10"/>
  <c r="F1900" i="10"/>
  <c r="F2144" i="10"/>
  <c r="F841" i="10"/>
  <c r="F2632" i="10"/>
  <c r="F2738" i="10"/>
  <c r="F1035" i="10"/>
  <c r="F799" i="10"/>
  <c r="F1692" i="10"/>
  <c r="F2946" i="10"/>
  <c r="F2330" i="10"/>
  <c r="F1467" i="10"/>
  <c r="F2105" i="10"/>
  <c r="F2487" i="10"/>
  <c r="F2598" i="10"/>
  <c r="F1246" i="10"/>
  <c r="F2342" i="10"/>
  <c r="F3150" i="10"/>
  <c r="F1912" i="10"/>
  <c r="F1156" i="10"/>
  <c r="F1743" i="10"/>
  <c r="F2277" i="10"/>
  <c r="F1284" i="10"/>
  <c r="F1249" i="10"/>
  <c r="F1150" i="10"/>
  <c r="F2985" i="10"/>
  <c r="F486" i="10"/>
  <c r="F1661" i="10"/>
  <c r="F1766" i="10"/>
  <c r="F2118" i="10"/>
  <c r="F2074" i="10"/>
  <c r="F685" i="10"/>
  <c r="F1874" i="10"/>
  <c r="F1781" i="10"/>
  <c r="F1844" i="10"/>
  <c r="F1466" i="10"/>
  <c r="F1700" i="10"/>
  <c r="F2194" i="10"/>
  <c r="F1842" i="10"/>
  <c r="F1999" i="10"/>
  <c r="F3079" i="10"/>
  <c r="F1832" i="10"/>
  <c r="F1450" i="10"/>
  <c r="F2124" i="10"/>
  <c r="F2932" i="10"/>
  <c r="F896" i="10"/>
  <c r="F2982" i="10"/>
  <c r="F1557" i="10"/>
  <c r="F1201" i="10"/>
  <c r="F2076" i="10"/>
  <c r="F159" i="10"/>
  <c r="F2790" i="10"/>
  <c r="F2339" i="10"/>
  <c r="F2977" i="10"/>
  <c r="F2292" i="10"/>
  <c r="F2120" i="10"/>
  <c r="F1468" i="10"/>
  <c r="F909" i="10"/>
  <c r="F2132" i="10"/>
  <c r="F1437" i="10"/>
  <c r="F2204" i="10"/>
  <c r="F2321" i="10"/>
  <c r="F1711" i="10"/>
  <c r="F597" i="10"/>
  <c r="F498" i="10"/>
  <c r="F983" i="10"/>
  <c r="F712" i="10"/>
  <c r="F1677" i="10"/>
  <c r="F1697" i="10"/>
  <c r="F311" i="10"/>
  <c r="F648" i="10"/>
  <c r="F2850" i="10"/>
  <c r="F957" i="10"/>
  <c r="F2155" i="10"/>
  <c r="F1727" i="10"/>
  <c r="F1536" i="10"/>
  <c r="F221" i="10"/>
  <c r="F1856" i="10"/>
  <c r="F581" i="10"/>
  <c r="F1521" i="10"/>
  <c r="F380" i="10"/>
  <c r="F1213" i="10"/>
  <c r="F945" i="10"/>
  <c r="F1082" i="10"/>
  <c r="F1314" i="10"/>
  <c r="F274" i="10"/>
  <c r="F515" i="10"/>
  <c r="F1930" i="10"/>
  <c r="F1118" i="10"/>
  <c r="F1388" i="10"/>
  <c r="F1381" i="10"/>
  <c r="F1253" i="10"/>
  <c r="F862" i="10"/>
  <c r="F873" i="10"/>
  <c r="F782" i="10"/>
  <c r="F578" i="10"/>
  <c r="F392" i="10"/>
  <c r="F1871" i="10"/>
  <c r="F371" i="10"/>
  <c r="F2049" i="10"/>
  <c r="F32" i="10"/>
  <c r="F655" i="10"/>
  <c r="F1696" i="10"/>
  <c r="F346" i="10"/>
  <c r="F51" i="10"/>
  <c r="F780" i="10"/>
  <c r="F801" i="10"/>
  <c r="F79" i="10"/>
  <c r="F382" i="10"/>
  <c r="F792" i="10"/>
  <c r="F1365" i="10"/>
  <c r="F1136" i="10"/>
  <c r="F1126" i="10"/>
  <c r="F1440" i="10"/>
  <c r="F2111" i="10"/>
  <c r="F209" i="10"/>
  <c r="F139" i="10"/>
  <c r="F1142" i="10"/>
  <c r="F86" i="10"/>
  <c r="F350" i="10"/>
  <c r="F1347" i="10"/>
  <c r="F1941" i="10"/>
  <c r="F663" i="10"/>
  <c r="F1471" i="10"/>
  <c r="F1366" i="10"/>
  <c r="F433" i="10"/>
  <c r="F947" i="10"/>
  <c r="F1843" i="10"/>
  <c r="F548" i="10"/>
  <c r="F157" i="10"/>
  <c r="F416" i="10"/>
  <c r="F406" i="10"/>
  <c r="F1707" i="10"/>
  <c r="E1707" i="10" s="1" a="1"/>
  <c r="E1707" i="10" s="1"/>
  <c r="C1707" i="10" s="1"/>
  <c r="F280" i="10"/>
  <c r="F1830" i="10"/>
  <c r="F323" i="10"/>
  <c r="F1654" i="10"/>
  <c r="F1598" i="10"/>
  <c r="F1043" i="10"/>
  <c r="F470" i="10"/>
  <c r="F960" i="10"/>
  <c r="F1549" i="10"/>
  <c r="F886" i="10"/>
  <c r="F1114" i="10"/>
  <c r="F1199" i="10"/>
  <c r="F1412" i="10"/>
  <c r="F40" i="10"/>
  <c r="F1103" i="10"/>
  <c r="F204" i="10"/>
  <c r="F170" i="10"/>
  <c r="F1001" i="10"/>
  <c r="F242" i="10"/>
  <c r="F1075" i="10"/>
  <c r="F779" i="10"/>
  <c r="F563" i="10"/>
  <c r="F512" i="10"/>
  <c r="F932" i="10"/>
  <c r="F1300" i="10"/>
  <c r="F688" i="10"/>
  <c r="F402" i="10"/>
  <c r="F233" i="10"/>
  <c r="F302" i="10"/>
  <c r="F133" i="10"/>
  <c r="F606" i="10"/>
  <c r="F961" i="10"/>
  <c r="F937" i="10"/>
  <c r="F370" i="10"/>
  <c r="F100" i="10"/>
  <c r="F767" i="10"/>
  <c r="F73" i="10"/>
  <c r="F620" i="10"/>
  <c r="F1002" i="10"/>
  <c r="F299" i="10"/>
  <c r="F42" i="10"/>
  <c r="F1215" i="10"/>
  <c r="F726" i="10"/>
  <c r="F2319" i="10"/>
  <c r="F2863" i="10"/>
  <c r="F3144" i="10"/>
  <c r="F3044" i="10"/>
  <c r="F3280" i="10"/>
  <c r="F2737" i="10"/>
  <c r="F2209" i="10"/>
  <c r="F3292" i="10"/>
  <c r="F2733" i="10"/>
  <c r="F2771" i="10"/>
  <c r="F2679" i="10"/>
  <c r="F1782" i="10"/>
  <c r="F2434" i="10"/>
  <c r="F2562" i="10"/>
  <c r="F2024" i="10"/>
  <c r="F2542" i="10"/>
  <c r="F2898" i="10"/>
  <c r="F2232" i="10"/>
  <c r="F3173" i="10"/>
  <c r="F2724" i="10"/>
  <c r="F1356" i="10"/>
  <c r="F2567" i="10"/>
  <c r="F2466" i="10"/>
  <c r="F3379" i="10"/>
  <c r="F1492" i="10"/>
  <c r="F2853" i="10"/>
  <c r="F1602" i="10"/>
  <c r="F2432" i="10"/>
  <c r="F2048" i="10"/>
  <c r="F2340" i="10"/>
  <c r="F3019" i="10"/>
  <c r="F1950" i="10"/>
  <c r="F1728" i="10"/>
  <c r="F2969" i="10"/>
  <c r="F3094" i="10"/>
  <c r="F3300" i="10"/>
  <c r="F2492" i="10"/>
  <c r="F2835" i="10"/>
  <c r="F2631" i="10"/>
  <c r="F2500" i="10"/>
  <c r="F2181" i="10"/>
  <c r="F2409" i="10"/>
  <c r="F3049" i="10"/>
  <c r="F1915" i="10"/>
  <c r="F3281" i="10"/>
  <c r="F3374" i="10"/>
  <c r="F3339" i="10"/>
  <c r="F3114" i="10"/>
  <c r="F2812" i="10"/>
  <c r="F1506" i="10"/>
  <c r="F2690" i="10"/>
  <c r="F1452" i="10"/>
  <c r="F2540" i="10"/>
  <c r="F2858" i="10"/>
  <c r="F1151" i="10"/>
  <c r="F2953" i="10"/>
  <c r="F2334" i="10"/>
  <c r="F1942" i="10"/>
  <c r="F3188" i="10"/>
  <c r="F2418" i="10"/>
  <c r="F1449" i="10"/>
  <c r="F1911" i="10"/>
  <c r="F1597" i="10"/>
  <c r="F3105" i="10"/>
  <c r="F3113" i="10"/>
  <c r="F3064" i="10"/>
  <c r="F1490" i="10"/>
  <c r="F2552" i="10"/>
  <c r="F2495" i="10"/>
  <c r="F1445" i="10"/>
  <c r="F1951" i="10"/>
  <c r="F1483" i="10"/>
  <c r="F3091" i="10"/>
  <c r="F1577" i="10"/>
  <c r="F1446" i="10"/>
  <c r="F2185" i="10"/>
  <c r="F2463" i="10"/>
  <c r="F1081" i="10"/>
  <c r="F1544" i="10"/>
  <c r="F2009" i="10"/>
  <c r="F1496" i="10"/>
  <c r="F1499" i="10"/>
  <c r="F1799" i="10"/>
  <c r="F140" i="10"/>
  <c r="F1309" i="10"/>
  <c r="F1812" i="10"/>
  <c r="F1351" i="10"/>
  <c r="F1317" i="10"/>
  <c r="F2250" i="10"/>
  <c r="F3234" i="10"/>
  <c r="F759" i="10"/>
  <c r="F2066" i="10"/>
  <c r="F690" i="10"/>
  <c r="F2337" i="10"/>
  <c r="F1731" i="10"/>
  <c r="F2023" i="10"/>
  <c r="F2227" i="10"/>
  <c r="F3318" i="10"/>
  <c r="F1464" i="10"/>
  <c r="F2320" i="10"/>
  <c r="F1528" i="10"/>
  <c r="F2070" i="10"/>
  <c r="F619" i="10"/>
  <c r="F1474" i="10"/>
  <c r="F2570" i="10"/>
  <c r="F1980" i="10"/>
  <c r="F2103" i="10"/>
  <c r="F2325" i="10"/>
  <c r="F628" i="10"/>
  <c r="F2592" i="10"/>
  <c r="F2043" i="10"/>
  <c r="F2641" i="10"/>
  <c r="F952" i="10"/>
  <c r="F2131" i="10"/>
  <c r="F740" i="10"/>
  <c r="F2211" i="10"/>
  <c r="F2453" i="10"/>
  <c r="F958" i="10"/>
  <c r="F2629" i="10"/>
  <c r="F310" i="10"/>
  <c r="F2992" i="10"/>
  <c r="F2122" i="10"/>
  <c r="F2538" i="10"/>
  <c r="F1550" i="10"/>
  <c r="F2568" i="10"/>
  <c r="F2188" i="10"/>
  <c r="F2276" i="10"/>
  <c r="F2290" i="10"/>
  <c r="F1770" i="10"/>
  <c r="F2285" i="10"/>
  <c r="F2760" i="10"/>
  <c r="F2299" i="10"/>
  <c r="F670" i="10"/>
  <c r="F1667" i="10"/>
  <c r="F142" i="10"/>
  <c r="F2177" i="10"/>
  <c r="F2115" i="10"/>
  <c r="F2461" i="10"/>
  <c r="F181" i="10"/>
  <c r="F2200" i="10"/>
  <c r="F1864" i="10"/>
  <c r="F1967" i="10"/>
  <c r="F680" i="10"/>
  <c r="F1248" i="10"/>
  <c r="F1056" i="10"/>
  <c r="F399" i="10"/>
  <c r="F582" i="10"/>
  <c r="F2970" i="10"/>
  <c r="F180" i="10"/>
  <c r="F1616" i="10"/>
  <c r="F1567" i="10"/>
  <c r="F2117" i="10"/>
  <c r="F1301" i="10"/>
  <c r="F1425" i="10"/>
  <c r="F547" i="10"/>
  <c r="F1296" i="10"/>
  <c r="F1827" i="10"/>
  <c r="F1897" i="10"/>
  <c r="F715" i="10"/>
  <c r="F955" i="10"/>
  <c r="F2033" i="10"/>
  <c r="F56" i="10"/>
  <c r="F292" i="10"/>
  <c r="F1210" i="10"/>
  <c r="F981" i="10"/>
  <c r="F924" i="10"/>
  <c r="F683" i="10"/>
  <c r="F1395" i="10"/>
  <c r="F729" i="10"/>
  <c r="F1196" i="10"/>
  <c r="F99" i="10"/>
  <c r="F1135" i="10"/>
  <c r="F969" i="10"/>
  <c r="F1033" i="10"/>
  <c r="F1478" i="10"/>
  <c r="F1098" i="10"/>
  <c r="F1931" i="10"/>
  <c r="F742" i="10"/>
  <c r="F182" i="10"/>
  <c r="F568" i="10"/>
  <c r="F681" i="10"/>
  <c r="F1904" i="10"/>
  <c r="F485" i="10"/>
  <c r="F1623" i="10"/>
  <c r="F41" i="10"/>
  <c r="F488" i="10"/>
  <c r="F2221" i="10"/>
  <c r="F929" i="10"/>
  <c r="F583" i="10"/>
  <c r="F1180" i="10"/>
  <c r="F770" i="10"/>
  <c r="F987" i="10"/>
  <c r="F1862" i="10"/>
  <c r="F2078" i="10"/>
  <c r="F1370" i="10"/>
  <c r="F930" i="10"/>
  <c r="F630" i="10"/>
  <c r="F1012" i="10"/>
  <c r="F2031" i="10"/>
  <c r="F2379" i="10"/>
  <c r="F784" i="10"/>
  <c r="F129" i="10"/>
  <c r="F262" i="10"/>
  <c r="F1202" i="10"/>
  <c r="F1010" i="10"/>
  <c r="F828" i="10"/>
  <c r="F271" i="10"/>
  <c r="F237" i="10"/>
  <c r="F820" i="10"/>
  <c r="F776" i="10"/>
  <c r="F1898" i="10"/>
  <c r="F1426" i="10"/>
  <c r="F553" i="10"/>
  <c r="F938" i="10"/>
  <c r="F1160" i="10"/>
  <c r="F595" i="10"/>
  <c r="F1304" i="10"/>
  <c r="F316" i="10"/>
  <c r="F469" i="10"/>
  <c r="F1360" i="10"/>
  <c r="F300" i="10"/>
  <c r="F210" i="10"/>
  <c r="F1649" i="10"/>
  <c r="F211" i="10"/>
  <c r="F1342" i="10"/>
  <c r="F2354" i="10"/>
  <c r="F74" i="10"/>
  <c r="F278" i="10"/>
  <c r="F503" i="10"/>
  <c r="F1359" i="10"/>
  <c r="F1028" i="10"/>
  <c r="F967" i="10"/>
  <c r="F1352" i="10"/>
  <c r="F291" i="10"/>
  <c r="F471" i="10"/>
  <c r="F44" i="10"/>
  <c r="F460" i="10"/>
  <c r="F107" i="10"/>
  <c r="F186" i="10"/>
  <c r="F534" i="10"/>
  <c r="F540" i="10"/>
  <c r="F616" i="10"/>
  <c r="F914" i="10"/>
  <c r="F1406" i="10"/>
  <c r="F459" i="10"/>
  <c r="F541" i="10"/>
  <c r="F1340" i="10"/>
  <c r="F345" i="10"/>
  <c r="F47" i="10"/>
  <c r="F184" i="10"/>
  <c r="F750" i="10"/>
  <c r="F477" i="10"/>
  <c r="F559" i="10"/>
  <c r="F870" i="10"/>
  <c r="F315" i="10"/>
  <c r="F1461" i="10"/>
  <c r="F2649" i="10"/>
  <c r="F2425" i="10"/>
  <c r="F2919" i="10"/>
  <c r="F3076" i="10"/>
  <c r="F2553" i="10"/>
  <c r="F2260" i="10"/>
  <c r="F3334" i="10"/>
  <c r="F1868" i="10"/>
  <c r="F3377" i="10"/>
  <c r="F3147" i="10"/>
  <c r="F2148" i="10"/>
  <c r="F3273" i="10"/>
  <c r="F3335" i="10"/>
  <c r="F2644" i="10"/>
  <c r="F2628" i="10"/>
  <c r="F2888" i="10"/>
  <c r="F2405" i="10"/>
  <c r="F2390" i="10"/>
  <c r="F3086" i="10"/>
  <c r="F2688" i="10"/>
  <c r="F3208" i="10"/>
  <c r="F3317" i="10"/>
  <c r="F2935" i="10"/>
  <c r="F1850" i="10"/>
  <c r="F1529" i="10"/>
  <c r="F2763" i="10"/>
  <c r="F2267" i="10"/>
  <c r="F2833" i="10"/>
  <c r="F3134" i="10"/>
  <c r="F1816" i="10"/>
  <c r="F2718" i="10"/>
  <c r="F3126" i="10"/>
  <c r="F2740" i="10"/>
  <c r="F1548" i="10"/>
  <c r="F2471" i="10"/>
  <c r="F1792" i="10"/>
  <c r="F1908" i="10"/>
  <c r="F1924" i="10"/>
  <c r="F1640" i="10"/>
  <c r="F539" i="10"/>
  <c r="F1668" i="10"/>
  <c r="F2968" i="10"/>
  <c r="F1916" i="10"/>
  <c r="F2677" i="10"/>
  <c r="F3319" i="10"/>
  <c r="F2458" i="10"/>
  <c r="F2326" i="10"/>
  <c r="F3276" i="10"/>
  <c r="F2783" i="10"/>
  <c r="F1642" i="10"/>
  <c r="F2396" i="10"/>
  <c r="F3041" i="10"/>
  <c r="F3345" i="10"/>
  <c r="F1927" i="10"/>
  <c r="F2419" i="10"/>
  <c r="F2716" i="10"/>
  <c r="F1457" i="10"/>
  <c r="F2452" i="10"/>
  <c r="F3270" i="10"/>
  <c r="F2119" i="10"/>
  <c r="F3133" i="10"/>
  <c r="F1527" i="10"/>
  <c r="F1523" i="10"/>
  <c r="F2693" i="10"/>
  <c r="F2590" i="10"/>
  <c r="F1919" i="10"/>
  <c r="F2741" i="10"/>
  <c r="F2139" i="10"/>
  <c r="F1113" i="10"/>
  <c r="F255" i="10"/>
  <c r="F1175" i="10"/>
  <c r="F794" i="10"/>
  <c r="F1096" i="10"/>
  <c r="F1641" i="10"/>
  <c r="F858" i="10"/>
  <c r="F2085" i="10"/>
  <c r="F1914" i="10"/>
  <c r="F633" i="10"/>
  <c r="F1835" i="10"/>
  <c r="F1110" i="10"/>
  <c r="F2397" i="10"/>
  <c r="F1625" i="10"/>
  <c r="F1839" i="10"/>
  <c r="F1684" i="10"/>
  <c r="F2674" i="10"/>
  <c r="F2243" i="10"/>
  <c r="F321" i="10"/>
  <c r="F2498" i="10"/>
  <c r="F1321" i="10"/>
  <c r="F1704" i="10"/>
  <c r="F852" i="10"/>
  <c r="F1972" i="10"/>
  <c r="F3291" i="10"/>
  <c r="F2921" i="10"/>
  <c r="F1515" i="10"/>
  <c r="F1475" i="10"/>
  <c r="F968" i="10"/>
  <c r="F2800" i="10"/>
  <c r="F1823" i="10"/>
  <c r="F1882" i="10"/>
  <c r="F1534" i="10"/>
  <c r="F2642" i="10"/>
  <c r="F1398" i="10"/>
  <c r="F1493" i="10"/>
  <c r="F1869" i="10"/>
  <c r="F2979" i="10"/>
  <c r="F2323" i="10"/>
  <c r="F1923" i="10"/>
  <c r="F811" i="10"/>
  <c r="F2365" i="10"/>
  <c r="F2582" i="10"/>
  <c r="F1386" i="10"/>
  <c r="F2262" i="10"/>
  <c r="F2360" i="10"/>
  <c r="F2663" i="10"/>
  <c r="F3253" i="10"/>
  <c r="F849" i="10"/>
  <c r="F2473" i="10"/>
  <c r="F243" i="10"/>
  <c r="F1790" i="10"/>
  <c r="F1960" i="10"/>
  <c r="F3142" i="10"/>
  <c r="F1373" i="10"/>
  <c r="F2000" i="10"/>
  <c r="F1600" i="10"/>
  <c r="F2376" i="10"/>
  <c r="F2172" i="10"/>
  <c r="F2401" i="10"/>
  <c r="F1591" i="10"/>
  <c r="F1631" i="10"/>
  <c r="F2378" i="10"/>
  <c r="F1811" i="10"/>
  <c r="F2374" i="10"/>
  <c r="F2254" i="10"/>
  <c r="F1454" i="10"/>
  <c r="F2102" i="10"/>
  <c r="F671" i="10"/>
  <c r="F414" i="10"/>
  <c r="F228" i="10"/>
  <c r="F1680" i="10"/>
  <c r="F734" i="10"/>
  <c r="F706" i="10"/>
  <c r="F1768" i="10"/>
  <c r="F1520" i="10"/>
  <c r="F506" i="10"/>
  <c r="F572" i="10"/>
  <c r="F1380" i="10"/>
  <c r="F1470" i="10"/>
  <c r="F1601" i="10"/>
  <c r="F1177" i="10"/>
  <c r="F480" i="10"/>
  <c r="F145" i="10"/>
  <c r="F1297" i="10"/>
  <c r="F1420" i="10"/>
  <c r="F2021" i="10"/>
  <c r="F1157" i="10"/>
  <c r="F33" i="10"/>
  <c r="F1401" i="10"/>
  <c r="F452" i="10"/>
  <c r="F1525" i="10"/>
  <c r="F1605" i="10"/>
  <c r="F2388" i="10"/>
  <c r="F853" i="10"/>
  <c r="F92" i="10"/>
  <c r="F2151" i="10"/>
  <c r="F245" i="10"/>
  <c r="F1933" i="10"/>
  <c r="F695" i="10"/>
  <c r="F1530" i="10"/>
  <c r="F832" i="10"/>
  <c r="F1179" i="10"/>
  <c r="F283" i="10"/>
  <c r="F579" i="10"/>
  <c r="F2219" i="10"/>
  <c r="F1954" i="10"/>
  <c r="F172" i="10"/>
  <c r="F1220" i="10"/>
  <c r="F746" i="10"/>
  <c r="F161" i="10"/>
  <c r="F941" i="10"/>
  <c r="F1285" i="10"/>
  <c r="F1384" i="10"/>
  <c r="F248" i="10"/>
  <c r="F561" i="10"/>
  <c r="F985" i="10"/>
  <c r="F550" i="10"/>
  <c r="F288" i="10"/>
  <c r="F256" i="10"/>
  <c r="F554" i="10"/>
  <c r="F2311" i="10"/>
  <c r="F318" i="10"/>
  <c r="F1949" i="10"/>
  <c r="F635" i="10"/>
  <c r="F848" i="10"/>
  <c r="F23" i="10"/>
  <c r="F342" i="10"/>
  <c r="F340" i="10"/>
  <c r="F897" i="10"/>
  <c r="F1710" i="10"/>
  <c r="F81" i="10"/>
  <c r="F1204" i="10"/>
  <c r="F744" i="10"/>
  <c r="F397" i="10"/>
  <c r="F1619" i="10"/>
  <c r="F119" i="10"/>
  <c r="F476" i="10"/>
  <c r="F835" i="10"/>
  <c r="F35" i="10"/>
  <c r="F866" i="10"/>
  <c r="F2293" i="10"/>
  <c r="F516" i="10"/>
  <c r="F2377" i="10"/>
  <c r="F773" i="10"/>
  <c r="F232" i="10"/>
  <c r="F398" i="10"/>
  <c r="F112" i="10"/>
  <c r="F1051" i="10"/>
  <c r="F322" i="10"/>
  <c r="F1765" i="10"/>
  <c r="F1066" i="10"/>
  <c r="F463" i="10"/>
  <c r="F917" i="10"/>
  <c r="F996" i="10"/>
  <c r="F396" i="10"/>
  <c r="F164" i="10"/>
  <c r="F375" i="10"/>
  <c r="F1292" i="10"/>
  <c r="F502" i="10"/>
  <c r="F131" i="10"/>
  <c r="F282" i="10"/>
  <c r="F183" i="10"/>
  <c r="F2247" i="10"/>
  <c r="F860" i="10"/>
  <c r="F570" i="10"/>
  <c r="F24" i="10"/>
  <c r="F1306" i="10"/>
  <c r="F306" i="10"/>
  <c r="F55" i="10"/>
  <c r="F880" i="10"/>
  <c r="F434" i="10"/>
  <c r="F407" i="10"/>
  <c r="F317" i="10"/>
  <c r="F1459" i="10"/>
  <c r="F176" i="10"/>
  <c r="F75" i="10"/>
  <c r="F436" i="10"/>
  <c r="F1109" i="10"/>
  <c r="F123" i="10"/>
  <c r="F500" i="10"/>
  <c r="F87" i="10"/>
  <c r="F197" i="10"/>
  <c r="F888" i="10"/>
  <c r="F1115" i="10"/>
  <c r="F2689" i="10"/>
  <c r="F2510" i="10"/>
  <c r="F2493" i="10"/>
  <c r="F2891" i="10"/>
  <c r="F2742" i="10"/>
  <c r="F2973" i="10"/>
  <c r="F3218" i="10"/>
  <c r="F3151" i="10"/>
  <c r="F2729" i="10"/>
  <c r="F2755" i="10"/>
  <c r="F2877" i="10"/>
  <c r="F2712" i="10"/>
  <c r="F1571" i="10"/>
  <c r="F2100" i="10"/>
  <c r="F2955" i="10"/>
  <c r="F3309" i="10"/>
  <c r="F3097" i="10"/>
  <c r="F2303" i="10"/>
  <c r="F3259" i="10"/>
  <c r="F2708" i="10"/>
  <c r="F2382" i="10"/>
  <c r="F1991" i="10"/>
  <c r="F2275" i="10"/>
  <c r="F2050" i="10"/>
  <c r="F2700" i="10"/>
  <c r="F3195" i="10"/>
  <c r="F2843" i="10"/>
  <c r="F3328" i="10"/>
  <c r="F2639" i="10"/>
  <c r="F2386" i="10"/>
  <c r="F2482" i="10"/>
  <c r="F2447" i="10"/>
  <c r="F3194" i="10"/>
  <c r="F2090" i="10"/>
  <c r="F2940" i="10"/>
  <c r="F2241" i="10"/>
  <c r="F2230" i="10"/>
  <c r="F2016" i="10"/>
  <c r="F3233" i="10"/>
  <c r="F2002" i="10"/>
  <c r="F2662" i="10"/>
  <c r="F2421" i="10"/>
  <c r="F2603" i="10"/>
  <c r="F3297" i="10"/>
  <c r="F3003" i="10"/>
  <c r="F2183" i="10"/>
  <c r="F2623" i="10"/>
  <c r="F3313" i="10"/>
  <c r="F2752" i="10"/>
  <c r="F3138" i="10"/>
  <c r="F395" i="10"/>
  <c r="F2525" i="10"/>
  <c r="F2814" i="10"/>
  <c r="F2294" i="10"/>
  <c r="F3115" i="10"/>
  <c r="F3078" i="10"/>
  <c r="F1424" i="10"/>
  <c r="F1439" i="10"/>
  <c r="F2683" i="10"/>
  <c r="F2608" i="10"/>
  <c r="F1917" i="10"/>
  <c r="F2821" i="10"/>
  <c r="F2059" i="10"/>
  <c r="F2305" i="10"/>
  <c r="F3314" i="10"/>
  <c r="F2764" i="10"/>
  <c r="F1048" i="10"/>
  <c r="F481" i="10"/>
  <c r="F2427" i="10"/>
  <c r="F2246" i="10"/>
  <c r="F965" i="10"/>
  <c r="F1676" i="10"/>
  <c r="F3047" i="10"/>
  <c r="F1161" i="10"/>
  <c r="F1517" i="10"/>
  <c r="F613" i="10"/>
  <c r="F2809" i="10"/>
  <c r="F1026" i="10"/>
  <c r="F708" i="10"/>
  <c r="F1272" i="10"/>
  <c r="F1522" i="10"/>
  <c r="F1538" i="10"/>
  <c r="F1243" i="10"/>
  <c r="F2237" i="10"/>
  <c r="F1650" i="10"/>
  <c r="F1267" i="10"/>
  <c r="F1973" i="10"/>
  <c r="F1252" i="10"/>
  <c r="F1409" i="10"/>
  <c r="F1878" i="10"/>
  <c r="F1526" i="10"/>
  <c r="F1784" i="10"/>
  <c r="F1702" i="10"/>
  <c r="F3018" i="10"/>
  <c r="F1824" i="10"/>
  <c r="F1003" i="10"/>
  <c r="F2180" i="10"/>
  <c r="F1934" i="10"/>
  <c r="F1318" i="10"/>
  <c r="F1100" i="10"/>
  <c r="F1656" i="10"/>
  <c r="F1385" i="10"/>
  <c r="F1087" i="10"/>
  <c r="F728" i="10"/>
  <c r="F1547" i="10"/>
  <c r="F2387" i="10"/>
  <c r="F1698" i="10"/>
  <c r="F2635" i="10"/>
  <c r="F1778" i="10"/>
  <c r="F2217" i="10"/>
  <c r="F2747" i="10"/>
  <c r="F1038" i="10"/>
  <c r="F3347" i="10"/>
  <c r="F1303" i="10"/>
  <c r="F3256" i="10"/>
  <c r="F1423" i="10"/>
  <c r="F702" i="10"/>
  <c r="F2896" i="10"/>
  <c r="F1553" i="10"/>
  <c r="F3204" i="10"/>
  <c r="F2844" i="10"/>
  <c r="F1230" i="10"/>
  <c r="F1694" i="10"/>
  <c r="F1152" i="10"/>
  <c r="F1627" i="10"/>
  <c r="F1482" i="10"/>
  <c r="F3210" i="10"/>
  <c r="F2026" i="10"/>
  <c r="F3217" i="10"/>
  <c r="F699" i="10"/>
  <c r="F1846" i="10"/>
  <c r="F2350" i="10"/>
  <c r="F2145" i="10"/>
  <c r="F2989" i="10"/>
  <c r="F1675" i="10"/>
  <c r="F1415" i="10"/>
  <c r="F2175" i="10"/>
  <c r="F795" i="10"/>
  <c r="F610" i="10"/>
  <c r="F2046" i="10"/>
  <c r="F273" i="10"/>
  <c r="F338" i="10"/>
  <c r="F218" i="10"/>
  <c r="F1859" i="10"/>
  <c r="F1390" i="10"/>
  <c r="F400" i="10"/>
  <c r="F1861" i="10"/>
  <c r="F351" i="10"/>
  <c r="F68" i="10"/>
  <c r="F2203" i="10"/>
  <c r="F2125" i="10"/>
  <c r="F234" i="10"/>
  <c r="F1617" i="10"/>
  <c r="F711" i="10"/>
  <c r="F200" i="10"/>
  <c r="F330" i="10"/>
  <c r="F854" i="10"/>
  <c r="F1325" i="10"/>
  <c r="F627" i="10"/>
  <c r="F1124" i="10"/>
  <c r="F1287" i="10"/>
  <c r="F1612" i="10"/>
  <c r="F207" i="10"/>
  <c r="F738" i="10"/>
  <c r="F458" i="10"/>
  <c r="F545" i="10"/>
  <c r="F691" i="10"/>
  <c r="F1293" i="10"/>
  <c r="F1334" i="10"/>
  <c r="F1639" i="10"/>
  <c r="F865" i="10"/>
  <c r="F1574" i="10"/>
  <c r="F501" i="10"/>
  <c r="F1154" i="10"/>
  <c r="F772" i="10"/>
  <c r="F58" i="10"/>
  <c r="F352" i="10"/>
  <c r="F2113" i="10"/>
  <c r="F775" i="10"/>
  <c r="F1913" i="10"/>
  <c r="F230" i="10"/>
  <c r="F600" i="10"/>
  <c r="F385" i="10"/>
  <c r="F1265" i="10"/>
  <c r="F135" i="10"/>
  <c r="F78" i="10"/>
  <c r="F1149" i="10"/>
  <c r="F1414" i="10"/>
  <c r="F1826" i="10"/>
  <c r="F834" i="10"/>
  <c r="F511" i="10"/>
  <c r="F824" i="10"/>
  <c r="F1258" i="10"/>
  <c r="F1890" i="10"/>
  <c r="F1801" i="10"/>
  <c r="F1564" i="10"/>
  <c r="F1257" i="10"/>
  <c r="F98" i="10"/>
  <c r="F388" i="10"/>
  <c r="F246" i="10"/>
  <c r="F301" i="10"/>
  <c r="F495" i="10"/>
  <c r="F2233" i="10"/>
  <c r="F361" i="10"/>
  <c r="E361" i="10" s="1" a="1"/>
  <c r="E361" i="10" s="1"/>
  <c r="C361" i="10" s="1"/>
  <c r="F684" i="10"/>
  <c r="F1040" i="10"/>
  <c r="F1632" i="10"/>
  <c r="F1568" i="10"/>
  <c r="F238" i="10"/>
  <c r="F751" i="10"/>
  <c r="F657" i="10"/>
  <c r="F948" i="10"/>
  <c r="F2088" i="10"/>
  <c r="F891" i="10"/>
  <c r="F1021" i="10"/>
  <c r="F489" i="10"/>
  <c r="F1419" i="10"/>
  <c r="F1422" i="10"/>
  <c r="F1879" i="10"/>
  <c r="F1582" i="10"/>
  <c r="F669" i="10"/>
  <c r="F529" i="10"/>
  <c r="F468" i="10"/>
  <c r="F115" i="10"/>
  <c r="F1705" i="10"/>
  <c r="F902" i="10"/>
  <c r="F1067" i="10"/>
  <c r="F217" i="10"/>
  <c r="F429" i="10"/>
  <c r="F716" i="10"/>
  <c r="F1076" i="10"/>
  <c r="F821" i="10"/>
  <c r="F268" i="10"/>
  <c r="F104" i="10"/>
  <c r="F294" i="10"/>
  <c r="F1872" i="10"/>
  <c r="F76" i="10"/>
  <c r="F59" i="10"/>
  <c r="F303" i="10"/>
  <c r="F982" i="10"/>
  <c r="F202" i="10"/>
  <c r="F1396" i="10"/>
  <c r="F790" i="10"/>
  <c r="F1341" i="10"/>
  <c r="F698" i="10"/>
  <c r="F264" i="10"/>
  <c r="F1168" i="10"/>
  <c r="F899" i="10"/>
  <c r="F1125" i="10"/>
  <c r="F192" i="10"/>
  <c r="F533" i="10"/>
  <c r="F783" i="10"/>
  <c r="F438" i="10"/>
  <c r="F57" i="10"/>
  <c r="F2658" i="10"/>
  <c r="F2128" i="10"/>
  <c r="F2546" i="10"/>
  <c r="F3231" i="10"/>
  <c r="F3220" i="10"/>
  <c r="F2791" i="10"/>
  <c r="F1510" i="10"/>
  <c r="F2861" i="10"/>
  <c r="F3364" i="10"/>
  <c r="F3119" i="10"/>
  <c r="F2925" i="10"/>
  <c r="F3251" i="10"/>
  <c r="F2706" i="10"/>
  <c r="F1339" i="10"/>
  <c r="F2433" i="10"/>
  <c r="F2866" i="10"/>
  <c r="F2618" i="10"/>
  <c r="F2995" i="10"/>
  <c r="F2728" i="10"/>
  <c r="F2865" i="10"/>
  <c r="F3029" i="10"/>
  <c r="F3190" i="10"/>
  <c r="F3039" i="10"/>
  <c r="F1970" i="10"/>
  <c r="F3120" i="10"/>
  <c r="F2494" i="10"/>
  <c r="F2937" i="10"/>
  <c r="F2306" i="10"/>
  <c r="F2804" i="10"/>
  <c r="F2328" i="10"/>
  <c r="F3312" i="10"/>
  <c r="F2547" i="10"/>
  <c r="F2927" i="10"/>
  <c r="F3135" i="10"/>
  <c r="F2766" i="10"/>
  <c r="F3020" i="10"/>
  <c r="F3062" i="10"/>
  <c r="F1754" i="10"/>
  <c r="F3261" i="10"/>
  <c r="F2638" i="10"/>
  <c r="F281" i="10"/>
  <c r="F2697" i="10"/>
  <c r="F2369" i="10"/>
  <c r="F2756" i="10"/>
  <c r="F3354" i="10"/>
  <c r="F1458" i="10"/>
  <c r="F2669" i="10"/>
  <c r="F2838" i="10"/>
  <c r="F1261" i="10"/>
  <c r="F3212" i="10"/>
  <c r="F2836" i="10"/>
  <c r="F1237" i="10"/>
  <c r="F1683" i="10"/>
  <c r="F2439" i="10"/>
  <c r="F2348" i="10"/>
  <c r="F1946" i="10"/>
  <c r="F2524" i="10"/>
  <c r="F2069" i="10"/>
  <c r="F3338" i="10"/>
  <c r="F2413" i="10"/>
  <c r="F3050" i="10"/>
  <c r="F2803" i="10"/>
  <c r="F2670" i="10"/>
  <c r="F2480" i="10"/>
  <c r="F2265" i="10"/>
  <c r="F3246" i="10"/>
  <c r="F2947" i="10"/>
  <c r="F3308" i="10"/>
  <c r="F1170" i="10"/>
  <c r="F2959" i="10"/>
  <c r="E2959" i="10" s="1" a="1"/>
  <c r="E2959" i="10" s="1"/>
  <c r="C2959" i="10" s="1"/>
  <c r="F269" i="10"/>
  <c r="F1849" i="10"/>
  <c r="F2170" i="10"/>
  <c r="F2886" i="10"/>
  <c r="F1054" i="10"/>
  <c r="F1655" i="10"/>
  <c r="F1307" i="10"/>
  <c r="F383" i="10"/>
  <c r="F1327" i="10"/>
  <c r="F1430" i="10"/>
  <c r="F864" i="10"/>
  <c r="F2126" i="10"/>
  <c r="F3028" i="10"/>
  <c r="F1093" i="10"/>
  <c r="F1922" i="10"/>
  <c r="F2157" i="10"/>
  <c r="F2576" i="10"/>
  <c r="F1798" i="10"/>
  <c r="F875" i="10"/>
  <c r="F1724" i="10"/>
  <c r="F226" i="10"/>
  <c r="F1935" i="10"/>
  <c r="F1105" i="10"/>
  <c r="F487" i="10"/>
  <c r="F2362" i="10"/>
  <c r="F3143" i="10"/>
  <c r="F2073" i="10"/>
  <c r="F1029" i="10"/>
  <c r="F1583" i="10"/>
  <c r="F2613" i="10"/>
  <c r="F1037" i="10"/>
  <c r="F895" i="10"/>
  <c r="F1182" i="10"/>
  <c r="F3215" i="10"/>
  <c r="E3215" i="10" s="1" a="1"/>
  <c r="E3215" i="10" s="1"/>
  <c r="C3215" i="10" s="1"/>
  <c r="F1982" i="10"/>
  <c r="F3104" i="10"/>
  <c r="F3139" i="10"/>
  <c r="F664" i="10"/>
  <c r="F2443" i="10"/>
  <c r="F2010" i="10"/>
  <c r="F2106" i="10"/>
  <c r="F527" i="10"/>
  <c r="F3202" i="10"/>
  <c r="F739" i="10"/>
  <c r="F1402" i="10"/>
  <c r="F1555" i="10"/>
  <c r="F2367" i="10"/>
  <c r="F1254" i="10"/>
  <c r="F2384" i="10"/>
  <c r="F1163" i="10"/>
  <c r="F2341" i="10"/>
  <c r="F1975" i="10"/>
  <c r="F1085" i="10"/>
  <c r="F2001" i="10"/>
  <c r="F2264" i="10"/>
  <c r="F1498" i="10"/>
  <c r="F1614" i="10"/>
  <c r="F1634" i="10"/>
  <c r="F2949" i="10"/>
  <c r="F1025" i="10"/>
  <c r="F1524" i="10"/>
  <c r="F1572" i="10"/>
  <c r="F1748" i="10"/>
  <c r="F601" i="10"/>
  <c r="F1895" i="10"/>
  <c r="F1316" i="10"/>
  <c r="F1315" i="10"/>
  <c r="F298" i="10"/>
  <c r="F475" i="10"/>
  <c r="F45" i="10"/>
  <c r="F950" i="10"/>
  <c r="F2395" i="10"/>
  <c r="F689" i="10"/>
  <c r="F639" i="10"/>
  <c r="F1716" i="10"/>
  <c r="F733" i="10"/>
  <c r="F189" i="10"/>
  <c r="F418" i="10"/>
  <c r="F62" i="10"/>
  <c r="F1216" i="10"/>
  <c r="F1484" i="10"/>
  <c r="F66" i="10"/>
  <c r="F250" i="10"/>
  <c r="F490" i="10"/>
  <c r="F810" i="10"/>
  <c r="F72" i="10"/>
  <c r="F974" i="10"/>
  <c r="F148" i="10"/>
  <c r="F499" i="10"/>
  <c r="F1107" i="10"/>
  <c r="F980" i="10"/>
  <c r="F1328" i="10"/>
  <c r="F1405" i="10"/>
  <c r="F127" i="10"/>
  <c r="F2335" i="10"/>
  <c r="F850" i="10"/>
  <c r="F2403" i="10"/>
  <c r="F802" i="10"/>
  <c r="F692" i="10"/>
  <c r="F1932" i="10"/>
  <c r="F674" i="10"/>
  <c r="F2399" i="10"/>
  <c r="F1058" i="10"/>
  <c r="F1643" i="10"/>
  <c r="F1162" i="10"/>
  <c r="F1606" i="10"/>
  <c r="F482" i="10"/>
  <c r="F631" i="10"/>
  <c r="F966" i="10"/>
  <c r="F376" i="10"/>
  <c r="F2044" i="10"/>
  <c r="F1122" i="10"/>
  <c r="F1185" i="10"/>
  <c r="F1432" i="10"/>
  <c r="F845" i="10"/>
  <c r="F2150" i="10"/>
  <c r="F331" i="10"/>
  <c r="F1877" i="10"/>
  <c r="F1903" i="10"/>
  <c r="F384" i="10"/>
  <c r="F215" i="10"/>
  <c r="F201" i="10"/>
  <c r="F1825" i="10"/>
  <c r="F800" i="10"/>
  <c r="F942" i="10"/>
  <c r="F951" i="10"/>
  <c r="F1815" i="10"/>
  <c r="F1764" i="10"/>
  <c r="F538" i="10"/>
  <c r="F386" i="10"/>
  <c r="F855" i="10"/>
  <c r="F1242" i="10"/>
  <c r="F1719" i="10"/>
  <c r="F1822" i="10"/>
  <c r="F1226" i="10"/>
  <c r="F1336" i="10"/>
  <c r="F1444" i="10"/>
  <c r="F2352" i="10"/>
  <c r="F2095" i="10"/>
  <c r="F1277" i="10"/>
  <c r="F762" i="10"/>
  <c r="F796" i="10"/>
  <c r="F94" i="10"/>
  <c r="F362" i="10"/>
  <c r="F789" i="10"/>
  <c r="F1455" i="10"/>
  <c r="F31" i="10"/>
  <c r="F931" i="10"/>
  <c r="F509" i="10"/>
  <c r="F592" i="10"/>
  <c r="F1348" i="10"/>
  <c r="F1659" i="10"/>
  <c r="F105" i="10"/>
  <c r="F718" i="10"/>
  <c r="F876" i="10"/>
  <c r="F241" i="10"/>
  <c r="F1993" i="10"/>
  <c r="F682" i="10"/>
  <c r="F216" i="10"/>
  <c r="F1283" i="10"/>
  <c r="F1355" i="10"/>
  <c r="F1411" i="10"/>
  <c r="F401" i="10"/>
  <c r="F348" i="10"/>
  <c r="F130" i="10"/>
  <c r="F1262" i="10"/>
  <c r="F366" i="10"/>
  <c r="F1313" i="10"/>
  <c r="F754" i="10"/>
  <c r="F1394" i="10"/>
  <c r="F934" i="10"/>
  <c r="F37" i="10"/>
  <c r="E37" i="10" s="1" a="1"/>
  <c r="E37" i="10" s="1"/>
  <c r="C37" i="10" s="1"/>
  <c r="F1831" i="10"/>
  <c r="F424" i="10"/>
  <c r="F823" i="10"/>
  <c r="F1233" i="10"/>
  <c r="F368" i="10"/>
  <c r="F344" i="10"/>
  <c r="F990" i="10"/>
  <c r="F603" i="10"/>
  <c r="F1378" i="10"/>
  <c r="F1198" i="10"/>
  <c r="F357" i="10"/>
  <c r="F944" i="10"/>
  <c r="F1751" i="10"/>
  <c r="F2736" i="10"/>
  <c r="F2507" i="10"/>
  <c r="F2887" i="10"/>
  <c r="F3269" i="10"/>
  <c r="F1734" i="10"/>
  <c r="F2914" i="10"/>
  <c r="F2599" i="10"/>
  <c r="F2588" i="10"/>
  <c r="F2656" i="10"/>
  <c r="F3359" i="10"/>
  <c r="F2920" i="10"/>
  <c r="F2801" i="10"/>
  <c r="F2746" i="10"/>
  <c r="F3129" i="10"/>
  <c r="F2848" i="10"/>
  <c r="F2951" i="10"/>
  <c r="F3183" i="10"/>
  <c r="F3107" i="10"/>
  <c r="F3160" i="10"/>
  <c r="F2710" i="10"/>
  <c r="F2116" i="10"/>
  <c r="F1664" i="10"/>
  <c r="F1977" i="10"/>
  <c r="F3189" i="10"/>
  <c r="F3177" i="10"/>
  <c r="F3155" i="10"/>
  <c r="F2587" i="10"/>
  <c r="F2357" i="10"/>
  <c r="F2668" i="10"/>
  <c r="F3238" i="10"/>
  <c r="F3290" i="10"/>
  <c r="F3033" i="10"/>
  <c r="F2238" i="10"/>
  <c r="F1278" i="10"/>
  <c r="F2929" i="10"/>
  <c r="F1456" i="10"/>
  <c r="F3320" i="10"/>
  <c r="F2605" i="10"/>
  <c r="F2820" i="10"/>
  <c r="F2876" i="10"/>
  <c r="F2967" i="10"/>
  <c r="F1594" i="10"/>
  <c r="F2687" i="10"/>
  <c r="F2459" i="10"/>
  <c r="F2208" i="10"/>
  <c r="F2944" i="10"/>
  <c r="F1480" i="10"/>
  <c r="F1845" i="10"/>
  <c r="F3069" i="10"/>
  <c r="F2158" i="10"/>
  <c r="F2166" i="10"/>
  <c r="F3341" i="10"/>
  <c r="F1418" i="10"/>
  <c r="F2537" i="10"/>
  <c r="F1651" i="10"/>
  <c r="F2993" i="10"/>
  <c r="F3167" i="10"/>
  <c r="F1576" i="10"/>
  <c r="F1647" i="10"/>
  <c r="F2431" i="10"/>
  <c r="F3110" i="10"/>
  <c r="F2055" i="10"/>
  <c r="F2521" i="10"/>
  <c r="F939" i="10"/>
  <c r="F2651" i="10"/>
  <c r="F2602" i="10"/>
  <c r="F2045" i="10"/>
  <c r="F1653" i="10"/>
  <c r="F1416" i="10"/>
  <c r="F1320" i="10"/>
  <c r="F1883" i="10"/>
  <c r="F3073" i="10"/>
  <c r="F1447" i="10"/>
  <c r="F1688" i="10"/>
  <c r="F1239" i="10"/>
  <c r="F1018" i="10"/>
  <c r="F1902" i="10"/>
  <c r="F585" i="10"/>
  <c r="F994" i="10"/>
  <c r="F964" i="10"/>
  <c r="F1101" i="10"/>
  <c r="F1820" i="10"/>
  <c r="F1695" i="10"/>
  <c r="F1679" i="10"/>
  <c r="F1015" i="10"/>
  <c r="F2422" i="10"/>
  <c r="F765" i="10"/>
  <c r="F1551" i="10"/>
  <c r="F1535" i="10"/>
  <c r="F1925" i="10"/>
  <c r="F3214" i="10"/>
  <c r="F1645" i="10"/>
  <c r="F2141" i="10"/>
  <c r="F1512" i="10"/>
  <c r="F1787" i="10"/>
  <c r="F1542" i="10"/>
  <c r="F1791" i="10"/>
  <c r="F3122" i="10"/>
  <c r="F2486" i="10"/>
  <c r="F2353" i="10"/>
  <c r="F921" i="10"/>
  <c r="F2467" i="10"/>
  <c r="F2358" i="10"/>
  <c r="F3071" i="10"/>
  <c r="F1064" i="10"/>
  <c r="F1828" i="10"/>
  <c r="F2984" i="10"/>
  <c r="F596" i="10"/>
  <c r="F1489" i="10"/>
  <c r="F1929" i="10"/>
  <c r="F2222" i="10"/>
  <c r="F1240" i="10"/>
  <c r="F2197" i="10"/>
  <c r="F2064" i="10"/>
  <c r="F621" i="10"/>
  <c r="F714" i="10"/>
  <c r="F565" i="10"/>
  <c r="F953" i="10"/>
  <c r="F1735" i="10"/>
  <c r="F1472" i="10"/>
  <c r="F1978" i="10"/>
  <c r="F1797" i="10"/>
  <c r="F208" i="10"/>
  <c r="F1070" i="10"/>
  <c r="F2795" i="10"/>
  <c r="F1595" i="10"/>
  <c r="F2261" i="10"/>
  <c r="F1578" i="10"/>
  <c r="F2029" i="10"/>
  <c r="F2999" i="10"/>
  <c r="F1772" i="10"/>
  <c r="F3321" i="10"/>
  <c r="F1921" i="10"/>
  <c r="F3324" i="10"/>
  <c r="F2735" i="10"/>
  <c r="F1158" i="10"/>
  <c r="F3346" i="10"/>
  <c r="E3346" i="10" s="1" a="1"/>
  <c r="E3346" i="10" s="1"/>
  <c r="C3346" i="10" s="1"/>
  <c r="F614" i="10"/>
  <c r="F377" i="10"/>
  <c r="F2990" i="10"/>
  <c r="F1687" i="10"/>
  <c r="F2236" i="10"/>
  <c r="F2149" i="10"/>
  <c r="F1657" i="10"/>
  <c r="F577" i="10"/>
  <c r="F2020" i="10"/>
  <c r="F1802" i="10"/>
  <c r="F85" i="10"/>
  <c r="F1785" i="10"/>
  <c r="F2454" i="10"/>
  <c r="F804" i="10"/>
  <c r="F916" i="10"/>
  <c r="F877" i="10"/>
  <c r="F39" i="10"/>
  <c r="F599" i="10"/>
  <c r="F1045" i="10"/>
  <c r="F285" i="10"/>
  <c r="F1780" i="10"/>
  <c r="F427" i="10"/>
  <c r="F1192" i="10"/>
  <c r="F528" i="10"/>
  <c r="F798" i="10"/>
  <c r="F304" i="10"/>
  <c r="F785" i="10"/>
  <c r="F2110" i="10"/>
  <c r="F717" i="10"/>
  <c r="F531" i="10"/>
  <c r="F1072" i="10"/>
  <c r="F872" i="10"/>
  <c r="F807" i="10"/>
  <c r="F1079" i="10"/>
  <c r="F611" i="10"/>
  <c r="F453" i="10"/>
  <c r="F933" i="10"/>
  <c r="F462" i="10"/>
  <c r="F474" i="10"/>
  <c r="F1106" i="10"/>
  <c r="F1491" i="10"/>
  <c r="F496" i="10"/>
  <c r="F1275" i="10"/>
  <c r="F560" i="10"/>
  <c r="F90" i="10"/>
  <c r="F2060" i="10"/>
  <c r="F2006" i="10"/>
  <c r="F1319" i="10"/>
  <c r="F700" i="10"/>
  <c r="F46" i="10"/>
  <c r="F1777" i="10"/>
  <c r="F608" i="10"/>
  <c r="F2179" i="10"/>
  <c r="F774" i="10"/>
  <c r="F1708" i="10"/>
  <c r="F224" i="10"/>
  <c r="F1027" i="10"/>
  <c r="F1609" i="10"/>
  <c r="F1148" i="10"/>
  <c r="F514" i="10"/>
  <c r="F227" i="10"/>
  <c r="F1364" i="10"/>
  <c r="F1852" i="10"/>
  <c r="F830" i="10"/>
  <c r="F1901" i="10"/>
  <c r="F1132" i="10"/>
  <c r="F571" i="10"/>
  <c r="F1049" i="10"/>
  <c r="F1322" i="10"/>
  <c r="F1129" i="10"/>
  <c r="F483" i="10"/>
  <c r="F329" i="10"/>
  <c r="F188" i="10"/>
  <c r="F2361" i="10"/>
  <c r="F764" i="10"/>
  <c r="F1518" i="10"/>
  <c r="F289" i="10"/>
  <c r="F1282" i="10"/>
  <c r="F522" i="10"/>
  <c r="F152" i="10"/>
  <c r="F1251" i="10"/>
  <c r="F704" i="10"/>
  <c r="F666" i="10"/>
  <c r="F53" i="10"/>
  <c r="F1209" i="10"/>
  <c r="F510" i="10"/>
  <c r="F995" i="10"/>
  <c r="F885" i="10"/>
  <c r="F334" i="10"/>
  <c r="F1131" i="10"/>
  <c r="F492" i="10"/>
  <c r="F535" i="10"/>
  <c r="F829" i="10"/>
  <c r="F1221" i="10"/>
  <c r="F755" i="10"/>
  <c r="F1276" i="10"/>
  <c r="F1062" i="10"/>
  <c r="F91" i="10"/>
  <c r="F235" i="10"/>
  <c r="F364" i="10"/>
  <c r="F43" i="10"/>
  <c r="F551" i="10"/>
  <c r="F82" i="10"/>
  <c r="F905" i="10"/>
  <c r="F223" i="10"/>
  <c r="F667" i="10"/>
  <c r="F446" i="10"/>
  <c r="F314" i="10"/>
  <c r="F549" i="10"/>
  <c r="F640" i="10"/>
  <c r="F526" i="10"/>
  <c r="F169" i="10"/>
  <c r="F440" i="10"/>
  <c r="F121" i="10"/>
  <c r="F28" i="10"/>
  <c r="F871" i="10"/>
  <c r="F1945" i="10"/>
  <c r="F1690" i="10"/>
  <c r="F171" i="10"/>
  <c r="F1145" i="10"/>
  <c r="F2852" i="10"/>
  <c r="F2169" i="10"/>
  <c r="F1974" i="10"/>
  <c r="F1620" i="10"/>
  <c r="F2460" i="10"/>
  <c r="F1818" i="10"/>
  <c r="F1511" i="10"/>
  <c r="F1250" i="10"/>
  <c r="F2412" i="10"/>
  <c r="F1804" i="10"/>
  <c r="F2072" i="10"/>
  <c r="F1392" i="10"/>
  <c r="F2779" i="10"/>
  <c r="F1504" i="10"/>
  <c r="F1819" i="10"/>
  <c r="F1905" i="10"/>
  <c r="F1662" i="10"/>
  <c r="F3148" i="10"/>
  <c r="F1971" i="10"/>
  <c r="F409" i="10"/>
  <c r="F1494" i="10"/>
  <c r="F2922" i="10"/>
  <c r="F2281" i="10"/>
  <c r="F2296" i="10"/>
  <c r="F2280" i="10"/>
  <c r="F1920" i="10"/>
  <c r="F817" i="10"/>
  <c r="F1451" i="10"/>
  <c r="F2256" i="10"/>
  <c r="F1947" i="10"/>
  <c r="F249" i="10"/>
  <c r="F805" i="10"/>
  <c r="F2207" i="10"/>
  <c r="F812" i="10"/>
  <c r="F676" i="10"/>
  <c r="F1996" i="10"/>
  <c r="F1851" i="10"/>
  <c r="F973" i="10"/>
  <c r="F2096" i="10"/>
  <c r="F154" i="10"/>
  <c r="F1739" i="10"/>
  <c r="F1403" i="10"/>
  <c r="F3191" i="10"/>
  <c r="F1086" i="10"/>
  <c r="F3272" i="10"/>
  <c r="F1896" i="10"/>
  <c r="F3358" i="10"/>
  <c r="F2270" i="10"/>
  <c r="F3109" i="10"/>
  <c r="F1910" i="10"/>
  <c r="F2025" i="10"/>
  <c r="F2242" i="10"/>
  <c r="F904" i="10"/>
  <c r="F1361" i="10"/>
  <c r="F1637" i="10"/>
  <c r="F2309" i="10"/>
  <c r="F2972" i="10"/>
  <c r="F1615" i="10"/>
  <c r="F2961" i="10"/>
  <c r="F1255" i="10"/>
  <c r="F1140" i="10"/>
  <c r="F1427" i="10"/>
  <c r="F1032" i="10"/>
  <c r="F1173" i="10"/>
  <c r="F1936" i="10"/>
  <c r="F439" i="10"/>
  <c r="F1218" i="10"/>
  <c r="F236" i="10"/>
  <c r="F457" i="10"/>
  <c r="F412" i="10"/>
  <c r="F277" i="10"/>
  <c r="F892" i="10"/>
  <c r="F2228" i="10"/>
  <c r="F1000" i="10"/>
  <c r="F2164" i="10"/>
  <c r="F826" i="10"/>
  <c r="F2063" i="10"/>
  <c r="F1092" i="10"/>
  <c r="F1786" i="10"/>
  <c r="F1404" i="10"/>
  <c r="F198" i="10"/>
  <c r="F1288" i="10"/>
  <c r="F1206" i="10"/>
  <c r="F84" i="10"/>
  <c r="F791" i="10"/>
  <c r="F473" i="10"/>
  <c r="F478" i="10"/>
  <c r="F787" i="10"/>
  <c r="F36" i="10"/>
  <c r="F1889" i="10"/>
  <c r="F109" i="10"/>
  <c r="F167" i="10"/>
  <c r="F417" i="10"/>
  <c r="F143" i="10"/>
  <c r="F373" i="10"/>
  <c r="F408" i="10"/>
  <c r="F260" i="10"/>
  <c r="F508" i="10"/>
  <c r="F863" i="10"/>
  <c r="F2189" i="10"/>
  <c r="F584" i="10"/>
  <c r="F194" i="10"/>
  <c r="F2234" i="10"/>
  <c r="F1848" i="10"/>
  <c r="F901" i="10"/>
  <c r="F419" i="10"/>
  <c r="F1389" i="10"/>
  <c r="F1592" i="10"/>
  <c r="F988" i="10"/>
  <c r="F2317" i="10"/>
  <c r="F831" i="10"/>
  <c r="F2291" i="10"/>
  <c r="F651" i="10"/>
  <c r="F1108" i="10"/>
  <c r="F2193" i="10"/>
  <c r="F1369" i="10"/>
  <c r="F1357" i="10"/>
  <c r="F128" i="10"/>
  <c r="F324" i="10"/>
  <c r="F645" i="10"/>
  <c r="F1097" i="10"/>
  <c r="F833" i="10"/>
  <c r="F149" i="10"/>
  <c r="F93" i="10"/>
  <c r="F543" i="10"/>
  <c r="F415" i="10"/>
  <c r="F566" i="10"/>
  <c r="F18" i="10"/>
  <c r="F358" i="10"/>
  <c r="F359" i="10"/>
  <c r="F1758" i="10"/>
  <c r="F977" i="10"/>
  <c r="F675" i="10"/>
  <c r="F126" i="10"/>
  <c r="F275" i="10"/>
  <c r="F1130" i="10"/>
  <c r="F1682" i="10"/>
  <c r="F1741" i="10"/>
  <c r="F1753" i="10"/>
  <c r="F2229" i="10"/>
  <c r="F95" i="10"/>
  <c r="F808" i="10"/>
  <c r="F2307" i="10"/>
  <c r="F372" i="10"/>
  <c r="F2165" i="10"/>
  <c r="F837" i="10"/>
  <c r="F1669" i="10"/>
  <c r="F144" i="10"/>
  <c r="F2135" i="10"/>
  <c r="F838" i="10"/>
  <c r="F1232" i="10"/>
  <c r="F337" i="10"/>
  <c r="F818" i="10"/>
  <c r="F195" i="10"/>
  <c r="F423" i="10"/>
  <c r="F797" i="10"/>
  <c r="F1159" i="10"/>
  <c r="F536" i="10"/>
  <c r="F766" i="10"/>
  <c r="F555" i="10"/>
  <c r="F605" i="10"/>
  <c r="F532" i="10"/>
  <c r="F707" i="10"/>
  <c r="F894" i="10"/>
  <c r="F16" i="10"/>
  <c r="F336" i="10"/>
  <c r="F1256" i="10"/>
  <c r="F936" i="10"/>
  <c r="F1633" i="10"/>
  <c r="F879" i="10"/>
  <c r="F906" i="10"/>
  <c r="F593" i="10"/>
  <c r="F404" i="10"/>
  <c r="F781" i="10"/>
  <c r="F1331" i="10"/>
  <c r="F586" i="10"/>
  <c r="F454" i="10"/>
  <c r="F166" i="10"/>
  <c r="F2424" i="10"/>
  <c r="F3198" i="10"/>
  <c r="F2109" i="10"/>
  <c r="F3222" i="10"/>
  <c r="F2722" i="10"/>
  <c r="F1939" i="10"/>
  <c r="F3088" i="10"/>
  <c r="F2840" i="10"/>
  <c r="F1789" i="10"/>
  <c r="F2923" i="10"/>
  <c r="F2005" i="10"/>
  <c r="F1829" i="10"/>
  <c r="F2954" i="10"/>
  <c r="F3158" i="10"/>
  <c r="F2556" i="10"/>
  <c r="F3123" i="10"/>
  <c r="F2617" i="10"/>
  <c r="F3012" i="10"/>
  <c r="F1794" i="10"/>
  <c r="F3026" i="10"/>
  <c r="F2508" i="10"/>
  <c r="F2604" i="10"/>
  <c r="F2717" i="10"/>
  <c r="F2987" i="10"/>
  <c r="F1111" i="10"/>
  <c r="F1887" i="10"/>
  <c r="F2442" i="10"/>
  <c r="F2759" i="10"/>
  <c r="F3070" i="10"/>
  <c r="F2819" i="10"/>
  <c r="F3244" i="10"/>
  <c r="F3023" i="10"/>
  <c r="F2475" i="10"/>
  <c r="F2839" i="10"/>
  <c r="F2749" i="10"/>
  <c r="F3027" i="10"/>
  <c r="F3192" i="10"/>
  <c r="F1691" i="10"/>
  <c r="F2053" i="10"/>
  <c r="F3038" i="10"/>
  <c r="F3067" i="10"/>
  <c r="F2455" i="10"/>
  <c r="F2884" i="10"/>
  <c r="F2162" i="10"/>
  <c r="F2501" i="10"/>
  <c r="F2532" i="10"/>
  <c r="F2079" i="10"/>
  <c r="F3254" i="10"/>
  <c r="F2926" i="10"/>
  <c r="F2474" i="10"/>
  <c r="F2534" i="10"/>
  <c r="F2994" i="10"/>
  <c r="F2589" i="10"/>
  <c r="F1610" i="10"/>
  <c r="F1994" i="10"/>
  <c r="F2559" i="10"/>
  <c r="F2571" i="10"/>
  <c r="F1350" i="10"/>
  <c r="F806" i="10"/>
  <c r="F3365" i="10"/>
  <c r="F1005" i="10"/>
  <c r="F1507" i="10"/>
  <c r="F1629" i="10"/>
  <c r="F1302" i="10"/>
  <c r="F1573" i="10"/>
  <c r="F1393" i="10"/>
  <c r="F843" i="10"/>
  <c r="F887" i="10"/>
  <c r="F2952" i="10"/>
  <c r="F2794" i="10"/>
  <c r="F998" i="10"/>
  <c r="F1774" i="10"/>
  <c r="F1044" i="10"/>
  <c r="F3296" i="10"/>
  <c r="F1561" i="10"/>
  <c r="F220" i="10"/>
  <c r="F1760" i="10"/>
  <c r="F2037" i="10"/>
  <c r="F2902" i="10"/>
  <c r="F2198" i="10"/>
  <c r="F2107" i="10"/>
  <c r="F1546" i="10"/>
  <c r="F3352" i="10"/>
  <c r="F1362" i="10"/>
  <c r="F2313" i="10"/>
  <c r="F2772" i="10"/>
  <c r="F2318" i="10"/>
  <c r="F1928" i="10"/>
  <c r="F1460" i="10"/>
  <c r="F1596" i="10"/>
  <c r="F3011" i="10"/>
  <c r="F2027" i="10"/>
  <c r="F1164" i="10"/>
  <c r="F1984" i="10"/>
  <c r="F1104" i="10"/>
  <c r="F567" i="10"/>
  <c r="F2266" i="10"/>
  <c r="F1019" i="10"/>
  <c r="F212" i="10"/>
  <c r="F2013" i="10"/>
  <c r="F1814" i="10"/>
  <c r="F1229" i="10"/>
  <c r="F1723" i="10"/>
  <c r="F1963" i="10"/>
  <c r="F3326" i="10"/>
  <c r="F1533" i="10"/>
  <c r="F1332" i="10"/>
  <c r="F2092" i="10"/>
  <c r="F1541" i="10"/>
  <c r="F1436" i="10"/>
  <c r="F3035" i="10"/>
  <c r="F1408" i="10"/>
  <c r="F1194" i="10"/>
  <c r="F2301" i="10"/>
  <c r="F353" i="10"/>
  <c r="F1742" i="10"/>
  <c r="F1712" i="10"/>
  <c r="F2428" i="10"/>
  <c r="F2146" i="10"/>
  <c r="F3103" i="10"/>
  <c r="F1095" i="10"/>
  <c r="F2186" i="10"/>
  <c r="F2711" i="10"/>
  <c r="F2034" i="10"/>
  <c r="F1783" i="10"/>
  <c r="F1965" i="10"/>
  <c r="F2098" i="10"/>
  <c r="F1509" i="10"/>
  <c r="F2041" i="10"/>
  <c r="F2018" i="10"/>
  <c r="F1238" i="10"/>
  <c r="F1061" i="10"/>
  <c r="F441" i="10"/>
  <c r="F1670" i="10"/>
  <c r="F2754" i="10"/>
  <c r="F1191" i="10"/>
  <c r="F1944" i="10"/>
  <c r="F2167" i="10"/>
  <c r="F2288" i="10"/>
  <c r="F15" i="10"/>
  <c r="F1836" i="10"/>
  <c r="F825" i="10"/>
  <c r="F1013" i="10"/>
  <c r="F2364" i="10"/>
  <c r="F1382" i="10"/>
  <c r="F749" i="10"/>
  <c r="F809" i="10"/>
  <c r="F425" i="10"/>
  <c r="F240" i="10"/>
  <c r="F618" i="10"/>
  <c r="F137" i="10"/>
  <c r="F1268" i="10"/>
  <c r="F1078" i="10"/>
  <c r="F1228" i="10"/>
  <c r="F1271" i="10"/>
  <c r="F276" i="10"/>
  <c r="F381" i="10"/>
  <c r="F727" i="10"/>
  <c r="F747" i="10"/>
  <c r="F101" i="10"/>
  <c r="F472" i="10"/>
  <c r="F1968" i="10"/>
  <c r="F325" i="10"/>
  <c r="F1324" i="10"/>
  <c r="F827" i="10"/>
  <c r="F2007" i="10"/>
  <c r="F2008" i="10"/>
  <c r="F1813" i="10"/>
  <c r="F379" i="10"/>
  <c r="F88" i="10"/>
  <c r="F136" i="10"/>
  <c r="F1383" i="10"/>
  <c r="F625" i="10"/>
  <c r="F1379" i="10"/>
  <c r="F52" i="10"/>
  <c r="F116" i="10"/>
  <c r="F279" i="10"/>
  <c r="F1840" i="10"/>
  <c r="F1663" i="10"/>
  <c r="F1569" i="10"/>
  <c r="F1693" i="10"/>
  <c r="F308" i="10"/>
  <c r="F360" i="10"/>
  <c r="F612" i="10"/>
  <c r="F484" i="10"/>
  <c r="F1165" i="10"/>
  <c r="F106" i="10"/>
  <c r="F108" i="10"/>
  <c r="F1224" i="10"/>
  <c r="F1121" i="10"/>
  <c r="F290" i="10"/>
  <c r="F756" i="10"/>
  <c r="F971" i="10"/>
  <c r="F1431" i="10"/>
  <c r="F1174" i="10"/>
  <c r="F111" i="10"/>
  <c r="F816" i="10"/>
  <c r="F1074" i="10"/>
  <c r="F356" i="10"/>
  <c r="F1046" i="10"/>
  <c r="F1986" i="10"/>
  <c r="F574" i="10"/>
  <c r="F1979" i="10"/>
  <c r="F638" i="10"/>
  <c r="F1259" i="10"/>
  <c r="F1343" i="10"/>
  <c r="F922" i="10"/>
  <c r="F295" i="10"/>
  <c r="F29" i="10"/>
  <c r="F2333" i="10"/>
  <c r="F150" i="10"/>
  <c r="F842" i="10"/>
  <c r="F1503" i="10"/>
  <c r="F556" i="10"/>
  <c r="F1337" i="10"/>
  <c r="F1102" i="10"/>
  <c r="F168" i="10"/>
  <c r="F34" i="10"/>
  <c r="F1358" i="10"/>
  <c r="F819" i="10"/>
  <c r="F730" i="10"/>
  <c r="F1465" i="10"/>
  <c r="F122" i="10"/>
  <c r="F604" i="10"/>
  <c r="F1264" i="10"/>
  <c r="F118" i="10"/>
  <c r="F61" i="10"/>
  <c r="F1171" i="10"/>
  <c r="F1211" i="10"/>
  <c r="F703" i="10"/>
  <c r="F523" i="10"/>
  <c r="F365" i="10"/>
  <c r="F878" i="10"/>
  <c r="F456" i="10"/>
  <c r="F193" i="10"/>
  <c r="F788" i="10"/>
  <c r="F1438" i="10"/>
  <c r="F857" i="10"/>
  <c r="F710" i="10"/>
  <c r="F38" i="10"/>
  <c r="F725" i="10"/>
  <c r="F257" i="10"/>
  <c r="F859" i="10"/>
  <c r="F3375" i="10"/>
  <c r="F2906" i="10"/>
  <c r="F1626" i="10"/>
  <c r="F1531" i="10"/>
  <c r="F1689" i="10"/>
  <c r="F2652" i="10"/>
  <c r="F3284" i="10"/>
  <c r="F2504" i="10"/>
  <c r="F3264" i="10"/>
  <c r="F1808" i="10"/>
  <c r="F1660" i="10"/>
  <c r="F3225" i="10"/>
  <c r="F2558" i="10"/>
  <c r="F2450" i="10"/>
  <c r="F2231" i="10"/>
  <c r="F2274" i="10"/>
  <c r="F3333" i="10"/>
  <c r="F3337" i="10"/>
  <c r="F2962" i="10"/>
  <c r="F2496" i="10"/>
  <c r="F2468" i="10"/>
  <c r="F3361" i="10"/>
  <c r="F1139" i="10"/>
  <c r="F1488" i="10"/>
  <c r="F3305" i="10"/>
  <c r="F3366" i="10"/>
  <c r="F3252" i="10"/>
  <c r="F2830" i="10"/>
  <c r="F2398" i="10"/>
  <c r="F2762" i="10"/>
  <c r="F3322" i="10"/>
  <c r="F2854" i="10"/>
  <c r="F2512" i="10"/>
  <c r="F1673" i="10"/>
  <c r="F2351" i="10"/>
  <c r="F2505" i="10"/>
  <c r="F1966" i="10"/>
  <c r="F3237" i="10"/>
  <c r="F3207" i="10"/>
  <c r="F2678" i="10"/>
  <c r="F2637" i="10"/>
  <c r="F3048" i="10"/>
  <c r="F1884" i="10"/>
  <c r="F2774" i="10"/>
  <c r="F3166" i="10"/>
  <c r="F1587" i="10"/>
  <c r="F3249" i="10"/>
  <c r="F2526" i="10"/>
  <c r="F1200" i="10"/>
  <c r="F3175" i="10"/>
  <c r="F2916" i="10"/>
  <c r="F2633" i="10"/>
  <c r="F2579" i="10"/>
  <c r="F3229" i="10"/>
  <c r="F2936" i="10"/>
  <c r="F2786" i="10"/>
  <c r="F3184" i="10"/>
  <c r="F3316" i="10"/>
  <c r="F2975" i="10"/>
  <c r="F1870" i="10"/>
  <c r="F2611" i="10"/>
  <c r="F1888" i="10"/>
  <c r="F2212" i="10"/>
  <c r="F2497" i="10"/>
  <c r="F2578" i="10"/>
  <c r="F3157" i="10"/>
  <c r="F2555" i="10"/>
  <c r="F1374" i="10"/>
  <c r="F2788" i="10"/>
  <c r="F3002" i="10"/>
  <c r="F1428" i="10"/>
  <c r="F2620" i="10"/>
  <c r="F2909" i="10"/>
  <c r="F1958" i="10"/>
  <c r="F2541" i="10"/>
  <c r="F2272" i="10"/>
  <c r="F2680" i="10"/>
  <c r="F2462" i="10"/>
  <c r="F3171" i="10"/>
  <c r="F2883" i="10"/>
  <c r="F1500" i="10"/>
  <c r="F2808" i="10"/>
  <c r="F1899" i="10"/>
  <c r="F2112" i="10"/>
  <c r="F3265" i="10"/>
  <c r="F2827" i="10"/>
  <c r="F1714" i="10"/>
  <c r="F1983" i="10"/>
  <c r="F3153" i="10"/>
  <c r="F3127" i="10"/>
  <c r="F1763" i="10"/>
  <c r="F1611" i="10"/>
  <c r="F2035" i="10"/>
  <c r="F2894" i="10"/>
  <c r="F693" i="10"/>
  <c r="F2192" i="10"/>
  <c r="F2963" i="10"/>
  <c r="F2065" i="10"/>
  <c r="F3081" i="10"/>
  <c r="F2322" i="10"/>
  <c r="F607" i="10"/>
  <c r="F2732" i="10"/>
  <c r="F3082" i="10"/>
  <c r="F2971" i="10"/>
  <c r="F3169" i="10"/>
  <c r="F1212" i="10"/>
  <c r="F2517" i="10"/>
  <c r="F3380" i="10"/>
  <c r="F1588" i="10"/>
  <c r="F1024" i="10"/>
  <c r="F2626" i="10"/>
  <c r="F1962" i="10"/>
  <c r="F2924" i="10"/>
  <c r="F2370" i="10"/>
  <c r="F1479" i="10"/>
  <c r="F1167" i="10"/>
  <c r="F1495" i="10"/>
  <c r="F2484" i="10"/>
  <c r="F2509" i="10"/>
  <c r="F2259" i="10"/>
  <c r="F786" i="10"/>
  <c r="F2394" i="10"/>
  <c r="F2682" i="10"/>
  <c r="F1017" i="10"/>
  <c r="F1838" i="10"/>
  <c r="F1169" i="10"/>
  <c r="F1326" i="10"/>
  <c r="F978" i="10"/>
  <c r="F177" i="10"/>
  <c r="F1881" i="10"/>
  <c r="F3092" i="10"/>
  <c r="F146" i="10"/>
  <c r="F1310" i="10"/>
  <c r="F1737" i="10"/>
  <c r="F1729" i="10"/>
  <c r="F3327" i="10"/>
  <c r="F432" i="10"/>
  <c r="F403" i="10"/>
  <c r="F2359" i="10"/>
  <c r="F2174" i="10"/>
  <c r="F461" i="10"/>
  <c r="F1345" i="10"/>
  <c r="F959" i="10"/>
  <c r="F1866" i="10"/>
  <c r="F722" i="10"/>
  <c r="F2314" i="10"/>
  <c r="F1678" i="10"/>
  <c r="F2039" i="10"/>
  <c r="F2075" i="10"/>
  <c r="F1429" i="10"/>
  <c r="F1117" i="10"/>
  <c r="F347" i="10"/>
  <c r="F962" i="10"/>
  <c r="F3315" i="10"/>
  <c r="F1138" i="10"/>
  <c r="F1981" i="10"/>
  <c r="F2557" i="10"/>
  <c r="F1333" i="10"/>
  <c r="F1367" i="10"/>
  <c r="F890" i="10"/>
  <c r="F3054" i="10"/>
  <c r="F2058" i="10"/>
  <c r="F3005" i="10"/>
  <c r="F2612" i="10"/>
  <c r="F2312" i="10"/>
  <c r="F1964" i="10"/>
  <c r="F3072" i="10"/>
  <c r="F1030" i="10"/>
  <c r="F2845" i="10"/>
  <c r="F1599" i="10"/>
  <c r="F2152" i="10"/>
  <c r="F1997" i="10"/>
  <c r="F1721" i="10"/>
  <c r="F1998" i="10"/>
  <c r="F2636" i="10"/>
  <c r="F1875" i="10"/>
  <c r="F2997" i="10"/>
  <c r="F2300" i="10"/>
  <c r="F1190" i="10"/>
  <c r="F1837" i="10"/>
  <c r="F2210" i="10"/>
  <c r="F3084" i="10"/>
  <c r="F261" i="10"/>
  <c r="F296" i="10"/>
  <c r="F1141" i="10"/>
  <c r="F521" i="10"/>
  <c r="F652" i="10"/>
  <c r="F918" i="10"/>
  <c r="F1563" i="10"/>
  <c r="F1987" i="10"/>
  <c r="F644" i="10"/>
  <c r="F2176" i="10"/>
  <c r="F1181" i="10"/>
  <c r="F656" i="10"/>
  <c r="F1513" i="10"/>
  <c r="F1988" i="10"/>
  <c r="F422" i="10"/>
  <c r="F731" i="10"/>
  <c r="F270" i="10"/>
  <c r="F913" i="10"/>
  <c r="F1442" i="10"/>
  <c r="F542" i="10"/>
  <c r="F908" i="10"/>
  <c r="F355" i="10"/>
  <c r="F2372" i="10"/>
  <c r="F120" i="10"/>
  <c r="F752" i="10"/>
  <c r="F2302" i="10"/>
  <c r="F22" i="10"/>
  <c r="F999" i="10"/>
  <c r="F1234" i="10"/>
  <c r="F687" i="10"/>
  <c r="F163" i="10"/>
  <c r="F307" i="10"/>
  <c r="F327" i="10"/>
  <c r="F239" i="10"/>
  <c r="F1413" i="10"/>
  <c r="F679" i="10"/>
  <c r="F2130" i="10"/>
  <c r="F778" i="10"/>
  <c r="F339" i="10"/>
  <c r="F668" i="10"/>
  <c r="F444" i="10"/>
  <c r="F413" i="10"/>
  <c r="F519" i="10"/>
  <c r="F1635" i="10"/>
  <c r="F259" i="10"/>
  <c r="F763" i="10"/>
  <c r="F1323" i="10"/>
  <c r="F1747" i="10"/>
  <c r="F49" i="10"/>
  <c r="F882" i="10"/>
  <c r="F14" i="10"/>
  <c r="F284" i="10"/>
  <c r="F653" i="10"/>
  <c r="F410" i="10"/>
  <c r="F451" i="10"/>
  <c r="F1885" i="10"/>
  <c r="F102" i="10"/>
  <c r="F650" i="10"/>
  <c r="F199" i="10"/>
  <c r="F678" i="10"/>
  <c r="F297" i="10"/>
  <c r="F1803" i="10"/>
  <c r="F20" i="10"/>
  <c r="F856" i="10"/>
  <c r="F1537" i="10"/>
  <c r="F851" i="10"/>
  <c r="F1308" i="10"/>
  <c r="F564" i="10"/>
  <c r="F1183" i="10"/>
  <c r="F677" i="10"/>
  <c r="F1985" i="10"/>
  <c r="F839" i="10"/>
  <c r="F445" i="10"/>
  <c r="F258" i="10"/>
  <c r="F889" i="10"/>
  <c r="F1178" i="10"/>
  <c r="F2077" i="10"/>
  <c r="F1241" i="10"/>
  <c r="F1222" i="10"/>
  <c r="F265" i="10"/>
  <c r="F1891" i="10"/>
  <c r="F179" i="10"/>
  <c r="F745" i="10"/>
  <c r="F1189" i="10"/>
  <c r="F1137" i="10"/>
  <c r="F900" i="10"/>
  <c r="F732" i="10"/>
  <c r="F935" i="10"/>
  <c r="F293" i="10"/>
  <c r="F1274" i="10"/>
  <c r="F634" i="10"/>
  <c r="F69" i="10"/>
  <c r="F349" i="10"/>
  <c r="F449" i="10"/>
  <c r="F2056" i="10"/>
  <c r="F591" i="10"/>
  <c r="F267" i="10"/>
  <c r="F1270" i="10"/>
  <c r="F1349" i="10"/>
  <c r="F1441" i="10"/>
  <c r="F741" i="10"/>
  <c r="F1713" i="10"/>
  <c r="F178" i="10"/>
  <c r="F153" i="10"/>
  <c r="F768" i="10"/>
  <c r="F847" i="10"/>
  <c r="F173" i="10"/>
  <c r="F623" i="10"/>
  <c r="F589" i="10"/>
  <c r="F252" i="10"/>
  <c r="F868" i="10"/>
  <c r="F637" i="10"/>
  <c r="F191" i="10"/>
  <c r="F1143" i="10"/>
  <c r="F54" i="10"/>
  <c r="F724" i="10"/>
  <c r="F975" i="10"/>
  <c r="F720" i="10"/>
  <c r="F1516" i="10"/>
  <c r="F3037" i="10"/>
  <c r="F2436" i="10"/>
  <c r="F2420" i="10"/>
  <c r="F1833" i="10"/>
  <c r="F2856" i="10"/>
  <c r="F2758" i="10"/>
  <c r="F2226" i="10"/>
  <c r="F2879" i="10"/>
  <c r="F2692" i="10"/>
  <c r="F2640" i="10"/>
  <c r="F2393" i="10"/>
  <c r="F3226" i="10"/>
  <c r="F3369" i="10"/>
  <c r="F3141" i="10"/>
  <c r="F2825" i="10"/>
  <c r="F2899" i="10"/>
  <c r="F2974" i="10"/>
  <c r="F2621" i="10"/>
  <c r="F2489" i="10"/>
  <c r="F2813" i="10"/>
  <c r="F2435" i="10"/>
  <c r="F3363" i="10"/>
  <c r="F2726" i="10"/>
  <c r="F3340" i="10"/>
  <c r="F2575" i="10"/>
  <c r="F2859" i="10"/>
  <c r="F3036" i="10"/>
  <c r="F2430" i="10"/>
  <c r="F2874" i="10"/>
  <c r="F3206" i="10"/>
  <c r="F3179" i="10"/>
  <c r="F2739" i="10"/>
  <c r="F3132" i="10"/>
  <c r="F2784" i="10"/>
  <c r="F3362" i="10"/>
  <c r="F2121" i="10"/>
  <c r="F1453" i="10"/>
  <c r="F1755" i="10"/>
  <c r="F1671" i="10"/>
  <c r="F2650" i="10"/>
  <c r="F2565" i="10"/>
  <c r="F844" i="10"/>
  <c r="F3368" i="10"/>
  <c r="F3353" i="10"/>
  <c r="F743" i="10"/>
  <c r="F3211" i="10"/>
  <c r="F3277" i="10"/>
  <c r="F1581" i="10"/>
  <c r="F2407" i="10"/>
  <c r="F1197" i="10"/>
  <c r="F3203" i="10"/>
  <c r="F2855" i="10"/>
  <c r="F2133" i="10"/>
  <c r="F1368" i="10"/>
  <c r="F3235" i="10"/>
  <c r="F2239" i="10"/>
  <c r="F2811" i="10"/>
  <c r="F2511" i="10"/>
  <c r="F2225" i="10"/>
  <c r="F3101" i="10"/>
  <c r="F2831" i="10"/>
  <c r="F1752" i="10"/>
  <c r="F1800" i="10"/>
  <c r="F3030" i="10"/>
  <c r="F2282" i="10"/>
  <c r="F2958" i="10"/>
  <c r="F2160" i="10"/>
  <c r="F2743" i="10"/>
  <c r="F1621" i="10"/>
  <c r="F1586" i="10"/>
  <c r="F1860" i="10"/>
  <c r="F1128" i="10"/>
  <c r="F1023" i="10"/>
  <c r="F1558" i="10"/>
  <c r="F2295" i="10"/>
  <c r="F1059" i="10"/>
  <c r="F2630" i="10"/>
  <c r="F1545" i="10"/>
  <c r="F2040" i="10"/>
  <c r="F2327" i="10"/>
  <c r="F2734" i="10"/>
  <c r="F2315" i="10"/>
  <c r="F883" i="10"/>
  <c r="F1172" i="10"/>
  <c r="F2707" i="10"/>
  <c r="F2263" i="10"/>
  <c r="F1955" i="10"/>
  <c r="F1876" i="10"/>
  <c r="F2597" i="10"/>
  <c r="F263" i="10"/>
  <c r="F2067" i="10"/>
  <c r="F1607" i="10"/>
  <c r="F3286" i="10"/>
  <c r="F2998" i="10"/>
  <c r="F615" i="10"/>
  <c r="F2223" i="10"/>
  <c r="F3001" i="10"/>
  <c r="F3004" i="10"/>
  <c r="F2251" i="10"/>
  <c r="F2099" i="10"/>
  <c r="F2400" i="10"/>
  <c r="F1176" i="10"/>
  <c r="F1666" i="10"/>
  <c r="F3279" i="10"/>
  <c r="F1909" i="10"/>
  <c r="F2745" i="10"/>
  <c r="F2817" i="10"/>
  <c r="F504" i="10"/>
  <c r="F3006" i="10"/>
  <c r="F1219" i="10"/>
  <c r="F2465" i="10"/>
  <c r="F2659" i="10"/>
  <c r="F2996" i="10"/>
  <c r="F1720" i="10"/>
  <c r="F1217" i="10"/>
  <c r="F1809" i="10"/>
  <c r="F2257" i="10"/>
  <c r="F1730" i="10"/>
  <c r="F2089" i="10"/>
  <c r="F1767" i="10"/>
  <c r="F1953" i="10"/>
  <c r="F927" i="10"/>
  <c r="F2051" i="10"/>
  <c r="F2373" i="10"/>
  <c r="F1508" i="10"/>
  <c r="F1335" i="10"/>
  <c r="F2769" i="10"/>
  <c r="F2269" i="10"/>
  <c r="F2622" i="10"/>
  <c r="F1184" i="10"/>
  <c r="F1584" i="10"/>
  <c r="F1793" i="10"/>
  <c r="F2195" i="10"/>
  <c r="F1502" i="10"/>
  <c r="F1821" i="10"/>
  <c r="F1674" i="10"/>
  <c r="F1227" i="10"/>
  <c r="F753" i="10"/>
  <c r="F813" i="10"/>
  <c r="F113" i="10"/>
  <c r="F2129" i="10"/>
  <c r="F2577" i="10"/>
  <c r="F393" i="10"/>
  <c r="F60" i="10"/>
  <c r="F1290" i="10"/>
  <c r="F1372" i="10"/>
  <c r="F649" i="10"/>
  <c r="F2171" i="10"/>
  <c r="F626" i="10"/>
  <c r="F187" i="10"/>
  <c r="F426" i="10"/>
  <c r="F464" i="10"/>
  <c r="F1299" i="10"/>
  <c r="F174" i="10"/>
  <c r="F552" i="10"/>
  <c r="F1646" i="10"/>
  <c r="F748" i="10"/>
  <c r="F647" i="10"/>
  <c r="F874" i="10"/>
  <c r="F162" i="10"/>
  <c r="F1144" i="10"/>
  <c r="F1052" i="10"/>
  <c r="F569" i="10"/>
  <c r="F793" i="10"/>
  <c r="F1400" i="10"/>
  <c r="F705" i="10"/>
  <c r="F1116" i="10"/>
  <c r="F1532" i="10"/>
  <c r="F598" i="10"/>
  <c r="F26" i="10"/>
  <c r="F659" i="10"/>
  <c r="F185" i="10"/>
  <c r="F1604" i="10"/>
  <c r="F2173" i="10"/>
  <c r="F869" i="10"/>
  <c r="F576" i="10"/>
  <c r="F646" i="10"/>
  <c r="F332" i="10"/>
  <c r="F1050" i="10"/>
  <c r="F1014" i="10"/>
  <c r="F1907" i="10"/>
  <c r="F369" i="10"/>
  <c r="F421" i="10"/>
  <c r="F65" i="10"/>
  <c r="F156" i="10"/>
  <c r="F736" i="10"/>
  <c r="F114" i="10"/>
  <c r="F447" i="10"/>
  <c r="F928" i="10"/>
  <c r="F907" i="10"/>
  <c r="F196" i="10"/>
  <c r="F594" i="10"/>
  <c r="F30" i="10"/>
  <c r="F1286" i="10"/>
  <c r="F1857" i="10"/>
  <c r="F575" i="10"/>
  <c r="F709" i="10"/>
  <c r="F50" i="10"/>
  <c r="F1120" i="10"/>
  <c r="F1618" i="10"/>
  <c r="F138" i="10"/>
  <c r="F544" i="10"/>
  <c r="F1166" i="10"/>
  <c r="F132" i="10"/>
  <c r="F861" i="10"/>
  <c r="F1329" i="10"/>
  <c r="F665" i="10"/>
  <c r="F580" i="10"/>
  <c r="F1421" i="10"/>
  <c r="F1435" i="10"/>
  <c r="F524" i="10"/>
  <c r="F12" i="10"/>
  <c r="F63" i="10"/>
  <c r="F1089" i="10"/>
  <c r="F442" i="10"/>
  <c r="F1263" i="10"/>
  <c r="F1375" i="10"/>
  <c r="F1961" i="10"/>
  <c r="F920" i="10"/>
  <c r="F893" i="10"/>
  <c r="F151" i="10"/>
  <c r="F465" i="10"/>
  <c r="F836" i="10"/>
  <c r="F943" i="10"/>
  <c r="F1371" i="10"/>
  <c r="F155" i="10"/>
  <c r="F2036" i="10"/>
  <c r="F1205" i="10"/>
  <c r="F1008" i="10"/>
  <c r="F777" i="10"/>
  <c r="F1269" i="10"/>
  <c r="F343" i="10"/>
  <c r="F1214" i="10"/>
  <c r="F1733" i="10"/>
  <c r="F537" i="10"/>
  <c r="F846" i="10"/>
  <c r="F867" i="10"/>
  <c r="F17" i="10"/>
  <c r="F912" i="10"/>
  <c r="F701" i="10"/>
  <c r="F898" i="10"/>
  <c r="F761" i="10"/>
  <c r="F925" i="10"/>
  <c r="F1020" i="10"/>
  <c r="F505" i="10"/>
  <c r="F1376" i="10"/>
  <c r="F117" i="10"/>
  <c r="F494" i="10"/>
  <c r="F83" i="10"/>
  <c r="F590" i="10"/>
  <c r="F989" i="10"/>
  <c r="F1186" i="10"/>
  <c r="F2889" i="10"/>
  <c r="F3056" i="10"/>
  <c r="F2799" i="10"/>
  <c r="F1738" i="10"/>
  <c r="F2912" i="10"/>
  <c r="F3247" i="10"/>
  <c r="F3378" i="10"/>
  <c r="F3080" i="10"/>
  <c r="F2566" i="10"/>
  <c r="F1481" i="10"/>
  <c r="F2793" i="10"/>
  <c r="F2686" i="10"/>
  <c r="F2842" i="10"/>
  <c r="F2391" i="10"/>
  <c r="F2960" i="10"/>
  <c r="F2316" i="10"/>
  <c r="F2694" i="10"/>
  <c r="F2560" i="10"/>
  <c r="F2673" i="10"/>
  <c r="F1701" i="10"/>
  <c r="F2506" i="10"/>
  <c r="F2777" i="10"/>
  <c r="F2956" i="10"/>
  <c r="F3121" i="10"/>
  <c r="F2161" i="10"/>
  <c r="F2114" i="10"/>
  <c r="F2178" i="10"/>
  <c r="F2744" i="10"/>
  <c r="F2464" i="10"/>
  <c r="F1817" i="10"/>
  <c r="F1473" i="10"/>
  <c r="F2885" i="10"/>
  <c r="F2900" i="10"/>
  <c r="F1847" i="10"/>
  <c r="F2545" i="10"/>
  <c r="F2615" i="10"/>
  <c r="F3075" i="10"/>
  <c r="F2715" i="10"/>
  <c r="F3065" i="10"/>
  <c r="F3325" i="10"/>
  <c r="F2522" i="10"/>
  <c r="F1703" i="10"/>
  <c r="F2332" i="10"/>
  <c r="F3357" i="10"/>
  <c r="F2868" i="10"/>
  <c r="F1080" i="10"/>
  <c r="F1593" i="10"/>
  <c r="F3221" i="10"/>
  <c r="F2948" i="10"/>
  <c r="F3304" i="10"/>
  <c r="F3288" i="10"/>
  <c r="F2287" i="10"/>
  <c r="F2731" i="10"/>
  <c r="F2609" i="10"/>
  <c r="F2675" i="10"/>
  <c r="F3098" i="10"/>
  <c r="F3089" i="10"/>
  <c r="F2648" i="10"/>
  <c r="F3257" i="10"/>
  <c r="F1047" i="10"/>
  <c r="F2156" i="10"/>
  <c r="F3303" i="10"/>
  <c r="F1952" i="10"/>
  <c r="F2349" i="10"/>
  <c r="F2928" i="10"/>
  <c r="F2614" i="10"/>
  <c r="F2767" i="10"/>
  <c r="F3136" i="10"/>
  <c r="F1338" i="10"/>
  <c r="F3130" i="10"/>
  <c r="F562" i="10"/>
  <c r="F2255" i="10"/>
  <c r="F1853" i="10"/>
  <c r="F3266" i="10"/>
  <c r="F1554" i="10"/>
  <c r="F2143" i="10"/>
  <c r="F1745" i="10"/>
  <c r="F2417" i="10"/>
  <c r="F1291" i="10"/>
  <c r="F1886" i="10"/>
  <c r="F1636" i="10"/>
  <c r="F2934" i="10"/>
  <c r="F2245" i="10"/>
  <c r="F2163" i="10"/>
  <c r="F1865" i="10"/>
  <c r="F1796" i="10"/>
  <c r="F2832" i="10"/>
  <c r="F696" i="10"/>
  <c r="F1565" i="10"/>
  <c r="F231" i="10"/>
  <c r="F3152" i="10"/>
  <c r="F2539" i="10"/>
  <c r="F1497" i="10"/>
  <c r="F658" i="10"/>
  <c r="F2610" i="10"/>
  <c r="F2097" i="10"/>
  <c r="F1749" i="10"/>
  <c r="F1036" i="10"/>
  <c r="F1880" i="10"/>
  <c r="F2366" i="10"/>
  <c r="F1992" i="10"/>
  <c r="F1570" i="10"/>
  <c r="F2824" i="10"/>
  <c r="F1894" i="10"/>
  <c r="F1863" i="10"/>
  <c r="F2038" i="10"/>
  <c r="F3014" i="10"/>
  <c r="F1011" i="10"/>
  <c r="F2216" i="10"/>
  <c r="F2093" i="10"/>
  <c r="F493" i="10"/>
  <c r="F3242" i="10"/>
  <c r="F1060" i="10"/>
  <c r="F2785" i="10"/>
  <c r="F1071" i="10"/>
  <c r="F1867" i="10"/>
  <c r="F881" i="10"/>
  <c r="F2347" i="10"/>
  <c r="F1757" i="10"/>
  <c r="F919" i="10"/>
  <c r="F3117" i="10"/>
  <c r="F2054" i="10"/>
  <c r="F970" i="10"/>
  <c r="F1725" i="10"/>
  <c r="F1004" i="10"/>
  <c r="F3360" i="10"/>
  <c r="F1750" i="10"/>
  <c r="F1009" i="10"/>
  <c r="F1207" i="10"/>
  <c r="F165" i="10"/>
  <c r="F1519" i="10"/>
  <c r="F1223" i="10"/>
  <c r="F1477" i="10"/>
  <c r="F1644" i="10"/>
  <c r="F3025" i="10"/>
  <c r="F1672" i="10"/>
  <c r="F1069" i="10"/>
  <c r="F431" i="10"/>
  <c r="F1501" i="10"/>
  <c r="F3034" i="10"/>
  <c r="F222" i="10"/>
  <c r="F609" i="10"/>
  <c r="F2014" i="10"/>
  <c r="F1746" i="10"/>
  <c r="F840" i="10"/>
  <c r="F2213" i="10"/>
  <c r="F1134" i="10"/>
  <c r="F1624" i="10"/>
  <c r="F1566" i="10"/>
  <c r="F1112" i="10"/>
  <c r="F205" i="10"/>
  <c r="F1312" i="10"/>
  <c r="F1630" i="10"/>
  <c r="F96" i="10"/>
  <c r="F67" i="10"/>
  <c r="F1377" i="10"/>
  <c r="F1007" i="10"/>
  <c r="F1699" i="10"/>
  <c r="F497" i="10"/>
  <c r="F1346" i="10"/>
  <c r="F1099" i="10"/>
  <c r="F354" i="10"/>
  <c r="F1305" i="10"/>
  <c r="F624" i="10"/>
  <c r="F48" i="10"/>
  <c r="F1717" i="10"/>
  <c r="F1083" i="10"/>
  <c r="F1391" i="10"/>
  <c r="F225" i="10"/>
  <c r="F1681" i="10"/>
  <c r="F672" i="10"/>
  <c r="F1926" i="10"/>
  <c r="F21" i="10"/>
  <c r="F374" i="10"/>
  <c r="F125" i="10"/>
  <c r="F254" i="10"/>
  <c r="F341" i="10"/>
  <c r="F986" i="10"/>
  <c r="F2235" i="10"/>
  <c r="F160" i="10"/>
  <c r="F333" i="10"/>
  <c r="F134" i="10"/>
  <c r="F719" i="10"/>
  <c r="F1906" i="10"/>
  <c r="F80" i="10"/>
  <c r="F758" i="10"/>
  <c r="F2308" i="10"/>
  <c r="F428" i="10"/>
  <c r="F721" i="10"/>
  <c r="F1294" i="10"/>
  <c r="F203" i="10"/>
  <c r="F946" i="10"/>
  <c r="F2392" i="10"/>
  <c r="F2030" i="10"/>
  <c r="F2052" i="10"/>
  <c r="F1195" i="10"/>
  <c r="F923" i="10"/>
  <c r="F661" i="10"/>
  <c r="F520" i="10"/>
  <c r="F378" i="10"/>
  <c r="F518" i="10"/>
  <c r="F286" i="10"/>
  <c r="F1208" i="10"/>
  <c r="F757" i="10"/>
  <c r="F1236" i="10"/>
  <c r="F1762" i="10"/>
  <c r="F949" i="10"/>
  <c r="F1776" i="10"/>
  <c r="F1034" i="10"/>
  <c r="F557" i="10"/>
  <c r="F443" i="10"/>
  <c r="F1443" i="10"/>
  <c r="F558" i="10"/>
  <c r="F771" i="10"/>
  <c r="F411" i="10"/>
  <c r="F77" i="10"/>
  <c r="F1658" i="10"/>
  <c r="F2091" i="10"/>
  <c r="F517" i="10"/>
  <c r="F214" i="10"/>
  <c r="F1505" i="10"/>
  <c r="F430" i="10"/>
  <c r="F507" i="10"/>
  <c r="F1311" i="10"/>
  <c r="F305" i="10"/>
  <c r="F1091" i="10"/>
  <c r="F642" i="10"/>
  <c r="F803" i="10"/>
  <c r="F309" i="10"/>
  <c r="F660" i="10"/>
  <c r="F513" i="10"/>
  <c r="F175" i="10"/>
  <c r="F1399" i="10"/>
  <c r="F735" i="10"/>
  <c r="F1073" i="10"/>
  <c r="F405" i="10"/>
  <c r="F328" i="10"/>
  <c r="F97" i="10"/>
  <c r="F602" i="10"/>
  <c r="F272" i="10"/>
  <c r="F1280" i="10"/>
  <c r="F525" i="10"/>
  <c r="F636" i="10"/>
  <c r="F546" i="10"/>
  <c r="F320" i="10"/>
  <c r="F911" i="10"/>
  <c r="F158" i="10"/>
  <c r="F124" i="10"/>
  <c r="F147" i="10"/>
  <c r="F1298" i="10"/>
  <c r="F976" i="10"/>
  <c r="F926" i="10"/>
  <c r="F1063" i="10"/>
  <c r="F1353" i="10"/>
  <c r="V48" i="9"/>
  <c r="V44" i="9"/>
  <c r="V45" i="9" s="1"/>
  <c r="V64" i="9" s="1"/>
  <c r="V65" i="9" s="1"/>
  <c r="F13" i="3"/>
  <c r="F15" i="3" s="1"/>
  <c r="E758" i="10" l="1" a="1"/>
  <c r="E758" i="10" s="1"/>
  <c r="C758" i="10" s="1"/>
  <c r="E2609" i="10" a="1"/>
  <c r="E2609" i="10" s="1"/>
  <c r="C2609" i="10" s="1"/>
  <c r="E1052" i="10" a="1"/>
  <c r="E1052" i="10" s="1"/>
  <c r="C1052" i="10" s="1"/>
  <c r="E1368" i="10" a="1"/>
  <c r="E1368" i="10" s="1"/>
  <c r="C1368" i="10" s="1"/>
  <c r="E1537" i="10" a="1"/>
  <c r="E1537" i="10" s="1"/>
  <c r="C1537" i="10" s="1"/>
  <c r="E2359" i="10" a="1"/>
  <c r="E2359" i="10" s="1"/>
  <c r="C2359" i="10" s="1"/>
  <c r="E3284" i="10" a="1"/>
  <c r="E3284" i="10" s="1"/>
  <c r="C3284" i="10" s="1"/>
  <c r="E825" i="10" a="1"/>
  <c r="E825" i="10" s="1"/>
  <c r="C825" i="10" s="1"/>
  <c r="E2839" i="10" a="1"/>
  <c r="E2839" i="10" s="1"/>
  <c r="C2839" i="10" s="1"/>
  <c r="E1848" i="10" a="1"/>
  <c r="E1848" i="10" s="1"/>
  <c r="C1848" i="10" s="1"/>
  <c r="E871" i="10" a="1"/>
  <c r="E871" i="10" s="1"/>
  <c r="C871" i="10" s="1"/>
  <c r="E3324" i="10" a="1"/>
  <c r="E3324" i="10" s="1"/>
  <c r="C3324" i="10" s="1"/>
  <c r="E823" i="10" a="1"/>
  <c r="E823" i="10" s="1"/>
  <c r="C823" i="10" s="1"/>
  <c r="E1498" i="10" a="1"/>
  <c r="E1498" i="10" s="1"/>
  <c r="C1498" i="10" s="1"/>
  <c r="E59" i="10" a="1"/>
  <c r="E59" i="10" s="1"/>
  <c r="C59" i="10" s="1"/>
  <c r="E1698" i="10" a="1"/>
  <c r="E1698" i="10" s="1"/>
  <c r="C1698" i="10" s="1"/>
  <c r="E502" i="10" a="1"/>
  <c r="E502" i="10" s="1"/>
  <c r="C502" i="10" s="1"/>
  <c r="E1923" i="10" a="1"/>
  <c r="E1923" i="10" s="1"/>
  <c r="C1923" i="10" s="1"/>
  <c r="E930" i="10" a="1"/>
  <c r="E930" i="10" s="1"/>
  <c r="C930" i="10" s="1"/>
  <c r="E2500" i="10" a="1"/>
  <c r="E2500" i="10" s="1"/>
  <c r="C2500" i="10" s="1"/>
  <c r="E1214" i="10" a="1"/>
  <c r="E1214" i="10" s="1"/>
  <c r="C1214" i="10" s="1"/>
  <c r="E3127" i="10" a="1"/>
  <c r="E3127" i="10" s="1"/>
  <c r="C3127" i="10" s="1"/>
  <c r="E1503" i="10" a="1"/>
  <c r="E1503" i="10" s="1"/>
  <c r="C1503" i="10" s="1"/>
  <c r="E3326" i="10" a="1"/>
  <c r="E3326" i="10" s="1"/>
  <c r="C3326" i="10" s="1"/>
  <c r="E707" i="10" a="1"/>
  <c r="E707" i="10" s="1"/>
  <c r="C707" i="10" s="1"/>
  <c r="E3191" i="10" a="1"/>
  <c r="E3191" i="10" s="1"/>
  <c r="C3191" i="10" s="1"/>
  <c r="E1275" i="10" a="1"/>
  <c r="E1275" i="10" s="1"/>
  <c r="C1275" i="10" s="1"/>
  <c r="E1447" i="10" a="1"/>
  <c r="E1447" i="10" s="1"/>
  <c r="C1447" i="10" s="1"/>
  <c r="E1348" i="10" a="1"/>
  <c r="E1348" i="10" s="1"/>
  <c r="C1348" i="10" s="1"/>
  <c r="E980" i="10" a="1"/>
  <c r="E980" i="10" s="1"/>
  <c r="C980" i="10" s="1"/>
  <c r="E3312" i="10" a="1"/>
  <c r="E3312" i="10" s="1"/>
  <c r="C3312" i="10" s="1"/>
  <c r="E880" i="10" a="1"/>
  <c r="E880" i="10" s="1"/>
  <c r="C880" i="10" s="1"/>
  <c r="E497" i="10" a="1"/>
  <c r="E497" i="10" s="1"/>
  <c r="C497" i="10" s="1"/>
  <c r="E2832" i="10" a="1"/>
  <c r="E2832" i="10" s="1"/>
  <c r="C2832" i="10" s="1"/>
  <c r="E3288" i="10" a="1"/>
  <c r="E3288" i="10" s="1"/>
  <c r="C3288" i="10" s="1"/>
  <c r="E1658" i="10" a="1"/>
  <c r="E1658" i="10" s="1"/>
  <c r="C1658" i="10" s="1"/>
  <c r="E97" i="10" a="1"/>
  <c r="E97" i="10" s="1"/>
  <c r="C97" i="10" s="1"/>
  <c r="E158" i="10" a="1"/>
  <c r="E158" i="10" s="1"/>
  <c r="C158" i="10" s="1"/>
  <c r="E1073" i="10" a="1"/>
  <c r="E1073" i="10" s="1"/>
  <c r="C1073" i="10" s="1"/>
  <c r="E507" i="10" a="1"/>
  <c r="E507" i="10" s="1"/>
  <c r="C507" i="10" s="1"/>
  <c r="E443" i="10" a="1"/>
  <c r="E443" i="10" s="1"/>
  <c r="C443" i="10" s="1"/>
  <c r="E520" i="10" a="1"/>
  <c r="E520" i="10" s="1"/>
  <c r="C520" i="10" s="1"/>
  <c r="E2308" i="10" a="1"/>
  <c r="E2308" i="10" s="1"/>
  <c r="C2308" i="10" s="1"/>
  <c r="E125" i="10" a="1"/>
  <c r="E125" i="10" s="1"/>
  <c r="C125" i="10" s="1"/>
  <c r="E1305" i="10" a="1"/>
  <c r="E1305" i="10" s="1"/>
  <c r="C1305" i="10" s="1"/>
  <c r="E205" i="10" a="1"/>
  <c r="E205" i="10" s="1"/>
  <c r="C205" i="10" s="1"/>
  <c r="E1501" i="10" a="1"/>
  <c r="E1501" i="10" s="1"/>
  <c r="C1501" i="10" s="1"/>
  <c r="E1750" i="10" a="1"/>
  <c r="E1750" i="10" s="1"/>
  <c r="C1750" i="10" s="1"/>
  <c r="E1071" i="10" a="1"/>
  <c r="E1071" i="10" s="1"/>
  <c r="C1071" i="10" s="1"/>
  <c r="E2824" i="10" a="1"/>
  <c r="E2824" i="10" s="1"/>
  <c r="C2824" i="10" s="1"/>
  <c r="E3152" i="10" a="1"/>
  <c r="E3152" i="10" s="1"/>
  <c r="C3152" i="10" s="1"/>
  <c r="E1291" i="10" a="1"/>
  <c r="E1291" i="10" s="1"/>
  <c r="C1291" i="10" s="1"/>
  <c r="E2767" i="10" a="1"/>
  <c r="E2767" i="10" s="1"/>
  <c r="C2767" i="10" s="1"/>
  <c r="E2675" i="10" a="1"/>
  <c r="E2675" i="10" s="1"/>
  <c r="C2675" i="10" s="1"/>
  <c r="E2332" i="10" a="1"/>
  <c r="E2332" i="10" s="1"/>
  <c r="C2332" i="10" s="1"/>
  <c r="E1473" i="10" a="1"/>
  <c r="E1473" i="10" s="1"/>
  <c r="C1473" i="10" s="1"/>
  <c r="E2673" i="10" a="1"/>
  <c r="E2673" i="10" s="1"/>
  <c r="C2673" i="10" s="1"/>
  <c r="E3378" i="10" a="1"/>
  <c r="E3378" i="10" s="1"/>
  <c r="C3378" i="10" s="1"/>
  <c r="E117" i="10" a="1"/>
  <c r="E117" i="10" s="1"/>
  <c r="C117" i="10" s="1"/>
  <c r="E537" i="10" a="1"/>
  <c r="E537" i="10" s="1"/>
  <c r="C537" i="10" s="1"/>
  <c r="E836" i="10" a="1"/>
  <c r="E836" i="10" s="1"/>
  <c r="C836" i="10" s="1"/>
  <c r="E524" i="10" a="1"/>
  <c r="E524" i="10" s="1"/>
  <c r="C524" i="10" s="1"/>
  <c r="E1120" i="10" a="1"/>
  <c r="E1120" i="10" s="1"/>
  <c r="C1120" i="10" s="1"/>
  <c r="E114" i="10" a="1"/>
  <c r="E114" i="10" s="1"/>
  <c r="C114" i="10" s="1"/>
  <c r="E869" i="10" a="1"/>
  <c r="E869" i="10" s="1"/>
  <c r="C869" i="10" s="1"/>
  <c r="E569" i="10" a="1"/>
  <c r="E569" i="10" s="1"/>
  <c r="C569" i="10" s="1"/>
  <c r="E426" i="10" a="1"/>
  <c r="E426" i="10" s="1"/>
  <c r="C426" i="10" s="1"/>
  <c r="E813" i="10" a="1"/>
  <c r="E813" i="10" s="1"/>
  <c r="C813" i="10" s="1"/>
  <c r="E2769" i="10" a="1"/>
  <c r="E2769" i="10" s="1"/>
  <c r="C2769" i="10" s="1"/>
  <c r="E1217" i="10" a="1"/>
  <c r="E1217" i="10" s="1"/>
  <c r="C1217" i="10" s="1"/>
  <c r="E1666" i="10" a="1"/>
  <c r="E1666" i="10" s="1"/>
  <c r="C1666" i="10" s="1"/>
  <c r="E2067" i="10" a="1"/>
  <c r="E2067" i="10" s="1"/>
  <c r="C2067" i="10" s="1"/>
  <c r="E2040" i="10" a="1"/>
  <c r="E2040" i="10" s="1"/>
  <c r="C2040" i="10" s="1"/>
  <c r="E2160" i="10" a="1"/>
  <c r="E2160" i="10" s="1"/>
  <c r="C2160" i="10" s="1"/>
  <c r="E3235" i="10" a="1"/>
  <c r="E3235" i="10" s="1"/>
  <c r="C3235" i="10" s="1"/>
  <c r="E3368" i="10" a="1"/>
  <c r="E3368" i="10" s="1"/>
  <c r="C3368" i="10" s="1"/>
  <c r="E3179" i="10" a="1"/>
  <c r="E3179" i="10" s="1"/>
  <c r="C3179" i="10" s="1"/>
  <c r="E2489" i="10" a="1"/>
  <c r="E2489" i="10" s="1"/>
  <c r="C2489" i="10" s="1"/>
  <c r="E2226" i="10" a="1"/>
  <c r="E2226" i="10" s="1"/>
  <c r="C2226" i="10" s="1"/>
  <c r="E1143" i="10" a="1"/>
  <c r="E1143" i="10" s="1"/>
  <c r="C1143" i="10" s="1"/>
  <c r="E1713" i="10" a="1"/>
  <c r="E1713" i="10" s="1"/>
  <c r="C1713" i="10" s="1"/>
  <c r="E1274" i="10" a="1"/>
  <c r="E1274" i="10" s="1"/>
  <c r="C1274" i="10" s="1"/>
  <c r="E1241" i="10" a="1"/>
  <c r="E1241" i="10" s="1"/>
  <c r="C1241" i="10" s="1"/>
  <c r="E851" i="10" a="1"/>
  <c r="E851" i="10" s="1"/>
  <c r="C851" i="10" s="1"/>
  <c r="E410" i="10" a="1"/>
  <c r="E410" i="10" s="1"/>
  <c r="C410" i="10" s="1"/>
  <c r="E413" i="10" a="1"/>
  <c r="E413" i="10" s="1"/>
  <c r="C413" i="10" s="1"/>
  <c r="E687" i="10" a="1"/>
  <c r="E687" i="10" s="1"/>
  <c r="C687" i="10" s="1"/>
  <c r="E913" i="10" a="1"/>
  <c r="E913" i="10" s="1"/>
  <c r="C913" i="10" s="1"/>
  <c r="E918" i="10" a="1"/>
  <c r="E918" i="10" s="1"/>
  <c r="C918" i="10" s="1"/>
  <c r="E1875" i="10" a="1"/>
  <c r="E1875" i="10" s="1"/>
  <c r="C1875" i="10" s="1"/>
  <c r="E2612" i="10" a="1"/>
  <c r="E2612" i="10" s="1"/>
  <c r="C2612" i="10" s="1"/>
  <c r="E347" i="10" a="1"/>
  <c r="E347" i="10" s="1"/>
  <c r="C347" i="10" s="1"/>
  <c r="E2174" i="10" a="1"/>
  <c r="E2174" i="10" s="1"/>
  <c r="C2174" i="10" s="1"/>
  <c r="E978" i="10" a="1"/>
  <c r="E978" i="10" s="1"/>
  <c r="C978" i="10" s="1"/>
  <c r="E1167" i="10" a="1"/>
  <c r="E1167" i="10" s="1"/>
  <c r="C1167" i="10" s="1"/>
  <c r="E2971" i="10" a="1"/>
  <c r="E2971" i="10" s="1"/>
  <c r="C2971" i="10" s="1"/>
  <c r="E1611" i="10" a="1"/>
  <c r="E1611" i="10" s="1"/>
  <c r="C1611" i="10" s="1"/>
  <c r="E2883" i="10" a="1"/>
  <c r="E2883" i="10" s="1"/>
  <c r="C2883" i="10" s="1"/>
  <c r="E1374" i="10" a="1"/>
  <c r="E1374" i="10" s="1"/>
  <c r="C1374" i="10" s="1"/>
  <c r="E2786" i="10" a="1"/>
  <c r="E2786" i="10" s="1"/>
  <c r="C2786" i="10" s="1"/>
  <c r="E2774" i="10" a="1"/>
  <c r="E2774" i="10" s="1"/>
  <c r="C2774" i="10" s="1"/>
  <c r="E2854" i="10" a="1"/>
  <c r="E2854" i="10" s="1"/>
  <c r="C2854" i="10" s="1"/>
  <c r="E2496" i="10" a="1"/>
  <c r="E2496" i="10" s="1"/>
  <c r="C2496" i="10" s="1"/>
  <c r="E2504" i="10" a="1"/>
  <c r="E2504" i="10" s="1"/>
  <c r="C2504" i="10" s="1"/>
  <c r="E710" i="10" a="1"/>
  <c r="E710" i="10" s="1"/>
  <c r="C710" i="10" s="1"/>
  <c r="E61" i="10" a="1"/>
  <c r="E61" i="10" s="1"/>
  <c r="C61" i="10" s="1"/>
  <c r="E1337" i="10" a="1"/>
  <c r="E1337" i="10" s="1"/>
  <c r="C1337" i="10" s="1"/>
  <c r="E1979" i="10" a="1"/>
  <c r="E1979" i="10" s="1"/>
  <c r="C1979" i="10" s="1"/>
  <c r="E290" i="10" a="1"/>
  <c r="E290" i="10" s="1"/>
  <c r="C290" i="10" s="1"/>
  <c r="E1663" i="10" a="1"/>
  <c r="E1663" i="10" s="1"/>
  <c r="C1663" i="10" s="1"/>
  <c r="E2008" i="10" a="1"/>
  <c r="E2008" i="10" s="1"/>
  <c r="C2008" i="10" s="1"/>
  <c r="E1271" i="10" a="1"/>
  <c r="E1271" i="10" s="1"/>
  <c r="C1271" i="10" s="1"/>
  <c r="E1013" i="10" a="1"/>
  <c r="E1013" i="10" s="1"/>
  <c r="C1013" i="10" s="1"/>
  <c r="E1238" i="10" a="1"/>
  <c r="E1238" i="10" s="1"/>
  <c r="C1238" i="10" s="1"/>
  <c r="E2146" i="10" a="1"/>
  <c r="E2146" i="10" s="1"/>
  <c r="C2146" i="10" s="1"/>
  <c r="E1332" i="10" a="1"/>
  <c r="E1332" i="10" s="1"/>
  <c r="C1332" i="10" s="1"/>
  <c r="E1104" i="10" a="1"/>
  <c r="E1104" i="10" s="1"/>
  <c r="C1104" i="10" s="1"/>
  <c r="E3352" i="10" a="1"/>
  <c r="E3352" i="10" s="1"/>
  <c r="C3352" i="10" s="1"/>
  <c r="E998" i="10" a="1"/>
  <c r="E998" i="10" s="1"/>
  <c r="C998" i="10" s="1"/>
  <c r="E806" i="10" a="1"/>
  <c r="E806" i="10" s="1"/>
  <c r="C806" i="10" s="1"/>
  <c r="E2079" i="10" a="1"/>
  <c r="E2079" i="10" s="1"/>
  <c r="C2079" i="10" s="1"/>
  <c r="E2749" i="10" a="1"/>
  <c r="E2749" i="10" s="1"/>
  <c r="C2749" i="10" s="1"/>
  <c r="E2717" i="10" a="1"/>
  <c r="E2717" i="10" s="1"/>
  <c r="C2717" i="10" s="1"/>
  <c r="E2005" i="10" a="1"/>
  <c r="E2005" i="10" s="1"/>
  <c r="C2005" i="10" s="1"/>
  <c r="E454" i="10" a="1"/>
  <c r="E454" i="10" s="1"/>
  <c r="C454" i="10" s="1"/>
  <c r="E16" i="10" a="1"/>
  <c r="E16" i="10" s="1"/>
  <c r="C16" i="10" s="1"/>
  <c r="E818" i="10" a="1"/>
  <c r="E818" i="10" s="1"/>
  <c r="C818" i="10" s="1"/>
  <c r="E95" i="10" a="1"/>
  <c r="E95" i="10" s="1"/>
  <c r="C95" i="10" s="1"/>
  <c r="E358" i="10" a="1"/>
  <c r="E358" i="10" s="1"/>
  <c r="C358" i="10" s="1"/>
  <c r="E1357" i="10" a="1"/>
  <c r="E1357" i="10" s="1"/>
  <c r="C1357" i="10" s="1"/>
  <c r="E901" i="10" a="1"/>
  <c r="E901" i="10" s="1"/>
  <c r="C901" i="10" s="1"/>
  <c r="E417" i="10" a="1"/>
  <c r="E417" i="10" s="1"/>
  <c r="C417" i="10" s="1"/>
  <c r="E198" i="10" a="1"/>
  <c r="E198" i="10" s="1"/>
  <c r="C198" i="10" s="1"/>
  <c r="E457" i="10" a="1"/>
  <c r="E457" i="10" s="1"/>
  <c r="C457" i="10" s="1"/>
  <c r="E2972" i="10" a="1"/>
  <c r="E2972" i="10" s="1"/>
  <c r="C2972" i="10" s="1"/>
  <c r="E3272" i="10" a="1"/>
  <c r="E3272" i="10" s="1"/>
  <c r="C3272" i="10" s="1"/>
  <c r="E2207" i="10" a="1"/>
  <c r="E2207" i="10" s="1"/>
  <c r="C2207" i="10" s="1"/>
  <c r="E1494" i="10" a="1"/>
  <c r="E1494" i="10" s="1"/>
  <c r="C1494" i="10" s="1"/>
  <c r="E2412" i="10" a="1"/>
  <c r="E2412" i="10" s="1"/>
  <c r="C2412" i="10" s="1"/>
  <c r="E1945" i="10" a="1"/>
  <c r="E1945" i="10" s="1"/>
  <c r="C1945" i="10" s="1"/>
  <c r="E223" i="10" a="1"/>
  <c r="E223" i="10" s="1"/>
  <c r="C223" i="10" s="1"/>
  <c r="E829" i="10" a="1"/>
  <c r="E829" i="10" s="1"/>
  <c r="C829" i="10" s="1"/>
  <c r="E1251" i="10" a="1"/>
  <c r="E1251" i="10" s="1"/>
  <c r="C1251" i="10" s="1"/>
  <c r="E1322" i="10" a="1"/>
  <c r="E1322" i="10" s="1"/>
  <c r="C1322" i="10" s="1"/>
  <c r="E1027" i="10" a="1"/>
  <c r="E1027" i="10" s="1"/>
  <c r="C1027" i="10" s="1"/>
  <c r="E90" i="10" a="1"/>
  <c r="E90" i="10" s="1"/>
  <c r="C90" i="10" s="1"/>
  <c r="E807" i="10" a="1"/>
  <c r="E807" i="10" s="1"/>
  <c r="C807" i="10" s="1"/>
  <c r="E1780" i="10" a="1"/>
  <c r="E1780" i="10" s="1"/>
  <c r="C1780" i="10" s="1"/>
  <c r="E2020" i="10" a="1"/>
  <c r="E2020" i="10" s="1"/>
  <c r="C2020" i="10" s="1"/>
  <c r="E2735" i="10" a="1"/>
  <c r="E2735" i="10" s="1"/>
  <c r="C2735" i="10" s="1"/>
  <c r="E208" i="10" a="1"/>
  <c r="E208" i="10" s="1"/>
  <c r="C208" i="10" s="1"/>
  <c r="E2222" i="10" a="1"/>
  <c r="E2222" i="10" s="1"/>
  <c r="C2222" i="10" s="1"/>
  <c r="E2486" i="10" a="1"/>
  <c r="E2486" i="10" s="1"/>
  <c r="C2486" i="10" s="1"/>
  <c r="E765" i="10" a="1"/>
  <c r="E765" i="10" s="1"/>
  <c r="C765" i="10" s="1"/>
  <c r="E1239" i="10" a="1"/>
  <c r="E1239" i="10" s="1"/>
  <c r="C1239" i="10" s="1"/>
  <c r="E2521" i="10" a="1"/>
  <c r="E2521" i="10" s="1"/>
  <c r="C2521" i="10" s="1"/>
  <c r="E2166" i="10" a="1"/>
  <c r="E2166" i="10" s="1"/>
  <c r="C2166" i="10" s="1"/>
  <c r="E2820" i="10" a="1"/>
  <c r="E2820" i="10" s="1"/>
  <c r="C2820" i="10" s="1"/>
  <c r="E2587" i="10" a="1"/>
  <c r="E2587" i="10" s="1"/>
  <c r="C2587" i="10" s="1"/>
  <c r="E2848" i="10" a="1"/>
  <c r="E2848" i="10" s="1"/>
  <c r="C2848" i="10" s="1"/>
  <c r="E2887" i="10" a="1"/>
  <c r="E2887" i="10" s="1"/>
  <c r="C2887" i="10" s="1"/>
  <c r="E1233" i="10" a="1"/>
  <c r="E1233" i="10" s="1"/>
  <c r="C1233" i="10" s="1"/>
  <c r="E130" i="10" a="1"/>
  <c r="E130" i="10" s="1"/>
  <c r="C130" i="10" s="1"/>
  <c r="E105" i="10" a="1"/>
  <c r="E105" i="10" s="1"/>
  <c r="C105" i="10" s="1"/>
  <c r="E762" i="10" a="1"/>
  <c r="E762" i="10" s="1"/>
  <c r="C762" i="10" s="1"/>
  <c r="E538" i="10" a="1"/>
  <c r="E538" i="10" s="1"/>
  <c r="C538" i="10" s="1"/>
  <c r="E331" i="10" a="1"/>
  <c r="E331" i="10" s="1"/>
  <c r="C331" i="10" s="1"/>
  <c r="E1162" i="10" a="1"/>
  <c r="E1162" i="10" s="1"/>
  <c r="C1162" i="10" s="1"/>
  <c r="E1405" i="10" a="1"/>
  <c r="E1405" i="10" s="1"/>
  <c r="C1405" i="10" s="1"/>
  <c r="E1484" i="10" a="1"/>
  <c r="E1484" i="10" s="1"/>
  <c r="C1484" i="10" s="1"/>
  <c r="E475" i="10" a="1"/>
  <c r="E475" i="10" s="1"/>
  <c r="C475" i="10" s="1"/>
  <c r="E1614" i="10" a="1"/>
  <c r="E1614" i="10" s="1"/>
  <c r="C1614" i="10" s="1"/>
  <c r="E1402" i="10" a="1"/>
  <c r="E1402" i="10" s="1"/>
  <c r="C1402" i="10" s="1"/>
  <c r="E1935" i="10" a="1"/>
  <c r="E1935" i="10" s="1"/>
  <c r="C1935" i="10" s="1"/>
  <c r="E1430" i="10" a="1"/>
  <c r="E1430" i="10" s="1"/>
  <c r="C1430" i="10" s="1"/>
  <c r="E1170" i="10" a="1"/>
  <c r="E1170" i="10" s="1"/>
  <c r="C1170" i="10" s="1"/>
  <c r="E2524" i="10" a="1"/>
  <c r="E2524" i="10" s="1"/>
  <c r="C2524" i="10" s="1"/>
  <c r="E3354" i="10" a="1"/>
  <c r="E3354" i="10" s="1"/>
  <c r="C3354" i="10" s="1"/>
  <c r="E2927" i="10" a="1"/>
  <c r="E2927" i="10" s="1"/>
  <c r="C2927" i="10" s="1"/>
  <c r="E3029" i="10" a="1"/>
  <c r="E3029" i="10" s="1"/>
  <c r="C3029" i="10" s="1"/>
  <c r="E3364" i="10" a="1"/>
  <c r="E3364" i="10" s="1"/>
  <c r="C3364" i="10" s="1"/>
  <c r="E533" i="10" a="1"/>
  <c r="E533" i="10" s="1"/>
  <c r="C533" i="10" s="1"/>
  <c r="E303" i="10" a="1"/>
  <c r="E303" i="10" s="1"/>
  <c r="C303" i="10" s="1"/>
  <c r="E1067" i="10" a="1"/>
  <c r="E1067" i="10" s="1"/>
  <c r="C1067" i="10" s="1"/>
  <c r="E1021" i="10" a="1"/>
  <c r="E1021" i="10" s="1"/>
  <c r="C1021" i="10" s="1"/>
  <c r="E824" i="10" a="1"/>
  <c r="E824" i="10" s="1"/>
  <c r="C824" i="10" s="1"/>
  <c r="E1913" i="10" a="1"/>
  <c r="E1913" i="10" s="1"/>
  <c r="C1913" i="10" s="1"/>
  <c r="E1293" i="10" a="1"/>
  <c r="E1293" i="10" s="1"/>
  <c r="C1293" i="10" s="1"/>
  <c r="E330" i="10" a="1"/>
  <c r="E330" i="10" s="1"/>
  <c r="C330" i="10" s="1"/>
  <c r="E1859" i="10" a="1"/>
  <c r="E1859" i="10" s="1"/>
  <c r="C1859" i="10" s="1"/>
  <c r="E2350" i="10" a="1"/>
  <c r="E2350" i="10" s="1"/>
  <c r="C2350" i="10" s="1"/>
  <c r="E3204" i="10" a="1"/>
  <c r="E3204" i="10" s="1"/>
  <c r="C3204" i="10" s="1"/>
  <c r="E2635" i="10" a="1"/>
  <c r="E2635" i="10" s="1"/>
  <c r="C2635" i="10" s="1"/>
  <c r="E1003" i="10" a="1"/>
  <c r="E1003" i="10" s="1"/>
  <c r="C1003" i="10" s="1"/>
  <c r="E2237" i="10" a="1"/>
  <c r="E2237" i="10" s="1"/>
  <c r="C2237" i="10" s="1"/>
  <c r="E1676" i="10" a="1"/>
  <c r="E1676" i="10" s="1"/>
  <c r="C1676" i="10" s="1"/>
  <c r="E2608" i="10" a="1"/>
  <c r="E2608" i="10" s="1"/>
  <c r="C2608" i="10" s="1"/>
  <c r="E3313" i="10" a="1"/>
  <c r="E3313" i="10" s="1"/>
  <c r="C3313" i="10" s="1"/>
  <c r="E2241" i="10" a="1"/>
  <c r="E2241" i="10" s="1"/>
  <c r="C2241" i="10" s="1"/>
  <c r="E2050" i="10" a="1"/>
  <c r="E2050" i="10" s="1"/>
  <c r="C2050" i="10" s="1"/>
  <c r="E2712" i="10" a="1"/>
  <c r="E2712" i="10" s="1"/>
  <c r="C2712" i="10" s="1"/>
  <c r="E1115" i="10" a="1"/>
  <c r="E1115" i="10" s="1"/>
  <c r="C1115" i="10" s="1"/>
  <c r="E407" i="10" a="1"/>
  <c r="E407" i="10" s="1"/>
  <c r="C407" i="10" s="1"/>
  <c r="E131" i="10" a="1"/>
  <c r="E131" i="10" s="1"/>
  <c r="C131" i="10" s="1"/>
  <c r="E1051" i="10" a="1"/>
  <c r="E1051" i="10" s="1"/>
  <c r="C1051" i="10" s="1"/>
  <c r="E119" i="10" a="1"/>
  <c r="E119" i="10" s="1"/>
  <c r="C119" i="10" s="1"/>
  <c r="E635" i="10" a="1"/>
  <c r="E635" i="10" s="1"/>
  <c r="C635" i="10" s="1"/>
  <c r="E1285" i="10" a="1"/>
  <c r="E1285" i="10" s="1"/>
  <c r="C1285" i="10" s="1"/>
  <c r="E1530" i="10" a="1"/>
  <c r="E1530" i="10" s="1"/>
  <c r="C1530" i="10" s="1"/>
  <c r="E33" i="10" a="1"/>
  <c r="E33" i="10" s="1"/>
  <c r="C33" i="10" s="1"/>
  <c r="E506" i="10" a="1"/>
  <c r="E506" i="10" s="1"/>
  <c r="C506" i="10" s="1"/>
  <c r="E2374" i="10" a="1"/>
  <c r="E2374" i="10" s="1"/>
  <c r="C2374" i="10" s="1"/>
  <c r="E1960" i="10" a="1"/>
  <c r="E1960" i="10" s="1"/>
  <c r="C1960" i="10" s="1"/>
  <c r="E811" i="10" a="1"/>
  <c r="E811" i="10" s="1"/>
  <c r="C811" i="10" s="1"/>
  <c r="E968" i="10" a="1"/>
  <c r="E968" i="10" s="1"/>
  <c r="C968" i="10" s="1"/>
  <c r="E2674" i="10" a="1"/>
  <c r="E2674" i="10" s="1"/>
  <c r="C2674" i="10" s="1"/>
  <c r="E1096" i="10" a="1"/>
  <c r="E1096" i="10" s="1"/>
  <c r="C1096" i="10" s="1"/>
  <c r="E3133" i="10" a="1"/>
  <c r="E3133" i="10" s="1"/>
  <c r="C3133" i="10" s="1"/>
  <c r="E2783" i="10" a="1"/>
  <c r="E2783" i="10" s="1"/>
  <c r="C2783" i="10" s="1"/>
  <c r="E1908" i="10" a="1"/>
  <c r="E1908" i="10" s="1"/>
  <c r="C1908" i="10" s="1"/>
  <c r="E1529" i="10" a="1"/>
  <c r="E1529" i="10" s="1"/>
  <c r="C1529" i="10" s="1"/>
  <c r="E3335" i="10" a="1"/>
  <c r="E3335" i="10" s="1"/>
  <c r="C3335" i="10" s="1"/>
  <c r="E2649" i="10" a="1"/>
  <c r="E2649" i="10" s="1"/>
  <c r="C2649" i="10" s="1"/>
  <c r="E459" i="10" a="1"/>
  <c r="E459" i="10" s="1"/>
  <c r="C459" i="10" s="1"/>
  <c r="E1352" i="10" a="1"/>
  <c r="E1352" i="10" s="1"/>
  <c r="C1352" i="10" s="1"/>
  <c r="E300" i="10" a="1"/>
  <c r="E300" i="10" s="1"/>
  <c r="C300" i="10" s="1"/>
  <c r="E820" i="10" a="1"/>
  <c r="E820" i="10" s="1"/>
  <c r="C820" i="10" s="1"/>
  <c r="E630" i="10" a="1"/>
  <c r="E630" i="10" s="1"/>
  <c r="C630" i="10" s="1"/>
  <c r="E41" i="10" a="1"/>
  <c r="E41" i="10" s="1"/>
  <c r="C41" i="10" s="1"/>
  <c r="E969" i="10" a="1"/>
  <c r="E969" i="10" s="1"/>
  <c r="C969" i="10" s="1"/>
  <c r="E2033" i="10" a="1"/>
  <c r="E2033" i="10" s="1"/>
  <c r="C2033" i="10" s="1"/>
  <c r="E180" i="10" a="1"/>
  <c r="E180" i="10" s="1"/>
  <c r="C180" i="10" s="1"/>
  <c r="E2115" i="10" a="1"/>
  <c r="E2115" i="10" s="1"/>
  <c r="C2115" i="10" s="1"/>
  <c r="E2568" i="10" a="1"/>
  <c r="E2568" i="10" s="1"/>
  <c r="C2568" i="10" s="1"/>
  <c r="E952" i="10" a="1"/>
  <c r="E952" i="10" s="1"/>
  <c r="C952" i="10" s="1"/>
  <c r="E1528" i="10" a="1"/>
  <c r="E1528" i="10" s="1"/>
  <c r="C1528" i="10" s="1"/>
  <c r="E2250" i="10" a="1"/>
  <c r="E2250" i="10" s="1"/>
  <c r="C2250" i="10" s="1"/>
  <c r="E2463" i="10" a="1"/>
  <c r="E2463" i="10" s="1"/>
  <c r="C2463" i="10" s="1"/>
  <c r="E3113" i="10" a="1"/>
  <c r="E3113" i="10" s="1"/>
  <c r="C3113" i="10" s="1"/>
  <c r="E2540" i="10" a="1"/>
  <c r="E2540" i="10" s="1"/>
  <c r="C2540" i="10" s="1"/>
  <c r="E2181" i="10" a="1"/>
  <c r="E2181" i="10" s="1"/>
  <c r="C2181" i="10" s="1"/>
  <c r="E2048" i="10" a="1"/>
  <c r="E2048" i="10" s="1"/>
  <c r="C2048" i="10" s="1"/>
  <c r="E2898" i="10" a="1"/>
  <c r="E2898" i="10" s="1"/>
  <c r="C2898" i="10" s="1"/>
  <c r="E3280" i="10" a="1"/>
  <c r="E3280" i="10" s="1"/>
  <c r="C3280" i="10" s="1"/>
  <c r="E767" i="10" a="1"/>
  <c r="E767" i="10" s="1"/>
  <c r="C767" i="10" s="1"/>
  <c r="E932" i="10" a="1"/>
  <c r="E932" i="10" s="1"/>
  <c r="C932" i="10" s="1"/>
  <c r="E1199" i="10" a="1"/>
  <c r="E1199" i="10" s="1"/>
  <c r="C1199" i="10" s="1"/>
  <c r="E1941" i="10" a="1"/>
  <c r="E1941" i="10" s="1"/>
  <c r="C1941" i="10" s="1"/>
  <c r="E792" i="10" a="1"/>
  <c r="E792" i="10" s="1"/>
  <c r="C792" i="10" s="1"/>
  <c r="E1871" i="10" a="1"/>
  <c r="E1871" i="10" s="1"/>
  <c r="C1871" i="10" s="1"/>
  <c r="E274" i="10" a="1"/>
  <c r="E274" i="10" s="1"/>
  <c r="C274" i="10" s="1"/>
  <c r="E2155" i="10" a="1"/>
  <c r="E2155" i="10" s="1"/>
  <c r="C2155" i="10" s="1"/>
  <c r="E2321" i="10" a="1"/>
  <c r="E2321" i="10" s="1"/>
  <c r="C2321" i="10" s="1"/>
  <c r="E2076" i="10" a="1"/>
  <c r="E2076" i="10" s="1"/>
  <c r="C2076" i="10" s="1"/>
  <c r="E2194" i="10" a="1"/>
  <c r="E2194" i="10" s="1"/>
  <c r="C2194" i="10" s="1"/>
  <c r="E2985" i="10" a="1"/>
  <c r="E2985" i="10" s="1"/>
  <c r="C2985" i="10" s="1"/>
  <c r="E2487" i="10" a="1"/>
  <c r="E2487" i="10" s="1"/>
  <c r="C2487" i="10" s="1"/>
  <c r="E1900" i="10" a="1"/>
  <c r="E1900" i="10" s="1"/>
  <c r="C1900" i="10" s="1"/>
  <c r="E3307" i="10" a="1"/>
  <c r="E3307" i="10" s="1"/>
  <c r="C3307" i="10" s="1"/>
  <c r="E3168" i="10" a="1"/>
  <c r="E3168" i="10" s="1"/>
  <c r="C3168" i="10" s="1"/>
  <c r="E2657" i="10" a="1"/>
  <c r="E2657" i="10" s="1"/>
  <c r="C2657" i="10" s="1"/>
  <c r="E1726" i="10" a="1"/>
  <c r="E1726" i="10" s="1"/>
  <c r="C1726" i="10" s="1"/>
  <c r="E2408" i="10" a="1"/>
  <c r="E2408" i="10" s="1"/>
  <c r="C2408" i="10" s="1"/>
  <c r="E2375" i="10" a="1"/>
  <c r="E2375" i="10" s="1"/>
  <c r="C2375" i="10" s="1"/>
  <c r="E530" i="10" a="1"/>
  <c r="E530" i="10" s="1"/>
  <c r="C530" i="10" s="1"/>
  <c r="E89" i="10" a="1"/>
  <c r="E89" i="10" s="1"/>
  <c r="C89" i="10" s="1"/>
  <c r="E287" i="10" a="1"/>
  <c r="E287" i="10" s="1"/>
  <c r="C287" i="10" s="1"/>
  <c r="E1094" i="10" a="1"/>
  <c r="E1094" i="10" s="1"/>
  <c r="C1094" i="10" s="1"/>
  <c r="E190" i="10" a="1"/>
  <c r="E190" i="10" s="1"/>
  <c r="C190" i="10" s="1"/>
  <c r="E27" i="10" a="1"/>
  <c r="E27" i="10" s="1"/>
  <c r="C27" i="10" s="1"/>
  <c r="E713" i="10" a="1"/>
  <c r="E713" i="10" s="1"/>
  <c r="C713" i="10" s="1"/>
  <c r="E979" i="10" a="1"/>
  <c r="E979" i="10" s="1"/>
  <c r="C979" i="10" s="1"/>
  <c r="E1225" i="10" a="1"/>
  <c r="E1225" i="10" s="1"/>
  <c r="C1225" i="10" s="1"/>
  <c r="E1090" i="10" a="1"/>
  <c r="E1090" i="10" s="1"/>
  <c r="C1090" i="10" s="1"/>
  <c r="E903" i="10" a="1"/>
  <c r="E903" i="10" s="1"/>
  <c r="C903" i="10" s="1"/>
  <c r="E1363" i="10" a="1"/>
  <c r="E1363" i="10" s="1"/>
  <c r="C1363" i="10" s="1"/>
  <c r="E1540" i="10" a="1"/>
  <c r="E1540" i="10" s="1"/>
  <c r="C1540" i="10" s="1"/>
  <c r="E1732" i="10" a="1"/>
  <c r="E1732" i="10" s="1"/>
  <c r="C1732" i="10" s="1"/>
  <c r="E1407" i="10" a="1"/>
  <c r="E1407" i="10" s="1"/>
  <c r="C1407" i="10" s="1"/>
  <c r="E3232" i="10" a="1"/>
  <c r="E3232" i="10" s="1"/>
  <c r="C3232" i="10" s="1"/>
  <c r="E2404" i="10" a="1"/>
  <c r="E2404" i="10" s="1"/>
  <c r="C2404" i="10" s="1"/>
  <c r="E1344" i="10" a="1"/>
  <c r="E1344" i="10" s="1"/>
  <c r="C1344" i="10" s="1"/>
  <c r="E2645" i="10" a="1"/>
  <c r="E2645" i="10" s="1"/>
  <c r="C2645" i="10" s="1"/>
  <c r="E3031" i="10" a="1"/>
  <c r="E3031" i="10" s="1"/>
  <c r="C3031" i="10" s="1"/>
  <c r="E2385" i="10" a="1"/>
  <c r="E2385" i="10" s="1"/>
  <c r="C2385" i="10" s="1"/>
  <c r="E3021" i="10" a="1"/>
  <c r="E3021" i="10" s="1"/>
  <c r="C3021" i="10" s="1"/>
  <c r="E2727" i="10" a="1"/>
  <c r="E2727" i="10" s="1"/>
  <c r="C2727" i="10" s="1"/>
  <c r="E3213" i="10" a="1"/>
  <c r="E3213" i="10" s="1"/>
  <c r="C3213" i="10" s="1"/>
  <c r="E3146" i="10" a="1"/>
  <c r="E3146" i="10" s="1"/>
  <c r="C3146" i="10" s="1"/>
  <c r="E2529" i="10" a="1"/>
  <c r="E2529" i="10" s="1"/>
  <c r="C2529" i="10" s="1"/>
  <c r="E3162" i="10" a="1"/>
  <c r="E3162" i="10" s="1"/>
  <c r="C3162" i="10" s="1"/>
  <c r="E1031" i="10" a="1"/>
  <c r="E1031" i="10" s="1"/>
  <c r="C1031" i="10" s="1"/>
  <c r="E1462" i="10" a="1"/>
  <c r="E1462" i="10" s="1"/>
  <c r="C1462" i="10" s="1"/>
  <c r="E3118" i="10" a="1"/>
  <c r="E3118" i="10" s="1"/>
  <c r="C3118" i="10" s="1"/>
  <c r="E2796" i="10" a="1"/>
  <c r="E2796" i="10" s="1"/>
  <c r="C2796" i="10" s="1"/>
  <c r="E2864" i="10" a="1"/>
  <c r="E2864" i="10" s="1"/>
  <c r="C2864" i="10" s="1"/>
  <c r="E2643" i="10" a="1"/>
  <c r="E2643" i="10" s="1"/>
  <c r="C2643" i="10" s="1"/>
  <c r="E2748" i="10" a="1"/>
  <c r="E2748" i="10" s="1"/>
  <c r="C2748" i="10" s="1"/>
  <c r="E2491" i="10" a="1"/>
  <c r="E2491" i="10" s="1"/>
  <c r="C2491" i="10" s="1"/>
  <c r="E2329" i="10" a="1"/>
  <c r="E2329" i="10" s="1"/>
  <c r="C2329" i="10" s="1"/>
  <c r="E2704" i="10" a="1"/>
  <c r="E2704" i="10" s="1"/>
  <c r="C2704" i="10" s="1"/>
  <c r="E2271" i="10" a="1"/>
  <c r="E2271" i="10" s="1"/>
  <c r="C2271" i="10" s="1"/>
  <c r="E2873" i="10" a="1"/>
  <c r="E2873" i="10" s="1"/>
  <c r="C2873" i="10" s="1"/>
  <c r="E2536" i="10" a="1"/>
  <c r="E2536" i="10" s="1"/>
  <c r="C2536" i="10" s="1"/>
  <c r="E2787" i="10" a="1"/>
  <c r="E2787" i="10" s="1"/>
  <c r="C2787" i="10" s="1"/>
  <c r="E3224" i="10" a="1"/>
  <c r="E3224" i="10" s="1"/>
  <c r="C3224" i="10" s="1"/>
  <c r="E2823" i="10" a="1"/>
  <c r="E2823" i="10" s="1"/>
  <c r="C2823" i="10" s="1"/>
  <c r="E3382" i="10" a="1"/>
  <c r="E3382" i="10" s="1"/>
  <c r="C3382" i="10" s="1"/>
  <c r="E1718" i="10" a="1"/>
  <c r="E1718" i="10" s="1"/>
  <c r="C1718" i="10" s="1"/>
  <c r="E3042" i="10" a="1"/>
  <c r="E3042" i="10" s="1"/>
  <c r="C3042" i="10" s="1"/>
  <c r="E2965" i="10" a="1"/>
  <c r="E2965" i="10" s="1"/>
  <c r="C2965" i="10" s="1"/>
  <c r="E2531" i="10" a="1"/>
  <c r="E2531" i="10" s="1"/>
  <c r="C2531" i="10" s="1"/>
  <c r="E2938" i="10" a="1"/>
  <c r="E2938" i="10" s="1"/>
  <c r="C2938" i="10" s="1"/>
  <c r="E2723" i="10" a="1"/>
  <c r="E2723" i="10" s="1"/>
  <c r="C2723" i="10" s="1"/>
  <c r="E2878" i="10" a="1"/>
  <c r="E2878" i="10" s="1"/>
  <c r="C2878" i="10" s="1"/>
  <c r="E735" i="10" a="1"/>
  <c r="E735" i="10" s="1"/>
  <c r="C735" i="10" s="1"/>
  <c r="E465" i="10" a="1"/>
  <c r="E465" i="10" s="1"/>
  <c r="C465" i="10" s="1"/>
  <c r="E1326" i="10" a="1"/>
  <c r="E1326" i="10" s="1"/>
  <c r="C1326" i="10" s="1"/>
  <c r="E535" i="10" a="1"/>
  <c r="E535" i="10" s="1"/>
  <c r="C535" i="10" s="1"/>
  <c r="E3122" i="10" a="1"/>
  <c r="E3122" i="10" s="1"/>
  <c r="C3122" i="10" s="1"/>
  <c r="E1277" i="10" a="1"/>
  <c r="E1277" i="10" s="1"/>
  <c r="C1277" i="10" s="1"/>
  <c r="E3308" i="10" a="1"/>
  <c r="E3308" i="10" s="1"/>
  <c r="C3308" i="10" s="1"/>
  <c r="E775" i="10" a="1"/>
  <c r="E775" i="10" s="1"/>
  <c r="C775" i="10" s="1"/>
  <c r="E2877" i="10" a="1"/>
  <c r="E2877" i="10" s="1"/>
  <c r="C2877" i="10" s="1"/>
  <c r="E1520" i="10" a="1"/>
  <c r="E1520" i="10" s="1"/>
  <c r="C1520" i="10" s="1"/>
  <c r="E2119" i="10" a="1"/>
  <c r="E2119" i="10" s="1"/>
  <c r="C2119" i="10" s="1"/>
  <c r="E1360" i="10" a="1"/>
  <c r="E1360" i="10" s="1"/>
  <c r="C1360" i="10" s="1"/>
  <c r="E955" i="10" a="1"/>
  <c r="E955" i="10" s="1"/>
  <c r="C955" i="10" s="1"/>
  <c r="E2970" i="10" a="1"/>
  <c r="E2970" i="10" s="1"/>
  <c r="C2970" i="10" s="1"/>
  <c r="E2177" i="10" a="1"/>
  <c r="E2177" i="10" s="1"/>
  <c r="C2177" i="10" s="1"/>
  <c r="E1550" i="10" a="1"/>
  <c r="E1550" i="10" s="1"/>
  <c r="C1550" i="10" s="1"/>
  <c r="E2641" i="10" a="1"/>
  <c r="E2641" i="10" s="1"/>
  <c r="C2641" i="10" s="1"/>
  <c r="E2320" i="10" a="1"/>
  <c r="E2320" i="10" s="1"/>
  <c r="C2320" i="10" s="1"/>
  <c r="E1317" i="10" a="1"/>
  <c r="E1317" i="10" s="1"/>
  <c r="C1317" i="10" s="1"/>
  <c r="E2185" i="10" a="1"/>
  <c r="E2185" i="10" s="1"/>
  <c r="C2185" i="10" s="1"/>
  <c r="E3105" i="10" a="1"/>
  <c r="E3105" i="10" s="1"/>
  <c r="C3105" i="10" s="1"/>
  <c r="E1452" i="10" a="1"/>
  <c r="E1452" i="10" s="1"/>
  <c r="C1452" i="10" s="1"/>
  <c r="E2432" i="10" a="1"/>
  <c r="E2432" i="10" s="1"/>
  <c r="C2432" i="10" s="1"/>
  <c r="E957" i="10" a="1"/>
  <c r="E957" i="10" s="1"/>
  <c r="C957" i="10" s="1"/>
  <c r="E2204" i="10" a="1"/>
  <c r="E2204" i="10" s="1"/>
  <c r="C2204" i="10" s="1"/>
  <c r="E1201" i="10" a="1"/>
  <c r="E1201" i="10" s="1"/>
  <c r="C1201" i="10" s="1"/>
  <c r="E1700" i="10" a="1"/>
  <c r="E1700" i="10" s="1"/>
  <c r="C1700" i="10" s="1"/>
  <c r="E1150" i="10" a="1"/>
  <c r="E1150" i="10" s="1"/>
  <c r="C1150" i="10" s="1"/>
  <c r="E2105" i="10" a="1"/>
  <c r="E2105" i="10" s="1"/>
  <c r="C2105" i="10" s="1"/>
  <c r="E2477" i="10" a="1"/>
  <c r="E2477" i="10" s="1"/>
  <c r="C2477" i="10" s="1"/>
  <c r="E2601" i="10" a="1"/>
  <c r="E2601" i="10" s="1"/>
  <c r="C2601" i="10" s="1"/>
  <c r="E3055" i="10" a="1"/>
  <c r="E3055" i="10" s="1"/>
  <c r="C3055" i="10" s="1"/>
  <c r="E1133" i="10" a="1"/>
  <c r="E1133" i="10" s="1"/>
  <c r="C1133" i="10" s="1"/>
  <c r="E2298" i="10" a="1"/>
  <c r="E2298" i="10" s="1"/>
  <c r="C2298" i="10" s="1"/>
  <c r="E2815" i="10" a="1"/>
  <c r="E2815" i="10" s="1"/>
  <c r="C2815" i="10" s="1"/>
  <c r="E1281" i="10" a="1"/>
  <c r="E1281" i="10" s="1"/>
  <c r="C1281" i="10" s="1"/>
  <c r="E1068" i="10" a="1"/>
  <c r="E1068" i="10" s="1"/>
  <c r="C1068" i="10" s="1"/>
  <c r="E2249" i="10" a="1"/>
  <c r="E2249" i="10" s="1"/>
  <c r="C2249" i="10" s="1"/>
  <c r="E1022" i="10" a="1"/>
  <c r="E1022" i="10" s="1"/>
  <c r="C1022" i="10" s="1"/>
  <c r="E1077" i="10" a="1"/>
  <c r="E1077" i="10" s="1"/>
  <c r="C1077" i="10" s="1"/>
  <c r="E313" i="10" a="1"/>
  <c r="E313" i="10" s="1"/>
  <c r="C313" i="10" s="1"/>
  <c r="E394" i="10" a="1"/>
  <c r="E394" i="10" s="1"/>
  <c r="C394" i="10" s="1"/>
  <c r="E390" i="10" a="1"/>
  <c r="E390" i="10" s="1"/>
  <c r="C390" i="10" s="1"/>
  <c r="E319" i="10" a="1"/>
  <c r="E319" i="10" s="1"/>
  <c r="C319" i="10" s="1"/>
  <c r="E1146" i="10" a="1"/>
  <c r="E1146" i="10" s="1"/>
  <c r="C1146" i="10" s="1"/>
  <c r="E2485" i="10" a="1"/>
  <c r="E2485" i="10" s="1"/>
  <c r="C2485" i="10" s="1"/>
  <c r="E2138" i="10" a="1"/>
  <c r="E2138" i="10" s="1"/>
  <c r="C2138" i="10" s="1"/>
  <c r="E1155" i="10" a="1"/>
  <c r="E1155" i="10" s="1"/>
  <c r="C1155" i="10" s="1"/>
  <c r="E420" i="10" a="1"/>
  <c r="E420" i="10" s="1"/>
  <c r="C420" i="10" s="1"/>
  <c r="E1995" i="10" a="1"/>
  <c r="E1995" i="10" s="1"/>
  <c r="C1995" i="10" s="1"/>
  <c r="E1279" i="10" a="1"/>
  <c r="E1279" i="10" s="1"/>
  <c r="C1279" i="10" s="1"/>
  <c r="E1065" i="10" a="1"/>
  <c r="E1065" i="10" s="1"/>
  <c r="C1065" i="10" s="1"/>
  <c r="E2780" i="10" a="1"/>
  <c r="E2780" i="10" s="1"/>
  <c r="C2780" i="10" s="1"/>
  <c r="E1736" i="10" a="1"/>
  <c r="E1736" i="10" s="1"/>
  <c r="C1736" i="10" s="1"/>
  <c r="E2781" i="10" a="1"/>
  <c r="E2781" i="10" s="1"/>
  <c r="C2781" i="10" s="1"/>
  <c r="E2981" i="10" a="1"/>
  <c r="E2981" i="10" s="1"/>
  <c r="C2981" i="10" s="1"/>
  <c r="E2449" i="10" a="1"/>
  <c r="E2449" i="10" s="1"/>
  <c r="C2449" i="10" s="1"/>
  <c r="E2625" i="10" a="1"/>
  <c r="E2625" i="10" s="1"/>
  <c r="C2625" i="10" s="1"/>
  <c r="E3355" i="10" a="1"/>
  <c r="E3355" i="10" s="1"/>
  <c r="C3355" i="10" s="1"/>
  <c r="E1042" i="10" a="1"/>
  <c r="E1042" i="10" s="1"/>
  <c r="C1042" i="10" s="1"/>
  <c r="E3267" i="10" a="1"/>
  <c r="E3267" i="10" s="1"/>
  <c r="C3267" i="10" s="1"/>
  <c r="E2199" i="10" a="1"/>
  <c r="E2199" i="10" s="1"/>
  <c r="C2199" i="10" s="1"/>
  <c r="E2917" i="10" a="1"/>
  <c r="E2917" i="10" s="1"/>
  <c r="C2917" i="10" s="1"/>
  <c r="E2206" i="10" a="1"/>
  <c r="E2206" i="10" s="1"/>
  <c r="C2206" i="10" s="1"/>
  <c r="E2304" i="10" a="1"/>
  <c r="E2304" i="10" s="1"/>
  <c r="C2304" i="10" s="1"/>
  <c r="E1948" i="10" a="1"/>
  <c r="E1948" i="10" s="1"/>
  <c r="C1948" i="10" s="1"/>
  <c r="E1806" i="10" a="1"/>
  <c r="E1806" i="10" s="1"/>
  <c r="C1806" i="10" s="1"/>
  <c r="E2880" i="10" a="1"/>
  <c r="E2880" i="10" s="1"/>
  <c r="C2880" i="10" s="1"/>
  <c r="E1943" i="10" a="1"/>
  <c r="E1943" i="10" s="1"/>
  <c r="C1943" i="10" s="1"/>
  <c r="E2514" i="10" a="1"/>
  <c r="E2514" i="10" s="1"/>
  <c r="C2514" i="10" s="1"/>
  <c r="E2258" i="10" a="1"/>
  <c r="E2258" i="10" s="1"/>
  <c r="C2258" i="10" s="1"/>
  <c r="E2666" i="10" a="1"/>
  <c r="E2666" i="10" s="1"/>
  <c r="C2666" i="10" s="1"/>
  <c r="E2713" i="10" a="1"/>
  <c r="E2713" i="10" s="1"/>
  <c r="C2713" i="10" s="1"/>
  <c r="E1622" i="10" a="1"/>
  <c r="E1622" i="10" s="1"/>
  <c r="C1622" i="10" s="1"/>
  <c r="E2805" i="10" a="1"/>
  <c r="E2805" i="10" s="1"/>
  <c r="C2805" i="10" s="1"/>
  <c r="E2837" i="10" a="1"/>
  <c r="E2837" i="10" s="1"/>
  <c r="C2837" i="10" s="1"/>
  <c r="E2445" i="10" a="1"/>
  <c r="E2445" i="10" s="1"/>
  <c r="C2445" i="10" s="1"/>
  <c r="E2849" i="10" a="1"/>
  <c r="E2849" i="10" s="1"/>
  <c r="C2849" i="10" s="1"/>
  <c r="E2081" i="10" a="1"/>
  <c r="E2081" i="10" s="1"/>
  <c r="C2081" i="10" s="1"/>
  <c r="E2619" i="10" a="1"/>
  <c r="E2619" i="10" s="1"/>
  <c r="C2619" i="10" s="1"/>
  <c r="E3051" i="10" a="1"/>
  <c r="E3051" i="10" s="1"/>
  <c r="C3051" i="10" s="1"/>
  <c r="E2826" i="10" a="1"/>
  <c r="E2826" i="10" s="1"/>
  <c r="C2826" i="10" s="1"/>
  <c r="E2310" i="10" a="1"/>
  <c r="E2310" i="10" s="1"/>
  <c r="C2310" i="10" s="1"/>
  <c r="E3170" i="10" a="1"/>
  <c r="E3170" i="10" s="1"/>
  <c r="C3170" i="10" s="1"/>
  <c r="E2778" i="10" a="1"/>
  <c r="E2778" i="10" s="1"/>
  <c r="C2778" i="10" s="1"/>
  <c r="E2667" i="10" a="1"/>
  <c r="E2667" i="10" s="1"/>
  <c r="C2667" i="10" s="1"/>
  <c r="E2011" i="10" a="1"/>
  <c r="E2011" i="10" s="1"/>
  <c r="C2011" i="10" s="1"/>
  <c r="E911" i="10" a="1"/>
  <c r="E911" i="10" s="1"/>
  <c r="C911" i="10" s="1"/>
  <c r="E1570" i="10" a="1"/>
  <c r="E1570" i="10" s="1"/>
  <c r="C1570" i="10" s="1"/>
  <c r="E1733" i="10" a="1"/>
  <c r="E1733" i="10" s="1"/>
  <c r="C1733" i="10" s="1"/>
  <c r="E1176" i="10" a="1"/>
  <c r="E1176" i="10" s="1"/>
  <c r="C1176" i="10" s="1"/>
  <c r="E191" i="10" a="1"/>
  <c r="E191" i="10" s="1"/>
  <c r="C191" i="10" s="1"/>
  <c r="E2636" i="10" a="1"/>
  <c r="E2636" i="10" s="1"/>
  <c r="C2636" i="10" s="1"/>
  <c r="E1884" i="10" a="1"/>
  <c r="E1884" i="10" s="1"/>
  <c r="C1884" i="10" s="1"/>
  <c r="E574" i="10" a="1"/>
  <c r="E574" i="10" s="1"/>
  <c r="C574" i="10" s="1"/>
  <c r="E1984" i="10" a="1"/>
  <c r="E1984" i="10" s="1"/>
  <c r="C1984" i="10" s="1"/>
  <c r="E894" i="10" a="1"/>
  <c r="E894" i="10" s="1"/>
  <c r="C894" i="10" s="1"/>
  <c r="E1086" i="10" a="1"/>
  <c r="E1086" i="10" s="1"/>
  <c r="C1086" i="10" s="1"/>
  <c r="E872" i="10" a="1"/>
  <c r="E872" i="10" s="1"/>
  <c r="C872" i="10" s="1"/>
  <c r="E3155" i="10" a="1"/>
  <c r="E3155" i="10" s="1"/>
  <c r="C3155" i="10" s="1"/>
  <c r="E1182" i="10" a="1"/>
  <c r="E1182" i="10" s="1"/>
  <c r="C1182" i="10" s="1"/>
  <c r="E891" i="10" a="1"/>
  <c r="E891" i="10" s="1"/>
  <c r="C891" i="10" s="1"/>
  <c r="E2623" i="10" a="1"/>
  <c r="E2623" i="10" s="1"/>
  <c r="C2623" i="10" s="1"/>
  <c r="E695" i="10" a="1"/>
  <c r="E695" i="10" s="1"/>
  <c r="C695" i="10" s="1"/>
  <c r="E1792" i="10" a="1"/>
  <c r="E1792" i="10" s="1"/>
  <c r="C1792" i="10" s="1"/>
  <c r="E80" i="10" a="1"/>
  <c r="E80" i="10" s="1"/>
  <c r="C80" i="10" s="1"/>
  <c r="E1565" i="10" a="1"/>
  <c r="E1565" i="10" s="1"/>
  <c r="C1565" i="10" s="1"/>
  <c r="E151" i="10" a="1"/>
  <c r="E151" i="10" s="1"/>
  <c r="C151" i="10" s="1"/>
  <c r="E2996" i="10" a="1"/>
  <c r="E2996" i="10" s="1"/>
  <c r="C2996" i="10" s="1"/>
  <c r="E2974" i="10" a="1"/>
  <c r="E2974" i="10" s="1"/>
  <c r="C2974" i="10" s="1"/>
  <c r="E668" i="10" a="1"/>
  <c r="E668" i="10" s="1"/>
  <c r="C668" i="10" s="1"/>
  <c r="E2732" i="10" a="1"/>
  <c r="E2732" i="10" s="1"/>
  <c r="C2732" i="10" s="1"/>
  <c r="E1986" i="10" a="1"/>
  <c r="E1986" i="10" s="1"/>
  <c r="C1986" i="10" s="1"/>
  <c r="E2501" i="10" a="1"/>
  <c r="E2501" i="10" s="1"/>
  <c r="C2501" i="10" s="1"/>
  <c r="E1786" i="10" a="1"/>
  <c r="E1786" i="10" s="1"/>
  <c r="C1786" i="10" s="1"/>
  <c r="E1072" i="10" a="1"/>
  <c r="E1072" i="10" s="1"/>
  <c r="C1072" i="10" s="1"/>
  <c r="E2746" i="10" a="1"/>
  <c r="E2746" i="10" s="1"/>
  <c r="C2746" i="10" s="1"/>
  <c r="E3202" i="10" a="1"/>
  <c r="E3202" i="10" s="1"/>
  <c r="C3202" i="10" s="1"/>
  <c r="E2728" i="10" a="1"/>
  <c r="E2728" i="10" s="1"/>
  <c r="C2728" i="10" s="1"/>
  <c r="E2088" i="10" a="1"/>
  <c r="E2088" i="10" s="1"/>
  <c r="C2088" i="10" s="1"/>
  <c r="E495" i="10" a="1"/>
  <c r="E495" i="10" s="1"/>
  <c r="C495" i="10" s="1"/>
  <c r="E834" i="10" a="1"/>
  <c r="E834" i="10" s="1"/>
  <c r="C834" i="10" s="1"/>
  <c r="E545" i="10" a="1"/>
  <c r="E545" i="10" s="1"/>
  <c r="C545" i="10" s="1"/>
  <c r="E711" i="10" a="1"/>
  <c r="E711" i="10" s="1"/>
  <c r="C711" i="10" s="1"/>
  <c r="E338" i="10" a="1"/>
  <c r="E338" i="10" s="1"/>
  <c r="C338" i="10" s="1"/>
  <c r="E699" i="10" a="1"/>
  <c r="E699" i="10" s="1"/>
  <c r="C699" i="10" s="1"/>
  <c r="E2896" i="10" a="1"/>
  <c r="E2896" i="10" s="1"/>
  <c r="C2896" i="10" s="1"/>
  <c r="E2387" i="10" a="1"/>
  <c r="E2387" i="10" s="1"/>
  <c r="C2387" i="10" s="1"/>
  <c r="E3018" i="10" a="1"/>
  <c r="E3018" i="10" s="1"/>
  <c r="C3018" i="10" s="1"/>
  <c r="E1538" i="10" a="1"/>
  <c r="E1538" i="10" s="1"/>
  <c r="C1538" i="10" s="1"/>
  <c r="E1439" i="10" a="1"/>
  <c r="E1439" i="10" s="1"/>
  <c r="C1439" i="10" s="1"/>
  <c r="E398" i="10" a="1"/>
  <c r="E398" i="10" s="1"/>
  <c r="C398" i="10" s="1"/>
  <c r="E397" i="10" a="1"/>
  <c r="E397" i="10" s="1"/>
  <c r="C397" i="10" s="1"/>
  <c r="E318" i="10" a="1"/>
  <c r="E318" i="10" s="1"/>
  <c r="C318" i="10" s="1"/>
  <c r="E161" i="10" a="1"/>
  <c r="E161" i="10" s="1"/>
  <c r="C161" i="10" s="1"/>
  <c r="E1933" i="10" a="1"/>
  <c r="E1933" i="10" s="1"/>
  <c r="C1933" i="10" s="1"/>
  <c r="E1768" i="10" a="1"/>
  <c r="E1768" i="10" s="1"/>
  <c r="C1768" i="10" s="1"/>
  <c r="E2378" i="10" a="1"/>
  <c r="E2378" i="10" s="1"/>
  <c r="C2378" i="10" s="1"/>
  <c r="E243" i="10" a="1"/>
  <c r="E243" i="10" s="1"/>
  <c r="C243" i="10" s="1"/>
  <c r="E2323" i="10" a="1"/>
  <c r="E2323" i="10" s="1"/>
  <c r="C2323" i="10" s="1"/>
  <c r="E1515" i="10" a="1"/>
  <c r="E1515" i="10" s="1"/>
  <c r="C1515" i="10" s="1"/>
  <c r="E1839" i="10" a="1"/>
  <c r="E1839" i="10" s="1"/>
  <c r="C1839" i="10" s="1"/>
  <c r="E1175" i="10" a="1"/>
  <c r="E1175" i="10" s="1"/>
  <c r="C1175" i="10" s="1"/>
  <c r="E3270" i="10" a="1"/>
  <c r="E3270" i="10" s="1"/>
  <c r="C3270" i="10" s="1"/>
  <c r="E2326" i="10" a="1"/>
  <c r="E2326" i="10" s="1"/>
  <c r="C2326" i="10" s="1"/>
  <c r="E2471" i="10" a="1"/>
  <c r="E2471" i="10" s="1"/>
  <c r="C2471" i="10" s="1"/>
  <c r="E2935" i="10" a="1"/>
  <c r="E2935" i="10" s="1"/>
  <c r="C2935" i="10" s="1"/>
  <c r="E2148" i="10" a="1"/>
  <c r="E2148" i="10" s="1"/>
  <c r="C2148" i="10" s="1"/>
  <c r="E315" i="10" a="1"/>
  <c r="E315" i="10" s="1"/>
  <c r="C315" i="10" s="1"/>
  <c r="E914" i="10" a="1"/>
  <c r="E914" i="10" s="1"/>
  <c r="C914" i="10" s="1"/>
  <c r="E1028" i="10" a="1"/>
  <c r="E1028" i="10" s="1"/>
  <c r="C1028" i="10" s="1"/>
  <c r="E469" i="10" a="1"/>
  <c r="E469" i="10" s="1"/>
  <c r="C469" i="10" s="1"/>
  <c r="E271" i="10" a="1"/>
  <c r="E271" i="10" s="1"/>
  <c r="C271" i="10" s="1"/>
  <c r="E1370" i="10" a="1"/>
  <c r="E1370" i="10" s="1"/>
  <c r="C1370" i="10" s="1"/>
  <c r="E485" i="10" a="1"/>
  <c r="E485" i="10" s="1"/>
  <c r="C485" i="10" s="1"/>
  <c r="E99" i="10" a="1"/>
  <c r="E99" i="10" s="1"/>
  <c r="C99" i="10" s="1"/>
  <c r="E715" i="10" a="1"/>
  <c r="E715" i="10" s="1"/>
  <c r="C715" i="10" s="1"/>
  <c r="E582" i="10" a="1"/>
  <c r="E582" i="10" s="1"/>
  <c r="C582" i="10" s="1"/>
  <c r="E142" i="10" a="1"/>
  <c r="E142" i="10" s="1"/>
  <c r="C142" i="10" s="1"/>
  <c r="E2538" i="10" a="1"/>
  <c r="E2538" i="10" s="1"/>
  <c r="C2538" i="10" s="1"/>
  <c r="E2043" i="10" a="1"/>
  <c r="E2043" i="10" s="1"/>
  <c r="C2043" i="10" s="1"/>
  <c r="E1464" i="10" a="1"/>
  <c r="E1464" i="10" s="1"/>
  <c r="C1464" i="10" s="1"/>
  <c r="E1351" i="10" a="1"/>
  <c r="E1351" i="10" s="1"/>
  <c r="C1351" i="10" s="1"/>
  <c r="E1446" i="10" a="1"/>
  <c r="E1446" i="10" s="1"/>
  <c r="C1446" i="10" s="1"/>
  <c r="E1597" i="10" a="1"/>
  <c r="E1597" i="10" s="1"/>
  <c r="C1597" i="10" s="1"/>
  <c r="E2690" i="10" a="1"/>
  <c r="E2690" i="10" s="1"/>
  <c r="C2690" i="10" s="1"/>
  <c r="E2631" i="10" a="1"/>
  <c r="E2631" i="10" s="1"/>
  <c r="C2631" i="10" s="1"/>
  <c r="E1602" i="10" a="1"/>
  <c r="E1602" i="10" s="1"/>
  <c r="C1602" i="10" s="1"/>
  <c r="E2024" i="10" a="1"/>
  <c r="E2024" i="10" s="1"/>
  <c r="C2024" i="10" s="1"/>
  <c r="E3144" i="10" a="1"/>
  <c r="E3144" i="10" s="1"/>
  <c r="C3144" i="10" s="1"/>
  <c r="E370" i="10" a="1"/>
  <c r="E370" i="10" s="1"/>
  <c r="C370" i="10" s="1"/>
  <c r="E563" i="10" a="1"/>
  <c r="E563" i="10" s="1"/>
  <c r="C563" i="10" s="1"/>
  <c r="E886" i="10" a="1"/>
  <c r="E886" i="10" s="1"/>
  <c r="C886" i="10" s="1"/>
  <c r="E406" i="10" a="1"/>
  <c r="E406" i="10" s="1"/>
  <c r="C406" i="10" s="1"/>
  <c r="E350" i="10" a="1"/>
  <c r="E350" i="10" s="1"/>
  <c r="C350" i="10" s="1"/>
  <c r="E79" i="10" a="1"/>
  <c r="E79" i="10" s="1"/>
  <c r="C79" i="10" s="1"/>
  <c r="E578" i="10" a="1"/>
  <c r="E578" i="10" s="1"/>
  <c r="C578" i="10" s="1"/>
  <c r="E1082" i="10" a="1"/>
  <c r="E1082" i="10" s="1"/>
  <c r="C1082" i="10" s="1"/>
  <c r="E2850" i="10" a="1"/>
  <c r="E2850" i="10" s="1"/>
  <c r="C2850" i="10" s="1"/>
  <c r="E1437" i="10" a="1"/>
  <c r="E1437" i="10" s="1"/>
  <c r="C1437" i="10" s="1"/>
  <c r="E1557" i="10" a="1"/>
  <c r="E1557" i="10" s="1"/>
  <c r="C1557" i="10" s="1"/>
  <c r="E1466" i="10" a="1"/>
  <c r="E1466" i="10" s="1"/>
  <c r="C1466" i="10" s="1"/>
  <c r="E1249" i="10" a="1"/>
  <c r="E1249" i="10" s="1"/>
  <c r="C1249" i="10" s="1"/>
  <c r="E1467" i="10" a="1"/>
  <c r="E1467" i="10" s="1"/>
  <c r="C1467" i="10" s="1"/>
  <c r="E2019" i="10" a="1"/>
  <c r="E2019" i="10" s="1"/>
  <c r="C2019" i="10" s="1"/>
  <c r="E2284" i="10" a="1"/>
  <c r="E2284" i="10" s="1"/>
  <c r="C2284" i="10" s="1"/>
  <c r="E2988" i="10" a="1"/>
  <c r="E2988" i="10" s="1"/>
  <c r="C2988" i="10" s="1"/>
  <c r="E3059" i="10" a="1"/>
  <c r="E3059" i="10" s="1"/>
  <c r="C3059" i="10" s="1"/>
  <c r="E2882" i="10" a="1"/>
  <c r="E2882" i="10" s="1"/>
  <c r="C2882" i="10" s="1"/>
  <c r="E2986" i="10" a="1"/>
  <c r="E2986" i="10" s="1"/>
  <c r="C2986" i="10" s="1"/>
  <c r="E103" i="10" a="1"/>
  <c r="E103" i="10" s="1"/>
  <c r="C103" i="10" s="1"/>
  <c r="E206" i="10" a="1"/>
  <c r="E206" i="10" s="1"/>
  <c r="C206" i="10" s="1"/>
  <c r="E64" i="10" a="1"/>
  <c r="E64" i="10" s="1"/>
  <c r="C64" i="10" s="1"/>
  <c r="E450" i="10" a="1"/>
  <c r="E450" i="10" s="1"/>
  <c r="C450" i="10" s="1"/>
  <c r="E1514" i="10" a="1"/>
  <c r="E1514" i="10" s="1"/>
  <c r="C1514" i="10" s="1"/>
  <c r="E491" i="10" a="1"/>
  <c r="E491" i="10" s="1"/>
  <c r="C491" i="10" s="1"/>
  <c r="E19" i="10" a="1"/>
  <c r="E19" i="10" s="1"/>
  <c r="C19" i="10" s="1"/>
  <c r="E1709" i="10" a="1"/>
  <c r="E1709" i="10" s="1"/>
  <c r="C1709" i="10" s="1"/>
  <c r="E25" i="10" a="1"/>
  <c r="E25" i="10" s="1"/>
  <c r="C25" i="10" s="1"/>
  <c r="E2389" i="10" a="1"/>
  <c r="E2389" i="10" s="1"/>
  <c r="C2389" i="10" s="1"/>
  <c r="E2084" i="10" a="1"/>
  <c r="E2084" i="10" s="1"/>
  <c r="C2084" i="10" s="1"/>
  <c r="E1543" i="10" a="1"/>
  <c r="E1543" i="10" s="1"/>
  <c r="C1543" i="10" s="1"/>
  <c r="E1940" i="10" a="1"/>
  <c r="E1940" i="10" s="1"/>
  <c r="C1940" i="10" s="1"/>
  <c r="E2607" i="10" a="1"/>
  <c r="E2607" i="10" s="1"/>
  <c r="C2607" i="10" s="1"/>
  <c r="E2518" i="10" a="1"/>
  <c r="E2518" i="10" s="1"/>
  <c r="C2518" i="10" s="1"/>
  <c r="E2012" i="10" a="1"/>
  <c r="E2012" i="10" s="1"/>
  <c r="C2012" i="10" s="1"/>
  <c r="E815" i="10" a="1"/>
  <c r="E815" i="10" s="1"/>
  <c r="C815" i="10" s="1"/>
  <c r="E3046" i="10" a="1"/>
  <c r="E3046" i="10" s="1"/>
  <c r="C3046" i="10" s="1"/>
  <c r="E2730" i="10" a="1"/>
  <c r="E2730" i="10" s="1"/>
  <c r="C2730" i="10" s="1"/>
  <c r="E3381" i="10" a="1"/>
  <c r="E3381" i="10" s="1"/>
  <c r="C3381" i="10" s="1"/>
  <c r="E3336" i="10" a="1"/>
  <c r="E3336" i="10" s="1"/>
  <c r="C3336" i="10" s="1"/>
  <c r="E2627" i="10" a="1"/>
  <c r="E2627" i="10" s="1"/>
  <c r="C2627" i="10" s="1"/>
  <c r="E2595" i="10" a="1"/>
  <c r="E2595" i="10" s="1"/>
  <c r="C2595" i="10" s="1"/>
  <c r="E2829" i="10" a="1"/>
  <c r="E2829" i="10" s="1"/>
  <c r="C2829" i="10" s="1"/>
  <c r="E2773" i="10" a="1"/>
  <c r="E2773" i="10" s="1"/>
  <c r="C2773" i="10" s="1"/>
  <c r="E3016" i="10" a="1"/>
  <c r="E3016" i="10" s="1"/>
  <c r="C3016" i="10" s="1"/>
  <c r="E2201" i="10" a="1"/>
  <c r="E2201" i="10" s="1"/>
  <c r="C2201" i="10" s="1"/>
  <c r="E3344" i="10" a="1"/>
  <c r="E3344" i="10" s="1"/>
  <c r="C3344" i="10" s="1"/>
  <c r="E1559" i="10" a="1"/>
  <c r="E1559" i="10" s="1"/>
  <c r="C1559" i="10" s="1"/>
  <c r="E2983" i="10" a="1"/>
  <c r="E2983" i="10" s="1"/>
  <c r="C2983" i="10" s="1"/>
  <c r="E3302" i="10" a="1"/>
  <c r="E3302" i="10" s="1"/>
  <c r="C3302" i="10" s="1"/>
  <c r="E2655" i="10" a="1"/>
  <c r="E2655" i="10" s="1"/>
  <c r="C2655" i="10" s="1"/>
  <c r="E3125" i="10" a="1"/>
  <c r="E3125" i="10" s="1"/>
  <c r="C3125" i="10" s="1"/>
  <c r="E3248" i="10" a="1"/>
  <c r="E3248" i="10" s="1"/>
  <c r="C3248" i="10" s="1"/>
  <c r="E2440" i="10" a="1"/>
  <c r="E2440" i="10" s="1"/>
  <c r="C2440" i="10" s="1"/>
  <c r="E2533" i="10" a="1"/>
  <c r="E2533" i="10" s="1"/>
  <c r="C2533" i="10" s="1"/>
  <c r="E2488" i="10" a="1"/>
  <c r="E2488" i="10" s="1"/>
  <c r="C2488" i="10" s="1"/>
  <c r="E3201" i="10" a="1"/>
  <c r="E3201" i="10" s="1"/>
  <c r="C3201" i="10" s="1"/>
  <c r="E2580" i="10" a="1"/>
  <c r="E2580" i="10" s="1"/>
  <c r="C2580" i="10" s="1"/>
  <c r="E2701" i="10" a="1"/>
  <c r="E2701" i="10" s="1"/>
  <c r="C2701" i="10" s="1"/>
  <c r="E2022" i="10" a="1"/>
  <c r="E2022" i="10" s="1"/>
  <c r="C2022" i="10" s="1"/>
  <c r="E2406" i="10" a="1"/>
  <c r="E2406" i="10" s="1"/>
  <c r="C2406" i="10" s="1"/>
  <c r="E2904" i="10" a="1"/>
  <c r="E2904" i="10" s="1"/>
  <c r="C2904" i="10" s="1"/>
  <c r="E2757" i="10" a="1"/>
  <c r="E2757" i="10" s="1"/>
  <c r="C2757" i="10" s="1"/>
  <c r="E2672" i="10" a="1"/>
  <c r="E2672" i="10" s="1"/>
  <c r="C2672" i="10" s="1"/>
  <c r="E2515" i="10" a="1"/>
  <c r="E2515" i="10" s="1"/>
  <c r="C2515" i="10" s="1"/>
  <c r="E2596" i="10" a="1"/>
  <c r="E2596" i="10" s="1"/>
  <c r="C2596" i="10" s="1"/>
  <c r="E2411" i="10" a="1"/>
  <c r="E2411" i="10" s="1"/>
  <c r="C2411" i="10" s="1"/>
  <c r="E2901" i="10" a="1"/>
  <c r="E2901" i="10" s="1"/>
  <c r="C2901" i="10" s="1"/>
  <c r="E2594" i="10" a="1"/>
  <c r="E2594" i="10" s="1"/>
  <c r="C2594" i="10" s="1"/>
  <c r="E3053" i="10" a="1"/>
  <c r="E3053" i="10" s="1"/>
  <c r="C3053" i="10" s="1"/>
  <c r="E1956" i="10" a="1"/>
  <c r="E1956" i="10" s="1"/>
  <c r="C1956" i="10" s="1"/>
  <c r="E354" i="10" a="1"/>
  <c r="E354" i="10" s="1"/>
  <c r="C354" i="10" s="1"/>
  <c r="E1703" i="10" a="1"/>
  <c r="E1703" i="10" s="1"/>
  <c r="C1703" i="10" s="1"/>
  <c r="E753" i="10" a="1"/>
  <c r="E753" i="10" s="1"/>
  <c r="C753" i="10" s="1"/>
  <c r="E3206" i="10" a="1"/>
  <c r="E3206" i="10" s="1"/>
  <c r="C3206" i="10" s="1"/>
  <c r="E653" i="10" a="1"/>
  <c r="E653" i="10" s="1"/>
  <c r="C653" i="10" s="1"/>
  <c r="E1479" i="10" a="1"/>
  <c r="E1479" i="10" s="1"/>
  <c r="C1479" i="10" s="1"/>
  <c r="E857" i="10" a="1"/>
  <c r="E857" i="10" s="1"/>
  <c r="C857" i="10" s="1"/>
  <c r="E2018" i="10" a="1"/>
  <c r="E2018" i="10" s="1"/>
  <c r="C2018" i="10" s="1"/>
  <c r="E2604" i="10" a="1"/>
  <c r="E2604" i="10" s="1"/>
  <c r="C2604" i="10" s="1"/>
  <c r="E1404" i="10" a="1"/>
  <c r="E1404" i="10" s="1"/>
  <c r="C1404" i="10" s="1"/>
  <c r="E1049" i="10" a="1"/>
  <c r="E1049" i="10" s="1"/>
  <c r="C1049" i="10" s="1"/>
  <c r="E2422" i="10" a="1"/>
  <c r="E2422" i="10" s="1"/>
  <c r="C2422" i="10" s="1"/>
  <c r="E1764" i="10" a="1"/>
  <c r="E1764" i="10" s="1"/>
  <c r="C1764" i="10" s="1"/>
  <c r="E1946" i="10" a="1"/>
  <c r="E1946" i="10" s="1"/>
  <c r="C1946" i="10" s="1"/>
  <c r="E691" i="10" a="1"/>
  <c r="E691" i="10" s="1"/>
  <c r="C691" i="10" s="1"/>
  <c r="E2940" i="10" a="1"/>
  <c r="E2940" i="10" s="1"/>
  <c r="C2940" i="10" s="1"/>
  <c r="E1811" i="10" a="1"/>
  <c r="E1811" i="10" s="1"/>
  <c r="C1811" i="10" s="1"/>
  <c r="E1406" i="10" a="1"/>
  <c r="E1406" i="10" s="1"/>
  <c r="C1406" i="10" s="1"/>
  <c r="E512" i="10" a="1"/>
  <c r="E512" i="10" s="1"/>
  <c r="C512" i="10" s="1"/>
  <c r="E1399" i="10" a="1"/>
  <c r="E1399" i="10" s="1"/>
  <c r="C1399" i="10" s="1"/>
  <c r="E1069" i="10" a="1"/>
  <c r="E1069" i="10" s="1"/>
  <c r="C1069" i="10" s="1"/>
  <c r="E2464" i="10" a="1"/>
  <c r="E2464" i="10" s="1"/>
  <c r="C2464" i="10" s="1"/>
  <c r="E1604" i="10" a="1"/>
  <c r="E1604" i="10" s="1"/>
  <c r="C1604" i="10" s="1"/>
  <c r="E2282" i="10" a="1"/>
  <c r="E2282" i="10" s="1"/>
  <c r="C2282" i="10" s="1"/>
  <c r="E1178" i="10" a="1"/>
  <c r="E1178" i="10" s="1"/>
  <c r="C1178" i="10" s="1"/>
  <c r="E403" i="10" a="1"/>
  <c r="E403" i="10" s="1"/>
  <c r="C403" i="10" s="1"/>
  <c r="E3337" i="10" a="1"/>
  <c r="E3337" i="10" s="1"/>
  <c r="C3337" i="10" s="1"/>
  <c r="E1836" i="10" a="1"/>
  <c r="E1836" i="10" s="1"/>
  <c r="C1836" i="10" s="1"/>
  <c r="E2475" i="10" a="1"/>
  <c r="E2475" i="10" s="1"/>
  <c r="C2475" i="10" s="1"/>
  <c r="E2193" i="10" a="1"/>
  <c r="E2193" i="10" s="1"/>
  <c r="C2193" i="10" s="1"/>
  <c r="E82" i="10" a="1"/>
  <c r="E82" i="10" s="1"/>
  <c r="C82" i="10" s="1"/>
  <c r="E1921" i="10" a="1"/>
  <c r="E1921" i="10" s="1"/>
  <c r="C1921" i="10" s="1"/>
  <c r="E3177" i="10" a="1"/>
  <c r="E3177" i="10" s="1"/>
  <c r="C3177" i="10" s="1"/>
  <c r="E1724" i="10" a="1"/>
  <c r="E1724" i="10" s="1"/>
  <c r="C1724" i="10" s="1"/>
  <c r="E2021" i="10" a="1"/>
  <c r="E2021" i="10" s="1"/>
  <c r="C2021" i="10" s="1"/>
  <c r="E546" i="10" a="1"/>
  <c r="E546" i="10" s="1"/>
  <c r="C546" i="10" s="1"/>
  <c r="E175" i="10" a="1"/>
  <c r="E175" i="10" s="1"/>
  <c r="C175" i="10" s="1"/>
  <c r="E214" i="10" a="1"/>
  <c r="E214" i="10" s="1"/>
  <c r="C214" i="10" s="1"/>
  <c r="E1776" i="10" a="1"/>
  <c r="E1776" i="10" s="1"/>
  <c r="C1776" i="10" s="1"/>
  <c r="E1195" i="10" a="1"/>
  <c r="E1195" i="10" s="1"/>
  <c r="C1195" i="10" s="1"/>
  <c r="E1906" i="10" a="1"/>
  <c r="E1906" i="10" s="1"/>
  <c r="C1906" i="10" s="1"/>
  <c r="E1926" i="10" a="1"/>
  <c r="E1926" i="10" s="1"/>
  <c r="C1926" i="10" s="1"/>
  <c r="E1346" i="10" a="1"/>
  <c r="E1346" i="10" s="1"/>
  <c r="C1346" i="10" s="1"/>
  <c r="E1624" i="10" a="1"/>
  <c r="E1624" i="10" s="1"/>
  <c r="C1624" i="10" s="1"/>
  <c r="E1672" i="10" a="1"/>
  <c r="E1672" i="10" s="1"/>
  <c r="C1672" i="10" s="1"/>
  <c r="E1725" i="10" a="1"/>
  <c r="E1725" i="10" s="1"/>
  <c r="C1725" i="10" s="1"/>
  <c r="E3242" i="10" a="1"/>
  <c r="E3242" i="10" s="1"/>
  <c r="C3242" i="10" s="1"/>
  <c r="E2366" i="10" a="1"/>
  <c r="E2366" i="10" s="1"/>
  <c r="C2366" i="10" s="1"/>
  <c r="E696" i="10" a="1"/>
  <c r="E696" i="10" s="1"/>
  <c r="C696" i="10" s="1"/>
  <c r="E2143" i="10" a="1"/>
  <c r="E2143" i="10" s="1"/>
  <c r="C2143" i="10" s="1"/>
  <c r="E2349" i="10" a="1"/>
  <c r="E2349" i="10" s="1"/>
  <c r="C2349" i="10" s="1"/>
  <c r="E2287" i="10" a="1"/>
  <c r="E2287" i="10" s="1"/>
  <c r="C2287" i="10" s="1"/>
  <c r="E3325" i="10" a="1"/>
  <c r="E3325" i="10" s="1"/>
  <c r="C3325" i="10" s="1"/>
  <c r="E2744" i="10" a="1"/>
  <c r="E2744" i="10" s="1"/>
  <c r="C2744" i="10" s="1"/>
  <c r="E2316" i="10" a="1"/>
  <c r="E2316" i="10" s="1"/>
  <c r="C2316" i="10" s="1"/>
  <c r="E1738" i="10" a="1"/>
  <c r="E1738" i="10" s="1"/>
  <c r="C1738" i="10" s="1"/>
  <c r="E1020" i="10" a="1"/>
  <c r="E1020" i="10" s="1"/>
  <c r="C1020" i="10" s="1"/>
  <c r="E343" i="10" a="1"/>
  <c r="E343" i="10" s="1"/>
  <c r="C343" i="10" s="1"/>
  <c r="E893" i="10" a="1"/>
  <c r="E893" i="10" s="1"/>
  <c r="C893" i="10" s="1"/>
  <c r="E580" i="10" a="1"/>
  <c r="E580" i="10" s="1"/>
  <c r="C580" i="10" s="1"/>
  <c r="E575" i="10" a="1"/>
  <c r="E575" i="10" s="1"/>
  <c r="C575" i="10" s="1"/>
  <c r="E65" i="10" a="1"/>
  <c r="E65" i="10" s="1"/>
  <c r="C65" i="10" s="1"/>
  <c r="E185" i="10" a="1"/>
  <c r="E185" i="10" s="1"/>
  <c r="C185" i="10" s="1"/>
  <c r="E162" i="10" a="1"/>
  <c r="E162" i="10" s="1"/>
  <c r="C162" i="10" s="1"/>
  <c r="E2171" i="10" a="1"/>
  <c r="E2171" i="10" s="1"/>
  <c r="C2171" i="10" s="1"/>
  <c r="E1674" i="10" a="1"/>
  <c r="E1674" i="10" s="1"/>
  <c r="C1674" i="10" s="1"/>
  <c r="E2373" i="10" a="1"/>
  <c r="E2373" i="10" s="1"/>
  <c r="C2373" i="10" s="1"/>
  <c r="E2659" i="10" a="1"/>
  <c r="E2659" i="10" s="1"/>
  <c r="C2659" i="10" s="1"/>
  <c r="E2099" i="10" a="1"/>
  <c r="E2099" i="10" s="1"/>
  <c r="C2099" i="10" s="1"/>
  <c r="E1876" i="10" a="1"/>
  <c r="E1876" i="10" s="1"/>
  <c r="C1876" i="10" s="1"/>
  <c r="E1059" i="10" a="1"/>
  <c r="E1059" i="10" s="1"/>
  <c r="C1059" i="10" s="1"/>
  <c r="E3030" i="10" a="1"/>
  <c r="E3030" i="10" s="1"/>
  <c r="C3030" i="10" s="1"/>
  <c r="E2855" i="10" a="1"/>
  <c r="E2855" i="10" s="1"/>
  <c r="C2855" i="10" s="1"/>
  <c r="E2650" i="10" a="1"/>
  <c r="E2650" i="10" s="1"/>
  <c r="C2650" i="10" s="1"/>
  <c r="E2430" i="10" a="1"/>
  <c r="E2430" i="10" s="1"/>
  <c r="C2430" i="10" s="1"/>
  <c r="E2899" i="10" a="1"/>
  <c r="E2899" i="10" s="1"/>
  <c r="C2899" i="10" s="1"/>
  <c r="E1833" i="10" a="1"/>
  <c r="E1833" i="10" s="1"/>
  <c r="C1833" i="10" s="1"/>
  <c r="E868" i="10" a="1"/>
  <c r="E868" i="10" s="1"/>
  <c r="C868" i="10" s="1"/>
  <c r="E1349" i="10" a="1"/>
  <c r="E1349" i="10" s="1"/>
  <c r="C1349" i="10" s="1"/>
  <c r="E732" i="10" a="1"/>
  <c r="E732" i="10" s="1"/>
  <c r="C732" i="10" s="1"/>
  <c r="E889" i="10" a="1"/>
  <c r="E889" i="10" s="1"/>
  <c r="C889" i="10" s="1"/>
  <c r="E20" i="10" a="1"/>
  <c r="E20" i="10" s="1"/>
  <c r="C20" i="10" s="1"/>
  <c r="E14" i="10" a="1"/>
  <c r="E14" i="10" s="1"/>
  <c r="C14" i="10" s="1"/>
  <c r="E339" i="10" a="1"/>
  <c r="E339" i="10" s="1"/>
  <c r="C339" i="10" s="1"/>
  <c r="E22" i="10" a="1"/>
  <c r="E22" i="10" s="1"/>
  <c r="C22" i="10" s="1"/>
  <c r="E422" i="10" a="1"/>
  <c r="E422" i="10" s="1"/>
  <c r="C422" i="10" s="1"/>
  <c r="E1141" i="10" a="1"/>
  <c r="E1141" i="10" s="1"/>
  <c r="C1141" i="10" s="1"/>
  <c r="E1721" i="10" a="1"/>
  <c r="E1721" i="10" s="1"/>
  <c r="C1721" i="10" s="1"/>
  <c r="E3054" i="10" a="1"/>
  <c r="E3054" i="10" s="1"/>
  <c r="C3054" i="10" s="1"/>
  <c r="E2075" i="10" a="1"/>
  <c r="E2075" i="10" s="1"/>
  <c r="C2075" i="10" s="1"/>
  <c r="E432" i="10" a="1"/>
  <c r="E432" i="10" s="1"/>
  <c r="C432" i="10" s="1"/>
  <c r="E1838" i="10" a="1"/>
  <c r="E1838" i="10" s="1"/>
  <c r="C1838" i="10" s="1"/>
  <c r="E2924" i="10" a="1"/>
  <c r="E2924" i="10" s="1"/>
  <c r="C2924" i="10" s="1"/>
  <c r="E607" i="10" a="1"/>
  <c r="E607" i="10" s="1"/>
  <c r="C607" i="10" s="1"/>
  <c r="E3153" i="10" a="1"/>
  <c r="E3153" i="10" s="1"/>
  <c r="C3153" i="10" s="1"/>
  <c r="E2680" i="10" a="1"/>
  <c r="E2680" i="10" s="1"/>
  <c r="C2680" i="10" s="1"/>
  <c r="E2578" i="10" a="1"/>
  <c r="E2578" i="10" s="1"/>
  <c r="C2578" i="10" s="1"/>
  <c r="E2579" i="10" a="1"/>
  <c r="E2579" i="10" s="1"/>
  <c r="C2579" i="10" s="1"/>
  <c r="E2637" i="10" a="1"/>
  <c r="E2637" i="10" s="1"/>
  <c r="C2637" i="10" s="1"/>
  <c r="E2398" i="10" a="1"/>
  <c r="E2398" i="10" s="1"/>
  <c r="C2398" i="10" s="1"/>
  <c r="E3333" i="10" a="1"/>
  <c r="E3333" i="10" s="1"/>
  <c r="C3333" i="10" s="1"/>
  <c r="E1689" i="10" a="1"/>
  <c r="E1689" i="10" s="1"/>
  <c r="C1689" i="10" s="1"/>
  <c r="E788" i="10" a="1"/>
  <c r="E788" i="10" s="1"/>
  <c r="C788" i="10" s="1"/>
  <c r="E604" i="10" a="1"/>
  <c r="E604" i="10" s="1"/>
  <c r="C604" i="10" s="1"/>
  <c r="E842" i="10" a="1"/>
  <c r="E842" i="10" s="1"/>
  <c r="C842" i="10" s="1"/>
  <c r="E1046" i="10" a="1"/>
  <c r="E1046" i="10" s="1"/>
  <c r="C1046" i="10" s="1"/>
  <c r="E108" i="10" a="1"/>
  <c r="E108" i="10" s="1"/>
  <c r="C108" i="10" s="1"/>
  <c r="E116" i="10" a="1"/>
  <c r="E116" i="10" s="1"/>
  <c r="C116" i="10" s="1"/>
  <c r="E1324" i="10" a="1"/>
  <c r="E1324" i="10" s="1"/>
  <c r="C1324" i="10" s="1"/>
  <c r="E1268" i="10" a="1"/>
  <c r="E1268" i="10" s="1"/>
  <c r="C1268" i="10" s="1"/>
  <c r="E15" i="10" a="1"/>
  <c r="E15" i="10" s="1"/>
  <c r="C15" i="10" s="1"/>
  <c r="E1509" i="10" a="1"/>
  <c r="E1509" i="10" s="1"/>
  <c r="C1509" i="10" s="1"/>
  <c r="E1742" i="10" a="1"/>
  <c r="E1742" i="10" s="1"/>
  <c r="C1742" i="10" s="1"/>
  <c r="E1963" i="10" a="1"/>
  <c r="E1963" i="10" s="1"/>
  <c r="C1963" i="10" s="1"/>
  <c r="E2027" i="10" a="1"/>
  <c r="E2027" i="10" s="1"/>
  <c r="C2027" i="10" s="1"/>
  <c r="E2198" i="10" a="1"/>
  <c r="E2198" i="10" s="1"/>
  <c r="C2198" i="10" s="1"/>
  <c r="E887" i="10" a="1"/>
  <c r="E887" i="10" s="1"/>
  <c r="C887" i="10" s="1"/>
  <c r="E2559" i="10" a="1"/>
  <c r="E2559" i="10" s="1"/>
  <c r="C2559" i="10" s="1"/>
  <c r="E2162" i="10" a="1"/>
  <c r="E2162" i="10" s="1"/>
  <c r="C2162" i="10" s="1"/>
  <c r="E3023" i="10" a="1"/>
  <c r="E3023" i="10" s="1"/>
  <c r="C3023" i="10" s="1"/>
  <c r="E3026" i="10" a="1"/>
  <c r="E3026" i="10" s="1"/>
  <c r="C3026" i="10" s="1"/>
  <c r="E2840" i="10" a="1"/>
  <c r="E2840" i="10" s="1"/>
  <c r="C2840" i="10" s="1"/>
  <c r="E781" i="10" a="1"/>
  <c r="E781" i="10" s="1"/>
  <c r="C781" i="10" s="1"/>
  <c r="E532" i="10" a="1"/>
  <c r="E532" i="10" s="1"/>
  <c r="C532" i="10" s="1"/>
  <c r="E838" i="10" a="1"/>
  <c r="E838" i="10" s="1"/>
  <c r="C838" i="10" s="1"/>
  <c r="E1741" i="10" a="1"/>
  <c r="E1741" i="10" s="1"/>
  <c r="C1741" i="10" s="1"/>
  <c r="E415" i="10" a="1"/>
  <c r="E415" i="10" s="1"/>
  <c r="C415" i="10" s="1"/>
  <c r="E1108" i="10" a="1"/>
  <c r="E1108" i="10" s="1"/>
  <c r="C1108" i="10" s="1"/>
  <c r="E194" i="10" a="1"/>
  <c r="E194" i="10" s="1"/>
  <c r="C194" i="10" s="1"/>
  <c r="E1889" i="10" a="1"/>
  <c r="E1889" i="10" s="1"/>
  <c r="C1889" i="10" s="1"/>
  <c r="E1092" i="10" a="1"/>
  <c r="E1092" i="10" s="1"/>
  <c r="C1092" i="10" s="1"/>
  <c r="E439" i="10" a="1"/>
  <c r="E439" i="10" s="1"/>
  <c r="C439" i="10" s="1"/>
  <c r="E1361" i="10" a="1"/>
  <c r="E1361" i="10" s="1"/>
  <c r="C1361" i="10" s="1"/>
  <c r="E1403" i="10" a="1"/>
  <c r="E1403" i="10" s="1"/>
  <c r="C1403" i="10" s="1"/>
  <c r="E1947" i="10" a="1"/>
  <c r="E1947" i="10" s="1"/>
  <c r="C1947" i="10" s="1"/>
  <c r="E3148" i="10" a="1"/>
  <c r="E3148" i="10" s="1"/>
  <c r="C3148" i="10" s="1"/>
  <c r="E1818" i="10" a="1"/>
  <c r="E1818" i="10" s="1"/>
  <c r="C1818" i="10" s="1"/>
  <c r="E121" i="10" a="1"/>
  <c r="E121" i="10" s="1"/>
  <c r="C121" i="10" s="1"/>
  <c r="E551" i="10" a="1"/>
  <c r="E551" i="10" s="1"/>
  <c r="C551" i="10" s="1"/>
  <c r="E1131" i="10" a="1"/>
  <c r="E1131" i="10" s="1"/>
  <c r="C1131" i="10" s="1"/>
  <c r="E1282" i="10" a="1"/>
  <c r="E1282" i="10" s="1"/>
  <c r="C1282" i="10" s="1"/>
  <c r="E1132" i="10" a="1"/>
  <c r="E1132" i="10" s="1"/>
  <c r="C1132" i="10" s="1"/>
  <c r="E774" i="10" a="1"/>
  <c r="E774" i="10" s="1"/>
  <c r="C774" i="10" s="1"/>
  <c r="E496" i="10" a="1"/>
  <c r="E496" i="10" s="1"/>
  <c r="C496" i="10" s="1"/>
  <c r="E531" i="10" a="1"/>
  <c r="E531" i="10" s="1"/>
  <c r="C531" i="10" s="1"/>
  <c r="E599" i="10" a="1"/>
  <c r="E599" i="10" s="1"/>
  <c r="C599" i="10" s="1"/>
  <c r="E2149" i="10" a="1"/>
  <c r="E2149" i="10" s="1"/>
  <c r="C2149" i="10" s="1"/>
  <c r="E3321" i="10" a="1"/>
  <c r="E3321" i="10" s="1"/>
  <c r="C3321" i="10" s="1"/>
  <c r="E1472" i="10" a="1"/>
  <c r="E1472" i="10" s="1"/>
  <c r="C1472" i="10" s="1"/>
  <c r="E596" i="10" a="1"/>
  <c r="E596" i="10" s="1"/>
  <c r="C596" i="10" s="1"/>
  <c r="E1542" i="10" a="1"/>
  <c r="E1542" i="10" s="1"/>
  <c r="C1542" i="10" s="1"/>
  <c r="E1679" i="10" a="1"/>
  <c r="E1679" i="10" s="1"/>
  <c r="C1679" i="10" s="1"/>
  <c r="E3073" i="10" a="1"/>
  <c r="E3073" i="10" s="1"/>
  <c r="C3073" i="10" s="1"/>
  <c r="E2431" i="10" a="1"/>
  <c r="E2431" i="10" s="1"/>
  <c r="C2431" i="10" s="1"/>
  <c r="E1845" i="10" a="1"/>
  <c r="E1845" i="10" s="1"/>
  <c r="C1845" i="10" s="1"/>
  <c r="E1456" i="10" a="1"/>
  <c r="E1456" i="10" s="1"/>
  <c r="C1456" i="10" s="1"/>
  <c r="E3189" i="10" a="1"/>
  <c r="E3189" i="10" s="1"/>
  <c r="C3189" i="10" s="1"/>
  <c r="E2801" i="10" a="1"/>
  <c r="E2801" i="10" s="1"/>
  <c r="C2801" i="10" s="1"/>
  <c r="E1751" i="10" a="1"/>
  <c r="E1751" i="10" s="1"/>
  <c r="C1751" i="10" s="1"/>
  <c r="E1831" i="10" a="1"/>
  <c r="E1831" i="10" s="1"/>
  <c r="C1831" i="10" s="1"/>
  <c r="E1411" i="10" a="1"/>
  <c r="E1411" i="10" s="1"/>
  <c r="C1411" i="10" s="1"/>
  <c r="E592" i="10" a="1"/>
  <c r="E592" i="10" s="1"/>
  <c r="C592" i="10" s="1"/>
  <c r="E2352" i="10" a="1"/>
  <c r="E2352" i="10" s="1"/>
  <c r="C2352" i="10" s="1"/>
  <c r="E951" i="10" a="1"/>
  <c r="E951" i="10" s="1"/>
  <c r="C951" i="10" s="1"/>
  <c r="E1432" i="10" a="1"/>
  <c r="E1432" i="10" s="1"/>
  <c r="C1432" i="10" s="1"/>
  <c r="E2399" i="10" a="1"/>
  <c r="E2399" i="10" s="1"/>
  <c r="C2399" i="10" s="1"/>
  <c r="E1107" i="10" a="1"/>
  <c r="E1107" i="10" s="1"/>
  <c r="C1107" i="10" s="1"/>
  <c r="E418" i="10" a="1"/>
  <c r="E418" i="10" s="1"/>
  <c r="C418" i="10" s="1"/>
  <c r="E1316" i="10" a="1"/>
  <c r="E1316" i="10" s="1"/>
  <c r="C1316" i="10" s="1"/>
  <c r="E2001" i="10" a="1"/>
  <c r="E2001" i="10" s="1"/>
  <c r="C2001" i="10" s="1"/>
  <c r="E527" i="10" a="1"/>
  <c r="E527" i="10" s="1"/>
  <c r="C527" i="10" s="1"/>
  <c r="E1037" i="10" a="1"/>
  <c r="E1037" i="10" s="1"/>
  <c r="C1037" i="10" s="1"/>
  <c r="E875" i="10" a="1"/>
  <c r="E875" i="10" s="1"/>
  <c r="C875" i="10" s="1"/>
  <c r="E1307" i="10" a="1"/>
  <c r="E1307" i="10" s="1"/>
  <c r="C1307" i="10" s="1"/>
  <c r="E3246" i="10" a="1"/>
  <c r="E3246" i="10" s="1"/>
  <c r="C3246" i="10" s="1"/>
  <c r="E2439" i="10" a="1"/>
  <c r="E2439" i="10" s="1"/>
  <c r="C2439" i="10" s="1"/>
  <c r="E2697" i="10" a="1"/>
  <c r="E2697" i="10" s="1"/>
  <c r="C2697" i="10" s="1"/>
  <c r="E2328" i="10" a="1"/>
  <c r="E2328" i="10" s="1"/>
  <c r="C2328" i="10" s="1"/>
  <c r="E2995" i="10" a="1"/>
  <c r="E2995" i="10" s="1"/>
  <c r="C2995" i="10" s="1"/>
  <c r="E2791" i="10" a="1"/>
  <c r="E2791" i="10" s="1"/>
  <c r="C2791" i="10" s="1"/>
  <c r="E899" i="10" a="1"/>
  <c r="E899" i="10" s="1"/>
  <c r="C899" i="10" s="1"/>
  <c r="E1872" i="10" a="1"/>
  <c r="E1872" i="10" s="1"/>
  <c r="C1872" i="10" s="1"/>
  <c r="E115" i="10" a="1"/>
  <c r="E115" i="10" s="1"/>
  <c r="C115" i="10" s="1"/>
  <c r="E948" i="10" a="1"/>
  <c r="E948" i="10" s="1"/>
  <c r="C948" i="10" s="1"/>
  <c r="E301" i="10" a="1"/>
  <c r="E301" i="10" s="1"/>
  <c r="C301" i="10" s="1"/>
  <c r="E1826" i="10" a="1"/>
  <c r="E1826" i="10" s="1"/>
  <c r="C1826" i="10" s="1"/>
  <c r="E352" i="10" a="1"/>
  <c r="E352" i="10" s="1"/>
  <c r="C352" i="10" s="1"/>
  <c r="E458" i="10" a="1"/>
  <c r="E458" i="10" s="1"/>
  <c r="C458" i="10" s="1"/>
  <c r="E1617" i="10" a="1"/>
  <c r="E1617" i="10" s="1"/>
  <c r="C1617" i="10" s="1"/>
  <c r="E273" i="10" a="1"/>
  <c r="E273" i="10" s="1"/>
  <c r="C273" i="10" s="1"/>
  <c r="E3217" i="10" a="1"/>
  <c r="E3217" i="10" s="1"/>
  <c r="C3217" i="10" s="1"/>
  <c r="E702" i="10" a="1"/>
  <c r="E702" i="10" s="1"/>
  <c r="C702" i="10" s="1"/>
  <c r="E1547" i="10" a="1"/>
  <c r="E1547" i="10" s="1"/>
  <c r="C1547" i="10" s="1"/>
  <c r="E1702" i="10" a="1"/>
  <c r="E1702" i="10" s="1"/>
  <c r="C1702" i="10" s="1"/>
  <c r="E1522" i="10" a="1"/>
  <c r="E1522" i="10" s="1"/>
  <c r="C1522" i="10" s="1"/>
  <c r="E2427" i="10" a="1"/>
  <c r="E2427" i="10" s="1"/>
  <c r="C2427" i="10" s="1"/>
  <c r="E1424" i="10" a="1"/>
  <c r="E1424" i="10" s="1"/>
  <c r="C1424" i="10" s="1"/>
  <c r="E3003" i="10" a="1"/>
  <c r="E3003" i="10" s="1"/>
  <c r="C3003" i="10" s="1"/>
  <c r="E3194" i="10" a="1"/>
  <c r="E3194" i="10" s="1"/>
  <c r="C3194" i="10" s="1"/>
  <c r="E2382" i="10" a="1"/>
  <c r="E2382" i="10" s="1"/>
  <c r="C2382" i="10" s="1"/>
  <c r="E2729" i="10" a="1"/>
  <c r="E2729" i="10" s="1"/>
  <c r="C2729" i="10" s="1"/>
  <c r="E87" i="10" a="1"/>
  <c r="E87" i="10" s="1"/>
  <c r="C87" i="10" s="1"/>
  <c r="E55" i="10" a="1"/>
  <c r="E55" i="10" s="1"/>
  <c r="C55" i="10" s="1"/>
  <c r="E375" i="10" a="1"/>
  <c r="E375" i="10" s="1"/>
  <c r="C375" i="10" s="1"/>
  <c r="E232" i="10" a="1"/>
  <c r="E232" i="10" s="1"/>
  <c r="C232" i="10" s="1"/>
  <c r="E744" i="10" a="1"/>
  <c r="E744" i="10" s="1"/>
  <c r="C744" i="10" s="1"/>
  <c r="E2311" i="10" a="1"/>
  <c r="E2311" i="10" s="1"/>
  <c r="C2311" i="10" s="1"/>
  <c r="E746" i="10" a="1"/>
  <c r="E746" i="10" s="1"/>
  <c r="C746" i="10" s="1"/>
  <c r="E245" i="10" a="1"/>
  <c r="E245" i="10" s="1"/>
  <c r="C245" i="10" s="1"/>
  <c r="E1420" i="10" a="1"/>
  <c r="E1420" i="10" s="1"/>
  <c r="C1420" i="10" s="1"/>
  <c r="E706" i="10" a="1"/>
  <c r="E706" i="10" s="1"/>
  <c r="C706" i="10" s="1"/>
  <c r="E1631" i="10" a="1"/>
  <c r="E1631" i="10" s="1"/>
  <c r="C1631" i="10" s="1"/>
  <c r="E2473" i="10" a="1"/>
  <c r="E2473" i="10" s="1"/>
  <c r="C2473" i="10" s="1"/>
  <c r="E2979" i="10" a="1"/>
  <c r="E2979" i="10" s="1"/>
  <c r="C2979" i="10" s="1"/>
  <c r="E2921" i="10" a="1"/>
  <c r="E2921" i="10" s="1"/>
  <c r="C2921" i="10" s="1"/>
  <c r="E1625" i="10" a="1"/>
  <c r="E1625" i="10" s="1"/>
  <c r="C1625" i="10" s="1"/>
  <c r="E255" i="10" a="1"/>
  <c r="E255" i="10" s="1"/>
  <c r="C255" i="10" s="1"/>
  <c r="E2452" i="10" a="1"/>
  <c r="E2452" i="10" s="1"/>
  <c r="C2452" i="10" s="1"/>
  <c r="E2458" i="10" a="1"/>
  <c r="E2458" i="10" s="1"/>
  <c r="C2458" i="10" s="1"/>
  <c r="E1548" i="10" a="1"/>
  <c r="E1548" i="10" s="1"/>
  <c r="C1548" i="10" s="1"/>
  <c r="E3317" i="10" a="1"/>
  <c r="E3317" i="10" s="1"/>
  <c r="C3317" i="10" s="1"/>
  <c r="E3147" i="10" a="1"/>
  <c r="E3147" i="10" s="1"/>
  <c r="C3147" i="10" s="1"/>
  <c r="E870" i="10" a="1"/>
  <c r="E870" i="10" s="1"/>
  <c r="C870" i="10" s="1"/>
  <c r="E616" i="10" a="1"/>
  <c r="E616" i="10" s="1"/>
  <c r="C616" i="10" s="1"/>
  <c r="E1359" i="10" a="1"/>
  <c r="E1359" i="10" s="1"/>
  <c r="C1359" i="10" s="1"/>
  <c r="E316" i="10" a="1"/>
  <c r="E316" i="10" s="1"/>
  <c r="C316" i="10" s="1"/>
  <c r="E828" i="10" a="1"/>
  <c r="E828" i="10" s="1"/>
  <c r="C828" i="10" s="1"/>
  <c r="E2078" i="10" a="1"/>
  <c r="E2078" i="10" s="1"/>
  <c r="C2078" i="10" s="1"/>
  <c r="E1904" i="10" a="1"/>
  <c r="E1904" i="10" s="1"/>
  <c r="C1904" i="10" s="1"/>
  <c r="E1196" i="10" a="1"/>
  <c r="E1196" i="10" s="1"/>
  <c r="C1196" i="10" s="1"/>
  <c r="E1897" i="10" a="1"/>
  <c r="E1897" i="10" s="1"/>
  <c r="C1897" i="10" s="1"/>
  <c r="E399" i="10" a="1"/>
  <c r="E399" i="10" s="1"/>
  <c r="C399" i="10" s="1"/>
  <c r="E1667" i="10" a="1"/>
  <c r="E1667" i="10" s="1"/>
  <c r="C1667" i="10" s="1"/>
  <c r="E2122" i="10" a="1"/>
  <c r="E2122" i="10" s="1"/>
  <c r="C2122" i="10" s="1"/>
  <c r="E2592" i="10" a="1"/>
  <c r="E2592" i="10" s="1"/>
  <c r="C2592" i="10" s="1"/>
  <c r="E3318" i="10" a="1"/>
  <c r="E3318" i="10" s="1"/>
  <c r="C3318" i="10" s="1"/>
  <c r="E1812" i="10" a="1"/>
  <c r="E1812" i="10" s="1"/>
  <c r="C1812" i="10" s="1"/>
  <c r="E1577" i="10" a="1"/>
  <c r="E1577" i="10" s="1"/>
  <c r="C1577" i="10" s="1"/>
  <c r="E1911" i="10" a="1"/>
  <c r="E1911" i="10" s="1"/>
  <c r="C1911" i="10" s="1"/>
  <c r="E1506" i="10" a="1"/>
  <c r="E1506" i="10" s="1"/>
  <c r="C1506" i="10" s="1"/>
  <c r="E2835" i="10" a="1"/>
  <c r="E2835" i="10" s="1"/>
  <c r="C2835" i="10" s="1"/>
  <c r="E2853" i="10" a="1"/>
  <c r="E2853" i="10" s="1"/>
  <c r="C2853" i="10" s="1"/>
  <c r="E2562" i="10" a="1"/>
  <c r="E2562" i="10" s="1"/>
  <c r="C2562" i="10" s="1"/>
  <c r="E2863" i="10" a="1"/>
  <c r="E2863" i="10" s="1"/>
  <c r="C2863" i="10" s="1"/>
  <c r="E937" i="10" a="1"/>
  <c r="E937" i="10" s="1"/>
  <c r="C937" i="10" s="1"/>
  <c r="E779" i="10" a="1"/>
  <c r="E779" i="10" s="1"/>
  <c r="C779" i="10" s="1"/>
  <c r="E1549" i="10" a="1"/>
  <c r="E1549" i="10" s="1"/>
  <c r="C1549" i="10" s="1"/>
  <c r="E416" i="10" a="1"/>
  <c r="E416" i="10" s="1"/>
  <c r="C416" i="10" s="1"/>
  <c r="E86" i="10" a="1"/>
  <c r="E86" i="10" s="1"/>
  <c r="C86" i="10" s="1"/>
  <c r="E801" i="10" a="1"/>
  <c r="E801" i="10" s="1"/>
  <c r="C801" i="10" s="1"/>
  <c r="E782" i="10" a="1"/>
  <c r="E782" i="10" s="1"/>
  <c r="C782" i="10" s="1"/>
  <c r="E945" i="10" a="1"/>
  <c r="E945" i="10" s="1"/>
  <c r="C945" i="10" s="1"/>
  <c r="E648" i="10" a="1"/>
  <c r="E648" i="10" s="1"/>
  <c r="C648" i="10" s="1"/>
  <c r="E2132" i="10" a="1"/>
  <c r="E2132" i="10" s="1"/>
  <c r="C2132" i="10" s="1"/>
  <c r="E2982" i="10" a="1"/>
  <c r="E2982" i="10" s="1"/>
  <c r="C2982" i="10" s="1"/>
  <c r="E1844" i="10" a="1"/>
  <c r="E1844" i="10" s="1"/>
  <c r="C1844" i="10" s="1"/>
  <c r="E1284" i="10" a="1"/>
  <c r="E1284" i="10" s="1"/>
  <c r="C1284" i="10" s="1"/>
  <c r="E2330" i="10" a="1"/>
  <c r="E2330" i="10" s="1"/>
  <c r="C2330" i="10" s="1"/>
  <c r="E1759" i="10" a="1"/>
  <c r="E1759" i="10" s="1"/>
  <c r="C1759" i="10" s="1"/>
  <c r="E1628" i="10" a="1"/>
  <c r="E1628" i="10" s="1"/>
  <c r="C1628" i="10" s="1"/>
  <c r="E2714" i="10" a="1"/>
  <c r="E2714" i="10" s="1"/>
  <c r="C2714" i="10" s="1"/>
  <c r="E3255" i="10" a="1"/>
  <c r="E3255" i="10" s="1"/>
  <c r="C3255" i="10" s="1"/>
  <c r="E2862" i="10" a="1"/>
  <c r="E2862" i="10" s="1"/>
  <c r="C2862" i="10" s="1"/>
  <c r="E2709" i="10" a="1"/>
  <c r="E2709" i="10" s="1"/>
  <c r="C2709" i="10" s="1"/>
  <c r="E229" i="10" a="1"/>
  <c r="E229" i="10" s="1"/>
  <c r="C229" i="10" s="1"/>
  <c r="E1055" i="10" a="1"/>
  <c r="E1055" i="10" s="1"/>
  <c r="C1055" i="10" s="1"/>
  <c r="E1771" i="10" a="1"/>
  <c r="E1771" i="10" s="1"/>
  <c r="C1771" i="10" s="1"/>
  <c r="E632" i="10" a="1"/>
  <c r="E632" i="10" s="1"/>
  <c r="C632" i="10" s="1"/>
  <c r="E2047" i="10" a="1"/>
  <c r="E2047" i="10" s="1"/>
  <c r="C2047" i="10" s="1"/>
  <c r="E697" i="10" a="1"/>
  <c r="E697" i="10" s="1"/>
  <c r="C697" i="10" s="1"/>
  <c r="E587" i="10" a="1"/>
  <c r="E587" i="10" s="1"/>
  <c r="C587" i="10" s="1"/>
  <c r="E213" i="10" a="1"/>
  <c r="E213" i="10" s="1"/>
  <c r="C213" i="10" s="1"/>
  <c r="E643" i="10" a="1"/>
  <c r="E643" i="10" s="1"/>
  <c r="C643" i="10" s="1"/>
  <c r="E1486" i="10" a="1"/>
  <c r="E1486" i="10" s="1"/>
  <c r="C1486" i="10" s="1"/>
  <c r="E1244" i="10" a="1"/>
  <c r="E1244" i="10" s="1"/>
  <c r="C1244" i="10" s="1"/>
  <c r="E3236" i="10" a="1"/>
  <c r="E3236" i="10" s="1"/>
  <c r="C3236" i="10" s="1"/>
  <c r="E2032" i="10" a="1"/>
  <c r="E2032" i="10" s="1"/>
  <c r="C2032" i="10" s="1"/>
  <c r="E723" i="10" a="1"/>
  <c r="E723" i="10" s="1"/>
  <c r="C723" i="10" s="1"/>
  <c r="E3223" i="10" a="1"/>
  <c r="E3223" i="10" s="1"/>
  <c r="C3223" i="10" s="1"/>
  <c r="E1603" i="10" a="1"/>
  <c r="E1603" i="10" s="1"/>
  <c r="C1603" i="10" s="1"/>
  <c r="E2252" i="10" a="1"/>
  <c r="E2252" i="10" s="1"/>
  <c r="C2252" i="10" s="1"/>
  <c r="E2368" i="10" a="1"/>
  <c r="E2368" i="10" s="1"/>
  <c r="C2368" i="10" s="1"/>
  <c r="E2751" i="10" a="1"/>
  <c r="E2751" i="10" s="1"/>
  <c r="C2751" i="10" s="1"/>
  <c r="E3164" i="10" a="1"/>
  <c r="E3164" i="10" s="1"/>
  <c r="C3164" i="10" s="1"/>
  <c r="E3066" i="10" a="1"/>
  <c r="E3066" i="10" s="1"/>
  <c r="C3066" i="10" s="1"/>
  <c r="E2446" i="10" a="1"/>
  <c r="E2446" i="10" s="1"/>
  <c r="C2446" i="10" s="1"/>
  <c r="E3060" i="10" a="1"/>
  <c r="E3060" i="10" s="1"/>
  <c r="C3060" i="10" s="1"/>
  <c r="E2685" i="10" a="1"/>
  <c r="E2685" i="10" s="1"/>
  <c r="C2685" i="10" s="1"/>
  <c r="E3045" i="10" a="1"/>
  <c r="E3045" i="10" s="1"/>
  <c r="C3045" i="10" s="1"/>
  <c r="E2871" i="10" a="1"/>
  <c r="E2871" i="10" s="1"/>
  <c r="C2871" i="10" s="1"/>
  <c r="E2283" i="10" a="1"/>
  <c r="E2283" i="10" s="1"/>
  <c r="C2283" i="10" s="1"/>
  <c r="E2410" i="10" a="1"/>
  <c r="E2410" i="10" s="1"/>
  <c r="C2410" i="10" s="1"/>
  <c r="E2554" i="10" a="1"/>
  <c r="E2554" i="10" s="1"/>
  <c r="C2554" i="10" s="1"/>
  <c r="E13" i="10" a="1"/>
  <c r="E13" i="10" s="1"/>
  <c r="C13" i="10" s="1"/>
  <c r="E3356" i="10" a="1"/>
  <c r="E3356" i="10" s="1"/>
  <c r="C3356" i="10" s="1"/>
  <c r="E2851" i="10" a="1"/>
  <c r="E2851" i="10" s="1"/>
  <c r="C2851" i="10" s="1"/>
  <c r="E2593" i="10" a="1"/>
  <c r="E2593" i="10" s="1"/>
  <c r="C2593" i="10" s="1"/>
  <c r="E2761" i="10" a="1"/>
  <c r="E2761" i="10" s="1"/>
  <c r="C2761" i="10" s="1"/>
  <c r="E3274" i="10" a="1"/>
  <c r="E3274" i="10" s="1"/>
  <c r="C3274" i="10" s="1"/>
  <c r="E2581" i="10" a="1"/>
  <c r="E2581" i="10" s="1"/>
  <c r="C2581" i="10" s="1"/>
  <c r="E2931" i="10" a="1"/>
  <c r="E2931" i="10" s="1"/>
  <c r="C2931" i="10" s="1"/>
  <c r="E2253" i="10" a="1"/>
  <c r="E2253" i="10" s="1"/>
  <c r="C2253" i="10" s="1"/>
  <c r="E2719" i="10" a="1"/>
  <c r="E2719" i="10" s="1"/>
  <c r="C2719" i="10" s="1"/>
  <c r="E2363" i="10" a="1"/>
  <c r="E2363" i="10" s="1"/>
  <c r="C2363" i="10" s="1"/>
  <c r="E2535" i="10" a="1"/>
  <c r="E2535" i="10" s="1"/>
  <c r="C2535" i="10" s="1"/>
  <c r="E2448" i="10" a="1"/>
  <c r="E2448" i="10" s="1"/>
  <c r="C2448" i="10" s="1"/>
  <c r="E2346" i="10" a="1"/>
  <c r="E2346" i="10" s="1"/>
  <c r="C2346" i="10" s="1"/>
  <c r="E2890" i="10" a="1"/>
  <c r="E2890" i="10" s="1"/>
  <c r="C2890" i="10" s="1"/>
  <c r="E3200" i="10" a="1"/>
  <c r="E3200" i="10" s="1"/>
  <c r="C3200" i="10" s="1"/>
  <c r="E3282" i="10" a="1"/>
  <c r="E3282" i="10" s="1"/>
  <c r="C3282" i="10" s="1"/>
  <c r="E2527" i="10" a="1"/>
  <c r="E2527" i="10" s="1"/>
  <c r="C2527" i="10" s="1"/>
  <c r="E2606" i="10" a="1"/>
  <c r="E2606" i="10" s="1"/>
  <c r="C2606" i="10" s="1"/>
  <c r="E2572" i="10" a="1"/>
  <c r="E2572" i="10" s="1"/>
  <c r="C2572" i="10" s="1"/>
  <c r="E2770" i="10" a="1"/>
  <c r="E2770" i="10" s="1"/>
  <c r="C2770" i="10" s="1"/>
  <c r="E2345" i="10" a="1"/>
  <c r="E2345" i="10" s="1"/>
  <c r="C2345" i="10" s="1"/>
  <c r="E3373" i="10" a="1"/>
  <c r="E3373" i="10" s="1"/>
  <c r="C3373" i="10" s="1"/>
  <c r="E3360" i="10" a="1"/>
  <c r="E3360" i="10" s="1"/>
  <c r="C3360" i="10" s="1"/>
  <c r="E1817" i="10" a="1"/>
  <c r="E1817" i="10" s="1"/>
  <c r="C1817" i="10" s="1"/>
  <c r="E1720" i="10" a="1"/>
  <c r="E1720" i="10" s="1"/>
  <c r="C1720" i="10" s="1"/>
  <c r="E2758" i="10" a="1"/>
  <c r="E2758" i="10" s="1"/>
  <c r="C2758" i="10" s="1"/>
  <c r="E652" i="10" a="1"/>
  <c r="E652" i="10" s="1"/>
  <c r="C652" i="10" s="1"/>
  <c r="E2936" i="10" a="1"/>
  <c r="E2936" i="10" s="1"/>
  <c r="C2936" i="10" s="1"/>
  <c r="E1121" i="10" a="1"/>
  <c r="E1121" i="10" s="1"/>
  <c r="C1121" i="10" s="1"/>
  <c r="E1546" i="10" a="1"/>
  <c r="E1546" i="10" s="1"/>
  <c r="C1546" i="10" s="1"/>
  <c r="E337" i="10" a="1"/>
  <c r="E337" i="10" s="1"/>
  <c r="C337" i="10" s="1"/>
  <c r="E805" i="10" a="1"/>
  <c r="E805" i="10" s="1"/>
  <c r="C805" i="10" s="1"/>
  <c r="E285" i="10" a="1"/>
  <c r="E285" i="10" s="1"/>
  <c r="C285" i="10" s="1"/>
  <c r="E3129" i="10" a="1"/>
  <c r="E3129" i="10" s="1"/>
  <c r="C3129" i="10" s="1"/>
  <c r="E739" i="10" a="1"/>
  <c r="E739" i="10" s="1"/>
  <c r="C739" i="10" s="1"/>
  <c r="E902" i="10" a="1"/>
  <c r="E902" i="10" s="1"/>
  <c r="C902" i="10" s="1"/>
  <c r="E2683" i="10" a="1"/>
  <c r="E2683" i="10" s="1"/>
  <c r="C2683" i="10" s="1"/>
  <c r="E941" i="10" a="1"/>
  <c r="E941" i="10" s="1"/>
  <c r="C941" i="10" s="1"/>
  <c r="E3273" i="10" a="1"/>
  <c r="E3273" i="10" s="1"/>
  <c r="C3273" i="10" s="1"/>
  <c r="E382" i="10" a="1"/>
  <c r="E382" i="10" s="1"/>
  <c r="C382" i="10" s="1"/>
  <c r="E923" i="10" a="1"/>
  <c r="E923" i="10" s="1"/>
  <c r="C923" i="10" s="1"/>
  <c r="E1745" i="10" a="1"/>
  <c r="E1745" i="10" s="1"/>
  <c r="C1745" i="10" s="1"/>
  <c r="E1421" i="10" a="1"/>
  <c r="E1421" i="10" s="1"/>
  <c r="C1421" i="10" s="1"/>
  <c r="E2400" i="10" a="1"/>
  <c r="E2400" i="10" s="1"/>
  <c r="C2400" i="10" s="1"/>
  <c r="E637" i="10" a="1"/>
  <c r="E637" i="10" s="1"/>
  <c r="C637" i="10" s="1"/>
  <c r="E731" i="10" a="1"/>
  <c r="E731" i="10" s="1"/>
  <c r="C731" i="10" s="1"/>
  <c r="E3229" i="10" a="1"/>
  <c r="E3229" i="10" s="1"/>
  <c r="C3229" i="10" s="1"/>
  <c r="E1712" i="10" a="1"/>
  <c r="E1712" i="10" s="1"/>
  <c r="C1712" i="10" s="1"/>
  <c r="E1511" i="10" a="1"/>
  <c r="E1511" i="10" s="1"/>
  <c r="C1511" i="10" s="1"/>
  <c r="E2113" i="10" a="1"/>
  <c r="E2113" i="10" s="1"/>
  <c r="C2113" i="10" s="1"/>
  <c r="E949" i="10" a="1"/>
  <c r="E949" i="10" s="1"/>
  <c r="C949" i="10" s="1"/>
  <c r="E1554" i="10" a="1"/>
  <c r="E1554" i="10" s="1"/>
  <c r="C1554" i="10" s="1"/>
  <c r="E2799" i="10" a="1"/>
  <c r="E2799" i="10" s="1"/>
  <c r="C2799" i="10" s="1"/>
  <c r="E920" i="10" a="1"/>
  <c r="E920" i="10" s="1"/>
  <c r="C920" i="10" s="1"/>
  <c r="E665" i="10" a="1"/>
  <c r="E665" i="10" s="1"/>
  <c r="C665" i="10" s="1"/>
  <c r="E421" i="10" a="1"/>
  <c r="E421" i="10" s="1"/>
  <c r="C421" i="10" s="1"/>
  <c r="E659" i="10" a="1"/>
  <c r="E659" i="10" s="1"/>
  <c r="C659" i="10" s="1"/>
  <c r="E874" i="10" a="1"/>
  <c r="E874" i="10" s="1"/>
  <c r="C874" i="10" s="1"/>
  <c r="E649" i="10" a="1"/>
  <c r="E649" i="10" s="1"/>
  <c r="C649" i="10" s="1"/>
  <c r="E1821" i="10" a="1"/>
  <c r="E1821" i="10" s="1"/>
  <c r="C1821" i="10" s="1"/>
  <c r="E2051" i="10" a="1"/>
  <c r="E2051" i="10" s="1"/>
  <c r="C2051" i="10" s="1"/>
  <c r="E2465" i="10" a="1"/>
  <c r="E2465" i="10" s="1"/>
  <c r="C2465" i="10" s="1"/>
  <c r="E2251" i="10" a="1"/>
  <c r="E2251" i="10" s="1"/>
  <c r="C2251" i="10" s="1"/>
  <c r="E1955" i="10" a="1"/>
  <c r="E1955" i="10" s="1"/>
  <c r="C1955" i="10" s="1"/>
  <c r="E2295" i="10" a="1"/>
  <c r="E2295" i="10" s="1"/>
  <c r="C2295" i="10" s="1"/>
  <c r="E1800" i="10" a="1"/>
  <c r="E1800" i="10" s="1"/>
  <c r="C1800" i="10" s="1"/>
  <c r="E3203" i="10" a="1"/>
  <c r="E3203" i="10" s="1"/>
  <c r="C3203" i="10" s="1"/>
  <c r="E1671" i="10" a="1"/>
  <c r="E1671" i="10" s="1"/>
  <c r="C1671" i="10" s="1"/>
  <c r="E3036" i="10" a="1"/>
  <c r="E3036" i="10" s="1"/>
  <c r="C3036" i="10" s="1"/>
  <c r="E2825" i="10" a="1"/>
  <c r="E2825" i="10" s="1"/>
  <c r="C2825" i="10" s="1"/>
  <c r="E2420" i="10" a="1"/>
  <c r="E2420" i="10" s="1"/>
  <c r="C2420" i="10" s="1"/>
  <c r="E252" i="10" a="1"/>
  <c r="E252" i="10" s="1"/>
  <c r="C252" i="10" s="1"/>
  <c r="E1270" i="10" a="1"/>
  <c r="E1270" i="10" s="1"/>
  <c r="C1270" i="10" s="1"/>
  <c r="E900" i="10" a="1"/>
  <c r="E900" i="10" s="1"/>
  <c r="C900" i="10" s="1"/>
  <c r="E258" i="10" a="1"/>
  <c r="E258" i="10" s="1"/>
  <c r="C258" i="10" s="1"/>
  <c r="E1803" i="10" a="1"/>
  <c r="E1803" i="10" s="1"/>
  <c r="C1803" i="10" s="1"/>
  <c r="E882" i="10" a="1"/>
  <c r="E882" i="10" s="1"/>
  <c r="C882" i="10" s="1"/>
  <c r="E778" i="10" a="1"/>
  <c r="E778" i="10" s="1"/>
  <c r="C778" i="10" s="1"/>
  <c r="E2302" i="10" a="1"/>
  <c r="E2302" i="10" s="1"/>
  <c r="C2302" i="10" s="1"/>
  <c r="E1988" i="10" a="1"/>
  <c r="E1988" i="10" s="1"/>
  <c r="C1988" i="10" s="1"/>
  <c r="E296" i="10" a="1"/>
  <c r="E296" i="10" s="1"/>
  <c r="C296" i="10" s="1"/>
  <c r="E1997" i="10" a="1"/>
  <c r="E1997" i="10" s="1"/>
  <c r="C1997" i="10" s="1"/>
  <c r="E890" i="10" a="1"/>
  <c r="E890" i="10" s="1"/>
  <c r="C890" i="10" s="1"/>
  <c r="E2039" i="10" a="1"/>
  <c r="E2039" i="10" s="1"/>
  <c r="C2039" i="10" s="1"/>
  <c r="E3327" i="10" a="1"/>
  <c r="E3327" i="10" s="1"/>
  <c r="C3327" i="10" s="1"/>
  <c r="E1017" i="10" a="1"/>
  <c r="E1017" i="10" s="1"/>
  <c r="C1017" i="10" s="1"/>
  <c r="E1962" i="10" a="1"/>
  <c r="E1962" i="10" s="1"/>
  <c r="C1962" i="10" s="1"/>
  <c r="E2322" i="10" a="1"/>
  <c r="E2322" i="10" s="1"/>
  <c r="C2322" i="10" s="1"/>
  <c r="E1983" i="10" a="1"/>
  <c r="E1983" i="10" s="1"/>
  <c r="C1983" i="10" s="1"/>
  <c r="E2272" i="10" a="1"/>
  <c r="E2272" i="10" s="1"/>
  <c r="C2272" i="10" s="1"/>
  <c r="E2497" i="10" a="1"/>
  <c r="E2497" i="10" s="1"/>
  <c r="C2497" i="10" s="1"/>
  <c r="E2633" i="10" a="1"/>
  <c r="E2633" i="10" s="1"/>
  <c r="C2633" i="10" s="1"/>
  <c r="E2678" i="10" a="1"/>
  <c r="E2678" i="10" s="1"/>
  <c r="C2678" i="10" s="1"/>
  <c r="E2830" i="10" a="1"/>
  <c r="E2830" i="10" s="1"/>
  <c r="C2830" i="10" s="1"/>
  <c r="E2274" i="10" a="1"/>
  <c r="E2274" i="10" s="1"/>
  <c r="C2274" i="10" s="1"/>
  <c r="E1531" i="10" a="1"/>
  <c r="E1531" i="10" s="1"/>
  <c r="C1531" i="10" s="1"/>
  <c r="E193" i="10" a="1"/>
  <c r="E193" i="10" s="1"/>
  <c r="C193" i="10" s="1"/>
  <c r="E122" i="10" a="1"/>
  <c r="E122" i="10" s="1"/>
  <c r="C122" i="10" s="1"/>
  <c r="E150" i="10" a="1"/>
  <c r="E150" i="10" s="1"/>
  <c r="C150" i="10" s="1"/>
  <c r="E356" i="10" a="1"/>
  <c r="E356" i="10" s="1"/>
  <c r="C356" i="10" s="1"/>
  <c r="E106" i="10" a="1"/>
  <c r="E106" i="10" s="1"/>
  <c r="C106" i="10" s="1"/>
  <c r="E52" i="10" a="1"/>
  <c r="E52" i="10" s="1"/>
  <c r="C52" i="10" s="1"/>
  <c r="E325" i="10" a="1"/>
  <c r="E325" i="10" s="1"/>
  <c r="C325" i="10" s="1"/>
  <c r="E137" i="10" a="1"/>
  <c r="E137" i="10" s="1"/>
  <c r="C137" i="10" s="1"/>
  <c r="E2288" i="10" a="1"/>
  <c r="E2288" i="10" s="1"/>
  <c r="C2288" i="10" s="1"/>
  <c r="E2098" i="10" a="1"/>
  <c r="E2098" i="10" s="1"/>
  <c r="C2098" i="10" s="1"/>
  <c r="E353" i="10" a="1"/>
  <c r="E353" i="10" s="1"/>
  <c r="C353" i="10" s="1"/>
  <c r="E1723" i="10" a="1"/>
  <c r="E1723" i="10" s="1"/>
  <c r="C1723" i="10" s="1"/>
  <c r="E3011" i="10" a="1"/>
  <c r="E3011" i="10" s="1"/>
  <c r="C3011" i="10" s="1"/>
  <c r="E2902" i="10" a="1"/>
  <c r="E2902" i="10" s="1"/>
  <c r="C2902" i="10" s="1"/>
  <c r="E843" i="10" a="1"/>
  <c r="E843" i="10" s="1"/>
  <c r="C843" i="10" s="1"/>
  <c r="E1994" i="10" a="1"/>
  <c r="E1994" i="10" s="1"/>
  <c r="C1994" i="10" s="1"/>
  <c r="E2884" i="10" a="1"/>
  <c r="E2884" i="10" s="1"/>
  <c r="C2884" i="10" s="1"/>
  <c r="E3244" i="10" a="1"/>
  <c r="E3244" i="10" s="1"/>
  <c r="C3244" i="10" s="1"/>
  <c r="E1794" i="10" a="1"/>
  <c r="E1794" i="10" s="1"/>
  <c r="C1794" i="10" s="1"/>
  <c r="E3088" i="10" a="1"/>
  <c r="E3088" i="10" s="1"/>
  <c r="C3088" i="10" s="1"/>
  <c r="E404" i="10" a="1"/>
  <c r="E404" i="10" s="1"/>
  <c r="C404" i="10" s="1"/>
  <c r="E605" i="10" a="1"/>
  <c r="E605" i="10" s="1"/>
  <c r="C605" i="10" s="1"/>
  <c r="E2135" i="10" a="1"/>
  <c r="E2135" i="10" s="1"/>
  <c r="C2135" i="10" s="1"/>
  <c r="E1682" i="10" a="1"/>
  <c r="E1682" i="10" s="1"/>
  <c r="C1682" i="10" s="1"/>
  <c r="E543" i="10" a="1"/>
  <c r="E543" i="10" s="1"/>
  <c r="C543" i="10" s="1"/>
  <c r="E651" i="10" a="1"/>
  <c r="E651" i="10" s="1"/>
  <c r="C651" i="10" s="1"/>
  <c r="E584" i="10" a="1"/>
  <c r="E584" i="10" s="1"/>
  <c r="C584" i="10" s="1"/>
  <c r="E36" i="10" a="1"/>
  <c r="E36" i="10" s="1"/>
  <c r="C36" i="10" s="1"/>
  <c r="E2063" i="10" a="1"/>
  <c r="E2063" i="10" s="1"/>
  <c r="C2063" i="10" s="1"/>
  <c r="E1936" i="10" a="1"/>
  <c r="E1936" i="10" s="1"/>
  <c r="C1936" i="10" s="1"/>
  <c r="E904" i="10" a="1"/>
  <c r="E904" i="10" s="1"/>
  <c r="C904" i="10" s="1"/>
  <c r="E1739" i="10" a="1"/>
  <c r="E1739" i="10" s="1"/>
  <c r="C1739" i="10" s="1"/>
  <c r="E2256" i="10" a="1"/>
  <c r="E2256" i="10" s="1"/>
  <c r="C2256" i="10" s="1"/>
  <c r="E1662" i="10" a="1"/>
  <c r="E1662" i="10" s="1"/>
  <c r="C1662" i="10" s="1"/>
  <c r="E2460" i="10" a="1"/>
  <c r="E2460" i="10" s="1"/>
  <c r="C2460" i="10" s="1"/>
  <c r="E440" i="10" a="1"/>
  <c r="E440" i="10" s="1"/>
  <c r="C440" i="10" s="1"/>
  <c r="E43" i="10" a="1"/>
  <c r="E43" i="10" s="1"/>
  <c r="C43" i="10" s="1"/>
  <c r="E334" i="10" a="1"/>
  <c r="E334" i="10" s="1"/>
  <c r="C334" i="10" s="1"/>
  <c r="E289" i="10" a="1"/>
  <c r="E289" i="10" s="1"/>
  <c r="C289" i="10" s="1"/>
  <c r="E1901" i="10" a="1"/>
  <c r="E1901" i="10" s="1"/>
  <c r="C1901" i="10" s="1"/>
  <c r="E2179" i="10" a="1"/>
  <c r="E2179" i="10" s="1"/>
  <c r="C2179" i="10" s="1"/>
  <c r="E1491" i="10" a="1"/>
  <c r="E1491" i="10" s="1"/>
  <c r="C1491" i="10" s="1"/>
  <c r="E717" i="10" a="1"/>
  <c r="E717" i="10" s="1"/>
  <c r="C717" i="10" s="1"/>
  <c r="E39" i="10" a="1"/>
  <c r="E39" i="10" s="1"/>
  <c r="C39" i="10" s="1"/>
  <c r="E2236" i="10" a="1"/>
  <c r="E2236" i="10" s="1"/>
  <c r="C2236" i="10" s="1"/>
  <c r="E1772" i="10" a="1"/>
  <c r="E1772" i="10" s="1"/>
  <c r="C1772" i="10" s="1"/>
  <c r="E1735" i="10" a="1"/>
  <c r="E1735" i="10" s="1"/>
  <c r="C1735" i="10" s="1"/>
  <c r="E2984" i="10" a="1"/>
  <c r="E2984" i="10" s="1"/>
  <c r="C2984" i="10" s="1"/>
  <c r="E1787" i="10" a="1"/>
  <c r="E1787" i="10" s="1"/>
  <c r="C1787" i="10" s="1"/>
  <c r="E1695" i="10" a="1"/>
  <c r="E1695" i="10" s="1"/>
  <c r="C1695" i="10" s="1"/>
  <c r="E1883" i="10" a="1"/>
  <c r="E1883" i="10" s="1"/>
  <c r="C1883" i="10" s="1"/>
  <c r="E1647" i="10" a="1"/>
  <c r="E1647" i="10" s="1"/>
  <c r="C1647" i="10" s="1"/>
  <c r="E1480" i="10" a="1"/>
  <c r="E1480" i="10" s="1"/>
  <c r="C1480" i="10" s="1"/>
  <c r="E2929" i="10" a="1"/>
  <c r="E2929" i="10" s="1"/>
  <c r="C2929" i="10" s="1"/>
  <c r="E1977" i="10" a="1"/>
  <c r="E1977" i="10" s="1"/>
  <c r="C1977" i="10" s="1"/>
  <c r="E2920" i="10" a="1"/>
  <c r="E2920" i="10" s="1"/>
  <c r="C2920" i="10" s="1"/>
  <c r="E944" i="10" a="1"/>
  <c r="E944" i="10" s="1"/>
  <c r="C944" i="10" s="1"/>
  <c r="E1355" i="10" a="1"/>
  <c r="E1355" i="10" s="1"/>
  <c r="C1355" i="10" s="1"/>
  <c r="E509" i="10" a="1"/>
  <c r="E509" i="10" s="1"/>
  <c r="C509" i="10" s="1"/>
  <c r="E1444" i="10" a="1"/>
  <c r="E1444" i="10" s="1"/>
  <c r="C1444" i="10" s="1"/>
  <c r="E942" i="10" a="1"/>
  <c r="E942" i="10" s="1"/>
  <c r="C942" i="10" s="1"/>
  <c r="E1185" i="10" a="1"/>
  <c r="E1185" i="10" s="1"/>
  <c r="C1185" i="10" s="1"/>
  <c r="E674" i="10" a="1"/>
  <c r="E674" i="10" s="1"/>
  <c r="C674" i="10" s="1"/>
  <c r="E499" i="10" a="1"/>
  <c r="E499" i="10" s="1"/>
  <c r="C499" i="10" s="1"/>
  <c r="E189" i="10" a="1"/>
  <c r="E189" i="10" s="1"/>
  <c r="C189" i="10" s="1"/>
  <c r="E1895" i="10" a="1"/>
  <c r="E1895" i="10" s="1"/>
  <c r="C1895" i="10" s="1"/>
  <c r="E1085" i="10" a="1"/>
  <c r="E1085" i="10" s="1"/>
  <c r="C1085" i="10" s="1"/>
  <c r="E2106" i="10" a="1"/>
  <c r="E2106" i="10" s="1"/>
  <c r="C2106" i="10" s="1"/>
  <c r="E2613" i="10" a="1"/>
  <c r="E2613" i="10" s="1"/>
  <c r="C2613" i="10" s="1"/>
  <c r="E1798" i="10" a="1"/>
  <c r="E1798" i="10" s="1"/>
  <c r="C1798" i="10" s="1"/>
  <c r="E1655" i="10" a="1"/>
  <c r="E1655" i="10" s="1"/>
  <c r="C1655" i="10" s="1"/>
  <c r="E2265" i="10" a="1"/>
  <c r="E2265" i="10" s="1"/>
  <c r="C2265" i="10" s="1"/>
  <c r="E1683" i="10" a="1"/>
  <c r="E1683" i="10" s="1"/>
  <c r="C1683" i="10" s="1"/>
  <c r="E281" i="10" a="1"/>
  <c r="E281" i="10" s="1"/>
  <c r="C281" i="10" s="1"/>
  <c r="E2804" i="10" a="1"/>
  <c r="E2804" i="10" s="1"/>
  <c r="C2804" i="10" s="1"/>
  <c r="E2618" i="10" a="1"/>
  <c r="E2618" i="10" s="1"/>
  <c r="C2618" i="10" s="1"/>
  <c r="E3220" i="10" a="1"/>
  <c r="E3220" i="10" s="1"/>
  <c r="C3220" i="10" s="1"/>
  <c r="E1168" i="10" a="1"/>
  <c r="E1168" i="10" s="1"/>
  <c r="C1168" i="10" s="1"/>
  <c r="E294" i="10" a="1"/>
  <c r="E294" i="10" s="1"/>
  <c r="C294" i="10" s="1"/>
  <c r="E468" i="10" a="1"/>
  <c r="E468" i="10" s="1"/>
  <c r="C468" i="10" s="1"/>
  <c r="E657" i="10" a="1"/>
  <c r="E657" i="10" s="1"/>
  <c r="C657" i="10" s="1"/>
  <c r="E246" i="10" a="1"/>
  <c r="E246" i="10" s="1"/>
  <c r="C246" i="10" s="1"/>
  <c r="E1414" i="10" a="1"/>
  <c r="E1414" i="10" s="1"/>
  <c r="C1414" i="10" s="1"/>
  <c r="E58" i="10" a="1"/>
  <c r="E58" i="10" s="1"/>
  <c r="C58" i="10" s="1"/>
  <c r="E738" i="10" a="1"/>
  <c r="E738" i="10" s="1"/>
  <c r="C738" i="10" s="1"/>
  <c r="E234" i="10" a="1"/>
  <c r="E234" i="10" s="1"/>
  <c r="C234" i="10" s="1"/>
  <c r="E2046" i="10" a="1"/>
  <c r="E2046" i="10" s="1"/>
  <c r="C2046" i="10" s="1"/>
  <c r="E2026" i="10" a="1"/>
  <c r="E2026" i="10" s="1"/>
  <c r="C2026" i="10" s="1"/>
  <c r="E1423" i="10" a="1"/>
  <c r="E1423" i="10" s="1"/>
  <c r="C1423" i="10" s="1"/>
  <c r="E728" i="10" a="1"/>
  <c r="E728" i="10" s="1"/>
  <c r="C728" i="10" s="1"/>
  <c r="E1784" i="10" a="1"/>
  <c r="E1784" i="10" s="1"/>
  <c r="C1784" i="10" s="1"/>
  <c r="E1272" i="10" a="1"/>
  <c r="E1272" i="10" s="1"/>
  <c r="C1272" i="10" s="1"/>
  <c r="E481" i="10" a="1"/>
  <c r="E481" i="10" s="1"/>
  <c r="C481" i="10" s="1"/>
  <c r="E3078" i="10" a="1"/>
  <c r="E3078" i="10" s="1"/>
  <c r="C3078" i="10" s="1"/>
  <c r="E3297" i="10" a="1"/>
  <c r="E3297" i="10" s="1"/>
  <c r="C3297" i="10" s="1"/>
  <c r="E2447" i="10" a="1"/>
  <c r="E2447" i="10" s="1"/>
  <c r="C2447" i="10" s="1"/>
  <c r="E2708" i="10" a="1"/>
  <c r="E2708" i="10" s="1"/>
  <c r="C2708" i="10" s="1"/>
  <c r="E3151" i="10" a="1"/>
  <c r="E3151" i="10" s="1"/>
  <c r="C3151" i="10" s="1"/>
  <c r="E500" i="10" a="1"/>
  <c r="E500" i="10" s="1"/>
  <c r="C500" i="10" s="1"/>
  <c r="E306" i="10" a="1"/>
  <c r="E306" i="10" s="1"/>
  <c r="C306" i="10" s="1"/>
  <c r="E164" i="10" a="1"/>
  <c r="E164" i="10" s="1"/>
  <c r="C164" i="10" s="1"/>
  <c r="E773" i="10" a="1"/>
  <c r="E773" i="10" s="1"/>
  <c r="C773" i="10" s="1"/>
  <c r="E1204" i="10" a="1"/>
  <c r="E1204" i="10" s="1"/>
  <c r="C1204" i="10" s="1"/>
  <c r="E554" i="10" a="1"/>
  <c r="E554" i="10" s="1"/>
  <c r="C554" i="10" s="1"/>
  <c r="E1220" i="10" a="1"/>
  <c r="E1220" i="10" s="1"/>
  <c r="C1220" i="10" s="1"/>
  <c r="E2151" i="10" a="1"/>
  <c r="E2151" i="10" s="1"/>
  <c r="C2151" i="10" s="1"/>
  <c r="E1297" i="10" a="1"/>
  <c r="E1297" i="10" s="1"/>
  <c r="C1297" i="10" s="1"/>
  <c r="E734" i="10" a="1"/>
  <c r="E734" i="10" s="1"/>
  <c r="C734" i="10" s="1"/>
  <c r="E1591" i="10" a="1"/>
  <c r="E1591" i="10" s="1"/>
  <c r="C1591" i="10" s="1"/>
  <c r="E849" i="10" a="1"/>
  <c r="E849" i="10" s="1"/>
  <c r="C849" i="10" s="1"/>
  <c r="E1869" i="10" a="1"/>
  <c r="E1869" i="10" s="1"/>
  <c r="C1869" i="10" s="1"/>
  <c r="E3291" i="10" a="1"/>
  <c r="E3291" i="10" s="1"/>
  <c r="C3291" i="10" s="1"/>
  <c r="E2397" i="10" a="1"/>
  <c r="E2397" i="10" s="1"/>
  <c r="C2397" i="10" s="1"/>
  <c r="E1113" i="10" a="1"/>
  <c r="E1113" i="10" s="1"/>
  <c r="C1113" i="10" s="1"/>
  <c r="E1457" i="10" a="1"/>
  <c r="E1457" i="10" s="1"/>
  <c r="C1457" i="10" s="1"/>
  <c r="E3319" i="10" a="1"/>
  <c r="E3319" i="10" s="1"/>
  <c r="C3319" i="10" s="1"/>
  <c r="E2740" i="10" a="1"/>
  <c r="E2740" i="10" s="1"/>
  <c r="C2740" i="10" s="1"/>
  <c r="E3208" i="10" a="1"/>
  <c r="E3208" i="10" s="1"/>
  <c r="C3208" i="10" s="1"/>
  <c r="E3377" i="10" a="1"/>
  <c r="E3377" i="10" s="1"/>
  <c r="C3377" i="10" s="1"/>
  <c r="E559" i="10" a="1"/>
  <c r="E559" i="10" s="1"/>
  <c r="C559" i="10" s="1"/>
  <c r="E540" i="10" a="1"/>
  <c r="E540" i="10" s="1"/>
  <c r="C540" i="10" s="1"/>
  <c r="E503" i="10" a="1"/>
  <c r="E503" i="10" s="1"/>
  <c r="C503" i="10" s="1"/>
  <c r="E1304" i="10" a="1"/>
  <c r="E1304" i="10" s="1"/>
  <c r="C1304" i="10" s="1"/>
  <c r="E1010" i="10" a="1"/>
  <c r="E1010" i="10" s="1"/>
  <c r="C1010" i="10" s="1"/>
  <c r="E1862" i="10" a="1"/>
  <c r="E1862" i="10" s="1"/>
  <c r="C1862" i="10" s="1"/>
  <c r="E681" i="10" a="1"/>
  <c r="E681" i="10" s="1"/>
  <c r="C681" i="10" s="1"/>
  <c r="E729" i="10" a="1"/>
  <c r="E729" i="10" s="1"/>
  <c r="C729" i="10" s="1"/>
  <c r="E1827" i="10" a="1"/>
  <c r="E1827" i="10" s="1"/>
  <c r="C1827" i="10" s="1"/>
  <c r="E1056" i="10" a="1"/>
  <c r="E1056" i="10" s="1"/>
  <c r="C1056" i="10" s="1"/>
  <c r="E670" i="10" a="1"/>
  <c r="E670" i="10" s="1"/>
  <c r="C670" i="10" s="1"/>
  <c r="E2992" i="10" a="1"/>
  <c r="E2992" i="10" s="1"/>
  <c r="C2992" i="10" s="1"/>
  <c r="E628" i="10" a="1"/>
  <c r="E628" i="10" s="1"/>
  <c r="C628" i="10" s="1"/>
  <c r="E2227" i="10" a="1"/>
  <c r="E2227" i="10" s="1"/>
  <c r="C2227" i="10" s="1"/>
  <c r="E1309" i="10" a="1"/>
  <c r="E1309" i="10" s="1"/>
  <c r="C1309" i="10" s="1"/>
  <c r="E3091" i="10" a="1"/>
  <c r="E3091" i="10" s="1"/>
  <c r="C3091" i="10" s="1"/>
  <c r="E1449" i="10" a="1"/>
  <c r="E1449" i="10" s="1"/>
  <c r="C1449" i="10" s="1"/>
  <c r="E2812" i="10" a="1"/>
  <c r="E2812" i="10" s="1"/>
  <c r="C2812" i="10" s="1"/>
  <c r="E2492" i="10" a="1"/>
  <c r="E2492" i="10" s="1"/>
  <c r="C2492" i="10" s="1"/>
  <c r="E1492" i="10" a="1"/>
  <c r="E1492" i="10" s="1"/>
  <c r="C1492" i="10" s="1"/>
  <c r="E2434" i="10" a="1"/>
  <c r="E2434" i="10" s="1"/>
  <c r="C2434" i="10" s="1"/>
  <c r="E2319" i="10" a="1"/>
  <c r="E2319" i="10" s="1"/>
  <c r="C2319" i="10" s="1"/>
  <c r="E961" i="10" a="1"/>
  <c r="E961" i="10" s="1"/>
  <c r="C961" i="10" s="1"/>
  <c r="E1075" i="10" a="1"/>
  <c r="E1075" i="10" s="1"/>
  <c r="C1075" i="10" s="1"/>
  <c r="E960" i="10" a="1"/>
  <c r="E960" i="10" s="1"/>
  <c r="C960" i="10" s="1"/>
  <c r="E157" i="10" a="1"/>
  <c r="E157" i="10" s="1"/>
  <c r="C157" i="10" s="1"/>
  <c r="E1142" i="10" a="1"/>
  <c r="E1142" i="10" s="1"/>
  <c r="C1142" i="10" s="1"/>
  <c r="E780" i="10" a="1"/>
  <c r="E780" i="10" s="1"/>
  <c r="C780" i="10" s="1"/>
  <c r="E873" i="10" a="1"/>
  <c r="E873" i="10" s="1"/>
  <c r="C873" i="10" s="1"/>
  <c r="E1213" i="10" a="1"/>
  <c r="E1213" i="10" s="1"/>
  <c r="C1213" i="10" s="1"/>
  <c r="E311" i="10" a="1"/>
  <c r="E311" i="10" s="1"/>
  <c r="C311" i="10" s="1"/>
  <c r="E909" i="10" a="1"/>
  <c r="E909" i="10" s="1"/>
  <c r="C909" i="10" s="1"/>
  <c r="E896" i="10" a="1"/>
  <c r="E896" i="10" s="1"/>
  <c r="C896" i="10" s="1"/>
  <c r="E1781" i="10" a="1"/>
  <c r="E1781" i="10" s="1"/>
  <c r="C1781" i="10" s="1"/>
  <c r="E2277" i="10" a="1"/>
  <c r="E2277" i="10" s="1"/>
  <c r="C2277" i="10" s="1"/>
  <c r="E2946" i="10" a="1"/>
  <c r="E2946" i="10" s="1"/>
  <c r="C2946" i="10" s="1"/>
  <c r="E2154" i="10" a="1"/>
  <c r="E2154" i="10" s="1"/>
  <c r="C2154" i="10" s="1"/>
  <c r="E2499" i="10" a="1"/>
  <c r="E2499" i="10" s="1"/>
  <c r="C2499" i="10" s="1"/>
  <c r="E2094" i="10" a="1"/>
  <c r="E2094" i="10" s="1"/>
  <c r="C2094" i="10" s="1"/>
  <c r="E1665" i="10" a="1"/>
  <c r="E1665" i="10" s="1"/>
  <c r="C1665" i="10" s="1"/>
  <c r="E3061" i="10" a="1"/>
  <c r="E3061" i="10" s="1"/>
  <c r="C3061" i="10" s="1"/>
  <c r="E2913" i="10" a="1"/>
  <c r="E2913" i="10" s="1"/>
  <c r="C2913" i="10" s="1"/>
  <c r="E363" i="10" a="1"/>
  <c r="E363" i="10" s="1"/>
  <c r="C363" i="10" s="1"/>
  <c r="E954" i="10" a="1"/>
  <c r="E954" i="10" s="1"/>
  <c r="C954" i="10" s="1"/>
  <c r="E479" i="10" a="1"/>
  <c r="E479" i="10" s="1"/>
  <c r="C479" i="10" s="1"/>
  <c r="E141" i="10" a="1"/>
  <c r="E141" i="10" s="1"/>
  <c r="C141" i="10" s="1"/>
  <c r="E2080" i="10" a="1"/>
  <c r="E2080" i="10" s="1"/>
  <c r="C2080" i="10" s="1"/>
  <c r="E1119" i="10" a="1"/>
  <c r="E1119" i="10" s="1"/>
  <c r="C1119" i="10" s="1"/>
  <c r="E70" i="10" a="1"/>
  <c r="E70" i="10" s="1"/>
  <c r="C70" i="10" s="1"/>
  <c r="E1231" i="10" a="1"/>
  <c r="E1231" i="10" s="1"/>
  <c r="C1231" i="10" s="1"/>
  <c r="E1779" i="10" a="1"/>
  <c r="E1779" i="10" s="1"/>
  <c r="C1779" i="10" s="1"/>
  <c r="E1245" i="10" a="1"/>
  <c r="E1245" i="10" s="1"/>
  <c r="C1245" i="10" s="1"/>
  <c r="E2104" i="10" a="1"/>
  <c r="E2104" i="10" s="1"/>
  <c r="C2104" i="10" s="1"/>
  <c r="E2086" i="10" a="1"/>
  <c r="E2086" i="10" s="1"/>
  <c r="C2086" i="10" s="1"/>
  <c r="E1892" i="10" a="1"/>
  <c r="E1892" i="10" s="1"/>
  <c r="C1892" i="10" s="1"/>
  <c r="E1469" i="10" a="1"/>
  <c r="E1469" i="10" s="1"/>
  <c r="C1469" i="10" s="1"/>
  <c r="E2187" i="10" a="1"/>
  <c r="E2187" i="10" s="1"/>
  <c r="C2187" i="10" s="1"/>
  <c r="E2456" i="10" a="1"/>
  <c r="E2456" i="10" s="1"/>
  <c r="C2456" i="10" s="1"/>
  <c r="E1560" i="10" a="1"/>
  <c r="E1560" i="10" s="1"/>
  <c r="C1560" i="10" s="1"/>
  <c r="E2915" i="10" a="1"/>
  <c r="E2915" i="10" s="1"/>
  <c r="C2915" i="10" s="1"/>
  <c r="E3156" i="10" a="1"/>
  <c r="E3156" i="10" s="1"/>
  <c r="C3156" i="10" s="1"/>
  <c r="E2846" i="10" a="1"/>
  <c r="E2846" i="10" s="1"/>
  <c r="C2846" i="10" s="1"/>
  <c r="E2528" i="10" a="1"/>
  <c r="E2528" i="10" s="1"/>
  <c r="C2528" i="10" s="1"/>
  <c r="E2297" i="10" a="1"/>
  <c r="E2297" i="10" s="1"/>
  <c r="C2297" i="10" s="1"/>
  <c r="E2699" i="10" a="1"/>
  <c r="E2699" i="10" s="1"/>
  <c r="C2699" i="10" s="1"/>
  <c r="E2457" i="10" a="1"/>
  <c r="E2457" i="10" s="1"/>
  <c r="C2457" i="10" s="1"/>
  <c r="E2661" i="10" a="1"/>
  <c r="E2661" i="10" s="1"/>
  <c r="C2661" i="10" s="1"/>
  <c r="E2483" i="10" a="1"/>
  <c r="E2483" i="10" s="1"/>
  <c r="C2483" i="10" s="1"/>
  <c r="E3145" i="10" a="1"/>
  <c r="E3145" i="10" s="1"/>
  <c r="C3145" i="10" s="1"/>
  <c r="E2549" i="10" a="1"/>
  <c r="E2549" i="10" s="1"/>
  <c r="C2549" i="10" s="1"/>
  <c r="E3227" i="10" a="1"/>
  <c r="E3227" i="10" s="1"/>
  <c r="C3227" i="10" s="1"/>
  <c r="E1463" i="10" a="1"/>
  <c r="E1463" i="10" s="1"/>
  <c r="C1463" i="10" s="1"/>
  <c r="E2123" i="10" a="1"/>
  <c r="E2123" i="10" s="1"/>
  <c r="C2123" i="10" s="1"/>
  <c r="E2907" i="10" a="1"/>
  <c r="E2907" i="10" s="1"/>
  <c r="C2907" i="10" s="1"/>
  <c r="E2220" i="10" a="1"/>
  <c r="E2220" i="10" s="1"/>
  <c r="C2220" i="10" s="1"/>
  <c r="E1638" i="10" a="1"/>
  <c r="E1638" i="10" s="1"/>
  <c r="C1638" i="10" s="1"/>
  <c r="E2190" i="10" a="1"/>
  <c r="E2190" i="10" s="1"/>
  <c r="C2190" i="10" s="1"/>
  <c r="E1795" i="10" a="1"/>
  <c r="E1795" i="10" s="1"/>
  <c r="C1795" i="10" s="1"/>
  <c r="E2908" i="10" a="1"/>
  <c r="E2908" i="10" s="1"/>
  <c r="C2908" i="10" s="1"/>
  <c r="E1989" i="10" a="1"/>
  <c r="E1989" i="10" s="1"/>
  <c r="C1989" i="10" s="1"/>
  <c r="E2416" i="10" a="1"/>
  <c r="E2416" i="10" s="1"/>
  <c r="C2416" i="10" s="1"/>
  <c r="E3007" i="10" a="1"/>
  <c r="E3007" i="10" s="1"/>
  <c r="C3007" i="10" s="1"/>
  <c r="E2244" i="10" a="1"/>
  <c r="E2244" i="10" s="1"/>
  <c r="C2244" i="10" s="1"/>
  <c r="E2343" i="10" a="1"/>
  <c r="E2343" i="10" s="1"/>
  <c r="C2343" i="10" s="1"/>
  <c r="E2184" i="10" a="1"/>
  <c r="E2184" i="10" s="1"/>
  <c r="C2184" i="10" s="1"/>
  <c r="E2214" i="10" a="1"/>
  <c r="E2214" i="10" s="1"/>
  <c r="C2214" i="10" s="1"/>
  <c r="E2892" i="10" a="1"/>
  <c r="E2892" i="10" s="1"/>
  <c r="C2892" i="10" s="1"/>
  <c r="E3111" i="10" a="1"/>
  <c r="E3111" i="10" s="1"/>
  <c r="C3111" i="10" s="1"/>
  <c r="E3077" i="10" a="1"/>
  <c r="E3077" i="10" s="1"/>
  <c r="C3077" i="10" s="1"/>
  <c r="E3149" i="10" a="1"/>
  <c r="E3149" i="10" s="1"/>
  <c r="C3149" i="10" s="1"/>
  <c r="E2681" i="10" a="1"/>
  <c r="E2681" i="10" s="1"/>
  <c r="C2681" i="10" s="1"/>
  <c r="E2127" i="10" a="1"/>
  <c r="E2127" i="10" s="1"/>
  <c r="C2127" i="10" s="1"/>
  <c r="E2551" i="10" a="1"/>
  <c r="E2551" i="10" s="1"/>
  <c r="C2551" i="10" s="1"/>
  <c r="E430" i="10" a="1"/>
  <c r="E430" i="10" s="1"/>
  <c r="C430" i="10" s="1"/>
  <c r="E231" i="10" a="1"/>
  <c r="E231" i="10" s="1"/>
  <c r="C231" i="10" s="1"/>
  <c r="E50" i="10" a="1"/>
  <c r="E50" i="10" s="1"/>
  <c r="C50" i="10" s="1"/>
  <c r="E1545" i="10" a="1"/>
  <c r="E1545" i="10" s="1"/>
  <c r="C1545" i="10" s="1"/>
  <c r="E741" i="10" a="1"/>
  <c r="E741" i="10" s="1"/>
  <c r="C741" i="10" s="1"/>
  <c r="E3005" i="10" a="1"/>
  <c r="E3005" i="10" s="1"/>
  <c r="C3005" i="10" s="1"/>
  <c r="E3322" i="10" a="1"/>
  <c r="E3322" i="10" s="1"/>
  <c r="C3322" i="10" s="1"/>
  <c r="E2007" i="10" a="1"/>
  <c r="E2007" i="10" s="1"/>
  <c r="C2007" i="10" s="1"/>
  <c r="E2794" i="10" a="1"/>
  <c r="E2794" i="10" s="1"/>
  <c r="C2794" i="10" s="1"/>
  <c r="E2229" i="10" a="1"/>
  <c r="E2229" i="10" s="1"/>
  <c r="C2229" i="10" s="1"/>
  <c r="E409" i="10" a="1"/>
  <c r="E409" i="10" s="1"/>
  <c r="C409" i="10" s="1"/>
  <c r="E577" i="10" a="1"/>
  <c r="E577" i="10" s="1"/>
  <c r="C577" i="10" s="1"/>
  <c r="E2507" i="10" a="1"/>
  <c r="E2507" i="10" s="1"/>
  <c r="C2507" i="10" s="1"/>
  <c r="E298" i="10" a="1"/>
  <c r="E298" i="10" s="1"/>
  <c r="C298" i="10" s="1"/>
  <c r="E2861" i="10" a="1"/>
  <c r="E2861" i="10" s="1"/>
  <c r="C2861" i="10" s="1"/>
  <c r="E1846" i="10" a="1"/>
  <c r="E1846" i="10" s="1"/>
  <c r="C1846" i="10" s="1"/>
  <c r="E434" i="10" a="1"/>
  <c r="E434" i="10" s="1"/>
  <c r="C434" i="10" s="1"/>
  <c r="E1475" i="10" a="1"/>
  <c r="E1475" i="10" s="1"/>
  <c r="C1475" i="10" s="1"/>
  <c r="E1623" i="10" a="1"/>
  <c r="E1623" i="10" s="1"/>
  <c r="C1623" i="10" s="1"/>
  <c r="E100" i="10" a="1"/>
  <c r="E100" i="10" s="1"/>
  <c r="C100" i="10" s="1"/>
  <c r="E1099" i="10" a="1"/>
  <c r="E1099" i="10" s="1"/>
  <c r="C1099" i="10" s="1"/>
  <c r="E2522" i="10" a="1"/>
  <c r="E2522" i="10" s="1"/>
  <c r="C2522" i="10" s="1"/>
  <c r="E1144" i="10" a="1"/>
  <c r="E1144" i="10" s="1"/>
  <c r="C1144" i="10" s="1"/>
  <c r="E2565" i="10" a="1"/>
  <c r="E2565" i="10" s="1"/>
  <c r="C2565" i="10" s="1"/>
  <c r="E284" i="10" a="1"/>
  <c r="E284" i="10" s="1"/>
  <c r="C284" i="10" s="1"/>
  <c r="E1169" i="10" a="1"/>
  <c r="E1169" i="10" s="1"/>
  <c r="C1169" i="10" s="1"/>
  <c r="E2652" i="10" a="1"/>
  <c r="E2652" i="10" s="1"/>
  <c r="C2652" i="10" s="1"/>
  <c r="E2041" i="10" a="1"/>
  <c r="E2041" i="10" s="1"/>
  <c r="C2041" i="10" s="1"/>
  <c r="E1331" i="10" a="1"/>
  <c r="E1331" i="10" s="1"/>
  <c r="C1331" i="10" s="1"/>
  <c r="E1637" i="10" a="1"/>
  <c r="E1637" i="10" s="1"/>
  <c r="C1637" i="10" s="1"/>
  <c r="E571" i="10" a="1"/>
  <c r="E571" i="10" s="1"/>
  <c r="C571" i="10" s="1"/>
  <c r="E1791" i="10" a="1"/>
  <c r="E1791" i="10" s="1"/>
  <c r="C1791" i="10" s="1"/>
  <c r="E2736" i="10" a="1"/>
  <c r="E2736" i="10" s="1"/>
  <c r="C2736" i="10" s="1"/>
  <c r="E1315" i="10" a="1"/>
  <c r="E1315" i="10" s="1"/>
  <c r="C1315" i="10" s="1"/>
  <c r="E1510" i="10" a="1"/>
  <c r="E1510" i="10" s="1"/>
  <c r="C1510" i="10" s="1"/>
  <c r="E2755" i="10" a="1"/>
  <c r="E2755" i="10" s="1"/>
  <c r="C2755" i="10" s="1"/>
  <c r="E513" i="10" a="1"/>
  <c r="E513" i="10" s="1"/>
  <c r="C513" i="10" s="1"/>
  <c r="E493" i="10" a="1"/>
  <c r="E493" i="10" s="1"/>
  <c r="C493" i="10" s="1"/>
  <c r="E1857" i="10" a="1"/>
  <c r="E1857" i="10" s="1"/>
  <c r="C1857" i="10" s="1"/>
  <c r="E1353" i="10" a="1"/>
  <c r="E1353" i="10" s="1"/>
  <c r="C1353" i="10" s="1"/>
  <c r="E525" i="10" a="1"/>
  <c r="E525" i="10" s="1"/>
  <c r="C525" i="10" s="1"/>
  <c r="E660" i="10" a="1"/>
  <c r="E660" i="10" s="1"/>
  <c r="C660" i="10" s="1"/>
  <c r="E2091" i="10" a="1"/>
  <c r="E2091" i="10" s="1"/>
  <c r="C2091" i="10" s="1"/>
  <c r="E1762" i="10" a="1"/>
  <c r="E1762" i="10" s="1"/>
  <c r="C1762" i="10" s="1"/>
  <c r="E2030" i="10" a="1"/>
  <c r="E2030" i="10" s="1"/>
  <c r="C2030" i="10" s="1"/>
  <c r="E134" i="10" a="1"/>
  <c r="E134" i="10" s="1"/>
  <c r="C134" i="10" s="1"/>
  <c r="E1681" i="10" a="1"/>
  <c r="E1681" i="10" s="1"/>
  <c r="C1681" i="10" s="1"/>
  <c r="E1699" i="10" a="1"/>
  <c r="E1699" i="10" s="1"/>
  <c r="C1699" i="10" s="1"/>
  <c r="E2213" i="10" a="1"/>
  <c r="E2213" i="10" s="1"/>
  <c r="C2213" i="10" s="1"/>
  <c r="E1644" i="10" a="1"/>
  <c r="E1644" i="10" s="1"/>
  <c r="C1644" i="10" s="1"/>
  <c r="E2054" i="10" a="1"/>
  <c r="E2054" i="10" s="1"/>
  <c r="C2054" i="10" s="1"/>
  <c r="E2093" i="10" a="1"/>
  <c r="E2093" i="10" s="1"/>
  <c r="C2093" i="10" s="1"/>
  <c r="E1036" i="10" a="1"/>
  <c r="E1036" i="10" s="1"/>
  <c r="C1036" i="10" s="1"/>
  <c r="E1796" i="10" a="1"/>
  <c r="E1796" i="10" s="1"/>
  <c r="C1796" i="10" s="1"/>
  <c r="E3266" i="10" a="1"/>
  <c r="E3266" i="10" s="1"/>
  <c r="C3266" i="10" s="1"/>
  <c r="E3303" i="10" a="1"/>
  <c r="E3303" i="10" s="1"/>
  <c r="C3303" i="10" s="1"/>
  <c r="E3304" i="10" a="1"/>
  <c r="E3304" i="10" s="1"/>
  <c r="C3304" i="10" s="1"/>
  <c r="E2715" i="10" a="1"/>
  <c r="E2715" i="10" s="1"/>
  <c r="C2715" i="10" s="1"/>
  <c r="E2114" i="10" a="1"/>
  <c r="E2114" i="10" s="1"/>
  <c r="C2114" i="10" s="1"/>
  <c r="E2391" i="10" a="1"/>
  <c r="E2391" i="10" s="1"/>
  <c r="C2391" i="10" s="1"/>
  <c r="E3056" i="10" a="1"/>
  <c r="E3056" i="10" s="1"/>
  <c r="C3056" i="10" s="1"/>
  <c r="E761" i="10" a="1"/>
  <c r="E761" i="10" s="1"/>
  <c r="C761" i="10" s="1"/>
  <c r="E777" i="10" a="1"/>
  <c r="E777" i="10" s="1"/>
  <c r="C777" i="10" s="1"/>
  <c r="E1961" i="10" a="1"/>
  <c r="E1961" i="10" s="1"/>
  <c r="C1961" i="10" s="1"/>
  <c r="E1329" i="10" a="1"/>
  <c r="E1329" i="10" s="1"/>
  <c r="C1329" i="10" s="1"/>
  <c r="E1286" i="10" a="1"/>
  <c r="E1286" i="10" s="1"/>
  <c r="C1286" i="10" s="1"/>
  <c r="E369" i="10" a="1"/>
  <c r="E369" i="10" s="1"/>
  <c r="C369" i="10" s="1"/>
  <c r="E26" i="10" a="1"/>
  <c r="E26" i="10" s="1"/>
  <c r="C26" i="10" s="1"/>
  <c r="E647" i="10" a="1"/>
  <c r="E647" i="10" s="1"/>
  <c r="C647" i="10" s="1"/>
  <c r="E1372" i="10" a="1"/>
  <c r="E1372" i="10" s="1"/>
  <c r="C1372" i="10" s="1"/>
  <c r="E1502" i="10" a="1"/>
  <c r="E1502" i="10" s="1"/>
  <c r="C1502" i="10" s="1"/>
  <c r="E927" i="10" a="1"/>
  <c r="E927" i="10" s="1"/>
  <c r="C927" i="10" s="1"/>
  <c r="E1219" i="10" a="1"/>
  <c r="E1219" i="10" s="1"/>
  <c r="C1219" i="10" s="1"/>
  <c r="E3004" i="10" a="1"/>
  <c r="E3004" i="10" s="1"/>
  <c r="C3004" i="10" s="1"/>
  <c r="E2263" i="10" a="1"/>
  <c r="E2263" i="10" s="1"/>
  <c r="C2263" i="10" s="1"/>
  <c r="E1558" i="10" a="1"/>
  <c r="E1558" i="10" s="1"/>
  <c r="C1558" i="10" s="1"/>
  <c r="E1752" i="10" a="1"/>
  <c r="E1752" i="10" s="1"/>
  <c r="C1752" i="10" s="1"/>
  <c r="E1197" i="10" a="1"/>
  <c r="E1197" i="10" s="1"/>
  <c r="C1197" i="10" s="1"/>
  <c r="E1755" i="10" a="1"/>
  <c r="E1755" i="10" s="1"/>
  <c r="C1755" i="10" s="1"/>
  <c r="E2859" i="10" a="1"/>
  <c r="E2859" i="10" s="1"/>
  <c r="C2859" i="10" s="1"/>
  <c r="E3141" i="10" a="1"/>
  <c r="E3141" i="10" s="1"/>
  <c r="C3141" i="10" s="1"/>
  <c r="E2436" i="10" a="1"/>
  <c r="E2436" i="10" s="1"/>
  <c r="C2436" i="10" s="1"/>
  <c r="E589" i="10" a="1"/>
  <c r="E589" i="10" s="1"/>
  <c r="C589" i="10" s="1"/>
  <c r="E267" i="10" a="1"/>
  <c r="E267" i="10" s="1"/>
  <c r="C267" i="10" s="1"/>
  <c r="E1137" i="10" a="1"/>
  <c r="E1137" i="10" s="1"/>
  <c r="C1137" i="10" s="1"/>
  <c r="E445" i="10" a="1"/>
  <c r="E445" i="10" s="1"/>
  <c r="C445" i="10" s="1"/>
  <c r="E297" i="10" a="1"/>
  <c r="E297" i="10" s="1"/>
  <c r="C297" i="10" s="1"/>
  <c r="E49" i="10" a="1"/>
  <c r="E49" i="10" s="1"/>
  <c r="C49" i="10" s="1"/>
  <c r="E2130" i="10" a="1"/>
  <c r="E2130" i="10" s="1"/>
  <c r="C2130" i="10" s="1"/>
  <c r="E752" i="10" a="1"/>
  <c r="E752" i="10" s="1"/>
  <c r="C752" i="10" s="1"/>
  <c r="E1513" i="10" a="1"/>
  <c r="E1513" i="10" s="1"/>
  <c r="C1513" i="10" s="1"/>
  <c r="E261" i="10" a="1"/>
  <c r="E261" i="10" s="1"/>
  <c r="C261" i="10" s="1"/>
  <c r="E2152" i="10" a="1"/>
  <c r="E2152" i="10" s="1"/>
  <c r="C2152" i="10" s="1"/>
  <c r="E1367" i="10" a="1"/>
  <c r="E1367" i="10" s="1"/>
  <c r="C1367" i="10" s="1"/>
  <c r="E1678" i="10" a="1"/>
  <c r="E1678" i="10" s="1"/>
  <c r="C1678" i="10" s="1"/>
  <c r="E1729" i="10" a="1"/>
  <c r="E1729" i="10" s="1"/>
  <c r="C1729" i="10" s="1"/>
  <c r="E2682" i="10" a="1"/>
  <c r="E2682" i="10" s="1"/>
  <c r="C2682" i="10" s="1"/>
  <c r="E2626" i="10" a="1"/>
  <c r="E2626" i="10" s="1"/>
  <c r="C2626" i="10" s="1"/>
  <c r="E3081" i="10" a="1"/>
  <c r="E3081" i="10" s="1"/>
  <c r="C3081" i="10" s="1"/>
  <c r="E1714" i="10" a="1"/>
  <c r="E1714" i="10" s="1"/>
  <c r="C1714" i="10" s="1"/>
  <c r="E2541" i="10" a="1"/>
  <c r="E2541" i="10" s="1"/>
  <c r="C2541" i="10" s="1"/>
  <c r="E2212" i="10" a="1"/>
  <c r="E2212" i="10" s="1"/>
  <c r="C2212" i="10" s="1"/>
  <c r="E2916" i="10" a="1"/>
  <c r="E2916" i="10" s="1"/>
  <c r="C2916" i="10" s="1"/>
  <c r="E3207" i="10" a="1"/>
  <c r="E3207" i="10" s="1"/>
  <c r="C3207" i="10" s="1"/>
  <c r="E3252" i="10" a="1"/>
  <c r="E3252" i="10" s="1"/>
  <c r="C3252" i="10" s="1"/>
  <c r="E2231" i="10" a="1"/>
  <c r="E2231" i="10" s="1"/>
  <c r="C2231" i="10" s="1"/>
  <c r="E1626" i="10" a="1"/>
  <c r="E1626" i="10" s="1"/>
  <c r="C1626" i="10" s="1"/>
  <c r="E456" i="10" a="1"/>
  <c r="E456" i="10" s="1"/>
  <c r="C456" i="10" s="1"/>
  <c r="E1465" i="10" a="1"/>
  <c r="E1465" i="10" s="1"/>
  <c r="C1465" i="10" s="1"/>
  <c r="E2333" i="10" a="1"/>
  <c r="E2333" i="10" s="1"/>
  <c r="C2333" i="10" s="1"/>
  <c r="E1074" i="10" a="1"/>
  <c r="E1074" i="10" s="1"/>
  <c r="C1074" i="10" s="1"/>
  <c r="E1165" i="10" a="1"/>
  <c r="E1165" i="10" s="1"/>
  <c r="C1165" i="10" s="1"/>
  <c r="E1379" i="10" a="1"/>
  <c r="E1379" i="10" s="1"/>
  <c r="C1379" i="10" s="1"/>
  <c r="E1968" i="10" a="1"/>
  <c r="E1968" i="10" s="1"/>
  <c r="C1968" i="10" s="1"/>
  <c r="E618" i="10" a="1"/>
  <c r="E618" i="10" s="1"/>
  <c r="C618" i="10" s="1"/>
  <c r="E2167" i="10" a="1"/>
  <c r="E2167" i="10" s="1"/>
  <c r="C2167" i="10" s="1"/>
  <c r="E1965" i="10" a="1"/>
  <c r="E1965" i="10" s="1"/>
  <c r="C1965" i="10" s="1"/>
  <c r="E2301" i="10" a="1"/>
  <c r="E2301" i="10" s="1"/>
  <c r="C2301" i="10" s="1"/>
  <c r="E1229" i="10" a="1"/>
  <c r="E1229" i="10" s="1"/>
  <c r="C1229" i="10" s="1"/>
  <c r="E1596" i="10" a="1"/>
  <c r="E1596" i="10" s="1"/>
  <c r="C1596" i="10" s="1"/>
  <c r="E2037" i="10" a="1"/>
  <c r="E2037" i="10" s="1"/>
  <c r="C2037" i="10" s="1"/>
  <c r="E1393" i="10" a="1"/>
  <c r="E1393" i="10" s="1"/>
  <c r="C1393" i="10" s="1"/>
  <c r="E1610" i="10" a="1"/>
  <c r="E1610" i="10" s="1"/>
  <c r="C1610" i="10" s="1"/>
  <c r="E2455" i="10" a="1"/>
  <c r="E2455" i="10" s="1"/>
  <c r="C2455" i="10" s="1"/>
  <c r="E2819" i="10" a="1"/>
  <c r="E2819" i="10" s="1"/>
  <c r="C2819" i="10" s="1"/>
  <c r="E3012" i="10" a="1"/>
  <c r="E3012" i="10" s="1"/>
  <c r="C3012" i="10" s="1"/>
  <c r="E1939" i="10" a="1"/>
  <c r="E1939" i="10" s="1"/>
  <c r="C1939" i="10" s="1"/>
  <c r="E593" i="10" a="1"/>
  <c r="E593" i="10" s="1"/>
  <c r="C593" i="10" s="1"/>
  <c r="E555" i="10" a="1"/>
  <c r="E555" i="10" s="1"/>
  <c r="C555" i="10" s="1"/>
  <c r="E144" i="10" a="1"/>
  <c r="E144" i="10" s="1"/>
  <c r="C144" i="10" s="1"/>
  <c r="E1130" i="10" a="1"/>
  <c r="E1130" i="10" s="1"/>
  <c r="C1130" i="10" s="1"/>
  <c r="E93" i="10" a="1"/>
  <c r="E93" i="10" s="1"/>
  <c r="C93" i="10" s="1"/>
  <c r="E2291" i="10" a="1"/>
  <c r="E2291" i="10" s="1"/>
  <c r="C2291" i="10" s="1"/>
  <c r="E2189" i="10" a="1"/>
  <c r="E2189" i="10" s="1"/>
  <c r="C2189" i="10" s="1"/>
  <c r="E787" i="10" a="1"/>
  <c r="E787" i="10" s="1"/>
  <c r="C787" i="10" s="1"/>
  <c r="E826" i="10" a="1"/>
  <c r="E826" i="10" s="1"/>
  <c r="C826" i="10" s="1"/>
  <c r="E1173" i="10" a="1"/>
  <c r="E1173" i="10" s="1"/>
  <c r="C1173" i="10" s="1"/>
  <c r="E2242" i="10" a="1"/>
  <c r="E2242" i="10" s="1"/>
  <c r="C2242" i="10" s="1"/>
  <c r="E154" i="10" a="1"/>
  <c r="E154" i="10" s="1"/>
  <c r="C154" i="10" s="1"/>
  <c r="E1451" i="10" a="1"/>
  <c r="E1451" i="10" s="1"/>
  <c r="C1451" i="10" s="1"/>
  <c r="E1905" i="10" a="1"/>
  <c r="E1905" i="10" s="1"/>
  <c r="C1905" i="10" s="1"/>
  <c r="E1620" i="10" a="1"/>
  <c r="E1620" i="10" s="1"/>
  <c r="C1620" i="10" s="1"/>
  <c r="E169" i="10" a="1"/>
  <c r="E169" i="10" s="1"/>
  <c r="C169" i="10" s="1"/>
  <c r="E364" i="10" a="1"/>
  <c r="E364" i="10" s="1"/>
  <c r="C364" i="10" s="1"/>
  <c r="E885" i="10" a="1"/>
  <c r="E885" i="10" s="1"/>
  <c r="C885" i="10" s="1"/>
  <c r="E1518" i="10" a="1"/>
  <c r="E1518" i="10" s="1"/>
  <c r="C1518" i="10" s="1"/>
  <c r="E830" i="10" a="1"/>
  <c r="E830" i="10" s="1"/>
  <c r="C830" i="10" s="1"/>
  <c r="E608" i="10" a="1"/>
  <c r="E608" i="10" s="1"/>
  <c r="C608" i="10" s="1"/>
  <c r="E1106" i="10" a="1"/>
  <c r="E1106" i="10" s="1"/>
  <c r="C1106" i="10" s="1"/>
  <c r="E2110" i="10" a="1"/>
  <c r="E2110" i="10" s="1"/>
  <c r="C2110" i="10" s="1"/>
  <c r="E877" i="10" a="1"/>
  <c r="E877" i="10" s="1"/>
  <c r="C877" i="10" s="1"/>
  <c r="E1687" i="10" a="1"/>
  <c r="E1687" i="10" s="1"/>
  <c r="C1687" i="10" s="1"/>
  <c r="E2999" i="10" a="1"/>
  <c r="E2999" i="10" s="1"/>
  <c r="C2999" i="10" s="1"/>
  <c r="E953" i="10" a="1"/>
  <c r="E953" i="10" s="1"/>
  <c r="C953" i="10" s="1"/>
  <c r="E1828" i="10" a="1"/>
  <c r="E1828" i="10" s="1"/>
  <c r="C1828" i="10" s="1"/>
  <c r="E1512" i="10" a="1"/>
  <c r="E1512" i="10" s="1"/>
  <c r="C1512" i="10" s="1"/>
  <c r="E1820" i="10" a="1"/>
  <c r="E1820" i="10" s="1"/>
  <c r="C1820" i="10" s="1"/>
  <c r="E1320" i="10" a="1"/>
  <c r="E1320" i="10" s="1"/>
  <c r="C1320" i="10" s="1"/>
  <c r="E1576" i="10" a="1"/>
  <c r="E1576" i="10" s="1"/>
  <c r="C1576" i="10" s="1"/>
  <c r="E2944" i="10" a="1"/>
  <c r="E2944" i="10" s="1"/>
  <c r="C2944" i="10" s="1"/>
  <c r="E1278" i="10" a="1"/>
  <c r="E1278" i="10" s="1"/>
  <c r="C1278" i="10" s="1"/>
  <c r="E1664" i="10" a="1"/>
  <c r="E1664" i="10" s="1"/>
  <c r="C1664" i="10" s="1"/>
  <c r="E3359" i="10" a="1"/>
  <c r="E3359" i="10" s="1"/>
  <c r="C3359" i="10" s="1"/>
  <c r="E357" i="10" a="1"/>
  <c r="E357" i="10" s="1"/>
  <c r="C357" i="10" s="1"/>
  <c r="E1283" i="10" a="1"/>
  <c r="E1283" i="10" s="1"/>
  <c r="C1283" i="10" s="1"/>
  <c r="E931" i="10" a="1"/>
  <c r="E931" i="10" s="1"/>
  <c r="C931" i="10" s="1"/>
  <c r="E1336" i="10" a="1"/>
  <c r="E1336" i="10" s="1"/>
  <c r="C1336" i="10" s="1"/>
  <c r="E800" i="10" a="1"/>
  <c r="E800" i="10" s="1"/>
  <c r="C800" i="10" s="1"/>
  <c r="E1122" i="10" a="1"/>
  <c r="E1122" i="10" s="1"/>
  <c r="C1122" i="10" s="1"/>
  <c r="E1932" i="10" a="1"/>
  <c r="E1932" i="10" s="1"/>
  <c r="C1932" i="10" s="1"/>
  <c r="E148" i="10" a="1"/>
  <c r="E148" i="10" s="1"/>
  <c r="C148" i="10" s="1"/>
  <c r="E733" i="10" a="1"/>
  <c r="E733" i="10" s="1"/>
  <c r="C733" i="10" s="1"/>
  <c r="E601" i="10" a="1"/>
  <c r="E601" i="10" s="1"/>
  <c r="C601" i="10" s="1"/>
  <c r="E1975" i="10" a="1"/>
  <c r="E1975" i="10" s="1"/>
  <c r="C1975" i="10" s="1"/>
  <c r="E2010" i="10" a="1"/>
  <c r="E2010" i="10" s="1"/>
  <c r="C2010" i="10" s="1"/>
  <c r="E1583" i="10" a="1"/>
  <c r="E1583" i="10" s="1"/>
  <c r="C1583" i="10" s="1"/>
  <c r="E2576" i="10" a="1"/>
  <c r="E2576" i="10" s="1"/>
  <c r="C2576" i="10" s="1"/>
  <c r="E1054" i="10" a="1"/>
  <c r="E1054" i="10" s="1"/>
  <c r="C1054" i="10" s="1"/>
  <c r="E2480" i="10" a="1"/>
  <c r="E2480" i="10" s="1"/>
  <c r="C2480" i="10" s="1"/>
  <c r="E1237" i="10" a="1"/>
  <c r="E1237" i="10" s="1"/>
  <c r="C1237" i="10" s="1"/>
  <c r="E2638" i="10" a="1"/>
  <c r="E2638" i="10" s="1"/>
  <c r="C2638" i="10" s="1"/>
  <c r="E2306" i="10" a="1"/>
  <c r="E2306" i="10" s="1"/>
  <c r="C2306" i="10" s="1"/>
  <c r="E2866" i="10" a="1"/>
  <c r="E2866" i="10" s="1"/>
  <c r="C2866" i="10" s="1"/>
  <c r="E3231" i="10" a="1"/>
  <c r="E3231" i="10" s="1"/>
  <c r="C3231" i="10" s="1"/>
  <c r="E264" i="10" a="1"/>
  <c r="E264" i="10" s="1"/>
  <c r="C264" i="10" s="1"/>
  <c r="E104" i="10" a="1"/>
  <c r="E104" i="10" s="1"/>
  <c r="C104" i="10" s="1"/>
  <c r="E529" i="10" a="1"/>
  <c r="E529" i="10" s="1"/>
  <c r="C529" i="10" s="1"/>
  <c r="E751" i="10" a="1"/>
  <c r="E751" i="10" s="1"/>
  <c r="C751" i="10" s="1"/>
  <c r="E388" i="10" a="1"/>
  <c r="E388" i="10" s="1"/>
  <c r="C388" i="10" s="1"/>
  <c r="E1149" i="10" a="1"/>
  <c r="E1149" i="10" s="1"/>
  <c r="C1149" i="10" s="1"/>
  <c r="E772" i="10" a="1"/>
  <c r="E772" i="10" s="1"/>
  <c r="C772" i="10" s="1"/>
  <c r="E207" i="10" a="1"/>
  <c r="E207" i="10" s="1"/>
  <c r="C207" i="10" s="1"/>
  <c r="E2125" i="10" a="1"/>
  <c r="E2125" i="10" s="1"/>
  <c r="C2125" i="10" s="1"/>
  <c r="E610" i="10" a="1"/>
  <c r="E610" i="10" s="1"/>
  <c r="C610" i="10" s="1"/>
  <c r="E3210" i="10" a="1"/>
  <c r="E3210" i="10" s="1"/>
  <c r="C3210" i="10" s="1"/>
  <c r="E3256" i="10" a="1"/>
  <c r="E3256" i="10" s="1"/>
  <c r="C3256" i="10" s="1"/>
  <c r="E1087" i="10" a="1"/>
  <c r="E1087" i="10" s="1"/>
  <c r="C1087" i="10" s="1"/>
  <c r="E1526" i="10" a="1"/>
  <c r="E1526" i="10" s="1"/>
  <c r="C1526" i="10" s="1"/>
  <c r="E708" i="10" a="1"/>
  <c r="E708" i="10" s="1"/>
  <c r="C708" i="10" s="1"/>
  <c r="E1048" i="10" a="1"/>
  <c r="E1048" i="10" s="1"/>
  <c r="C1048" i="10" s="1"/>
  <c r="E3115" i="10" a="1"/>
  <c r="E3115" i="10" s="1"/>
  <c r="C3115" i="10" s="1"/>
  <c r="E2603" i="10" a="1"/>
  <c r="E2603" i="10" s="1"/>
  <c r="C2603" i="10" s="1"/>
  <c r="E2482" i="10" a="1"/>
  <c r="E2482" i="10" s="1"/>
  <c r="C2482" i="10" s="1"/>
  <c r="E3259" i="10" a="1"/>
  <c r="E3259" i="10" s="1"/>
  <c r="C3259" i="10" s="1"/>
  <c r="E3218" i="10" a="1"/>
  <c r="E3218" i="10" s="1"/>
  <c r="C3218" i="10" s="1"/>
  <c r="E123" i="10" a="1"/>
  <c r="E123" i="10" s="1"/>
  <c r="C123" i="10" s="1"/>
  <c r="E1306" i="10" a="1"/>
  <c r="E1306" i="10" s="1"/>
  <c r="C1306" i="10" s="1"/>
  <c r="E396" i="10" a="1"/>
  <c r="E396" i="10" s="1"/>
  <c r="C396" i="10" s="1"/>
  <c r="E2377" i="10" a="1"/>
  <c r="E2377" i="10" s="1"/>
  <c r="C2377" i="10" s="1"/>
  <c r="E81" i="10" a="1"/>
  <c r="E81" i="10" s="1"/>
  <c r="C81" i="10" s="1"/>
  <c r="E256" i="10" a="1"/>
  <c r="E256" i="10" s="1"/>
  <c r="C256" i="10" s="1"/>
  <c r="E172" i="10" a="1"/>
  <c r="E172" i="10" s="1"/>
  <c r="C172" i="10" s="1"/>
  <c r="E92" i="10" a="1"/>
  <c r="E92" i="10" s="1"/>
  <c r="C92" i="10" s="1"/>
  <c r="E145" i="10" a="1"/>
  <c r="E145" i="10" s="1"/>
  <c r="C145" i="10" s="1"/>
  <c r="E1680" i="10" a="1"/>
  <c r="E1680" i="10" s="1"/>
  <c r="C1680" i="10" s="1"/>
  <c r="E2401" i="10" a="1"/>
  <c r="E2401" i="10" s="1"/>
  <c r="C2401" i="10" s="1"/>
  <c r="E3253" i="10" a="1"/>
  <c r="E3253" i="10" s="1"/>
  <c r="C3253" i="10" s="1"/>
  <c r="E1493" i="10" a="1"/>
  <c r="E1493" i="10" s="1"/>
  <c r="C1493" i="10" s="1"/>
  <c r="E1972" i="10" a="1"/>
  <c r="E1972" i="10" s="1"/>
  <c r="C1972" i="10" s="1"/>
  <c r="E1110" i="10" a="1"/>
  <c r="E1110" i="10" s="1"/>
  <c r="C1110" i="10" s="1"/>
  <c r="E2139" i="10" a="1"/>
  <c r="E2139" i="10" s="1"/>
  <c r="C2139" i="10" s="1"/>
  <c r="E2716" i="10" a="1"/>
  <c r="E2716" i="10" s="1"/>
  <c r="C2716" i="10" s="1"/>
  <c r="E2677" i="10" a="1"/>
  <c r="E2677" i="10" s="1"/>
  <c r="C2677" i="10" s="1"/>
  <c r="E3126" i="10" a="1"/>
  <c r="E3126" i="10" s="1"/>
  <c r="C3126" i="10" s="1"/>
  <c r="E2688" i="10" a="1"/>
  <c r="E2688" i="10" s="1"/>
  <c r="C2688" i="10" s="1"/>
  <c r="E1868" i="10" a="1"/>
  <c r="E1868" i="10" s="1"/>
  <c r="C1868" i="10" s="1"/>
  <c r="E477" i="10" a="1"/>
  <c r="E477" i="10" s="1"/>
  <c r="C477" i="10" s="1"/>
  <c r="E534" i="10" a="1"/>
  <c r="E534" i="10" s="1"/>
  <c r="C534" i="10" s="1"/>
  <c r="E278" i="10" a="1"/>
  <c r="E278" i="10" s="1"/>
  <c r="C278" i="10" s="1"/>
  <c r="E595" i="10" a="1"/>
  <c r="E595" i="10" s="1"/>
  <c r="C595" i="10" s="1"/>
  <c r="E1202" i="10" a="1"/>
  <c r="E1202" i="10" s="1"/>
  <c r="C1202" i="10" s="1"/>
  <c r="E987" i="10" a="1"/>
  <c r="E987" i="10" s="1"/>
  <c r="C987" i="10" s="1"/>
  <c r="E568" i="10" a="1"/>
  <c r="E568" i="10" s="1"/>
  <c r="C568" i="10" s="1"/>
  <c r="E1395" i="10" a="1"/>
  <c r="E1395" i="10" s="1"/>
  <c r="C1395" i="10" s="1"/>
  <c r="E1296" i="10" a="1"/>
  <c r="E1296" i="10" s="1"/>
  <c r="C1296" i="10" s="1"/>
  <c r="E1248" i="10" a="1"/>
  <c r="E1248" i="10" s="1"/>
  <c r="C1248" i="10" s="1"/>
  <c r="E2299" i="10" a="1"/>
  <c r="E2299" i="10" s="1"/>
  <c r="C2299" i="10" s="1"/>
  <c r="E310" i="10" a="1"/>
  <c r="E310" i="10" s="1"/>
  <c r="C310" i="10" s="1"/>
  <c r="E2325" i="10" a="1"/>
  <c r="E2325" i="10" s="1"/>
  <c r="C2325" i="10" s="1"/>
  <c r="E2023" i="10" a="1"/>
  <c r="E2023" i="10" s="1"/>
  <c r="C2023" i="10" s="1"/>
  <c r="E140" i="10" a="1"/>
  <c r="E140" i="10" s="1"/>
  <c r="C140" i="10" s="1"/>
  <c r="E1483" i="10" a="1"/>
  <c r="E1483" i="10" s="1"/>
  <c r="C1483" i="10" s="1"/>
  <c r="E2418" i="10" a="1"/>
  <c r="E2418" i="10" s="1"/>
  <c r="C2418" i="10" s="1"/>
  <c r="E3114" i="10" a="1"/>
  <c r="E3114" i="10" s="1"/>
  <c r="C3114" i="10" s="1"/>
  <c r="E3300" i="10" a="1"/>
  <c r="E3300" i="10" s="1"/>
  <c r="C3300" i="10" s="1"/>
  <c r="E3379" i="10" a="1"/>
  <c r="E3379" i="10" s="1"/>
  <c r="C3379" i="10" s="1"/>
  <c r="E1782" i="10" a="1"/>
  <c r="E1782" i="10" s="1"/>
  <c r="C1782" i="10" s="1"/>
  <c r="E726" i="10" a="1"/>
  <c r="E726" i="10" s="1"/>
  <c r="C726" i="10" s="1"/>
  <c r="E606" i="10" a="1"/>
  <c r="E606" i="10" s="1"/>
  <c r="C606" i="10" s="1"/>
  <c r="E242" i="10" a="1"/>
  <c r="E242" i="10" s="1"/>
  <c r="C242" i="10" s="1"/>
  <c r="E470" i="10" a="1"/>
  <c r="E470" i="10" s="1"/>
  <c r="C470" i="10" s="1"/>
  <c r="E548" i="10" a="1"/>
  <c r="E548" i="10" s="1"/>
  <c r="C548" i="10" s="1"/>
  <c r="E139" i="10" a="1"/>
  <c r="E139" i="10" s="1"/>
  <c r="C139" i="10" s="1"/>
  <c r="E51" i="10" a="1"/>
  <c r="E51" i="10" s="1"/>
  <c r="C51" i="10" s="1"/>
  <c r="E862" i="10" a="1"/>
  <c r="E862" i="10" s="1"/>
  <c r="C862" i="10" s="1"/>
  <c r="E380" i="10" a="1"/>
  <c r="E380" i="10" s="1"/>
  <c r="C380" i="10" s="1"/>
  <c r="E1697" i="10" a="1"/>
  <c r="E1697" i="10" s="1"/>
  <c r="C1697" i="10" s="1"/>
  <c r="E1468" i="10" a="1"/>
  <c r="E1468" i="10" s="1"/>
  <c r="C1468" i="10" s="1"/>
  <c r="E2932" i="10" a="1"/>
  <c r="E2932" i="10" s="1"/>
  <c r="C2932" i="10" s="1"/>
  <c r="E1874" i="10" a="1"/>
  <c r="E1874" i="10" s="1"/>
  <c r="C1874" i="10" s="1"/>
  <c r="E1743" i="10" a="1"/>
  <c r="E1743" i="10" s="1"/>
  <c r="C1743" i="10" s="1"/>
  <c r="E1692" i="10" a="1"/>
  <c r="E1692" i="10" s="1"/>
  <c r="C1692" i="10" s="1"/>
  <c r="E3349" i="10" a="1"/>
  <c r="E3349" i="10" s="1"/>
  <c r="C3349" i="10" s="1"/>
  <c r="E1722" i="10" a="1"/>
  <c r="E1722" i="10" s="1"/>
  <c r="C1722" i="10" s="1"/>
  <c r="E3008" i="10" a="1"/>
  <c r="E3008" i="10" s="1"/>
  <c r="C3008" i="10" s="1"/>
  <c r="E2725" i="10" a="1"/>
  <c r="E2725" i="10" s="1"/>
  <c r="C2725" i="10" s="1"/>
  <c r="E3074" i="10" a="1"/>
  <c r="E3074" i="10" s="1"/>
  <c r="C3074" i="10" s="1"/>
  <c r="E2530" i="10" a="1"/>
  <c r="E2530" i="10" s="1"/>
  <c r="C2530" i="10" s="1"/>
  <c r="E71" i="10" a="1"/>
  <c r="E71" i="10" s="1"/>
  <c r="C71" i="10" s="1"/>
  <c r="E992" i="10" a="1"/>
  <c r="E992" i="10" s="1"/>
  <c r="C992" i="10" s="1"/>
  <c r="E1807" i="10" a="1"/>
  <c r="E1807" i="10" s="1"/>
  <c r="C1807" i="10" s="1"/>
  <c r="E266" i="10" a="1"/>
  <c r="E266" i="10" s="1"/>
  <c r="C266" i="10" s="1"/>
  <c r="E247" i="10" a="1"/>
  <c r="E247" i="10" s="1"/>
  <c r="C247" i="10" s="1"/>
  <c r="E1613" i="10" a="1"/>
  <c r="E1613" i="10" s="1"/>
  <c r="C1613" i="10" s="1"/>
  <c r="E2218" i="10" a="1"/>
  <c r="E2218" i="10" s="1"/>
  <c r="C2218" i="10" s="1"/>
  <c r="E1590" i="10" a="1"/>
  <c r="E1590" i="10" s="1"/>
  <c r="C1590" i="10" s="1"/>
  <c r="E448" i="10" a="1"/>
  <c r="E448" i="10" s="1"/>
  <c r="C448" i="10" s="1"/>
  <c r="E1893" i="10" a="1"/>
  <c r="E1893" i="10" s="1"/>
  <c r="C1893" i="10" s="1"/>
  <c r="E910" i="10" a="1"/>
  <c r="E910" i="10" s="1"/>
  <c r="C910" i="10" s="1"/>
  <c r="E1805" i="10" a="1"/>
  <c r="E1805" i="10" s="1"/>
  <c r="C1805" i="10" s="1"/>
  <c r="E1235" i="10" a="1"/>
  <c r="E1235" i="10" s="1"/>
  <c r="C1235" i="10" s="1"/>
  <c r="E915" i="10" a="1"/>
  <c r="E915" i="10" s="1"/>
  <c r="C915" i="10" s="1"/>
  <c r="E1153" i="10" a="1"/>
  <c r="E1153" i="10" s="1"/>
  <c r="C1153" i="10" s="1"/>
  <c r="E1188" i="10" a="1"/>
  <c r="E1188" i="10" s="1"/>
  <c r="C1188" i="10" s="1"/>
  <c r="E2966" i="10" a="1"/>
  <c r="E2966" i="10" s="1"/>
  <c r="C2966" i="10" s="1"/>
  <c r="E2964" i="10" a="1"/>
  <c r="E2964" i="10" s="1"/>
  <c r="C2964" i="10" s="1"/>
  <c r="E3260" i="10" a="1"/>
  <c r="E3260" i="10" s="1"/>
  <c r="C3260" i="10" s="1"/>
  <c r="E2140" i="10" a="1"/>
  <c r="E2140" i="10" s="1"/>
  <c r="C2140" i="10" s="1"/>
  <c r="E3174" i="10" a="1"/>
  <c r="E3174" i="10" s="1"/>
  <c r="C3174" i="10" s="1"/>
  <c r="E2543" i="10" a="1"/>
  <c r="E2543" i="10" s="1"/>
  <c r="C2543" i="10" s="1"/>
  <c r="E2869" i="10" a="1"/>
  <c r="E2869" i="10" s="1"/>
  <c r="C2869" i="10" s="1"/>
  <c r="E3258" i="10" a="1"/>
  <c r="E3258" i="10" s="1"/>
  <c r="C3258" i="10" s="1"/>
  <c r="E2380" i="10" a="1"/>
  <c r="E2380" i="10" s="1"/>
  <c r="C2380" i="10" s="1"/>
  <c r="E3043" i="10" a="1"/>
  <c r="E3043" i="10" s="1"/>
  <c r="C3043" i="10" s="1"/>
  <c r="E2583" i="10" a="1"/>
  <c r="E2583" i="10" s="1"/>
  <c r="C2583" i="10" s="1"/>
  <c r="E1744" i="10" a="1"/>
  <c r="E1744" i="10" s="1"/>
  <c r="C1744" i="10" s="1"/>
  <c r="E2240" i="10" a="1"/>
  <c r="E2240" i="10" s="1"/>
  <c r="C2240" i="10" s="1"/>
  <c r="E2402" i="10" a="1"/>
  <c r="E2402" i="10" s="1"/>
  <c r="C2402" i="10" s="1"/>
  <c r="E3180" i="10" a="1"/>
  <c r="E3180" i="10" s="1"/>
  <c r="C3180" i="10" s="1"/>
  <c r="E3124" i="10" a="1"/>
  <c r="E3124" i="10" s="1"/>
  <c r="C3124" i="10" s="1"/>
  <c r="E3093" i="10" a="1"/>
  <c r="E3093" i="10" s="1"/>
  <c r="C3093" i="10" s="1"/>
  <c r="E1773" i="10" a="1"/>
  <c r="E1773" i="10" s="1"/>
  <c r="C1773" i="10" s="1"/>
  <c r="E3128" i="10" a="1"/>
  <c r="E3128" i="10" s="1"/>
  <c r="C3128" i="10" s="1"/>
  <c r="E3367" i="10" a="1"/>
  <c r="E3367" i="10" s="1"/>
  <c r="C3367" i="10" s="1"/>
  <c r="E2516" i="10" a="1"/>
  <c r="E2516" i="10" s="1"/>
  <c r="C2516" i="10" s="1"/>
  <c r="E1652" i="10" a="1"/>
  <c r="E1652" i="10" s="1"/>
  <c r="C1652" i="10" s="1"/>
  <c r="E2586" i="10" a="1"/>
  <c r="E2586" i="10" s="1"/>
  <c r="C2586" i="10" s="1"/>
  <c r="E3239" i="10" a="1"/>
  <c r="E3239" i="10" s="1"/>
  <c r="C3239" i="10" s="1"/>
  <c r="E2893" i="10" a="1"/>
  <c r="E2893" i="10" s="1"/>
  <c r="C2893" i="10" s="1"/>
  <c r="E2872" i="10" a="1"/>
  <c r="E2872" i="10" s="1"/>
  <c r="C2872" i="10" s="1"/>
  <c r="E2665" i="10" a="1"/>
  <c r="E2665" i="10" s="1"/>
  <c r="C2665" i="10" s="1"/>
  <c r="E1266" i="10" a="1"/>
  <c r="E1266" i="10" s="1"/>
  <c r="C1266" i="10" s="1"/>
  <c r="E3108" i="10" a="1"/>
  <c r="E3108" i="10" s="1"/>
  <c r="C3108" i="10" s="1"/>
  <c r="E1918" i="10" a="1"/>
  <c r="E1918" i="10" s="1"/>
  <c r="C1918" i="10" s="1"/>
  <c r="E3332" i="10" a="1"/>
  <c r="E3332" i="10" s="1"/>
  <c r="C3332" i="10" s="1"/>
  <c r="E2753" i="10" a="1"/>
  <c r="E2753" i="10" s="1"/>
  <c r="C2753" i="10" s="1"/>
  <c r="E1990" i="10" a="1"/>
  <c r="E1990" i="10" s="1"/>
  <c r="C1990" i="10" s="1"/>
  <c r="E3205" i="10" a="1"/>
  <c r="E3205" i="10" s="1"/>
  <c r="C3205" i="10" s="1"/>
  <c r="E3013" i="10" a="1"/>
  <c r="E3013" i="10" s="1"/>
  <c r="C3013" i="10" s="1"/>
  <c r="E557" i="10" a="1"/>
  <c r="E557" i="10" s="1"/>
  <c r="C557" i="10" s="1"/>
  <c r="E736" i="10" a="1"/>
  <c r="E736" i="10" s="1"/>
  <c r="C736" i="10" s="1"/>
  <c r="E2555" i="10" a="1"/>
  <c r="E2555" i="10" s="1"/>
  <c r="C2555" i="10" s="1"/>
  <c r="E1688" i="10" a="1"/>
  <c r="E1688" i="10" s="1"/>
  <c r="C1688" i="10" s="1"/>
  <c r="E2150" i="10" a="1"/>
  <c r="E2150" i="10" s="1"/>
  <c r="C2150" i="10" s="1"/>
  <c r="E2547" i="10" a="1"/>
  <c r="E2547" i="10" s="1"/>
  <c r="C2547" i="10" s="1"/>
  <c r="E218" i="10" a="1"/>
  <c r="E218" i="10" s="1"/>
  <c r="C218" i="10" s="1"/>
  <c r="E888" i="10" a="1"/>
  <c r="E888" i="10" s="1"/>
  <c r="C888" i="10" s="1"/>
  <c r="E3276" i="10" a="1"/>
  <c r="E3276" i="10" s="1"/>
  <c r="C3276" i="10" s="1"/>
  <c r="E1347" i="10" a="1"/>
  <c r="E1347" i="10" s="1"/>
  <c r="C1347" i="10" s="1"/>
  <c r="E1566" i="10" a="1"/>
  <c r="E1566" i="10" s="1"/>
  <c r="C1566" i="10" s="1"/>
  <c r="E2694" i="10" a="1"/>
  <c r="E2694" i="10" s="1"/>
  <c r="C2694" i="10" s="1"/>
  <c r="E1227" i="10" a="1"/>
  <c r="E1227" i="10" s="1"/>
  <c r="C1227" i="10" s="1"/>
  <c r="E2874" i="10" a="1"/>
  <c r="E2874" i="10" s="1"/>
  <c r="C2874" i="10" s="1"/>
  <c r="E999" i="10" a="1"/>
  <c r="E999" i="10" s="1"/>
  <c r="C999" i="10" s="1"/>
  <c r="E2462" i="10" a="1"/>
  <c r="E2462" i="10" s="1"/>
  <c r="C2462" i="10" s="1"/>
  <c r="E1224" i="10" a="1"/>
  <c r="E1224" i="10" s="1"/>
  <c r="C1224" i="10" s="1"/>
  <c r="E2508" i="10" a="1"/>
  <c r="E2508" i="10" s="1"/>
  <c r="C2508" i="10" s="1"/>
  <c r="E1218" i="10" a="1"/>
  <c r="E1218" i="10" s="1"/>
  <c r="C1218" i="10" s="1"/>
  <c r="E1708" i="10" a="1"/>
  <c r="E1708" i="10" s="1"/>
  <c r="C1708" i="10" s="1"/>
  <c r="E3110" i="10" a="1"/>
  <c r="E3110" i="10" s="1"/>
  <c r="C3110" i="10" s="1"/>
  <c r="E845" i="10" a="1"/>
  <c r="E845" i="10" s="1"/>
  <c r="C845" i="10" s="1"/>
  <c r="E2947" i="10" a="1"/>
  <c r="E2947" i="10" s="1"/>
  <c r="C2947" i="10" s="1"/>
  <c r="E2090" i="10" a="1"/>
  <c r="E2090" i="10" s="1"/>
  <c r="C2090" i="10" s="1"/>
  <c r="E2052" i="10" a="1"/>
  <c r="E2052" i="10" s="1"/>
  <c r="C2052" i="10" s="1"/>
  <c r="E1952" i="10" a="1"/>
  <c r="E1952" i="10" s="1"/>
  <c r="C1952" i="10" s="1"/>
  <c r="E1236" i="10" a="1"/>
  <c r="E1236" i="10" s="1"/>
  <c r="C1236" i="10" s="1"/>
  <c r="E225" i="10" a="1"/>
  <c r="E225" i="10" s="1"/>
  <c r="C225" i="10" s="1"/>
  <c r="E840" i="10" a="1"/>
  <c r="E840" i="10" s="1"/>
  <c r="C840" i="10" s="1"/>
  <c r="E1477" i="10" a="1"/>
  <c r="E1477" i="10" s="1"/>
  <c r="C1477" i="10" s="1"/>
  <c r="E3117" i="10" a="1"/>
  <c r="E3117" i="10" s="1"/>
  <c r="C3117" i="10" s="1"/>
  <c r="E2216" i="10" a="1"/>
  <c r="E2216" i="10" s="1"/>
  <c r="C2216" i="10" s="1"/>
  <c r="E1749" i="10" a="1"/>
  <c r="E1749" i="10" s="1"/>
  <c r="C1749" i="10" s="1"/>
  <c r="E1865" i="10" a="1"/>
  <c r="E1865" i="10" s="1"/>
  <c r="C1865" i="10" s="1"/>
  <c r="E1853" i="10" a="1"/>
  <c r="E1853" i="10" s="1"/>
  <c r="C1853" i="10" s="1"/>
  <c r="E2156" i="10" a="1"/>
  <c r="E2156" i="10" s="1"/>
  <c r="C2156" i="10" s="1"/>
  <c r="E2948" i="10" a="1"/>
  <c r="E2948" i="10" s="1"/>
  <c r="C2948" i="10" s="1"/>
  <c r="E3075" i="10" a="1"/>
  <c r="E3075" i="10" s="1"/>
  <c r="C3075" i="10" s="1"/>
  <c r="E2161" i="10" a="1"/>
  <c r="E2161" i="10" s="1"/>
  <c r="C2161" i="10" s="1"/>
  <c r="E2842" i="10" a="1"/>
  <c r="E2842" i="10" s="1"/>
  <c r="C2842" i="10" s="1"/>
  <c r="E2889" i="10" a="1"/>
  <c r="E2889" i="10" s="1"/>
  <c r="C2889" i="10" s="1"/>
  <c r="E898" i="10" a="1"/>
  <c r="E898" i="10" s="1"/>
  <c r="C898" i="10" s="1"/>
  <c r="E1008" i="10" a="1"/>
  <c r="E1008" i="10" s="1"/>
  <c r="C1008" i="10" s="1"/>
  <c r="E1375" i="10" a="1"/>
  <c r="E1375" i="10" s="1"/>
  <c r="C1375" i="10" s="1"/>
  <c r="E861" i="10" a="1"/>
  <c r="E861" i="10" s="1"/>
  <c r="C861" i="10" s="1"/>
  <c r="E30" i="10" a="1"/>
  <c r="E30" i="10" s="1"/>
  <c r="C30" i="10" s="1"/>
  <c r="E1907" i="10" a="1"/>
  <c r="E1907" i="10" s="1"/>
  <c r="C1907" i="10" s="1"/>
  <c r="E598" i="10" a="1"/>
  <c r="E598" i="10" s="1"/>
  <c r="C598" i="10" s="1"/>
  <c r="E748" i="10" a="1"/>
  <c r="E748" i="10" s="1"/>
  <c r="C748" i="10" s="1"/>
  <c r="E1290" i="10" a="1"/>
  <c r="E1290" i="10" s="1"/>
  <c r="C1290" i="10" s="1"/>
  <c r="E2195" i="10" a="1"/>
  <c r="E2195" i="10" s="1"/>
  <c r="C2195" i="10" s="1"/>
  <c r="E1953" i="10" a="1"/>
  <c r="E1953" i="10" s="1"/>
  <c r="C1953" i="10" s="1"/>
  <c r="E3006" i="10" a="1"/>
  <c r="E3006" i="10" s="1"/>
  <c r="C3006" i="10" s="1"/>
  <c r="E3001" i="10" a="1"/>
  <c r="E3001" i="10" s="1"/>
  <c r="C3001" i="10" s="1"/>
  <c r="E2707" i="10" a="1"/>
  <c r="E2707" i="10" s="1"/>
  <c r="C2707" i="10" s="1"/>
  <c r="E1023" i="10" a="1"/>
  <c r="E1023" i="10" s="1"/>
  <c r="C1023" i="10" s="1"/>
  <c r="E2831" i="10" a="1"/>
  <c r="E2831" i="10" s="1"/>
  <c r="C2831" i="10" s="1"/>
  <c r="E2407" i="10" a="1"/>
  <c r="E2407" i="10" s="1"/>
  <c r="C2407" i="10" s="1"/>
  <c r="E1453" i="10" a="1"/>
  <c r="E1453" i="10" s="1"/>
  <c r="C1453" i="10" s="1"/>
  <c r="E2575" i="10" a="1"/>
  <c r="E2575" i="10" s="1"/>
  <c r="C2575" i="10" s="1"/>
  <c r="E3369" i="10" a="1"/>
  <c r="E3369" i="10" s="1"/>
  <c r="C3369" i="10" s="1"/>
  <c r="E3037" i="10" a="1"/>
  <c r="E3037" i="10" s="1"/>
  <c r="C3037" i="10" s="1"/>
  <c r="E623" i="10" a="1"/>
  <c r="E623" i="10" s="1"/>
  <c r="C623" i="10" s="1"/>
  <c r="E591" i="10" a="1"/>
  <c r="E591" i="10" s="1"/>
  <c r="C591" i="10" s="1"/>
  <c r="E1189" i="10" a="1"/>
  <c r="E1189" i="10" s="1"/>
  <c r="C1189" i="10" s="1"/>
  <c r="E839" i="10" a="1"/>
  <c r="E839" i="10" s="1"/>
  <c r="C839" i="10" s="1"/>
  <c r="E678" i="10" a="1"/>
  <c r="E678" i="10" s="1"/>
  <c r="C678" i="10" s="1"/>
  <c r="E1747" i="10" a="1"/>
  <c r="E1747" i="10" s="1"/>
  <c r="C1747" i="10" s="1"/>
  <c r="E679" i="10" a="1"/>
  <c r="E679" i="10" s="1"/>
  <c r="C679" i="10" s="1"/>
  <c r="E120" i="10" a="1"/>
  <c r="E120" i="10" s="1"/>
  <c r="C120" i="10" s="1"/>
  <c r="E656" i="10" a="1"/>
  <c r="E656" i="10" s="1"/>
  <c r="C656" i="10" s="1"/>
  <c r="E3084" i="10" a="1"/>
  <c r="E3084" i="10" s="1"/>
  <c r="C3084" i="10" s="1"/>
  <c r="E1599" i="10" a="1"/>
  <c r="E1599" i="10" s="1"/>
  <c r="C1599" i="10" s="1"/>
  <c r="E1333" i="10" a="1"/>
  <c r="E1333" i="10" s="1"/>
  <c r="C1333" i="10" s="1"/>
  <c r="E2314" i="10" a="1"/>
  <c r="E2314" i="10" s="1"/>
  <c r="C2314" i="10" s="1"/>
  <c r="E1737" i="10" a="1"/>
  <c r="E1737" i="10" s="1"/>
  <c r="C1737" i="10" s="1"/>
  <c r="E2394" i="10" a="1"/>
  <c r="E2394" i="10" s="1"/>
  <c r="C2394" i="10" s="1"/>
  <c r="E1024" i="10" a="1"/>
  <c r="E1024" i="10" s="1"/>
  <c r="C1024" i="10" s="1"/>
  <c r="E2065" i="10" a="1"/>
  <c r="E2065" i="10" s="1"/>
  <c r="C2065" i="10" s="1"/>
  <c r="E2827" i="10" a="1"/>
  <c r="E2827" i="10" s="1"/>
  <c r="C2827" i="10" s="1"/>
  <c r="E1958" i="10" a="1"/>
  <c r="E1958" i="10" s="1"/>
  <c r="C1958" i="10" s="1"/>
  <c r="E1888" i="10" a="1"/>
  <c r="E1888" i="10" s="1"/>
  <c r="C1888" i="10" s="1"/>
  <c r="E3175" i="10" a="1"/>
  <c r="E3175" i="10" s="1"/>
  <c r="C3175" i="10" s="1"/>
  <c r="E3237" i="10" a="1"/>
  <c r="E3237" i="10" s="1"/>
  <c r="C3237" i="10" s="1"/>
  <c r="E3366" i="10" a="1"/>
  <c r="E3366" i="10" s="1"/>
  <c r="C3366" i="10" s="1"/>
  <c r="E2450" i="10" a="1"/>
  <c r="E2450" i="10" s="1"/>
  <c r="C2450" i="10" s="1"/>
  <c r="E2906" i="10" a="1"/>
  <c r="E2906" i="10" s="1"/>
  <c r="C2906" i="10" s="1"/>
  <c r="E878" i="10" a="1"/>
  <c r="E878" i="10" s="1"/>
  <c r="C878" i="10" s="1"/>
  <c r="E730" i="10" a="1"/>
  <c r="E730" i="10" s="1"/>
  <c r="C730" i="10" s="1"/>
  <c r="E29" i="10" a="1"/>
  <c r="E29" i="10" s="1"/>
  <c r="C29" i="10" s="1"/>
  <c r="E816" i="10" a="1"/>
  <c r="E816" i="10" s="1"/>
  <c r="C816" i="10" s="1"/>
  <c r="E484" i="10" a="1"/>
  <c r="E484" i="10" s="1"/>
  <c r="C484" i="10" s="1"/>
  <c r="E625" i="10" a="1"/>
  <c r="E625" i="10" s="1"/>
  <c r="C625" i="10" s="1"/>
  <c r="E472" i="10" a="1"/>
  <c r="E472" i="10" s="1"/>
  <c r="C472" i="10" s="1"/>
  <c r="E240" i="10" a="1"/>
  <c r="E240" i="10" s="1"/>
  <c r="C240" i="10" s="1"/>
  <c r="E1944" i="10" a="1"/>
  <c r="E1944" i="10" s="1"/>
  <c r="C1944" i="10" s="1"/>
  <c r="E1783" i="10" a="1"/>
  <c r="E1783" i="10" s="1"/>
  <c r="C1783" i="10" s="1"/>
  <c r="E1194" i="10" a="1"/>
  <c r="E1194" i="10" s="1"/>
  <c r="C1194" i="10" s="1"/>
  <c r="E1814" i="10" a="1"/>
  <c r="E1814" i="10" s="1"/>
  <c r="C1814" i="10" s="1"/>
  <c r="E1460" i="10" a="1"/>
  <c r="E1460" i="10" s="1"/>
  <c r="C1460" i="10" s="1"/>
  <c r="E1760" i="10" a="1"/>
  <c r="E1760" i="10" s="1"/>
  <c r="C1760" i="10" s="1"/>
  <c r="E1573" i="10" a="1"/>
  <c r="E1573" i="10" s="1"/>
  <c r="C1573" i="10" s="1"/>
  <c r="E2589" i="10" a="1"/>
  <c r="E2589" i="10" s="1"/>
  <c r="C2589" i="10" s="1"/>
  <c r="E3067" i="10" a="1"/>
  <c r="E3067" i="10" s="1"/>
  <c r="C3067" i="10" s="1"/>
  <c r="E3070" i="10" a="1"/>
  <c r="E3070" i="10" s="1"/>
  <c r="C3070" i="10" s="1"/>
  <c r="E2617" i="10" a="1"/>
  <c r="E2617" i="10" s="1"/>
  <c r="C2617" i="10" s="1"/>
  <c r="E2722" i="10" a="1"/>
  <c r="E2722" i="10" s="1"/>
  <c r="C2722" i="10" s="1"/>
  <c r="E906" i="10" a="1"/>
  <c r="E906" i="10" s="1"/>
  <c r="C906" i="10" s="1"/>
  <c r="E766" i="10" a="1"/>
  <c r="E766" i="10" s="1"/>
  <c r="C766" i="10" s="1"/>
  <c r="E1669" i="10" a="1"/>
  <c r="E1669" i="10" s="1"/>
  <c r="C1669" i="10" s="1"/>
  <c r="E275" i="10" a="1"/>
  <c r="E275" i="10" s="1"/>
  <c r="C275" i="10" s="1"/>
  <c r="E149" i="10" a="1"/>
  <c r="E149" i="10" s="1"/>
  <c r="C149" i="10" s="1"/>
  <c r="E831" i="10" a="1"/>
  <c r="E831" i="10" s="1"/>
  <c r="C831" i="10" s="1"/>
  <c r="E863" i="10" a="1"/>
  <c r="E863" i="10" s="1"/>
  <c r="C863" i="10" s="1"/>
  <c r="E478" i="10" a="1"/>
  <c r="E478" i="10" s="1"/>
  <c r="C478" i="10" s="1"/>
  <c r="E2164" i="10" a="1"/>
  <c r="E2164" i="10" s="1"/>
  <c r="C2164" i="10" s="1"/>
  <c r="E1032" i="10" a="1"/>
  <c r="E1032" i="10" s="1"/>
  <c r="C1032" i="10" s="1"/>
  <c r="E2025" i="10" a="1"/>
  <c r="E2025" i="10" s="1"/>
  <c r="C2025" i="10" s="1"/>
  <c r="E2096" i="10" a="1"/>
  <c r="E2096" i="10" s="1"/>
  <c r="C2096" i="10" s="1"/>
  <c r="E817" i="10" a="1"/>
  <c r="E817" i="10" s="1"/>
  <c r="C817" i="10" s="1"/>
  <c r="E1819" i="10" a="1"/>
  <c r="E1819" i="10" s="1"/>
  <c r="C1819" i="10" s="1"/>
  <c r="E1974" i="10" a="1"/>
  <c r="E1974" i="10" s="1"/>
  <c r="C1974" i="10" s="1"/>
  <c r="E526" i="10" a="1"/>
  <c r="E526" i="10" s="1"/>
  <c r="C526" i="10" s="1"/>
  <c r="E235" i="10" a="1"/>
  <c r="E235" i="10" s="1"/>
  <c r="C235" i="10" s="1"/>
  <c r="E995" i="10" a="1"/>
  <c r="E995" i="10" s="1"/>
  <c r="C995" i="10" s="1"/>
  <c r="E764" i="10" a="1"/>
  <c r="E764" i="10" s="1"/>
  <c r="C764" i="10" s="1"/>
  <c r="E1852" i="10" a="1"/>
  <c r="E1852" i="10" s="1"/>
  <c r="C1852" i="10" s="1"/>
  <c r="E1777" i="10" a="1"/>
  <c r="E1777" i="10" s="1"/>
  <c r="C1777" i="10" s="1"/>
  <c r="E474" i="10" a="1"/>
  <c r="E474" i="10" s="1"/>
  <c r="C474" i="10" s="1"/>
  <c r="E785" i="10" a="1"/>
  <c r="E785" i="10" s="1"/>
  <c r="C785" i="10" s="1"/>
  <c r="E916" i="10" a="1"/>
  <c r="E916" i="10" s="1"/>
  <c r="C916" i="10" s="1"/>
  <c r="E2990" i="10" a="1"/>
  <c r="E2990" i="10" s="1"/>
  <c r="C2990" i="10" s="1"/>
  <c r="E2029" i="10" a="1"/>
  <c r="E2029" i="10" s="1"/>
  <c r="C2029" i="10" s="1"/>
  <c r="E565" i="10" a="1"/>
  <c r="E565" i="10" s="1"/>
  <c r="C565" i="10" s="1"/>
  <c r="E1064" i="10" a="1"/>
  <c r="E1064" i="10" s="1"/>
  <c r="C1064" i="10" s="1"/>
  <c r="E2141" i="10" a="1"/>
  <c r="E2141" i="10" s="1"/>
  <c r="C2141" i="10" s="1"/>
  <c r="E1101" i="10" a="1"/>
  <c r="E1101" i="10" s="1"/>
  <c r="C1101" i="10" s="1"/>
  <c r="E1416" i="10" a="1"/>
  <c r="E1416" i="10" s="1"/>
  <c r="C1416" i="10" s="1"/>
  <c r="E3167" i="10" a="1"/>
  <c r="E3167" i="10" s="1"/>
  <c r="C3167" i="10" s="1"/>
  <c r="E2208" i="10" a="1"/>
  <c r="E2208" i="10" s="1"/>
  <c r="C2208" i="10" s="1"/>
  <c r="E2238" i="10" a="1"/>
  <c r="E2238" i="10" s="1"/>
  <c r="C2238" i="10" s="1"/>
  <c r="E2116" i="10" a="1"/>
  <c r="E2116" i="10" s="1"/>
  <c r="C2116" i="10" s="1"/>
  <c r="E2656" i="10" a="1"/>
  <c r="E2656" i="10" s="1"/>
  <c r="C2656" i="10" s="1"/>
  <c r="E1198" i="10" a="1"/>
  <c r="E1198" i="10" s="1"/>
  <c r="C1198" i="10" s="1"/>
  <c r="E934" i="10" a="1"/>
  <c r="E934" i="10" s="1"/>
  <c r="C934" i="10" s="1"/>
  <c r="E216" i="10" a="1"/>
  <c r="E216" i="10" s="1"/>
  <c r="C216" i="10" s="1"/>
  <c r="E31" i="10" a="1"/>
  <c r="E31" i="10" s="1"/>
  <c r="C31" i="10" s="1"/>
  <c r="E1226" i="10" a="1"/>
  <c r="E1226" i="10" s="1"/>
  <c r="C1226" i="10" s="1"/>
  <c r="E1825" i="10" a="1"/>
  <c r="E1825" i="10" s="1"/>
  <c r="C1825" i="10" s="1"/>
  <c r="E2044" i="10" a="1"/>
  <c r="E2044" i="10" s="1"/>
  <c r="C2044" i="10" s="1"/>
  <c r="E692" i="10" a="1"/>
  <c r="E692" i="10" s="1"/>
  <c r="C692" i="10" s="1"/>
  <c r="E974" i="10" a="1"/>
  <c r="E974" i="10" s="1"/>
  <c r="C974" i="10" s="1"/>
  <c r="E1716" i="10" a="1"/>
  <c r="E1716" i="10" s="1"/>
  <c r="C1716" i="10" s="1"/>
  <c r="E1748" i="10" a="1"/>
  <c r="E1748" i="10" s="1"/>
  <c r="C1748" i="10" s="1"/>
  <c r="E2341" i="10" a="1"/>
  <c r="E2341" i="10" s="1"/>
  <c r="C2341" i="10" s="1"/>
  <c r="E2443" i="10" a="1"/>
  <c r="E2443" i="10" s="1"/>
  <c r="C2443" i="10" s="1"/>
  <c r="E1029" i="10" a="1"/>
  <c r="E1029" i="10" s="1"/>
  <c r="C1029" i="10" s="1"/>
  <c r="E2157" i="10" a="1"/>
  <c r="E2157" i="10" s="1"/>
  <c r="C2157" i="10" s="1"/>
  <c r="E2886" i="10" a="1"/>
  <c r="E2886" i="10" s="1"/>
  <c r="C2886" i="10" s="1"/>
  <c r="E2670" i="10" a="1"/>
  <c r="E2670" i="10" s="1"/>
  <c r="C2670" i="10" s="1"/>
  <c r="E2836" i="10" a="1"/>
  <c r="E2836" i="10" s="1"/>
  <c r="C2836" i="10" s="1"/>
  <c r="E3261" i="10" a="1"/>
  <c r="E3261" i="10" s="1"/>
  <c r="C3261" i="10" s="1"/>
  <c r="E2937" i="10" a="1"/>
  <c r="E2937" i="10" s="1"/>
  <c r="C2937" i="10" s="1"/>
  <c r="E2433" i="10" a="1"/>
  <c r="E2433" i="10" s="1"/>
  <c r="C2433" i="10" s="1"/>
  <c r="E2546" i="10" a="1"/>
  <c r="E2546" i="10" s="1"/>
  <c r="C2546" i="10" s="1"/>
  <c r="E698" i="10" a="1"/>
  <c r="E698" i="10" s="1"/>
  <c r="C698" i="10" s="1"/>
  <c r="E268" i="10" a="1"/>
  <c r="E268" i="10" s="1"/>
  <c r="C268" i="10" s="1"/>
  <c r="E669" i="10" a="1"/>
  <c r="E669" i="10" s="1"/>
  <c r="C669" i="10" s="1"/>
  <c r="E238" i="10" a="1"/>
  <c r="E238" i="10" s="1"/>
  <c r="C238" i="10" s="1"/>
  <c r="E98" i="10" a="1"/>
  <c r="E98" i="10" s="1"/>
  <c r="C98" i="10" s="1"/>
  <c r="E78" i="10" a="1"/>
  <c r="E78" i="10" s="1"/>
  <c r="C78" i="10" s="1"/>
  <c r="E1154" i="10" a="1"/>
  <c r="E1154" i="10" s="1"/>
  <c r="C1154" i="10" s="1"/>
  <c r="E1612" i="10" a="1"/>
  <c r="E1612" i="10" s="1"/>
  <c r="C1612" i="10" s="1"/>
  <c r="E2203" i="10" a="1"/>
  <c r="E2203" i="10" s="1"/>
  <c r="C2203" i="10" s="1"/>
  <c r="E795" i="10" a="1"/>
  <c r="E795" i="10" s="1"/>
  <c r="C795" i="10" s="1"/>
  <c r="E1482" i="10" a="1"/>
  <c r="E1482" i="10" s="1"/>
  <c r="C1482" i="10" s="1"/>
  <c r="E1303" i="10" a="1"/>
  <c r="E1303" i="10" s="1"/>
  <c r="C1303" i="10" s="1"/>
  <c r="E1385" i="10" a="1"/>
  <c r="E1385" i="10" s="1"/>
  <c r="C1385" i="10" s="1"/>
  <c r="E1878" i="10" a="1"/>
  <c r="E1878" i="10" s="1"/>
  <c r="C1878" i="10" s="1"/>
  <c r="E1026" i="10" a="1"/>
  <c r="E1026" i="10" s="1"/>
  <c r="C1026" i="10" s="1"/>
  <c r="E2764" i="10" a="1"/>
  <c r="E2764" i="10" s="1"/>
  <c r="C2764" i="10" s="1"/>
  <c r="E2294" i="10" a="1"/>
  <c r="E2294" i="10" s="1"/>
  <c r="C2294" i="10" s="1"/>
  <c r="E2421" i="10" a="1"/>
  <c r="E2421" i="10" s="1"/>
  <c r="C2421" i="10" s="1"/>
  <c r="E2386" i="10" a="1"/>
  <c r="E2386" i="10" s="1"/>
  <c r="C2386" i="10" s="1"/>
  <c r="E2303" i="10" a="1"/>
  <c r="E2303" i="10" s="1"/>
  <c r="C2303" i="10" s="1"/>
  <c r="E2973" i="10" a="1"/>
  <c r="E2973" i="10" s="1"/>
  <c r="C2973" i="10" s="1"/>
  <c r="E1109" i="10" a="1"/>
  <c r="E1109" i="10" s="1"/>
  <c r="C1109" i="10" s="1"/>
  <c r="E24" i="10" a="1"/>
  <c r="E24" i="10" s="1"/>
  <c r="C24" i="10" s="1"/>
  <c r="E996" i="10" a="1"/>
  <c r="E996" i="10" s="1"/>
  <c r="C996" i="10" s="1"/>
  <c r="E516" i="10" a="1"/>
  <c r="E516" i="10" s="1"/>
  <c r="C516" i="10" s="1"/>
  <c r="E1710" i="10" a="1"/>
  <c r="E1710" i="10" s="1"/>
  <c r="C1710" i="10" s="1"/>
  <c r="E288" i="10" a="1"/>
  <c r="E288" i="10" s="1"/>
  <c r="C288" i="10" s="1"/>
  <c r="E1954" i="10" a="1"/>
  <c r="E1954" i="10" s="1"/>
  <c r="C1954" i="10" s="1"/>
  <c r="E853" i="10" a="1"/>
  <c r="E853" i="10" s="1"/>
  <c r="C853" i="10" s="1"/>
  <c r="E480" i="10" a="1"/>
  <c r="E480" i="10" s="1"/>
  <c r="C480" i="10" s="1"/>
  <c r="E228" i="10" a="1"/>
  <c r="E228" i="10" s="1"/>
  <c r="C228" i="10" s="1"/>
  <c r="E2172" i="10" a="1"/>
  <c r="E2172" i="10" s="1"/>
  <c r="C2172" i="10" s="1"/>
  <c r="E2663" i="10" a="1"/>
  <c r="E2663" i="10" s="1"/>
  <c r="C2663" i="10" s="1"/>
  <c r="E1398" i="10" a="1"/>
  <c r="E1398" i="10" s="1"/>
  <c r="C1398" i="10" s="1"/>
  <c r="E852" i="10" a="1"/>
  <c r="E852" i="10" s="1"/>
  <c r="C852" i="10" s="1"/>
  <c r="E1835" i="10" a="1"/>
  <c r="E1835" i="10" s="1"/>
  <c r="C1835" i="10" s="1"/>
  <c r="E2741" i="10" a="1"/>
  <c r="E2741" i="10" s="1"/>
  <c r="C2741" i="10" s="1"/>
  <c r="E2419" i="10" a="1"/>
  <c r="E2419" i="10" s="1"/>
  <c r="C2419" i="10" s="1"/>
  <c r="E1916" i="10" a="1"/>
  <c r="E1916" i="10" s="1"/>
  <c r="C1916" i="10" s="1"/>
  <c r="E2718" i="10" a="1"/>
  <c r="E2718" i="10" s="1"/>
  <c r="C2718" i="10" s="1"/>
  <c r="E3086" i="10" a="1"/>
  <c r="E3086" i="10" s="1"/>
  <c r="C3086" i="10" s="1"/>
  <c r="E3334" i="10" a="1"/>
  <c r="E3334" i="10" s="1"/>
  <c r="C3334" i="10" s="1"/>
  <c r="E750" i="10" a="1"/>
  <c r="E750" i="10" s="1"/>
  <c r="C750" i="10" s="1"/>
  <c r="E186" i="10" a="1"/>
  <c r="E186" i="10" s="1"/>
  <c r="C186" i="10" s="1"/>
  <c r="E74" i="10" a="1"/>
  <c r="E74" i="10" s="1"/>
  <c r="C74" i="10" s="1"/>
  <c r="E1160" i="10" a="1"/>
  <c r="E1160" i="10" s="1"/>
  <c r="C1160" i="10" s="1"/>
  <c r="E262" i="10" a="1"/>
  <c r="E262" i="10" s="1"/>
  <c r="C262" i="10" s="1"/>
  <c r="E770" i="10" a="1"/>
  <c r="E770" i="10" s="1"/>
  <c r="C770" i="10" s="1"/>
  <c r="E182" i="10" a="1"/>
  <c r="E182" i="10" s="1"/>
  <c r="C182" i="10" s="1"/>
  <c r="E683" i="10" a="1"/>
  <c r="E683" i="10" s="1"/>
  <c r="C683" i="10" s="1"/>
  <c r="E547" i="10" a="1"/>
  <c r="E547" i="10" s="1"/>
  <c r="C547" i="10" s="1"/>
  <c r="E680" i="10" a="1"/>
  <c r="E680" i="10" s="1"/>
  <c r="C680" i="10" s="1"/>
  <c r="E2760" i="10" a="1"/>
  <c r="E2760" i="10" s="1"/>
  <c r="C2760" i="10" s="1"/>
  <c r="E2629" i="10" a="1"/>
  <c r="E2629" i="10" s="1"/>
  <c r="C2629" i="10" s="1"/>
  <c r="E2103" i="10" a="1"/>
  <c r="E2103" i="10" s="1"/>
  <c r="C2103" i="10" s="1"/>
  <c r="E1731" i="10" a="1"/>
  <c r="E1731" i="10" s="1"/>
  <c r="C1731" i="10" s="1"/>
  <c r="E1799" i="10" a="1"/>
  <c r="E1799" i="10" s="1"/>
  <c r="C1799" i="10" s="1"/>
  <c r="E1951" i="10" a="1"/>
  <c r="E1951" i="10" s="1"/>
  <c r="C1951" i="10" s="1"/>
  <c r="E3188" i="10" a="1"/>
  <c r="E3188" i="10" s="1"/>
  <c r="C3188" i="10" s="1"/>
  <c r="E3339" i="10" a="1"/>
  <c r="E3339" i="10" s="1"/>
  <c r="C3339" i="10" s="1"/>
  <c r="E3094" i="10" a="1"/>
  <c r="E3094" i="10" s="1"/>
  <c r="C3094" i="10" s="1"/>
  <c r="E2466" i="10" a="1"/>
  <c r="E2466" i="10" s="1"/>
  <c r="C2466" i="10" s="1"/>
  <c r="E2679" i="10" a="1"/>
  <c r="E2679" i="10" s="1"/>
  <c r="C2679" i="10" s="1"/>
  <c r="E1215" i="10" a="1"/>
  <c r="E1215" i="10" s="1"/>
  <c r="C1215" i="10" s="1"/>
  <c r="E133" i="10" a="1"/>
  <c r="E133" i="10" s="1"/>
  <c r="C133" i="10" s="1"/>
  <c r="E1001" i="10" a="1"/>
  <c r="E1001" i="10" s="1"/>
  <c r="C1001" i="10" s="1"/>
  <c r="E1043" i="10" a="1"/>
  <c r="E1043" i="10" s="1"/>
  <c r="C1043" i="10" s="1"/>
  <c r="E1843" i="10" a="1"/>
  <c r="E1843" i="10" s="1"/>
  <c r="C1843" i="10" s="1"/>
  <c r="E209" i="10" a="1"/>
  <c r="E209" i="10" s="1"/>
  <c r="C209" i="10" s="1"/>
  <c r="E346" i="10" a="1"/>
  <c r="E346" i="10" s="1"/>
  <c r="C346" i="10" s="1"/>
  <c r="E1253" i="10" a="1"/>
  <c r="E1253" i="10" s="1"/>
  <c r="C1253" i="10" s="1"/>
  <c r="E1521" i="10" a="1"/>
  <c r="E1521" i="10" s="1"/>
  <c r="C1521" i="10" s="1"/>
  <c r="E1677" i="10" a="1"/>
  <c r="E1677" i="10" s="1"/>
  <c r="C1677" i="10" s="1"/>
  <c r="E2120" i="10" a="1"/>
  <c r="E2120" i="10" s="1"/>
  <c r="C2120" i="10" s="1"/>
  <c r="E2124" i="10" a="1"/>
  <c r="E2124" i="10" s="1"/>
  <c r="C2124" i="10" s="1"/>
  <c r="E685" i="10" a="1"/>
  <c r="E685" i="10" s="1"/>
  <c r="C685" i="10" s="1"/>
  <c r="E1156" i="10" a="1"/>
  <c r="E1156" i="10" s="1"/>
  <c r="C1156" i="10" s="1"/>
  <c r="E799" i="10" a="1"/>
  <c r="E799" i="10" s="1"/>
  <c r="C799" i="10" s="1"/>
  <c r="E2331" i="10" a="1"/>
  <c r="E2331" i="10" s="1"/>
  <c r="C2331" i="10" s="1"/>
  <c r="E3262" i="10" a="1"/>
  <c r="E3262" i="10" s="1"/>
  <c r="C3262" i="10" s="1"/>
  <c r="E2875" i="10" a="1"/>
  <c r="E2875" i="10" s="1"/>
  <c r="C2875" i="10" s="1"/>
  <c r="E2591" i="10" a="1"/>
  <c r="E2591" i="10" s="1"/>
  <c r="C2591" i="10" s="1"/>
  <c r="E3289" i="10" a="1"/>
  <c r="E3289" i="10" s="1"/>
  <c r="C3289" i="10" s="1"/>
  <c r="E2042" i="10" a="1"/>
  <c r="E2042" i="10" s="1"/>
  <c r="C2042" i="10" s="1"/>
  <c r="E387" i="10" a="1"/>
  <c r="E387" i="10" s="1"/>
  <c r="C387" i="10" s="1"/>
  <c r="E1354" i="10" a="1"/>
  <c r="E1354" i="10" s="1"/>
  <c r="C1354" i="10" s="1"/>
  <c r="E110" i="10" a="1"/>
  <c r="E110" i="10" s="1"/>
  <c r="C110" i="10" s="1"/>
  <c r="E956" i="10" a="1"/>
  <c r="E956" i="10" s="1"/>
  <c r="C956" i="10" s="1"/>
  <c r="E2289" i="10" a="1"/>
  <c r="E2289" i="10" s="1"/>
  <c r="C2289" i="10" s="1"/>
  <c r="E673" i="10" a="1"/>
  <c r="E673" i="10" s="1"/>
  <c r="C673" i="10" s="1"/>
  <c r="E972" i="10" a="1"/>
  <c r="E972" i="10" s="1"/>
  <c r="C972" i="10" s="1"/>
  <c r="E991" i="10" a="1"/>
  <c r="E991" i="10" s="1"/>
  <c r="C991" i="10" s="1"/>
  <c r="E1715" i="10" a="1"/>
  <c r="E1715" i="10" s="1"/>
  <c r="C1715" i="10" s="1"/>
  <c r="E2168" i="10" a="1"/>
  <c r="E2168" i="10" s="1"/>
  <c r="C2168" i="10" s="1"/>
  <c r="E2957" i="10" a="1"/>
  <c r="E2957" i="10" s="1"/>
  <c r="C2957" i="10" s="1"/>
  <c r="E389" i="10" a="1"/>
  <c r="E389" i="10" s="1"/>
  <c r="C389" i="10" s="1"/>
  <c r="E2423" i="10" a="1"/>
  <c r="E2423" i="10" s="1"/>
  <c r="C2423" i="10" s="1"/>
  <c r="E1193" i="10" a="1"/>
  <c r="E1193" i="10" s="1"/>
  <c r="C1193" i="10" s="1"/>
  <c r="E455" i="10" a="1"/>
  <c r="E455" i="10" s="1"/>
  <c r="C455" i="10" s="1"/>
  <c r="E3063" i="10" a="1"/>
  <c r="E3063" i="10" s="1"/>
  <c r="C3063" i="10" s="1"/>
  <c r="E2976" i="10" a="1"/>
  <c r="E2976" i="10" s="1"/>
  <c r="C2976" i="10" s="1"/>
  <c r="E3376" i="10" a="1"/>
  <c r="E3376" i="10" s="1"/>
  <c r="C3376" i="10" s="1"/>
  <c r="E2490" i="10" a="1"/>
  <c r="E2490" i="10" s="1"/>
  <c r="C2490" i="10" s="1"/>
  <c r="E3024" i="10" a="1"/>
  <c r="E3024" i="10" s="1"/>
  <c r="C3024" i="10" s="1"/>
  <c r="E2941" i="10" a="1"/>
  <c r="E2941" i="10" s="1"/>
  <c r="C2941" i="10" s="1"/>
  <c r="E3106" i="10" a="1"/>
  <c r="E3106" i="10" s="1"/>
  <c r="C3106" i="10" s="1"/>
  <c r="E2429" i="10" a="1"/>
  <c r="E2429" i="10" s="1"/>
  <c r="C2429" i="10" s="1"/>
  <c r="E2355" i="10" a="1"/>
  <c r="E2355" i="10" s="1"/>
  <c r="C2355" i="10" s="1"/>
  <c r="E3058" i="10" a="1"/>
  <c r="E3058" i="10" s="1"/>
  <c r="C3058" i="10" s="1"/>
  <c r="E2441" i="10" a="1"/>
  <c r="E2441" i="10" s="1"/>
  <c r="C2441" i="10" s="1"/>
  <c r="E2344" i="10" a="1"/>
  <c r="E2344" i="10" s="1"/>
  <c r="C2344" i="10" s="1"/>
  <c r="E2703" i="10" a="1"/>
  <c r="E2703" i="10" s="1"/>
  <c r="C2703" i="10" s="1"/>
  <c r="E2573" i="10" a="1"/>
  <c r="E2573" i="10" s="1"/>
  <c r="C2573" i="10" s="1"/>
  <c r="E2720" i="10" a="1"/>
  <c r="E2720" i="10" s="1"/>
  <c r="C2720" i="10" s="1"/>
  <c r="E3331" i="10" a="1"/>
  <c r="E3331" i="10" s="1"/>
  <c r="C3331" i="10" s="1"/>
  <c r="E3116" i="10" a="1"/>
  <c r="E3116" i="10" s="1"/>
  <c r="C3116" i="10" s="1"/>
  <c r="E3216" i="10" a="1"/>
  <c r="E3216" i="10" s="1"/>
  <c r="C3216" i="10" s="1"/>
  <c r="E3299" i="10" a="1"/>
  <c r="E3299" i="10" s="1"/>
  <c r="C3299" i="10" s="1"/>
  <c r="E3228" i="10" a="1"/>
  <c r="E3228" i="10" s="1"/>
  <c r="C3228" i="10" s="1"/>
  <c r="E1434" i="10" a="1"/>
  <c r="E1434" i="10" s="1"/>
  <c r="C1434" i="10" s="1"/>
  <c r="E2574" i="10" a="1"/>
  <c r="E2574" i="10" s="1"/>
  <c r="C2574" i="10" s="1"/>
  <c r="E2481" i="10" a="1"/>
  <c r="E2481" i="10" s="1"/>
  <c r="C2481" i="10" s="1"/>
  <c r="E3178" i="10" a="1"/>
  <c r="E3178" i="10" s="1"/>
  <c r="C3178" i="10" s="1"/>
  <c r="E3295" i="10" a="1"/>
  <c r="E3295" i="10" s="1"/>
  <c r="C3295" i="10" s="1"/>
  <c r="E2895" i="10" a="1"/>
  <c r="E2895" i="10" s="1"/>
  <c r="C2895" i="10" s="1"/>
  <c r="E3015" i="10" a="1"/>
  <c r="E3015" i="10" s="1"/>
  <c r="C3015" i="10" s="1"/>
  <c r="E1562" i="10" a="1"/>
  <c r="E1562" i="10" s="1"/>
  <c r="C1562" i="10" s="1"/>
  <c r="E3032" i="10" a="1"/>
  <c r="E3032" i="10" s="1"/>
  <c r="C3032" i="10" s="1"/>
  <c r="E1769" i="10" a="1"/>
  <c r="E1769" i="10" s="1"/>
  <c r="C1769" i="10" s="1"/>
  <c r="E2646" i="10" a="1"/>
  <c r="E2646" i="10" s="1"/>
  <c r="C2646" i="10" s="1"/>
  <c r="E3187" i="10" a="1"/>
  <c r="E3187" i="10" s="1"/>
  <c r="C3187" i="10" s="1"/>
  <c r="E2857" i="10" a="1"/>
  <c r="E2857" i="10" s="1"/>
  <c r="C2857" i="10" s="1"/>
  <c r="E2768" i="10" a="1"/>
  <c r="E2768" i="10" s="1"/>
  <c r="C2768" i="10" s="1"/>
  <c r="E2616" i="10" a="1"/>
  <c r="E2616" i="10" s="1"/>
  <c r="C2616" i="10" s="1"/>
  <c r="E2479" i="10" a="1"/>
  <c r="E2479" i="10" s="1"/>
  <c r="C2479" i="10" s="1"/>
  <c r="E1539" i="10" a="1"/>
  <c r="E1539" i="10" s="1"/>
  <c r="C1539" i="10" s="1"/>
  <c r="E2785" i="10" a="1"/>
  <c r="E2785" i="10" s="1"/>
  <c r="C2785" i="10" s="1"/>
  <c r="E1376" i="10" a="1"/>
  <c r="E1376" i="10" s="1"/>
  <c r="C1376" i="10" s="1"/>
  <c r="E1335" i="10" a="1"/>
  <c r="E1335" i="10" s="1"/>
  <c r="C1335" i="10" s="1"/>
  <c r="E2621" i="10" a="1"/>
  <c r="E2621" i="10" s="1"/>
  <c r="C2621" i="10" s="1"/>
  <c r="E270" i="10" a="1"/>
  <c r="E270" i="10" s="1"/>
  <c r="C270" i="10" s="1"/>
  <c r="E3171" i="10" a="1"/>
  <c r="E3171" i="10" s="1"/>
  <c r="C3171" i="10" s="1"/>
  <c r="E556" i="10" a="1"/>
  <c r="E556" i="10" s="1"/>
  <c r="C556" i="10" s="1"/>
  <c r="E1533" i="10" a="1"/>
  <c r="E1533" i="10" s="1"/>
  <c r="C1533" i="10" s="1"/>
  <c r="E586" i="10" a="1"/>
  <c r="E586" i="10" s="1"/>
  <c r="C586" i="10" s="1"/>
  <c r="E2309" i="10" a="1"/>
  <c r="E2309" i="10" s="1"/>
  <c r="C2309" i="10" s="1"/>
  <c r="E560" i="10" a="1"/>
  <c r="E560" i="10" s="1"/>
  <c r="C560" i="10" s="1"/>
  <c r="E2605" i="10" a="1"/>
  <c r="E2605" i="10" s="1"/>
  <c r="C2605" i="10" s="1"/>
  <c r="E1216" i="10" a="1"/>
  <c r="E1216" i="10" s="1"/>
  <c r="C1216" i="10" s="1"/>
  <c r="E192" i="10" a="1"/>
  <c r="E192" i="10" s="1"/>
  <c r="C192" i="10" s="1"/>
  <c r="E1243" i="10" a="1"/>
  <c r="E1243" i="10" s="1"/>
  <c r="C1243" i="10" s="1"/>
  <c r="E1157" i="10" a="1"/>
  <c r="E1157" i="10" s="1"/>
  <c r="C1157" i="10" s="1"/>
  <c r="E1461" i="10" a="1"/>
  <c r="E1461" i="10" s="1"/>
  <c r="C1461" i="10" s="1"/>
  <c r="E392" i="10" a="1"/>
  <c r="E392" i="10" s="1"/>
  <c r="C392" i="10" s="1"/>
  <c r="E21" i="10" a="1"/>
  <c r="E21" i="10" s="1"/>
  <c r="C21" i="10" s="1"/>
  <c r="E2731" i="10" a="1"/>
  <c r="E2731" i="10" s="1"/>
  <c r="C2731" i="10" s="1"/>
  <c r="E156" i="10" a="1"/>
  <c r="E156" i="10" s="1"/>
  <c r="C156" i="10" s="1"/>
  <c r="E2630" i="10" a="1"/>
  <c r="E2630" i="10" s="1"/>
  <c r="C2630" i="10" s="1"/>
  <c r="E1441" i="10" a="1"/>
  <c r="E1441" i="10" s="1"/>
  <c r="C1441" i="10" s="1"/>
  <c r="E521" i="10" a="1"/>
  <c r="E521" i="10" s="1"/>
  <c r="C521" i="10" s="1"/>
  <c r="E3157" i="10" a="1"/>
  <c r="E3157" i="10" s="1"/>
  <c r="C3157" i="10" s="1"/>
  <c r="E279" i="10" a="1"/>
  <c r="E279" i="10" s="1"/>
  <c r="C279" i="10" s="1"/>
  <c r="E2952" i="10" a="1"/>
  <c r="E2952" i="10" s="1"/>
  <c r="C2952" i="10" s="1"/>
  <c r="E566" i="10" a="1"/>
  <c r="E566" i="10" s="1"/>
  <c r="C566" i="10" s="1"/>
  <c r="E28" i="10" a="1"/>
  <c r="E28" i="10" s="1"/>
  <c r="C28" i="10" s="1"/>
  <c r="E1978" i="10" a="1"/>
  <c r="E1978" i="10" s="1"/>
  <c r="C1978" i="10" s="1"/>
  <c r="E424" i="10" a="1"/>
  <c r="E424" i="10" s="1"/>
  <c r="C424" i="10" s="1"/>
  <c r="E2264" i="10" a="1"/>
  <c r="E2264" i="10" s="1"/>
  <c r="C2264" i="10" s="1"/>
  <c r="E1125" i="10" a="1"/>
  <c r="E1125" i="10" s="1"/>
  <c r="C1125" i="10" s="1"/>
  <c r="E197" i="10" a="1"/>
  <c r="E197" i="10" s="1"/>
  <c r="C197" i="10" s="1"/>
  <c r="E517" i="10" a="1"/>
  <c r="E517" i="10" s="1"/>
  <c r="C517" i="10" s="1"/>
  <c r="E970" i="10" a="1"/>
  <c r="E970" i="10" s="1"/>
  <c r="C970" i="10" s="1"/>
  <c r="E3065" i="10" a="1"/>
  <c r="E3065" i="10" s="1"/>
  <c r="C3065" i="10" s="1"/>
  <c r="E1280" i="10" a="1"/>
  <c r="E1280" i="10" s="1"/>
  <c r="C1280" i="10" s="1"/>
  <c r="E333" i="10" a="1"/>
  <c r="E333" i="10" s="1"/>
  <c r="C333" i="10" s="1"/>
  <c r="E272" i="10" a="1"/>
  <c r="E272" i="10" s="1"/>
  <c r="C272" i="10" s="1"/>
  <c r="E803" i="10" a="1"/>
  <c r="E803" i="10" s="1"/>
  <c r="C803" i="10" s="1"/>
  <c r="E77" i="10" a="1"/>
  <c r="E77" i="10" s="1"/>
  <c r="C77" i="10" s="1"/>
  <c r="E757" i="10" a="1"/>
  <c r="E757" i="10" s="1"/>
  <c r="C757" i="10" s="1"/>
  <c r="E946" i="10" a="1"/>
  <c r="E946" i="10" s="1"/>
  <c r="C946" i="10" s="1"/>
  <c r="E160" i="10" a="1"/>
  <c r="E160" i="10" s="1"/>
  <c r="C160" i="10" s="1"/>
  <c r="E1391" i="10" a="1"/>
  <c r="E1391" i="10" s="1"/>
  <c r="C1391" i="10" s="1"/>
  <c r="E1377" i="10" a="1"/>
  <c r="E1377" i="10" s="1"/>
  <c r="C1377" i="10" s="1"/>
  <c r="E1746" i="10" a="1"/>
  <c r="E1746" i="10" s="1"/>
  <c r="C1746" i="10" s="1"/>
  <c r="E1223" i="10" a="1"/>
  <c r="E1223" i="10" s="1"/>
  <c r="C1223" i="10" s="1"/>
  <c r="E919" i="10" a="1"/>
  <c r="E919" i="10" s="1"/>
  <c r="C919" i="10" s="1"/>
  <c r="E1011" i="10" a="1"/>
  <c r="E1011" i="10" s="1"/>
  <c r="C1011" i="10" s="1"/>
  <c r="E2097" i="10" a="1"/>
  <c r="E2097" i="10" s="1"/>
  <c r="C2097" i="10" s="1"/>
  <c r="E2163" i="10" a="1"/>
  <c r="E2163" i="10" s="1"/>
  <c r="C2163" i="10" s="1"/>
  <c r="E2255" i="10" a="1"/>
  <c r="E2255" i="10" s="1"/>
  <c r="C2255" i="10" s="1"/>
  <c r="E1047" i="10" a="1"/>
  <c r="E1047" i="10" s="1"/>
  <c r="C1047" i="10" s="1"/>
  <c r="E3221" i="10" a="1"/>
  <c r="E3221" i="10" s="1"/>
  <c r="C3221" i="10" s="1"/>
  <c r="E2615" i="10" a="1"/>
  <c r="E2615" i="10" s="1"/>
  <c r="C2615" i="10" s="1"/>
  <c r="E3121" i="10" a="1"/>
  <c r="E3121" i="10" s="1"/>
  <c r="C3121" i="10" s="1"/>
  <c r="E2686" i="10" a="1"/>
  <c r="E2686" i="10" s="1"/>
  <c r="C2686" i="10" s="1"/>
  <c r="E1186" i="10" a="1"/>
  <c r="E1186" i="10" s="1"/>
  <c r="C1186" i="10" s="1"/>
  <c r="E701" i="10" a="1"/>
  <c r="E701" i="10" s="1"/>
  <c r="C701" i="10" s="1"/>
  <c r="E1205" i="10" a="1"/>
  <c r="E1205" i="10" s="1"/>
  <c r="C1205" i="10" s="1"/>
  <c r="E1263" i="10" a="1"/>
  <c r="E1263" i="10" s="1"/>
  <c r="C1263" i="10" s="1"/>
  <c r="E132" i="10" a="1"/>
  <c r="E132" i="10" s="1"/>
  <c r="C132" i="10" s="1"/>
  <c r="E594" i="10" a="1"/>
  <c r="E594" i="10" s="1"/>
  <c r="C594" i="10" s="1"/>
  <c r="E1014" i="10" a="1"/>
  <c r="E1014" i="10" s="1"/>
  <c r="C1014" i="10" s="1"/>
  <c r="E1532" i="10" a="1"/>
  <c r="E1532" i="10" s="1"/>
  <c r="C1532" i="10" s="1"/>
  <c r="E1646" i="10" a="1"/>
  <c r="E1646" i="10" s="1"/>
  <c r="C1646" i="10" s="1"/>
  <c r="E60" i="10" a="1"/>
  <c r="E60" i="10" s="1"/>
  <c r="C60" i="10" s="1"/>
  <c r="E1793" i="10" a="1"/>
  <c r="E1793" i="10" s="1"/>
  <c r="C1793" i="10" s="1"/>
  <c r="E1767" i="10" a="1"/>
  <c r="E1767" i="10" s="1"/>
  <c r="C1767" i="10" s="1"/>
  <c r="E504" i="10" a="1"/>
  <c r="E504" i="10" s="1"/>
  <c r="C504" i="10" s="1"/>
  <c r="E2223" i="10" a="1"/>
  <c r="E2223" i="10" s="1"/>
  <c r="C2223" i="10" s="1"/>
  <c r="E1172" i="10" a="1"/>
  <c r="E1172" i="10" s="1"/>
  <c r="C1172" i="10" s="1"/>
  <c r="E1128" i="10" a="1"/>
  <c r="E1128" i="10" s="1"/>
  <c r="C1128" i="10" s="1"/>
  <c r="E3101" i="10" a="1"/>
  <c r="E3101" i="10" s="1"/>
  <c r="C3101" i="10" s="1"/>
  <c r="E1581" i="10" a="1"/>
  <c r="E1581" i="10" s="1"/>
  <c r="C1581" i="10" s="1"/>
  <c r="E2121" i="10" a="1"/>
  <c r="E2121" i="10" s="1"/>
  <c r="C2121" i="10" s="1"/>
  <c r="E3340" i="10" a="1"/>
  <c r="E3340" i="10" s="1"/>
  <c r="C3340" i="10" s="1"/>
  <c r="E3226" i="10" a="1"/>
  <c r="E3226" i="10" s="1"/>
  <c r="C3226" i="10" s="1"/>
  <c r="E1516" i="10" a="1"/>
  <c r="E1516" i="10" s="1"/>
  <c r="C1516" i="10" s="1"/>
  <c r="E173" i="10" a="1"/>
  <c r="E173" i="10" s="1"/>
  <c r="C173" i="10" s="1"/>
  <c r="E2056" i="10" a="1"/>
  <c r="E2056" i="10" s="1"/>
  <c r="C2056" i="10" s="1"/>
  <c r="E745" i="10" a="1"/>
  <c r="E745" i="10" s="1"/>
  <c r="C745" i="10" s="1"/>
  <c r="E1985" i="10" a="1"/>
  <c r="E1985" i="10" s="1"/>
  <c r="C1985" i="10" s="1"/>
  <c r="E199" i="10" a="1"/>
  <c r="E199" i="10" s="1"/>
  <c r="C199" i="10" s="1"/>
  <c r="E1323" i="10" a="1"/>
  <c r="E1323" i="10" s="1"/>
  <c r="C1323" i="10" s="1"/>
  <c r="E1413" i="10" a="1"/>
  <c r="E1413" i="10" s="1"/>
  <c r="C1413" i="10" s="1"/>
  <c r="E2372" i="10" a="1"/>
  <c r="E2372" i="10" s="1"/>
  <c r="C2372" i="10" s="1"/>
  <c r="E1181" i="10" a="1"/>
  <c r="E1181" i="10" s="1"/>
  <c r="C1181" i="10" s="1"/>
  <c r="E2210" i="10" a="1"/>
  <c r="E2210" i="10" s="1"/>
  <c r="C2210" i="10" s="1"/>
  <c r="E2845" i="10" a="1"/>
  <c r="E2845" i="10" s="1"/>
  <c r="C2845" i="10" s="1"/>
  <c r="E2557" i="10" a="1"/>
  <c r="E2557" i="10" s="1"/>
  <c r="C2557" i="10" s="1"/>
  <c r="E722" i="10" a="1"/>
  <c r="E722" i="10" s="1"/>
  <c r="C722" i="10" s="1"/>
  <c r="E1310" i="10" a="1"/>
  <c r="E1310" i="10" s="1"/>
  <c r="C1310" i="10" s="1"/>
  <c r="E786" i="10" a="1"/>
  <c r="E786" i="10" s="1"/>
  <c r="C786" i="10" s="1"/>
  <c r="E1588" i="10" a="1"/>
  <c r="E1588" i="10" s="1"/>
  <c r="C1588" i="10" s="1"/>
  <c r="E2963" i="10" a="1"/>
  <c r="E2963" i="10" s="1"/>
  <c r="C2963" i="10" s="1"/>
  <c r="E3265" i="10" a="1"/>
  <c r="E3265" i="10" s="1"/>
  <c r="C3265" i="10" s="1"/>
  <c r="E2909" i="10" a="1"/>
  <c r="E2909" i="10" s="1"/>
  <c r="C2909" i="10" s="1"/>
  <c r="E2611" i="10" a="1"/>
  <c r="E2611" i="10" s="1"/>
  <c r="C2611" i="10" s="1"/>
  <c r="E1200" i="10" a="1"/>
  <c r="E1200" i="10" s="1"/>
  <c r="C1200" i="10" s="1"/>
  <c r="E1966" i="10" a="1"/>
  <c r="E1966" i="10" s="1"/>
  <c r="C1966" i="10" s="1"/>
  <c r="E3305" i="10" a="1"/>
  <c r="E3305" i="10" s="1"/>
  <c r="C3305" i="10" s="1"/>
  <c r="E2558" i="10" a="1"/>
  <c r="E2558" i="10" s="1"/>
  <c r="C2558" i="10" s="1"/>
  <c r="E3375" i="10" a="1"/>
  <c r="E3375" i="10" s="1"/>
  <c r="C3375" i="10" s="1"/>
  <c r="E365" i="10" a="1"/>
  <c r="E365" i="10" s="1"/>
  <c r="C365" i="10" s="1"/>
  <c r="E819" i="10" a="1"/>
  <c r="E819" i="10" s="1"/>
  <c r="C819" i="10" s="1"/>
  <c r="E295" i="10" a="1"/>
  <c r="E295" i="10" s="1"/>
  <c r="C295" i="10" s="1"/>
  <c r="E111" i="10" a="1"/>
  <c r="E111" i="10" s="1"/>
  <c r="C111" i="10" s="1"/>
  <c r="E612" i="10" a="1"/>
  <c r="E612" i="10" s="1"/>
  <c r="C612" i="10" s="1"/>
  <c r="E1383" i="10" a="1"/>
  <c r="E1383" i="10" s="1"/>
  <c r="C1383" i="10" s="1"/>
  <c r="E101" i="10" a="1"/>
  <c r="E101" i="10" s="1"/>
  <c r="C101" i="10" s="1"/>
  <c r="E425" i="10" a="1"/>
  <c r="E425" i="10" s="1"/>
  <c r="C425" i="10" s="1"/>
  <c r="E1191" i="10" a="1"/>
  <c r="E1191" i="10" s="1"/>
  <c r="C1191" i="10" s="1"/>
  <c r="E2034" i="10" a="1"/>
  <c r="E2034" i="10" s="1"/>
  <c r="C2034" i="10" s="1"/>
  <c r="E1408" i="10" a="1"/>
  <c r="E1408" i="10" s="1"/>
  <c r="C1408" i="10" s="1"/>
  <c r="E2013" i="10" a="1"/>
  <c r="E2013" i="10" s="1"/>
  <c r="C2013" i="10" s="1"/>
  <c r="E1928" i="10" a="1"/>
  <c r="E1928" i="10" s="1"/>
  <c r="C1928" i="10" s="1"/>
  <c r="E220" i="10" a="1"/>
  <c r="E220" i="10" s="1"/>
  <c r="C220" i="10" s="1"/>
  <c r="E1302" i="10" a="1"/>
  <c r="E1302" i="10" s="1"/>
  <c r="C1302" i="10" s="1"/>
  <c r="E2994" i="10" a="1"/>
  <c r="E2994" i="10" s="1"/>
  <c r="C2994" i="10" s="1"/>
  <c r="E3038" i="10" a="1"/>
  <c r="E3038" i="10" s="1"/>
  <c r="C3038" i="10" s="1"/>
  <c r="E2759" i="10" a="1"/>
  <c r="E2759" i="10" s="1"/>
  <c r="C2759" i="10" s="1"/>
  <c r="E3123" i="10" a="1"/>
  <c r="E3123" i="10" s="1"/>
  <c r="C3123" i="10" s="1"/>
  <c r="E3222" i="10" a="1"/>
  <c r="E3222" i="10" s="1"/>
  <c r="C3222" i="10" s="1"/>
  <c r="E879" i="10" a="1"/>
  <c r="E879" i="10" s="1"/>
  <c r="C879" i="10" s="1"/>
  <c r="E536" i="10" a="1"/>
  <c r="E536" i="10" s="1"/>
  <c r="C536" i="10" s="1"/>
  <c r="E837" i="10" a="1"/>
  <c r="E837" i="10" s="1"/>
  <c r="C837" i="10" s="1"/>
  <c r="E126" i="10" a="1"/>
  <c r="E126" i="10" s="1"/>
  <c r="C126" i="10" s="1"/>
  <c r="E833" i="10" a="1"/>
  <c r="E833" i="10" s="1"/>
  <c r="C833" i="10" s="1"/>
  <c r="E2317" i="10" a="1"/>
  <c r="E2317" i="10" s="1"/>
  <c r="C2317" i="10" s="1"/>
  <c r="E508" i="10" a="1"/>
  <c r="E508" i="10" s="1"/>
  <c r="C508" i="10" s="1"/>
  <c r="E473" i="10" a="1"/>
  <c r="E473" i="10" s="1"/>
  <c r="C473" i="10" s="1"/>
  <c r="E1000" i="10" a="1"/>
  <c r="E1000" i="10" s="1"/>
  <c r="C1000" i="10" s="1"/>
  <c r="E1427" i="10" a="1"/>
  <c r="E1427" i="10" s="1"/>
  <c r="C1427" i="10" s="1"/>
  <c r="E1910" i="10" a="1"/>
  <c r="E1910" i="10" s="1"/>
  <c r="C1910" i="10" s="1"/>
  <c r="E973" i="10" a="1"/>
  <c r="E973" i="10" s="1"/>
  <c r="C973" i="10" s="1"/>
  <c r="E1920" i="10" a="1"/>
  <c r="E1920" i="10" s="1"/>
  <c r="C1920" i="10" s="1"/>
  <c r="E1504" i="10" a="1"/>
  <c r="E1504" i="10" s="1"/>
  <c r="C1504" i="10" s="1"/>
  <c r="E2169" i="10" a="1"/>
  <c r="E2169" i="10" s="1"/>
  <c r="C2169" i="10" s="1"/>
  <c r="E640" i="10" a="1"/>
  <c r="E640" i="10" s="1"/>
  <c r="C640" i="10" s="1"/>
  <c r="E91" i="10" a="1"/>
  <c r="E91" i="10" s="1"/>
  <c r="C91" i="10" s="1"/>
  <c r="E510" i="10" a="1"/>
  <c r="E510" i="10" s="1"/>
  <c r="C510" i="10" s="1"/>
  <c r="E2361" i="10" a="1"/>
  <c r="E2361" i="10" s="1"/>
  <c r="C2361" i="10" s="1"/>
  <c r="E1364" i="10" a="1"/>
  <c r="E1364" i="10" s="1"/>
  <c r="C1364" i="10" s="1"/>
  <c r="E46" i="10" a="1"/>
  <c r="E46" i="10" s="1"/>
  <c r="C46" i="10" s="1"/>
  <c r="E462" i="10" a="1"/>
  <c r="E462" i="10" s="1"/>
  <c r="C462" i="10" s="1"/>
  <c r="E304" i="10" a="1"/>
  <c r="E304" i="10" s="1"/>
  <c r="C304" i="10" s="1"/>
  <c r="E804" i="10" a="1"/>
  <c r="E804" i="10" s="1"/>
  <c r="C804" i="10" s="1"/>
  <c r="E377" i="10" a="1"/>
  <c r="E377" i="10" s="1"/>
  <c r="C377" i="10" s="1"/>
  <c r="E1578" i="10" a="1"/>
  <c r="E1578" i="10" s="1"/>
  <c r="C1578" i="10" s="1"/>
  <c r="E714" i="10" a="1"/>
  <c r="E714" i="10" s="1"/>
  <c r="C714" i="10" s="1"/>
  <c r="E3071" i="10" a="1"/>
  <c r="E3071" i="10" s="1"/>
  <c r="C3071" i="10" s="1"/>
  <c r="E1645" i="10" a="1"/>
  <c r="E1645" i="10" s="1"/>
  <c r="C1645" i="10" s="1"/>
  <c r="E964" i="10" a="1"/>
  <c r="E964" i="10" s="1"/>
  <c r="C964" i="10" s="1"/>
  <c r="E1653" i="10" a="1"/>
  <c r="E1653" i="10" s="1"/>
  <c r="C1653" i="10" s="1"/>
  <c r="E2993" i="10" a="1"/>
  <c r="E2993" i="10" s="1"/>
  <c r="C2993" i="10" s="1"/>
  <c r="E2459" i="10" a="1"/>
  <c r="E2459" i="10" s="1"/>
  <c r="C2459" i="10" s="1"/>
  <c r="E3033" i="10" a="1"/>
  <c r="E3033" i="10" s="1"/>
  <c r="C3033" i="10" s="1"/>
  <c r="E2710" i="10" a="1"/>
  <c r="E2710" i="10" s="1"/>
  <c r="C2710" i="10" s="1"/>
  <c r="E2588" i="10" a="1"/>
  <c r="E2588" i="10" s="1"/>
  <c r="C2588" i="10" s="1"/>
  <c r="E1378" i="10" a="1"/>
  <c r="E1378" i="10" s="1"/>
  <c r="C1378" i="10" s="1"/>
  <c r="E1394" i="10" a="1"/>
  <c r="E1394" i="10" s="1"/>
  <c r="C1394" i="10" s="1"/>
  <c r="E682" i="10" a="1"/>
  <c r="E682" i="10" s="1"/>
  <c r="C682" i="10" s="1"/>
  <c r="E1455" i="10" a="1"/>
  <c r="E1455" i="10" s="1"/>
  <c r="C1455" i="10" s="1"/>
  <c r="E1822" i="10" a="1"/>
  <c r="E1822" i="10" s="1"/>
  <c r="C1822" i="10" s="1"/>
  <c r="E201" i="10" a="1"/>
  <c r="E201" i="10" s="1"/>
  <c r="C201" i="10" s="1"/>
  <c r="E376" i="10" a="1"/>
  <c r="E376" i="10" s="1"/>
  <c r="C376" i="10" s="1"/>
  <c r="E802" i="10" a="1"/>
  <c r="E802" i="10" s="1"/>
  <c r="C802" i="10" s="1"/>
  <c r="E72" i="10" a="1"/>
  <c r="E72" i="10" s="1"/>
  <c r="C72" i="10" s="1"/>
  <c r="E639" i="10" a="1"/>
  <c r="E639" i="10" s="1"/>
  <c r="C639" i="10" s="1"/>
  <c r="E1572" i="10" a="1"/>
  <c r="E1572" i="10" s="1"/>
  <c r="C1572" i="10" s="1"/>
  <c r="E1163" i="10" a="1"/>
  <c r="E1163" i="10" s="1"/>
  <c r="C1163" i="10" s="1"/>
  <c r="E664" i="10" a="1"/>
  <c r="E664" i="10" s="1"/>
  <c r="C664" i="10" s="1"/>
  <c r="E2073" i="10" a="1"/>
  <c r="E2073" i="10" s="1"/>
  <c r="C2073" i="10" s="1"/>
  <c r="E1922" i="10" a="1"/>
  <c r="E1922" i="10" s="1"/>
  <c r="C1922" i="10" s="1"/>
  <c r="E2170" i="10" a="1"/>
  <c r="E2170" i="10" s="1"/>
  <c r="C2170" i="10" s="1"/>
  <c r="E2803" i="10" a="1"/>
  <c r="E2803" i="10" s="1"/>
  <c r="C2803" i="10" s="1"/>
  <c r="E3212" i="10" a="1"/>
  <c r="E3212" i="10" s="1"/>
  <c r="C3212" i="10" s="1"/>
  <c r="E1754" i="10" a="1"/>
  <c r="E1754" i="10" s="1"/>
  <c r="C1754" i="10" s="1"/>
  <c r="E2494" i="10" a="1"/>
  <c r="E2494" i="10" s="1"/>
  <c r="C2494" i="10" s="1"/>
  <c r="E1339" i="10" a="1"/>
  <c r="E1339" i="10" s="1"/>
  <c r="C1339" i="10" s="1"/>
  <c r="E2128" i="10" a="1"/>
  <c r="E2128" i="10" s="1"/>
  <c r="C2128" i="10" s="1"/>
  <c r="E1341" i="10" a="1"/>
  <c r="E1341" i="10" s="1"/>
  <c r="C1341" i="10" s="1"/>
  <c r="E821" i="10" a="1"/>
  <c r="E821" i="10" s="1"/>
  <c r="C821" i="10" s="1"/>
  <c r="E1582" i="10" a="1"/>
  <c r="E1582" i="10" s="1"/>
  <c r="C1582" i="10" s="1"/>
  <c r="E1568" i="10" a="1"/>
  <c r="E1568" i="10" s="1"/>
  <c r="C1568" i="10" s="1"/>
  <c r="E1257" i="10" a="1"/>
  <c r="E1257" i="10" s="1"/>
  <c r="C1257" i="10" s="1"/>
  <c r="E135" i="10" a="1"/>
  <c r="E135" i="10" s="1"/>
  <c r="C135" i="10" s="1"/>
  <c r="E501" i="10" a="1"/>
  <c r="E501" i="10" s="1"/>
  <c r="C501" i="10" s="1"/>
  <c r="E1287" i="10" a="1"/>
  <c r="E1287" i="10" s="1"/>
  <c r="C1287" i="10" s="1"/>
  <c r="E68" i="10" a="1"/>
  <c r="E68" i="10" s="1"/>
  <c r="C68" i="10" s="1"/>
  <c r="E2175" i="10" a="1"/>
  <c r="E2175" i="10" s="1"/>
  <c r="C2175" i="10" s="1"/>
  <c r="E1627" i="10" a="1"/>
  <c r="E1627" i="10" s="1"/>
  <c r="C1627" i="10" s="1"/>
  <c r="E3347" i="10" a="1"/>
  <c r="E3347" i="10" s="1"/>
  <c r="C3347" i="10" s="1"/>
  <c r="E1656" i="10" a="1"/>
  <c r="E1656" i="10" s="1"/>
  <c r="C1656" i="10" s="1"/>
  <c r="E1409" i="10" a="1"/>
  <c r="E1409" i="10" s="1"/>
  <c r="C1409" i="10" s="1"/>
  <c r="E2809" i="10" a="1"/>
  <c r="E2809" i="10" s="1"/>
  <c r="C2809" i="10" s="1"/>
  <c r="E3314" i="10" a="1"/>
  <c r="E3314" i="10" s="1"/>
  <c r="C3314" i="10" s="1"/>
  <c r="E2814" i="10" a="1"/>
  <c r="E2814" i="10" s="1"/>
  <c r="C2814" i="10" s="1"/>
  <c r="E2662" i="10" a="1"/>
  <c r="E2662" i="10" s="1"/>
  <c r="C2662" i="10" s="1"/>
  <c r="E2639" i="10" a="1"/>
  <c r="E2639" i="10" s="1"/>
  <c r="C2639" i="10" s="1"/>
  <c r="E3097" i="10" a="1"/>
  <c r="E3097" i="10" s="1"/>
  <c r="C3097" i="10" s="1"/>
  <c r="E2742" i="10" a="1"/>
  <c r="E2742" i="10" s="1"/>
  <c r="C2742" i="10" s="1"/>
  <c r="E436" i="10" a="1"/>
  <c r="E436" i="10" s="1"/>
  <c r="C436" i="10" s="1"/>
  <c r="E570" i="10" a="1"/>
  <c r="E570" i="10" s="1"/>
  <c r="C570" i="10" s="1"/>
  <c r="E917" i="10" a="1"/>
  <c r="E917" i="10" s="1"/>
  <c r="C917" i="10" s="1"/>
  <c r="E2293" i="10" a="1"/>
  <c r="E2293" i="10" s="1"/>
  <c r="C2293" i="10" s="1"/>
  <c r="E897" i="10" a="1"/>
  <c r="E897" i="10" s="1"/>
  <c r="C897" i="10" s="1"/>
  <c r="E550" i="10" a="1"/>
  <c r="E550" i="10" s="1"/>
  <c r="C550" i="10" s="1"/>
  <c r="E2219" i="10" a="1"/>
  <c r="E2219" i="10" s="1"/>
  <c r="C2219" i="10" s="1"/>
  <c r="E2388" i="10" a="1"/>
  <c r="E2388" i="10" s="1"/>
  <c r="C2388" i="10" s="1"/>
  <c r="E1177" i="10" a="1"/>
  <c r="E1177" i="10" s="1"/>
  <c r="C1177" i="10" s="1"/>
  <c r="E414" i="10" a="1"/>
  <c r="E414" i="10" s="1"/>
  <c r="C414" i="10" s="1"/>
  <c r="E2376" i="10" a="1"/>
  <c r="E2376" i="10" s="1"/>
  <c r="C2376" i="10" s="1"/>
  <c r="E2360" i="10" a="1"/>
  <c r="E2360" i="10" s="1"/>
  <c r="C2360" i="10" s="1"/>
  <c r="E2642" i="10" a="1"/>
  <c r="E2642" i="10" s="1"/>
  <c r="C2642" i="10" s="1"/>
  <c r="E1704" i="10" a="1"/>
  <c r="E1704" i="10" s="1"/>
  <c r="C1704" i="10" s="1"/>
  <c r="E633" i="10" a="1"/>
  <c r="E633" i="10" s="1"/>
  <c r="C633" i="10" s="1"/>
  <c r="E1919" i="10" a="1"/>
  <c r="E1919" i="10" s="1"/>
  <c r="C1919" i="10" s="1"/>
  <c r="E1927" i="10" a="1"/>
  <c r="E1927" i="10" s="1"/>
  <c r="C1927" i="10" s="1"/>
  <c r="E2968" i="10" a="1"/>
  <c r="E2968" i="10" s="1"/>
  <c r="C2968" i="10" s="1"/>
  <c r="E1816" i="10" a="1"/>
  <c r="E1816" i="10" s="1"/>
  <c r="C1816" i="10" s="1"/>
  <c r="E2390" i="10" a="1"/>
  <c r="E2390" i="10" s="1"/>
  <c r="C2390" i="10" s="1"/>
  <c r="E2260" i="10" a="1"/>
  <c r="E2260" i="10" s="1"/>
  <c r="C2260" i="10" s="1"/>
  <c r="E184" i="10" a="1"/>
  <c r="E184" i="10" s="1"/>
  <c r="C184" i="10" s="1"/>
  <c r="E107" i="10" a="1"/>
  <c r="E107" i="10" s="1"/>
  <c r="C107" i="10" s="1"/>
  <c r="E2354" i="10" a="1"/>
  <c r="E2354" i="10" s="1"/>
  <c r="C2354" i="10" s="1"/>
  <c r="E938" i="10" a="1"/>
  <c r="E938" i="10" s="1"/>
  <c r="C938" i="10" s="1"/>
  <c r="E129" i="10" a="1"/>
  <c r="E129" i="10" s="1"/>
  <c r="C129" i="10" s="1"/>
  <c r="E1180" i="10" a="1"/>
  <c r="E1180" i="10" s="1"/>
  <c r="C1180" i="10" s="1"/>
  <c r="E742" i="10" a="1"/>
  <c r="E742" i="10" s="1"/>
  <c r="C742" i="10" s="1"/>
  <c r="E924" i="10" a="1"/>
  <c r="E924" i="10" s="1"/>
  <c r="C924" i="10" s="1"/>
  <c r="E1425" i="10" a="1"/>
  <c r="E1425" i="10" s="1"/>
  <c r="C1425" i="10" s="1"/>
  <c r="E1967" i="10" a="1"/>
  <c r="E1967" i="10" s="1"/>
  <c r="C1967" i="10" s="1"/>
  <c r="E2285" i="10" a="1"/>
  <c r="E2285" i="10" s="1"/>
  <c r="C2285" i="10" s="1"/>
  <c r="E958" i="10" a="1"/>
  <c r="E958" i="10" s="1"/>
  <c r="C958" i="10" s="1"/>
  <c r="E1980" i="10" a="1"/>
  <c r="E1980" i="10" s="1"/>
  <c r="C1980" i="10" s="1"/>
  <c r="E2337" i="10" a="1"/>
  <c r="E2337" i="10" s="1"/>
  <c r="C2337" i="10" s="1"/>
  <c r="E1499" i="10" a="1"/>
  <c r="E1499" i="10" s="1"/>
  <c r="C1499" i="10" s="1"/>
  <c r="E1445" i="10" a="1"/>
  <c r="E1445" i="10" s="1"/>
  <c r="C1445" i="10" s="1"/>
  <c r="E1942" i="10" a="1"/>
  <c r="E1942" i="10" s="1"/>
  <c r="C1942" i="10" s="1"/>
  <c r="E3374" i="10" a="1"/>
  <c r="E3374" i="10" s="1"/>
  <c r="C3374" i="10" s="1"/>
  <c r="E2969" i="10" a="1"/>
  <c r="E2969" i="10" s="1"/>
  <c r="C2969" i="10" s="1"/>
  <c r="E2567" i="10" a="1"/>
  <c r="E2567" i="10" s="1"/>
  <c r="C2567" i="10" s="1"/>
  <c r="E2771" i="10" a="1"/>
  <c r="E2771" i="10" s="1"/>
  <c r="C2771" i="10" s="1"/>
  <c r="E42" i="10" a="1"/>
  <c r="E42" i="10" s="1"/>
  <c r="C42" i="10" s="1"/>
  <c r="E302" i="10" a="1"/>
  <c r="E302" i="10" s="1"/>
  <c r="C302" i="10" s="1"/>
  <c r="E170" i="10" a="1"/>
  <c r="E170" i="10" s="1"/>
  <c r="C170" i="10" s="1"/>
  <c r="E1598" i="10" a="1"/>
  <c r="E1598" i="10" s="1"/>
  <c r="C1598" i="10" s="1"/>
  <c r="E947" i="10" a="1"/>
  <c r="E947" i="10" s="1"/>
  <c r="C947" i="10" s="1"/>
  <c r="E2111" i="10" a="1"/>
  <c r="E2111" i="10" s="1"/>
  <c r="C2111" i="10" s="1"/>
  <c r="E1696" i="10" a="1"/>
  <c r="E1696" i="10" s="1"/>
  <c r="C1696" i="10" s="1"/>
  <c r="E1381" i="10" a="1"/>
  <c r="E1381" i="10" s="1"/>
  <c r="C1381" i="10" s="1"/>
  <c r="E581" i="10" a="1"/>
  <c r="E581" i="10" s="1"/>
  <c r="C581" i="10" s="1"/>
  <c r="E712" i="10" a="1"/>
  <c r="E712" i="10" s="1"/>
  <c r="C712" i="10" s="1"/>
  <c r="E2292" i="10" a="1"/>
  <c r="E2292" i="10" s="1"/>
  <c r="C2292" i="10" s="1"/>
  <c r="E1450" i="10" a="1"/>
  <c r="E1450" i="10" s="1"/>
  <c r="C1450" i="10" s="1"/>
  <c r="E2074" i="10" a="1"/>
  <c r="E2074" i="10" s="1"/>
  <c r="C2074" i="10" s="1"/>
  <c r="E1912" i="10" a="1"/>
  <c r="E1912" i="10" s="1"/>
  <c r="C1912" i="10" s="1"/>
  <c r="E1035" i="10" a="1"/>
  <c r="E1035" i="10" s="1"/>
  <c r="C1035" i="10" s="1"/>
  <c r="E760" i="10" a="1"/>
  <c r="E760" i="10" s="1"/>
  <c r="C760" i="10" s="1"/>
  <c r="E2061" i="10" a="1"/>
  <c r="E2061" i="10" s="1"/>
  <c r="C2061" i="10" s="1"/>
  <c r="E2224" i="10" a="1"/>
  <c r="E2224" i="10" s="1"/>
  <c r="C2224" i="10" s="1"/>
  <c r="E1854" i="10" a="1"/>
  <c r="E1854" i="10" s="1"/>
  <c r="C1854" i="10" s="1"/>
  <c r="E2660" i="10" a="1"/>
  <c r="E2660" i="10" s="1"/>
  <c r="C2660" i="10" s="1"/>
  <c r="E3068" i="10" a="1"/>
  <c r="E3068" i="10" s="1"/>
  <c r="C3068" i="10" s="1"/>
  <c r="E573" i="10" a="1"/>
  <c r="E573" i="10" s="1"/>
  <c r="C573" i="10" s="1"/>
  <c r="E326" i="10" a="1"/>
  <c r="E326" i="10" s="1"/>
  <c r="C326" i="10" s="1"/>
  <c r="E1969" i="10" a="1"/>
  <c r="E1969" i="10" s="1"/>
  <c r="C1969" i="10" s="1"/>
  <c r="E940" i="10" a="1"/>
  <c r="E940" i="10" s="1"/>
  <c r="C940" i="10" s="1"/>
  <c r="E251" i="10" a="1"/>
  <c r="E251" i="10" s="1"/>
  <c r="C251" i="10" s="1"/>
  <c r="E1088" i="10" a="1"/>
  <c r="E1088" i="10" s="1"/>
  <c r="C1088" i="10" s="1"/>
  <c r="E219" i="10" a="1"/>
  <c r="E219" i="10" s="1"/>
  <c r="C219" i="10" s="1"/>
  <c r="E694" i="10" a="1"/>
  <c r="E694" i="10" s="1"/>
  <c r="C694" i="10" s="1"/>
  <c r="E244" i="10" a="1"/>
  <c r="E244" i="10" s="1"/>
  <c r="C244" i="10" s="1"/>
  <c r="E1273" i="10" a="1"/>
  <c r="E1273" i="10" s="1"/>
  <c r="C1273" i="10" s="1"/>
  <c r="E2273" i="10" a="1"/>
  <c r="E2273" i="10" s="1"/>
  <c r="C2273" i="10" s="1"/>
  <c r="E2071" i="10" a="1"/>
  <c r="E2071" i="10" s="1"/>
  <c r="C2071" i="10" s="1"/>
  <c r="E3000" i="10" a="1"/>
  <c r="E3000" i="10" s="1"/>
  <c r="C3000" i="10" s="1"/>
  <c r="E2942" i="10" a="1"/>
  <c r="E2942" i="10" s="1"/>
  <c r="C2942" i="10" s="1"/>
  <c r="E3096" i="10" a="1"/>
  <c r="E3096" i="10" s="1"/>
  <c r="C3096" i="10" s="1"/>
  <c r="E2523" i="10" a="1"/>
  <c r="E2523" i="10" s="1"/>
  <c r="C2523" i="10" s="1"/>
  <c r="E3182" i="10" a="1"/>
  <c r="E3182" i="10" s="1"/>
  <c r="C3182" i="10" s="1"/>
  <c r="E662" i="10" a="1"/>
  <c r="E662" i="10" s="1"/>
  <c r="C662" i="10" s="1"/>
  <c r="E2910" i="10" a="1"/>
  <c r="E2910" i="10" s="1"/>
  <c r="C2910" i="10" s="1"/>
  <c r="E2147" i="10" a="1"/>
  <c r="E2147" i="10" s="1"/>
  <c r="C2147" i="10" s="1"/>
  <c r="E3209" i="10" a="1"/>
  <c r="E3209" i="10" s="1"/>
  <c r="C3209" i="10" s="1"/>
  <c r="E2159" i="10" a="1"/>
  <c r="E2159" i="10" s="1"/>
  <c r="C2159" i="10" s="1"/>
  <c r="E3052" i="10" a="1"/>
  <c r="E3052" i="10" s="1"/>
  <c r="C3052" i="10" s="1"/>
  <c r="E2705" i="10" a="1"/>
  <c r="E2705" i="10" s="1"/>
  <c r="C2705" i="10" s="1"/>
  <c r="E2654" i="10" a="1"/>
  <c r="E2654" i="10" s="1"/>
  <c r="C2654" i="10" s="1"/>
  <c r="E1053" i="10" a="1"/>
  <c r="E1053" i="10" s="1"/>
  <c r="C1053" i="10" s="1"/>
  <c r="E3099" i="10" a="1"/>
  <c r="E3099" i="10" s="1"/>
  <c r="C3099" i="10" s="1"/>
  <c r="E3083" i="10" a="1"/>
  <c r="E3083" i="10" s="1"/>
  <c r="C3083" i="10" s="1"/>
  <c r="E1775" i="10" a="1"/>
  <c r="E1775" i="10" s="1"/>
  <c r="C1775" i="10" s="1"/>
  <c r="E2101" i="10" a="1"/>
  <c r="E2101" i="10" s="1"/>
  <c r="C2101" i="10" s="1"/>
  <c r="E2268" i="10" a="1"/>
  <c r="E2268" i="10" s="1"/>
  <c r="C2268" i="10" s="1"/>
  <c r="E2136" i="10" a="1"/>
  <c r="E2136" i="10" s="1"/>
  <c r="C2136" i="10" s="1"/>
  <c r="E2905" i="10" a="1"/>
  <c r="E2905" i="10" s="1"/>
  <c r="C2905" i="10" s="1"/>
  <c r="E2991" i="10" a="1"/>
  <c r="E2991" i="10" s="1"/>
  <c r="C2991" i="10" s="1"/>
  <c r="E3017" i="10" a="1"/>
  <c r="E3017" i="10" s="1"/>
  <c r="C3017" i="10" s="1"/>
  <c r="E2437" i="10" a="1"/>
  <c r="E2437" i="10" s="1"/>
  <c r="C2437" i="10" s="1"/>
  <c r="E3230" i="10" a="1"/>
  <c r="E3230" i="10" s="1"/>
  <c r="C3230" i="10" s="1"/>
  <c r="E2816" i="10" a="1"/>
  <c r="E2816" i="10" s="1"/>
  <c r="C2816" i="10" s="1"/>
  <c r="E2897" i="10" a="1"/>
  <c r="E2897" i="10" s="1"/>
  <c r="C2897" i="10" s="1"/>
  <c r="E2818" i="10" a="1"/>
  <c r="E2818" i="10" s="1"/>
  <c r="C2818" i="10" s="1"/>
  <c r="E2828" i="10" a="1"/>
  <c r="E2828" i="10" s="1"/>
  <c r="C2828" i="10" s="1"/>
  <c r="E2647" i="10" a="1"/>
  <c r="E2647" i="10" s="1"/>
  <c r="C2647" i="10" s="1"/>
  <c r="E1685" i="10" a="1"/>
  <c r="E1685" i="10" s="1"/>
  <c r="C1685" i="10" s="1"/>
  <c r="E3193" i="10" a="1"/>
  <c r="E3193" i="10" s="1"/>
  <c r="C3193" i="10" s="1"/>
  <c r="E3186" i="10" a="1"/>
  <c r="E3186" i="10" s="1"/>
  <c r="C3186" i="10" s="1"/>
  <c r="E3102" i="10" a="1"/>
  <c r="E3102" i="10" s="1"/>
  <c r="C3102" i="10" s="1"/>
  <c r="E3268" i="10" a="1"/>
  <c r="E3268" i="10" s="1"/>
  <c r="C3268" i="10" s="1"/>
  <c r="E1855" i="10" a="1"/>
  <c r="E1855" i="10" s="1"/>
  <c r="C1855" i="10" s="1"/>
  <c r="E2702" i="10" a="1"/>
  <c r="E2702" i="10" s="1"/>
  <c r="C2702" i="10" s="1"/>
  <c r="E3306" i="10" a="1"/>
  <c r="E3306" i="10" s="1"/>
  <c r="C3306" i="10" s="1"/>
  <c r="E3172" i="10" a="1"/>
  <c r="E3172" i="10" s="1"/>
  <c r="C3172" i="10" s="1"/>
  <c r="E2584" i="10" a="1"/>
  <c r="E2584" i="10" s="1"/>
  <c r="C2584" i="10" s="1"/>
  <c r="E431" i="10" a="1"/>
  <c r="E431" i="10" s="1"/>
  <c r="C431" i="10" s="1"/>
  <c r="E3247" i="10" a="1"/>
  <c r="E3247" i="10" s="1"/>
  <c r="C3247" i="10" s="1"/>
  <c r="E263" i="10" a="1"/>
  <c r="E263" i="10" s="1"/>
  <c r="C263" i="10" s="1"/>
  <c r="E2077" i="10" a="1"/>
  <c r="E2077" i="10" s="1"/>
  <c r="C2077" i="10" s="1"/>
  <c r="E1763" i="10" a="1"/>
  <c r="E1763" i="10" s="1"/>
  <c r="C1763" i="10" s="1"/>
  <c r="E1840" i="10" a="1"/>
  <c r="E1840" i="10" s="1"/>
  <c r="C1840" i="10" s="1"/>
  <c r="E1350" i="10" a="1"/>
  <c r="E1350" i="10" s="1"/>
  <c r="C1350" i="10" s="1"/>
  <c r="E1369" i="10" a="1"/>
  <c r="E1369" i="10" s="1"/>
  <c r="C1369" i="10" s="1"/>
  <c r="E1250" i="10" a="1"/>
  <c r="E1250" i="10" s="1"/>
  <c r="C1250" i="10" s="1"/>
  <c r="E1797" i="10" a="1"/>
  <c r="E1797" i="10" s="1"/>
  <c r="C1797" i="10" s="1"/>
  <c r="E348" i="10" a="1"/>
  <c r="E348" i="10" s="1"/>
  <c r="C348" i="10" s="1"/>
  <c r="E1327" i="10" a="1"/>
  <c r="E1327" i="10" s="1"/>
  <c r="C1327" i="10" s="1"/>
  <c r="E511" i="10" a="1"/>
  <c r="E511" i="10" s="1"/>
  <c r="C511" i="10" s="1"/>
  <c r="E965" i="10" a="1"/>
  <c r="E965" i="10" s="1"/>
  <c r="C965" i="10" s="1"/>
  <c r="E1619" i="10" a="1"/>
  <c r="E1619" i="10" s="1"/>
  <c r="C1619" i="10" s="1"/>
  <c r="E1684" i="10" a="1"/>
  <c r="E1684" i="10" s="1"/>
  <c r="C1684" i="10" s="1"/>
  <c r="E237" i="10" a="1"/>
  <c r="E237" i="10" s="1"/>
  <c r="C237" i="10" s="1"/>
  <c r="E3044" i="10" a="1"/>
  <c r="E3044" i="10" s="1"/>
  <c r="C3044" i="10" s="1"/>
  <c r="E2928" i="10" a="1"/>
  <c r="E2928" i="10" s="1"/>
  <c r="C2928" i="10" s="1"/>
  <c r="E2370" i="10" a="1"/>
  <c r="E2370" i="10" s="1"/>
  <c r="C2370" i="10" s="1"/>
  <c r="E1264" i="10" a="1"/>
  <c r="E1264" i="10" s="1"/>
  <c r="C1264" i="10" s="1"/>
  <c r="E2107" i="10" a="1"/>
  <c r="E2107" i="10" s="1"/>
  <c r="C2107" i="10" s="1"/>
  <c r="E1753" i="10" a="1"/>
  <c r="E1753" i="10" s="1"/>
  <c r="C1753" i="10" s="1"/>
  <c r="E1971" i="10" a="1"/>
  <c r="E1971" i="10" s="1"/>
  <c r="C1971" i="10" s="1"/>
  <c r="E1045" i="10" a="1"/>
  <c r="E1045" i="10" s="1"/>
  <c r="C1045" i="10" s="1"/>
  <c r="E3069" i="10" a="1"/>
  <c r="E3069" i="10" s="1"/>
  <c r="C3069" i="10" s="1"/>
  <c r="E1815" i="10" a="1"/>
  <c r="E1815" i="10" s="1"/>
  <c r="C1815" i="10" s="1"/>
  <c r="E383" i="10" a="1"/>
  <c r="E383" i="10" s="1"/>
  <c r="C383" i="10" s="1"/>
  <c r="E1705" i="10" a="1"/>
  <c r="E1705" i="10" s="1"/>
  <c r="C1705" i="10" s="1"/>
  <c r="E2246" i="10" a="1"/>
  <c r="E2246" i="10" s="1"/>
  <c r="C2246" i="10" s="1"/>
  <c r="E1134" i="10" a="1"/>
  <c r="E1134" i="10" s="1"/>
  <c r="C1134" i="10" s="1"/>
  <c r="E2178" i="10" a="1"/>
  <c r="E2178" i="10" s="1"/>
  <c r="C2178" i="10" s="1"/>
  <c r="E309" i="10" a="1"/>
  <c r="E309" i="10" s="1"/>
  <c r="C309" i="10" s="1"/>
  <c r="E1007" i="10" a="1"/>
  <c r="E1007" i="10" s="1"/>
  <c r="C1007" i="10" s="1"/>
  <c r="E926" i="10" a="1"/>
  <c r="E926" i="10" s="1"/>
  <c r="C926" i="10" s="1"/>
  <c r="E976" i="10" a="1"/>
  <c r="E976" i="10" s="1"/>
  <c r="C976" i="10" s="1"/>
  <c r="E602" i="10" a="1"/>
  <c r="E602" i="10" s="1"/>
  <c r="C602" i="10" s="1"/>
  <c r="E642" i="10" a="1"/>
  <c r="E642" i="10" s="1"/>
  <c r="C642" i="10" s="1"/>
  <c r="E411" i="10" a="1"/>
  <c r="E411" i="10" s="1"/>
  <c r="C411" i="10" s="1"/>
  <c r="E1208" i="10" a="1"/>
  <c r="E1208" i="10" s="1"/>
  <c r="C1208" i="10" s="1"/>
  <c r="E203" i="10" a="1"/>
  <c r="E203" i="10" s="1"/>
  <c r="C203" i="10" s="1"/>
  <c r="E2235" i="10" a="1"/>
  <c r="E2235" i="10" s="1"/>
  <c r="C2235" i="10" s="1"/>
  <c r="E1083" i="10" a="1"/>
  <c r="E1083" i="10" s="1"/>
  <c r="C1083" i="10" s="1"/>
  <c r="E67" i="10" a="1"/>
  <c r="E67" i="10" s="1"/>
  <c r="C67" i="10" s="1"/>
  <c r="E2014" i="10" a="1"/>
  <c r="E2014" i="10" s="1"/>
  <c r="C2014" i="10" s="1"/>
  <c r="E1519" i="10" a="1"/>
  <c r="E1519" i="10" s="1"/>
  <c r="C1519" i="10" s="1"/>
  <c r="E1757" i="10" a="1"/>
  <c r="E1757" i="10" s="1"/>
  <c r="C1757" i="10" s="1"/>
  <c r="E3014" i="10" a="1"/>
  <c r="E3014" i="10" s="1"/>
  <c r="C3014" i="10" s="1"/>
  <c r="E2610" i="10" a="1"/>
  <c r="E2610" i="10" s="1"/>
  <c r="C2610" i="10" s="1"/>
  <c r="E2245" i="10" a="1"/>
  <c r="E2245" i="10" s="1"/>
  <c r="C2245" i="10" s="1"/>
  <c r="E562" i="10" a="1"/>
  <c r="E562" i="10" s="1"/>
  <c r="C562" i="10" s="1"/>
  <c r="E3257" i="10" a="1"/>
  <c r="E3257" i="10" s="1"/>
  <c r="C3257" i="10" s="1"/>
  <c r="E1593" i="10" a="1"/>
  <c r="E1593" i="10" s="1"/>
  <c r="C1593" i="10" s="1"/>
  <c r="E2545" i="10" a="1"/>
  <c r="E2545" i="10" s="1"/>
  <c r="C2545" i="10" s="1"/>
  <c r="E2956" i="10" a="1"/>
  <c r="E2956" i="10" s="1"/>
  <c r="C2956" i="10" s="1"/>
  <c r="E2793" i="10" a="1"/>
  <c r="E2793" i="10" s="1"/>
  <c r="C2793" i="10" s="1"/>
  <c r="E989" i="10" a="1"/>
  <c r="E989" i="10" s="1"/>
  <c r="C989" i="10" s="1"/>
  <c r="E912" i="10" a="1"/>
  <c r="E912" i="10" s="1"/>
  <c r="C912" i="10" s="1"/>
  <c r="E2036" i="10" a="1"/>
  <c r="E2036" i="10" s="1"/>
  <c r="C2036" i="10" s="1"/>
  <c r="E442" i="10" a="1"/>
  <c r="E442" i="10" s="1"/>
  <c r="C442" i="10" s="1"/>
  <c r="E1166" i="10" a="1"/>
  <c r="E1166" i="10" s="1"/>
  <c r="C1166" i="10" s="1"/>
  <c r="E196" i="10" a="1"/>
  <c r="E196" i="10" s="1"/>
  <c r="C196" i="10" s="1"/>
  <c r="E1050" i="10" a="1"/>
  <c r="E1050" i="10" s="1"/>
  <c r="C1050" i="10" s="1"/>
  <c r="E1116" i="10" a="1"/>
  <c r="E1116" i="10" s="1"/>
  <c r="C1116" i="10" s="1"/>
  <c r="E552" i="10" a="1"/>
  <c r="E552" i="10" s="1"/>
  <c r="C552" i="10" s="1"/>
  <c r="E393" i="10" a="1"/>
  <c r="E393" i="10" s="1"/>
  <c r="C393" i="10" s="1"/>
  <c r="E1584" i="10" a="1"/>
  <c r="E1584" i="10" s="1"/>
  <c r="C1584" i="10" s="1"/>
  <c r="E2089" i="10" a="1"/>
  <c r="E2089" i="10" s="1"/>
  <c r="C2089" i="10" s="1"/>
  <c r="E2817" i="10" a="1"/>
  <c r="E2817" i="10" s="1"/>
  <c r="C2817" i="10" s="1"/>
  <c r="E615" i="10" a="1"/>
  <c r="E615" i="10" s="1"/>
  <c r="C615" i="10" s="1"/>
  <c r="E883" i="10" a="1"/>
  <c r="E883" i="10" s="1"/>
  <c r="C883" i="10" s="1"/>
  <c r="E1860" i="10" a="1"/>
  <c r="E1860" i="10" s="1"/>
  <c r="C1860" i="10" s="1"/>
  <c r="E2225" i="10" a="1"/>
  <c r="E2225" i="10" s="1"/>
  <c r="C2225" i="10" s="1"/>
  <c r="E3277" i="10" a="1"/>
  <c r="E3277" i="10" s="1"/>
  <c r="C3277" i="10" s="1"/>
  <c r="E3362" i="10" a="1"/>
  <c r="E3362" i="10" s="1"/>
  <c r="C3362" i="10" s="1"/>
  <c r="E2726" i="10" a="1"/>
  <c r="E2726" i="10" s="1"/>
  <c r="C2726" i="10" s="1"/>
  <c r="E2393" i="10" a="1"/>
  <c r="E2393" i="10" s="1"/>
  <c r="C2393" i="10" s="1"/>
  <c r="E720" i="10" a="1"/>
  <c r="E720" i="10" s="1"/>
  <c r="C720" i="10" s="1"/>
  <c r="E847" i="10" a="1"/>
  <c r="E847" i="10" s="1"/>
  <c r="C847" i="10" s="1"/>
  <c r="E449" i="10" a="1"/>
  <c r="E449" i="10" s="1"/>
  <c r="C449" i="10" s="1"/>
  <c r="E179" i="10" a="1"/>
  <c r="E179" i="10" s="1"/>
  <c r="C179" i="10" s="1"/>
  <c r="E677" i="10" a="1"/>
  <c r="E677" i="10" s="1"/>
  <c r="C677" i="10" s="1"/>
  <c r="E650" i="10" a="1"/>
  <c r="E650" i="10" s="1"/>
  <c r="C650" i="10" s="1"/>
  <c r="E763" i="10" a="1"/>
  <c r="E763" i="10" s="1"/>
  <c r="C763" i="10" s="1"/>
  <c r="E239" i="10" a="1"/>
  <c r="E239" i="10" s="1"/>
  <c r="C239" i="10" s="1"/>
  <c r="E355" i="10" a="1"/>
  <c r="E355" i="10" s="1"/>
  <c r="C355" i="10" s="1"/>
  <c r="E2176" i="10" a="1"/>
  <c r="E2176" i="10" s="1"/>
  <c r="C2176" i="10" s="1"/>
  <c r="E1837" i="10" a="1"/>
  <c r="E1837" i="10" s="1"/>
  <c r="C1837" i="10" s="1"/>
  <c r="E1030" i="10" a="1"/>
  <c r="E1030" i="10" s="1"/>
  <c r="C1030" i="10" s="1"/>
  <c r="E1981" i="10" a="1"/>
  <c r="E1981" i="10" s="1"/>
  <c r="C1981" i="10" s="1"/>
  <c r="E1866" i="10" a="1"/>
  <c r="E1866" i="10" s="1"/>
  <c r="C1866" i="10" s="1"/>
  <c r="E146" i="10" a="1"/>
  <c r="E146" i="10" s="1"/>
  <c r="C146" i="10" s="1"/>
  <c r="E2259" i="10" a="1"/>
  <c r="E2259" i="10" s="1"/>
  <c r="C2259" i="10" s="1"/>
  <c r="E3380" i="10" a="1"/>
  <c r="E3380" i="10" s="1"/>
  <c r="C3380" i="10" s="1"/>
  <c r="E2192" i="10" a="1"/>
  <c r="E2192" i="10" s="1"/>
  <c r="C2192" i="10" s="1"/>
  <c r="E2112" i="10" a="1"/>
  <c r="E2112" i="10" s="1"/>
  <c r="C2112" i="10" s="1"/>
  <c r="E2620" i="10" a="1"/>
  <c r="E2620" i="10" s="1"/>
  <c r="C2620" i="10" s="1"/>
  <c r="E1870" i="10" a="1"/>
  <c r="E1870" i="10" s="1"/>
  <c r="C1870" i="10" s="1"/>
  <c r="E2526" i="10" a="1"/>
  <c r="E2526" i="10" s="1"/>
  <c r="C2526" i="10" s="1"/>
  <c r="E2505" i="10" a="1"/>
  <c r="E2505" i="10" s="1"/>
  <c r="C2505" i="10" s="1"/>
  <c r="E1488" i="10" a="1"/>
  <c r="E1488" i="10" s="1"/>
  <c r="C1488" i="10" s="1"/>
  <c r="E3225" i="10" a="1"/>
  <c r="E3225" i="10" s="1"/>
  <c r="C3225" i="10" s="1"/>
  <c r="E859" i="10" a="1"/>
  <c r="E859" i="10" s="1"/>
  <c r="C859" i="10" s="1"/>
  <c r="E523" i="10" a="1"/>
  <c r="E523" i="10" s="1"/>
  <c r="C523" i="10" s="1"/>
  <c r="E1358" i="10" a="1"/>
  <c r="E1358" i="10" s="1"/>
  <c r="C1358" i="10" s="1"/>
  <c r="E922" i="10" a="1"/>
  <c r="E922" i="10" s="1"/>
  <c r="C922" i="10" s="1"/>
  <c r="E1174" i="10" a="1"/>
  <c r="E1174" i="10" s="1"/>
  <c r="C1174" i="10" s="1"/>
  <c r="E360" i="10" a="1"/>
  <c r="E360" i="10" s="1"/>
  <c r="C360" i="10" s="1"/>
  <c r="E136" i="10" a="1"/>
  <c r="E136" i="10" s="1"/>
  <c r="C136" i="10" s="1"/>
  <c r="E747" i="10" a="1"/>
  <c r="E747" i="10" s="1"/>
  <c r="C747" i="10" s="1"/>
  <c r="E809" i="10" a="1"/>
  <c r="E809" i="10" s="1"/>
  <c r="C809" i="10" s="1"/>
  <c r="E2754" i="10" a="1"/>
  <c r="E2754" i="10" s="1"/>
  <c r="C2754" i="10" s="1"/>
  <c r="E2711" i="10" a="1"/>
  <c r="E2711" i="10" s="1"/>
  <c r="C2711" i="10" s="1"/>
  <c r="E3035" i="10" a="1"/>
  <c r="E3035" i="10" s="1"/>
  <c r="C3035" i="10" s="1"/>
  <c r="E212" i="10" a="1"/>
  <c r="E212" i="10" s="1"/>
  <c r="C212" i="10" s="1"/>
  <c r="E2318" i="10" a="1"/>
  <c r="E2318" i="10" s="1"/>
  <c r="C2318" i="10" s="1"/>
  <c r="E1561" i="10" a="1"/>
  <c r="E1561" i="10" s="1"/>
  <c r="C1561" i="10" s="1"/>
  <c r="E1629" i="10" a="1"/>
  <c r="E1629" i="10" s="1"/>
  <c r="C1629" i="10" s="1"/>
  <c r="E2534" i="10" a="1"/>
  <c r="E2534" i="10" s="1"/>
  <c r="C2534" i="10" s="1"/>
  <c r="E2053" i="10" a="1"/>
  <c r="E2053" i="10" s="1"/>
  <c r="C2053" i="10" s="1"/>
  <c r="E2442" i="10" a="1"/>
  <c r="E2442" i="10" s="1"/>
  <c r="C2442" i="10" s="1"/>
  <c r="E2556" i="10" a="1"/>
  <c r="E2556" i="10" s="1"/>
  <c r="C2556" i="10" s="1"/>
  <c r="E2109" i="10" a="1"/>
  <c r="E2109" i="10" s="1"/>
  <c r="C2109" i="10" s="1"/>
  <c r="E1633" i="10" a="1"/>
  <c r="E1633" i="10" s="1"/>
  <c r="C1633" i="10" s="1"/>
  <c r="E1159" i="10" a="1"/>
  <c r="E1159" i="10" s="1"/>
  <c r="C1159" i="10" s="1"/>
  <c r="E2165" i="10" a="1"/>
  <c r="E2165" i="10" s="1"/>
  <c r="C2165" i="10" s="1"/>
  <c r="E675" i="10" a="1"/>
  <c r="E675" i="10" s="1"/>
  <c r="C675" i="10" s="1"/>
  <c r="E1097" i="10" a="1"/>
  <c r="E1097" i="10" s="1"/>
  <c r="C1097" i="10" s="1"/>
  <c r="E988" i="10" a="1"/>
  <c r="E988" i="10" s="1"/>
  <c r="C988" i="10" s="1"/>
  <c r="E260" i="10" a="1"/>
  <c r="E260" i="10" s="1"/>
  <c r="C260" i="10" s="1"/>
  <c r="E791" i="10" a="1"/>
  <c r="E791" i="10" s="1"/>
  <c r="C791" i="10" s="1"/>
  <c r="E2228" i="10" a="1"/>
  <c r="E2228" i="10" s="1"/>
  <c r="C2228" i="10" s="1"/>
  <c r="E1140" i="10" a="1"/>
  <c r="E1140" i="10" s="1"/>
  <c r="C1140" i="10" s="1"/>
  <c r="E3109" i="10" a="1"/>
  <c r="E3109" i="10" s="1"/>
  <c r="C3109" i="10" s="1"/>
  <c r="E1851" i="10" a="1"/>
  <c r="E1851" i="10" s="1"/>
  <c r="C1851" i="10" s="1"/>
  <c r="E2280" i="10" a="1"/>
  <c r="E2280" i="10" s="1"/>
  <c r="C2280" i="10" s="1"/>
  <c r="E2779" i="10" a="1"/>
  <c r="E2779" i="10" s="1"/>
  <c r="C2779" i="10" s="1"/>
  <c r="E2852" i="10" a="1"/>
  <c r="E2852" i="10" s="1"/>
  <c r="C2852" i="10" s="1"/>
  <c r="E549" i="10" a="1"/>
  <c r="E549" i="10" s="1"/>
  <c r="C549" i="10" s="1"/>
  <c r="E1062" i="10" a="1"/>
  <c r="E1062" i="10" s="1"/>
  <c r="C1062" i="10" s="1"/>
  <c r="E1209" i="10" a="1"/>
  <c r="E1209" i="10" s="1"/>
  <c r="C1209" i="10" s="1"/>
  <c r="E188" i="10" a="1"/>
  <c r="E188" i="10" s="1"/>
  <c r="C188" i="10" s="1"/>
  <c r="E227" i="10" a="1"/>
  <c r="E227" i="10" s="1"/>
  <c r="C227" i="10" s="1"/>
  <c r="E700" i="10" a="1"/>
  <c r="E700" i="10" s="1"/>
  <c r="C700" i="10" s="1"/>
  <c r="E933" i="10" a="1"/>
  <c r="E933" i="10" s="1"/>
  <c r="C933" i="10" s="1"/>
  <c r="E798" i="10" a="1"/>
  <c r="E798" i="10" s="1"/>
  <c r="C798" i="10" s="1"/>
  <c r="E2454" i="10" a="1"/>
  <c r="E2454" i="10" s="1"/>
  <c r="C2454" i="10" s="1"/>
  <c r="E614" i="10" a="1"/>
  <c r="E614" i="10" s="1"/>
  <c r="C614" i="10" s="1"/>
  <c r="E2261" i="10" a="1"/>
  <c r="E2261" i="10" s="1"/>
  <c r="C2261" i="10" s="1"/>
  <c r="E621" i="10" a="1"/>
  <c r="E621" i="10" s="1"/>
  <c r="C621" i="10" s="1"/>
  <c r="E2358" i="10" a="1"/>
  <c r="E2358" i="10" s="1"/>
  <c r="C2358" i="10" s="1"/>
  <c r="E3214" i="10" a="1"/>
  <c r="E3214" i="10" s="1"/>
  <c r="C3214" i="10" s="1"/>
  <c r="E994" i="10" a="1"/>
  <c r="E994" i="10" s="1"/>
  <c r="C994" i="10" s="1"/>
  <c r="E2045" i="10" a="1"/>
  <c r="E2045" i="10" s="1"/>
  <c r="C2045" i="10" s="1"/>
  <c r="E1651" i="10" a="1"/>
  <c r="E1651" i="10" s="1"/>
  <c r="C1651" i="10" s="1"/>
  <c r="E2687" i="10" a="1"/>
  <c r="E2687" i="10" s="1"/>
  <c r="C2687" i="10" s="1"/>
  <c r="E3290" i="10" a="1"/>
  <c r="E3290" i="10" s="1"/>
  <c r="C3290" i="10" s="1"/>
  <c r="E3160" i="10" a="1"/>
  <c r="E3160" i="10" s="1"/>
  <c r="C3160" i="10" s="1"/>
  <c r="E2599" i="10" a="1"/>
  <c r="E2599" i="10" s="1"/>
  <c r="C2599" i="10" s="1"/>
  <c r="E603" i="10" a="1"/>
  <c r="E603" i="10" s="1"/>
  <c r="C603" i="10" s="1"/>
  <c r="E754" i="10" a="1"/>
  <c r="E754" i="10" s="1"/>
  <c r="C754" i="10" s="1"/>
  <c r="E1993" i="10" a="1"/>
  <c r="E1993" i="10" s="1"/>
  <c r="C1993" i="10" s="1"/>
  <c r="E789" i="10" a="1"/>
  <c r="E789" i="10" s="1"/>
  <c r="C789" i="10" s="1"/>
  <c r="E1719" i="10" a="1"/>
  <c r="E1719" i="10" s="1"/>
  <c r="C1719" i="10" s="1"/>
  <c r="E215" i="10" a="1"/>
  <c r="E215" i="10" s="1"/>
  <c r="C215" i="10" s="1"/>
  <c r="E966" i="10" a="1"/>
  <c r="E966" i="10" s="1"/>
  <c r="C966" i="10" s="1"/>
  <c r="E2403" i="10" a="1"/>
  <c r="E2403" i="10" s="1"/>
  <c r="C2403" i="10" s="1"/>
  <c r="E810" i="10" a="1"/>
  <c r="E810" i="10" s="1"/>
  <c r="C810" i="10" s="1"/>
  <c r="E689" i="10" a="1"/>
  <c r="E689" i="10" s="1"/>
  <c r="C689" i="10" s="1"/>
  <c r="E1524" i="10" a="1"/>
  <c r="E1524" i="10" s="1"/>
  <c r="C1524" i="10" s="1"/>
  <c r="E2384" i="10" a="1"/>
  <c r="E2384" i="10" s="1"/>
  <c r="C2384" i="10" s="1"/>
  <c r="E3139" i="10" a="1"/>
  <c r="E3139" i="10" s="1"/>
  <c r="C3139" i="10" s="1"/>
  <c r="E3143" i="10" a="1"/>
  <c r="E3143" i="10" s="1"/>
  <c r="C3143" i="10" s="1"/>
  <c r="E1093" i="10" a="1"/>
  <c r="E1093" i="10" s="1"/>
  <c r="C1093" i="10" s="1"/>
  <c r="E1849" i="10" a="1"/>
  <c r="E1849" i="10" s="1"/>
  <c r="C1849" i="10" s="1"/>
  <c r="E3050" i="10" a="1"/>
  <c r="E3050" i="10" s="1"/>
  <c r="C3050" i="10" s="1"/>
  <c r="E1261" i="10" a="1"/>
  <c r="E1261" i="10" s="1"/>
  <c r="C1261" i="10" s="1"/>
  <c r="E3062" i="10" a="1"/>
  <c r="E3062" i="10" s="1"/>
  <c r="C3062" i="10" s="1"/>
  <c r="E3120" i="10" a="1"/>
  <c r="E3120" i="10" s="1"/>
  <c r="C3120" i="10" s="1"/>
  <c r="E2706" i="10" a="1"/>
  <c r="E2706" i="10" s="1"/>
  <c r="C2706" i="10" s="1"/>
  <c r="E2658" i="10" a="1"/>
  <c r="E2658" i="10" s="1"/>
  <c r="C2658" i="10" s="1"/>
  <c r="E790" i="10" a="1"/>
  <c r="E790" i="10" s="1"/>
  <c r="C790" i="10" s="1"/>
  <c r="E1076" i="10" a="1"/>
  <c r="E1076" i="10" s="1"/>
  <c r="C1076" i="10" s="1"/>
  <c r="E1879" i="10" a="1"/>
  <c r="E1879" i="10" s="1"/>
  <c r="C1879" i="10" s="1"/>
  <c r="E1632" i="10" a="1"/>
  <c r="E1632" i="10" s="1"/>
  <c r="C1632" i="10" s="1"/>
  <c r="E1564" i="10" a="1"/>
  <c r="E1564" i="10" s="1"/>
  <c r="C1564" i="10" s="1"/>
  <c r="E1265" i="10" a="1"/>
  <c r="E1265" i="10" s="1"/>
  <c r="C1265" i="10" s="1"/>
  <c r="E1574" i="10" a="1"/>
  <c r="E1574" i="10" s="1"/>
  <c r="C1574" i="10" s="1"/>
  <c r="E1124" i="10" a="1"/>
  <c r="E1124" i="10" s="1"/>
  <c r="C1124" i="10" s="1"/>
  <c r="E351" i="10" a="1"/>
  <c r="E351" i="10" s="1"/>
  <c r="C351" i="10" s="1"/>
  <c r="E1415" i="10" a="1"/>
  <c r="E1415" i="10" s="1"/>
  <c r="C1415" i="10" s="1"/>
  <c r="E1152" i="10" a="1"/>
  <c r="E1152" i="10" s="1"/>
  <c r="C1152" i="10" s="1"/>
  <c r="E1038" i="10" a="1"/>
  <c r="E1038" i="10" s="1"/>
  <c r="C1038" i="10" s="1"/>
  <c r="E1100" i="10" a="1"/>
  <c r="E1100" i="10" s="1"/>
  <c r="C1100" i="10" s="1"/>
  <c r="E1252" i="10" a="1"/>
  <c r="E1252" i="10" s="1"/>
  <c r="C1252" i="10" s="1"/>
  <c r="E613" i="10" a="1"/>
  <c r="E613" i="10" s="1"/>
  <c r="C613" i="10" s="1"/>
  <c r="E2305" i="10" a="1"/>
  <c r="E2305" i="10" s="1"/>
  <c r="C2305" i="10" s="1"/>
  <c r="E2525" i="10" a="1"/>
  <c r="E2525" i="10" s="1"/>
  <c r="C2525" i="10" s="1"/>
  <c r="E2002" i="10" a="1"/>
  <c r="E2002" i="10" s="1"/>
  <c r="C2002" i="10" s="1"/>
  <c r="E3328" i="10" a="1"/>
  <c r="E3328" i="10" s="1"/>
  <c r="C3328" i="10" s="1"/>
  <c r="E3309" i="10" a="1"/>
  <c r="E3309" i="10" s="1"/>
  <c r="C3309" i="10" s="1"/>
  <c r="E2891" i="10" a="1"/>
  <c r="E2891" i="10" s="1"/>
  <c r="C2891" i="10" s="1"/>
  <c r="E75" i="10" a="1"/>
  <c r="E75" i="10" s="1"/>
  <c r="C75" i="10" s="1"/>
  <c r="E860" i="10" a="1"/>
  <c r="E860" i="10" s="1"/>
  <c r="C860" i="10" s="1"/>
  <c r="E463" i="10" a="1"/>
  <c r="E463" i="10" s="1"/>
  <c r="C463" i="10" s="1"/>
  <c r="E866" i="10" a="1"/>
  <c r="E866" i="10" s="1"/>
  <c r="C866" i="10" s="1"/>
  <c r="E340" i="10" a="1"/>
  <c r="E340" i="10" s="1"/>
  <c r="C340" i="10" s="1"/>
  <c r="E985" i="10" a="1"/>
  <c r="E985" i="10" s="1"/>
  <c r="C985" i="10" s="1"/>
  <c r="E579" i="10" a="1"/>
  <c r="E579" i="10" s="1"/>
  <c r="C579" i="10" s="1"/>
  <c r="E1605" i="10" a="1"/>
  <c r="E1605" i="10" s="1"/>
  <c r="C1605" i="10" s="1"/>
  <c r="E1601" i="10" a="1"/>
  <c r="E1601" i="10" s="1"/>
  <c r="C1601" i="10" s="1"/>
  <c r="E671" i="10" a="1"/>
  <c r="E671" i="10" s="1"/>
  <c r="C671" i="10" s="1"/>
  <c r="E1600" i="10" a="1"/>
  <c r="E1600" i="10" s="1"/>
  <c r="C1600" i="10" s="1"/>
  <c r="E2262" i="10" a="1"/>
  <c r="E2262" i="10" s="1"/>
  <c r="C2262" i="10" s="1"/>
  <c r="E1534" i="10" a="1"/>
  <c r="E1534" i="10" s="1"/>
  <c r="C1534" i="10" s="1"/>
  <c r="E1321" i="10" a="1"/>
  <c r="E1321" i="10" s="1"/>
  <c r="C1321" i="10" s="1"/>
  <c r="E1914" i="10" a="1"/>
  <c r="E1914" i="10" s="1"/>
  <c r="C1914" i="10" s="1"/>
  <c r="E2590" i="10" a="1"/>
  <c r="E2590" i="10" s="1"/>
  <c r="C2590" i="10" s="1"/>
  <c r="E3345" i="10" a="1"/>
  <c r="E3345" i="10" s="1"/>
  <c r="C3345" i="10" s="1"/>
  <c r="E1668" i="10" a="1"/>
  <c r="E1668" i="10" s="1"/>
  <c r="C1668" i="10" s="1"/>
  <c r="E3134" i="10" a="1"/>
  <c r="E3134" i="10" s="1"/>
  <c r="C3134" i="10" s="1"/>
  <c r="E2405" i="10" a="1"/>
  <c r="E2405" i="10" s="1"/>
  <c r="C2405" i="10" s="1"/>
  <c r="E2553" i="10" a="1"/>
  <c r="E2553" i="10" s="1"/>
  <c r="C2553" i="10" s="1"/>
  <c r="E47" i="10" a="1"/>
  <c r="E47" i="10" s="1"/>
  <c r="C47" i="10" s="1"/>
  <c r="E460" i="10" a="1"/>
  <c r="E460" i="10" s="1"/>
  <c r="C460" i="10" s="1"/>
  <c r="E1342" i="10" a="1"/>
  <c r="E1342" i="10" s="1"/>
  <c r="C1342" i="10" s="1"/>
  <c r="E553" i="10" a="1"/>
  <c r="E553" i="10" s="1"/>
  <c r="C553" i="10" s="1"/>
  <c r="E784" i="10" a="1"/>
  <c r="E784" i="10" s="1"/>
  <c r="C784" i="10" s="1"/>
  <c r="E583" i="10" a="1"/>
  <c r="E583" i="10" s="1"/>
  <c r="C583" i="10" s="1"/>
  <c r="E1931" i="10" a="1"/>
  <c r="E1931" i="10" s="1"/>
  <c r="C1931" i="10" s="1"/>
  <c r="E981" i="10" a="1"/>
  <c r="E981" i="10" s="1"/>
  <c r="C981" i="10" s="1"/>
  <c r="E1301" i="10" a="1"/>
  <c r="E1301" i="10" s="1"/>
  <c r="C1301" i="10" s="1"/>
  <c r="E1864" i="10" a="1"/>
  <c r="E1864" i="10" s="1"/>
  <c r="C1864" i="10" s="1"/>
  <c r="E1770" i="10" a="1"/>
  <c r="E1770" i="10" s="1"/>
  <c r="C1770" i="10" s="1"/>
  <c r="E2453" i="10" a="1"/>
  <c r="E2453" i="10" s="1"/>
  <c r="C2453" i="10" s="1"/>
  <c r="E2570" i="10" a="1"/>
  <c r="E2570" i="10" s="1"/>
  <c r="C2570" i="10" s="1"/>
  <c r="E690" i="10" a="1"/>
  <c r="E690" i="10" s="1"/>
  <c r="C690" i="10" s="1"/>
  <c r="E1496" i="10" a="1"/>
  <c r="E1496" i="10" s="1"/>
  <c r="C1496" i="10" s="1"/>
  <c r="E2495" i="10" a="1"/>
  <c r="E2495" i="10" s="1"/>
  <c r="C2495" i="10" s="1"/>
  <c r="E2334" i="10" a="1"/>
  <c r="E2334" i="10" s="1"/>
  <c r="C2334" i="10" s="1"/>
  <c r="E3281" i="10" a="1"/>
  <c r="E3281" i="10" s="1"/>
  <c r="C3281" i="10" s="1"/>
  <c r="E1728" i="10" a="1"/>
  <c r="E1728" i="10" s="1"/>
  <c r="C1728" i="10" s="1"/>
  <c r="E1356" i="10" a="1"/>
  <c r="E1356" i="10" s="1"/>
  <c r="C1356" i="10" s="1"/>
  <c r="E2733" i="10" a="1"/>
  <c r="E2733" i="10" s="1"/>
  <c r="C2733" i="10" s="1"/>
  <c r="E299" i="10" a="1"/>
  <c r="E299" i="10" s="1"/>
  <c r="C299" i="10" s="1"/>
  <c r="E233" i="10" a="1"/>
  <c r="E233" i="10" s="1"/>
  <c r="C233" i="10" s="1"/>
  <c r="E204" i="10" a="1"/>
  <c r="E204" i="10" s="1"/>
  <c r="C204" i="10" s="1"/>
  <c r="E1654" i="10" a="1"/>
  <c r="E1654" i="10" s="1"/>
  <c r="C1654" i="10" s="1"/>
  <c r="E433" i="10" a="1"/>
  <c r="E433" i="10" s="1"/>
  <c r="C433" i="10" s="1"/>
  <c r="E1440" i="10" a="1"/>
  <c r="E1440" i="10" s="1"/>
  <c r="C1440" i="10" s="1"/>
  <c r="E655" i="10" a="1"/>
  <c r="E655" i="10" s="1"/>
  <c r="C655" i="10" s="1"/>
  <c r="E1388" i="10" a="1"/>
  <c r="E1388" i="10" s="1"/>
  <c r="C1388" i="10" s="1"/>
  <c r="E1856" i="10" a="1"/>
  <c r="E1856" i="10" s="1"/>
  <c r="C1856" i="10" s="1"/>
  <c r="E983" i="10" a="1"/>
  <c r="E983" i="10" s="1"/>
  <c r="C983" i="10" s="1"/>
  <c r="E2977" i="10" a="1"/>
  <c r="E2977" i="10" s="1"/>
  <c r="C2977" i="10" s="1"/>
  <c r="E1832" i="10" a="1"/>
  <c r="E1832" i="10" s="1"/>
  <c r="C1832" i="10" s="1"/>
  <c r="E2118" i="10" a="1"/>
  <c r="E2118" i="10" s="1"/>
  <c r="C2118" i="10" s="1"/>
  <c r="E3150" i="10" a="1"/>
  <c r="E3150" i="10" s="1"/>
  <c r="C3150" i="10" s="1"/>
  <c r="E2738" i="10" a="1"/>
  <c r="E2738" i="10" s="1"/>
  <c r="C2738" i="10" s="1"/>
  <c r="E1873" i="10" a="1"/>
  <c r="E1873" i="10" s="1"/>
  <c r="C1873" i="10" s="1"/>
  <c r="E737" i="10" a="1"/>
  <c r="E737" i="10" s="1"/>
  <c r="C737" i="10" s="1"/>
  <c r="E2930" i="10" a="1"/>
  <c r="E2930" i="10" s="1"/>
  <c r="C2930" i="10" s="1"/>
  <c r="E2196" i="10" a="1"/>
  <c r="E2196" i="10" s="1"/>
  <c r="C2196" i="10" s="1"/>
  <c r="E2338" i="10" a="1"/>
  <c r="E2338" i="10" s="1"/>
  <c r="C2338" i="10" s="1"/>
  <c r="E2057" i="10" a="1"/>
  <c r="E2057" i="10" s="1"/>
  <c r="C2057" i="10" s="1"/>
  <c r="E435" i="10" a="1"/>
  <c r="E435" i="10" s="1"/>
  <c r="C435" i="10" s="1"/>
  <c r="E1057" i="10" a="1"/>
  <c r="E1057" i="10" s="1"/>
  <c r="C1057" i="10" s="1"/>
  <c r="E1608" i="10" a="1"/>
  <c r="E1608" i="10" s="1"/>
  <c r="C1608" i="10" s="1"/>
  <c r="E467" i="10" a="1"/>
  <c r="E467" i="10" s="1"/>
  <c r="C467" i="10" s="1"/>
  <c r="E1295" i="10" a="1"/>
  <c r="E1295" i="10" s="1"/>
  <c r="C1295" i="10" s="1"/>
  <c r="E1858" i="10" a="1"/>
  <c r="E1858" i="10" s="1"/>
  <c r="C1858" i="10" s="1"/>
  <c r="E1648" i="10" a="1"/>
  <c r="E1648" i="10" s="1"/>
  <c r="C1648" i="10" s="1"/>
  <c r="E1203" i="10" a="1"/>
  <c r="E1203" i="10" s="1"/>
  <c r="C1203" i="10" s="1"/>
  <c r="E1589" i="10" a="1"/>
  <c r="E1589" i="10" s="1"/>
  <c r="C1589" i="10" s="1"/>
  <c r="E1330" i="10" a="1"/>
  <c r="E1330" i="10" s="1"/>
  <c r="C1330" i="10" s="1"/>
  <c r="E1041" i="10" a="1"/>
  <c r="E1041" i="10" s="1"/>
  <c r="C1041" i="10" s="1"/>
  <c r="E2414" i="10" a="1"/>
  <c r="E2414" i="10" s="1"/>
  <c r="C2414" i="10" s="1"/>
  <c r="E1761" i="10" a="1"/>
  <c r="E1761" i="10" s="1"/>
  <c r="C1761" i="10" s="1"/>
  <c r="E1006" i="10" a="1"/>
  <c r="E1006" i="10" s="1"/>
  <c r="C1006" i="10" s="1"/>
  <c r="E2324" i="10" a="1"/>
  <c r="E2324" i="10" s="1"/>
  <c r="C2324" i="10" s="1"/>
  <c r="E367" i="10" a="1"/>
  <c r="E367" i="10" s="1"/>
  <c r="C367" i="10" s="1"/>
  <c r="E2978" i="10" a="1"/>
  <c r="E2978" i="10" s="1"/>
  <c r="C2978" i="10" s="1"/>
  <c r="E3301" i="10" a="1"/>
  <c r="E3301" i="10" s="1"/>
  <c r="C3301" i="10" s="1"/>
  <c r="E2371" i="10" a="1"/>
  <c r="E2371" i="10" s="1"/>
  <c r="C2371" i="10" s="1"/>
  <c r="E2003" i="10" a="1"/>
  <c r="E2003" i="10" s="1"/>
  <c r="C2003" i="10" s="1"/>
  <c r="E2087" i="10" a="1"/>
  <c r="E2087" i="10" s="1"/>
  <c r="C2087" i="10" s="1"/>
  <c r="E2671" i="10" a="1"/>
  <c r="E2671" i="10" s="1"/>
  <c r="C2671" i="10" s="1"/>
  <c r="E3176" i="10" a="1"/>
  <c r="E3176" i="10" s="1"/>
  <c r="C3176" i="10" s="1"/>
  <c r="E3181" i="10" a="1"/>
  <c r="E3181" i="10" s="1"/>
  <c r="C3181" i="10" s="1"/>
  <c r="E1841" i="10" a="1"/>
  <c r="E1841" i="10" s="1"/>
  <c r="C1841" i="10" s="1"/>
  <c r="E2676" i="10" a="1"/>
  <c r="E2676" i="10" s="1"/>
  <c r="C2676" i="10" s="1"/>
  <c r="E2600" i="10" a="1"/>
  <c r="E2600" i="10" s="1"/>
  <c r="C2600" i="10" s="1"/>
  <c r="E3095" i="10" a="1"/>
  <c r="E3095" i="10" s="1"/>
  <c r="C3095" i="10" s="1"/>
  <c r="E1260" i="10" a="1"/>
  <c r="E1260" i="10" s="1"/>
  <c r="C1260" i="10" s="1"/>
  <c r="E3112" i="10" a="1"/>
  <c r="E3112" i="10" s="1"/>
  <c r="C3112" i="10" s="1"/>
  <c r="E3161" i="10" a="1"/>
  <c r="E3161" i="10" s="1"/>
  <c r="C3161" i="10" s="1"/>
  <c r="E2278" i="10" a="1"/>
  <c r="E2278" i="10" s="1"/>
  <c r="C2278" i="10" s="1"/>
  <c r="E3310" i="10" a="1"/>
  <c r="E3310" i="10" s="1"/>
  <c r="C3310" i="10" s="1"/>
  <c r="E2870" i="10" a="1"/>
  <c r="E2870" i="10" s="1"/>
  <c r="C2870" i="10" s="1"/>
  <c r="E3348" i="10" a="1"/>
  <c r="E3348" i="10" s="1"/>
  <c r="C3348" i="10" s="1"/>
  <c r="E2356" i="10" a="1"/>
  <c r="E2356" i="10" s="1"/>
  <c r="C2356" i="10" s="1"/>
  <c r="E2789" i="10" a="1"/>
  <c r="E2789" i="10" s="1"/>
  <c r="C2789" i="10" s="1"/>
  <c r="E3311" i="10" a="1"/>
  <c r="E3311" i="10" s="1"/>
  <c r="C3311" i="10" s="1"/>
  <c r="E2782" i="10" a="1"/>
  <c r="E2782" i="10" s="1"/>
  <c r="C2782" i="10" s="1"/>
  <c r="E3219" i="10" a="1"/>
  <c r="E3219" i="10" s="1"/>
  <c r="C3219" i="10" s="1"/>
  <c r="E3040" i="10" a="1"/>
  <c r="E3040" i="10" s="1"/>
  <c r="C3040" i="10" s="1"/>
  <c r="E2502" i="10" a="1"/>
  <c r="E2502" i="10" s="1"/>
  <c r="C2502" i="10" s="1"/>
  <c r="E2807" i="10" a="1"/>
  <c r="E2807" i="10" s="1"/>
  <c r="C2807" i="10" s="1"/>
  <c r="E2721" i="10" a="1"/>
  <c r="E2721" i="10" s="1"/>
  <c r="C2721" i="10" s="1"/>
  <c r="E1976" i="10" a="1"/>
  <c r="E1976" i="10" s="1"/>
  <c r="C1976" i="10" s="1"/>
  <c r="E3370" i="10" a="1"/>
  <c r="E3370" i="10" s="1"/>
  <c r="C3370" i="10" s="1"/>
  <c r="E2279" i="10" a="1"/>
  <c r="E2279" i="10" s="1"/>
  <c r="C2279" i="10" s="1"/>
  <c r="E2945" i="10" a="1"/>
  <c r="E2945" i="10" s="1"/>
  <c r="C2945" i="10" s="1"/>
  <c r="E3323" i="10" a="1"/>
  <c r="E3323" i="10" s="1"/>
  <c r="C3323" i="10" s="1"/>
  <c r="E3271" i="10" a="1"/>
  <c r="E3271" i="10" s="1"/>
  <c r="C3271" i="10" s="1"/>
  <c r="E2215" i="10" a="1"/>
  <c r="E2215" i="10" s="1"/>
  <c r="C2215" i="10" s="1"/>
  <c r="E335" i="10" a="1"/>
  <c r="E335" i="10" s="1"/>
  <c r="C335" i="10" s="1"/>
  <c r="E1112" i="10" a="1"/>
  <c r="E1112" i="10" s="1"/>
  <c r="C1112" i="10" s="1"/>
  <c r="E2560" i="10" a="1"/>
  <c r="E2560" i="10" s="1"/>
  <c r="C2560" i="10" s="1"/>
  <c r="E187" i="10" a="1"/>
  <c r="E187" i="10" s="1"/>
  <c r="C187" i="10" s="1"/>
  <c r="E844" i="10" a="1"/>
  <c r="E844" i="10" s="1"/>
  <c r="C844" i="10" s="1"/>
  <c r="E444" i="10" a="1"/>
  <c r="E444" i="10" s="1"/>
  <c r="C444" i="10" s="1"/>
  <c r="E3082" i="10" a="1"/>
  <c r="E3082" i="10" s="1"/>
  <c r="C3082" i="10" s="1"/>
  <c r="E118" i="10" a="1"/>
  <c r="E118" i="10" s="1"/>
  <c r="C118" i="10" s="1"/>
  <c r="E2428" i="10" a="1"/>
  <c r="E2428" i="10" s="1"/>
  <c r="C2428" i="10" s="1"/>
  <c r="E2923" i="10" a="1"/>
  <c r="E2923" i="10" s="1"/>
  <c r="C2923" i="10" s="1"/>
  <c r="E236" i="10" a="1"/>
  <c r="E236" i="10" s="1"/>
  <c r="C236" i="10" s="1"/>
  <c r="E224" i="10" a="1"/>
  <c r="E224" i="10" s="1"/>
  <c r="C224" i="10" s="1"/>
  <c r="E2055" i="10" a="1"/>
  <c r="E2055" i="10" s="1"/>
  <c r="C2055" i="10" s="1"/>
  <c r="E1643" i="10" a="1"/>
  <c r="E1643" i="10" s="1"/>
  <c r="C1643" i="10" s="1"/>
  <c r="E2865" i="10" a="1"/>
  <c r="E2865" i="10" s="1"/>
  <c r="C2865" i="10" s="1"/>
  <c r="E1553" i="10" a="1"/>
  <c r="E1553" i="10" s="1"/>
  <c r="C1553" i="10" s="1"/>
  <c r="E1949" i="10" a="1"/>
  <c r="E1949" i="10" s="1"/>
  <c r="C1949" i="10" s="1"/>
  <c r="E1850" i="10" a="1"/>
  <c r="E1850" i="10" s="1"/>
  <c r="C1850" i="10" s="1"/>
  <c r="E1314" i="10" a="1"/>
  <c r="E1314" i="10" s="1"/>
  <c r="C1314" i="10" s="1"/>
  <c r="E1034" i="10" a="1"/>
  <c r="E1034" i="10" s="1"/>
  <c r="C1034" i="10" s="1"/>
  <c r="E1992" i="10" a="1"/>
  <c r="E1992" i="10" s="1"/>
  <c r="C1992" i="10" s="1"/>
  <c r="E709" i="10" a="1"/>
  <c r="E709" i="10" s="1"/>
  <c r="C709" i="10" s="1"/>
  <c r="E2597" i="10" a="1"/>
  <c r="E2597" i="10" s="1"/>
  <c r="C2597" i="10" s="1"/>
  <c r="E935" i="10" a="1"/>
  <c r="E935" i="10" s="1"/>
  <c r="C935" i="10" s="1"/>
  <c r="E2058" i="10" a="1"/>
  <c r="E2058" i="10" s="1"/>
  <c r="C2058" i="10" s="1"/>
  <c r="E3048" i="10" a="1"/>
  <c r="E3048" i="10" s="1"/>
  <c r="C3048" i="10" s="1"/>
  <c r="E827" i="10" a="1"/>
  <c r="E827" i="10" s="1"/>
  <c r="C827" i="10" s="1"/>
  <c r="E2571" i="10" a="1"/>
  <c r="E2571" i="10" s="1"/>
  <c r="C2571" i="10" s="1"/>
  <c r="E2234" i="10" a="1"/>
  <c r="E2234" i="10" s="1"/>
  <c r="C2234" i="10" s="1"/>
  <c r="E492" i="10" a="1"/>
  <c r="E492" i="10" s="1"/>
  <c r="C492" i="10" s="1"/>
  <c r="E1489" i="10" a="1"/>
  <c r="E1489" i="10" s="1"/>
  <c r="C1489" i="10" s="1"/>
  <c r="E401" i="10" a="1"/>
  <c r="E401" i="10" s="1"/>
  <c r="C401" i="10" s="1"/>
  <c r="E62" i="10" a="1"/>
  <c r="E62" i="10" s="1"/>
  <c r="C62" i="10" s="1"/>
  <c r="E2369" i="10" a="1"/>
  <c r="E2369" i="10" s="1"/>
  <c r="C2369" i="10" s="1"/>
  <c r="E1991" i="10" a="1"/>
  <c r="E1991" i="10" s="1"/>
  <c r="C1991" i="10" s="1"/>
  <c r="E636" i="10" a="1"/>
  <c r="E636" i="10" s="1"/>
  <c r="C636" i="10" s="1"/>
  <c r="E3025" i="10" a="1"/>
  <c r="E3025" i="10" s="1"/>
  <c r="C3025" i="10" s="1"/>
  <c r="E2960" i="10" a="1"/>
  <c r="E2960" i="10" s="1"/>
  <c r="C2960" i="10" s="1"/>
  <c r="E1063" i="10" a="1"/>
  <c r="E1063" i="10" s="1"/>
  <c r="C1063" i="10" s="1"/>
  <c r="E1091" i="10" a="1"/>
  <c r="E1091" i="10" s="1"/>
  <c r="C1091" i="10" s="1"/>
  <c r="E1294" i="10" a="1"/>
  <c r="E1294" i="10" s="1"/>
  <c r="C1294" i="10" s="1"/>
  <c r="E986" i="10" a="1"/>
  <c r="E986" i="10" s="1"/>
  <c r="C986" i="10" s="1"/>
  <c r="E1717" i="10" a="1"/>
  <c r="E1717" i="10" s="1"/>
  <c r="C1717" i="10" s="1"/>
  <c r="E96" i="10" a="1"/>
  <c r="E96" i="10" s="1"/>
  <c r="C96" i="10" s="1"/>
  <c r="E609" i="10" a="1"/>
  <c r="E609" i="10" s="1"/>
  <c r="C609" i="10" s="1"/>
  <c r="E165" i="10" a="1"/>
  <c r="E165" i="10" s="1"/>
  <c r="C165" i="10" s="1"/>
  <c r="E2347" i="10" a="1"/>
  <c r="E2347" i="10" s="1"/>
  <c r="C2347" i="10" s="1"/>
  <c r="E2038" i="10" a="1"/>
  <c r="E2038" i="10" s="1"/>
  <c r="C2038" i="10" s="1"/>
  <c r="E658" i="10" a="1"/>
  <c r="E658" i="10" s="1"/>
  <c r="C658" i="10" s="1"/>
  <c r="E2934" i="10" a="1"/>
  <c r="E2934" i="10" s="1"/>
  <c r="C2934" i="10" s="1"/>
  <c r="E3130" i="10" a="1"/>
  <c r="E3130" i="10" s="1"/>
  <c r="C3130" i="10" s="1"/>
  <c r="E2648" i="10" a="1"/>
  <c r="E2648" i="10" s="1"/>
  <c r="C2648" i="10" s="1"/>
  <c r="E1080" i="10" a="1"/>
  <c r="E1080" i="10" s="1"/>
  <c r="C1080" i="10" s="1"/>
  <c r="E1847" i="10" a="1"/>
  <c r="E1847" i="10" s="1"/>
  <c r="C1847" i="10" s="1"/>
  <c r="E2777" i="10" a="1"/>
  <c r="E2777" i="10" s="1"/>
  <c r="C2777" i="10" s="1"/>
  <c r="E1481" i="10" a="1"/>
  <c r="E1481" i="10" s="1"/>
  <c r="C1481" i="10" s="1"/>
  <c r="E590" i="10" a="1"/>
  <c r="E590" i="10" s="1"/>
  <c r="C590" i="10" s="1"/>
  <c r="E17" i="10" a="1"/>
  <c r="E17" i="10" s="1"/>
  <c r="C17" i="10" s="1"/>
  <c r="E155" i="10" a="1"/>
  <c r="E155" i="10" s="1"/>
  <c r="C155" i="10" s="1"/>
  <c r="E1089" i="10" a="1"/>
  <c r="E1089" i="10" s="1"/>
  <c r="C1089" i="10" s="1"/>
  <c r="E544" i="10" a="1"/>
  <c r="E544" i="10" s="1"/>
  <c r="C544" i="10" s="1"/>
  <c r="E907" i="10" a="1"/>
  <c r="E907" i="10" s="1"/>
  <c r="C907" i="10" s="1"/>
  <c r="E332" i="10" a="1"/>
  <c r="E332" i="10" s="1"/>
  <c r="C332" i="10" s="1"/>
  <c r="E705" i="10" a="1"/>
  <c r="E705" i="10" s="1"/>
  <c r="C705" i="10" s="1"/>
  <c r="E174" i="10" a="1"/>
  <c r="E174" i="10" s="1"/>
  <c r="C174" i="10" s="1"/>
  <c r="E2577" i="10" a="1"/>
  <c r="E2577" i="10" s="1"/>
  <c r="C2577" i="10" s="1"/>
  <c r="E1184" i="10" a="1"/>
  <c r="E1184" i="10" s="1"/>
  <c r="C1184" i="10" s="1"/>
  <c r="E1730" i="10" a="1"/>
  <c r="E1730" i="10" s="1"/>
  <c r="C1730" i="10" s="1"/>
  <c r="E2745" i="10" a="1"/>
  <c r="E2745" i="10" s="1"/>
  <c r="C2745" i="10" s="1"/>
  <c r="E2998" i="10" a="1"/>
  <c r="E2998" i="10" s="1"/>
  <c r="C2998" i="10" s="1"/>
  <c r="E2315" i="10" a="1"/>
  <c r="E2315" i="10" s="1"/>
  <c r="C2315" i="10" s="1"/>
  <c r="E1586" i="10" a="1"/>
  <c r="E1586" i="10" s="1"/>
  <c r="C1586" i="10" s="1"/>
  <c r="E2511" i="10" a="1"/>
  <c r="E2511" i="10" s="1"/>
  <c r="C2511" i="10" s="1"/>
  <c r="E3211" i="10" a="1"/>
  <c r="E3211" i="10" s="1"/>
  <c r="C3211" i="10" s="1"/>
  <c r="E2784" i="10" a="1"/>
  <c r="E2784" i="10" s="1"/>
  <c r="C2784" i="10" s="1"/>
  <c r="E3363" i="10" a="1"/>
  <c r="E3363" i="10" s="1"/>
  <c r="C3363" i="10" s="1"/>
  <c r="E2640" i="10" a="1"/>
  <c r="E2640" i="10" s="1"/>
  <c r="C2640" i="10" s="1"/>
  <c r="E975" i="10" a="1"/>
  <c r="E975" i="10" s="1"/>
  <c r="C975" i="10" s="1"/>
  <c r="E768" i="10" a="1"/>
  <c r="E768" i="10" s="1"/>
  <c r="C768" i="10" s="1"/>
  <c r="E349" i="10" a="1"/>
  <c r="E349" i="10" s="1"/>
  <c r="C349" i="10" s="1"/>
  <c r="E1891" i="10" a="1"/>
  <c r="E1891" i="10" s="1"/>
  <c r="C1891" i="10" s="1"/>
  <c r="E1183" i="10" a="1"/>
  <c r="E1183" i="10" s="1"/>
  <c r="C1183" i="10" s="1"/>
  <c r="E102" i="10" a="1"/>
  <c r="E102" i="10" s="1"/>
  <c r="C102" i="10" s="1"/>
  <c r="E259" i="10" a="1"/>
  <c r="E259" i="10" s="1"/>
  <c r="C259" i="10" s="1"/>
  <c r="E327" i="10" a="1"/>
  <c r="E327" i="10" s="1"/>
  <c r="C327" i="10" s="1"/>
  <c r="E908" i="10" a="1"/>
  <c r="E908" i="10" s="1"/>
  <c r="C908" i="10" s="1"/>
  <c r="E644" i="10" a="1"/>
  <c r="E644" i="10" s="1"/>
  <c r="C644" i="10" s="1"/>
  <c r="E1190" i="10" a="1"/>
  <c r="E1190" i="10" s="1"/>
  <c r="C1190" i="10" s="1"/>
  <c r="E3072" i="10" a="1"/>
  <c r="E3072" i="10" s="1"/>
  <c r="C3072" i="10" s="1"/>
  <c r="E1138" i="10" a="1"/>
  <c r="E1138" i="10" s="1"/>
  <c r="C1138" i="10" s="1"/>
  <c r="E959" i="10" a="1"/>
  <c r="E959" i="10" s="1"/>
  <c r="C959" i="10" s="1"/>
  <c r="E3092" i="10" a="1"/>
  <c r="E3092" i="10" s="1"/>
  <c r="C3092" i="10" s="1"/>
  <c r="E2509" i="10" a="1"/>
  <c r="E2509" i="10" s="1"/>
  <c r="C2509" i="10" s="1"/>
  <c r="E2517" i="10" a="1"/>
  <c r="E2517" i="10" s="1"/>
  <c r="C2517" i="10" s="1"/>
  <c r="E693" i="10" a="1"/>
  <c r="E693" i="10" s="1"/>
  <c r="C693" i="10" s="1"/>
  <c r="E1899" i="10" a="1"/>
  <c r="E1899" i="10" s="1"/>
  <c r="C1899" i="10" s="1"/>
  <c r="E1428" i="10" a="1"/>
  <c r="E1428" i="10" s="1"/>
  <c r="C1428" i="10" s="1"/>
  <c r="E2975" i="10" a="1"/>
  <c r="E2975" i="10" s="1"/>
  <c r="C2975" i="10" s="1"/>
  <c r="E3249" i="10" a="1"/>
  <c r="E3249" i="10" s="1"/>
  <c r="C3249" i="10" s="1"/>
  <c r="E2351" i="10" a="1"/>
  <c r="E2351" i="10" s="1"/>
  <c r="C2351" i="10" s="1"/>
  <c r="E1139" i="10" a="1"/>
  <c r="E1139" i="10" s="1"/>
  <c r="C1139" i="10" s="1"/>
  <c r="E1660" i="10" a="1"/>
  <c r="E1660" i="10" s="1"/>
  <c r="C1660" i="10" s="1"/>
  <c r="E257" i="10" a="1"/>
  <c r="E257" i="10" s="1"/>
  <c r="C257" i="10" s="1"/>
  <c r="E703" i="10" a="1"/>
  <c r="E703" i="10" s="1"/>
  <c r="C703" i="10" s="1"/>
  <c r="E34" i="10" a="1"/>
  <c r="E34" i="10" s="1"/>
  <c r="C34" i="10" s="1"/>
  <c r="E1343" i="10" a="1"/>
  <c r="E1343" i="10" s="1"/>
  <c r="C1343" i="10" s="1"/>
  <c r="E1431" i="10" a="1"/>
  <c r="E1431" i="10" s="1"/>
  <c r="C1431" i="10" s="1"/>
  <c r="E308" i="10" a="1"/>
  <c r="E308" i="10" s="1"/>
  <c r="C308" i="10" s="1"/>
  <c r="E88" i="10" a="1"/>
  <c r="E88" i="10" s="1"/>
  <c r="C88" i="10" s="1"/>
  <c r="E727" i="10" a="1"/>
  <c r="E727" i="10" s="1"/>
  <c r="C727" i="10" s="1"/>
  <c r="E749" i="10" a="1"/>
  <c r="E749" i="10" s="1"/>
  <c r="C749" i="10" s="1"/>
  <c r="E1670" i="10" a="1"/>
  <c r="E1670" i="10" s="1"/>
  <c r="C1670" i="10" s="1"/>
  <c r="E2186" i="10" a="1"/>
  <c r="E2186" i="10" s="1"/>
  <c r="C2186" i="10" s="1"/>
  <c r="E1436" i="10" a="1"/>
  <c r="E1436" i="10" s="1"/>
  <c r="C1436" i="10" s="1"/>
  <c r="E1019" i="10" a="1"/>
  <c r="E1019" i="10" s="1"/>
  <c r="C1019" i="10" s="1"/>
  <c r="E2772" i="10" a="1"/>
  <c r="E2772" i="10" s="1"/>
  <c r="C2772" i="10" s="1"/>
  <c r="E3296" i="10" a="1"/>
  <c r="E3296" i="10" s="1"/>
  <c r="C3296" i="10" s="1"/>
  <c r="E1507" i="10" a="1"/>
  <c r="E1507" i="10" s="1"/>
  <c r="C1507" i="10" s="1"/>
  <c r="E2474" i="10" a="1"/>
  <c r="E2474" i="10" s="1"/>
  <c r="C2474" i="10" s="1"/>
  <c r="E1691" i="10" a="1"/>
  <c r="E1691" i="10" s="1"/>
  <c r="C1691" i="10" s="1"/>
  <c r="E1887" i="10" a="1"/>
  <c r="E1887" i="10" s="1"/>
  <c r="C1887" i="10" s="1"/>
  <c r="E3158" i="10" a="1"/>
  <c r="E3158" i="10" s="1"/>
  <c r="C3158" i="10" s="1"/>
  <c r="E3198" i="10" a="1"/>
  <c r="E3198" i="10" s="1"/>
  <c r="C3198" i="10" s="1"/>
  <c r="E936" i="10" a="1"/>
  <c r="E936" i="10" s="1"/>
  <c r="C936" i="10" s="1"/>
  <c r="E797" i="10" a="1"/>
  <c r="E797" i="10" s="1"/>
  <c r="C797" i="10" s="1"/>
  <c r="E372" i="10" a="1"/>
  <c r="E372" i="10" s="1"/>
  <c r="C372" i="10" s="1"/>
  <c r="E977" i="10" a="1"/>
  <c r="E977" i="10" s="1"/>
  <c r="C977" i="10" s="1"/>
  <c r="E645" i="10" a="1"/>
  <c r="E645" i="10" s="1"/>
  <c r="C645" i="10" s="1"/>
  <c r="E1592" i="10" a="1"/>
  <c r="E1592" i="10" s="1"/>
  <c r="C1592" i="10" s="1"/>
  <c r="E408" i="10" a="1"/>
  <c r="E408" i="10" s="1"/>
  <c r="C408" i="10" s="1"/>
  <c r="E84" i="10" a="1"/>
  <c r="E84" i="10" s="1"/>
  <c r="C84" i="10" s="1"/>
  <c r="E892" i="10" a="1"/>
  <c r="E892" i="10" s="1"/>
  <c r="C892" i="10" s="1"/>
  <c r="E1255" i="10" a="1"/>
  <c r="E1255" i="10" s="1"/>
  <c r="C1255" i="10" s="1"/>
  <c r="E2270" i="10" a="1"/>
  <c r="E2270" i="10" s="1"/>
  <c r="C2270" i="10" s="1"/>
  <c r="E1996" i="10" a="1"/>
  <c r="E1996" i="10" s="1"/>
  <c r="C1996" i="10" s="1"/>
  <c r="E2296" i="10" a="1"/>
  <c r="E2296" i="10" s="1"/>
  <c r="C2296" i="10" s="1"/>
  <c r="E1392" i="10" a="1"/>
  <c r="E1392" i="10" s="1"/>
  <c r="C1392" i="10" s="1"/>
  <c r="E1145" i="10" a="1"/>
  <c r="E1145" i="10" s="1"/>
  <c r="C1145" i="10" s="1"/>
  <c r="E314" i="10" a="1"/>
  <c r="E314" i="10" s="1"/>
  <c r="C314" i="10" s="1"/>
  <c r="E1276" i="10" a="1"/>
  <c r="E1276" i="10" s="1"/>
  <c r="C1276" i="10" s="1"/>
  <c r="E53" i="10" a="1"/>
  <c r="E53" i="10" s="1"/>
  <c r="C53" i="10" s="1"/>
  <c r="E329" i="10" a="1"/>
  <c r="E329" i="10" s="1"/>
  <c r="C329" i="10" s="1"/>
  <c r="E514" i="10" a="1"/>
  <c r="E514" i="10" s="1"/>
  <c r="C514" i="10" s="1"/>
  <c r="E1319" i="10" a="1"/>
  <c r="E1319" i="10" s="1"/>
  <c r="C1319" i="10" s="1"/>
  <c r="E453" i="10" a="1"/>
  <c r="E453" i="10" s="1"/>
  <c r="C453" i="10" s="1"/>
  <c r="E528" i="10" a="1"/>
  <c r="E528" i="10" s="1"/>
  <c r="C528" i="10" s="1"/>
  <c r="E1785" i="10" a="1"/>
  <c r="E1785" i="10" s="1"/>
  <c r="C1785" i="10" s="1"/>
  <c r="E1595" i="10" a="1"/>
  <c r="E1595" i="10" s="1"/>
  <c r="C1595" i="10" s="1"/>
  <c r="E2064" i="10" a="1"/>
  <c r="E2064" i="10" s="1"/>
  <c r="C2064" i="10" s="1"/>
  <c r="E2467" i="10" a="1"/>
  <c r="E2467" i="10" s="1"/>
  <c r="C2467" i="10" s="1"/>
  <c r="E1925" i="10" a="1"/>
  <c r="E1925" i="10" s="1"/>
  <c r="C1925" i="10" s="1"/>
  <c r="E585" i="10" a="1"/>
  <c r="E585" i="10" s="1"/>
  <c r="C585" i="10" s="1"/>
  <c r="E2602" i="10" a="1"/>
  <c r="E2602" i="10" s="1"/>
  <c r="C2602" i="10" s="1"/>
  <c r="E2537" i="10" a="1"/>
  <c r="E2537" i="10" s="1"/>
  <c r="C2537" i="10" s="1"/>
  <c r="E1594" i="10" a="1"/>
  <c r="E1594" i="10" s="1"/>
  <c r="C1594" i="10" s="1"/>
  <c r="E3238" i="10" a="1"/>
  <c r="E3238" i="10" s="1"/>
  <c r="C3238" i="10" s="1"/>
  <c r="E3107" i="10" a="1"/>
  <c r="E3107" i="10" s="1"/>
  <c r="C3107" i="10" s="1"/>
  <c r="E2914" i="10" a="1"/>
  <c r="E2914" i="10" s="1"/>
  <c r="C2914" i="10" s="1"/>
  <c r="E990" i="10" a="1"/>
  <c r="E990" i="10" s="1"/>
  <c r="C990" i="10" s="1"/>
  <c r="E1313" i="10" a="1"/>
  <c r="E1313" i="10" s="1"/>
  <c r="C1313" i="10" s="1"/>
  <c r="E241" i="10" a="1"/>
  <c r="E241" i="10" s="1"/>
  <c r="C241" i="10" s="1"/>
  <c r="E362" i="10" a="1"/>
  <c r="E362" i="10" s="1"/>
  <c r="C362" i="10" s="1"/>
  <c r="E1242" i="10" a="1"/>
  <c r="E1242" i="10" s="1"/>
  <c r="C1242" i="10" s="1"/>
  <c r="E384" i="10" a="1"/>
  <c r="E384" i="10" s="1"/>
  <c r="C384" i="10" s="1"/>
  <c r="E631" i="10" a="1"/>
  <c r="E631" i="10" s="1"/>
  <c r="C631" i="10" s="1"/>
  <c r="E850" i="10" a="1"/>
  <c r="E850" i="10" s="1"/>
  <c r="C850" i="10" s="1"/>
  <c r="E490" i="10" a="1"/>
  <c r="E490" i="10" s="1"/>
  <c r="C490" i="10" s="1"/>
  <c r="E2395" i="10" a="1"/>
  <c r="E2395" i="10" s="1"/>
  <c r="C2395" i="10" s="1"/>
  <c r="E1025" i="10" a="1"/>
  <c r="E1025" i="10" s="1"/>
  <c r="C1025" i="10" s="1"/>
  <c r="E1254" i="10" a="1"/>
  <c r="E1254" i="10" s="1"/>
  <c r="C1254" i="10" s="1"/>
  <c r="E3104" i="10" a="1"/>
  <c r="E3104" i="10" s="1"/>
  <c r="C3104" i="10" s="1"/>
  <c r="E2362" i="10" a="1"/>
  <c r="E2362" i="10" s="1"/>
  <c r="C2362" i="10" s="1"/>
  <c r="E3028" i="10" a="1"/>
  <c r="E3028" i="10" s="1"/>
  <c r="C3028" i="10" s="1"/>
  <c r="E269" i="10" a="1"/>
  <c r="E269" i="10" s="1"/>
  <c r="C269" i="10" s="1"/>
  <c r="E2413" i="10" a="1"/>
  <c r="E2413" i="10" s="1"/>
  <c r="C2413" i="10" s="1"/>
  <c r="E2838" i="10" a="1"/>
  <c r="E2838" i="10" s="1"/>
  <c r="C2838" i="10" s="1"/>
  <c r="E3020" i="10" a="1"/>
  <c r="E3020" i="10" s="1"/>
  <c r="C3020" i="10" s="1"/>
  <c r="E1970" i="10" a="1"/>
  <c r="E1970" i="10" s="1"/>
  <c r="C1970" i="10" s="1"/>
  <c r="E3251" i="10" a="1"/>
  <c r="E3251" i="10" s="1"/>
  <c r="C3251" i="10" s="1"/>
  <c r="E57" i="10" a="1"/>
  <c r="E57" i="10" s="1"/>
  <c r="C57" i="10" s="1"/>
  <c r="E1396" i="10" a="1"/>
  <c r="E1396" i="10" s="1"/>
  <c r="C1396" i="10" s="1"/>
  <c r="E716" i="10" a="1"/>
  <c r="E716" i="10" s="1"/>
  <c r="C716" i="10" s="1"/>
  <c r="E1422" i="10" a="1"/>
  <c r="E1422" i="10" s="1"/>
  <c r="C1422" i="10" s="1"/>
  <c r="E1040" i="10" a="1"/>
  <c r="E1040" i="10" s="1"/>
  <c r="C1040" i="10" s="1"/>
  <c r="E1801" i="10" a="1"/>
  <c r="E1801" i="10" s="1"/>
  <c r="C1801" i="10" s="1"/>
  <c r="E385" i="10" a="1"/>
  <c r="E385" i="10" s="1"/>
  <c r="C385" i="10" s="1"/>
  <c r="E865" i="10" a="1"/>
  <c r="E865" i="10" s="1"/>
  <c r="C865" i="10" s="1"/>
  <c r="E627" i="10" a="1"/>
  <c r="E627" i="10" s="1"/>
  <c r="C627" i="10" s="1"/>
  <c r="E1861" i="10" a="1"/>
  <c r="E1861" i="10" s="1"/>
  <c r="C1861" i="10" s="1"/>
  <c r="E1675" i="10" a="1"/>
  <c r="E1675" i="10" s="1"/>
  <c r="C1675" i="10" s="1"/>
  <c r="E1694" i="10" a="1"/>
  <c r="E1694" i="10" s="1"/>
  <c r="C1694" i="10" s="1"/>
  <c r="E2747" i="10" a="1"/>
  <c r="E2747" i="10" s="1"/>
  <c r="C2747" i="10" s="1"/>
  <c r="E1318" i="10" a="1"/>
  <c r="E1318" i="10" s="1"/>
  <c r="C1318" i="10" s="1"/>
  <c r="E1973" i="10" a="1"/>
  <c r="E1973" i="10" s="1"/>
  <c r="C1973" i="10" s="1"/>
  <c r="E1517" i="10" a="1"/>
  <c r="E1517" i="10" s="1"/>
  <c r="C1517" i="10" s="1"/>
  <c r="E2059" i="10" a="1"/>
  <c r="E2059" i="10" s="1"/>
  <c r="C2059" i="10" s="1"/>
  <c r="E395" i="10" a="1"/>
  <c r="E395" i="10" s="1"/>
  <c r="C395" i="10" s="1"/>
  <c r="E3233" i="10" a="1"/>
  <c r="E3233" i="10" s="1"/>
  <c r="C3233" i="10" s="1"/>
  <c r="E2843" i="10" a="1"/>
  <c r="E2843" i="10" s="1"/>
  <c r="C2843" i="10" s="1"/>
  <c r="E2955" i="10" a="1"/>
  <c r="E2955" i="10" s="1"/>
  <c r="C2955" i="10" s="1"/>
  <c r="E2493" i="10" a="1"/>
  <c r="E2493" i="10" s="1"/>
  <c r="C2493" i="10" s="1"/>
  <c r="E176" i="10" a="1"/>
  <c r="E176" i="10" s="1"/>
  <c r="C176" i="10" s="1"/>
  <c r="E2247" i="10" a="1"/>
  <c r="E2247" i="10" s="1"/>
  <c r="C2247" i="10" s="1"/>
  <c r="E1066" i="10" a="1"/>
  <c r="E1066" i="10" s="1"/>
  <c r="C1066" i="10" s="1"/>
  <c r="E35" i="10" a="1"/>
  <c r="E35" i="10" s="1"/>
  <c r="C35" i="10" s="1"/>
  <c r="E342" i="10" a="1"/>
  <c r="E342" i="10" s="1"/>
  <c r="C342" i="10" s="1"/>
  <c r="E561" i="10" a="1"/>
  <c r="E561" i="10" s="1"/>
  <c r="C561" i="10" s="1"/>
  <c r="E283" i="10" a="1"/>
  <c r="E283" i="10" s="1"/>
  <c r="C283" i="10" s="1"/>
  <c r="E1525" i="10" a="1"/>
  <c r="E1525" i="10" s="1"/>
  <c r="C1525" i="10" s="1"/>
  <c r="E1470" i="10" a="1"/>
  <c r="E1470" i="10" s="1"/>
  <c r="C1470" i="10" s="1"/>
  <c r="E2102" i="10" a="1"/>
  <c r="E2102" i="10" s="1"/>
  <c r="C2102" i="10" s="1"/>
  <c r="E2000" i="10" a="1"/>
  <c r="E2000" i="10" s="1"/>
  <c r="C2000" i="10" s="1"/>
  <c r="E1386" i="10" a="1"/>
  <c r="E1386" i="10" s="1"/>
  <c r="C1386" i="10" s="1"/>
  <c r="E1882" i="10" a="1"/>
  <c r="E1882" i="10" s="1"/>
  <c r="C1882" i="10" s="1"/>
  <c r="E2498" i="10" a="1"/>
  <c r="E2498" i="10" s="1"/>
  <c r="C2498" i="10" s="1"/>
  <c r="E2085" i="10" a="1"/>
  <c r="E2085" i="10" s="1"/>
  <c r="C2085" i="10" s="1"/>
  <c r="E2693" i="10" a="1"/>
  <c r="E2693" i="10" s="1"/>
  <c r="C2693" i="10" s="1"/>
  <c r="E3041" i="10" a="1"/>
  <c r="E3041" i="10" s="1"/>
  <c r="C3041" i="10" s="1"/>
  <c r="E539" i="10" a="1"/>
  <c r="E539" i="10" s="1"/>
  <c r="C539" i="10" s="1"/>
  <c r="E2833" i="10" a="1"/>
  <c r="E2833" i="10" s="1"/>
  <c r="C2833" i="10" s="1"/>
  <c r="E2888" i="10" a="1"/>
  <c r="E2888" i="10" s="1"/>
  <c r="C2888" i="10" s="1"/>
  <c r="E3076" i="10" a="1"/>
  <c r="E3076" i="10" s="1"/>
  <c r="C3076" i="10" s="1"/>
  <c r="E345" i="10" a="1"/>
  <c r="E345" i="10" s="1"/>
  <c r="C345" i="10" s="1"/>
  <c r="E44" i="10" a="1"/>
  <c r="E44" i="10" s="1"/>
  <c r="C44" i="10" s="1"/>
  <c r="E211" i="10" a="1"/>
  <c r="E211" i="10" s="1"/>
  <c r="C211" i="10" s="1"/>
  <c r="E1426" i="10" a="1"/>
  <c r="E1426" i="10" s="1"/>
  <c r="C1426" i="10" s="1"/>
  <c r="E2379" i="10" a="1"/>
  <c r="E2379" i="10" s="1"/>
  <c r="C2379" i="10" s="1"/>
  <c r="E929" i="10" a="1"/>
  <c r="E929" i="10" s="1"/>
  <c r="C929" i="10" s="1"/>
  <c r="E1098" i="10" a="1"/>
  <c r="E1098" i="10" s="1"/>
  <c r="C1098" i="10" s="1"/>
  <c r="E1210" i="10" a="1"/>
  <c r="E1210" i="10" s="1"/>
  <c r="C1210" i="10" s="1"/>
  <c r="E2117" i="10" a="1"/>
  <c r="E2117" i="10" s="1"/>
  <c r="C2117" i="10" s="1"/>
  <c r="E2200" i="10" a="1"/>
  <c r="E2200" i="10" s="1"/>
  <c r="C2200" i="10" s="1"/>
  <c r="E2290" i="10" a="1"/>
  <c r="E2290" i="10" s="1"/>
  <c r="C2290" i="10" s="1"/>
  <c r="E2211" i="10" a="1"/>
  <c r="E2211" i="10" s="1"/>
  <c r="C2211" i="10" s="1"/>
  <c r="E1474" i="10" a="1"/>
  <c r="E1474" i="10" s="1"/>
  <c r="C1474" i="10" s="1"/>
  <c r="E2066" i="10" a="1"/>
  <c r="E2066" i="10" s="1"/>
  <c r="C2066" i="10" s="1"/>
  <c r="E2009" i="10" a="1"/>
  <c r="E2009" i="10" s="1"/>
  <c r="C2009" i="10" s="1"/>
  <c r="E2552" i="10" a="1"/>
  <c r="E2552" i="10" s="1"/>
  <c r="C2552" i="10" s="1"/>
  <c r="E2953" i="10" a="1"/>
  <c r="E2953" i="10" s="1"/>
  <c r="C2953" i="10" s="1"/>
  <c r="E1915" i="10" a="1"/>
  <c r="E1915" i="10" s="1"/>
  <c r="C1915" i="10" s="1"/>
  <c r="E1950" i="10" a="1"/>
  <c r="E1950" i="10" s="1"/>
  <c r="C1950" i="10" s="1"/>
  <c r="E2724" i="10" a="1"/>
  <c r="E2724" i="10" s="1"/>
  <c r="C2724" i="10" s="1"/>
  <c r="E3292" i="10" a="1"/>
  <c r="E3292" i="10" s="1"/>
  <c r="C3292" i="10" s="1"/>
  <c r="E1002" i="10" a="1"/>
  <c r="E1002" i="10" s="1"/>
  <c r="C1002" i="10" s="1"/>
  <c r="E402" i="10" a="1"/>
  <c r="E402" i="10" s="1"/>
  <c r="C402" i="10" s="1"/>
  <c r="E1103" i="10" a="1"/>
  <c r="E1103" i="10" s="1"/>
  <c r="C1103" i="10" s="1"/>
  <c r="E323" i="10" a="1"/>
  <c r="E323" i="10" s="1"/>
  <c r="C323" i="10" s="1"/>
  <c r="E1366" i="10" a="1"/>
  <c r="E1366" i="10" s="1"/>
  <c r="C1366" i="10" s="1"/>
  <c r="E1126" i="10" a="1"/>
  <c r="E1126" i="10" s="1"/>
  <c r="C1126" i="10" s="1"/>
  <c r="E32" i="10" a="1"/>
  <c r="E32" i="10" s="1"/>
  <c r="C32" i="10" s="1"/>
  <c r="E1118" i="10" a="1"/>
  <c r="E1118" i="10" s="1"/>
  <c r="C1118" i="10" s="1"/>
  <c r="E221" i="10" a="1"/>
  <c r="E221" i="10" s="1"/>
  <c r="C221" i="10" s="1"/>
  <c r="E498" i="10" a="1"/>
  <c r="E498" i="10" s="1"/>
  <c r="C498" i="10" s="1"/>
  <c r="E2339" i="10" a="1"/>
  <c r="E2339" i="10" s="1"/>
  <c r="C2339" i="10" s="1"/>
  <c r="E3079" i="10" a="1"/>
  <c r="E3079" i="10" s="1"/>
  <c r="C3079" i="10" s="1"/>
  <c r="E1766" i="10" a="1"/>
  <c r="E1766" i="10" s="1"/>
  <c r="C1766" i="10" s="1"/>
  <c r="E2342" i="10" a="1"/>
  <c r="E2342" i="10" s="1"/>
  <c r="C2342" i="10" s="1"/>
  <c r="E2632" i="10" a="1"/>
  <c r="E2632" i="10" s="1"/>
  <c r="C2632" i="10" s="1"/>
  <c r="E2142" i="10" a="1"/>
  <c r="E2142" i="10" s="1"/>
  <c r="C2142" i="10" s="1"/>
  <c r="E2478" i="10" a="1"/>
  <c r="E2478" i="10" s="1"/>
  <c r="C2478" i="10" s="1"/>
  <c r="E1556" i="10" a="1"/>
  <c r="E1556" i="10" s="1"/>
  <c r="C1556" i="10" s="1"/>
  <c r="E2191" i="10" a="1"/>
  <c r="E2191" i="10" s="1"/>
  <c r="C2191" i="10" s="1"/>
  <c r="E3293" i="10" a="1"/>
  <c r="E3293" i="10" s="1"/>
  <c r="C3293" i="10" s="1"/>
  <c r="E2415" i="10" a="1"/>
  <c r="E2415" i="10" s="1"/>
  <c r="C2415" i="10" s="1"/>
  <c r="E1552" i="10" a="1"/>
  <c r="E1552" i="10" s="1"/>
  <c r="C1552" i="10" s="1"/>
  <c r="E437" i="10" a="1"/>
  <c r="E437" i="10" s="1"/>
  <c r="C437" i="10" s="1"/>
  <c r="E1039" i="10" a="1"/>
  <c r="E1039" i="10" s="1"/>
  <c r="C1039" i="10" s="1"/>
  <c r="E1417" i="10" a="1"/>
  <c r="E1417" i="10" s="1"/>
  <c r="C1417" i="10" s="1"/>
  <c r="E997" i="10" a="1"/>
  <c r="E997" i="10" s="1"/>
  <c r="C997" i="10" s="1"/>
  <c r="E253" i="10" a="1"/>
  <c r="E253" i="10" s="1"/>
  <c r="C253" i="10" s="1"/>
  <c r="E814" i="10" a="1"/>
  <c r="E814" i="10" s="1"/>
  <c r="C814" i="10" s="1"/>
  <c r="E769" i="10" a="1"/>
  <c r="E769" i="10" s="1"/>
  <c r="C769" i="10" s="1"/>
  <c r="E1686" i="10" a="1"/>
  <c r="E1686" i="10" s="1"/>
  <c r="C1686" i="10" s="1"/>
  <c r="E3283" i="10" a="1"/>
  <c r="E3283" i="10" s="1"/>
  <c r="C3283" i="10" s="1"/>
  <c r="E2750" i="10" a="1"/>
  <c r="E2750" i="10" s="1"/>
  <c r="C2750" i="10" s="1"/>
  <c r="E1476" i="10" a="1"/>
  <c r="E1476" i="10" s="1"/>
  <c r="C1476" i="10" s="1"/>
  <c r="E2381" i="10" a="1"/>
  <c r="E2381" i="10" s="1"/>
  <c r="C2381" i="10" s="1"/>
  <c r="E588" i="10" a="1"/>
  <c r="E588" i="10" s="1"/>
  <c r="C588" i="10" s="1"/>
  <c r="E2017" i="10" a="1"/>
  <c r="E2017" i="10" s="1"/>
  <c r="C2017" i="10" s="1"/>
  <c r="E3137" i="10" a="1"/>
  <c r="E3137" i="10" s="1"/>
  <c r="C3137" i="10" s="1"/>
  <c r="E2564" i="10" a="1"/>
  <c r="E2564" i="10" s="1"/>
  <c r="C2564" i="10" s="1"/>
  <c r="E2569" i="10" a="1"/>
  <c r="E2569" i="10" s="1"/>
  <c r="C2569" i="10" s="1"/>
  <c r="E3329" i="10" a="1"/>
  <c r="E3329" i="10" s="1"/>
  <c r="C3329" i="10" s="1"/>
  <c r="E3245" i="10" a="1"/>
  <c r="E3245" i="10" s="1"/>
  <c r="C3245" i="10" s="1"/>
  <c r="E2834" i="10" a="1"/>
  <c r="E2834" i="10" s="1"/>
  <c r="C2834" i="10" s="1"/>
  <c r="E2561" i="10" a="1"/>
  <c r="E2561" i="10" s="1"/>
  <c r="C2561" i="10" s="1"/>
  <c r="E2438" i="10" a="1"/>
  <c r="E2438" i="10" s="1"/>
  <c r="C2438" i="10" s="1"/>
  <c r="E1740" i="10" a="1"/>
  <c r="E1740" i="10" s="1"/>
  <c r="C1740" i="10" s="1"/>
  <c r="E2691" i="10" a="1"/>
  <c r="E2691" i="10" s="1"/>
  <c r="C2691" i="10" s="1"/>
  <c r="E2847" i="10" a="1"/>
  <c r="E2847" i="10" s="1"/>
  <c r="C2847" i="10" s="1"/>
  <c r="E1397" i="10" a="1"/>
  <c r="E1397" i="10" s="1"/>
  <c r="C1397" i="10" s="1"/>
  <c r="E2205" i="10" a="1"/>
  <c r="E2205" i="10" s="1"/>
  <c r="C2205" i="10" s="1"/>
  <c r="E3278" i="10" a="1"/>
  <c r="E3278" i="10" s="1"/>
  <c r="C3278" i="10" s="1"/>
  <c r="E2015" i="10" a="1"/>
  <c r="E2015" i="10" s="1"/>
  <c r="C2015" i="10" s="1"/>
  <c r="E2548" i="10" a="1"/>
  <c r="E2548" i="10" s="1"/>
  <c r="C2548" i="10" s="1"/>
  <c r="E3330" i="10" a="1"/>
  <c r="E3330" i="10" s="1"/>
  <c r="C3330" i="10" s="1"/>
  <c r="E2426" i="10" a="1"/>
  <c r="E2426" i="10" s="1"/>
  <c r="C2426" i="10" s="1"/>
  <c r="E2336" i="10" a="1"/>
  <c r="E2336" i="10" s="1"/>
  <c r="C2336" i="10" s="1"/>
  <c r="E2806" i="10" a="1"/>
  <c r="E2806" i="10" s="1"/>
  <c r="C2806" i="10" s="1"/>
  <c r="E3131" i="10" a="1"/>
  <c r="E3131" i="10" s="1"/>
  <c r="C3131" i="10" s="1"/>
  <c r="E2634" i="10" a="1"/>
  <c r="E2634" i="10" s="1"/>
  <c r="C2634" i="10" s="1"/>
  <c r="E3243" i="10" a="1"/>
  <c r="E3243" i="10" s="1"/>
  <c r="C3243" i="10" s="1"/>
  <c r="E2653" i="10" a="1"/>
  <c r="E2653" i="10" s="1"/>
  <c r="C2653" i="10" s="1"/>
  <c r="E1575" i="10" a="1"/>
  <c r="E1575" i="10" s="1"/>
  <c r="C1575" i="10" s="1"/>
  <c r="E3009" i="10" a="1"/>
  <c r="E3009" i="10" s="1"/>
  <c r="C3009" i="10" s="1"/>
  <c r="E3154" i="10" a="1"/>
  <c r="E3154" i="10" s="1"/>
  <c r="C3154" i="10" s="1"/>
  <c r="E2822" i="10" a="1"/>
  <c r="E2822" i="10" s="1"/>
  <c r="C2822" i="10" s="1"/>
  <c r="E2624" i="10" a="1"/>
  <c r="E2624" i="10" s="1"/>
  <c r="C2624" i="10" s="1"/>
  <c r="E2202" i="10" a="1"/>
  <c r="E2202" i="10" s="1"/>
  <c r="C2202" i="10" s="1"/>
  <c r="E2881" i="10" a="1"/>
  <c r="E2881" i="10" s="1"/>
  <c r="C2881" i="10" s="1"/>
  <c r="E2028" i="10" a="1"/>
  <c r="E2028" i="10" s="1"/>
  <c r="C2028" i="10" s="1"/>
  <c r="E2476" i="10" a="1"/>
  <c r="E2476" i="10" s="1"/>
  <c r="C2476" i="10" s="1"/>
  <c r="E2698" i="10" a="1"/>
  <c r="E2698" i="10" s="1"/>
  <c r="C2698" i="10" s="1"/>
  <c r="E2108" i="10" a="1"/>
  <c r="E2108" i="10" s="1"/>
  <c r="C2108" i="10" s="1"/>
  <c r="E3196" i="10" a="1"/>
  <c r="E3196" i="10" s="1"/>
  <c r="C3196" i="10" s="1"/>
  <c r="E3343" i="10" a="1"/>
  <c r="E3343" i="10" s="1"/>
  <c r="C3343" i="10" s="1"/>
  <c r="E661" i="10" a="1"/>
  <c r="E661" i="10" s="1"/>
  <c r="C661" i="10" s="1"/>
  <c r="E2417" i="10" a="1"/>
  <c r="E2417" i="10" s="1"/>
  <c r="C2417" i="10" s="1"/>
  <c r="E2173" i="10" a="1"/>
  <c r="E2173" i="10" s="1"/>
  <c r="C2173" i="10" s="1"/>
  <c r="E1234" i="10" a="1"/>
  <c r="E1234" i="10" s="1"/>
  <c r="C1234" i="10" s="1"/>
  <c r="E18" i="10" a="1"/>
  <c r="E18" i="10" s="1"/>
  <c r="C18" i="10" s="1"/>
  <c r="E905" i="10" a="1"/>
  <c r="E905" i="10" s="1"/>
  <c r="C905" i="10" s="1"/>
  <c r="E1929" i="10" a="1"/>
  <c r="E1929" i="10" s="1"/>
  <c r="C1929" i="10" s="1"/>
  <c r="E1659" i="10" a="1"/>
  <c r="E1659" i="10" s="1"/>
  <c r="C1659" i="10" s="1"/>
  <c r="E226" i="10" a="1"/>
  <c r="E226" i="10" s="1"/>
  <c r="C226" i="10" s="1"/>
  <c r="E2233" i="10" a="1"/>
  <c r="E2233" i="10" s="1"/>
  <c r="C2233" i="10" s="1"/>
  <c r="E1824" i="10" a="1"/>
  <c r="E1824" i="10" s="1"/>
  <c r="C1824" i="10" s="1"/>
  <c r="E112" i="10" a="1"/>
  <c r="E112" i="10" s="1"/>
  <c r="C112" i="10" s="1"/>
  <c r="E794" i="10" a="1"/>
  <c r="E794" i="10" s="1"/>
  <c r="C794" i="10" s="1"/>
  <c r="E1135" i="10" a="1"/>
  <c r="E1135" i="10" s="1"/>
  <c r="C1135" i="10" s="1"/>
  <c r="E2542" i="10" a="1"/>
  <c r="E2542" i="10" s="1"/>
  <c r="C2542" i="10" s="1"/>
  <c r="E320" i="10" a="1"/>
  <c r="E320" i="10" s="1"/>
  <c r="C320" i="10" s="1"/>
  <c r="E1004" i="10" a="1"/>
  <c r="E1004" i="10" s="1"/>
  <c r="C1004" i="10" s="1"/>
  <c r="E505" i="10" a="1"/>
  <c r="E505" i="10" s="1"/>
  <c r="C505" i="10" s="1"/>
  <c r="E1508" i="10" a="1"/>
  <c r="E1508" i="10" s="1"/>
  <c r="C1508" i="10" s="1"/>
  <c r="E2856" i="10" a="1"/>
  <c r="E2856" i="10" s="1"/>
  <c r="C2856" i="10" s="1"/>
  <c r="E1998" i="10" a="1"/>
  <c r="E1998" i="10" s="1"/>
  <c r="C1998" i="10" s="1"/>
  <c r="E1438" i="10" a="1"/>
  <c r="E1438" i="10" s="1"/>
  <c r="C1438" i="10" s="1"/>
  <c r="E1164" i="10" a="1"/>
  <c r="E1164" i="10" s="1"/>
  <c r="C1164" i="10" s="1"/>
  <c r="E1232" i="10" a="1"/>
  <c r="E1232" i="10" s="1"/>
  <c r="C1232" i="10" s="1"/>
  <c r="E249" i="10" a="1"/>
  <c r="E249" i="10" s="1"/>
  <c r="C249" i="10" s="1"/>
  <c r="E1657" i="10" a="1"/>
  <c r="E1657" i="10" s="1"/>
  <c r="C1657" i="10" s="1"/>
  <c r="E3320" i="10" a="1"/>
  <c r="E3320" i="10" s="1"/>
  <c r="C3320" i="10" s="1"/>
  <c r="E1058" i="10" a="1"/>
  <c r="E1058" i="10" s="1"/>
  <c r="C1058" i="10" s="1"/>
  <c r="E895" i="10" a="1"/>
  <c r="E895" i="10" s="1"/>
  <c r="C895" i="10" s="1"/>
  <c r="E76" i="10" a="1"/>
  <c r="E76" i="10" s="1"/>
  <c r="C76" i="10" s="1"/>
  <c r="E2183" i="10" a="1"/>
  <c r="E2183" i="10" s="1"/>
  <c r="C2183" i="10" s="1"/>
  <c r="E672" i="10" a="1"/>
  <c r="E672" i="10" s="1"/>
  <c r="C672" i="10" s="1"/>
  <c r="E925" i="10" a="1"/>
  <c r="E925" i="10" s="1"/>
  <c r="C925" i="10" s="1"/>
  <c r="E2392" i="10" a="1"/>
  <c r="E2392" i="10" s="1"/>
  <c r="C2392" i="10" s="1"/>
  <c r="E286" i="10" a="1"/>
  <c r="E286" i="10" s="1"/>
  <c r="C286" i="10" s="1"/>
  <c r="E147" i="10" a="1"/>
  <c r="E147" i="10" s="1"/>
  <c r="C147" i="10" s="1"/>
  <c r="E328" i="10" a="1"/>
  <c r="E328" i="10" s="1"/>
  <c r="C328" i="10" s="1"/>
  <c r="E305" i="10" a="1"/>
  <c r="E305" i="10" s="1"/>
  <c r="C305" i="10" s="1"/>
  <c r="E558" i="10" a="1"/>
  <c r="E558" i="10" s="1"/>
  <c r="C558" i="10" s="1"/>
  <c r="E518" i="10" a="1"/>
  <c r="E518" i="10" s="1"/>
  <c r="C518" i="10" s="1"/>
  <c r="E721" i="10" a="1"/>
  <c r="E721" i="10" s="1"/>
  <c r="C721" i="10" s="1"/>
  <c r="E341" i="10" a="1"/>
  <c r="E341" i="10" s="1"/>
  <c r="C341" i="10" s="1"/>
  <c r="E48" i="10" a="1"/>
  <c r="E48" i="10" s="1"/>
  <c r="C48" i="10" s="1"/>
  <c r="E1630" i="10" a="1"/>
  <c r="E1630" i="10" s="1"/>
  <c r="C1630" i="10" s="1"/>
  <c r="E222" i="10" a="1"/>
  <c r="E222" i="10" s="1"/>
  <c r="C222" i="10" s="1"/>
  <c r="E1207" i="10" a="1"/>
  <c r="E1207" i="10" s="1"/>
  <c r="C1207" i="10" s="1"/>
  <c r="E881" i="10" a="1"/>
  <c r="E881" i="10" s="1"/>
  <c r="C881" i="10" s="1"/>
  <c r="E1863" i="10" a="1"/>
  <c r="E1863" i="10" s="1"/>
  <c r="C1863" i="10" s="1"/>
  <c r="E1497" i="10" a="1"/>
  <c r="E1497" i="10" s="1"/>
  <c r="C1497" i="10" s="1"/>
  <c r="E1636" i="10" a="1"/>
  <c r="E1636" i="10" s="1"/>
  <c r="C1636" i="10" s="1"/>
  <c r="E1338" i="10" a="1"/>
  <c r="E1338" i="10" s="1"/>
  <c r="C1338" i="10" s="1"/>
  <c r="E3089" i="10" a="1"/>
  <c r="E3089" i="10" s="1"/>
  <c r="C3089" i="10" s="1"/>
  <c r="E2868" i="10" a="1"/>
  <c r="E2868" i="10" s="1"/>
  <c r="C2868" i="10" s="1"/>
  <c r="E2900" i="10" a="1"/>
  <c r="E2900" i="10" s="1"/>
  <c r="C2900" i="10" s="1"/>
  <c r="E2506" i="10" a="1"/>
  <c r="E2506" i="10" s="1"/>
  <c r="C2506" i="10" s="1"/>
  <c r="E2566" i="10" a="1"/>
  <c r="E2566" i="10" s="1"/>
  <c r="C2566" i="10" s="1"/>
  <c r="E83" i="10" a="1"/>
  <c r="E83" i="10" s="1"/>
  <c r="C83" i="10" s="1"/>
  <c r="E867" i="10" a="1"/>
  <c r="E867" i="10" s="1"/>
  <c r="C867" i="10" s="1"/>
  <c r="E1371" i="10" a="1"/>
  <c r="E1371" i="10" s="1"/>
  <c r="C1371" i="10" s="1"/>
  <c r="E63" i="10" a="1"/>
  <c r="E63" i="10" s="1"/>
  <c r="C63" i="10" s="1"/>
  <c r="E138" i="10" a="1"/>
  <c r="E138" i="10" s="1"/>
  <c r="C138" i="10" s="1"/>
  <c r="E928" i="10" a="1"/>
  <c r="E928" i="10" s="1"/>
  <c r="C928" i="10" s="1"/>
  <c r="E646" i="10" a="1"/>
  <c r="E646" i="10" s="1"/>
  <c r="C646" i="10" s="1"/>
  <c r="E1400" i="10" a="1"/>
  <c r="E1400" i="10" s="1"/>
  <c r="C1400" i="10" s="1"/>
  <c r="E1299" i="10" a="1"/>
  <c r="E1299" i="10" s="1"/>
  <c r="C1299" i="10" s="1"/>
  <c r="E2129" i="10" a="1"/>
  <c r="E2129" i="10" s="1"/>
  <c r="C2129" i="10" s="1"/>
  <c r="E2622" i="10" a="1"/>
  <c r="E2622" i="10" s="1"/>
  <c r="C2622" i="10" s="1"/>
  <c r="E2257" i="10" a="1"/>
  <c r="E2257" i="10" s="1"/>
  <c r="C2257" i="10" s="1"/>
  <c r="E1909" i="10" a="1"/>
  <c r="E1909" i="10" s="1"/>
  <c r="C1909" i="10" s="1"/>
  <c r="E3286" i="10" a="1"/>
  <c r="E3286" i="10" s="1"/>
  <c r="C3286" i="10" s="1"/>
  <c r="E2734" i="10" a="1"/>
  <c r="E2734" i="10" s="1"/>
  <c r="C2734" i="10" s="1"/>
  <c r="E1621" i="10" a="1"/>
  <c r="E1621" i="10" s="1"/>
  <c r="C1621" i="10" s="1"/>
  <c r="E2811" i="10" a="1"/>
  <c r="E2811" i="10" s="1"/>
  <c r="C2811" i="10" s="1"/>
  <c r="E743" i="10" a="1"/>
  <c r="E743" i="10" s="1"/>
  <c r="C743" i="10" s="1"/>
  <c r="E3132" i="10" a="1"/>
  <c r="E3132" i="10" s="1"/>
  <c r="C3132" i="10" s="1"/>
  <c r="E2435" i="10" a="1"/>
  <c r="E2435" i="10" s="1"/>
  <c r="C2435" i="10" s="1"/>
  <c r="E2692" i="10" a="1"/>
  <c r="E2692" i="10" s="1"/>
  <c r="C2692" i="10" s="1"/>
  <c r="E724" i="10" a="1"/>
  <c r="E724" i="10" s="1"/>
  <c r="C724" i="10" s="1"/>
  <c r="E153" i="10" a="1"/>
  <c r="E153" i="10" s="1"/>
  <c r="C153" i="10" s="1"/>
  <c r="E69" i="10" a="1"/>
  <c r="E69" i="10" s="1"/>
  <c r="C69" i="10" s="1"/>
  <c r="E265" i="10" a="1"/>
  <c r="E265" i="10" s="1"/>
  <c r="C265" i="10" s="1"/>
  <c r="E564" i="10" a="1"/>
  <c r="E564" i="10" s="1"/>
  <c r="C564" i="10" s="1"/>
  <c r="E1885" i="10" a="1"/>
  <c r="E1885" i="10" s="1"/>
  <c r="C1885" i="10" s="1"/>
  <c r="E1635" i="10" a="1"/>
  <c r="E1635" i="10" s="1"/>
  <c r="C1635" i="10" s="1"/>
  <c r="E307" i="10" a="1"/>
  <c r="E307" i="10" s="1"/>
  <c r="C307" i="10" s="1"/>
  <c r="E542" i="10" a="1"/>
  <c r="E542" i="10" s="1"/>
  <c r="C542" i="10" s="1"/>
  <c r="E1987" i="10" a="1"/>
  <c r="E1987" i="10" s="1"/>
  <c r="C1987" i="10" s="1"/>
  <c r="E2300" i="10" a="1"/>
  <c r="E2300" i="10" s="1"/>
  <c r="C2300" i="10" s="1"/>
  <c r="E1964" i="10" a="1"/>
  <c r="E1964" i="10" s="1"/>
  <c r="C1964" i="10" s="1"/>
  <c r="E3315" i="10" a="1"/>
  <c r="E3315" i="10" s="1"/>
  <c r="C3315" i="10" s="1"/>
  <c r="E1345" i="10" a="1"/>
  <c r="E1345" i="10" s="1"/>
  <c r="C1345" i="10" s="1"/>
  <c r="E1881" i="10" a="1"/>
  <c r="E1881" i="10" s="1"/>
  <c r="C1881" i="10" s="1"/>
  <c r="E2484" i="10" a="1"/>
  <c r="E2484" i="10" s="1"/>
  <c r="C2484" i="10" s="1"/>
  <c r="E1212" i="10" a="1"/>
  <c r="E1212" i="10" s="1"/>
  <c r="C1212" i="10" s="1"/>
  <c r="E2894" i="10" a="1"/>
  <c r="E2894" i="10" s="1"/>
  <c r="C2894" i="10" s="1"/>
  <c r="E2808" i="10" a="1"/>
  <c r="E2808" i="10" s="1"/>
  <c r="C2808" i="10" s="1"/>
  <c r="E3002" i="10" a="1"/>
  <c r="E3002" i="10" s="1"/>
  <c r="C3002" i="10" s="1"/>
  <c r="E3316" i="10" a="1"/>
  <c r="E3316" i="10" s="1"/>
  <c r="C3316" i="10" s="1"/>
  <c r="E1587" i="10" a="1"/>
  <c r="E1587" i="10" s="1"/>
  <c r="C1587" i="10" s="1"/>
  <c r="E1673" i="10" a="1"/>
  <c r="E1673" i="10" s="1"/>
  <c r="C1673" i="10" s="1"/>
  <c r="E3361" i="10" a="1"/>
  <c r="E3361" i="10" s="1"/>
  <c r="C3361" i="10" s="1"/>
  <c r="E1808" i="10" a="1"/>
  <c r="E1808" i="10" s="1"/>
  <c r="C1808" i="10" s="1"/>
  <c r="E725" i="10" a="1"/>
  <c r="E725" i="10" s="1"/>
  <c r="C725" i="10" s="1"/>
  <c r="E1211" i="10" a="1"/>
  <c r="E1211" i="10" s="1"/>
  <c r="C1211" i="10" s="1"/>
  <c r="E168" i="10" a="1"/>
  <c r="E168" i="10" s="1"/>
  <c r="C168" i="10" s="1"/>
  <c r="E1259" i="10" a="1"/>
  <c r="E1259" i="10" s="1"/>
  <c r="C1259" i="10" s="1"/>
  <c r="E971" i="10" a="1"/>
  <c r="E971" i="10" s="1"/>
  <c r="C971" i="10" s="1"/>
  <c r="E1693" i="10" a="1"/>
  <c r="E1693" i="10" s="1"/>
  <c r="C1693" i="10" s="1"/>
  <c r="E379" i="10" a="1"/>
  <c r="E379" i="10" s="1"/>
  <c r="C379" i="10" s="1"/>
  <c r="E381" i="10" a="1"/>
  <c r="E381" i="10" s="1"/>
  <c r="C381" i="10" s="1"/>
  <c r="E1382" i="10" a="1"/>
  <c r="E1382" i="10" s="1"/>
  <c r="C1382" i="10" s="1"/>
  <c r="E441" i="10" a="1"/>
  <c r="E441" i="10" s="1"/>
  <c r="C441" i="10" s="1"/>
  <c r="E1095" i="10" a="1"/>
  <c r="E1095" i="10" s="1"/>
  <c r="C1095" i="10" s="1"/>
  <c r="E1541" i="10" a="1"/>
  <c r="E1541" i="10" s="1"/>
  <c r="C1541" i="10" s="1"/>
  <c r="E2266" i="10" a="1"/>
  <c r="E2266" i="10" s="1"/>
  <c r="C2266" i="10" s="1"/>
  <c r="E2313" i="10" a="1"/>
  <c r="E2313" i="10" s="1"/>
  <c r="C2313" i="10" s="1"/>
  <c r="E1044" i="10" a="1"/>
  <c r="E1044" i="10" s="1"/>
  <c r="C1044" i="10" s="1"/>
  <c r="E1005" i="10" a="1"/>
  <c r="E1005" i="10" s="1"/>
  <c r="C1005" i="10" s="1"/>
  <c r="E2926" i="10" a="1"/>
  <c r="E2926" i="10" s="1"/>
  <c r="C2926" i="10" s="1"/>
  <c r="E3192" i="10" a="1"/>
  <c r="E3192" i="10" s="1"/>
  <c r="C3192" i="10" s="1"/>
  <c r="E1111" i="10" a="1"/>
  <c r="E1111" i="10" s="1"/>
  <c r="C1111" i="10" s="1"/>
  <c r="E2954" i="10" a="1"/>
  <c r="E2954" i="10" s="1"/>
  <c r="C2954" i="10" s="1"/>
  <c r="E2424" i="10" a="1"/>
  <c r="E2424" i="10" s="1"/>
  <c r="C2424" i="10" s="1"/>
  <c r="E1256" i="10" a="1"/>
  <c r="E1256" i="10" s="1"/>
  <c r="C1256" i="10" s="1"/>
  <c r="E423" i="10" a="1"/>
  <c r="E423" i="10" s="1"/>
  <c r="C423" i="10" s="1"/>
  <c r="E2307" i="10" a="1"/>
  <c r="E2307" i="10" s="1"/>
  <c r="C2307" i="10" s="1"/>
  <c r="E1758" i="10" a="1"/>
  <c r="E1758" i="10" s="1"/>
  <c r="C1758" i="10" s="1"/>
  <c r="E324" i="10" a="1"/>
  <c r="E324" i="10" s="1"/>
  <c r="C324" i="10" s="1"/>
  <c r="E1389" i="10" a="1"/>
  <c r="E1389" i="10" s="1"/>
  <c r="C1389" i="10" s="1"/>
  <c r="E373" i="10" a="1"/>
  <c r="E373" i="10" s="1"/>
  <c r="C373" i="10" s="1"/>
  <c r="E1206" i="10" a="1"/>
  <c r="E1206" i="10" s="1"/>
  <c r="C1206" i="10" s="1"/>
  <c r="E277" i="10" a="1"/>
  <c r="E277" i="10" s="1"/>
  <c r="C277" i="10" s="1"/>
  <c r="E2961" i="10" a="1"/>
  <c r="E2961" i="10" s="1"/>
  <c r="C2961" i="10" s="1"/>
  <c r="E3358" i="10" a="1"/>
  <c r="E3358" i="10" s="1"/>
  <c r="C3358" i="10" s="1"/>
  <c r="E676" i="10" a="1"/>
  <c r="E676" i="10" s="1"/>
  <c r="C676" i="10" s="1"/>
  <c r="E2281" i="10" a="1"/>
  <c r="E2281" i="10" s="1"/>
  <c r="C2281" i="10" s="1"/>
  <c r="E2072" i="10" a="1"/>
  <c r="E2072" i="10" s="1"/>
  <c r="C2072" i="10" s="1"/>
  <c r="E171" i="10" a="1"/>
  <c r="E171" i="10" s="1"/>
  <c r="C171" i="10" s="1"/>
  <c r="E446" i="10" a="1"/>
  <c r="E446" i="10" s="1"/>
  <c r="C446" i="10" s="1"/>
  <c r="E755" i="10" a="1"/>
  <c r="E755" i="10" s="1"/>
  <c r="C755" i="10" s="1"/>
  <c r="E666" i="10" a="1"/>
  <c r="E666" i="10" s="1"/>
  <c r="C666" i="10" s="1"/>
  <c r="E483" i="10" a="1"/>
  <c r="E483" i="10" s="1"/>
  <c r="C483" i="10" s="1"/>
  <c r="E1148" i="10" a="1"/>
  <c r="E1148" i="10" s="1"/>
  <c r="C1148" i="10" s="1"/>
  <c r="E2006" i="10" a="1"/>
  <c r="E2006" i="10" s="1"/>
  <c r="C2006" i="10" s="1"/>
  <c r="E611" i="10" a="1"/>
  <c r="E611" i="10" s="1"/>
  <c r="C611" i="10" s="1"/>
  <c r="E1192" i="10" a="1"/>
  <c r="E1192" i="10" s="1"/>
  <c r="C1192" i="10" s="1"/>
  <c r="E85" i="10" a="1"/>
  <c r="E85" i="10" s="1"/>
  <c r="C85" i="10" s="1"/>
  <c r="E2795" i="10" a="1"/>
  <c r="E2795" i="10" s="1"/>
  <c r="C2795" i="10" s="1"/>
  <c r="E2197" i="10" a="1"/>
  <c r="E2197" i="10" s="1"/>
  <c r="C2197" i="10" s="1"/>
  <c r="E921" i="10" a="1"/>
  <c r="E921" i="10" s="1"/>
  <c r="C921" i="10" s="1"/>
  <c r="E1535" i="10" a="1"/>
  <c r="E1535" i="10" s="1"/>
  <c r="C1535" i="10" s="1"/>
  <c r="E1902" i="10" a="1"/>
  <c r="E1902" i="10" s="1"/>
  <c r="C1902" i="10" s="1"/>
  <c r="E2651" i="10" a="1"/>
  <c r="E2651" i="10" s="1"/>
  <c r="C2651" i="10" s="1"/>
  <c r="E1418" i="10" a="1"/>
  <c r="E1418" i="10" s="1"/>
  <c r="C1418" i="10" s="1"/>
  <c r="E2967" i="10" a="1"/>
  <c r="E2967" i="10" s="1"/>
  <c r="C2967" i="10" s="1"/>
  <c r="E2668" i="10" a="1"/>
  <c r="E2668" i="10" s="1"/>
  <c r="C2668" i="10" s="1"/>
  <c r="E3183" i="10" a="1"/>
  <c r="E3183" i="10" s="1"/>
  <c r="C3183" i="10" s="1"/>
  <c r="E1734" i="10" a="1"/>
  <c r="E1734" i="10" s="1"/>
  <c r="C1734" i="10" s="1"/>
  <c r="E344" i="10" a="1"/>
  <c r="E344" i="10" s="1"/>
  <c r="C344" i="10" s="1"/>
  <c r="E366" i="10" a="1"/>
  <c r="E366" i="10" s="1"/>
  <c r="C366" i="10" s="1"/>
  <c r="E876" i="10" a="1"/>
  <c r="E876" i="10" s="1"/>
  <c r="C876" i="10" s="1"/>
  <c r="E94" i="10" a="1"/>
  <c r="E94" i="10" s="1"/>
  <c r="C94" i="10" s="1"/>
  <c r="E855" i="10" a="1"/>
  <c r="E855" i="10" s="1"/>
  <c r="C855" i="10" s="1"/>
  <c r="E1903" i="10" a="1"/>
  <c r="E1903" i="10" s="1"/>
  <c r="C1903" i="10" s="1"/>
  <c r="E482" i="10" a="1"/>
  <c r="E482" i="10" s="1"/>
  <c r="C482" i="10" s="1"/>
  <c r="E2335" i="10" a="1"/>
  <c r="E2335" i="10" s="1"/>
  <c r="C2335" i="10" s="1"/>
  <c r="E250" i="10" a="1"/>
  <c r="E250" i="10" s="1"/>
  <c r="C250" i="10" s="1"/>
  <c r="E950" i="10" a="1"/>
  <c r="E950" i="10" s="1"/>
  <c r="C950" i="10" s="1"/>
  <c r="E2949" i="10" a="1"/>
  <c r="E2949" i="10" s="1"/>
  <c r="C2949" i="10" s="1"/>
  <c r="E2367" i="10" a="1"/>
  <c r="E2367" i="10" s="1"/>
  <c r="C2367" i="10" s="1"/>
  <c r="E1982" i="10" a="1"/>
  <c r="E1982" i="10" s="1"/>
  <c r="C1982" i="10" s="1"/>
  <c r="E487" i="10" a="1"/>
  <c r="E487" i="10" s="1"/>
  <c r="C487" i="10" s="1"/>
  <c r="E2126" i="10" a="1"/>
  <c r="E2126" i="10" s="1"/>
  <c r="C2126" i="10" s="1"/>
  <c r="E3338" i="10" a="1"/>
  <c r="E3338" i="10" s="1"/>
  <c r="C3338" i="10" s="1"/>
  <c r="E2669" i="10" a="1"/>
  <c r="E2669" i="10" s="1"/>
  <c r="C2669" i="10" s="1"/>
  <c r="E2766" i="10" a="1"/>
  <c r="E2766" i="10" s="1"/>
  <c r="C2766" i="10" s="1"/>
  <c r="E3039" i="10" a="1"/>
  <c r="E3039" i="10" s="1"/>
  <c r="C3039" i="10" s="1"/>
  <c r="E2925" i="10" a="1"/>
  <c r="E2925" i="10" s="1"/>
  <c r="C2925" i="10" s="1"/>
  <c r="E438" i="10" a="1"/>
  <c r="E438" i="10" s="1"/>
  <c r="C438" i="10" s="1"/>
  <c r="E202" i="10" a="1"/>
  <c r="E202" i="10" s="1"/>
  <c r="C202" i="10" s="1"/>
  <c r="E429" i="10" a="1"/>
  <c r="E429" i="10" s="1"/>
  <c r="C429" i="10" s="1"/>
  <c r="E1419" i="10" a="1"/>
  <c r="E1419" i="10" s="1"/>
  <c r="C1419" i="10" s="1"/>
  <c r="E684" i="10" a="1"/>
  <c r="E684" i="10" s="1"/>
  <c r="C684" i="10" s="1"/>
  <c r="E1890" i="10" a="1"/>
  <c r="E1890" i="10" s="1"/>
  <c r="C1890" i="10" s="1"/>
  <c r="E600" i="10" a="1"/>
  <c r="E600" i="10" s="1"/>
  <c r="C600" i="10" s="1"/>
  <c r="E1639" i="10" a="1"/>
  <c r="E1639" i="10" s="1"/>
  <c r="C1639" i="10" s="1"/>
  <c r="E1325" i="10" a="1"/>
  <c r="E1325" i="10" s="1"/>
  <c r="C1325" i="10" s="1"/>
  <c r="E400" i="10" a="1"/>
  <c r="E400" i="10" s="1"/>
  <c r="C400" i="10" s="1"/>
  <c r="E2989" i="10" a="1"/>
  <c r="E2989" i="10" s="1"/>
  <c r="C2989" i="10" s="1"/>
  <c r="E1230" i="10" a="1"/>
  <c r="E1230" i="10" s="1"/>
  <c r="C1230" i="10" s="1"/>
  <c r="E2217" i="10" a="1"/>
  <c r="E2217" i="10" s="1"/>
  <c r="C2217" i="10" s="1"/>
  <c r="E1934" i="10" a="1"/>
  <c r="E1934" i="10" s="1"/>
  <c r="C1934" i="10" s="1"/>
  <c r="E1267" i="10" a="1"/>
  <c r="E1267" i="10" s="1"/>
  <c r="C1267" i="10" s="1"/>
  <c r="E1161" i="10" a="1"/>
  <c r="E1161" i="10" s="1"/>
  <c r="C1161" i="10" s="1"/>
  <c r="E2821" i="10" a="1"/>
  <c r="E2821" i="10" s="1"/>
  <c r="C2821" i="10" s="1"/>
  <c r="E3138" i="10" a="1"/>
  <c r="E3138" i="10" s="1"/>
  <c r="C3138" i="10" s="1"/>
  <c r="E2016" i="10" a="1"/>
  <c r="E2016" i="10" s="1"/>
  <c r="C2016" i="10" s="1"/>
  <c r="E3195" i="10" a="1"/>
  <c r="E3195" i="10" s="1"/>
  <c r="C3195" i="10" s="1"/>
  <c r="E2100" i="10" a="1"/>
  <c r="E2100" i="10" s="1"/>
  <c r="C2100" i="10" s="1"/>
  <c r="E2510" i="10" a="1"/>
  <c r="E2510" i="10" s="1"/>
  <c r="C2510" i="10" s="1"/>
  <c r="E1459" i="10" a="1"/>
  <c r="E1459" i="10" s="1"/>
  <c r="C1459" i="10" s="1"/>
  <c r="E183" i="10" a="1"/>
  <c r="E183" i="10" s="1"/>
  <c r="C183" i="10" s="1"/>
  <c r="E1765" i="10" a="1"/>
  <c r="E1765" i="10" s="1"/>
  <c r="C1765" i="10" s="1"/>
  <c r="E835" i="10" a="1"/>
  <c r="E835" i="10" s="1"/>
  <c r="C835" i="10" s="1"/>
  <c r="E23" i="10" a="1"/>
  <c r="E23" i="10" s="1"/>
  <c r="C23" i="10" s="1"/>
  <c r="E248" i="10" a="1"/>
  <c r="E248" i="10" s="1"/>
  <c r="C248" i="10" s="1"/>
  <c r="E1179" i="10" a="1"/>
  <c r="E1179" i="10" s="1"/>
  <c r="C1179" i="10" s="1"/>
  <c r="E452" i="10" a="1"/>
  <c r="E452" i="10" s="1"/>
  <c r="C452" i="10" s="1"/>
  <c r="E1380" i="10" a="1"/>
  <c r="E1380" i="10" s="1"/>
  <c r="C1380" i="10" s="1"/>
  <c r="E1454" i="10" a="1"/>
  <c r="E1454" i="10" s="1"/>
  <c r="C1454" i="10" s="1"/>
  <c r="E1373" i="10" a="1"/>
  <c r="E1373" i="10" s="1"/>
  <c r="C1373" i="10" s="1"/>
  <c r="E2582" i="10" a="1"/>
  <c r="E2582" i="10" s="1"/>
  <c r="C2582" i="10" s="1"/>
  <c r="E1823" i="10" a="1"/>
  <c r="E1823" i="10" s="1"/>
  <c r="C1823" i="10" s="1"/>
  <c r="E321" i="10" a="1"/>
  <c r="E321" i="10" s="1"/>
  <c r="C321" i="10" s="1"/>
  <c r="E858" i="10" a="1"/>
  <c r="E858" i="10" s="1"/>
  <c r="C858" i="10" s="1"/>
  <c r="E1523" i="10" a="1"/>
  <c r="E1523" i="10" s="1"/>
  <c r="C1523" i="10" s="1"/>
  <c r="E2396" i="10" a="1"/>
  <c r="E2396" i="10" s="1"/>
  <c r="C2396" i="10" s="1"/>
  <c r="E1640" i="10" a="1"/>
  <c r="E1640" i="10" s="1"/>
  <c r="C1640" i="10" s="1"/>
  <c r="E2267" i="10" a="1"/>
  <c r="E2267" i="10" s="1"/>
  <c r="C2267" i="10" s="1"/>
  <c r="E2628" i="10" a="1"/>
  <c r="E2628" i="10" s="1"/>
  <c r="C2628" i="10" s="1"/>
  <c r="E2919" i="10" a="1"/>
  <c r="E2919" i="10" s="1"/>
  <c r="C2919" i="10" s="1"/>
  <c r="E1340" i="10" a="1"/>
  <c r="E1340" i="10" s="1"/>
  <c r="C1340" i="10" s="1"/>
  <c r="E471" i="10" a="1"/>
  <c r="E471" i="10" s="1"/>
  <c r="C471" i="10" s="1"/>
  <c r="E1649" i="10" a="1"/>
  <c r="E1649" i="10" s="1"/>
  <c r="C1649" i="10" s="1"/>
  <c r="E1898" i="10" a="1"/>
  <c r="E1898" i="10" s="1"/>
  <c r="C1898" i="10" s="1"/>
  <c r="E2031" i="10" a="1"/>
  <c r="E2031" i="10" s="1"/>
  <c r="C2031" i="10" s="1"/>
  <c r="E2221" i="10" a="1"/>
  <c r="E2221" i="10" s="1"/>
  <c r="C2221" i="10" s="1"/>
  <c r="E1478" i="10" a="1"/>
  <c r="E1478" i="10" s="1"/>
  <c r="C1478" i="10" s="1"/>
  <c r="E292" i="10" a="1"/>
  <c r="E292" i="10" s="1"/>
  <c r="C292" i="10" s="1"/>
  <c r="E1567" i="10" a="1"/>
  <c r="E1567" i="10" s="1"/>
  <c r="C1567" i="10" s="1"/>
  <c r="E181" i="10" a="1"/>
  <c r="E181" i="10" s="1"/>
  <c r="C181" i="10" s="1"/>
  <c r="E2276" i="10" a="1"/>
  <c r="E2276" i="10" s="1"/>
  <c r="C2276" i="10" s="1"/>
  <c r="E740" i="10" a="1"/>
  <c r="E740" i="10" s="1"/>
  <c r="C740" i="10" s="1"/>
  <c r="E619" i="10" a="1"/>
  <c r="E619" i="10" s="1"/>
  <c r="C619" i="10" s="1"/>
  <c r="E759" i="10" a="1"/>
  <c r="E759" i="10" s="1"/>
  <c r="C759" i="10" s="1"/>
  <c r="E1544" i="10" a="1"/>
  <c r="E1544" i="10" s="1"/>
  <c r="C1544" i="10" s="1"/>
  <c r="E1490" i="10" a="1"/>
  <c r="E1490" i="10" s="1"/>
  <c r="C1490" i="10" s="1"/>
  <c r="E1151" i="10" a="1"/>
  <c r="E1151" i="10" s="1"/>
  <c r="C1151" i="10" s="1"/>
  <c r="E3049" i="10" a="1"/>
  <c r="E3049" i="10" s="1"/>
  <c r="C3049" i="10" s="1"/>
  <c r="E3019" i="10" a="1"/>
  <c r="E3019" i="10" s="1"/>
  <c r="C3019" i="10" s="1"/>
  <c r="E3173" i="10" a="1"/>
  <c r="E3173" i="10" s="1"/>
  <c r="C3173" i="10" s="1"/>
  <c r="E2209" i="10" a="1"/>
  <c r="E2209" i="10" s="1"/>
  <c r="C2209" i="10" s="1"/>
  <c r="E620" i="10" a="1"/>
  <c r="E620" i="10" s="1"/>
  <c r="C620" i="10" s="1"/>
  <c r="E688" i="10" a="1"/>
  <c r="E688" i="10" s="1"/>
  <c r="C688" i="10" s="1"/>
  <c r="E40" i="10" a="1"/>
  <c r="E40" i="10" s="1"/>
  <c r="C40" i="10" s="1"/>
  <c r="E1830" i="10" a="1"/>
  <c r="E1830" i="10" s="1"/>
  <c r="C1830" i="10" s="1"/>
  <c r="E1471" i="10" a="1"/>
  <c r="E1471" i="10" s="1"/>
  <c r="C1471" i="10" s="1"/>
  <c r="E1136" i="10" a="1"/>
  <c r="E1136" i="10" s="1"/>
  <c r="C1136" i="10" s="1"/>
  <c r="E2049" i="10" a="1"/>
  <c r="E2049" i="10" s="1"/>
  <c r="C2049" i="10" s="1"/>
  <c r="E1930" i="10" a="1"/>
  <c r="E1930" i="10" s="1"/>
  <c r="C1930" i="10" s="1"/>
  <c r="E1536" i="10" a="1"/>
  <c r="E1536" i="10" s="1"/>
  <c r="C1536" i="10" s="1"/>
  <c r="E597" i="10" a="1"/>
  <c r="E597" i="10" s="1"/>
  <c r="C597" i="10" s="1"/>
  <c r="E2790" i="10" a="1"/>
  <c r="E2790" i="10" s="1"/>
  <c r="C2790" i="10" s="1"/>
  <c r="C1999" i="10"/>
  <c r="E1999" i="10" a="1"/>
  <c r="E1999" i="10" s="1"/>
  <c r="E1661" i="10" a="1"/>
  <c r="E1661" i="10" s="1"/>
  <c r="C1661" i="10" s="1"/>
  <c r="E1246" i="10" a="1"/>
  <c r="E1246" i="10" s="1"/>
  <c r="C1246" i="10" s="1"/>
  <c r="E841" i="10" a="1"/>
  <c r="E841" i="10" s="1"/>
  <c r="C841" i="10" s="1"/>
  <c r="E2472" i="10" a="1"/>
  <c r="E2472" i="10" s="1"/>
  <c r="C2472" i="10" s="1"/>
  <c r="E2544" i="10" a="1"/>
  <c r="E2544" i="10" s="1"/>
  <c r="C2544" i="10" s="1"/>
  <c r="E3241" i="10" a="1"/>
  <c r="E3241" i="10" s="1"/>
  <c r="C3241" i="10" s="1"/>
  <c r="E2451" i="10" a="1"/>
  <c r="E2451" i="10" s="1"/>
  <c r="C2451" i="10" s="1"/>
  <c r="E3285" i="10" a="1"/>
  <c r="E3285" i="10" s="1"/>
  <c r="C3285" i="10" s="1"/>
  <c r="E2860" i="10" a="1"/>
  <c r="E2860" i="10" s="1"/>
  <c r="C2860" i="10" s="1"/>
  <c r="E1084" i="10" a="1"/>
  <c r="E1084" i="10" s="1"/>
  <c r="C1084" i="10" s="1"/>
  <c r="E312" i="10" a="1"/>
  <c r="E312" i="10" s="1"/>
  <c r="C312" i="10" s="1"/>
  <c r="E391" i="10" a="1"/>
  <c r="E391" i="10" s="1"/>
  <c r="C391" i="10" s="1"/>
  <c r="E1016" i="10" a="1"/>
  <c r="E1016" i="10" s="1"/>
  <c r="C1016" i="10" s="1"/>
  <c r="E466" i="10" a="1"/>
  <c r="E466" i="10" s="1"/>
  <c r="C466" i="10" s="1"/>
  <c r="E2137" i="10" a="1"/>
  <c r="E2137" i="10" s="1"/>
  <c r="C2137" i="10" s="1"/>
  <c r="E622" i="10" a="1"/>
  <c r="E622" i="10" s="1"/>
  <c r="C622" i="10" s="1"/>
  <c r="E963" i="10" a="1"/>
  <c r="E963" i="10" s="1"/>
  <c r="C963" i="10" s="1"/>
  <c r="E654" i="10" a="1"/>
  <c r="E654" i="10" s="1"/>
  <c r="C654" i="10" s="1"/>
  <c r="E1187" i="10" a="1"/>
  <c r="E1187" i="10" s="1"/>
  <c r="C1187" i="10" s="1"/>
  <c r="E1788" i="10" a="1"/>
  <c r="E1788" i="10" s="1"/>
  <c r="C1788" i="10" s="1"/>
  <c r="E1580" i="10" a="1"/>
  <c r="E1580" i="10" s="1"/>
  <c r="C1580" i="10" s="1"/>
  <c r="E2286" i="10" a="1"/>
  <c r="E2286" i="10" s="1"/>
  <c r="C2286" i="10" s="1"/>
  <c r="E1834" i="10" a="1"/>
  <c r="E1834" i="10" s="1"/>
  <c r="C1834" i="10" s="1"/>
  <c r="E1147" i="10" a="1"/>
  <c r="E1147" i="10" s="1"/>
  <c r="C1147" i="10" s="1"/>
  <c r="E3163" i="10" a="1"/>
  <c r="E3163" i="10" s="1"/>
  <c r="C3163" i="10" s="1"/>
  <c r="E2469" i="10" a="1"/>
  <c r="E2469" i="10" s="1"/>
  <c r="C2469" i="10" s="1"/>
  <c r="E1485" i="10" a="1"/>
  <c r="E1485" i="10" s="1"/>
  <c r="C1485" i="10" s="1"/>
  <c r="E3057" i="10" a="1"/>
  <c r="E3057" i="10" s="1"/>
  <c r="C3057" i="10" s="1"/>
  <c r="E2563" i="10" a="1"/>
  <c r="E2563" i="10" s="1"/>
  <c r="C2563" i="10" s="1"/>
  <c r="E3185" i="10" a="1"/>
  <c r="E3185" i="10" s="1"/>
  <c r="C3185" i="10" s="1"/>
  <c r="E3140" i="10" a="1"/>
  <c r="E3140" i="10" s="1"/>
  <c r="C3140" i="10" s="1"/>
  <c r="E2943" i="10" a="1"/>
  <c r="E2943" i="10" s="1"/>
  <c r="C2943" i="10" s="1"/>
  <c r="E2950" i="10" a="1"/>
  <c r="E2950" i="10" s="1"/>
  <c r="C2950" i="10" s="1"/>
  <c r="E3294" i="10" a="1"/>
  <c r="E3294" i="10" s="1"/>
  <c r="C3294" i="10" s="1"/>
  <c r="E2792" i="10" a="1"/>
  <c r="E2792" i="10" s="1"/>
  <c r="C2792" i="10" s="1"/>
  <c r="E2810" i="10" a="1"/>
  <c r="E2810" i="10" s="1"/>
  <c r="C2810" i="10" s="1"/>
  <c r="E2550" i="10" a="1"/>
  <c r="E2550" i="10" s="1"/>
  <c r="C2550" i="10" s="1"/>
  <c r="E2695" i="10" a="1"/>
  <c r="E2695" i="10" s="1"/>
  <c r="C2695" i="10" s="1"/>
  <c r="E1433" i="10" a="1"/>
  <c r="E1433" i="10" s="1"/>
  <c r="C1433" i="10" s="1"/>
  <c r="E2918" i="10" a="1"/>
  <c r="E2918" i="10" s="1"/>
  <c r="C2918" i="10" s="1"/>
  <c r="E2911" i="10" a="1"/>
  <c r="E2911" i="10" s="1"/>
  <c r="C2911" i="10" s="1"/>
  <c r="E2513" i="10" a="1"/>
  <c r="E2513" i="10" s="1"/>
  <c r="C2513" i="10" s="1"/>
  <c r="E3287" i="10" a="1"/>
  <c r="E3287" i="10" s="1"/>
  <c r="C3287" i="10" s="1"/>
  <c r="E2068" i="10" a="1"/>
  <c r="E2068" i="10" s="1"/>
  <c r="C2068" i="10" s="1"/>
  <c r="E1448" i="10" a="1"/>
  <c r="E1448" i="10" s="1"/>
  <c r="C1448" i="10" s="1"/>
  <c r="E2867" i="10" a="1"/>
  <c r="E2867" i="10" s="1"/>
  <c r="C2867" i="10" s="1"/>
  <c r="E2765" i="10" a="1"/>
  <c r="E2765" i="10" s="1"/>
  <c r="C2765" i="10" s="1"/>
  <c r="E2503" i="10" a="1"/>
  <c r="E2503" i="10" s="1"/>
  <c r="C2503" i="10" s="1"/>
  <c r="E1123" i="10" a="1"/>
  <c r="E1123" i="10" s="1"/>
  <c r="C1123" i="10" s="1"/>
  <c r="E2182" i="10" a="1"/>
  <c r="E2182" i="10" s="1"/>
  <c r="C2182" i="10" s="1"/>
  <c r="E3199" i="10" a="1"/>
  <c r="E3199" i="10" s="1"/>
  <c r="C3199" i="10" s="1"/>
  <c r="E3342" i="10" a="1"/>
  <c r="E3342" i="10" s="1"/>
  <c r="C3342" i="10" s="1"/>
  <c r="E1959" i="10" a="1"/>
  <c r="E1959" i="10" s="1"/>
  <c r="C1959" i="10" s="1"/>
  <c r="E2520" i="10" a="1"/>
  <c r="E2520" i="10" s="1"/>
  <c r="C2520" i="10" s="1"/>
  <c r="E1127" i="10" a="1"/>
  <c r="E1127" i="10" s="1"/>
  <c r="C1127" i="10" s="1"/>
  <c r="E3351" i="10" a="1"/>
  <c r="E3351" i="10" s="1"/>
  <c r="C3351" i="10" s="1"/>
  <c r="E3165" i="10" a="1"/>
  <c r="E3165" i="10" s="1"/>
  <c r="C3165" i="10" s="1"/>
  <c r="E1957" i="10" a="1"/>
  <c r="E1957" i="10" s="1"/>
  <c r="C1957" i="10" s="1"/>
  <c r="E2664" i="10" a="1"/>
  <c r="E2664" i="10" s="1"/>
  <c r="C2664" i="10" s="1"/>
  <c r="E3087" i="10" a="1"/>
  <c r="E3087" i="10" s="1"/>
  <c r="C3087" i="10" s="1"/>
  <c r="E2062" i="10" a="1"/>
  <c r="E2062" i="10" s="1"/>
  <c r="C2062" i="10" s="1"/>
  <c r="E374" i="10" a="1"/>
  <c r="E374" i="10" s="1"/>
  <c r="C374" i="10" s="1"/>
  <c r="E2614" i="10" a="1"/>
  <c r="E2614" i="10" s="1"/>
  <c r="C2614" i="10" s="1"/>
  <c r="E1435" i="10" a="1"/>
  <c r="E1435" i="10" s="1"/>
  <c r="C1435" i="10" s="1"/>
  <c r="E2958" i="10" a="1"/>
  <c r="E2958" i="10" s="1"/>
  <c r="C2958" i="10" s="1"/>
  <c r="E293" i="10" a="1"/>
  <c r="E293" i="10" s="1"/>
  <c r="C293" i="10" s="1"/>
  <c r="E1117" i="10" a="1"/>
  <c r="E1117" i="10" s="1"/>
  <c r="C1117" i="10" s="1"/>
  <c r="E2962" i="10" a="1"/>
  <c r="E2962" i="10" s="1"/>
  <c r="C2962" i="10" s="1"/>
  <c r="E1228" i="10" a="1"/>
  <c r="E1228" i="10" s="1"/>
  <c r="C1228" i="10" s="1"/>
  <c r="E2532" i="10" a="1"/>
  <c r="E2532" i="10" s="1"/>
  <c r="C2532" i="10" s="1"/>
  <c r="E167" i="10" a="1"/>
  <c r="E167" i="10" s="1"/>
  <c r="C167" i="10" s="1"/>
  <c r="E152" i="10" a="1"/>
  <c r="E152" i="10" s="1"/>
  <c r="C152" i="10" s="1"/>
  <c r="E2158" i="10" a="1"/>
  <c r="E2158" i="10" s="1"/>
  <c r="C2158" i="10" s="1"/>
  <c r="E1328" i="10" a="1"/>
  <c r="E1328" i="10" s="1"/>
  <c r="C1328" i="10" s="1"/>
  <c r="E2756" i="10" a="1"/>
  <c r="E2756" i="10" s="1"/>
  <c r="C2756" i="10" s="1"/>
  <c r="E200" i="10" a="1"/>
  <c r="E200" i="10" s="1"/>
  <c r="C200" i="10" s="1"/>
  <c r="E2275" i="10" a="1"/>
  <c r="E2275" i="10" s="1"/>
  <c r="C2275" i="10" s="1"/>
  <c r="E1790" i="10" a="1"/>
  <c r="E1790" i="10" s="1"/>
  <c r="C1790" i="10" s="1"/>
  <c r="E967" i="10" a="1"/>
  <c r="E967" i="10" s="1"/>
  <c r="C967" i="10" s="1"/>
  <c r="E1114" i="10" a="1"/>
  <c r="E1114" i="10" s="1"/>
  <c r="C1114" i="10" s="1"/>
  <c r="E1505" i="10" a="1"/>
  <c r="E1505" i="10" s="1"/>
  <c r="C1505" i="10" s="1"/>
  <c r="E1060" i="10" a="1"/>
  <c r="E1060" i="10" s="1"/>
  <c r="C1060" i="10" s="1"/>
  <c r="E2912" i="10" a="1"/>
  <c r="E2912" i="10" s="1"/>
  <c r="C2912" i="10" s="1"/>
  <c r="E626" i="10" a="1"/>
  <c r="E626" i="10" s="1"/>
  <c r="C626" i="10" s="1"/>
  <c r="E2133" i="10" a="1"/>
  <c r="E2133" i="10" s="1"/>
  <c r="C2133" i="10" s="1"/>
  <c r="E856" i="10" a="1"/>
  <c r="E856" i="10" s="1"/>
  <c r="C856" i="10" s="1"/>
  <c r="E1429" i="10" a="1"/>
  <c r="E1429" i="10" s="1"/>
  <c r="C1429" i="10" s="1"/>
  <c r="E2762" i="10" a="1"/>
  <c r="E2762" i="10" s="1"/>
  <c r="C2762" i="10" s="1"/>
  <c r="E1078" i="10" a="1"/>
  <c r="E1078" i="10" s="1"/>
  <c r="C1078" i="10" s="1"/>
  <c r="E1789" i="10" a="1"/>
  <c r="E1789" i="10" s="1"/>
  <c r="C1789" i="10" s="1"/>
  <c r="E109" i="10" a="1"/>
  <c r="E109" i="10" s="1"/>
  <c r="C109" i="10" s="1"/>
  <c r="E522" i="10" a="1"/>
  <c r="E522" i="10" s="1"/>
  <c r="C522" i="10" s="1"/>
  <c r="E1015" i="10" a="1"/>
  <c r="E1015" i="10" s="1"/>
  <c r="C1015" i="10" s="1"/>
  <c r="E2095" i="10" a="1"/>
  <c r="E2095" i="10" s="1"/>
  <c r="C2095" i="10" s="1"/>
  <c r="E2348" i="10" a="1"/>
  <c r="E2348" i="10" s="1"/>
  <c r="C2348" i="10" s="1"/>
  <c r="E1292" i="10" a="1"/>
  <c r="E1292" i="10" s="1"/>
  <c r="C1292" i="10" s="1"/>
  <c r="E719" i="10" a="1"/>
  <c r="E719" i="10" s="1"/>
  <c r="C719" i="10" s="1"/>
  <c r="E1880" i="10" a="1"/>
  <c r="E1880" i="10" s="1"/>
  <c r="C1880" i="10" s="1"/>
  <c r="E1269" i="10" a="1"/>
  <c r="E1269" i="10" s="1"/>
  <c r="C1269" i="10" s="1"/>
  <c r="E1298" i="10" a="1"/>
  <c r="E1298" i="10" s="1"/>
  <c r="C1298" i="10" s="1"/>
  <c r="E771" i="10" a="1"/>
  <c r="E771" i="10" s="1"/>
  <c r="C771" i="10" s="1"/>
  <c r="E124" i="10" a="1"/>
  <c r="E124" i="10" s="1"/>
  <c r="C124" i="10" s="1"/>
  <c r="E405" i="10" a="1"/>
  <c r="E405" i="10" s="1"/>
  <c r="C405" i="10" s="1"/>
  <c r="E1311" i="10" a="1"/>
  <c r="E1311" i="10" s="1"/>
  <c r="C1311" i="10" s="1"/>
  <c r="E1443" i="10" a="1"/>
  <c r="E1443" i="10" s="1"/>
  <c r="C1443" i="10" s="1"/>
  <c r="E378" i="10" a="1"/>
  <c r="E378" i="10" s="1"/>
  <c r="C378" i="10" s="1"/>
  <c r="E428" i="10" a="1"/>
  <c r="E428" i="10" s="1"/>
  <c r="C428" i="10" s="1"/>
  <c r="E254" i="10" a="1"/>
  <c r="E254" i="10" s="1"/>
  <c r="C254" i="10" s="1"/>
  <c r="E624" i="10" a="1"/>
  <c r="E624" i="10" s="1"/>
  <c r="C624" i="10" s="1"/>
  <c r="E1312" i="10" a="1"/>
  <c r="E1312" i="10" s="1"/>
  <c r="C1312" i="10" s="1"/>
  <c r="E3034" i="10" a="1"/>
  <c r="E3034" i="10" s="1"/>
  <c r="C3034" i="10" s="1"/>
  <c r="E1009" i="10" a="1"/>
  <c r="E1009" i="10" s="1"/>
  <c r="C1009" i="10" s="1"/>
  <c r="E1867" i="10" a="1"/>
  <c r="E1867" i="10" s="1"/>
  <c r="C1867" i="10" s="1"/>
  <c r="E1894" i="10" a="1"/>
  <c r="E1894" i="10" s="1"/>
  <c r="C1894" i="10" s="1"/>
  <c r="E2539" i="10" a="1"/>
  <c r="E2539" i="10" s="1"/>
  <c r="C2539" i="10" s="1"/>
  <c r="E1886" i="10" a="1"/>
  <c r="E1886" i="10" s="1"/>
  <c r="C1886" i="10" s="1"/>
  <c r="E3136" i="10" a="1"/>
  <c r="E3136" i="10" s="1"/>
  <c r="C3136" i="10" s="1"/>
  <c r="E3098" i="10" a="1"/>
  <c r="E3098" i="10" s="1"/>
  <c r="C3098" i="10" s="1"/>
  <c r="E3357" i="10" a="1"/>
  <c r="E3357" i="10" s="1"/>
  <c r="C3357" i="10" s="1"/>
  <c r="E2885" i="10" a="1"/>
  <c r="E2885" i="10" s="1"/>
  <c r="C2885" i="10" s="1"/>
  <c r="E1701" i="10" a="1"/>
  <c r="E1701" i="10" s="1"/>
  <c r="C1701" i="10" s="1"/>
  <c r="E3080" i="10" a="1"/>
  <c r="E3080" i="10" s="1"/>
  <c r="C3080" i="10" s="1"/>
  <c r="E494" i="10" a="1"/>
  <c r="E494" i="10" s="1"/>
  <c r="C494" i="10" s="1"/>
  <c r="E846" i="10" a="1"/>
  <c r="E846" i="10" s="1"/>
  <c r="C846" i="10" s="1"/>
  <c r="E943" i="10" a="1"/>
  <c r="E943" i="10" s="1"/>
  <c r="C943" i="10" s="1"/>
  <c r="E1618" i="10" a="1"/>
  <c r="E1618" i="10" s="1"/>
  <c r="C1618" i="10" s="1"/>
  <c r="E447" i="10" a="1"/>
  <c r="E447" i="10" s="1"/>
  <c r="C447" i="10" s="1"/>
  <c r="E576" i="10" a="1"/>
  <c r="E576" i="10" s="1"/>
  <c r="C576" i="10" s="1"/>
  <c r="E793" i="10" a="1"/>
  <c r="E793" i="10" s="1"/>
  <c r="C793" i="10" s="1"/>
  <c r="E464" i="10" a="1"/>
  <c r="E464" i="10" s="1"/>
  <c r="C464" i="10" s="1"/>
  <c r="E113" i="10" a="1"/>
  <c r="E113" i="10" s="1"/>
  <c r="C113" i="10" s="1"/>
  <c r="E2269" i="10" a="1"/>
  <c r="E2269" i="10" s="1"/>
  <c r="C2269" i="10" s="1"/>
  <c r="E1809" i="10" a="1"/>
  <c r="E1809" i="10" s="1"/>
  <c r="C1809" i="10" s="1"/>
  <c r="E3279" i="10" a="1"/>
  <c r="E3279" i="10" s="1"/>
  <c r="C3279" i="10" s="1"/>
  <c r="E1607" i="10" a="1"/>
  <c r="E1607" i="10" s="1"/>
  <c r="C1607" i="10" s="1"/>
  <c r="E2327" i="10" a="1"/>
  <c r="E2327" i="10" s="1"/>
  <c r="C2327" i="10" s="1"/>
  <c r="E2743" i="10" a="1"/>
  <c r="E2743" i="10" s="1"/>
  <c r="C2743" i="10" s="1"/>
  <c r="E2239" i="10" a="1"/>
  <c r="E2239" i="10" s="1"/>
  <c r="C2239" i="10" s="1"/>
  <c r="E3353" i="10" a="1"/>
  <c r="E3353" i="10" s="1"/>
  <c r="C3353" i="10" s="1"/>
  <c r="E2739" i="10" a="1"/>
  <c r="E2739" i="10" s="1"/>
  <c r="C2739" i="10" s="1"/>
  <c r="E2813" i="10" a="1"/>
  <c r="E2813" i="10" s="1"/>
  <c r="C2813" i="10" s="1"/>
  <c r="E2879" i="10" a="1"/>
  <c r="E2879" i="10" s="1"/>
  <c r="C2879" i="10" s="1"/>
  <c r="E54" i="10" a="1"/>
  <c r="E54" i="10" s="1"/>
  <c r="C54" i="10" s="1"/>
  <c r="E178" i="10" a="1"/>
  <c r="E178" i="10" s="1"/>
  <c r="C178" i="10" s="1"/>
  <c r="E634" i="10" a="1"/>
  <c r="E634" i="10" s="1"/>
  <c r="C634" i="10" s="1"/>
  <c r="E1222" i="10" a="1"/>
  <c r="E1222" i="10" s="1"/>
  <c r="C1222" i="10" s="1"/>
  <c r="E1308" i="10" a="1"/>
  <c r="E1308" i="10" s="1"/>
  <c r="C1308" i="10" s="1"/>
  <c r="E451" i="10" a="1"/>
  <c r="E451" i="10" s="1"/>
  <c r="C451" i="10" s="1"/>
  <c r="E519" i="10" a="1"/>
  <c r="E519" i="10" s="1"/>
  <c r="C519" i="10" s="1"/>
  <c r="E163" i="10" a="1"/>
  <c r="E163" i="10" s="1"/>
  <c r="C163" i="10" s="1"/>
  <c r="E1442" i="10" a="1"/>
  <c r="E1442" i="10" s="1"/>
  <c r="C1442" i="10" s="1"/>
  <c r="E1563" i="10" a="1"/>
  <c r="E1563" i="10" s="1"/>
  <c r="C1563" i="10" s="1"/>
  <c r="E2997" i="10" a="1"/>
  <c r="E2997" i="10" s="1"/>
  <c r="C2997" i="10" s="1"/>
  <c r="E2312" i="10" a="1"/>
  <c r="E2312" i="10" s="1"/>
  <c r="C2312" i="10" s="1"/>
  <c r="E962" i="10" a="1"/>
  <c r="E962" i="10" s="1"/>
  <c r="C962" i="10" s="1"/>
  <c r="E461" i="10" a="1"/>
  <c r="E461" i="10" s="1"/>
  <c r="C461" i="10" s="1"/>
  <c r="E177" i="10" a="1"/>
  <c r="E177" i="10" s="1"/>
  <c r="C177" i="10" s="1"/>
  <c r="E1495" i="10" a="1"/>
  <c r="E1495" i="10" s="1"/>
  <c r="C1495" i="10" s="1"/>
  <c r="E3169" i="10" a="1"/>
  <c r="E3169" i="10" s="1"/>
  <c r="C3169" i="10" s="1"/>
  <c r="E2035" i="10" a="1"/>
  <c r="E2035" i="10" s="1"/>
  <c r="C2035" i="10" s="1"/>
  <c r="E1500" i="10" a="1"/>
  <c r="E1500" i="10" s="1"/>
  <c r="C1500" i="10" s="1"/>
  <c r="E2788" i="10" a="1"/>
  <c r="E2788" i="10" s="1"/>
  <c r="C2788" i="10" s="1"/>
  <c r="E3184" i="10" a="1"/>
  <c r="E3184" i="10" s="1"/>
  <c r="C3184" i="10" s="1"/>
  <c r="E3166" i="10" a="1"/>
  <c r="E3166" i="10" s="1"/>
  <c r="C3166" i="10" s="1"/>
  <c r="E2512" i="10" a="1"/>
  <c r="E2512" i="10" s="1"/>
  <c r="C2512" i="10" s="1"/>
  <c r="E2468" i="10" a="1"/>
  <c r="E2468" i="10" s="1"/>
  <c r="C2468" i="10" s="1"/>
  <c r="E3264" i="10" a="1"/>
  <c r="E3264" i="10" s="1"/>
  <c r="C3264" i="10" s="1"/>
  <c r="E38" i="10" a="1"/>
  <c r="E38" i="10" s="1"/>
  <c r="C38" i="10" s="1"/>
  <c r="E1171" i="10" a="1"/>
  <c r="E1171" i="10" s="1"/>
  <c r="C1171" i="10" s="1"/>
  <c r="E1102" i="10" a="1"/>
  <c r="E1102" i="10" s="1"/>
  <c r="C1102" i="10" s="1"/>
  <c r="E638" i="10" a="1"/>
  <c r="E638" i="10" s="1"/>
  <c r="C638" i="10" s="1"/>
  <c r="E756" i="10" a="1"/>
  <c r="E756" i="10" s="1"/>
  <c r="C756" i="10" s="1"/>
  <c r="E1569" i="10" a="1"/>
  <c r="E1569" i="10" s="1"/>
  <c r="C1569" i="10" s="1"/>
  <c r="E1813" i="10" a="1"/>
  <c r="E1813" i="10" s="1"/>
  <c r="C1813" i="10" s="1"/>
  <c r="E276" i="10" a="1"/>
  <c r="E276" i="10" s="1"/>
  <c r="C276" i="10" s="1"/>
  <c r="E2364" i="10" a="1"/>
  <c r="E2364" i="10" s="1"/>
  <c r="C2364" i="10" s="1"/>
  <c r="E1061" i="10" a="1"/>
  <c r="E1061" i="10" s="1"/>
  <c r="C1061" i="10" s="1"/>
  <c r="E3103" i="10" a="1"/>
  <c r="E3103" i="10" s="1"/>
  <c r="C3103" i="10" s="1"/>
  <c r="E2092" i="10" a="1"/>
  <c r="E2092" i="10" s="1"/>
  <c r="C2092" i="10" s="1"/>
  <c r="E567" i="10" a="1"/>
  <c r="E567" i="10" s="1"/>
  <c r="C567" i="10" s="1"/>
  <c r="E1362" i="10" a="1"/>
  <c r="E1362" i="10" s="1"/>
  <c r="C1362" i="10" s="1"/>
  <c r="E1774" i="10" a="1"/>
  <c r="E1774" i="10" s="1"/>
  <c r="C1774" i="10" s="1"/>
  <c r="E3365" i="10" a="1"/>
  <c r="E3365" i="10" s="1"/>
  <c r="C3365" i="10" s="1"/>
  <c r="E3254" i="10" a="1"/>
  <c r="E3254" i="10" s="1"/>
  <c r="C3254" i="10" s="1"/>
  <c r="E3027" i="10" a="1"/>
  <c r="E3027" i="10" s="1"/>
  <c r="C3027" i="10" s="1"/>
  <c r="E2987" i="10" a="1"/>
  <c r="E2987" i="10" s="1"/>
  <c r="C2987" i="10" s="1"/>
  <c r="E1829" i="10" a="1"/>
  <c r="E1829" i="10" s="1"/>
  <c r="C1829" i="10" s="1"/>
  <c r="E166" i="10" a="1"/>
  <c r="E166" i="10" s="1"/>
  <c r="C166" i="10" s="1"/>
  <c r="E336" i="10" a="1"/>
  <c r="E336" i="10" s="1"/>
  <c r="C336" i="10" s="1"/>
  <c r="E195" i="10" a="1"/>
  <c r="E195" i="10" s="1"/>
  <c r="C195" i="10" s="1"/>
  <c r="E808" i="10" a="1"/>
  <c r="E808" i="10" s="1"/>
  <c r="C808" i="10" s="1"/>
  <c r="E359" i="10" a="1"/>
  <c r="E359" i="10" s="1"/>
  <c r="C359" i="10" s="1"/>
  <c r="E128" i="10" a="1"/>
  <c r="E128" i="10" s="1"/>
  <c r="C128" i="10" s="1"/>
  <c r="E419" i="10" a="1"/>
  <c r="E419" i="10" s="1"/>
  <c r="C419" i="10" s="1"/>
  <c r="E143" i="10" a="1"/>
  <c r="E143" i="10" s="1"/>
  <c r="C143" i="10" s="1"/>
  <c r="E1288" i="10" a="1"/>
  <c r="E1288" i="10" s="1"/>
  <c r="C1288" i="10" s="1"/>
  <c r="E412" i="10" a="1"/>
  <c r="E412" i="10" s="1"/>
  <c r="C412" i="10" s="1"/>
  <c r="E1615" i="10" a="1"/>
  <c r="E1615" i="10" s="1"/>
  <c r="C1615" i="10" s="1"/>
  <c r="E1896" i="10" a="1"/>
  <c r="E1896" i="10" s="1"/>
  <c r="C1896" i="10" s="1"/>
  <c r="E812" i="10" a="1"/>
  <c r="E812" i="10" s="1"/>
  <c r="C812" i="10" s="1"/>
  <c r="E2922" i="10" a="1"/>
  <c r="E2922" i="10" s="1"/>
  <c r="C2922" i="10" s="1"/>
  <c r="E1804" i="10" a="1"/>
  <c r="E1804" i="10" s="1"/>
  <c r="C1804" i="10" s="1"/>
  <c r="E1690" i="10" a="1"/>
  <c r="E1690" i="10" s="1"/>
  <c r="C1690" i="10" s="1"/>
  <c r="E667" i="10" a="1"/>
  <c r="E667" i="10" s="1"/>
  <c r="C667" i="10" s="1"/>
  <c r="E1221" i="10" a="1"/>
  <c r="E1221" i="10" s="1"/>
  <c r="C1221" i="10" s="1"/>
  <c r="E704" i="10" a="1"/>
  <c r="E704" i="10" s="1"/>
  <c r="C704" i="10" s="1"/>
  <c r="E1129" i="10" a="1"/>
  <c r="E1129" i="10" s="1"/>
  <c r="C1129" i="10" s="1"/>
  <c r="E1609" i="10" a="1"/>
  <c r="E1609" i="10" s="1"/>
  <c r="C1609" i="10" s="1"/>
  <c r="E2060" i="10" a="1"/>
  <c r="E2060" i="10" s="1"/>
  <c r="C2060" i="10" s="1"/>
  <c r="E1079" i="10" a="1"/>
  <c r="E1079" i="10" s="1"/>
  <c r="C1079" i="10" s="1"/>
  <c r="E427" i="10" a="1"/>
  <c r="E427" i="10" s="1"/>
  <c r="C427" i="10" s="1"/>
  <c r="E1802" i="10" a="1"/>
  <c r="E1802" i="10" s="1"/>
  <c r="C1802" i="10" s="1"/>
  <c r="E1158" i="10" a="1"/>
  <c r="E1158" i="10" s="1"/>
  <c r="C1158" i="10" s="1"/>
  <c r="E1070" i="10" a="1"/>
  <c r="E1070" i="10" s="1"/>
  <c r="C1070" i="10" s="1"/>
  <c r="E1240" i="10" a="1"/>
  <c r="E1240" i="10" s="1"/>
  <c r="C1240" i="10" s="1"/>
  <c r="E2353" i="10" a="1"/>
  <c r="E2353" i="10" s="1"/>
  <c r="C2353" i="10" s="1"/>
  <c r="E1551" i="10" a="1"/>
  <c r="E1551" i="10" s="1"/>
  <c r="C1551" i="10" s="1"/>
  <c r="E1018" i="10" a="1"/>
  <c r="E1018" i="10" s="1"/>
  <c r="C1018" i="10" s="1"/>
  <c r="E939" i="10" a="1"/>
  <c r="E939" i="10" s="1"/>
  <c r="C939" i="10" s="1"/>
  <c r="E3341" i="10" a="1"/>
  <c r="E3341" i="10" s="1"/>
  <c r="C3341" i="10" s="1"/>
  <c r="E2876" i="10" a="1"/>
  <c r="E2876" i="10" s="1"/>
  <c r="C2876" i="10" s="1"/>
  <c r="E2357" i="10" a="1"/>
  <c r="E2357" i="10" s="1"/>
  <c r="C2357" i="10" s="1"/>
  <c r="E2951" i="10" a="1"/>
  <c r="E2951" i="10" s="1"/>
  <c r="C2951" i="10" s="1"/>
  <c r="E3269" i="10" a="1"/>
  <c r="E3269" i="10" s="1"/>
  <c r="C3269" i="10" s="1"/>
  <c r="E368" i="10" a="1"/>
  <c r="E368" i="10" s="1"/>
  <c r="C368" i="10" s="1"/>
  <c r="E1262" i="10" a="1"/>
  <c r="E1262" i="10" s="1"/>
  <c r="C1262" i="10" s="1"/>
  <c r="E718" i="10" a="1"/>
  <c r="E718" i="10" s="1"/>
  <c r="C718" i="10" s="1"/>
  <c r="E796" i="10" a="1"/>
  <c r="E796" i="10" s="1"/>
  <c r="C796" i="10" s="1"/>
  <c r="E386" i="10" a="1"/>
  <c r="E386" i="10" s="1"/>
  <c r="C386" i="10" s="1"/>
  <c r="E1877" i="10" a="1"/>
  <c r="E1877" i="10" s="1"/>
  <c r="C1877" i="10" s="1"/>
  <c r="E1606" i="10" a="1"/>
  <c r="E1606" i="10" s="1"/>
  <c r="C1606" i="10" s="1"/>
  <c r="E127" i="10" a="1"/>
  <c r="E127" i="10" s="1"/>
  <c r="C127" i="10" s="1"/>
  <c r="E66" i="10" a="1"/>
  <c r="E66" i="10" s="1"/>
  <c r="C66" i="10" s="1"/>
  <c r="E45" i="10" a="1"/>
  <c r="E45" i="10" s="1"/>
  <c r="C45" i="10" s="1"/>
  <c r="E1634" i="10" a="1"/>
  <c r="E1634" i="10" s="1"/>
  <c r="C1634" i="10" s="1"/>
  <c r="E1555" i="10" a="1"/>
  <c r="E1555" i="10" s="1"/>
  <c r="C1555" i="10" s="1"/>
  <c r="E1105" i="10" a="1"/>
  <c r="E1105" i="10" s="1"/>
  <c r="C1105" i="10" s="1"/>
  <c r="E864" i="10" a="1"/>
  <c r="E864" i="10" s="1"/>
  <c r="C864" i="10" s="1"/>
  <c r="E2069" i="10" a="1"/>
  <c r="E2069" i="10" s="1"/>
  <c r="C2069" i="10" s="1"/>
  <c r="E1458" i="10" a="1"/>
  <c r="E1458" i="10" s="1"/>
  <c r="C1458" i="10" s="1"/>
  <c r="E3135" i="10" a="1"/>
  <c r="E3135" i="10" s="1"/>
  <c r="C3135" i="10" s="1"/>
  <c r="E3190" i="10" a="1"/>
  <c r="E3190" i="10" s="1"/>
  <c r="C3190" i="10" s="1"/>
  <c r="E3119" i="10" a="1"/>
  <c r="E3119" i="10" s="1"/>
  <c r="C3119" i="10" s="1"/>
  <c r="E783" i="10" a="1"/>
  <c r="E783" i="10" s="1"/>
  <c r="C783" i="10" s="1"/>
  <c r="E982" i="10" a="1"/>
  <c r="E982" i="10" s="1"/>
  <c r="C982" i="10" s="1"/>
  <c r="E217" i="10" a="1"/>
  <c r="E217" i="10" s="1"/>
  <c r="C217" i="10" s="1"/>
  <c r="E489" i="10" a="1"/>
  <c r="E489" i="10" s="1"/>
  <c r="C489" i="10" s="1"/>
  <c r="E1258" i="10" a="1"/>
  <c r="E1258" i="10" s="1"/>
  <c r="C1258" i="10" s="1"/>
  <c r="E230" i="10" a="1"/>
  <c r="E230" i="10" s="1"/>
  <c r="C230" i="10" s="1"/>
  <c r="E1334" i="10" a="1"/>
  <c r="E1334" i="10" s="1"/>
  <c r="C1334" i="10" s="1"/>
  <c r="E854" i="10" a="1"/>
  <c r="E854" i="10" s="1"/>
  <c r="C854" i="10" s="1"/>
  <c r="E1390" i="10" a="1"/>
  <c r="E1390" i="10" s="1"/>
  <c r="C1390" i="10" s="1"/>
  <c r="E2145" i="10" a="1"/>
  <c r="E2145" i="10" s="1"/>
  <c r="C2145" i="10" s="1"/>
  <c r="E2844" i="10" a="1"/>
  <c r="E2844" i="10" s="1"/>
  <c r="C2844" i="10" s="1"/>
  <c r="E1778" i="10" a="1"/>
  <c r="E1778" i="10" s="1"/>
  <c r="C1778" i="10" s="1"/>
  <c r="E2180" i="10" a="1"/>
  <c r="E2180" i="10" s="1"/>
  <c r="C2180" i="10" s="1"/>
  <c r="E1650" i="10" a="1"/>
  <c r="E1650" i="10" s="1"/>
  <c r="C1650" i="10" s="1"/>
  <c r="E3047" i="10" a="1"/>
  <c r="E3047" i="10" s="1"/>
  <c r="C3047" i="10" s="1"/>
  <c r="E1917" i="10" a="1"/>
  <c r="E1917" i="10" s="1"/>
  <c r="C1917" i="10" s="1"/>
  <c r="E2752" i="10" a="1"/>
  <c r="E2752" i="10" s="1"/>
  <c r="C2752" i="10" s="1"/>
  <c r="E2230" i="10" a="1"/>
  <c r="E2230" i="10" s="1"/>
  <c r="C2230" i="10" s="1"/>
  <c r="E2700" i="10" a="1"/>
  <c r="E2700" i="10" s="1"/>
  <c r="C2700" i="10" s="1"/>
  <c r="E1571" i="10" a="1"/>
  <c r="E1571" i="10" s="1"/>
  <c r="C1571" i="10" s="1"/>
  <c r="E2689" i="10" a="1"/>
  <c r="E2689" i="10" s="1"/>
  <c r="C2689" i="10" s="1"/>
  <c r="E317" i="10" a="1"/>
  <c r="E317" i="10" s="1"/>
  <c r="C317" i="10" s="1"/>
  <c r="E282" i="10" a="1"/>
  <c r="E282" i="10" s="1"/>
  <c r="C282" i="10" s="1"/>
  <c r="E322" i="10" a="1"/>
  <c r="E322" i="10" s="1"/>
  <c r="C322" i="10" s="1"/>
  <c r="E476" i="10" a="1"/>
  <c r="E476" i="10" s="1"/>
  <c r="C476" i="10" s="1"/>
  <c r="E848" i="10" a="1"/>
  <c r="E848" i="10" s="1"/>
  <c r="C848" i="10" s="1"/>
  <c r="E1384" i="10" a="1"/>
  <c r="E1384" i="10" s="1"/>
  <c r="C1384" i="10" s="1"/>
  <c r="E832" i="10" a="1"/>
  <c r="E832" i="10" s="1"/>
  <c r="C832" i="10" s="1"/>
  <c r="E1401" i="10" a="1"/>
  <c r="E1401" i="10" s="1"/>
  <c r="C1401" i="10" s="1"/>
  <c r="E572" i="10" a="1"/>
  <c r="E572" i="10" s="1"/>
  <c r="C572" i="10" s="1"/>
  <c r="E2254" i="10" a="1"/>
  <c r="E2254" i="10" s="1"/>
  <c r="C2254" i="10" s="1"/>
  <c r="E3142" i="10" a="1"/>
  <c r="E3142" i="10" s="1"/>
  <c r="C3142" i="10" s="1"/>
  <c r="E2365" i="10" a="1"/>
  <c r="E2365" i="10" s="1"/>
  <c r="C2365" i="10" s="1"/>
  <c r="E2800" i="10" a="1"/>
  <c r="E2800" i="10" s="1"/>
  <c r="C2800" i="10" s="1"/>
  <c r="E2243" i="10" a="1"/>
  <c r="E2243" i="10" s="1"/>
  <c r="C2243" i="10" s="1"/>
  <c r="E1641" i="10" a="1"/>
  <c r="E1641" i="10" s="1"/>
  <c r="C1641" i="10" s="1"/>
  <c r="E1527" i="10" a="1"/>
  <c r="E1527" i="10" s="1"/>
  <c r="C1527" i="10" s="1"/>
  <c r="E1642" i="10" a="1"/>
  <c r="E1642" i="10" s="1"/>
  <c r="C1642" i="10" s="1"/>
  <c r="E1924" i="10" a="1"/>
  <c r="E1924" i="10" s="1"/>
  <c r="C1924" i="10" s="1"/>
  <c r="E2763" i="10" a="1"/>
  <c r="E2763" i="10" s="1"/>
  <c r="C2763" i="10" s="1"/>
  <c r="E2644" i="10" a="1"/>
  <c r="E2644" i="10" s="1"/>
  <c r="C2644" i="10" s="1"/>
  <c r="E2425" i="10" a="1"/>
  <c r="E2425" i="10" s="1"/>
  <c r="C2425" i="10" s="1"/>
  <c r="E541" i="10" a="1"/>
  <c r="E541" i="10" s="1"/>
  <c r="C541" i="10" s="1"/>
  <c r="E291" i="10" a="1"/>
  <c r="E291" i="10" s="1"/>
  <c r="C291" i="10" s="1"/>
  <c r="E210" i="10" a="1"/>
  <c r="E210" i="10" s="1"/>
  <c r="C210" i="10" s="1"/>
  <c r="E776" i="10" a="1"/>
  <c r="E776" i="10" s="1"/>
  <c r="C776" i="10" s="1"/>
  <c r="E1012" i="10" a="1"/>
  <c r="E1012" i="10" s="1"/>
  <c r="C1012" i="10" s="1"/>
  <c r="E488" i="10" a="1"/>
  <c r="E488" i="10" s="1"/>
  <c r="C488" i="10" s="1"/>
  <c r="E1033" i="10" a="1"/>
  <c r="E1033" i="10" s="1"/>
  <c r="C1033" i="10" s="1"/>
  <c r="E56" i="10" a="1"/>
  <c r="E56" i="10" s="1"/>
  <c r="C56" i="10" s="1"/>
  <c r="E1616" i="10" a="1"/>
  <c r="E1616" i="10" s="1"/>
  <c r="C1616" i="10" s="1"/>
  <c r="E2461" i="10" a="1"/>
  <c r="E2461" i="10" s="1"/>
  <c r="C2461" i="10" s="1"/>
  <c r="E2188" i="10" a="1"/>
  <c r="E2188" i="10" s="1"/>
  <c r="C2188" i="10" s="1"/>
  <c r="E2131" i="10" a="1"/>
  <c r="E2131" i="10" s="1"/>
  <c r="C2131" i="10" s="1"/>
  <c r="E2070" i="10" a="1"/>
  <c r="E2070" i="10" s="1"/>
  <c r="C2070" i="10" s="1"/>
  <c r="E3234" i="10" a="1"/>
  <c r="E3234" i="10" s="1"/>
  <c r="C3234" i="10" s="1"/>
  <c r="E1081" i="10" a="1"/>
  <c r="E1081" i="10" s="1"/>
  <c r="C1081" i="10" s="1"/>
  <c r="E3064" i="10" a="1"/>
  <c r="E3064" i="10" s="1"/>
  <c r="C3064" i="10" s="1"/>
  <c r="E2858" i="10" a="1"/>
  <c r="E2858" i="10" s="1"/>
  <c r="C2858" i="10" s="1"/>
  <c r="E2409" i="10" a="1"/>
  <c r="E2409" i="10" s="1"/>
  <c r="C2409" i="10" s="1"/>
  <c r="E2340" i="10" a="1"/>
  <c r="E2340" i="10" s="1"/>
  <c r="C2340" i="10" s="1"/>
  <c r="E2232" i="10" a="1"/>
  <c r="E2232" i="10" s="1"/>
  <c r="C2232" i="10" s="1"/>
  <c r="E2737" i="10" a="1"/>
  <c r="E2737" i="10" s="1"/>
  <c r="C2737" i="10" s="1"/>
  <c r="E73" i="10" a="1"/>
  <c r="E73" i="10" s="1"/>
  <c r="C73" i="10" s="1"/>
  <c r="E1300" i="10" a="1"/>
  <c r="E1300" i="10" s="1"/>
  <c r="C1300" i="10" s="1"/>
  <c r="E1412" i="10" a="1"/>
  <c r="E1412" i="10" s="1"/>
  <c r="C1412" i="10" s="1"/>
  <c r="E280" i="10" a="1"/>
  <c r="E280" i="10" s="1"/>
  <c r="C280" i="10" s="1"/>
  <c r="E663" i="10" a="1"/>
  <c r="E663" i="10" s="1"/>
  <c r="C663" i="10" s="1"/>
  <c r="E1365" i="10" a="1"/>
  <c r="E1365" i="10" s="1"/>
  <c r="C1365" i="10" s="1"/>
  <c r="E371" i="10" a="1"/>
  <c r="E371" i="10" s="1"/>
  <c r="C371" i="10" s="1"/>
  <c r="E515" i="10" a="1"/>
  <c r="E515" i="10" s="1"/>
  <c r="C515" i="10" s="1"/>
  <c r="E1727" i="10" a="1"/>
  <c r="E1727" i="10" s="1"/>
  <c r="C1727" i="10" s="1"/>
  <c r="E1711" i="10" a="1"/>
  <c r="E1711" i="10" s="1"/>
  <c r="C1711" i="10" s="1"/>
  <c r="E159" i="10" a="1"/>
  <c r="E159" i="10" s="1"/>
  <c r="C159" i="10" s="1"/>
  <c r="E1842" i="10" a="1"/>
  <c r="E1842" i="10" s="1"/>
  <c r="C1842" i="10" s="1"/>
  <c r="E486" i="10" a="1"/>
  <c r="E486" i="10" s="1"/>
  <c r="C486" i="10" s="1"/>
  <c r="E2598" i="10" a="1"/>
  <c r="E2598" i="10" s="1"/>
  <c r="C2598" i="10" s="1"/>
  <c r="E2144" i="10" a="1"/>
  <c r="E2144" i="10" s="1"/>
  <c r="C2144" i="10" s="1"/>
  <c r="E984" i="10" a="1"/>
  <c r="E984" i="10" s="1"/>
  <c r="C984" i="10" s="1"/>
  <c r="E1410" i="10" a="1"/>
  <c r="E1410" i="10" s="1"/>
  <c r="C1410" i="10" s="1"/>
  <c r="E2933" i="10" a="1"/>
  <c r="E2933" i="10" s="1"/>
  <c r="C2933" i="10" s="1"/>
  <c r="E3090" i="10" a="1"/>
  <c r="E3090" i="10" s="1"/>
  <c r="C3090" i="10" s="1"/>
  <c r="E2585" i="10" a="1"/>
  <c r="E2585" i="10" s="1"/>
  <c r="C2585" i="10" s="1"/>
  <c r="E2519" i="10" a="1"/>
  <c r="E2519" i="10" s="1"/>
  <c r="C2519" i="10" s="1"/>
  <c r="E617" i="10" a="1"/>
  <c r="E617" i="10" s="1"/>
  <c r="C617" i="10" s="1"/>
  <c r="E686" i="10" a="1"/>
  <c r="E686" i="10" s="1"/>
  <c r="C686" i="10" s="1"/>
  <c r="E1247" i="10" a="1"/>
  <c r="E1247" i="10" s="1"/>
  <c r="C1247" i="10" s="1"/>
  <c r="E1706" i="10" a="1"/>
  <c r="E1706" i="10" s="1"/>
  <c r="C1706" i="10" s="1"/>
  <c r="E1585" i="10" a="1"/>
  <c r="E1585" i="10" s="1"/>
  <c r="C1585" i="10" s="1"/>
  <c r="E1289" i="10" a="1"/>
  <c r="E1289" i="10" s="1"/>
  <c r="C1289" i="10" s="1"/>
  <c r="E641" i="10" a="1"/>
  <c r="E641" i="10" s="1"/>
  <c r="C641" i="10" s="1"/>
  <c r="E822" i="10" a="1"/>
  <c r="E822" i="10" s="1"/>
  <c r="C822" i="10" s="1"/>
  <c r="E1579" i="10" a="1"/>
  <c r="E1579" i="10" s="1"/>
  <c r="C1579" i="10" s="1"/>
  <c r="E3022" i="10" a="1"/>
  <c r="E3022" i="10" s="1"/>
  <c r="C3022" i="10" s="1"/>
  <c r="E1487" i="10" a="1"/>
  <c r="E1487" i="10" s="1"/>
  <c r="C1487" i="10" s="1"/>
  <c r="E1810" i="10" a="1"/>
  <c r="E1810" i="10" s="1"/>
  <c r="C1810" i="10" s="1"/>
  <c r="E2083" i="10" a="1"/>
  <c r="E2083" i="10" s="1"/>
  <c r="C2083" i="10" s="1"/>
  <c r="E1756" i="10" a="1"/>
  <c r="E1756" i="10" s="1"/>
  <c r="C1756" i="10" s="1"/>
  <c r="E3298" i="10" a="1"/>
  <c r="E3298" i="10" s="1"/>
  <c r="C3298" i="10" s="1"/>
  <c r="E884" i="10" a="1"/>
  <c r="E884" i="10" s="1"/>
  <c r="C884" i="10" s="1"/>
  <c r="E3275" i="10" a="1"/>
  <c r="E3275" i="10" s="1"/>
  <c r="C3275" i="10" s="1"/>
  <c r="E3240" i="10" a="1"/>
  <c r="E3240" i="10" s="1"/>
  <c r="C3240" i="10" s="1"/>
  <c r="E2939" i="10" a="1"/>
  <c r="E2939" i="10" s="1"/>
  <c r="C2939" i="10" s="1"/>
  <c r="E2134" i="10" a="1"/>
  <c r="E2134" i="10" s="1"/>
  <c r="C2134" i="10" s="1"/>
  <c r="E3010" i="10" a="1"/>
  <c r="E3010" i="10" s="1"/>
  <c r="C3010" i="10" s="1"/>
  <c r="E2004" i="10" a="1"/>
  <c r="E2004" i="10" s="1"/>
  <c r="C2004" i="10" s="1"/>
  <c r="E2248" i="10" a="1"/>
  <c r="E2248" i="10" s="1"/>
  <c r="C2248" i="10" s="1"/>
  <c r="E3100" i="10" a="1"/>
  <c r="E3100" i="10" s="1"/>
  <c r="C3100" i="10" s="1"/>
  <c r="E2797" i="10" a="1"/>
  <c r="E2797" i="10" s="1"/>
  <c r="C2797" i="10" s="1"/>
  <c r="E2775" i="10" a="1"/>
  <c r="E2775" i="10" s="1"/>
  <c r="C2775" i="10" s="1"/>
  <c r="E3159" i="10" a="1"/>
  <c r="E3159" i="10" s="1"/>
  <c r="C3159" i="10" s="1"/>
  <c r="E2383" i="10" a="1"/>
  <c r="E2383" i="10" s="1"/>
  <c r="C2383" i="10" s="1"/>
  <c r="E1387" i="10" a="1"/>
  <c r="E1387" i="10" s="1"/>
  <c r="C1387" i="10" s="1"/>
  <c r="E2802" i="10" a="1"/>
  <c r="E2802" i="10" s="1"/>
  <c r="C2802" i="10" s="1"/>
  <c r="E2798" i="10" a="1"/>
  <c r="E2798" i="10" s="1"/>
  <c r="C2798" i="10" s="1"/>
  <c r="E3197" i="10" a="1"/>
  <c r="E3197" i="10" s="1"/>
  <c r="C3197" i="10" s="1"/>
  <c r="E3263" i="10" a="1"/>
  <c r="E3263" i="10" s="1"/>
  <c r="C3263" i="10" s="1"/>
  <c r="E3085" i="10" a="1"/>
  <c r="E3085" i="10" s="1"/>
  <c r="C3085" i="10" s="1"/>
  <c r="E2903" i="10" a="1"/>
  <c r="E2903" i="10" s="1"/>
  <c r="C2903" i="10" s="1"/>
  <c r="E3371" i="10" a="1"/>
  <c r="E3371" i="10" s="1"/>
  <c r="C3371" i="10" s="1"/>
  <c r="E2841" i="10" a="1"/>
  <c r="E2841" i="10" s="1"/>
  <c r="C2841" i="10" s="1"/>
  <c r="E2082" i="10" a="1"/>
  <c r="E2082" i="10" s="1"/>
  <c r="C2082" i="10" s="1"/>
  <c r="E993" i="10" a="1"/>
  <c r="E993" i="10" s="1"/>
  <c r="C993" i="10" s="1"/>
  <c r="E2696" i="10" a="1"/>
  <c r="E2696" i="10" s="1"/>
  <c r="C2696" i="10" s="1"/>
  <c r="E2684" i="10" a="1"/>
  <c r="E2684" i="10" s="1"/>
  <c r="C2684" i="10" s="1"/>
  <c r="E2444" i="10" a="1"/>
  <c r="E2444" i="10" s="1"/>
  <c r="C2444" i="10" s="1"/>
  <c r="E2470" i="10" a="1"/>
  <c r="E2470" i="10" s="1"/>
  <c r="C2470" i="10" s="1"/>
  <c r="E1937" i="10" a="1"/>
  <c r="E1937" i="10" s="1"/>
  <c r="C1937" i="10" s="1"/>
  <c r="E3372" i="10" a="1"/>
  <c r="E3372" i="10" s="1"/>
  <c r="C3372" i="10" s="1"/>
  <c r="E2776" i="10" a="1"/>
  <c r="E2776" i="10" s="1"/>
  <c r="C2776" i="10" s="1"/>
  <c r="E2153" i="10" a="1"/>
  <c r="E2153" i="10" s="1"/>
  <c r="C2153" i="10" s="1"/>
  <c r="E2980" i="10" a="1"/>
  <c r="E2980" i="10" s="1"/>
  <c r="C2980" i="10" s="1"/>
  <c r="E1938" i="10" a="1"/>
  <c r="E1938" i="10" s="1"/>
  <c r="C1938" i="10" s="1"/>
  <c r="E3250" i="10" a="1"/>
  <c r="E3250" i="10" s="1"/>
  <c r="C3250" i="10" s="1"/>
  <c r="E3350" i="10" a="1"/>
  <c r="E3350" i="10" s="1"/>
  <c r="C3350" i="10" s="1"/>
  <c r="E12" i="10" a="1"/>
  <c r="E12" i="10" s="1"/>
  <c r="F22" i="3" s="1"/>
  <c r="F16" i="3" l="1"/>
  <c r="N113" i="4" l="1"/>
  <c r="O113" i="4" l="1"/>
  <c r="O112" i="4" s="1"/>
  <c r="N112" i="4"/>
  <c r="P113" i="4"/>
  <c r="P112" i="4" s="1"/>
  <c r="Q113" i="4" l="1"/>
  <c r="Q112" i="4" s="1"/>
  <c r="R113" i="4" l="1"/>
  <c r="R112" i="4" s="1"/>
  <c r="S113" i="4" l="1"/>
  <c r="S112" i="4" s="1"/>
  <c r="T113" i="4" l="1"/>
  <c r="T112" i="4" s="1"/>
  <c r="U113" i="4" l="1"/>
  <c r="U112" i="4" s="1"/>
  <c r="V113" i="4" l="1"/>
  <c r="V112" i="4" s="1"/>
  <c r="V70" i="4"/>
  <c r="L70" i="4"/>
  <c r="M70" i="4"/>
  <c r="N70" i="4"/>
  <c r="O70" i="4"/>
  <c r="P70" i="4"/>
  <c r="Q70" i="4"/>
  <c r="R70" i="4"/>
  <c r="S70" i="4"/>
  <c r="T70" i="4"/>
  <c r="U70" i="4"/>
  <c r="Q124" i="4" l="1"/>
  <c r="Q69" i="4" s="1"/>
  <c r="R71" i="4"/>
  <c r="R124" i="4"/>
  <c r="R69" i="4" s="1"/>
  <c r="M71" i="4"/>
  <c r="M124" i="4"/>
  <c r="M69" i="4" s="1"/>
  <c r="T124" i="4"/>
  <c r="T69" i="4" s="1"/>
  <c r="O124" i="4"/>
  <c r="O69" i="4" s="1"/>
  <c r="L124" i="4"/>
  <c r="L69" i="4" s="1"/>
  <c r="U124" i="4"/>
  <c r="U69" i="4" s="1"/>
  <c r="S71" i="4"/>
  <c r="S124" i="4"/>
  <c r="S69" i="4" s="1"/>
  <c r="P71" i="4"/>
  <c r="P124" i="4"/>
  <c r="P69" i="4" s="1"/>
  <c r="N124" i="4"/>
  <c r="N69" i="4" s="1"/>
  <c r="V124" i="4"/>
  <c r="V69" i="4" s="1"/>
  <c r="U71" i="4"/>
  <c r="L71" i="4"/>
  <c r="O71" i="4"/>
  <c r="T71" i="4"/>
  <c r="Q71" i="4"/>
  <c r="N71" i="4"/>
  <c r="V7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author>
  </authors>
  <commentList>
    <comment ref="E39" authorId="0" shapeId="0" xr:uid="{D02DE40D-38A8-4A1F-BCC7-2D56CD2EEB04}">
      <text>
        <r>
          <rPr>
            <b/>
            <sz val="9"/>
            <color indexed="81"/>
            <rFont val="Segoe UI"/>
            <family val="2"/>
          </rPr>
          <t>Pedro Ávila:</t>
        </r>
        <r>
          <rPr>
            <sz val="9"/>
            <color indexed="81"/>
            <rFont val="Segoe UI"/>
            <family val="2"/>
          </rPr>
          <t xml:space="preserve">
Inferido por nós.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Henrick</author>
    <author>Pedro</author>
  </authors>
  <commentList>
    <comment ref="E23" authorId="0" shapeId="0" xr:uid="{536BCD24-8ED7-423C-AC8A-C780DBAF30EB}">
      <text>
        <r>
          <rPr>
            <b/>
            <sz val="9"/>
            <color indexed="81"/>
            <rFont val="Segoe UI"/>
            <family val="2"/>
          </rPr>
          <t xml:space="preserve">Pedro Ávila:
</t>
        </r>
        <r>
          <rPr>
            <sz val="9"/>
            <color indexed="81"/>
            <rFont val="Segoe UI"/>
            <family val="2"/>
          </rPr>
          <t xml:space="preserve">
Como administrador dos recursos do FNO e de acordo com a lei de sua criação – Lei 7.827/1989, o Banco faz jus a uma taxa de administração (art. 9-A), a qual é reconhecida como receita mensalmente conforme percentuais estabelecidos sobre o Patrimônio Líquido do FNO (art.17-A), deduzidos os saldos dos recursos desse fundo (art. 4º da Lei nº 9.126/1995), os valores repassados ao banco administrador (§ 11 do art. 9º-A desta lei) e os saldos das operações contratadas (art. 6º-A da Lei nº 10.177/2001).
Em janeiro de 2023, essa taxa de administração foi alterada da seguinte forma: (i) redução de 0,15% a.m. para 0,125% a.m. e, (ii) limitação a 20% dos repasses do Tesouro Nacional, a título de remuneração aos agentes financeiro das operações contratadas.</t>
        </r>
      </text>
    </comment>
    <comment ref="E25" authorId="0" shapeId="0" xr:uid="{35CE1CB1-6233-4A92-85BD-9B76AC757756}">
      <text>
        <r>
          <rPr>
            <b/>
            <sz val="9"/>
            <color indexed="81"/>
            <rFont val="Segoe UI"/>
            <family val="2"/>
          </rPr>
          <t>Pedro Henrick:</t>
        </r>
        <r>
          <rPr>
            <sz val="9"/>
            <color indexed="81"/>
            <rFont val="Segoe UI"/>
            <family val="2"/>
          </rPr>
          <t xml:space="preserve">
Art 19. -  As empresas que tenham empreendimentos industriais e agroindustriais, em operação nas áreas de atuação da Superintendência de Desenvolvimento do Nordeste (Sudene) e da Superintendência de Desenvolvimento da Amazônia (Sudam), poderão depositar no Banco do Nordeste do Brasil S.A. e no Banco da Amazônia S.A., respectivamente, para reinvestimento, quarenta por cento do valor do Imposto de Renda devido pelos referidos empreendimentos, calculados sobre o lucro da exploração, acrescido de cinqüenta por cento de recursos próprios, ficando, porém, a liberação desses recursos condicionada à aprovação, pelas agências do desenvolvimento regional, dos respectivos projetos técnico-econômicos de modernização ou complementação de equipamento.
§ 2º - Poderá ser deduzida a quantia correspondente a 3% (três por cento) do valor de cada parcela de recursos liberada, a título de custo de administração do projeto, a ser dividida da seguinte forma: (Redação dada pela Lei nº 13.682, de 2018)
   I - 2% (dois por cento) para a Superintendência de Desenvolvimento Regional; e (Incluído pela Lei nº 13.682, de 2018)
   II - 1% (um por cento) para o banco operador. (Incluído pela Lei nº 13.682, de 2018)</t>
        </r>
      </text>
    </comment>
    <comment ref="E39" authorId="0" shapeId="0" xr:uid="{422E7406-79B2-4C88-B885-82A3C71914C8}">
      <text>
        <r>
          <rPr>
            <b/>
            <sz val="9"/>
            <color indexed="81"/>
            <rFont val="Segoe UI"/>
            <family val="2"/>
          </rPr>
          <t>Pedro Ávila:</t>
        </r>
        <r>
          <rPr>
            <sz val="9"/>
            <color indexed="81"/>
            <rFont val="Segoe UI"/>
            <family val="2"/>
          </rPr>
          <t xml:space="preserve">
A cláusula “del credere” corresponde ao instituto ou previsão da parte contratante ou representada descontar os valores de comissões ou vendas do representante comercial na hipótese da venda ou da transação ser cancelada ou desfeita.
A Lei nº 14.227/2021, estabeleceu nova regra, a partir de 1º de janeiro de 2022, para o del credere, considerando o porte dos clientes. O del credere corresponde a 3% a.a. sobre as operações contratadas após 30 de novembro de 1998 (Lei n° 10.177/2001), com risco compartilhado de 50%. As operações em que o Banco assume risco 100%, o del credere é de 6% a.a. Sobre operações contratadas até 30 de novembro de 1998, o Banco não aufere remuneração, por estar isento de risco  Em 2021, com a vigência da MP nº 1.052, a partir de 19 de maio daquele ano, a comissão estava limitada a 5,5% conforme anexo II, porém a Lei nº 14.227 revogou a MP e retornou o limite para 6%, de acordo com seu art. 7º.</t>
        </r>
      </text>
    </comment>
    <comment ref="E45" authorId="0" shapeId="0" xr:uid="{C6CB274C-850F-4B2C-8B7A-16ACDB7F10FF}">
      <text>
        <r>
          <rPr>
            <b/>
            <sz val="9"/>
            <color indexed="81"/>
            <rFont val="Segoe UI"/>
            <family val="2"/>
          </rPr>
          <t xml:space="preserve">Pedro Ávila:
</t>
        </r>
        <r>
          <rPr>
            <sz val="9"/>
            <color indexed="81"/>
            <rFont val="Segoe UI"/>
            <family val="2"/>
          </rPr>
          <t xml:space="preserve">
Trata-se de:
- Reversão de Provisões
- Rendas de del credere - FDA
- Receita variações taxas - FMM
- Receita variação taxa câmbio
- Multas - operações crédito geral
- Rendas s/ depósito compulsório
- Rendas de atualização Selic sobre tributos a compensar
- Atualização de devoluções judiciais trabalhistas</t>
        </r>
      </text>
    </comment>
    <comment ref="E49" authorId="0" shapeId="0" xr:uid="{7355A595-D4FD-47A8-9816-78A8FFA9B340}">
      <text>
        <r>
          <rPr>
            <b/>
            <sz val="9"/>
            <color indexed="81"/>
            <rFont val="Segoe UI"/>
            <family val="2"/>
          </rPr>
          <t>Pedro Ávila:</t>
        </r>
        <r>
          <rPr>
            <sz val="9"/>
            <color indexed="81"/>
            <rFont val="Segoe UI"/>
            <family val="2"/>
          </rPr>
          <t xml:space="preserve">
Trata-se de:
- Honorários
- Benefícios
- Encargos Sociais
- Proveitos
- Treinamento
- Remuneração de Estagiários</t>
        </r>
      </text>
    </comment>
    <comment ref="E51" authorId="0" shapeId="0" xr:uid="{D6219BBF-5CF3-4302-A350-780FFE0338E2}">
      <text>
        <r>
          <rPr>
            <b/>
            <sz val="9"/>
            <color indexed="81"/>
            <rFont val="Segoe UI"/>
            <family val="2"/>
          </rPr>
          <t>Pedro Ávila:</t>
        </r>
        <r>
          <rPr>
            <sz val="9"/>
            <color indexed="81"/>
            <rFont val="Segoe UI"/>
            <family val="2"/>
          </rPr>
          <t xml:space="preserve">
Trata-se de :
- Água, energia e gás
- Aluguéis
- Processamento de dados
- Comunicações
- Manutenção e conservação de bens
- Material
- Serviços de terceiros
- Vigilância e segurança
- Serviços do sistema financeiro
- Promoções e relações públicas
- Propaganda e publicidade
- Publicações oficiais
- Serviços técnicos especializados
- Transporte
- Viagens
- Depreciação
- Amortização
- Demais desespesas administrativas</t>
        </r>
      </text>
    </comment>
    <comment ref="E53" authorId="0" shapeId="0" xr:uid="{7B606D3A-B3FB-4B4A-B8DE-55B545E5E3C6}">
      <text>
        <r>
          <rPr>
            <b/>
            <sz val="9"/>
            <color indexed="81"/>
            <rFont val="Segoe UI"/>
            <family val="2"/>
          </rPr>
          <t>Pedro Ávila:</t>
        </r>
        <r>
          <rPr>
            <sz val="9"/>
            <color indexed="81"/>
            <rFont val="Segoe UI"/>
            <family val="2"/>
          </rPr>
          <t xml:space="preserve">
Trata-se de:
- ISS
- Cofins
- PIS/Pasep
- Demais tributos</t>
        </r>
      </text>
    </comment>
    <comment ref="E55" authorId="0" shapeId="0" xr:uid="{87E8BCC6-A0F5-40EC-9D8D-E426E59BAE92}">
      <text>
        <r>
          <rPr>
            <b/>
            <sz val="9"/>
            <color indexed="81"/>
            <rFont val="Segoe UI"/>
            <family val="2"/>
          </rPr>
          <t xml:space="preserve">Pedro Ávila:
</t>
        </r>
        <r>
          <rPr>
            <sz val="9"/>
            <color indexed="81"/>
            <rFont val="Segoe UI"/>
            <family val="2"/>
          </rPr>
          <t xml:space="preserve">
Trata-se de:
- Despesas de variação de taxa FMM
- Despesa de variação taxa de câmbio
- Grade de eventos perdas operacionais
- Despesas s/saldos credores do INSS
- Dividendos a pagar e juros s/capital
- Despesas de desconto concedido em renegociação
- Pagamento de causas
- Multa de órgãos oficiais
- Pagamento de benefícios/pensões - INSS
- Sucumbências/honorários periciais - determinação judicial
- Estorno de encargos carteira de fomento
- Depósitos recursais zerados - CEF
- Cumprimento de decisões judiciais trabalhistas
- Atualização AFAC (dotação aumento de capital)
- Despesas estorno encargos carteira sustentação
- Devolução taxa administração FNO
- Atualização complemento remuneração do disponível FNO
- Demais despesas operacionais</t>
        </r>
      </text>
    </comment>
    <comment ref="E63" authorId="0" shapeId="0" xr:uid="{0ACEDF72-A88E-43F2-8CFB-5D85DA92DC04}">
      <text>
        <r>
          <rPr>
            <b/>
            <sz val="9"/>
            <color indexed="81"/>
            <rFont val="Segoe UI"/>
            <family val="2"/>
          </rPr>
          <t>Pedro Ávila:</t>
        </r>
        <r>
          <rPr>
            <sz val="9"/>
            <color indexed="81"/>
            <rFont val="Segoe UI"/>
            <family val="2"/>
          </rPr>
          <t xml:space="preserve">
Trata-se de:
- Passivos trabalhistas
- Passivos cíveis/sucumbências
- Pasivos cíveis - fundos investimento
- Outras contingências - fiscais
- Provisão ativos atuariais - CAPAF</t>
        </r>
      </text>
    </comment>
    <comment ref="E65" authorId="0" shapeId="0" xr:uid="{6E2B582B-5BED-4A04-BAEA-A6B94DD11596}">
      <text>
        <r>
          <rPr>
            <b/>
            <sz val="9"/>
            <color indexed="81"/>
            <rFont val="Segoe UI"/>
            <family val="2"/>
          </rPr>
          <t>Pedro Ávila</t>
        </r>
        <r>
          <rPr>
            <sz val="9"/>
            <color indexed="81"/>
            <rFont val="Segoe UI"/>
            <family val="2"/>
          </rPr>
          <t xml:space="preserve">
Os contratos assinados entre o Banco e a BB Previdência, referentes aos planos saldados, estabelecem que a obrigação deve ser atualizada mensalmente, com base na variação do INPC-IBGE e taxa máxima real de juros admitida nas projeções atuariais do plano de benefícios fixada pelo Conselho Nacional de Previdência Complementar ou outra autoridade competente.
Anualmente, conforme cláusula contratual, é realizada revisão dos contratos de compromisso financeiros firmados junto à BB Previdência, de acordo com as premissas atuariais para preservar o equilíbrio econômico e financeiro dos Planos Saldados (Plano de Benefício Saldado e Plano Misto Saldado), e caso necessário poderá exigir ajuste por parte do Banco.</t>
        </r>
      </text>
    </comment>
    <comment ref="E77" authorId="0" shapeId="0" xr:uid="{2311FA05-A6CE-42A3-8C45-13D37BFD81BF}">
      <text>
        <r>
          <rPr>
            <b/>
            <sz val="9"/>
            <color indexed="81"/>
            <rFont val="Segoe UI"/>
            <family val="2"/>
          </rPr>
          <t>Pedro Ávila:</t>
        </r>
        <r>
          <rPr>
            <sz val="9"/>
            <color indexed="81"/>
            <rFont val="Segoe UI"/>
            <family val="2"/>
          </rPr>
          <t xml:space="preserve">
Trata-se de remuneração paga aos empregados e administradores. </t>
        </r>
      </text>
    </comment>
    <comment ref="E238" authorId="1" shapeId="0" xr:uid="{36603B59-394A-4647-B07B-8E242A51D16B}">
      <text>
        <r>
          <rPr>
            <b/>
            <sz val="9"/>
            <color indexed="81"/>
            <rFont val="Segoe UI"/>
            <family val="2"/>
          </rPr>
          <t>Pedro Ávila:</t>
        </r>
        <r>
          <rPr>
            <sz val="9"/>
            <color indexed="81"/>
            <rFont val="Segoe UI"/>
            <family val="2"/>
          </rPr>
          <t xml:space="preserve">
O JCP distirbuído gera um benefício fiscal de 45% do valor distribuído.
Por exemplo, R$ 100 milhões distirbuídos em JCP gerariam um benefício fiscal de R$ 45 millhões.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Henrick</author>
  </authors>
  <commentList>
    <comment ref="E14" authorId="0" shapeId="0" xr:uid="{7AB24472-1530-4A5C-B2AA-D0F0E71AFC98}">
      <text>
        <r>
          <rPr>
            <b/>
            <sz val="9"/>
            <color indexed="81"/>
            <rFont val="Segoe UI"/>
            <family val="2"/>
          </rPr>
          <t>Pedro Ávila:</t>
        </r>
        <r>
          <rPr>
            <sz val="9"/>
            <color indexed="81"/>
            <rFont val="Segoe UI"/>
            <family val="2"/>
          </rPr>
          <t xml:space="preserve">
Formado por:
- Disponibilidade em Moeda Nacional
- Disponibilidade em Moeda Estrangeira</t>
        </r>
      </text>
    </comment>
    <comment ref="E17" authorId="0" shapeId="0" xr:uid="{5E9A726A-99C5-49D4-ADDF-BC4C33CD7B18}">
      <text>
        <r>
          <rPr>
            <b/>
            <sz val="9"/>
            <color indexed="81"/>
            <rFont val="Segoe UI"/>
            <family val="2"/>
          </rPr>
          <t>Pedro Ávila:</t>
        </r>
        <r>
          <rPr>
            <sz val="9"/>
            <color indexed="81"/>
            <rFont val="Segoe UI"/>
            <family val="2"/>
          </rPr>
          <t xml:space="preserve">
Formado por:
- Letras Financeiras do Tesouro
- Letras do Tesouro Nacional
- Notas do Tesouro Nacional
- Aplicações Depósitos Interfinanceiros</t>
        </r>
      </text>
    </comment>
    <comment ref="E29" authorId="0" shapeId="0" xr:uid="{9B1D56F8-F79F-4388-8229-BDAB2C263014}">
      <text>
        <r>
          <rPr>
            <b/>
            <sz val="9"/>
            <color indexed="81"/>
            <rFont val="Segoe UI"/>
            <family val="2"/>
          </rPr>
          <t>Pedro Ávila:</t>
        </r>
        <r>
          <rPr>
            <sz val="9"/>
            <color indexed="81"/>
            <rFont val="Segoe UI"/>
            <family val="2"/>
          </rPr>
          <t xml:space="preserve">
Formado por títulos públicos.</t>
        </r>
      </text>
    </comment>
    <comment ref="E30" authorId="0" shapeId="0" xr:uid="{8BC1F5A2-D7B3-4C4E-9E93-8230B1691192}">
      <text>
        <r>
          <rPr>
            <b/>
            <sz val="9"/>
            <color indexed="81"/>
            <rFont val="Segoe UI"/>
            <family val="2"/>
          </rPr>
          <t>Pedro Ávila:</t>
        </r>
        <r>
          <rPr>
            <sz val="9"/>
            <color indexed="81"/>
            <rFont val="Segoe UI"/>
            <family val="2"/>
          </rPr>
          <t xml:space="preserve">
Formado por títulos públicos.</t>
        </r>
      </text>
    </comment>
    <comment ref="E74" authorId="0" shapeId="0" xr:uid="{5E9BE10F-797E-43D6-BC16-5E615946F24D}">
      <text>
        <r>
          <rPr>
            <b/>
            <sz val="9"/>
            <color indexed="81"/>
            <rFont val="Segoe UI"/>
            <family val="2"/>
          </rPr>
          <t>Pedro Ávila:</t>
        </r>
        <r>
          <rPr>
            <sz val="9"/>
            <color indexed="81"/>
            <rFont val="Segoe UI"/>
            <family val="2"/>
          </rPr>
          <t xml:space="preserve">
Classificados no prazo de até três meses.</t>
        </r>
      </text>
    </comment>
    <comment ref="E81" authorId="0" shapeId="0" xr:uid="{D4C632EE-4E43-4108-BF3F-3A9B7CCEEC4F}">
      <text>
        <r>
          <rPr>
            <b/>
            <sz val="9"/>
            <color indexed="81"/>
            <rFont val="Segoe UI"/>
            <family val="2"/>
          </rPr>
          <t>Pedro Ávila:</t>
        </r>
        <r>
          <rPr>
            <sz val="9"/>
            <color indexed="81"/>
            <rFont val="Segoe UI"/>
            <family val="2"/>
          </rPr>
          <t xml:space="preserve">
Trata-se de benefício fiscal, instituído pelo Governo Federal, que permite às empresas beneficiárias depositarem no Banco da Amazônia S.A o valor da parcela correspondente a 30% do IR devido, conforme art. 115 da IN RFB nº 267 de 23 de dezembro de 2002.</t>
        </r>
      </text>
    </comment>
    <comment ref="E82" authorId="0" shapeId="0" xr:uid="{F6395E4C-FA28-4FB4-9F87-54C770107DBC}">
      <text>
        <r>
          <rPr>
            <b/>
            <sz val="9"/>
            <color indexed="81"/>
            <rFont val="Segoe UI"/>
            <family val="2"/>
          </rPr>
          <t>Pedro Ávila:</t>
        </r>
        <r>
          <rPr>
            <sz val="9"/>
            <color indexed="81"/>
            <rFont val="Segoe UI"/>
            <family val="2"/>
          </rPr>
          <t xml:space="preserve">
Refere-se ao Fundo de investimento da Amazônia, benefício fiscal operado pelo Banco da Amazônia S.A.
O FINAM foi criado pelo Decreto-lei nº 1.376/1974. É um benefício fiscal concedido pelo Governo Federal e instituído com a missão de assegurar os recursos necessários para os projetos considerados de interesse para a Amazônia Legal. O Banco, como instituição financeira regional, é responsável pela operacionalização do FINAM. </t>
        </r>
      </text>
    </comment>
    <comment ref="E90" authorId="0" shapeId="0" xr:uid="{A509428F-7450-4319-AA43-0C4C37330207}">
      <text>
        <r>
          <rPr>
            <b/>
            <sz val="9"/>
            <color indexed="81"/>
            <rFont val="Segoe UI"/>
            <family val="2"/>
          </rPr>
          <t>Pedro Ávila:</t>
        </r>
        <r>
          <rPr>
            <sz val="9"/>
            <color indexed="81"/>
            <rFont val="Segoe UI"/>
            <family val="2"/>
          </rPr>
          <t xml:space="preserve">
Os empréstimos tomados no exterior, cujo montante em 30 de setembro de 2023 é de R$ 27.404, com vencimento no curto prazo, ou seja, em até 12 meses (R$ 44.758 em 31/12/2022), referem-se, basicamente, à captação de recursos para financiamento à exportação, sobre os quais incidem encargos fixos à taxa média de 7,08% a.a. (4,6% a.a. em 31/12/2022) e variação cambial da moeda a que estão vinculados (Dólares Norte-Americanos), com vencimento em até 12 meses, e cartas de crédito de importação que são registradas à taxa do dia e reajustadas pela variação cambial no final do mês.</t>
        </r>
      </text>
    </comment>
    <comment ref="E92" authorId="0" shapeId="0" xr:uid="{3BE8E2A8-42E7-4F25-BBAD-E049164166E9}">
      <text>
        <r>
          <rPr>
            <b/>
            <sz val="9"/>
            <color indexed="81"/>
            <rFont val="Segoe UI"/>
            <family val="2"/>
          </rPr>
          <t xml:space="preserve">Pedro Ávila:
</t>
        </r>
        <r>
          <rPr>
            <sz val="9"/>
            <color indexed="81"/>
            <rFont val="Segoe UI"/>
            <family val="2"/>
          </rPr>
          <t xml:space="preserve">
Refere-se a repasse do BNDES, Finep, Finame e STN.</t>
        </r>
      </text>
    </comment>
    <comment ref="E98" authorId="0" shapeId="0" xr:uid="{E49AF138-58E3-4F7E-8D0A-5E63738281F2}">
      <text>
        <r>
          <rPr>
            <b/>
            <sz val="9"/>
            <color indexed="81"/>
            <rFont val="Segoe UI"/>
            <family val="2"/>
          </rPr>
          <t>Pedro Ávila:</t>
        </r>
        <r>
          <rPr>
            <sz val="9"/>
            <color indexed="81"/>
            <rFont val="Segoe UI"/>
            <family val="2"/>
          </rPr>
          <t xml:space="preserve">
Trata-se de remuneração do capital a pagar.</t>
        </r>
      </text>
    </comment>
    <comment ref="E102" authorId="0" shapeId="0" xr:uid="{1C74A0C8-4E35-4A05-9489-D7FDD2848E37}">
      <text>
        <r>
          <rPr>
            <b/>
            <sz val="9"/>
            <color indexed="81"/>
            <rFont val="Segoe UI"/>
            <family val="2"/>
          </rPr>
          <t>Pedro Ávila:</t>
        </r>
        <r>
          <rPr>
            <sz val="9"/>
            <color indexed="81"/>
            <rFont val="Segoe UI"/>
            <family val="2"/>
          </rPr>
          <t xml:space="preserve">
O FNO é um fundo do Governo Federal para fomentar o desenvolvimento econômico e social da Região Norte. O Banco na qualidade de instituição financeira federal de caráter regional é administrador do Fundo, mediante a execução de programas de financiamento aos setores produtivos, em consonância com os respectivos planos regionais de desenvolvimento, com foco na sustentabilidade e ações econômicas, ambientais, sociais e de governança para redução das desigualdades intra e inter-regionais.</t>
        </r>
      </text>
    </comment>
    <comment ref="E103" authorId="0" shapeId="0" xr:uid="{8B60F670-3ED7-43E2-8A43-C6DA600C11DE}">
      <text>
        <r>
          <rPr>
            <b/>
            <sz val="9"/>
            <color indexed="81"/>
            <rFont val="Segoe UI"/>
            <family val="2"/>
          </rPr>
          <t>Pedro Ávila:</t>
        </r>
        <r>
          <rPr>
            <sz val="9"/>
            <color indexed="81"/>
            <rFont val="Segoe UI"/>
            <family val="2"/>
          </rPr>
          <t xml:space="preserve">
O Banco, em parceria com o Banco do Brasil, opera os recursos do FMM, pertencente à área de atuação do Ministério de Portos e Aeroportos, sendo destinados a financiamentos de instalações físicas de estaleiros brasileiros e embarcações não voltadas para pesca.</t>
        </r>
      </text>
    </comment>
    <comment ref="E104" authorId="0" shapeId="0" xr:uid="{815F21F6-734D-4D50-9925-25E7B0975D73}">
      <text>
        <r>
          <rPr>
            <b/>
            <sz val="9"/>
            <color indexed="81"/>
            <rFont val="Segoe UI"/>
            <family val="2"/>
          </rPr>
          <t>Pedro Ávila:</t>
        </r>
        <r>
          <rPr>
            <sz val="9"/>
            <color indexed="81"/>
            <rFont val="Segoe UI"/>
            <family val="2"/>
          </rPr>
          <t xml:space="preserve">
O Fundo é regulamentado pelos Decretos nºs 4.254/2002 e 10.053/2019. O Banco é agente operador na modalidade de financiamentos por meio de emissão de debêntures e para contratação de operações de crédito por repasse.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Henrick</author>
  </authors>
  <commentList>
    <comment ref="E50" authorId="0" shapeId="0" xr:uid="{95037D02-680F-4765-817A-A699A6CA116D}">
      <text>
        <r>
          <rPr>
            <b/>
            <sz val="9"/>
            <color indexed="81"/>
            <rFont val="Segoe UI"/>
            <family val="2"/>
          </rPr>
          <t>Pedro Ávila:</t>
        </r>
        <r>
          <rPr>
            <sz val="9"/>
            <color indexed="81"/>
            <rFont val="Segoe UI"/>
            <family val="2"/>
          </rPr>
          <t xml:space="preserve">
Composto por:
- Títulos Públicos
- Debêntures
- Letras Financeiras
- Vinculados a Operações Compromissadas
- Vinculados a Pestração de Garantia</t>
        </r>
      </text>
    </comment>
    <comment ref="E52" authorId="0" shapeId="0" xr:uid="{B9F1958A-87FA-4BDD-937A-F29B787789F6}">
      <text>
        <r>
          <rPr>
            <b/>
            <sz val="9"/>
            <color indexed="81"/>
            <rFont val="Segoe UI"/>
            <family val="2"/>
          </rPr>
          <t>Pedro Ávila:</t>
        </r>
        <r>
          <rPr>
            <sz val="9"/>
            <color indexed="81"/>
            <rFont val="Segoe UI"/>
            <family val="2"/>
          </rPr>
          <t xml:space="preserve">
Composto por:
- Cotas de FIDC
- Cotas de Fundos de Renda Fixa
- Cotas de Fundos REF
- Cotas de Renda Variável</t>
        </r>
      </text>
    </comment>
    <comment ref="E54" authorId="0" shapeId="0" xr:uid="{D34CD3C5-5636-4D65-88CC-D19F7337ABA7}">
      <text>
        <r>
          <rPr>
            <b/>
            <sz val="9"/>
            <color indexed="81"/>
            <rFont val="Segoe UI"/>
            <family val="2"/>
          </rPr>
          <t>Pedro Ávila:</t>
        </r>
        <r>
          <rPr>
            <sz val="9"/>
            <color indexed="81"/>
            <rFont val="Segoe UI"/>
            <family val="2"/>
          </rPr>
          <t xml:space="preserve">
Composto por:
- Cotas de FIDC
- Cotas de Fundos de Renda Fixa
- Cotas de Fundos REF
- Cotas de Renda Variável</t>
        </r>
      </text>
    </comment>
    <comment ref="E188" authorId="0" shapeId="0" xr:uid="{FB56C734-0ED3-455A-A232-EF6E0973156C}">
      <text>
        <r>
          <rPr>
            <b/>
            <sz val="9"/>
            <color indexed="81"/>
            <rFont val="Segoe UI"/>
            <family val="2"/>
          </rPr>
          <t>Pedro Ávila:</t>
        </r>
        <r>
          <rPr>
            <sz val="9"/>
            <color indexed="81"/>
            <rFont val="Segoe UI"/>
            <family val="2"/>
          </rPr>
          <t xml:space="preserve">
Inferido por nós.</t>
        </r>
      </text>
    </comment>
    <comment ref="E190" authorId="0" shapeId="0" xr:uid="{540DC4AC-CD39-48A8-9F72-A665201C35DE}">
      <text>
        <r>
          <rPr>
            <b/>
            <sz val="9"/>
            <color indexed="81"/>
            <rFont val="Segoe UI"/>
            <family val="2"/>
          </rPr>
          <t>Pedro Ávila:</t>
        </r>
        <r>
          <rPr>
            <sz val="9"/>
            <color indexed="81"/>
            <rFont val="Segoe UI"/>
            <family val="2"/>
          </rPr>
          <t xml:space="preserve">
Inferido por nós.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E10" authorId="0" shapeId="0" xr:uid="{F8589E75-5ECA-40A7-A37B-8CCE9E6B9767}">
      <text>
        <r>
          <rPr>
            <b/>
            <sz val="9"/>
            <color indexed="81"/>
            <rFont val="Segoe UI"/>
            <family val="2"/>
          </rPr>
          <t>Pedro Ávila:</t>
        </r>
        <r>
          <rPr>
            <sz val="9"/>
            <color indexed="81"/>
            <rFont val="Segoe UI"/>
            <family val="2"/>
          </rPr>
          <t xml:space="preserve">
Disponibilidades/Depósitos à Vista</t>
        </r>
      </text>
    </comment>
    <comment ref="E11" authorId="0" shapeId="0" xr:uid="{3DBE46B2-61C7-4E62-A389-92E09D879E7E}">
      <text>
        <r>
          <rPr>
            <b/>
            <sz val="9"/>
            <color indexed="81"/>
            <rFont val="Segoe UI"/>
            <family val="2"/>
          </rPr>
          <t>Pedro Ávila:</t>
        </r>
        <r>
          <rPr>
            <sz val="9"/>
            <color indexed="81"/>
            <rFont val="Segoe UI"/>
            <family val="2"/>
          </rPr>
          <t xml:space="preserve">
(Disponibilidades + Aplicações Interfinanceiras de Liquidez)/Depósitos à Vista</t>
        </r>
      </text>
    </comment>
    <comment ref="E12" authorId="0" shapeId="0" xr:uid="{2A943DF3-1F27-4C94-843F-77644793ADA9}">
      <text>
        <r>
          <rPr>
            <b/>
            <sz val="9"/>
            <color indexed="81"/>
            <rFont val="Segoe UI"/>
            <family val="2"/>
          </rPr>
          <t>Pedro Ávila:</t>
        </r>
        <r>
          <rPr>
            <sz val="9"/>
            <color indexed="81"/>
            <rFont val="Segoe UI"/>
            <family val="2"/>
          </rPr>
          <t xml:space="preserve">
Operações de Crédito/Depósitos</t>
        </r>
      </text>
    </comment>
    <comment ref="E13" authorId="0" shapeId="0" xr:uid="{8FC9D390-A24D-4DD0-A828-95641956D072}">
      <text>
        <r>
          <rPr>
            <b/>
            <sz val="9"/>
            <color indexed="81"/>
            <rFont val="Segoe UI"/>
            <family val="2"/>
          </rPr>
          <t>Pedro Ávila:</t>
        </r>
        <r>
          <rPr>
            <sz val="9"/>
            <color indexed="81"/>
            <rFont val="Segoe UI"/>
            <family val="2"/>
          </rPr>
          <t xml:space="preserve">
Patrimônio Líquido - Ativo Permanente</t>
        </r>
      </text>
    </comment>
    <comment ref="E14" authorId="0" shapeId="0" xr:uid="{371B771E-505C-4132-B872-8283A434E9AF}">
      <text>
        <r>
          <rPr>
            <b/>
            <sz val="9"/>
            <color indexed="81"/>
            <rFont val="Segoe UI"/>
            <family val="2"/>
          </rPr>
          <t>Pedro Ávila:</t>
        </r>
        <r>
          <rPr>
            <sz val="9"/>
            <color indexed="81"/>
            <rFont val="Segoe UI"/>
            <family val="2"/>
          </rPr>
          <t xml:space="preserve">
Operações de Crédito/Ativo Total</t>
        </r>
      </text>
    </comment>
    <comment ref="E19" authorId="0" shapeId="0" xr:uid="{6F6B8397-4AFB-4929-9056-04C6E20A7145}">
      <text>
        <r>
          <rPr>
            <b/>
            <sz val="9"/>
            <color indexed="81"/>
            <rFont val="Segoe UI"/>
            <family val="2"/>
          </rPr>
          <t>Pedro Ávila:</t>
        </r>
        <r>
          <rPr>
            <sz val="9"/>
            <color indexed="81"/>
            <rFont val="Segoe UI"/>
            <family val="2"/>
          </rPr>
          <t xml:space="preserve">
Patrimônio Referencial/Ativos Ponderados pelo Risco</t>
        </r>
      </text>
    </comment>
    <comment ref="E20" authorId="0" shapeId="0" xr:uid="{08C87611-2EB6-4E5B-BCB2-5A52C1D25B41}">
      <text>
        <r>
          <rPr>
            <b/>
            <sz val="9"/>
            <color indexed="81"/>
            <rFont val="Segoe UI"/>
            <family val="2"/>
          </rPr>
          <t>Pedro Ávila:</t>
        </r>
        <r>
          <rPr>
            <sz val="9"/>
            <color indexed="81"/>
            <rFont val="Segoe UI"/>
            <family val="2"/>
          </rPr>
          <t xml:space="preserve">
Patrimônio Líquido/Ativo Total</t>
        </r>
      </text>
    </comment>
    <comment ref="E21" authorId="0" shapeId="0" xr:uid="{8775315D-8FD2-4E1C-847F-4E74787CD160}">
      <text>
        <r>
          <rPr>
            <b/>
            <sz val="9"/>
            <color indexed="81"/>
            <rFont val="Segoe UI"/>
            <family val="2"/>
          </rPr>
          <t>Pedro Ávila:</t>
        </r>
        <r>
          <rPr>
            <sz val="9"/>
            <color indexed="81"/>
            <rFont val="Segoe UI"/>
            <family val="2"/>
          </rPr>
          <t xml:space="preserve">
Ativo/Patrimônio Líquido</t>
        </r>
      </text>
    </comment>
    <comment ref="E22" authorId="0" shapeId="0" xr:uid="{97D7A583-6E11-44C0-9B40-62E62D0863DD}">
      <text>
        <r>
          <rPr>
            <b/>
            <sz val="9"/>
            <color indexed="81"/>
            <rFont val="Segoe UI"/>
            <family val="2"/>
          </rPr>
          <t>Pedro Ávila:</t>
        </r>
        <r>
          <rPr>
            <sz val="9"/>
            <color indexed="81"/>
            <rFont val="Segoe UI"/>
            <family val="2"/>
          </rPr>
          <t xml:space="preserve">
Patirmônio Líquido/Passivos Onerosos</t>
        </r>
      </text>
    </comment>
    <comment ref="E23" authorId="0" shapeId="0" xr:uid="{D2817BC6-F6D8-473D-99DB-0AF0CA051931}">
      <text>
        <r>
          <rPr>
            <b/>
            <sz val="9"/>
            <color indexed="81"/>
            <rFont val="Segoe UI"/>
            <family val="2"/>
          </rPr>
          <t>Pedro Ávila:</t>
        </r>
        <r>
          <rPr>
            <sz val="9"/>
            <color indexed="81"/>
            <rFont val="Segoe UI"/>
            <family val="2"/>
          </rPr>
          <t xml:space="preserve">
Ativo Permanente/Patrimônio Líquido</t>
        </r>
      </text>
    </comment>
    <comment ref="E28" authorId="0" shapeId="0" xr:uid="{6C3CD2B1-D234-449B-8989-E2A5DA7D64A8}">
      <text>
        <r>
          <rPr>
            <b/>
            <sz val="9"/>
            <color indexed="81"/>
            <rFont val="Segoe UI"/>
            <family val="2"/>
          </rPr>
          <t>Pedro Ávila:</t>
        </r>
        <r>
          <rPr>
            <sz val="9"/>
            <color indexed="81"/>
            <rFont val="Segoe UI"/>
            <family val="2"/>
          </rPr>
          <t xml:space="preserve">
Lucro Líquido/Patrimônio Líquido</t>
        </r>
      </text>
    </comment>
    <comment ref="E29" authorId="0" shapeId="0" xr:uid="{20C35C09-F2D6-4C3F-9671-9245CA7CFD53}">
      <text>
        <r>
          <rPr>
            <b/>
            <sz val="9"/>
            <color indexed="81"/>
            <rFont val="Segoe UI"/>
            <family val="2"/>
          </rPr>
          <t>Pedro Ávila:</t>
        </r>
        <r>
          <rPr>
            <sz val="9"/>
            <color indexed="81"/>
            <rFont val="Segoe UI"/>
            <family val="2"/>
          </rPr>
          <t xml:space="preserve">
Lucro Líquido/Ativo Total</t>
        </r>
      </text>
    </comment>
    <comment ref="E30" authorId="0" shapeId="0" xr:uid="{658B9DA7-F8F4-40A8-B272-3372795829AC}">
      <text>
        <r>
          <rPr>
            <b/>
            <sz val="9"/>
            <color indexed="81"/>
            <rFont val="Segoe UI"/>
            <family val="2"/>
          </rPr>
          <t>Pedro Ávila:</t>
        </r>
        <r>
          <rPr>
            <sz val="9"/>
            <color indexed="81"/>
            <rFont val="Segoe UI"/>
            <family val="2"/>
          </rPr>
          <t xml:space="preserve">
Lucro Líquido/(Margem Financeira Bruta + Outras Receitas Operacionais)</t>
        </r>
      </text>
    </comment>
    <comment ref="E31" authorId="0" shapeId="0" xr:uid="{4B6D4C92-5895-4B4B-B233-E103C25984C5}">
      <text>
        <r>
          <rPr>
            <b/>
            <sz val="9"/>
            <color indexed="81"/>
            <rFont val="Segoe UI"/>
            <family val="2"/>
          </rPr>
          <t>Pedro Ávila:</t>
        </r>
        <r>
          <rPr>
            <sz val="9"/>
            <color indexed="81"/>
            <rFont val="Segoe UI"/>
            <family val="2"/>
          </rPr>
          <t xml:space="preserve">
Passivos Onerosos/Ativos Rentáveis</t>
        </r>
      </text>
    </comment>
    <comment ref="E32" authorId="0" shapeId="0" xr:uid="{B6BC292F-80FC-409B-9214-5DB9B6765854}">
      <text>
        <r>
          <rPr>
            <b/>
            <sz val="9"/>
            <color indexed="81"/>
            <rFont val="Segoe UI"/>
            <family val="2"/>
          </rPr>
          <t>Pedro Ávila:</t>
        </r>
        <r>
          <rPr>
            <sz val="9"/>
            <color indexed="81"/>
            <rFont val="Segoe UI"/>
            <family val="2"/>
          </rPr>
          <t xml:space="preserve">
Receita de Juros/Ativos Rentáveis</t>
        </r>
      </text>
    </comment>
    <comment ref="E33" authorId="0" shapeId="0" xr:uid="{3EDA70AF-40C2-4DBF-B08B-DFBA5EBBD5AA}">
      <text>
        <r>
          <rPr>
            <b/>
            <sz val="9"/>
            <color indexed="81"/>
            <rFont val="Segoe UI"/>
            <family val="2"/>
          </rPr>
          <t>Pedro Ávila:</t>
        </r>
        <r>
          <rPr>
            <sz val="9"/>
            <color indexed="81"/>
            <rFont val="Segoe UI"/>
            <family val="2"/>
          </rPr>
          <t xml:space="preserve">
Despesas de Juros/Passivos Onerosos</t>
        </r>
      </text>
    </comment>
    <comment ref="E34" authorId="0" shapeId="0" xr:uid="{AD96C455-844B-4C29-A44F-BBDB9AAB1BD0}">
      <text>
        <r>
          <rPr>
            <b/>
            <sz val="9"/>
            <color indexed="81"/>
            <rFont val="Segoe UI"/>
            <family val="2"/>
          </rPr>
          <t>Pedro Ávila:</t>
        </r>
        <r>
          <rPr>
            <sz val="9"/>
            <color indexed="81"/>
            <rFont val="Segoe UI"/>
            <family val="2"/>
          </rPr>
          <t xml:space="preserve">
Margem Financeira Líquida/Ativos Rentáveis</t>
        </r>
      </text>
    </comment>
    <comment ref="E39" authorId="0" shapeId="0" xr:uid="{602FBA4F-5693-4014-AA5B-697C97905512}">
      <text>
        <r>
          <rPr>
            <b/>
            <sz val="9"/>
            <color indexed="81"/>
            <rFont val="Segoe UI"/>
            <family val="2"/>
          </rPr>
          <t>Pedro Ávila:</t>
        </r>
        <r>
          <rPr>
            <sz val="9"/>
            <color indexed="81"/>
            <rFont val="Segoe UI"/>
            <family val="2"/>
          </rPr>
          <t xml:space="preserve">
Ativos Sensíveis a Taxa de Juros/Passivos Sensíveis a Taxa de Juros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<sst xmlns="http://schemas.openxmlformats.org/spreadsheetml/2006/main" count="1708" uniqueCount="434">
  <si>
    <t>Páginas</t>
  </si>
  <si>
    <t>Dashboard</t>
  </si>
  <si>
    <t>Ke</t>
  </si>
  <si>
    <t>Descrição</t>
  </si>
  <si>
    <t>DRE + DCF</t>
  </si>
  <si>
    <t>DI</t>
  </si>
  <si>
    <t>A taxa livre de risco no Brasil pode partir do DI, que é equivalente ao prêmio de um titulo IPCA+ do governo de mesmo prazo somado à inflação implicita.</t>
  </si>
  <si>
    <t>CDS</t>
  </si>
  <si>
    <t>Balanço Patrimonial</t>
  </si>
  <si>
    <t>Inflação Implícita</t>
  </si>
  <si>
    <t>Projeções - NIM</t>
  </si>
  <si>
    <t>Taxa Livre de Risco</t>
  </si>
  <si>
    <t>Painel de Índices</t>
  </si>
  <si>
    <t>Beta</t>
  </si>
  <si>
    <t>Prêmio de Risco</t>
  </si>
  <si>
    <t>Dados Alternativos FGV: https://goo.gl/bBfwGq</t>
  </si>
  <si>
    <t>Custo de Capital Próprio (Ke)</t>
  </si>
  <si>
    <t>Desconto</t>
  </si>
  <si>
    <t>Data</t>
  </si>
  <si>
    <t>IBOV</t>
  </si>
  <si>
    <t>Variação IBOV</t>
  </si>
  <si>
    <t>-</t>
  </si>
  <si>
    <t>Trimestre Atual</t>
  </si>
  <si>
    <t>Ticker</t>
  </si>
  <si>
    <t>Ações Emitidas (Ex-Treasury)</t>
  </si>
  <si>
    <t>Valor do Equity (Em milhões)</t>
  </si>
  <si>
    <t>Valor da Ação</t>
  </si>
  <si>
    <t>Cotação</t>
  </si>
  <si>
    <t>Upside</t>
  </si>
  <si>
    <t>TIR</t>
  </si>
  <si>
    <t>Growth</t>
  </si>
  <si>
    <t>Crescimento Real</t>
  </si>
  <si>
    <t>Preço Teto</t>
  </si>
  <si>
    <t>BAZA3</t>
  </si>
  <si>
    <t>Banco da Amazônia ($BAZA3)</t>
  </si>
  <si>
    <t>Preço BAZA3</t>
  </si>
  <si>
    <t>Variação BAZA3</t>
  </si>
  <si>
    <t>Ativos Remuneráveis</t>
  </si>
  <si>
    <t>Ativo Total</t>
  </si>
  <si>
    <t>Ativo Circulante e Realizável a Longo Prazo</t>
  </si>
  <si>
    <t>Disponibilidades</t>
  </si>
  <si>
    <t>% dos Ativos Remuneráveis</t>
  </si>
  <si>
    <t>Aplicações Interfinanceiras de Liquidez</t>
  </si>
  <si>
    <t>TVM  e Instrumentos Financeiros Derivativos</t>
  </si>
  <si>
    <t>Outros Créditos</t>
  </si>
  <si>
    <t>Carteira de Câmbio</t>
  </si>
  <si>
    <t>Crédito Tributário</t>
  </si>
  <si>
    <t>Permanente</t>
  </si>
  <si>
    <t>Imobilizado de Uso</t>
  </si>
  <si>
    <t>Intangível</t>
  </si>
  <si>
    <t>Passivo Total</t>
  </si>
  <si>
    <t>Circulante e Exigível a Longo Prazo</t>
  </si>
  <si>
    <t>Depósitos</t>
  </si>
  <si>
    <t>Depósitos à Vista</t>
  </si>
  <si>
    <t>Depósitos de Poupança</t>
  </si>
  <si>
    <t>Depósitos Interfinanceiros</t>
  </si>
  <si>
    <t>Depósitos a Prazo</t>
  </si>
  <si>
    <t>Captações no Mercado Aberto</t>
  </si>
  <si>
    <t>Sociais e Estatutárias</t>
  </si>
  <si>
    <t>Fundos Financeiros e de Desenvolvimento</t>
  </si>
  <si>
    <t>Patrimônio Líquido</t>
  </si>
  <si>
    <t>% do Ativo</t>
  </si>
  <si>
    <t>Reservas de Capital</t>
  </si>
  <si>
    <t>Lucros ou Prejuízos Acumulados</t>
  </si>
  <si>
    <t>Títulos Públicos</t>
  </si>
  <si>
    <t>Debêntures</t>
  </si>
  <si>
    <t>Cotas de FIDC</t>
  </si>
  <si>
    <t>Cotas de Fundos de Renda Fixa</t>
  </si>
  <si>
    <t>Cotas de Fundos REF</t>
  </si>
  <si>
    <t>Letras Financeiras</t>
  </si>
  <si>
    <t>Ações</t>
  </si>
  <si>
    <t>Cotas de Renda Variável</t>
  </si>
  <si>
    <t>Vinculados a Operações Compromissadas</t>
  </si>
  <si>
    <t>Vinculados a Prestação de Garantia</t>
  </si>
  <si>
    <t>Relações Interfinanceiras e Interdependências</t>
  </si>
  <si>
    <t>Operações de Crédito</t>
  </si>
  <si>
    <t>Empréstimos</t>
  </si>
  <si>
    <t>Direitos Creditórios Descontados</t>
  </si>
  <si>
    <t>Financiamentos</t>
  </si>
  <si>
    <t>Financiamentos Rurais</t>
  </si>
  <si>
    <t>Outros Instrumentos Financeiros</t>
  </si>
  <si>
    <t>Instrumentos Financeiros</t>
  </si>
  <si>
    <t>Provisões para Perdas Associadas ao Risco de Crédito</t>
  </si>
  <si>
    <t>Provisão para Operações de Crédito</t>
  </si>
  <si>
    <t>Provisão para Outros Créditos</t>
  </si>
  <si>
    <t>Provisão para Câmbio</t>
  </si>
  <si>
    <t>Outros Ativos</t>
  </si>
  <si>
    <t>Ativos Fiscais Correntes e Diferidos</t>
  </si>
  <si>
    <t>Impostos e Contribuição a Compensar</t>
  </si>
  <si>
    <t>Depreciações e Amortizações</t>
  </si>
  <si>
    <t>Depreciação Acumulada de Imobilizado de Uso</t>
  </si>
  <si>
    <t>Amortização Acumulada de Intangível</t>
  </si>
  <si>
    <t>Provisão para Redução ao Valor Recuperável de Ativos</t>
  </si>
  <si>
    <t>Provisão para Perdas em Aplicações Interfinanceiras de Liquidez</t>
  </si>
  <si>
    <t>A Prazo</t>
  </si>
  <si>
    <t>Depósitos Judiciais com Remuneração</t>
  </si>
  <si>
    <t>Depósitos Especiais com Remuneração</t>
  </si>
  <si>
    <t>Sudam</t>
  </si>
  <si>
    <t>Finam</t>
  </si>
  <si>
    <t>Outros</t>
  </si>
  <si>
    <t>Letra de Crédito do Agronegócio</t>
  </si>
  <si>
    <t>Obrigações por Empréstimo</t>
  </si>
  <si>
    <t>Obrigações por Repasses do País-Instituições Oficiais</t>
  </si>
  <si>
    <t>Cobrança de Arrecadação de Tributos e Assemelhados</t>
  </si>
  <si>
    <t>Constitucional de Financiamento do Norte (FNO)</t>
  </si>
  <si>
    <t>Marinha Mercante (FMM)</t>
  </si>
  <si>
    <t>Fundo de Desenvolvimento da Amazônia (FDA)</t>
  </si>
  <si>
    <t>Outros Passivos Financeiros</t>
  </si>
  <si>
    <t>Adiantamento para Futuro Aumento de Capital</t>
  </si>
  <si>
    <t>Instrumentos de Dívida Elegíveis a Capital</t>
  </si>
  <si>
    <t>Depósitos e Demais Instrumentos Financeiros</t>
  </si>
  <si>
    <t>Provisões</t>
  </si>
  <si>
    <t>Provisão  para Pagamento a Efetuar</t>
  </si>
  <si>
    <t>Provisão para Garantias Financeiras Prestadas</t>
  </si>
  <si>
    <t>Provisão para Passivos Atuariais</t>
  </si>
  <si>
    <t>Provisões para Demandas Judiciais</t>
  </si>
  <si>
    <t>Provisão para Planos Saldados</t>
  </si>
  <si>
    <t>Provisões Diversas</t>
  </si>
  <si>
    <t>Obrigações Fiscais Correntes e Diferidas</t>
  </si>
  <si>
    <t>Fiscas e Previdenciárias</t>
  </si>
  <si>
    <t>Provisões para Impostos e Contribuições Diferidos</t>
  </si>
  <si>
    <t>Capital Social</t>
  </si>
  <si>
    <t>Reservas de Lucro</t>
  </si>
  <si>
    <t>Outros Resultados Abrangentes</t>
  </si>
  <si>
    <t>Data do Último Resultado: 14/03/2024</t>
  </si>
  <si>
    <t>Premissas</t>
  </si>
  <si>
    <t>Margem Financeira Bruta</t>
  </si>
  <si>
    <t>Calculado na aba "Projeçoes - NIM"</t>
  </si>
  <si>
    <t>Margem Financeira Líquida (Resultado de Intermediação Financeira)</t>
  </si>
  <si>
    <t>Resultado Líquido da Intermediação Financeira</t>
  </si>
  <si>
    <t>Receita de Serviços</t>
  </si>
  <si>
    <t>Crescimento (%)</t>
  </si>
  <si>
    <t>Despesas de Pessoal</t>
  </si>
  <si>
    <t>Despesas Tributárias</t>
  </si>
  <si>
    <t>Resultado Operacional</t>
  </si>
  <si>
    <t>Resultado Não Operacional</t>
  </si>
  <si>
    <t xml:space="preserve">Resultado  Antes da Tributação sobre Lucros </t>
  </si>
  <si>
    <t>Imposto de Renda e Contribuição Social</t>
  </si>
  <si>
    <t>Resultado  Antes das Participações</t>
  </si>
  <si>
    <t>Lucro Líquido Recorrente</t>
  </si>
  <si>
    <t>Ano</t>
  </si>
  <si>
    <t>Margem Financeira Líquida</t>
  </si>
  <si>
    <t>Alíquota Efetiva</t>
  </si>
  <si>
    <t>TJLP</t>
  </si>
  <si>
    <t>JCP Permitido</t>
  </si>
  <si>
    <t>Benefício Fiscal Utilizado</t>
  </si>
  <si>
    <t>Benefício Fiscal Gerado</t>
  </si>
  <si>
    <t>Crédito Tributário Gerado</t>
  </si>
  <si>
    <t>Ativo Fiscal Diferido</t>
  </si>
  <si>
    <t>Administração de Fundos e Programas</t>
  </si>
  <si>
    <t>FNO</t>
  </si>
  <si>
    <t>Art. 19 da Lei nº 8.167/91</t>
  </si>
  <si>
    <t>Outras - FDA</t>
  </si>
  <si>
    <t>Outros Serviços</t>
  </si>
  <si>
    <t>Rendas de Tarifas Bancárias</t>
  </si>
  <si>
    <t>Pessoa Física</t>
  </si>
  <si>
    <t>Pessoa Jurídica</t>
  </si>
  <si>
    <t>Del Credere FNO</t>
  </si>
  <si>
    <t>Recuperação de Rendas FNO</t>
  </si>
  <si>
    <t>Recuperação de Encargos e Despesas</t>
  </si>
  <si>
    <t>Demais Receitas Operacionais</t>
  </si>
  <si>
    <t>Despesas Operacionais</t>
  </si>
  <si>
    <t>Despesas Administrativas</t>
  </si>
  <si>
    <t>Demais Despesas Operacionais</t>
  </si>
  <si>
    <t>Despesas de Provisão</t>
  </si>
  <si>
    <t>Garantia Financeira Prestada</t>
  </si>
  <si>
    <t>Passivo Autarial</t>
  </si>
  <si>
    <t>Demandas Judiciais</t>
  </si>
  <si>
    <t>Planos Saldados</t>
  </si>
  <si>
    <t xml:space="preserve">Provisão para Imposto de Renda </t>
  </si>
  <si>
    <t>Provisão para Contribuição Social</t>
  </si>
  <si>
    <t>Participação sobre Lucro</t>
  </si>
  <si>
    <t>Participações  sobre Lucro como % do Resultado Antes das Participações</t>
  </si>
  <si>
    <t>Selic Acumulada</t>
  </si>
  <si>
    <t>Inflação</t>
  </si>
  <si>
    <t>Net Interest Margin (NIM)</t>
  </si>
  <si>
    <t>Taxa de Juros de Longo Prazo (TJLP)</t>
  </si>
  <si>
    <t>Margem Liquida de Juros</t>
  </si>
  <si>
    <t>Receita de Juros</t>
  </si>
  <si>
    <t>Rentabilidade Média dos Ativos</t>
  </si>
  <si>
    <t>Despesas de Juros</t>
  </si>
  <si>
    <t>Custo Médio dos Passivos</t>
  </si>
  <si>
    <t>Margem Financeira Líquida como % da Margem Financeira Bruta</t>
  </si>
  <si>
    <t>Spread Global</t>
  </si>
  <si>
    <t>Ativos Rentáveis</t>
  </si>
  <si>
    <t>Crescimento dos Ativos Rentáveis</t>
  </si>
  <si>
    <t>% dos Ativos Rentáveis</t>
  </si>
  <si>
    <t>Passivos Onerosos</t>
  </si>
  <si>
    <t>Crescimento dos Passivos Rentáveis</t>
  </si>
  <si>
    <t>% dos Passivos Onerosos</t>
  </si>
  <si>
    <t>Patrimônio Líquido (Final do Ano)</t>
  </si>
  <si>
    <t>% Crescimento do Patrimônio Líquido</t>
  </si>
  <si>
    <t>Patrimônio Líquido (Final do Ano) / Ativos Rentáveis</t>
  </si>
  <si>
    <t>Passivos Onerosos / Ativos Rentáveis</t>
  </si>
  <si>
    <t>Crescimento dos Juros dos Ativos Rentáveis</t>
  </si>
  <si>
    <t>Crescimento dos Juros dos Passivos Onerosos</t>
  </si>
  <si>
    <t>Títulos de Renda Fixa</t>
  </si>
  <si>
    <t>Fundos de Investimentos</t>
  </si>
  <si>
    <t>Recuperação de Créditos Baixados como Prejuízo</t>
  </si>
  <si>
    <t>Rendas de Repasses Interfinanceiros</t>
  </si>
  <si>
    <t>Resultado de Operações com TVM</t>
  </si>
  <si>
    <t>Aplicações em Depósitos Interfinanceiros</t>
  </si>
  <si>
    <t>Aplicação Fundos de Investimentos</t>
  </si>
  <si>
    <t>TVM - Ajusto ao Valor de Mercado</t>
  </si>
  <si>
    <t>TVM - Outras Rendas</t>
  </si>
  <si>
    <t>Operações de Captação no Mercado</t>
  </si>
  <si>
    <t>Despesas de Captações c/ Depósitos</t>
  </si>
  <si>
    <t>Poupança</t>
  </si>
  <si>
    <t>Especiais</t>
  </si>
  <si>
    <t>Interfinanceiros</t>
  </si>
  <si>
    <t>Letras de Crédito do Agronegócio (LCA)</t>
  </si>
  <si>
    <t>Judiciais</t>
  </si>
  <si>
    <t>Despesas de Captações Mercado Aberto (Carteira Própria)</t>
  </si>
  <si>
    <t>Operações de Empréstimos e Repasses</t>
  </si>
  <si>
    <t>Fundo Garantidor de Crédito</t>
  </si>
  <si>
    <t>Resultado de Operações de Câmbio</t>
  </si>
  <si>
    <t>Receitas da Intermediação Financeira</t>
  </si>
  <si>
    <t>Despesas da Intermediação Financeira</t>
  </si>
  <si>
    <t>Provisões para Perdas Esperadas Associadas ao Risco de Crédito (PCLD)</t>
  </si>
  <si>
    <t>Provisão para Repasses Interfinanceiros</t>
  </si>
  <si>
    <t>R²</t>
  </si>
  <si>
    <t>Coeficiente Linear</t>
  </si>
  <si>
    <t>Coeficiente Angular</t>
  </si>
  <si>
    <t>CAGR 2020-2023</t>
  </si>
  <si>
    <t>Crescimento da Carteira de Crédito Ativa</t>
  </si>
  <si>
    <t>Demais Fontes</t>
  </si>
  <si>
    <t>Carteira de Crédito Ativa</t>
  </si>
  <si>
    <t>% da Carteira de Crédito Ativa</t>
  </si>
  <si>
    <t>Exposição da Carteira de Crédito</t>
  </si>
  <si>
    <t>Ano (Bilhão de R$)</t>
  </si>
  <si>
    <t>% da Carteira em que o BASA compartilha o risco</t>
  </si>
  <si>
    <t>Carteira de Crédito em que o BASA assume 100% do Risco</t>
  </si>
  <si>
    <t>Carteira de Crédito em que o BASA assume 50% do Risco</t>
  </si>
  <si>
    <t>% da Carteira Ativa em que o BASA assume 100% do risco</t>
  </si>
  <si>
    <t>Delta da Carteira de Crédito Ativa / Delta da Carteira Ativa em que o BASA assume 100% do Risco</t>
  </si>
  <si>
    <t>Será igual ao percentual do último ano</t>
  </si>
  <si>
    <t>Cresc. Real PIB</t>
  </si>
  <si>
    <t>Cresc. Real  Nominal</t>
  </si>
  <si>
    <t>Carteira de Crédito (Exposição)</t>
  </si>
  <si>
    <t>% Crescimento da Carteira de Crédito (Exposição)</t>
  </si>
  <si>
    <t>Carteira de Crédito (Exposição) / Ativos Rentáveis</t>
  </si>
  <si>
    <t>PCLD como % da Exposição da Carteira de Crédito</t>
  </si>
  <si>
    <t>Despesa de Provisão (PCLD)</t>
  </si>
  <si>
    <t>Carteira Ativa: FNO</t>
  </si>
  <si>
    <t>Carteira FNO que o BASA assume 100% do Risco</t>
  </si>
  <si>
    <t>Carteira FNO que o BASA assume 50% do Risco</t>
  </si>
  <si>
    <t>Exposição da Carteira FNO</t>
  </si>
  <si>
    <t>Receitas Operacionais</t>
  </si>
  <si>
    <t>Despesas Tributárias / Receitas Operacionais</t>
  </si>
  <si>
    <t>Despesas Operacionais (Ex - Demais Despesas Operacionais)</t>
  </si>
  <si>
    <t>Demais Despesas Operacionais / Despesas Operacionais (Ex - Demais Despesas Operacionais)</t>
  </si>
  <si>
    <t>Despesas Operacionais (Ex - Despesas Tributárias e Demais Despesas Operacionais)</t>
  </si>
  <si>
    <t>Receitas Operacionais (Ex - Receita com Outros Serviços e Demais Receitas Operacionais)</t>
  </si>
  <si>
    <t>Demais Receitas Operacionais / Receitas Operacionais (Ex - Receita com Outros Serviços e Demais Receitas Operacionais)</t>
  </si>
  <si>
    <t>Despesas Operacionais Totais</t>
  </si>
  <si>
    <t>Despesas Operacionais Totais /  Receitas Operacionais</t>
  </si>
  <si>
    <t>Participação sobre o Lucro</t>
  </si>
  <si>
    <t>Participação sobre o Lucro / Resultado Operacional</t>
  </si>
  <si>
    <t>IR</t>
  </si>
  <si>
    <t>CSLL</t>
  </si>
  <si>
    <t>Exclusões Líquidas de Caráter Permanente</t>
  </si>
  <si>
    <t>Exclusões Líquidas de Caráter Temporário</t>
  </si>
  <si>
    <t>Adições Líquidas de Caráter Temporário</t>
  </si>
  <si>
    <t>Valores Devidos pela Alíquota Normal</t>
  </si>
  <si>
    <t>Valores Devidos pela Alíquota Normal: IR</t>
  </si>
  <si>
    <t>Valores Devidos pela Alíquota Normal: CSLL</t>
  </si>
  <si>
    <t>Incentivos: IR</t>
  </si>
  <si>
    <t>Incentivos: CSLL</t>
  </si>
  <si>
    <t>Exclusões e Adições Líquidas: CSLL</t>
  </si>
  <si>
    <t>Exclusões e Adições Líquidas: IR</t>
  </si>
  <si>
    <t>Alíquota Efetiva: IR</t>
  </si>
  <si>
    <t>Alíquota Efetiva: CSLL</t>
  </si>
  <si>
    <t>Valores Devidos</t>
  </si>
  <si>
    <t>Incentivos</t>
  </si>
  <si>
    <t>Realização da Reserva de Reavaliação e Diferido s/MTM</t>
  </si>
  <si>
    <t>Realização da Reserva de Reavaliação e Diferido s/MTM: CSLL</t>
  </si>
  <si>
    <t>Realização da Reserva de Reavaliação e Diferido s/MTM: IR</t>
  </si>
  <si>
    <t>Realização da Reserva de Crédito Tributário s/diferenças Temporárias</t>
  </si>
  <si>
    <t>Valores Devidos : CSLL</t>
  </si>
  <si>
    <t>Valores Devidos: IR</t>
  </si>
  <si>
    <t>Resultado Antes do IRPJ e CSLL</t>
  </si>
  <si>
    <t>Resultado Antes da Tributação e Participações</t>
  </si>
  <si>
    <t>Participações Estatutárias</t>
  </si>
  <si>
    <t>Exclusões e Adições</t>
  </si>
  <si>
    <t>Exclusões e Adições: IR</t>
  </si>
  <si>
    <t>Exclusões e Adições: CSLL</t>
  </si>
  <si>
    <t>Utilizações de Créditos Tributários</t>
  </si>
  <si>
    <t>Base de Cálculo</t>
  </si>
  <si>
    <t>Provisão para Imposto de Renda como % do Resultado Antes da Tributação</t>
  </si>
  <si>
    <t>Provisão para Contribuição Social como % do Resultado Antes da Tributação</t>
  </si>
  <si>
    <t>Ativo Fiscal Diferido como % do Resultado Antes da Tributação</t>
  </si>
  <si>
    <t>Crescimento da Margem Financeira Líquida (YoY)¹</t>
  </si>
  <si>
    <t>Receitas de Prestação de Serviços</t>
  </si>
  <si>
    <t>Crescimento das Receitas de Prestação de Serviços (YoY)¹</t>
  </si>
  <si>
    <t>Crescimento do Resultado Operacional (YoY)¹</t>
  </si>
  <si>
    <t>Resultado Antes do IR</t>
  </si>
  <si>
    <t>Imposto de Renda e Contribuição Social como % do Resultado Operacional</t>
  </si>
  <si>
    <t>Participações Estatutárias no Lucro</t>
  </si>
  <si>
    <t>Crescimento Lucro Líquido dos Acionistas Controladoresl (YoY)¹</t>
  </si>
  <si>
    <t>1 - Ano a Ano</t>
  </si>
  <si>
    <t>Perpetuidade</t>
  </si>
  <si>
    <t>ROE Perp.</t>
  </si>
  <si>
    <t>Lucro Líquido Total</t>
  </si>
  <si>
    <t>Depreciação e Amortização</t>
  </si>
  <si>
    <t>Depreciação e Amortização como % dos Ativos Permanentes</t>
  </si>
  <si>
    <r>
      <t xml:space="preserve">Capex (Projeção: </t>
    </r>
    <r>
      <rPr>
        <b/>
        <sz val="10"/>
        <color theme="1" tint="0.249977111117893"/>
        <rFont val="Calibri"/>
        <family val="2"/>
      </rPr>
      <t>∆ (Intangível + Imobilizado de Uso + Investimentos)</t>
    </r>
    <r>
      <rPr>
        <b/>
        <sz val="10"/>
        <color theme="1" tint="0.249977111117893"/>
        <rFont val="Calibri"/>
        <family val="2"/>
        <scheme val="minor"/>
      </rPr>
      <t>)</t>
    </r>
  </si>
  <si>
    <t>Investimento em Capital Regulatório (Projeção: ∆ Patrimônio de Referência)</t>
  </si>
  <si>
    <t>FCFE Pertencente aos Acionistas</t>
  </si>
  <si>
    <t>Desconto Acumulado</t>
  </si>
  <si>
    <t>FCFE Descontado</t>
  </si>
  <si>
    <t>ROE</t>
  </si>
  <si>
    <t>Lucro Líquido por Ação</t>
  </si>
  <si>
    <t>Índice Payout</t>
  </si>
  <si>
    <t>Índice Reinvestimento</t>
  </si>
  <si>
    <t>Proventos por Ação</t>
  </si>
  <si>
    <t>JCP Distribuído</t>
  </si>
  <si>
    <t>Dividendos Distribuídos</t>
  </si>
  <si>
    <t>Premissa</t>
  </si>
  <si>
    <t>Soma entre o PL anterior e o Lucro reinvestido</t>
  </si>
  <si>
    <t>Ativos Ponderados pelo Risco (RWA)</t>
  </si>
  <si>
    <t>Patrimônio de Referência</t>
  </si>
  <si>
    <t>Patrimônio de Referência como % do PL</t>
  </si>
  <si>
    <t>Índice de Basileia</t>
  </si>
  <si>
    <t>∆ Resultado Operacional</t>
  </si>
  <si>
    <t>Taxa de Reinvestimento</t>
  </si>
  <si>
    <t>ROE Necessário</t>
  </si>
  <si>
    <t>Crescimento das Despesas Operacionais (YoY)¹</t>
  </si>
  <si>
    <t>Crescimento das Despesas de Provisão (YoY)¹</t>
  </si>
  <si>
    <t xml:space="preserve">Resultado Antes de Participações Estatutárias </t>
  </si>
  <si>
    <t>Lucro Líquido</t>
  </si>
  <si>
    <t xml:space="preserve"> </t>
  </si>
  <si>
    <t>Delta</t>
  </si>
  <si>
    <t>Preço Justo</t>
  </si>
  <si>
    <t>Valor da Perpetuidade</t>
  </si>
  <si>
    <t>CAPEX</t>
  </si>
  <si>
    <t>Capital Regulatório</t>
  </si>
  <si>
    <t>g real</t>
  </si>
  <si>
    <t>Projetado na Tabela de "Projeção da Receita com Administração de Fundos e Programas".</t>
  </si>
  <si>
    <t>Projetado na Tabela "Projeção da Receita com Outros Serviços e com Demais Receitas Operacionais".</t>
  </si>
  <si>
    <t>Projetado na Tabela "Projeção da Receita com Tarifas Bancárias".</t>
  </si>
  <si>
    <t>Projetado na Tabela "Projeção da Receita com o FNO".</t>
  </si>
  <si>
    <t>Projetado na Tabela "Projeção da Receita com Recuperação de Encargos e Despesas".</t>
  </si>
  <si>
    <t>Crescerá em linha com o PIB Nominal.</t>
  </si>
  <si>
    <t>Cairá até atingir o PIB Nominal na perpetuidade.</t>
  </si>
  <si>
    <t>Projetado na Tabela "Projeção das Despesas com Provisão das Garantias Financeiras Prestadas".</t>
  </si>
  <si>
    <t>Projetado na Tabela "Projeção das Demais Despesas Operacionais".</t>
  </si>
  <si>
    <t>Projetado na Tabela "Projeção das Despesas Tributárias".</t>
  </si>
  <si>
    <t>Crescerá em linha com a inflação.</t>
  </si>
  <si>
    <t>Projetado na Tabela "Projeção da Participação sobre o Lucro".</t>
  </si>
  <si>
    <t>Projetado na Tabela "Projeção de Valores Devidos: IR e CSLL".</t>
  </si>
  <si>
    <t>Projetado na Tabela "Projeção de Adição e Exclusão de IR e CSLL".</t>
  </si>
  <si>
    <t>Projetado na Tabela "Cronograma da Utilização dos Créditos Tributários".</t>
  </si>
  <si>
    <t>Manterá o percentual igual ao do último ano.</t>
  </si>
  <si>
    <t>Cairá até atingir 0.11% na perpetuidade. É um valor arbitrário para refletir a queda dos últimos 4 anos.</t>
  </si>
  <si>
    <t>Cairá até atingir 0% na perpetuidade.</t>
  </si>
  <si>
    <t>Cairá até atingir o percentual mínimo na perpetuidade.</t>
  </si>
  <si>
    <t>Manterá a média dos últimos 4 anos.</t>
  </si>
  <si>
    <t>Cairá até atingir o menor percentual histórico na perpetuidade.</t>
  </si>
  <si>
    <t>Crescerá até atingir a média na perpetuidade.</t>
  </si>
  <si>
    <t>Crescerá até atingir a média dos últimos 4 anos na perpetuidade.</t>
  </si>
  <si>
    <t>Cairá até atingir o percentual médio na perpetuidade.</t>
  </si>
  <si>
    <t>Será equivalente à metade do benefício fiscal do JCP, projetado na tabela de "Projeção do JCP".</t>
  </si>
  <si>
    <t>RWA como % Exposição da Carteira de Crédito</t>
  </si>
  <si>
    <t>Se manterá constante igual ao último ano.</t>
  </si>
  <si>
    <t>Projetado na Tabela "Juros"</t>
  </si>
  <si>
    <t>Calculado através de um modelo oriundo de uma regressão lienear entre o a taxa selic e o PCLD como % da Exposição da Carteira de Crédito.</t>
  </si>
  <si>
    <t>Será igual ao percentual do último ano.</t>
  </si>
  <si>
    <t>Subirá linearmente até atingir 100%.</t>
  </si>
  <si>
    <t>Projetado na aba "-Projeções - NIM".</t>
  </si>
  <si>
    <t>.</t>
  </si>
  <si>
    <t>O percentual se manterá constante igual ao último ano.</t>
  </si>
  <si>
    <t>Projetado na aba "Projeções - NIM".</t>
  </si>
  <si>
    <t>Valor resultra entre a subtração do Passivo Total e o Passivo Ex - Provisões.</t>
  </si>
  <si>
    <t>Calculado na aba "DRE + DFC".</t>
  </si>
  <si>
    <t>Encaixe Voluntário</t>
  </si>
  <si>
    <t>Liquidez Imediata</t>
  </si>
  <si>
    <t>Índice Empréstimos/Depósitos</t>
  </si>
  <si>
    <t>Capital de Giro Próprio</t>
  </si>
  <si>
    <t>Participações dos Empréstimos</t>
  </si>
  <si>
    <t>Independência Financeira</t>
  </si>
  <si>
    <t>Alavancagem</t>
  </si>
  <si>
    <t>Relação Capital/Passivos Onerosos</t>
  </si>
  <si>
    <t>Imobilização do Capital Próprio</t>
  </si>
  <si>
    <t>ROA</t>
  </si>
  <si>
    <t>Margem Líquida</t>
  </si>
  <si>
    <t>Relação entre Passivos Onerosos e Ativos Rentáveis</t>
  </si>
  <si>
    <t>Rentabilidade Média dos Ativos Rentáveis</t>
  </si>
  <si>
    <t>GAP</t>
  </si>
  <si>
    <t>Proventos por ação</t>
  </si>
  <si>
    <t>Dividend Yield (12 meses)</t>
  </si>
  <si>
    <t>Payout</t>
  </si>
  <si>
    <t>Credit Default Swap (CDS)</t>
  </si>
  <si>
    <t>Índice do setor (IFNC)</t>
  </si>
  <si>
    <t>Atualizado em: 03/04/2024</t>
  </si>
  <si>
    <t>FNO / Carteira Ativa: FNO</t>
  </si>
  <si>
    <t>Art. 19 da Lei nº 8.167/91 / Depósitos Especiais com Remuneração</t>
  </si>
  <si>
    <t>Finam / Depósitos Especiais com Remuneração</t>
  </si>
  <si>
    <t>Outros - FDA / Depósitos Especiais com Remuneração</t>
  </si>
  <si>
    <t>Pessoa Física / Depósitos</t>
  </si>
  <si>
    <t>Pessoa Jurídica / Depósitos</t>
  </si>
  <si>
    <t>Recuperação de Renda FNO</t>
  </si>
  <si>
    <t>Del Credere FNO / Exposição da Carteira FNO</t>
  </si>
  <si>
    <t>Recuperação de Renda FNO / Exposição da Carteira FNO</t>
  </si>
  <si>
    <t>Recuperação de Encargos e Despesas / Despesas Operacionais (Ex - Despesas Tributárias e Demais Despesas Operacionais)</t>
  </si>
  <si>
    <t>Outros Serviços / Receitas Operacionais (Ex - Receita com Outros Serviços e Demais Receitas Operacionais)</t>
  </si>
  <si>
    <t>Garantias Financeiras Prestadas</t>
  </si>
  <si>
    <t>Provisão das Garantias Financeiras Prestadas / Exposição da Carteira de Crédito</t>
  </si>
  <si>
    <t>Por conta da baixa volatilidade histórica, assumimos que se manterá constante igual ao último ano.</t>
  </si>
  <si>
    <t>Por conta da alta volatilidade histórica, assumimos que crescerá linearmente até atingir o percentual média dos últimos 4 anos. Caso assumíssemos um percentual constante igual ao último ano, nossa projeção ficaria muito distante da média. E caso assumíssemos um percentual constante igual à média, haveria um salto grande entre os annos de 2023 e 2024.</t>
  </si>
  <si>
    <t>Utilizamos Beta igual a 1 como forma conservadora. O Beta Clássico de BAZA3 é por volta de 0,2 e o Beta Clássico do setor é por volta de1,07.</t>
  </si>
  <si>
    <t>1T24</t>
  </si>
  <si>
    <t>YTD24</t>
  </si>
  <si>
    <t>YTG24</t>
  </si>
  <si>
    <t>DRE - Cosif</t>
  </si>
  <si>
    <t>1º Tri</t>
  </si>
  <si>
    <t>2º Tri</t>
  </si>
  <si>
    <t>3º Tri</t>
  </si>
  <si>
    <t>4º Tri</t>
  </si>
  <si>
    <t>YTG (9M24)</t>
  </si>
  <si>
    <t>Projeções Trimestrais</t>
  </si>
  <si>
    <t>Média</t>
  </si>
  <si>
    <t>35,3</t>
  </si>
  <si>
    <t>Assumimos que todo o crédito em que o BASA assume 50% do Risco é do FNO.</t>
  </si>
  <si>
    <t>Manterá o percentual de 2023</t>
  </si>
  <si>
    <t>Se manterá igual à do último ano.</t>
  </si>
  <si>
    <t>Incentivos IR como % do LAIR</t>
  </si>
  <si>
    <t>Incentivos CSLL como % do LAIR</t>
  </si>
  <si>
    <t>Crescerá igual ao PIB Nominal</t>
  </si>
  <si>
    <t>Outros Passivos</t>
  </si>
  <si>
    <t>Linha criada para agregar as diferenças entre o Passivo Total e o Circulante e Elegível a Longo Prazo</t>
  </si>
  <si>
    <t>Crescerá linearmente até atinir o menor percentual histórico, o de 2022</t>
  </si>
  <si>
    <t>Crescerá linearmente até atinir o menor percentual histórico, o de 2021</t>
  </si>
  <si>
    <t>Crescerá linearmente até atingir o maior índice da série histórica.</t>
  </si>
  <si>
    <t>Crescerá linearmente até atingir o índice de mediano da série histórica.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</si>
</sst>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R$&quot;\ #,##0;[Red]\-&quot;R$&quot;\ #,##0"/>
    <numFmt numFmtId="8" formatCode="&quot;R$&quot;\ #,##0.00;[Red]\-&quot;R$&quot;\ #,##0.00"/>
    <numFmt numFmtId="44" formatCode="_-&quot;R$&quot;\ * #,##0.00_-;\-&quot;R$&quot;\ * #,##0.00_-;_-&quot;R$&quot;\ * &quot;-&quot;??_-;_-@_-"/>
    <numFmt numFmtId="164" formatCode="#,##0.00;\(#,##0.00\)"/>
    <numFmt numFmtId="165" formatCode="0.0%"/>
    <numFmt numFmtId="166" formatCode="_-&quot;R$&quot;\ * #,##0_-;\-&quot;R$&quot;\ * #,##0_-;_-&quot;R$&quot;\ * &quot;-&quot;??_-;_-@_-"/>
    <numFmt numFmtId="167" formatCode="#,##0;\(#,##0\)"/>
    <numFmt numFmtId="168" formatCode="#,##0;\(#,##0\);\-"/>
    <numFmt numFmtId="169" formatCode="General&quot;E&quot;"/>
    <numFmt numFmtId="170" formatCode="0.00%;\-0.00%;\-"/>
    <numFmt numFmtId="171" formatCode="#,##0.0;\(#,##0.0\);\-"/>
    <numFmt numFmtId="172" formatCode="#,##0.0"/>
    <numFmt numFmtId="173" formatCode="#,##0.00000000000000"/>
    <numFmt numFmtId="174" formatCode="#,##0.0;\(#,##0.0\)"/>
    <numFmt numFmtId="175" formatCode="0.000%"/>
    <numFmt numFmtId="176" formatCode="0.0"/>
    <numFmt numFmtId="177" formatCode="#,##0_ ;\-#,##0\ "/>
    <numFmt numFmtId="178" formatCode="#,##0.0_ ;\-#,##0.0\ "/>
  </numFmts>
  <fonts count="32" x14ac:knownFonts="1">
    <font>
      <sz val="11"/>
      <color theme="1"/>
      <name val="Calibri"/>
      <family val="2"/>
      <scheme val="minor"/>
    </font>
    <font>
      <sz val="11"/>
      <color theme="1"/>
      <name val="Calibri"/>
      <family val="2"/>
      <scheme val="minor"/>
    </font>
    <font>
      <sz val="11"/>
      <color theme="0"/>
      <name val="Calibri"/>
      <family val="2"/>
      <scheme val="minor"/>
    </font>
    <font>
      <u/>
      <sz val="11"/>
      <color theme="10"/>
      <name val="Calibri"/>
      <family val="2"/>
      <scheme val="minor"/>
    </font>
    <font>
      <b/>
      <sz val="20"/>
      <color theme="1" tint="0.249977111117893"/>
      <name val="Calibri"/>
      <family val="2"/>
      <scheme val="minor"/>
    </font>
    <font>
      <b/>
      <sz val="10"/>
      <color rgb="FFCBCBCB"/>
      <name val="Calibri"/>
      <family val="2"/>
      <scheme val="minor"/>
    </font>
    <font>
      <sz val="11"/>
      <color theme="1" tint="0.34998626667073579"/>
      <name val="Calibri"/>
      <family val="2"/>
      <scheme val="minor"/>
    </font>
    <font>
      <sz val="11"/>
      <color theme="4"/>
      <name val="Calibri"/>
      <family val="2"/>
      <scheme val="minor"/>
    </font>
    <font>
      <sz val="11"/>
      <color theme="1" tint="0.249977111117893"/>
      <name val="Calibri"/>
      <family val="2"/>
      <scheme val="minor"/>
    </font>
    <font>
      <b/>
      <sz val="11"/>
      <color theme="1" tint="0.249977111117893"/>
      <name val="Calibri"/>
      <family val="2"/>
      <scheme val="minor"/>
    </font>
    <font>
      <sz val="11"/>
      <color rgb="FF6B7280"/>
      <name val="Calibri"/>
      <family val="2"/>
      <scheme val="minor"/>
    </font>
    <font>
      <b/>
      <sz val="22"/>
      <color theme="1" tint="0.249977111117893"/>
      <name val="Calibri"/>
      <family val="2"/>
      <scheme val="minor"/>
    </font>
    <font>
      <b/>
      <sz val="11"/>
      <color theme="4"/>
      <name val="Calibri"/>
      <family val="2"/>
      <scheme val="minor"/>
    </font>
    <font>
      <b/>
      <sz val="10"/>
      <color theme="1" tint="0.249977111117893"/>
      <name val="Calibri"/>
      <family val="2"/>
      <scheme val="minor"/>
    </font>
    <font>
      <b/>
      <sz val="11"/>
      <color theme="1" tint="0.34998626667073579"/>
      <name val="Calibri"/>
      <family val="2"/>
      <scheme val="minor"/>
    </font>
    <font>
      <b/>
      <sz val="11"/>
      <color rgb="FF43AF43"/>
      <name val="Calibri"/>
      <family val="2"/>
      <scheme val="minor"/>
    </font>
    <font>
      <sz val="10"/>
      <color theme="1" tint="0.249977111117893"/>
      <name val="Calibri"/>
      <family val="2"/>
      <scheme val="minor"/>
    </font>
    <font>
      <sz val="10"/>
      <color theme="1"/>
      <name val="Calibri"/>
      <family val="2"/>
      <scheme val="minor"/>
    </font>
    <font>
      <b/>
      <sz val="10"/>
      <color theme="4"/>
      <name val="Calibri"/>
      <family val="2"/>
      <scheme val="minor"/>
    </font>
    <font>
      <sz val="10"/>
      <name val="Calibri"/>
      <family val="2"/>
      <scheme val="minor"/>
    </font>
    <font>
      <sz val="10"/>
      <color theme="4"/>
      <name val="Calibri"/>
      <family val="2"/>
      <scheme val="minor"/>
    </font>
    <font>
      <b/>
      <sz val="20"/>
      <color theme="1"/>
      <name val="Calibri"/>
      <family val="2"/>
      <scheme val="minor"/>
    </font>
    <font>
      <b/>
      <sz val="9"/>
      <color indexed="81"/>
      <name val="Segoe UI"/>
      <family val="2"/>
    </font>
    <font>
      <sz val="9"/>
      <color indexed="81"/>
      <name val="Segoe UI"/>
      <family val="2"/>
    </font>
    <font>
      <b/>
      <sz val="11"/>
      <color theme="1"/>
      <name val="Calibri"/>
      <family val="2"/>
      <scheme val="minor"/>
    </font>
    <font>
      <b/>
      <sz val="10"/>
      <color theme="1" tint="0.249977111117893"/>
      <name val="Calibri"/>
      <family val="2"/>
    </font>
    <font>
      <sz val="10"/>
      <color rgb="FF43AF43"/>
      <name val="Calibri"/>
      <family val="2"/>
      <scheme val="minor"/>
    </font>
    <font>
      <sz val="9"/>
      <color theme="1"/>
      <name val="Calibri"/>
      <family val="2"/>
      <scheme val="minor"/>
    </font>
    <font>
      <sz val="10"/>
      <color theme="1" tint="0.249977111117893"/>
      <name val="Calibri"/>
      <family val="2"/>
    </font>
    <font>
      <b/>
      <sz val="20"/>
      <color theme="1" tint="0.249977111117893"/>
      <name val="Calibri"/>
      <family val="2"/>
    </font>
    <font>
      <b/>
      <sz val="10"/>
      <color rgb="FF00C556"/>
      <name val="Calibri"/>
      <family val="2"/>
      <scheme val="minor"/>
    </font>
    <font>
      <sz val="10"/>
      <name val="Arial"/>
      <family val="2"/>
    </font>
  </fonts>
  <fills count="6">
    <fill>
      <patternFill patternType="none"/>
    </fill>
    <fill>
      <patternFill patternType="gray125"/>
    </fill>
    <fill>
      <patternFill patternType="solid">
        <fgColor theme="0"/>
        <bgColor indexed="64"/>
      </patternFill>
    </fill>
    <fill>
      <patternFill patternType="solid">
        <fgColor rgb="FFF9FBFD"/>
        <bgColor indexed="64"/>
      </patternFill>
    </fill>
    <fill>
      <patternFill patternType="solid">
        <fgColor theme="0" tint="-4.9989318521683403E-2"/>
        <bgColor indexed="64"/>
      </patternFill>
    </fill>
    <fill>
      <patternFill patternType="solid">
        <fgColor theme="4" tint="0.79998168889431442"/>
        <bgColor indexed="64"/>
      </patternFill>
    </fill>
  </fills>
  <borders count="59">
    <border>
      <left/>
      <right/>
      <top/>
      <bottom/>
      <diagonal/>
    </border>
    <border>
      <left/>
      <right style="thin">
        <color theme="2"/>
      </right>
      <top/>
      <bottom/>
      <diagonal/>
    </border>
    <border>
      <left/>
      <right/>
      <top/>
      <bottom style="thin">
        <color theme="2"/>
      </bottom>
      <diagonal/>
    </border>
    <border>
      <left/>
      <right style="thin">
        <color rgb="FFE5E7EB"/>
      </right>
      <top/>
      <bottom/>
      <diagonal/>
    </border>
    <border>
      <left style="medium">
        <color theme="2"/>
      </left>
      <right style="thin">
        <color theme="2"/>
      </right>
      <top style="medium">
        <color theme="2"/>
      </top>
      <bottom style="thin">
        <color theme="2"/>
      </bottom>
      <diagonal/>
    </border>
    <border>
      <left style="thin">
        <color theme="2"/>
      </left>
      <right style="thin">
        <color theme="2"/>
      </right>
      <top style="medium">
        <color theme="2"/>
      </top>
      <bottom style="thin">
        <color theme="2"/>
      </bottom>
      <diagonal/>
    </border>
    <border>
      <left style="thin">
        <color theme="2"/>
      </left>
      <right style="medium">
        <color theme="2"/>
      </right>
      <top style="medium">
        <color theme="2"/>
      </top>
      <bottom style="thin">
        <color theme="2"/>
      </bottom>
      <diagonal/>
    </border>
    <border>
      <left style="medium">
        <color theme="2"/>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medium">
        <color theme="2"/>
      </right>
      <top style="thin">
        <color theme="2"/>
      </top>
      <bottom style="thin">
        <color theme="2"/>
      </bottom>
      <diagonal/>
    </border>
    <border>
      <left style="medium">
        <color theme="2"/>
      </left>
      <right style="thin">
        <color theme="2"/>
      </right>
      <top style="thin">
        <color theme="2"/>
      </top>
      <bottom style="medium">
        <color theme="2"/>
      </bottom>
      <diagonal/>
    </border>
    <border>
      <left style="thin">
        <color theme="2"/>
      </left>
      <right style="thin">
        <color theme="2"/>
      </right>
      <top style="thin">
        <color theme="2"/>
      </top>
      <bottom style="medium">
        <color theme="2"/>
      </bottom>
      <diagonal/>
    </border>
    <border>
      <left style="thin">
        <color theme="2"/>
      </left>
      <right style="medium">
        <color theme="2"/>
      </right>
      <top style="thin">
        <color theme="2"/>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style="thin">
        <color theme="2"/>
      </right>
      <top/>
      <bottom/>
      <diagonal/>
    </border>
    <border>
      <left/>
      <right style="medium">
        <color theme="2"/>
      </right>
      <top/>
      <bottom/>
      <diagonal/>
    </border>
    <border>
      <left style="medium">
        <color theme="2"/>
      </left>
      <right style="thin">
        <color theme="2"/>
      </right>
      <top/>
      <bottom style="medium">
        <color theme="2"/>
      </bottom>
      <diagonal/>
    </border>
    <border>
      <left/>
      <right/>
      <top/>
      <bottom style="medium">
        <color theme="2"/>
      </bottom>
      <diagonal/>
    </border>
    <border>
      <left/>
      <right style="medium">
        <color theme="2"/>
      </right>
      <top/>
      <bottom style="medium">
        <color theme="2"/>
      </bottom>
      <diagonal/>
    </border>
    <border>
      <left style="medium">
        <color theme="2"/>
      </left>
      <right style="thin">
        <color theme="2"/>
      </right>
      <top style="thin">
        <color theme="2"/>
      </top>
      <bottom/>
      <diagonal/>
    </border>
    <border>
      <left style="thin">
        <color theme="2"/>
      </left>
      <right style="thin">
        <color theme="2"/>
      </right>
      <top style="thin">
        <color theme="2"/>
      </top>
      <bottom/>
      <diagonal/>
    </border>
    <border>
      <left style="thin">
        <color theme="2"/>
      </left>
      <right style="medium">
        <color theme="2"/>
      </right>
      <top style="thin">
        <color theme="2"/>
      </top>
      <bottom/>
      <diagonal/>
    </border>
    <border>
      <left style="thin">
        <color theme="2"/>
      </left>
      <right/>
      <top style="medium">
        <color theme="2"/>
      </top>
      <bottom style="thin">
        <color theme="2"/>
      </bottom>
      <diagonal/>
    </border>
    <border>
      <left/>
      <right style="medium">
        <color theme="2"/>
      </right>
      <top style="medium">
        <color theme="2"/>
      </top>
      <bottom style="thin">
        <color theme="2"/>
      </bottom>
      <diagonal/>
    </border>
    <border>
      <left style="thin">
        <color theme="2"/>
      </left>
      <right/>
      <top style="thin">
        <color theme="2"/>
      </top>
      <bottom style="thin">
        <color theme="2"/>
      </bottom>
      <diagonal/>
    </border>
    <border>
      <left/>
      <right style="medium">
        <color theme="2"/>
      </right>
      <top style="thin">
        <color theme="2"/>
      </top>
      <bottom style="thin">
        <color theme="2"/>
      </bottom>
      <diagonal/>
    </border>
    <border>
      <left style="thin">
        <color theme="2"/>
      </left>
      <right/>
      <top style="thin">
        <color theme="2"/>
      </top>
      <bottom style="medium">
        <color theme="2"/>
      </bottom>
      <diagonal/>
    </border>
    <border>
      <left/>
      <right style="medium">
        <color theme="2"/>
      </right>
      <top style="thin">
        <color theme="2"/>
      </top>
      <bottom style="medium">
        <color theme="2"/>
      </bottom>
      <diagonal/>
    </border>
    <border>
      <left style="medium">
        <color theme="2"/>
      </left>
      <right style="thin">
        <color theme="2"/>
      </right>
      <top style="medium">
        <color theme="2"/>
      </top>
      <bottom/>
      <diagonal/>
    </border>
    <border>
      <left style="thin">
        <color theme="2"/>
      </left>
      <right style="thin">
        <color theme="2"/>
      </right>
      <top style="medium">
        <color theme="2"/>
      </top>
      <bottom/>
      <diagonal/>
    </border>
    <border>
      <left style="thin">
        <color theme="2"/>
      </left>
      <right style="medium">
        <color theme="2"/>
      </right>
      <top style="medium">
        <color theme="2"/>
      </top>
      <bottom/>
      <diagonal/>
    </border>
    <border>
      <left style="thin">
        <color rgb="FFE5E7EB"/>
      </left>
      <right style="thin">
        <color rgb="FFE5E7EB"/>
      </right>
      <top style="thin">
        <color rgb="FFE5E7EB"/>
      </top>
      <bottom style="thin">
        <color rgb="FFE5E7EB"/>
      </bottom>
      <diagonal/>
    </border>
    <border>
      <left style="medium">
        <color rgb="FFE5E7EB"/>
      </left>
      <right style="thin">
        <color rgb="FFE5E7EB"/>
      </right>
      <top style="medium">
        <color rgb="FFE5E7EB"/>
      </top>
      <bottom style="thin">
        <color rgb="FFE5E7EB"/>
      </bottom>
      <diagonal/>
    </border>
    <border>
      <left style="thin">
        <color rgb="FFE5E7EB"/>
      </left>
      <right style="thin">
        <color rgb="FFE5E7EB"/>
      </right>
      <top style="medium">
        <color rgb="FFE5E7EB"/>
      </top>
      <bottom style="thin">
        <color rgb="FFE5E7EB"/>
      </bottom>
      <diagonal/>
    </border>
    <border>
      <left style="medium">
        <color rgb="FFE5E7EB"/>
      </left>
      <right style="thin">
        <color rgb="FFE5E7EB"/>
      </right>
      <top style="thin">
        <color rgb="FFE5E7EB"/>
      </top>
      <bottom style="thin">
        <color rgb="FFE5E7EB"/>
      </bottom>
      <diagonal/>
    </border>
    <border>
      <left style="thin">
        <color rgb="FFE5E7EB"/>
      </left>
      <right style="medium">
        <color rgb="FFE5E7EB"/>
      </right>
      <top style="thin">
        <color rgb="FFE5E7EB"/>
      </top>
      <bottom style="thin">
        <color rgb="FFE5E7EB"/>
      </bottom>
      <diagonal/>
    </border>
    <border>
      <left style="medium">
        <color rgb="FFE5E7EB"/>
      </left>
      <right style="thin">
        <color rgb="FFE5E7EB"/>
      </right>
      <top style="thin">
        <color rgb="FFE5E7EB"/>
      </top>
      <bottom style="medium">
        <color rgb="FFE5E7EB"/>
      </bottom>
      <diagonal/>
    </border>
    <border>
      <left style="thin">
        <color rgb="FFE5E7EB"/>
      </left>
      <right style="thin">
        <color rgb="FFE5E7EB"/>
      </right>
      <top style="thin">
        <color rgb="FFE5E7EB"/>
      </top>
      <bottom style="medium">
        <color rgb="FFE5E7EB"/>
      </bottom>
      <diagonal/>
    </border>
    <border>
      <left style="medium">
        <color rgb="FFE5E7EB"/>
      </left>
      <right style="thin">
        <color rgb="FFE5E7EB"/>
      </right>
      <top style="medium">
        <color rgb="FFE5E7EB"/>
      </top>
      <bottom/>
      <diagonal/>
    </border>
    <border>
      <left style="thin">
        <color rgb="FFE5E7EB"/>
      </left>
      <right style="thin">
        <color rgb="FFE5E7EB"/>
      </right>
      <top style="medium">
        <color rgb="FFE5E7EB"/>
      </top>
      <bottom/>
      <diagonal/>
    </border>
    <border>
      <left style="thin">
        <color rgb="FFE5E7EB"/>
      </left>
      <right style="medium">
        <color rgb="FFE5E7EB"/>
      </right>
      <top style="medium">
        <color rgb="FFE5E7EB"/>
      </top>
      <bottom/>
      <diagonal/>
    </border>
    <border>
      <left style="thin">
        <color theme="2"/>
      </left>
      <right style="medium">
        <color rgb="FFE5E7EB"/>
      </right>
      <top style="thin">
        <color theme="2"/>
      </top>
      <bottom style="thin">
        <color theme="2"/>
      </bottom>
      <diagonal/>
    </border>
    <border>
      <left style="thin">
        <color theme="2"/>
      </left>
      <right style="medium">
        <color rgb="FFE5E7EB"/>
      </right>
      <top style="thin">
        <color theme="2"/>
      </top>
      <bottom style="medium">
        <color rgb="FFE5E7EB"/>
      </bottom>
      <diagonal/>
    </border>
    <border>
      <left style="medium">
        <color theme="2"/>
      </left>
      <right style="thin">
        <color rgb="FFE5E7EB"/>
      </right>
      <top style="thin">
        <color rgb="FFE5E7EB"/>
      </top>
      <bottom style="thin">
        <color rgb="FFE5E7EB"/>
      </bottom>
      <diagonal/>
    </border>
    <border>
      <left style="medium">
        <color theme="2"/>
      </left>
      <right style="thin">
        <color rgb="FFE5E7EB"/>
      </right>
      <top style="thin">
        <color rgb="FFE5E7EB"/>
      </top>
      <bottom style="medium">
        <color theme="2"/>
      </bottom>
      <diagonal/>
    </border>
    <border>
      <left style="thin">
        <color rgb="FFE5E7EB"/>
      </left>
      <right style="thin">
        <color rgb="FFE5E7EB"/>
      </right>
      <top style="thin">
        <color rgb="FFE5E7EB"/>
      </top>
      <bottom style="medium">
        <color theme="2"/>
      </bottom>
      <diagonal/>
    </border>
    <border>
      <left style="thin">
        <color theme="2"/>
      </left>
      <right/>
      <top style="thin">
        <color theme="2"/>
      </top>
      <bottom/>
      <diagonal/>
    </border>
    <border>
      <left/>
      <right style="medium">
        <color theme="2"/>
      </right>
      <top style="thin">
        <color theme="2"/>
      </top>
      <bottom/>
      <diagonal/>
    </border>
    <border>
      <left style="thin">
        <color theme="2"/>
      </left>
      <right style="medium">
        <color theme="2"/>
      </right>
      <top/>
      <bottom style="thin">
        <color theme="2"/>
      </bottom>
      <diagonal/>
    </border>
    <border>
      <left style="medium">
        <color theme="2"/>
      </left>
      <right style="thin">
        <color theme="2"/>
      </right>
      <top style="medium">
        <color theme="2"/>
      </top>
      <bottom style="medium">
        <color theme="2"/>
      </bottom>
      <diagonal/>
    </border>
    <border>
      <left style="thin">
        <color theme="2"/>
      </left>
      <right style="medium">
        <color theme="2"/>
      </right>
      <top style="medium">
        <color theme="2"/>
      </top>
      <bottom style="medium">
        <color theme="2"/>
      </bottom>
      <diagonal/>
    </border>
    <border>
      <left style="medium">
        <color theme="2"/>
      </left>
      <right style="thin">
        <color theme="2"/>
      </right>
      <top style="dashed">
        <color theme="2"/>
      </top>
      <bottom/>
      <diagonal/>
    </border>
    <border>
      <left style="thin">
        <color theme="2"/>
      </left>
      <right style="thin">
        <color theme="2"/>
      </right>
      <top style="dashed">
        <color theme="2"/>
      </top>
      <bottom/>
      <diagonal/>
    </border>
    <border>
      <left style="thin">
        <color theme="2"/>
      </left>
      <right style="medium">
        <color theme="2"/>
      </right>
      <top style="dashed">
        <color theme="2"/>
      </top>
      <bottom/>
      <diagonal/>
    </border>
    <border>
      <left style="thin">
        <color rgb="FFE5E7EB"/>
      </left>
      <right style="thin">
        <color theme="2"/>
      </right>
      <top style="thin">
        <color theme="2"/>
      </top>
      <bottom style="thin">
        <color theme="2"/>
      </bottom>
      <diagonal/>
    </border>
    <border>
      <left style="medium">
        <color theme="2"/>
      </left>
      <right/>
      <top/>
      <bottom/>
      <diagonal/>
    </border>
    <border>
      <left style="medium">
        <color theme="2"/>
      </left>
      <right/>
      <top/>
      <bottom style="medium">
        <color theme="2"/>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31" fillId="0" borderId="0"/>
  </cellStyleXfs>
  <cellXfs count="517">
    <xf numFmtId="0" fontId="0" fillId="0" borderId="0" xfId="0"/>
    <xf numFmtId="0" fontId="0" fillId="2" borderId="1" xfId="0" applyFill="1" applyBorder="1" applyAlignment="1">
      <alignment vertical="center"/>
    </xf>
    <xf numFmtId="0" fontId="0" fillId="3" borderId="0" xfId="0" applyFill="1"/>
    <xf numFmtId="0" fontId="5" fillId="2" borderId="1" xfId="0" applyFont="1" applyFill="1" applyBorder="1" applyAlignment="1">
      <alignment horizontal="left" vertical="center" indent="2"/>
    </xf>
    <xf numFmtId="0" fontId="6" fillId="2" borderId="3" xfId="3" applyFont="1" applyFill="1" applyBorder="1" applyAlignment="1">
      <alignment horizontal="left" vertical="center" indent="2"/>
    </xf>
    <xf numFmtId="0" fontId="7" fillId="2" borderId="3" xfId="3" applyFont="1" applyFill="1" applyBorder="1" applyAlignment="1">
      <alignment horizontal="left" vertical="center" indent="2"/>
    </xf>
    <xf numFmtId="14" fontId="8" fillId="2" borderId="4" xfId="0" applyNumberFormat="1"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8" fillId="2" borderId="7" xfId="0" applyFont="1" applyFill="1" applyBorder="1" applyAlignment="1">
      <alignment horizontal="left" vertical="center" indent="5"/>
    </xf>
    <xf numFmtId="10" fontId="8" fillId="2" borderId="8" xfId="2" applyNumberFormat="1" applyFont="1" applyFill="1" applyBorder="1" applyAlignment="1">
      <alignment horizontal="center" vertical="center"/>
    </xf>
    <xf numFmtId="10" fontId="8" fillId="2" borderId="9" xfId="2" applyNumberFormat="1" applyFont="1" applyFill="1" applyBorder="1" applyAlignment="1">
      <alignment horizontal="center" vertical="center" wrapText="1"/>
    </xf>
    <xf numFmtId="10" fontId="8" fillId="2" borderId="9" xfId="2" applyNumberFormat="1" applyFont="1" applyFill="1" applyBorder="1" applyAlignment="1">
      <alignment horizontal="center" vertical="center"/>
    </xf>
    <xf numFmtId="0" fontId="9" fillId="2" borderId="7" xfId="0" applyFont="1" applyFill="1" applyBorder="1" applyAlignment="1">
      <alignment horizontal="left" vertical="center" indent="2"/>
    </xf>
    <xf numFmtId="10" fontId="9" fillId="2" borderId="8" xfId="2" applyNumberFormat="1" applyFont="1" applyFill="1" applyBorder="1" applyAlignment="1">
      <alignment horizontal="center" vertical="center"/>
    </xf>
    <xf numFmtId="10" fontId="9" fillId="2" borderId="9" xfId="2" applyNumberFormat="1" applyFont="1" applyFill="1" applyBorder="1" applyAlignment="1">
      <alignment horizontal="center" vertical="center"/>
    </xf>
    <xf numFmtId="164" fontId="8" fillId="0" borderId="8" xfId="0" applyNumberFormat="1" applyFont="1" applyBorder="1" applyAlignment="1">
      <alignment horizontal="center" vertical="center"/>
    </xf>
    <xf numFmtId="4" fontId="8" fillId="2" borderId="9" xfId="0" applyNumberFormat="1" applyFont="1" applyFill="1" applyBorder="1" applyAlignment="1">
      <alignment horizontal="center" vertical="center" wrapText="1"/>
    </xf>
    <xf numFmtId="165" fontId="8" fillId="2" borderId="8" xfId="2" applyNumberFormat="1" applyFont="1" applyFill="1" applyBorder="1" applyAlignment="1">
      <alignment horizontal="center" vertical="center"/>
    </xf>
    <xf numFmtId="165" fontId="8" fillId="2" borderId="9" xfId="2" applyNumberFormat="1" applyFont="1" applyFill="1" applyBorder="1" applyAlignment="1">
      <alignment horizontal="center" vertical="center"/>
    </xf>
    <xf numFmtId="0" fontId="10" fillId="2" borderId="1" xfId="0" applyFont="1" applyFill="1" applyBorder="1" applyAlignment="1">
      <alignment horizontal="left" vertical="center" indent="2"/>
    </xf>
    <xf numFmtId="0" fontId="9" fillId="2" borderId="10" xfId="0" applyFont="1" applyFill="1" applyBorder="1" applyAlignment="1">
      <alignment horizontal="left" vertical="center" indent="2"/>
    </xf>
    <xf numFmtId="2" fontId="8" fillId="2" borderId="11" xfId="2" applyNumberFormat="1" applyFont="1" applyFill="1" applyBorder="1" applyAlignment="1">
      <alignment horizontal="center" vertical="center"/>
    </xf>
    <xf numFmtId="2" fontId="8" fillId="2" borderId="12" xfId="2" applyNumberFormat="1"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14" fontId="8" fillId="2" borderId="7" xfId="0" applyNumberFormat="1" applyFont="1" applyFill="1" applyBorder="1" applyAlignment="1">
      <alignment horizontal="center" vertical="center"/>
    </xf>
    <xf numFmtId="2" fontId="8" fillId="2" borderId="8" xfId="0" applyNumberFormat="1" applyFont="1" applyFill="1" applyBorder="1" applyAlignment="1">
      <alignment horizontal="center" vertical="center"/>
    </xf>
    <xf numFmtId="3" fontId="8" fillId="2" borderId="8" xfId="0" applyNumberFormat="1" applyFont="1" applyFill="1" applyBorder="1" applyAlignment="1">
      <alignment horizontal="center" vertical="center"/>
    </xf>
    <xf numFmtId="0" fontId="8" fillId="2" borderId="8" xfId="0" applyFont="1" applyFill="1" applyBorder="1" applyAlignment="1">
      <alignment horizontal="center" vertical="center"/>
    </xf>
    <xf numFmtId="10" fontId="8" fillId="2" borderId="9" xfId="0" applyNumberFormat="1" applyFont="1" applyFill="1" applyBorder="1" applyAlignment="1">
      <alignment horizontal="center" vertical="center"/>
    </xf>
    <xf numFmtId="0" fontId="0" fillId="3" borderId="0" xfId="0" applyFill="1" applyAlignment="1">
      <alignment vertical="center"/>
    </xf>
    <xf numFmtId="0" fontId="0" fillId="0" borderId="0" xfId="0" applyAlignment="1">
      <alignment vertical="center"/>
    </xf>
    <xf numFmtId="0" fontId="11" fillId="3" borderId="0" xfId="0" applyFont="1" applyFill="1" applyAlignment="1">
      <alignment vertical="center"/>
    </xf>
    <xf numFmtId="0" fontId="11" fillId="3" borderId="0" xfId="0" applyFont="1" applyFill="1"/>
    <xf numFmtId="0" fontId="4" fillId="3" borderId="0" xfId="0" applyFont="1" applyFill="1" applyAlignment="1">
      <alignment vertical="center" shrinkToFit="1"/>
    </xf>
    <xf numFmtId="0" fontId="11" fillId="3" borderId="0" xfId="0" applyFont="1" applyFill="1" applyAlignment="1">
      <alignment horizontal="center" vertical="center"/>
    </xf>
    <xf numFmtId="0" fontId="0" fillId="3" borderId="0" xfId="0" applyFill="1" applyAlignment="1">
      <alignment horizontal="left" vertical="center"/>
    </xf>
    <xf numFmtId="0" fontId="0" fillId="0" borderId="0" xfId="0" applyAlignment="1">
      <alignment horizontal="left" vertical="center"/>
    </xf>
    <xf numFmtId="0" fontId="8" fillId="2" borderId="13" xfId="0" applyFont="1" applyFill="1" applyBorder="1" applyAlignment="1">
      <alignment vertical="center"/>
    </xf>
    <xf numFmtId="0" fontId="8" fillId="2" borderId="14" xfId="0" applyFont="1" applyFill="1" applyBorder="1" applyAlignment="1">
      <alignment horizontal="right" vertical="center"/>
    </xf>
    <xf numFmtId="0" fontId="8" fillId="2" borderId="15" xfId="0" applyFont="1" applyFill="1" applyBorder="1" applyAlignment="1">
      <alignment vertical="center"/>
    </xf>
    <xf numFmtId="0" fontId="9" fillId="2" borderId="16" xfId="0" applyFont="1" applyFill="1" applyBorder="1" applyAlignment="1">
      <alignment horizontal="left" vertical="center" indent="2"/>
    </xf>
    <xf numFmtId="0" fontId="12" fillId="2" borderId="0" xfId="0" applyFont="1" applyFill="1" applyAlignment="1">
      <alignment horizontal="right" vertical="center"/>
    </xf>
    <xf numFmtId="0" fontId="8" fillId="2" borderId="0" xfId="0" applyFont="1" applyFill="1" applyAlignment="1">
      <alignment vertical="center"/>
    </xf>
    <xf numFmtId="10" fontId="13" fillId="2" borderId="0" xfId="0" applyNumberFormat="1" applyFont="1" applyFill="1" applyAlignment="1">
      <alignment horizontal="center" vertical="center"/>
    </xf>
    <xf numFmtId="8" fontId="6" fillId="2" borderId="0" xfId="0" applyNumberFormat="1" applyFont="1" applyFill="1" applyAlignment="1">
      <alignment horizontal="center" vertical="center"/>
    </xf>
    <xf numFmtId="8" fontId="6" fillId="2" borderId="17" xfId="0" applyNumberFormat="1" applyFont="1" applyFill="1" applyBorder="1" applyAlignment="1">
      <alignment horizontal="center" vertical="center"/>
    </xf>
    <xf numFmtId="3" fontId="8" fillId="2" borderId="0" xfId="0" applyNumberFormat="1" applyFont="1" applyFill="1" applyAlignment="1">
      <alignment vertical="center"/>
    </xf>
    <xf numFmtId="0" fontId="8" fillId="2" borderId="0" xfId="0" applyFont="1" applyFill="1" applyAlignment="1">
      <alignment horizontal="left" vertical="center" indent="4"/>
    </xf>
    <xf numFmtId="6" fontId="14" fillId="2" borderId="0" xfId="0" applyNumberFormat="1" applyFont="1" applyFill="1" applyAlignment="1">
      <alignment vertical="center"/>
    </xf>
    <xf numFmtId="44" fontId="12" fillId="2" borderId="0" xfId="1" applyFont="1" applyFill="1" applyBorder="1" applyAlignment="1">
      <alignment horizontal="right" vertical="center"/>
    </xf>
    <xf numFmtId="6" fontId="8" fillId="2" borderId="0" xfId="0" applyNumberFormat="1" applyFont="1" applyFill="1" applyAlignment="1">
      <alignment vertical="center"/>
    </xf>
    <xf numFmtId="0" fontId="8" fillId="2" borderId="16" xfId="0" applyFont="1" applyFill="1" applyBorder="1" applyAlignment="1">
      <alignment horizontal="left" vertical="center" indent="4"/>
    </xf>
    <xf numFmtId="8" fontId="6" fillId="2" borderId="0" xfId="0" applyNumberFormat="1" applyFont="1" applyFill="1" applyAlignment="1">
      <alignment vertical="center"/>
    </xf>
    <xf numFmtId="165" fontId="12" fillId="2" borderId="0" xfId="0" applyNumberFormat="1" applyFont="1" applyFill="1" applyAlignment="1">
      <alignment vertical="center"/>
    </xf>
    <xf numFmtId="0" fontId="8" fillId="2" borderId="16" xfId="0" applyFont="1" applyFill="1" applyBorder="1" applyAlignment="1">
      <alignment horizontal="left" vertical="center" indent="2"/>
    </xf>
    <xf numFmtId="8" fontId="2" fillId="2" borderId="0" xfId="0" applyNumberFormat="1" applyFont="1" applyFill="1" applyAlignment="1">
      <alignment vertical="center"/>
    </xf>
    <xf numFmtId="10" fontId="13" fillId="2" borderId="17" xfId="0" applyNumberFormat="1" applyFont="1" applyFill="1" applyBorder="1" applyAlignment="1">
      <alignment horizontal="center" vertical="center"/>
    </xf>
    <xf numFmtId="0" fontId="0" fillId="2" borderId="0" xfId="0" applyFill="1" applyAlignment="1">
      <alignment vertical="center"/>
    </xf>
    <xf numFmtId="10" fontId="13" fillId="2" borderId="0" xfId="0" applyNumberFormat="1" applyFont="1" applyFill="1" applyAlignment="1">
      <alignment horizontal="center" vertical="center" wrapText="1"/>
    </xf>
    <xf numFmtId="166" fontId="6" fillId="2" borderId="0" xfId="1" applyNumberFormat="1" applyFont="1" applyFill="1" applyBorder="1" applyAlignment="1">
      <alignment horizontal="center" vertical="center"/>
    </xf>
    <xf numFmtId="6" fontId="6" fillId="2" borderId="17" xfId="0" applyNumberFormat="1" applyFont="1" applyFill="1" applyBorder="1" applyAlignment="1">
      <alignment horizontal="center" vertical="center"/>
    </xf>
    <xf numFmtId="8" fontId="14" fillId="2" borderId="0" xfId="0" applyNumberFormat="1" applyFont="1" applyFill="1" applyAlignment="1">
      <alignment vertical="center"/>
    </xf>
    <xf numFmtId="14" fontId="8" fillId="2" borderId="21" xfId="0" applyNumberFormat="1" applyFont="1" applyFill="1" applyBorder="1" applyAlignment="1">
      <alignment horizontal="center" vertical="center"/>
    </xf>
    <xf numFmtId="2" fontId="8" fillId="2" borderId="22" xfId="0" applyNumberFormat="1" applyFont="1" applyFill="1" applyBorder="1" applyAlignment="1">
      <alignment horizontal="center" vertical="center"/>
    </xf>
    <xf numFmtId="3" fontId="8" fillId="2" borderId="22" xfId="0" applyNumberFormat="1" applyFont="1" applyFill="1" applyBorder="1" applyAlignment="1">
      <alignment horizontal="center" vertical="center"/>
    </xf>
    <xf numFmtId="10" fontId="8" fillId="2" borderId="22" xfId="2" applyNumberFormat="1" applyFont="1" applyFill="1" applyBorder="1" applyAlignment="1">
      <alignment horizontal="center" vertical="center"/>
    </xf>
    <xf numFmtId="10" fontId="8" fillId="2" borderId="23" xfId="2" applyNumberFormat="1"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0" fontId="16" fillId="0" borderId="7" xfId="0" applyFont="1" applyBorder="1" applyAlignment="1">
      <alignment horizontal="left" vertical="center" indent="2"/>
    </xf>
    <xf numFmtId="0" fontId="13" fillId="0" borderId="8" xfId="0" applyFont="1" applyBorder="1" applyAlignment="1">
      <alignment horizontal="center" vertical="center"/>
    </xf>
    <xf numFmtId="0" fontId="13" fillId="4" borderId="8" xfId="0" applyFont="1" applyFill="1" applyBorder="1" applyAlignment="1">
      <alignment horizontal="center" vertical="center"/>
    </xf>
    <xf numFmtId="0" fontId="13" fillId="0" borderId="7" xfId="0" applyFont="1" applyBorder="1" applyAlignment="1">
      <alignment horizontal="left" vertical="center" indent="2"/>
    </xf>
    <xf numFmtId="0" fontId="18" fillId="0" borderId="7" xfId="0" applyFont="1" applyBorder="1" applyAlignment="1">
      <alignment horizontal="left" vertical="center" indent="4"/>
    </xf>
    <xf numFmtId="3" fontId="18" fillId="0" borderId="8" xfId="0" applyNumberFormat="1" applyFont="1" applyBorder="1" applyAlignment="1">
      <alignment horizontal="center" vertical="center"/>
    </xf>
    <xf numFmtId="3" fontId="18" fillId="4" borderId="8" xfId="0" applyNumberFormat="1" applyFont="1" applyFill="1" applyBorder="1" applyAlignment="1">
      <alignment horizontal="center" vertical="center"/>
    </xf>
    <xf numFmtId="0" fontId="20" fillId="0" borderId="7" xfId="0" applyFont="1" applyBorder="1" applyAlignment="1">
      <alignment horizontal="left" vertical="center" indent="6"/>
    </xf>
    <xf numFmtId="165" fontId="20" fillId="0" borderId="8" xfId="2" applyNumberFormat="1" applyFont="1" applyBorder="1" applyAlignment="1">
      <alignment horizontal="center" vertical="center"/>
    </xf>
    <xf numFmtId="165" fontId="20" fillId="4" borderId="8" xfId="2" applyNumberFormat="1" applyFont="1" applyFill="1" applyBorder="1" applyAlignment="1">
      <alignment horizontal="center" vertical="center"/>
    </xf>
    <xf numFmtId="0" fontId="20" fillId="0" borderId="7" xfId="0" applyFont="1" applyBorder="1" applyAlignment="1">
      <alignment horizontal="left" vertical="center" indent="8"/>
    </xf>
    <xf numFmtId="3" fontId="0" fillId="3" borderId="0" xfId="0" applyNumberFormat="1" applyFill="1"/>
    <xf numFmtId="0" fontId="20" fillId="0" borderId="7" xfId="0" applyFont="1" applyBorder="1" applyAlignment="1">
      <alignment horizontal="left" vertical="center" indent="4"/>
    </xf>
    <xf numFmtId="0" fontId="13" fillId="2" borderId="4" xfId="0" applyFont="1" applyFill="1" applyBorder="1" applyAlignment="1">
      <alignment horizontal="left" vertical="center" indent="2"/>
    </xf>
    <xf numFmtId="0" fontId="13" fillId="2" borderId="5" xfId="0" applyFont="1" applyFill="1" applyBorder="1" applyAlignment="1">
      <alignment horizontal="center" vertical="center"/>
    </xf>
    <xf numFmtId="0" fontId="13" fillId="0" borderId="5" xfId="0" applyFont="1" applyBorder="1" applyAlignment="1">
      <alignment horizontal="center" vertical="center"/>
    </xf>
    <xf numFmtId="0" fontId="13" fillId="4" borderId="5" xfId="0" applyFont="1" applyFill="1" applyBorder="1" applyAlignment="1">
      <alignment horizontal="center" vertical="center"/>
    </xf>
    <xf numFmtId="0" fontId="16" fillId="2" borderId="7" xfId="0" applyFont="1" applyFill="1" applyBorder="1" applyAlignment="1">
      <alignment horizontal="left" vertical="center" indent="3"/>
    </xf>
    <xf numFmtId="167" fontId="16" fillId="2" borderId="8" xfId="0" applyNumberFormat="1" applyFont="1" applyFill="1" applyBorder="1" applyAlignment="1">
      <alignment horizontal="center" vertical="center"/>
    </xf>
    <xf numFmtId="168" fontId="16" fillId="4" borderId="8" xfId="0" applyNumberFormat="1" applyFont="1" applyFill="1" applyBorder="1" applyAlignment="1">
      <alignment horizontal="center" vertical="center"/>
    </xf>
    <xf numFmtId="0" fontId="13" fillId="2" borderId="10" xfId="0" applyFont="1" applyFill="1" applyBorder="1" applyAlignment="1">
      <alignment horizontal="left" vertical="center" indent="2"/>
    </xf>
    <xf numFmtId="167" fontId="13" fillId="2" borderId="11" xfId="0" applyNumberFormat="1" applyFont="1" applyFill="1" applyBorder="1" applyAlignment="1">
      <alignment horizontal="center" vertical="center"/>
    </xf>
    <xf numFmtId="167" fontId="13" fillId="4" borderId="11" xfId="0" applyNumberFormat="1" applyFont="1" applyFill="1" applyBorder="1" applyAlignment="1">
      <alignment horizontal="center" vertical="center"/>
    </xf>
    <xf numFmtId="10" fontId="0" fillId="3" borderId="0" xfId="2" applyNumberFormat="1" applyFont="1" applyFill="1"/>
    <xf numFmtId="0" fontId="13" fillId="2" borderId="6" xfId="0" applyFont="1" applyFill="1" applyBorder="1" applyAlignment="1">
      <alignment horizontal="center" vertical="center"/>
    </xf>
    <xf numFmtId="0" fontId="13" fillId="2" borderId="7" xfId="0" applyFont="1" applyFill="1" applyBorder="1" applyAlignment="1">
      <alignment horizontal="left" vertical="center" indent="2"/>
    </xf>
    <xf numFmtId="167" fontId="13" fillId="2" borderId="8" xfId="0" applyNumberFormat="1" applyFont="1" applyFill="1" applyBorder="1" applyAlignment="1">
      <alignment horizontal="center" vertical="center"/>
    </xf>
    <xf numFmtId="168" fontId="13" fillId="4" borderId="8" xfId="0" applyNumberFormat="1" applyFont="1" applyFill="1" applyBorder="1" applyAlignment="1">
      <alignment horizontal="center" vertical="center"/>
    </xf>
    <xf numFmtId="10" fontId="18" fillId="0" borderId="8" xfId="2" applyNumberFormat="1" applyFont="1" applyFill="1" applyBorder="1" applyAlignment="1">
      <alignment horizontal="center" vertical="center"/>
    </xf>
    <xf numFmtId="10" fontId="16" fillId="2" borderId="9" xfId="2" applyNumberFormat="1" applyFont="1" applyFill="1" applyBorder="1" applyAlignment="1">
      <alignment horizontal="center" vertical="center" wrapText="1"/>
    </xf>
    <xf numFmtId="0" fontId="20" fillId="2" borderId="7" xfId="0" applyFont="1" applyFill="1" applyBorder="1" applyAlignment="1">
      <alignment horizontal="left" vertical="center" indent="3"/>
    </xf>
    <xf numFmtId="10" fontId="20" fillId="2" borderId="8" xfId="2" applyNumberFormat="1" applyFont="1" applyFill="1" applyBorder="1" applyAlignment="1">
      <alignment horizontal="center" vertical="center"/>
    </xf>
    <xf numFmtId="10" fontId="20" fillId="4" borderId="8" xfId="2" applyNumberFormat="1" applyFont="1" applyFill="1" applyBorder="1" applyAlignment="1">
      <alignment horizontal="center" vertical="center"/>
    </xf>
    <xf numFmtId="168" fontId="20" fillId="2" borderId="9" xfId="0" applyNumberFormat="1" applyFont="1" applyFill="1" applyBorder="1" applyAlignment="1">
      <alignment horizontal="center" vertical="center"/>
    </xf>
    <xf numFmtId="0" fontId="16" fillId="2" borderId="7" xfId="0" applyFont="1" applyFill="1" applyBorder="1" applyAlignment="1">
      <alignment horizontal="left" vertical="center" indent="4"/>
    </xf>
    <xf numFmtId="168" fontId="16" fillId="0" borderId="8" xfId="0" applyNumberFormat="1" applyFont="1" applyBorder="1" applyAlignment="1">
      <alignment horizontal="center" vertical="center"/>
    </xf>
    <xf numFmtId="168" fontId="16" fillId="2" borderId="9" xfId="0" applyNumberFormat="1" applyFont="1" applyFill="1" applyBorder="1" applyAlignment="1">
      <alignment horizontal="center" vertical="center"/>
    </xf>
    <xf numFmtId="0" fontId="20" fillId="2" borderId="7" xfId="0" applyFont="1" applyFill="1" applyBorder="1" applyAlignment="1">
      <alignment horizontal="left" vertical="center" indent="6"/>
    </xf>
    <xf numFmtId="10" fontId="16" fillId="2" borderId="9" xfId="2" applyNumberFormat="1" applyFont="1" applyFill="1" applyBorder="1" applyAlignment="1">
      <alignment horizontal="center" vertical="center"/>
    </xf>
    <xf numFmtId="168" fontId="16" fillId="2" borderId="9" xfId="0" applyNumberFormat="1" applyFont="1" applyFill="1" applyBorder="1" applyAlignment="1">
      <alignment horizontal="center" vertical="center" wrapText="1"/>
    </xf>
    <xf numFmtId="10" fontId="20" fillId="0" borderId="8" xfId="2" applyNumberFormat="1" applyFont="1" applyFill="1" applyBorder="1" applyAlignment="1">
      <alignment horizontal="left" vertical="center" indent="4"/>
    </xf>
    <xf numFmtId="10" fontId="18" fillId="0" borderId="8" xfId="2" applyNumberFormat="1" applyFont="1" applyFill="1" applyBorder="1" applyAlignment="1">
      <alignment horizontal="left" vertical="center" indent="4"/>
    </xf>
    <xf numFmtId="0" fontId="20" fillId="2" borderId="7" xfId="0" applyFont="1" applyFill="1" applyBorder="1" applyAlignment="1">
      <alignment horizontal="left" vertical="center" indent="4"/>
    </xf>
    <xf numFmtId="10" fontId="20" fillId="0" borderId="8" xfId="2" applyNumberFormat="1" applyFont="1" applyFill="1" applyBorder="1" applyAlignment="1">
      <alignment horizontal="center" vertical="center"/>
    </xf>
    <xf numFmtId="167" fontId="13" fillId="4" borderId="8" xfId="0" applyNumberFormat="1" applyFont="1" applyFill="1" applyBorder="1" applyAlignment="1">
      <alignment horizontal="center" vertical="center"/>
    </xf>
    <xf numFmtId="167" fontId="16" fillId="0" borderId="8" xfId="0" applyNumberFormat="1" applyFont="1" applyBorder="1" applyAlignment="1">
      <alignment horizontal="center" vertical="center"/>
    </xf>
    <xf numFmtId="167" fontId="16" fillId="4" borderId="8" xfId="0" applyNumberFormat="1" applyFont="1" applyFill="1" applyBorder="1" applyAlignment="1">
      <alignment horizontal="center" vertical="center"/>
    </xf>
    <xf numFmtId="0" fontId="20" fillId="2" borderId="7" xfId="0" applyFont="1" applyFill="1" applyBorder="1" applyAlignment="1">
      <alignment horizontal="left" vertical="center" wrapText="1" indent="6"/>
    </xf>
    <xf numFmtId="10" fontId="20" fillId="0" borderId="11" xfId="2" applyNumberFormat="1" applyFont="1" applyFill="1" applyBorder="1" applyAlignment="1">
      <alignment horizontal="center" vertical="center"/>
    </xf>
    <xf numFmtId="168" fontId="16" fillId="2" borderId="12" xfId="0" applyNumberFormat="1" applyFont="1" applyFill="1" applyBorder="1" applyAlignment="1">
      <alignment horizontal="center" vertical="center"/>
    </xf>
    <xf numFmtId="0" fontId="16" fillId="2" borderId="7" xfId="0" applyFont="1" applyFill="1" applyBorder="1" applyAlignment="1">
      <alignment horizontal="left" vertical="center" indent="2"/>
    </xf>
    <xf numFmtId="168" fontId="16" fillId="2" borderId="8" xfId="0" applyNumberFormat="1" applyFont="1" applyFill="1" applyBorder="1" applyAlignment="1">
      <alignment horizontal="center" vertical="center"/>
    </xf>
    <xf numFmtId="0" fontId="20" fillId="2" borderId="10" xfId="0" applyFont="1" applyFill="1" applyBorder="1" applyAlignment="1">
      <alignment horizontal="left" vertical="center" wrapText="1" indent="4"/>
    </xf>
    <xf numFmtId="10" fontId="20" fillId="2" borderId="11" xfId="2" applyNumberFormat="1" applyFont="1" applyFill="1" applyBorder="1" applyAlignment="1">
      <alignment horizontal="center" vertical="center"/>
    </xf>
    <xf numFmtId="10" fontId="20" fillId="4" borderId="11" xfId="2" applyNumberFormat="1" applyFont="1" applyFill="1" applyBorder="1" applyAlignment="1">
      <alignment horizontal="center" vertical="center"/>
    </xf>
    <xf numFmtId="10" fontId="16" fillId="0" borderId="8" xfId="2" applyNumberFormat="1" applyFont="1" applyFill="1" applyBorder="1" applyAlignment="1">
      <alignment horizontal="center" vertical="center"/>
    </xf>
    <xf numFmtId="10" fontId="16" fillId="0" borderId="9" xfId="2" applyNumberFormat="1" applyFont="1" applyFill="1" applyBorder="1" applyAlignment="1">
      <alignment horizontal="center" vertical="center"/>
    </xf>
    <xf numFmtId="0" fontId="20" fillId="2" borderId="7" xfId="0" applyFont="1" applyFill="1" applyBorder="1" applyAlignment="1">
      <alignment horizontal="left" vertical="center" wrapText="1" indent="4"/>
    </xf>
    <xf numFmtId="0" fontId="16" fillId="2" borderId="7" xfId="0" applyFont="1" applyFill="1" applyBorder="1" applyAlignment="1">
      <alignment horizontal="left" vertical="center" indent="6"/>
    </xf>
    <xf numFmtId="0" fontId="17" fillId="3" borderId="0" xfId="0" applyFont="1" applyFill="1" applyAlignment="1">
      <alignment vertical="top" wrapText="1"/>
    </xf>
    <xf numFmtId="10" fontId="16" fillId="0" borderId="11" xfId="2" applyNumberFormat="1" applyFont="1" applyFill="1" applyBorder="1" applyAlignment="1">
      <alignment horizontal="center" vertical="center"/>
    </xf>
    <xf numFmtId="10" fontId="16" fillId="0" borderId="12" xfId="2" applyNumberFormat="1" applyFont="1" applyFill="1" applyBorder="1" applyAlignment="1">
      <alignment horizontal="center" vertical="center"/>
    </xf>
    <xf numFmtId="169" fontId="13" fillId="4" borderId="5" xfId="0" applyNumberFormat="1" applyFont="1" applyFill="1" applyBorder="1" applyAlignment="1">
      <alignment horizontal="center" vertical="center"/>
    </xf>
    <xf numFmtId="169" fontId="13" fillId="4" borderId="6" xfId="0" applyNumberFormat="1" applyFont="1" applyFill="1" applyBorder="1" applyAlignment="1">
      <alignment horizontal="center" vertical="center"/>
    </xf>
    <xf numFmtId="167" fontId="16" fillId="4" borderId="9" xfId="0" applyNumberFormat="1" applyFont="1" applyFill="1" applyBorder="1" applyAlignment="1">
      <alignment horizontal="center" vertical="center"/>
    </xf>
    <xf numFmtId="10" fontId="16" fillId="2" borderId="8" xfId="2" applyNumberFormat="1" applyFont="1" applyFill="1" applyBorder="1" applyAlignment="1">
      <alignment horizontal="center" vertical="center"/>
    </xf>
    <xf numFmtId="164" fontId="16" fillId="0" borderId="8" xfId="0" applyNumberFormat="1" applyFont="1" applyBorder="1" applyAlignment="1">
      <alignment horizontal="center" vertical="center"/>
    </xf>
    <xf numFmtId="10" fontId="16" fillId="4" borderId="8" xfId="2" applyNumberFormat="1" applyFont="1" applyFill="1" applyBorder="1" applyAlignment="1">
      <alignment horizontal="center" vertical="center"/>
    </xf>
    <xf numFmtId="10" fontId="16" fillId="4" borderId="9" xfId="2" applyNumberFormat="1" applyFont="1" applyFill="1" applyBorder="1" applyAlignment="1">
      <alignment horizontal="center" vertical="center"/>
    </xf>
    <xf numFmtId="164" fontId="16" fillId="2" borderId="8" xfId="0" applyNumberFormat="1" applyFont="1" applyFill="1" applyBorder="1" applyAlignment="1">
      <alignment horizontal="center" vertical="center"/>
    </xf>
    <xf numFmtId="164" fontId="16" fillId="2" borderId="8" xfId="0" quotePrefix="1" applyNumberFormat="1" applyFont="1" applyFill="1" applyBorder="1" applyAlignment="1">
      <alignment horizontal="center" vertical="center"/>
    </xf>
    <xf numFmtId="0" fontId="16" fillId="2" borderId="10" xfId="0" applyFont="1" applyFill="1" applyBorder="1" applyAlignment="1">
      <alignment horizontal="left" vertical="center" indent="2"/>
    </xf>
    <xf numFmtId="10" fontId="16" fillId="2" borderId="11" xfId="2" applyNumberFormat="1" applyFont="1" applyFill="1" applyBorder="1" applyAlignment="1">
      <alignment horizontal="center" vertical="center"/>
    </xf>
    <xf numFmtId="164" fontId="16" fillId="4" borderId="11" xfId="0" applyNumberFormat="1" applyFont="1" applyFill="1" applyBorder="1" applyAlignment="1">
      <alignment horizontal="center" vertical="center"/>
    </xf>
    <xf numFmtId="164" fontId="16" fillId="4" borderId="12" xfId="0" applyNumberFormat="1" applyFont="1" applyFill="1" applyBorder="1" applyAlignment="1">
      <alignment horizontal="center" vertical="center"/>
    </xf>
    <xf numFmtId="0" fontId="13" fillId="2" borderId="7" xfId="0" applyFont="1" applyFill="1" applyBorder="1" applyAlignment="1">
      <alignment horizontal="left" vertical="center" wrapText="1" indent="2"/>
    </xf>
    <xf numFmtId="0" fontId="13" fillId="2" borderId="10" xfId="0" applyFont="1" applyFill="1" applyBorder="1" applyAlignment="1">
      <alignment horizontal="left" vertical="center" wrapText="1" indent="2"/>
    </xf>
    <xf numFmtId="10" fontId="0" fillId="3" borderId="0" xfId="0" applyNumberFormat="1" applyFill="1"/>
    <xf numFmtId="0" fontId="20" fillId="2" borderId="7" xfId="0" applyFont="1" applyFill="1" applyBorder="1" applyAlignment="1">
      <alignment horizontal="left" vertical="center" indent="8"/>
    </xf>
    <xf numFmtId="0" fontId="13" fillId="4" borderId="6" xfId="0" applyFont="1" applyFill="1" applyBorder="1" applyAlignment="1">
      <alignment horizontal="center" vertical="center"/>
    </xf>
    <xf numFmtId="0" fontId="20" fillId="2" borderId="7" xfId="0" applyFont="1" applyFill="1" applyBorder="1" applyAlignment="1">
      <alignment horizontal="left" vertical="center" indent="2"/>
    </xf>
    <xf numFmtId="0" fontId="20" fillId="2" borderId="10" xfId="0" applyFont="1" applyFill="1" applyBorder="1" applyAlignment="1">
      <alignment horizontal="left" vertical="center" indent="2"/>
    </xf>
    <xf numFmtId="10" fontId="16" fillId="4" borderId="11" xfId="2" applyNumberFormat="1" applyFont="1" applyFill="1" applyBorder="1" applyAlignment="1">
      <alignment horizontal="center" vertical="center"/>
    </xf>
    <xf numFmtId="10" fontId="16" fillId="4" borderId="12" xfId="2" applyNumberFormat="1" applyFont="1" applyFill="1" applyBorder="1" applyAlignment="1">
      <alignment horizontal="center" vertical="center"/>
    </xf>
    <xf numFmtId="0" fontId="16" fillId="3" borderId="0" xfId="0" applyFont="1" applyFill="1" applyAlignment="1">
      <alignment horizontal="left" vertical="center" indent="2"/>
    </xf>
    <xf numFmtId="10" fontId="16" fillId="3" borderId="0" xfId="2" applyNumberFormat="1" applyFont="1" applyFill="1" applyBorder="1" applyAlignment="1">
      <alignment horizontal="center" vertical="center"/>
    </xf>
    <xf numFmtId="0" fontId="0" fillId="2" borderId="4" xfId="0" applyFill="1" applyBorder="1" applyAlignment="1">
      <alignment horizontal="left" vertical="center"/>
    </xf>
    <xf numFmtId="0" fontId="0" fillId="0" borderId="5" xfId="0" applyBorder="1" applyAlignment="1">
      <alignment vertical="center"/>
    </xf>
    <xf numFmtId="0" fontId="0" fillId="2" borderId="5" xfId="0" applyFill="1" applyBorder="1" applyAlignment="1">
      <alignment vertical="center"/>
    </xf>
    <xf numFmtId="0" fontId="0" fillId="2" borderId="6" xfId="0" applyFill="1" applyBorder="1" applyAlignment="1">
      <alignment vertical="center"/>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10" fontId="16" fillId="2" borderId="9" xfId="2" applyNumberFormat="1" applyFont="1" applyFill="1" applyBorder="1" applyAlignment="1">
      <alignment horizontal="left" vertical="center" indent="4"/>
    </xf>
    <xf numFmtId="168" fontId="13" fillId="2" borderId="8" xfId="0" applyNumberFormat="1" applyFont="1" applyFill="1" applyBorder="1" applyAlignment="1">
      <alignment horizontal="center" vertical="center"/>
    </xf>
    <xf numFmtId="10" fontId="16" fillId="2" borderId="12" xfId="2" applyNumberFormat="1" applyFont="1" applyFill="1" applyBorder="1" applyAlignment="1">
      <alignment horizontal="center" vertical="center"/>
    </xf>
    <xf numFmtId="165" fontId="0" fillId="3" borderId="0" xfId="2" applyNumberFormat="1" applyFont="1" applyFill="1" applyAlignment="1">
      <alignment vertical="center"/>
    </xf>
    <xf numFmtId="44" fontId="0" fillId="3" borderId="0" xfId="1" applyFont="1" applyFill="1" applyAlignment="1">
      <alignment vertical="center"/>
    </xf>
    <xf numFmtId="10" fontId="0" fillId="3" borderId="0" xfId="0" applyNumberFormat="1" applyFill="1" applyAlignment="1">
      <alignment vertical="center"/>
    </xf>
    <xf numFmtId="0" fontId="0" fillId="2" borderId="30" xfId="0" applyFill="1" applyBorder="1" applyAlignment="1">
      <alignment horizontal="left" vertical="center"/>
    </xf>
    <xf numFmtId="0" fontId="0" fillId="0" borderId="31" xfId="0" applyBorder="1" applyAlignment="1">
      <alignment vertical="center"/>
    </xf>
    <xf numFmtId="0" fontId="0" fillId="2" borderId="31" xfId="0" applyFill="1" applyBorder="1" applyAlignment="1">
      <alignment vertical="center"/>
    </xf>
    <xf numFmtId="0" fontId="0" fillId="2" borderId="32" xfId="0" applyFill="1" applyBorder="1" applyAlignment="1">
      <alignment vertical="center"/>
    </xf>
    <xf numFmtId="0" fontId="18" fillId="2" borderId="7" xfId="0" applyFont="1" applyFill="1" applyBorder="1" applyAlignment="1">
      <alignment horizontal="left" vertical="center" indent="2"/>
    </xf>
    <xf numFmtId="170" fontId="16" fillId="2" borderId="33" xfId="2" applyNumberFormat="1" applyFont="1" applyFill="1" applyBorder="1" applyAlignment="1">
      <alignment horizontal="center" vertical="center"/>
    </xf>
    <xf numFmtId="170" fontId="16" fillId="4" borderId="8" xfId="2" applyNumberFormat="1" applyFont="1" applyFill="1" applyBorder="1" applyAlignment="1">
      <alignment horizontal="center" vertical="center"/>
    </xf>
    <xf numFmtId="0" fontId="16" fillId="2" borderId="9" xfId="0" applyFont="1" applyFill="1" applyBorder="1" applyAlignment="1">
      <alignment horizontal="center" vertical="center" wrapText="1"/>
    </xf>
    <xf numFmtId="10" fontId="16" fillId="2" borderId="9" xfId="2" applyNumberFormat="1" applyFont="1" applyFill="1" applyBorder="1" applyAlignment="1">
      <alignment vertical="center" wrapText="1"/>
    </xf>
    <xf numFmtId="167" fontId="16" fillId="2" borderId="9" xfId="0" applyNumberFormat="1" applyFont="1" applyFill="1" applyBorder="1" applyAlignment="1">
      <alignment horizontal="center" vertical="center"/>
    </xf>
    <xf numFmtId="10" fontId="16" fillId="2" borderId="17" xfId="2" applyNumberFormat="1" applyFont="1" applyFill="1" applyBorder="1" applyAlignment="1">
      <alignment horizontal="center" vertical="center"/>
    </xf>
    <xf numFmtId="10" fontId="20" fillId="2" borderId="22" xfId="2" applyNumberFormat="1" applyFont="1" applyFill="1" applyBorder="1" applyAlignment="1">
      <alignment horizontal="center" vertical="center"/>
    </xf>
    <xf numFmtId="10" fontId="20" fillId="4" borderId="22" xfId="2" applyNumberFormat="1" applyFont="1" applyFill="1" applyBorder="1" applyAlignment="1">
      <alignment horizontal="center" vertical="center"/>
    </xf>
    <xf numFmtId="10" fontId="20" fillId="0" borderId="22" xfId="2" applyNumberFormat="1" applyFont="1" applyFill="1" applyBorder="1" applyAlignment="1">
      <alignment horizontal="center" vertical="center"/>
    </xf>
    <xf numFmtId="10" fontId="16" fillId="2" borderId="23" xfId="2" applyNumberFormat="1" applyFont="1" applyFill="1" applyBorder="1" applyAlignment="1">
      <alignment horizontal="center" vertical="center" wrapText="1"/>
    </xf>
    <xf numFmtId="0" fontId="18" fillId="2" borderId="21" xfId="0" applyFont="1" applyFill="1" applyBorder="1" applyAlignment="1">
      <alignment horizontal="left" vertical="center" indent="2"/>
    </xf>
    <xf numFmtId="10" fontId="13" fillId="2" borderId="22" xfId="2" applyNumberFormat="1" applyFont="1" applyFill="1" applyBorder="1" applyAlignment="1">
      <alignment horizontal="center" vertical="center"/>
    </xf>
    <xf numFmtId="10" fontId="13" fillId="4" borderId="22" xfId="2" applyNumberFormat="1" applyFont="1" applyFill="1" applyBorder="1" applyAlignment="1">
      <alignment horizontal="center" vertical="center"/>
    </xf>
    <xf numFmtId="10" fontId="13" fillId="0" borderId="22" xfId="2" applyNumberFormat="1" applyFont="1" applyFill="1" applyBorder="1" applyAlignment="1">
      <alignment horizontal="center" vertical="center"/>
    </xf>
    <xf numFmtId="10" fontId="13" fillId="2" borderId="23" xfId="2" applyNumberFormat="1" applyFont="1" applyFill="1" applyBorder="1" applyAlignment="1">
      <alignment horizontal="center" vertical="center"/>
    </xf>
    <xf numFmtId="0" fontId="18" fillId="2" borderId="10" xfId="0" applyFont="1" applyFill="1" applyBorder="1" applyAlignment="1">
      <alignment horizontal="left" vertical="center" indent="2"/>
    </xf>
    <xf numFmtId="10" fontId="13" fillId="2" borderId="11" xfId="2" applyNumberFormat="1" applyFont="1" applyFill="1" applyBorder="1" applyAlignment="1">
      <alignment horizontal="center" vertical="center"/>
    </xf>
    <xf numFmtId="10" fontId="13" fillId="4" borderId="11" xfId="2" applyNumberFormat="1" applyFont="1" applyFill="1" applyBorder="1" applyAlignment="1">
      <alignment horizontal="center" vertical="center"/>
    </xf>
    <xf numFmtId="10" fontId="13" fillId="0" borderId="11" xfId="2" applyNumberFormat="1" applyFont="1" applyFill="1" applyBorder="1" applyAlignment="1">
      <alignment horizontal="center" vertical="center"/>
    </xf>
    <xf numFmtId="167" fontId="0" fillId="3" borderId="0" xfId="0" applyNumberFormat="1" applyFill="1" applyAlignment="1">
      <alignment vertical="center"/>
    </xf>
    <xf numFmtId="0" fontId="13" fillId="2" borderId="36" xfId="0" applyFont="1" applyFill="1" applyBorder="1" applyAlignment="1">
      <alignment horizontal="left" vertical="center" indent="2"/>
    </xf>
    <xf numFmtId="0" fontId="13" fillId="3" borderId="0" xfId="0" applyFont="1" applyFill="1" applyAlignment="1">
      <alignment horizontal="center" vertical="center"/>
    </xf>
    <xf numFmtId="168" fontId="13" fillId="2" borderId="33" xfId="0" applyNumberFormat="1" applyFont="1" applyFill="1" applyBorder="1" applyAlignment="1">
      <alignment horizontal="center" vertical="center"/>
    </xf>
    <xf numFmtId="168" fontId="13" fillId="4" borderId="33" xfId="0" applyNumberFormat="1" applyFont="1" applyFill="1" applyBorder="1" applyAlignment="1">
      <alignment horizontal="center" vertical="center"/>
    </xf>
    <xf numFmtId="168" fontId="13" fillId="3" borderId="0" xfId="0" applyNumberFormat="1" applyFont="1" applyFill="1" applyAlignment="1">
      <alignment horizontal="center" vertical="center"/>
    </xf>
    <xf numFmtId="0" fontId="18" fillId="2" borderId="36" xfId="0" applyFont="1" applyFill="1" applyBorder="1" applyAlignment="1">
      <alignment horizontal="left" vertical="center" indent="2"/>
    </xf>
    <xf numFmtId="170" fontId="16" fillId="4" borderId="33" xfId="2" applyNumberFormat="1" applyFont="1" applyFill="1" applyBorder="1" applyAlignment="1">
      <alignment horizontal="center" vertical="center"/>
    </xf>
    <xf numFmtId="10" fontId="16" fillId="0" borderId="37" xfId="2" applyNumberFormat="1" applyFont="1" applyFill="1" applyBorder="1" applyAlignment="1">
      <alignment horizontal="center" vertical="center"/>
    </xf>
    <xf numFmtId="168" fontId="16" fillId="2" borderId="33" xfId="0" applyNumberFormat="1" applyFont="1" applyFill="1" applyBorder="1" applyAlignment="1">
      <alignment horizontal="center" vertical="center"/>
    </xf>
    <xf numFmtId="168" fontId="16" fillId="0" borderId="33" xfId="0" applyNumberFormat="1" applyFont="1" applyBorder="1" applyAlignment="1">
      <alignment horizontal="center" vertical="center"/>
    </xf>
    <xf numFmtId="168" fontId="16" fillId="4" borderId="33" xfId="0" applyNumberFormat="1" applyFont="1" applyFill="1" applyBorder="1" applyAlignment="1">
      <alignment horizontal="center" vertical="center"/>
    </xf>
    <xf numFmtId="168" fontId="16" fillId="3" borderId="0" xfId="0" applyNumberFormat="1" applyFont="1" applyFill="1" applyAlignment="1">
      <alignment horizontal="center" vertical="center"/>
    </xf>
    <xf numFmtId="0" fontId="16" fillId="2" borderId="38" xfId="0" applyFont="1" applyFill="1" applyBorder="1" applyAlignment="1">
      <alignment horizontal="left" vertical="center" indent="4"/>
    </xf>
    <xf numFmtId="168" fontId="16" fillId="2" borderId="39" xfId="0" applyNumberFormat="1" applyFont="1" applyFill="1" applyBorder="1" applyAlignment="1">
      <alignment horizontal="center" vertical="center"/>
    </xf>
    <xf numFmtId="168" fontId="16" fillId="4" borderId="39" xfId="0" applyNumberFormat="1" applyFont="1" applyFill="1" applyBorder="1" applyAlignment="1">
      <alignment horizontal="center" vertical="center"/>
    </xf>
    <xf numFmtId="0" fontId="16" fillId="3" borderId="0" xfId="0" applyFont="1" applyFill="1" applyAlignment="1">
      <alignment horizontal="left" vertical="center" indent="4"/>
    </xf>
    <xf numFmtId="168" fontId="0" fillId="3" borderId="0" xfId="0" applyNumberFormat="1" applyFill="1" applyAlignment="1">
      <alignment vertical="center"/>
    </xf>
    <xf numFmtId="10" fontId="0" fillId="3" borderId="0" xfId="2" applyNumberFormat="1" applyFont="1" applyFill="1" applyAlignment="1">
      <alignment vertical="center"/>
    </xf>
    <xf numFmtId="165" fontId="0" fillId="3" borderId="0" xfId="0" applyNumberFormat="1" applyFill="1"/>
    <xf numFmtId="0" fontId="16" fillId="2" borderId="36" xfId="0" applyFont="1" applyFill="1" applyBorder="1" applyAlignment="1">
      <alignment horizontal="left" vertical="center" indent="6"/>
    </xf>
    <xf numFmtId="0" fontId="16" fillId="2" borderId="36" xfId="0" applyFont="1" applyFill="1" applyBorder="1" applyAlignment="1">
      <alignment horizontal="left" vertical="center" indent="8"/>
    </xf>
    <xf numFmtId="10" fontId="13" fillId="2" borderId="33" xfId="2" applyNumberFormat="1" applyFont="1" applyFill="1" applyBorder="1" applyAlignment="1">
      <alignment horizontal="center" vertical="center"/>
    </xf>
    <xf numFmtId="10" fontId="13" fillId="4" borderId="33" xfId="2" applyNumberFormat="1" applyFont="1" applyFill="1" applyBorder="1" applyAlignment="1">
      <alignment horizontal="center" vertical="center"/>
    </xf>
    <xf numFmtId="10" fontId="16" fillId="2" borderId="33" xfId="2" applyNumberFormat="1" applyFont="1" applyFill="1" applyBorder="1" applyAlignment="1">
      <alignment horizontal="center" vertical="center"/>
    </xf>
    <xf numFmtId="10" fontId="16" fillId="4" borderId="33" xfId="2" applyNumberFormat="1" applyFont="1" applyFill="1" applyBorder="1" applyAlignment="1">
      <alignment horizontal="center" vertical="center"/>
    </xf>
    <xf numFmtId="0" fontId="0" fillId="2" borderId="40" xfId="0" applyFill="1" applyBorder="1" applyAlignment="1">
      <alignment horizontal="left" vertical="center"/>
    </xf>
    <xf numFmtId="0" fontId="0" fillId="0" borderId="41" xfId="0" applyBorder="1" applyAlignment="1">
      <alignment vertical="center"/>
    </xf>
    <xf numFmtId="0" fontId="0" fillId="2" borderId="41" xfId="0" applyFill="1" applyBorder="1" applyAlignment="1">
      <alignment vertical="center"/>
    </xf>
    <xf numFmtId="0" fontId="0" fillId="2" borderId="42" xfId="0" applyFill="1" applyBorder="1" applyAlignment="1">
      <alignment vertical="center"/>
    </xf>
    <xf numFmtId="0" fontId="13" fillId="2" borderId="34" xfId="0" applyFont="1" applyFill="1" applyBorder="1" applyAlignment="1">
      <alignment horizontal="left" vertical="center" indent="2"/>
    </xf>
    <xf numFmtId="0" fontId="13" fillId="2" borderId="35" xfId="0" applyFont="1" applyFill="1" applyBorder="1" applyAlignment="1">
      <alignment horizontal="center" vertical="center"/>
    </xf>
    <xf numFmtId="0" fontId="13" fillId="0" borderId="35" xfId="0" applyFont="1" applyBorder="1" applyAlignment="1">
      <alignment horizontal="center" vertical="center"/>
    </xf>
    <xf numFmtId="0" fontId="13" fillId="4" borderId="35" xfId="0" applyFont="1" applyFill="1" applyBorder="1" applyAlignment="1">
      <alignment horizontal="center" vertical="center"/>
    </xf>
    <xf numFmtId="10" fontId="16" fillId="0" borderId="43" xfId="2" applyNumberFormat="1" applyFont="1" applyFill="1" applyBorder="1" applyAlignment="1">
      <alignment horizontal="center" vertical="center"/>
    </xf>
    <xf numFmtId="10" fontId="16" fillId="0" borderId="44" xfId="2" applyNumberFormat="1" applyFont="1" applyFill="1" applyBorder="1" applyAlignment="1">
      <alignment horizontal="center" vertical="center"/>
    </xf>
    <xf numFmtId="10" fontId="13" fillId="2" borderId="8" xfId="2" applyNumberFormat="1" applyFont="1" applyFill="1" applyBorder="1" applyAlignment="1">
      <alignment horizontal="center" vertical="center"/>
    </xf>
    <xf numFmtId="0" fontId="16" fillId="2" borderId="7" xfId="0" applyFont="1" applyFill="1" applyBorder="1" applyAlignment="1">
      <alignment horizontal="left" vertical="center" indent="8"/>
    </xf>
    <xf numFmtId="10" fontId="13" fillId="2" borderId="9" xfId="2" applyNumberFormat="1" applyFont="1" applyFill="1" applyBorder="1" applyAlignment="1">
      <alignment horizontal="center" vertical="center"/>
    </xf>
    <xf numFmtId="0" fontId="16" fillId="2" borderId="21" xfId="0" applyFont="1" applyFill="1" applyBorder="1" applyAlignment="1">
      <alignment horizontal="left" vertical="center" indent="4"/>
    </xf>
    <xf numFmtId="10" fontId="16" fillId="2" borderId="22" xfId="2" applyNumberFormat="1" applyFont="1" applyFill="1" applyBorder="1" applyAlignment="1">
      <alignment horizontal="center" vertical="center"/>
    </xf>
    <xf numFmtId="10" fontId="16" fillId="2" borderId="23" xfId="2" applyNumberFormat="1" applyFont="1" applyFill="1" applyBorder="1" applyAlignment="1">
      <alignment horizontal="center" vertical="center"/>
    </xf>
    <xf numFmtId="0" fontId="13" fillId="2" borderId="10" xfId="0" applyFont="1" applyFill="1" applyBorder="1" applyAlignment="1">
      <alignment horizontal="left" vertical="center" indent="4"/>
    </xf>
    <xf numFmtId="10" fontId="13" fillId="2" borderId="12" xfId="2" applyNumberFormat="1" applyFont="1" applyFill="1" applyBorder="1" applyAlignment="1">
      <alignment horizontal="center" vertical="center"/>
    </xf>
    <xf numFmtId="0" fontId="13" fillId="0" borderId="6" xfId="0" applyFont="1" applyBorder="1" applyAlignment="1">
      <alignment horizontal="center" vertical="center"/>
    </xf>
    <xf numFmtId="0" fontId="13" fillId="2" borderId="45" xfId="0" applyFont="1" applyFill="1" applyBorder="1" applyAlignment="1">
      <alignment horizontal="left" vertical="center" indent="2"/>
    </xf>
    <xf numFmtId="0" fontId="16" fillId="2" borderId="45" xfId="0" applyFont="1" applyFill="1" applyBorder="1" applyAlignment="1">
      <alignment horizontal="left" vertical="center" indent="4"/>
    </xf>
    <xf numFmtId="0" fontId="16" fillId="2" borderId="45" xfId="0" applyFont="1" applyFill="1" applyBorder="1" applyAlignment="1">
      <alignment horizontal="left" vertical="center" indent="6"/>
    </xf>
    <xf numFmtId="0" fontId="16" fillId="2" borderId="45" xfId="0" applyFont="1" applyFill="1" applyBorder="1" applyAlignment="1">
      <alignment horizontal="left" vertical="center" indent="8"/>
    </xf>
    <xf numFmtId="0" fontId="16" fillId="2" borderId="46" xfId="0" applyFont="1" applyFill="1" applyBorder="1" applyAlignment="1">
      <alignment horizontal="left" vertical="center" indent="4"/>
    </xf>
    <xf numFmtId="10" fontId="16" fillId="2" borderId="47" xfId="2" applyNumberFormat="1" applyFont="1" applyFill="1" applyBorder="1" applyAlignment="1">
      <alignment horizontal="center" vertical="center"/>
    </xf>
    <xf numFmtId="10" fontId="16" fillId="4" borderId="47" xfId="2" applyNumberFormat="1" applyFont="1" applyFill="1" applyBorder="1" applyAlignment="1">
      <alignment horizontal="center" vertical="center"/>
    </xf>
    <xf numFmtId="170" fontId="16" fillId="2" borderId="8" xfId="2" applyNumberFormat="1" applyFont="1" applyFill="1" applyBorder="1" applyAlignment="1">
      <alignment horizontal="center" vertical="center"/>
    </xf>
    <xf numFmtId="171" fontId="16" fillId="2" borderId="8" xfId="0" applyNumberFormat="1" applyFont="1" applyFill="1" applyBorder="1" applyAlignment="1">
      <alignment horizontal="center" vertical="center"/>
    </xf>
    <xf numFmtId="171" fontId="16" fillId="0" borderId="8" xfId="0" applyNumberFormat="1" applyFont="1" applyBorder="1" applyAlignment="1">
      <alignment horizontal="center" vertical="center"/>
    </xf>
    <xf numFmtId="171" fontId="13" fillId="2" borderId="8" xfId="0" applyNumberFormat="1" applyFont="1" applyFill="1" applyBorder="1" applyAlignment="1">
      <alignment horizontal="center" vertical="center"/>
    </xf>
    <xf numFmtId="172" fontId="0" fillId="3" borderId="0" xfId="0" applyNumberFormat="1" applyFill="1" applyAlignment="1">
      <alignment vertical="center"/>
    </xf>
    <xf numFmtId="0" fontId="18" fillId="2" borderId="10" xfId="0" applyFont="1" applyFill="1" applyBorder="1" applyAlignment="1">
      <alignment horizontal="left" vertical="center" wrapText="1" indent="2"/>
    </xf>
    <xf numFmtId="10" fontId="16" fillId="3" borderId="0" xfId="2" applyNumberFormat="1" applyFont="1" applyFill="1" applyBorder="1" applyAlignment="1">
      <alignment vertical="center" wrapText="1"/>
    </xf>
    <xf numFmtId="167" fontId="16" fillId="3" borderId="0" xfId="0" applyNumberFormat="1" applyFont="1" applyFill="1" applyAlignment="1">
      <alignment horizontal="center" vertical="center"/>
    </xf>
    <xf numFmtId="10" fontId="16" fillId="3" borderId="0" xfId="2" applyNumberFormat="1" applyFont="1" applyFill="1" applyBorder="1" applyAlignment="1">
      <alignment horizontal="center" vertical="center" wrapText="1"/>
    </xf>
    <xf numFmtId="10" fontId="13" fillId="3" borderId="0" xfId="2" applyNumberFormat="1" applyFont="1" applyFill="1" applyBorder="1" applyAlignment="1">
      <alignment horizontal="center" vertical="center"/>
    </xf>
    <xf numFmtId="0" fontId="13" fillId="2" borderId="21" xfId="0" applyFont="1" applyFill="1" applyBorder="1" applyAlignment="1">
      <alignment horizontal="left" vertical="center" wrapText="1" indent="2"/>
    </xf>
    <xf numFmtId="171" fontId="13" fillId="4" borderId="8" xfId="0" applyNumberFormat="1" applyFont="1" applyFill="1" applyBorder="1" applyAlignment="1">
      <alignment horizontal="center" vertical="center"/>
    </xf>
    <xf numFmtId="171" fontId="16" fillId="4" borderId="8" xfId="0" applyNumberFormat="1" applyFont="1" applyFill="1" applyBorder="1" applyAlignment="1">
      <alignment horizontal="center" vertical="center"/>
    </xf>
    <xf numFmtId="173" fontId="0" fillId="3" borderId="0" xfId="0" applyNumberFormat="1" applyFill="1" applyAlignment="1">
      <alignment vertical="center"/>
    </xf>
    <xf numFmtId="171" fontId="13" fillId="0" borderId="8" xfId="0" applyNumberFormat="1" applyFont="1" applyBorder="1" applyAlignment="1">
      <alignment horizontal="center" vertical="center"/>
    </xf>
    <xf numFmtId="0" fontId="20" fillId="2" borderId="21" xfId="0" applyFont="1" applyFill="1" applyBorder="1" applyAlignment="1">
      <alignment horizontal="left" vertical="center" wrapText="1" indent="4"/>
    </xf>
    <xf numFmtId="0" fontId="16" fillId="2" borderId="7" xfId="0" applyFont="1" applyFill="1" applyBorder="1" applyAlignment="1">
      <alignment horizontal="left" vertical="center" wrapText="1" indent="2"/>
    </xf>
    <xf numFmtId="0" fontId="0" fillId="0" borderId="13" xfId="0" applyBorder="1"/>
    <xf numFmtId="0" fontId="0" fillId="0" borderId="14" xfId="0" applyBorder="1"/>
    <xf numFmtId="0" fontId="0" fillId="0" borderId="15" xfId="0" applyBorder="1"/>
    <xf numFmtId="10" fontId="18" fillId="2" borderId="11" xfId="2" applyNumberFormat="1" applyFont="1" applyFill="1" applyBorder="1" applyAlignment="1">
      <alignment horizontal="center" vertical="center"/>
    </xf>
    <xf numFmtId="10" fontId="18" fillId="4" borderId="11" xfId="2" applyNumberFormat="1" applyFont="1" applyFill="1" applyBorder="1" applyAlignment="1">
      <alignment horizontal="center" vertical="center"/>
    </xf>
    <xf numFmtId="9" fontId="20" fillId="2" borderId="8" xfId="2" applyFont="1" applyFill="1" applyBorder="1" applyAlignment="1">
      <alignment horizontal="center" vertical="center"/>
    </xf>
    <xf numFmtId="165" fontId="20" fillId="2" borderId="8" xfId="2" applyNumberFormat="1" applyFont="1" applyFill="1" applyBorder="1" applyAlignment="1">
      <alignment horizontal="center" vertical="center"/>
    </xf>
    <xf numFmtId="0" fontId="16" fillId="2" borderId="10" xfId="0" applyFont="1" applyFill="1" applyBorder="1" applyAlignment="1">
      <alignment horizontal="left" vertical="center" indent="6"/>
    </xf>
    <xf numFmtId="168" fontId="16" fillId="2" borderId="11" xfId="0" applyNumberFormat="1" applyFont="1" applyFill="1" applyBorder="1" applyAlignment="1">
      <alignment horizontal="center" vertical="center"/>
    </xf>
    <xf numFmtId="168" fontId="16" fillId="4" borderId="11" xfId="0" applyNumberFormat="1" applyFont="1" applyFill="1" applyBorder="1" applyAlignment="1">
      <alignment horizontal="center" vertical="center"/>
    </xf>
    <xf numFmtId="9" fontId="20" fillId="4" borderId="8" xfId="2" applyFont="1" applyFill="1" applyBorder="1" applyAlignment="1">
      <alignment horizontal="center" vertical="center"/>
    </xf>
    <xf numFmtId="168" fontId="0" fillId="3" borderId="0" xfId="0" applyNumberFormat="1" applyFill="1"/>
    <xf numFmtId="44" fontId="0" fillId="3" borderId="0" xfId="1" applyFont="1" applyFill="1"/>
    <xf numFmtId="166" fontId="0" fillId="3" borderId="0" xfId="1" applyNumberFormat="1" applyFont="1" applyFill="1"/>
    <xf numFmtId="0" fontId="16" fillId="2" borderId="10" xfId="0" applyFont="1" applyFill="1" applyBorder="1" applyAlignment="1">
      <alignment horizontal="left" vertical="center" indent="4"/>
    </xf>
    <xf numFmtId="0" fontId="4" fillId="3" borderId="0" xfId="0" applyFont="1" applyFill="1" applyAlignment="1">
      <alignment vertical="center"/>
    </xf>
    <xf numFmtId="0" fontId="4" fillId="3" borderId="0" xfId="0" applyFont="1" applyFill="1" applyAlignment="1">
      <alignment horizontal="center" vertical="center"/>
    </xf>
    <xf numFmtId="169" fontId="13" fillId="4" borderId="8" xfId="0" applyNumberFormat="1" applyFont="1" applyFill="1" applyBorder="1" applyAlignment="1">
      <alignment horizontal="center" vertical="center"/>
    </xf>
    <xf numFmtId="169" fontId="13" fillId="4" borderId="9" xfId="0" applyNumberFormat="1" applyFont="1" applyFill="1" applyBorder="1" applyAlignment="1">
      <alignment horizontal="center" vertical="center"/>
    </xf>
    <xf numFmtId="167" fontId="13" fillId="0" borderId="8" xfId="0" applyNumberFormat="1" applyFont="1" applyBorder="1" applyAlignment="1">
      <alignment horizontal="center" vertical="center"/>
    </xf>
    <xf numFmtId="167" fontId="13" fillId="4" borderId="9" xfId="0" applyNumberFormat="1" applyFont="1" applyFill="1" applyBorder="1" applyAlignment="1">
      <alignment horizontal="center" vertical="center"/>
    </xf>
    <xf numFmtId="165" fontId="16" fillId="2" borderId="8" xfId="0" applyNumberFormat="1" applyFont="1" applyFill="1" applyBorder="1" applyAlignment="1">
      <alignment horizontal="center" vertical="center"/>
    </xf>
    <xf numFmtId="165" fontId="16" fillId="0" borderId="8" xfId="0" applyNumberFormat="1" applyFont="1" applyBorder="1" applyAlignment="1">
      <alignment horizontal="center" vertical="center"/>
    </xf>
    <xf numFmtId="165" fontId="16" fillId="4" borderId="8" xfId="0" applyNumberFormat="1" applyFont="1" applyFill="1" applyBorder="1" applyAlignment="1">
      <alignment horizontal="center" vertical="center"/>
    </xf>
    <xf numFmtId="165" fontId="16" fillId="4" borderId="9" xfId="0" applyNumberFormat="1" applyFont="1" applyFill="1" applyBorder="1" applyAlignment="1">
      <alignment horizontal="center" vertical="center"/>
    </xf>
    <xf numFmtId="167" fontId="0" fillId="3" borderId="0" xfId="0" applyNumberFormat="1" applyFill="1" applyAlignment="1">
      <alignment horizontal="center" vertical="center"/>
    </xf>
    <xf numFmtId="167" fontId="13" fillId="0" borderId="22" xfId="0" applyNumberFormat="1" applyFont="1" applyBorder="1" applyAlignment="1">
      <alignment horizontal="center" vertical="center"/>
    </xf>
    <xf numFmtId="10" fontId="13" fillId="2" borderId="11" xfId="0" applyNumberFormat="1" applyFont="1" applyFill="1" applyBorder="1" applyAlignment="1">
      <alignment horizontal="center" vertical="center"/>
    </xf>
    <xf numFmtId="10" fontId="13" fillId="2" borderId="12" xfId="0" applyNumberFormat="1" applyFont="1" applyFill="1" applyBorder="1" applyAlignment="1">
      <alignment horizontal="center" vertical="center"/>
    </xf>
    <xf numFmtId="174" fontId="13" fillId="0" borderId="9" xfId="0" applyNumberFormat="1" applyFont="1" applyBorder="1" applyAlignment="1">
      <alignment horizontal="center" vertical="center"/>
    </xf>
    <xf numFmtId="10" fontId="19" fillId="2" borderId="9" xfId="2" applyNumberFormat="1" applyFont="1" applyFill="1" applyBorder="1" applyAlignment="1">
      <alignment horizontal="center" vertical="center"/>
    </xf>
    <xf numFmtId="10" fontId="20" fillId="3" borderId="0" xfId="2" applyNumberFormat="1" applyFont="1" applyFill="1" applyBorder="1" applyAlignment="1">
      <alignment horizontal="center" vertical="center"/>
    </xf>
    <xf numFmtId="164" fontId="13" fillId="2" borderId="8" xfId="0" applyNumberFormat="1" applyFont="1" applyFill="1" applyBorder="1" applyAlignment="1">
      <alignment horizontal="center" vertical="center"/>
    </xf>
    <xf numFmtId="167" fontId="13" fillId="0" borderId="9" xfId="0" applyNumberFormat="1" applyFont="1" applyBorder="1" applyAlignment="1">
      <alignment horizontal="center" vertical="center"/>
    </xf>
    <xf numFmtId="167" fontId="13" fillId="2" borderId="9" xfId="0" applyNumberFormat="1" applyFont="1" applyFill="1" applyBorder="1" applyAlignment="1">
      <alignment horizontal="center" vertical="center"/>
    </xf>
    <xf numFmtId="164" fontId="16" fillId="4" borderId="8" xfId="0" applyNumberFormat="1" applyFont="1" applyFill="1" applyBorder="1" applyAlignment="1">
      <alignment horizontal="center" vertical="center"/>
    </xf>
    <xf numFmtId="164" fontId="13" fillId="2" borderId="9" xfId="0" applyNumberFormat="1" applyFont="1" applyFill="1" applyBorder="1" applyAlignment="1">
      <alignment horizontal="center" vertical="center"/>
    </xf>
    <xf numFmtId="0" fontId="26" fillId="2" borderId="10" xfId="0" applyFont="1" applyFill="1" applyBorder="1" applyAlignment="1">
      <alignment horizontal="left" vertical="center" indent="2"/>
    </xf>
    <xf numFmtId="165" fontId="16" fillId="2" borderId="11" xfId="0" applyNumberFormat="1" applyFont="1" applyFill="1" applyBorder="1" applyAlignment="1">
      <alignment horizontal="center" vertical="center"/>
    </xf>
    <xf numFmtId="165" fontId="16" fillId="4" borderId="11" xfId="0" applyNumberFormat="1" applyFont="1" applyFill="1" applyBorder="1" applyAlignment="1">
      <alignment horizontal="center" vertical="center"/>
    </xf>
    <xf numFmtId="165" fontId="16" fillId="2" borderId="12" xfId="0" applyNumberFormat="1" applyFont="1" applyFill="1" applyBorder="1" applyAlignment="1">
      <alignment horizontal="center" vertical="center"/>
    </xf>
    <xf numFmtId="0" fontId="16" fillId="2" borderId="30" xfId="0" applyFont="1" applyFill="1" applyBorder="1" applyAlignment="1">
      <alignment vertical="center"/>
    </xf>
    <xf numFmtId="0" fontId="13" fillId="2" borderId="31" xfId="0" applyFont="1" applyFill="1" applyBorder="1" applyAlignment="1">
      <alignment horizontal="center" vertical="center"/>
    </xf>
    <xf numFmtId="169" fontId="13" fillId="0" borderId="31" xfId="0" applyNumberFormat="1" applyFont="1" applyBorder="1" applyAlignment="1">
      <alignment horizontal="center" vertical="center"/>
    </xf>
    <xf numFmtId="169" fontId="13" fillId="4" borderId="31" xfId="0" applyNumberFormat="1" applyFont="1" applyFill="1" applyBorder="1" applyAlignment="1">
      <alignment horizontal="center" vertical="center"/>
    </xf>
    <xf numFmtId="0" fontId="16" fillId="0" borderId="4" xfId="0" applyFont="1" applyBorder="1" applyAlignment="1">
      <alignment horizontal="left" vertical="center" indent="2"/>
    </xf>
    <xf numFmtId="164" fontId="13" fillId="0" borderId="8" xfId="0" applyNumberFormat="1" applyFont="1" applyBorder="1" applyAlignment="1">
      <alignment horizontal="center" vertical="center"/>
    </xf>
    <xf numFmtId="164" fontId="13" fillId="4" borderId="8" xfId="0" applyNumberFormat="1" applyFont="1" applyFill="1" applyBorder="1" applyAlignment="1">
      <alignment horizontal="center" vertical="center"/>
    </xf>
    <xf numFmtId="164" fontId="13" fillId="4" borderId="9" xfId="0" applyNumberFormat="1" applyFont="1" applyFill="1" applyBorder="1" applyAlignment="1">
      <alignment horizontal="center" vertical="center"/>
    </xf>
    <xf numFmtId="0" fontId="24" fillId="3" borderId="0" xfId="0" applyFont="1" applyFill="1" applyAlignment="1">
      <alignment vertical="center"/>
    </xf>
    <xf numFmtId="9" fontId="20" fillId="2" borderId="7" xfId="2" applyFont="1" applyFill="1" applyBorder="1" applyAlignment="1">
      <alignment horizontal="left" vertical="center" indent="4"/>
    </xf>
    <xf numFmtId="9" fontId="18" fillId="2" borderId="8" xfId="2" applyFont="1" applyFill="1" applyBorder="1" applyAlignment="1">
      <alignment horizontal="center" vertical="center"/>
    </xf>
    <xf numFmtId="9" fontId="18" fillId="4" borderId="8" xfId="2" applyFont="1" applyFill="1" applyBorder="1" applyAlignment="1">
      <alignment horizontal="center" vertical="center"/>
    </xf>
    <xf numFmtId="9" fontId="18" fillId="4" borderId="9" xfId="2" applyFont="1" applyFill="1" applyBorder="1" applyAlignment="1">
      <alignment horizontal="center" vertical="center"/>
    </xf>
    <xf numFmtId="9" fontId="0" fillId="3" borderId="0" xfId="0" applyNumberFormat="1" applyFill="1" applyAlignment="1">
      <alignment vertical="center"/>
    </xf>
    <xf numFmtId="164" fontId="16" fillId="4" borderId="9" xfId="0" applyNumberFormat="1" applyFont="1" applyFill="1" applyBorder="1" applyAlignment="1">
      <alignment horizontal="center" vertical="center"/>
    </xf>
    <xf numFmtId="9" fontId="0" fillId="3" borderId="0" xfId="2" applyFont="1" applyFill="1" applyAlignment="1">
      <alignment vertical="center"/>
    </xf>
    <xf numFmtId="0" fontId="27" fillId="3" borderId="0" xfId="0" applyFont="1" applyFill="1" applyAlignment="1">
      <alignment horizontal="left" vertical="center" indent="2"/>
    </xf>
    <xf numFmtId="165" fontId="0" fillId="3" borderId="0" xfId="0" applyNumberFormat="1" applyFill="1" applyAlignment="1">
      <alignment horizontal="center" vertical="center"/>
    </xf>
    <xf numFmtId="165" fontId="0" fillId="3" borderId="0" xfId="0" applyNumberFormat="1" applyFill="1" applyAlignment="1">
      <alignment vertical="center"/>
    </xf>
    <xf numFmtId="0" fontId="0" fillId="3" borderId="0" xfId="0" applyFill="1" applyAlignment="1">
      <alignment horizontal="left" vertical="center" indent="2"/>
    </xf>
    <xf numFmtId="0" fontId="0" fillId="3" borderId="0" xfId="0" applyFill="1" applyAlignment="1">
      <alignment horizontal="center" vertical="center"/>
    </xf>
    <xf numFmtId="4" fontId="0" fillId="3" borderId="0" xfId="0" applyNumberFormat="1" applyFill="1" applyAlignment="1">
      <alignment horizontal="center" vertical="center"/>
    </xf>
    <xf numFmtId="0" fontId="16" fillId="2" borderId="4" xfId="0" applyFont="1" applyFill="1" applyBorder="1" applyAlignment="1">
      <alignment horizontal="center" vertical="center"/>
    </xf>
    <xf numFmtId="0" fontId="28" fillId="2" borderId="8" xfId="0" applyFont="1" applyFill="1" applyBorder="1" applyAlignment="1">
      <alignment horizontal="center" vertical="center"/>
    </xf>
    <xf numFmtId="165" fontId="28" fillId="4" borderId="8" xfId="2" applyNumberFormat="1" applyFont="1" applyFill="1" applyBorder="1" applyAlignment="1">
      <alignment horizontal="center" vertical="center"/>
    </xf>
    <xf numFmtId="165" fontId="28" fillId="4" borderId="9" xfId="2" applyNumberFormat="1" applyFont="1" applyFill="1" applyBorder="1" applyAlignment="1">
      <alignment horizontal="center" vertical="center"/>
    </xf>
    <xf numFmtId="9" fontId="28" fillId="4" borderId="8" xfId="2" applyFont="1" applyFill="1" applyBorder="1" applyAlignment="1">
      <alignment horizontal="center" vertical="center"/>
    </xf>
    <xf numFmtId="9" fontId="28" fillId="4" borderId="9" xfId="2" applyFont="1" applyFill="1" applyBorder="1" applyAlignment="1">
      <alignment horizontal="center" vertical="center"/>
    </xf>
    <xf numFmtId="165" fontId="16" fillId="4" borderId="11" xfId="2" applyNumberFormat="1" applyFont="1" applyFill="1" applyBorder="1" applyAlignment="1">
      <alignment horizontal="center" vertical="center"/>
    </xf>
    <xf numFmtId="165" fontId="16" fillId="4" borderId="12" xfId="2" applyNumberFormat="1" applyFont="1" applyFill="1" applyBorder="1" applyAlignment="1">
      <alignment horizontal="center" vertical="center"/>
    </xf>
    <xf numFmtId="0" fontId="0" fillId="4" borderId="31" xfId="0" applyFill="1" applyBorder="1" applyAlignment="1">
      <alignment vertical="center"/>
    </xf>
    <xf numFmtId="0" fontId="0" fillId="4" borderId="32" xfId="0" applyFill="1" applyBorder="1" applyAlignment="1">
      <alignment vertical="center"/>
    </xf>
    <xf numFmtId="0" fontId="16" fillId="2" borderId="4" xfId="0" applyFont="1" applyFill="1" applyBorder="1" applyAlignment="1">
      <alignment horizontal="left" vertical="center" indent="2"/>
    </xf>
    <xf numFmtId="10" fontId="20" fillId="4" borderId="9" xfId="2" applyNumberFormat="1" applyFont="1" applyFill="1" applyBorder="1" applyAlignment="1">
      <alignment horizontal="center" vertical="center"/>
    </xf>
    <xf numFmtId="165" fontId="16" fillId="4" borderId="12" xfId="0" applyNumberFormat="1" applyFont="1" applyFill="1" applyBorder="1" applyAlignment="1">
      <alignment horizontal="center" vertical="center"/>
    </xf>
    <xf numFmtId="164" fontId="8" fillId="2" borderId="8" xfId="0" applyNumberFormat="1" applyFont="1" applyFill="1" applyBorder="1" applyAlignment="1">
      <alignment horizontal="center" vertical="center"/>
    </xf>
    <xf numFmtId="0" fontId="0" fillId="3" borderId="0" xfId="0" applyFill="1" applyAlignment="1">
      <alignment horizontal="center"/>
    </xf>
    <xf numFmtId="0" fontId="29" fillId="3" borderId="0" xfId="0" applyFont="1" applyFill="1" applyAlignment="1">
      <alignment vertical="center" shrinkToFit="1"/>
    </xf>
    <xf numFmtId="0" fontId="21" fillId="3" borderId="0" xfId="0" applyFont="1" applyFill="1"/>
    <xf numFmtId="44" fontId="0" fillId="3" borderId="0" xfId="1" applyFont="1" applyFill="1" applyAlignment="1">
      <alignment horizontal="center"/>
    </xf>
    <xf numFmtId="0" fontId="21" fillId="3" borderId="0" xfId="0" applyFont="1" applyFill="1" applyAlignment="1">
      <alignment vertical="center"/>
    </xf>
    <xf numFmtId="0" fontId="0" fillId="0" borderId="8" xfId="0" applyBorder="1" applyAlignment="1">
      <alignment horizontal="center"/>
    </xf>
    <xf numFmtId="0" fontId="0" fillId="0" borderId="9" xfId="0" applyBorder="1" applyAlignment="1">
      <alignment horizontal="center"/>
    </xf>
    <xf numFmtId="0" fontId="0" fillId="5" borderId="7" xfId="0" applyFill="1" applyBorder="1" applyAlignment="1">
      <alignment horizontal="center" vertical="center" wrapText="1"/>
    </xf>
    <xf numFmtId="10" fontId="0" fillId="5" borderId="8" xfId="0" applyNumberFormat="1" applyFill="1" applyBorder="1" applyAlignment="1">
      <alignment horizontal="center" vertical="center" wrapText="1"/>
    </xf>
    <xf numFmtId="10" fontId="0" fillId="0" borderId="8" xfId="2" applyNumberFormat="1" applyFont="1" applyBorder="1" applyAlignment="1">
      <alignment horizontal="center"/>
    </xf>
    <xf numFmtId="10" fontId="0" fillId="3" borderId="0" xfId="0" applyNumberFormat="1" applyFill="1" applyAlignment="1">
      <alignment horizontal="center"/>
    </xf>
    <xf numFmtId="175" fontId="0" fillId="3" borderId="0" xfId="0" applyNumberFormat="1" applyFill="1" applyAlignment="1">
      <alignment horizontal="center"/>
    </xf>
    <xf numFmtId="4" fontId="0" fillId="0" borderId="7" xfId="0" applyNumberFormat="1" applyBorder="1" applyAlignment="1">
      <alignment horizontal="center"/>
    </xf>
    <xf numFmtId="2" fontId="0" fillId="5" borderId="8" xfId="0" applyNumberFormat="1" applyFill="1" applyBorder="1" applyAlignment="1">
      <alignment horizontal="center" vertical="center"/>
    </xf>
    <xf numFmtId="3" fontId="0" fillId="5" borderId="8" xfId="0" applyNumberFormat="1" applyFill="1" applyBorder="1" applyAlignment="1">
      <alignment horizontal="center" vertical="center"/>
    </xf>
    <xf numFmtId="10" fontId="0" fillId="5" borderId="8" xfId="2" applyNumberFormat="1" applyFont="1" applyFill="1" applyBorder="1" applyAlignment="1">
      <alignment horizontal="center" vertical="center"/>
    </xf>
    <xf numFmtId="2" fontId="0" fillId="5" borderId="8" xfId="2" applyNumberFormat="1" applyFont="1" applyFill="1" applyBorder="1" applyAlignment="1">
      <alignment horizontal="center" vertical="center"/>
    </xf>
    <xf numFmtId="2" fontId="0" fillId="5" borderId="9" xfId="2" applyNumberFormat="1" applyFont="1" applyFill="1" applyBorder="1" applyAlignment="1">
      <alignment horizontal="center" vertical="center"/>
    </xf>
    <xf numFmtId="3" fontId="0" fillId="0" borderId="8" xfId="0" applyNumberFormat="1" applyBorder="1" applyAlignment="1">
      <alignment horizontal="center" vertical="center"/>
    </xf>
    <xf numFmtId="10" fontId="0" fillId="0" borderId="8" xfId="2" applyNumberFormat="1" applyFont="1" applyBorder="1" applyAlignment="1">
      <alignment horizontal="center" vertical="center"/>
    </xf>
    <xf numFmtId="2" fontId="0" fillId="0" borderId="8" xfId="2" applyNumberFormat="1" applyFont="1" applyFill="1" applyBorder="1" applyAlignment="1">
      <alignment horizontal="center" vertical="center"/>
    </xf>
    <xf numFmtId="2" fontId="0" fillId="0" borderId="9" xfId="2" applyNumberFormat="1" applyFont="1" applyFill="1" applyBorder="1" applyAlignment="1">
      <alignment horizontal="center" vertical="center"/>
    </xf>
    <xf numFmtId="0" fontId="0" fillId="0" borderId="30" xfId="0" applyBorder="1"/>
    <xf numFmtId="0" fontId="0" fillId="0" borderId="31" xfId="0" applyBorder="1"/>
    <xf numFmtId="0" fontId="0" fillId="0" borderId="32" xfId="0" applyBorder="1"/>
    <xf numFmtId="0" fontId="0" fillId="3" borderId="17" xfId="0" applyFill="1" applyBorder="1" applyAlignment="1">
      <alignment horizontal="left" vertical="center"/>
    </xf>
    <xf numFmtId="0" fontId="0" fillId="3" borderId="17" xfId="0" applyFill="1" applyBorder="1" applyAlignment="1">
      <alignment vertical="center"/>
    </xf>
    <xf numFmtId="10" fontId="0" fillId="3" borderId="0" xfId="0" applyNumberFormat="1" applyFill="1" applyAlignment="1">
      <alignment horizontal="center" vertical="center"/>
    </xf>
    <xf numFmtId="9" fontId="0" fillId="3" borderId="0" xfId="0" applyNumberFormat="1" applyFill="1" applyAlignment="1">
      <alignment horizontal="center" vertical="center"/>
    </xf>
    <xf numFmtId="168" fontId="16" fillId="2" borderId="50" xfId="0" applyNumberFormat="1" applyFont="1" applyFill="1" applyBorder="1" applyAlignment="1">
      <alignment horizontal="center" vertical="center"/>
    </xf>
    <xf numFmtId="0" fontId="16" fillId="0" borderId="7" xfId="0" applyFont="1" applyBorder="1" applyAlignment="1">
      <alignment horizontal="left" vertical="center" indent="4"/>
    </xf>
    <xf numFmtId="0" fontId="16" fillId="0" borderId="7" xfId="0" applyFont="1" applyBorder="1" applyAlignment="1">
      <alignment horizontal="left" vertical="center" indent="6"/>
    </xf>
    <xf numFmtId="0" fontId="16" fillId="0" borderId="7" xfId="0" applyFont="1" applyBorder="1" applyAlignment="1">
      <alignment horizontal="left" vertical="center" indent="8"/>
    </xf>
    <xf numFmtId="0" fontId="16" fillId="0" borderId="7" xfId="0" applyFont="1" applyBorder="1" applyAlignment="1">
      <alignment horizontal="left" vertical="center" indent="10"/>
    </xf>
    <xf numFmtId="0" fontId="16" fillId="0" borderId="7" xfId="0" applyFont="1" applyBorder="1" applyAlignment="1">
      <alignment horizontal="left" vertical="center" indent="12"/>
    </xf>
    <xf numFmtId="0" fontId="14" fillId="2" borderId="0" xfId="0" applyFont="1" applyFill="1" applyAlignment="1">
      <alignment vertical="center"/>
    </xf>
    <xf numFmtId="0" fontId="13" fillId="2" borderId="36" xfId="0" applyFont="1" applyFill="1" applyBorder="1" applyAlignment="1">
      <alignment horizontal="left" vertical="center" indent="4"/>
    </xf>
    <xf numFmtId="168" fontId="13" fillId="0" borderId="33" xfId="0" applyNumberFormat="1" applyFont="1" applyBorder="1" applyAlignment="1">
      <alignment horizontal="center" vertical="center"/>
    </xf>
    <xf numFmtId="0" fontId="13" fillId="2" borderId="36" xfId="0" applyFont="1" applyFill="1" applyBorder="1" applyAlignment="1">
      <alignment horizontal="left" vertical="center" indent="6"/>
    </xf>
    <xf numFmtId="0" fontId="13" fillId="2" borderId="7" xfId="0" applyFont="1" applyFill="1" applyBorder="1" applyAlignment="1">
      <alignment horizontal="left" vertical="center" indent="4"/>
    </xf>
    <xf numFmtId="168" fontId="13" fillId="0" borderId="8" xfId="0" applyNumberFormat="1" applyFont="1" applyBorder="1" applyAlignment="1">
      <alignment horizontal="center" vertical="center"/>
    </xf>
    <xf numFmtId="44" fontId="0" fillId="3" borderId="0" xfId="0" applyNumberFormat="1" applyFill="1"/>
    <xf numFmtId="0" fontId="26" fillId="2" borderId="7" xfId="0" applyFont="1" applyFill="1" applyBorder="1" applyAlignment="1">
      <alignment horizontal="left" vertical="center" indent="4"/>
    </xf>
    <xf numFmtId="0" fontId="0" fillId="5" borderId="51" xfId="0" applyFill="1" applyBorder="1" applyAlignment="1">
      <alignment horizontal="center" vertical="center"/>
    </xf>
    <xf numFmtId="0" fontId="0" fillId="5" borderId="52" xfId="0" applyFill="1" applyBorder="1" applyAlignment="1">
      <alignment horizontal="center" vertical="center"/>
    </xf>
    <xf numFmtId="10" fontId="16" fillId="2" borderId="12" xfId="2" applyNumberFormat="1" applyFont="1" applyFill="1" applyBorder="1" applyAlignment="1">
      <alignment horizontal="center" vertical="center" wrapText="1"/>
    </xf>
    <xf numFmtId="14" fontId="8" fillId="2" borderId="53" xfId="0" applyNumberFormat="1" applyFont="1" applyFill="1" applyBorder="1" applyAlignment="1">
      <alignment horizontal="center" vertical="center"/>
    </xf>
    <xf numFmtId="2" fontId="8" fillId="2" borderId="54" xfId="0" applyNumberFormat="1" applyFont="1" applyFill="1" applyBorder="1" applyAlignment="1">
      <alignment horizontal="center" vertical="center"/>
    </xf>
    <xf numFmtId="3" fontId="8" fillId="2" borderId="54" xfId="0" applyNumberFormat="1" applyFont="1" applyFill="1" applyBorder="1" applyAlignment="1">
      <alignment horizontal="center" vertical="center"/>
    </xf>
    <xf numFmtId="10" fontId="8" fillId="2" borderId="54" xfId="2" applyNumberFormat="1" applyFont="1" applyFill="1" applyBorder="1" applyAlignment="1">
      <alignment horizontal="center" vertical="center"/>
    </xf>
    <xf numFmtId="10" fontId="8" fillId="2" borderId="55" xfId="2" applyNumberFormat="1" applyFont="1" applyFill="1" applyBorder="1" applyAlignment="1">
      <alignment horizontal="center" vertical="center"/>
    </xf>
    <xf numFmtId="14" fontId="8" fillId="2" borderId="10" xfId="0" applyNumberFormat="1" applyFont="1" applyFill="1" applyBorder="1" applyAlignment="1">
      <alignment horizontal="center" vertical="center"/>
    </xf>
    <xf numFmtId="2" fontId="8" fillId="2" borderId="11" xfId="0" applyNumberFormat="1" applyFont="1" applyFill="1" applyBorder="1" applyAlignment="1">
      <alignment horizontal="center" vertical="center"/>
    </xf>
    <xf numFmtId="3" fontId="8" fillId="2" borderId="11" xfId="0" applyNumberFormat="1" applyFont="1" applyFill="1" applyBorder="1" applyAlignment="1">
      <alignment horizontal="center" vertical="center"/>
    </xf>
    <xf numFmtId="10" fontId="8" fillId="2" borderId="11" xfId="2" applyNumberFormat="1" applyFont="1" applyFill="1" applyBorder="1" applyAlignment="1">
      <alignment horizontal="center" vertical="center"/>
    </xf>
    <xf numFmtId="10" fontId="8" fillId="2" borderId="12" xfId="2" applyNumberFormat="1" applyFont="1" applyFill="1" applyBorder="1" applyAlignment="1">
      <alignment horizontal="center" vertical="center"/>
    </xf>
    <xf numFmtId="170" fontId="16" fillId="2" borderId="56" xfId="2" applyNumberFormat="1" applyFont="1" applyFill="1" applyBorder="1" applyAlignment="1">
      <alignment horizontal="center" vertical="center"/>
    </xf>
    <xf numFmtId="0" fontId="28" fillId="4" borderId="8" xfId="0" applyFont="1" applyFill="1" applyBorder="1" applyAlignment="1">
      <alignment horizontal="center" vertical="center"/>
    </xf>
    <xf numFmtId="0" fontId="16" fillId="2" borderId="7" xfId="0" applyFont="1" applyFill="1" applyBorder="1" applyAlignment="1">
      <alignment horizontal="center" vertical="center"/>
    </xf>
    <xf numFmtId="4" fontId="16" fillId="2" borderId="8" xfId="0" applyNumberFormat="1" applyFont="1" applyFill="1" applyBorder="1" applyAlignment="1">
      <alignment horizontal="center" vertical="center"/>
    </xf>
    <xf numFmtId="4" fontId="16" fillId="2" borderId="9" xfId="0" applyNumberFormat="1" applyFont="1" applyFill="1" applyBorder="1" applyAlignment="1">
      <alignment horizontal="center" vertical="center"/>
    </xf>
    <xf numFmtId="3" fontId="16" fillId="2" borderId="8" xfId="0" applyNumberFormat="1" applyFont="1" applyFill="1" applyBorder="1" applyAlignment="1">
      <alignment horizontal="center" vertical="center"/>
    </xf>
    <xf numFmtId="0" fontId="16" fillId="2" borderId="10" xfId="0" applyFont="1" applyFill="1" applyBorder="1" applyAlignment="1">
      <alignment horizontal="center" vertical="center"/>
    </xf>
    <xf numFmtId="4" fontId="16" fillId="2" borderId="11" xfId="0" applyNumberFormat="1" applyFont="1" applyFill="1" applyBorder="1" applyAlignment="1">
      <alignment horizontal="center" vertical="center"/>
    </xf>
    <xf numFmtId="4" fontId="16" fillId="2" borderId="12" xfId="0" applyNumberFormat="1" applyFont="1" applyFill="1" applyBorder="1" applyAlignment="1">
      <alignment horizontal="center" vertical="center"/>
    </xf>
    <xf numFmtId="167" fontId="30" fillId="2" borderId="4" xfId="0" applyNumberFormat="1" applyFont="1" applyFill="1" applyBorder="1" applyAlignment="1">
      <alignment horizontal="center" vertical="center"/>
    </xf>
    <xf numFmtId="165" fontId="16" fillId="2" borderId="8" xfId="2" applyNumberFormat="1" applyFont="1" applyFill="1" applyBorder="1" applyAlignment="1">
      <alignment horizontal="center" vertical="center"/>
    </xf>
    <xf numFmtId="165" fontId="16" fillId="2" borderId="9" xfId="2" applyNumberFormat="1" applyFont="1" applyFill="1" applyBorder="1" applyAlignment="1">
      <alignment horizontal="center" vertical="center"/>
    </xf>
    <xf numFmtId="176" fontId="16" fillId="2" borderId="8" xfId="2" applyNumberFormat="1" applyFont="1" applyFill="1" applyBorder="1" applyAlignment="1">
      <alignment horizontal="center" vertical="center"/>
    </xf>
    <xf numFmtId="176" fontId="16" fillId="2" borderId="9" xfId="2" applyNumberFormat="1" applyFont="1" applyFill="1" applyBorder="1" applyAlignment="1">
      <alignment horizontal="center" vertical="center"/>
    </xf>
    <xf numFmtId="165" fontId="16" fillId="2" borderId="11" xfId="2" applyNumberFormat="1" applyFont="1" applyFill="1" applyBorder="1" applyAlignment="1">
      <alignment horizontal="center" vertical="center"/>
    </xf>
    <xf numFmtId="165" fontId="16" fillId="2" borderId="12" xfId="2" applyNumberFormat="1" applyFont="1" applyFill="1" applyBorder="1" applyAlignment="1">
      <alignment horizontal="center" vertical="center"/>
    </xf>
    <xf numFmtId="0" fontId="16" fillId="2" borderId="7" xfId="0" applyFont="1" applyFill="1" applyBorder="1" applyAlignment="1">
      <alignment horizontal="center" vertical="center" wrapText="1"/>
    </xf>
    <xf numFmtId="2" fontId="16" fillId="2" borderId="8" xfId="2" applyNumberFormat="1" applyFont="1" applyFill="1" applyBorder="1" applyAlignment="1">
      <alignment horizontal="center" vertical="center"/>
    </xf>
    <xf numFmtId="2" fontId="16" fillId="2" borderId="9" xfId="2" applyNumberFormat="1" applyFont="1" applyFill="1" applyBorder="1" applyAlignment="1">
      <alignment horizontal="center" vertical="center"/>
    </xf>
    <xf numFmtId="2" fontId="16" fillId="2" borderId="11" xfId="2" applyNumberFormat="1" applyFont="1" applyFill="1" applyBorder="1" applyAlignment="1">
      <alignment horizontal="center" vertical="center"/>
    </xf>
    <xf numFmtId="2" fontId="16" fillId="2" borderId="12" xfId="2" applyNumberFormat="1" applyFont="1" applyFill="1" applyBorder="1" applyAlignment="1">
      <alignment horizontal="center" vertical="center"/>
    </xf>
    <xf numFmtId="9" fontId="16" fillId="2" borderId="11" xfId="2" applyFont="1" applyFill="1" applyBorder="1" applyAlignment="1">
      <alignment horizontal="center" vertical="center"/>
    </xf>
    <xf numFmtId="0" fontId="16" fillId="3" borderId="0" xfId="0" applyFont="1" applyFill="1" applyAlignment="1">
      <alignment horizontal="center" vertical="center"/>
    </xf>
    <xf numFmtId="0" fontId="13" fillId="2" borderId="4" xfId="0" applyFont="1" applyFill="1" applyBorder="1" applyAlignment="1">
      <alignment horizontal="center" vertical="center"/>
    </xf>
    <xf numFmtId="177" fontId="16" fillId="2" borderId="8" xfId="1" applyNumberFormat="1" applyFont="1" applyFill="1" applyBorder="1" applyAlignment="1">
      <alignment horizontal="center" vertical="center"/>
    </xf>
    <xf numFmtId="177" fontId="16" fillId="2" borderId="9" xfId="1" applyNumberFormat="1" applyFont="1" applyFill="1" applyBorder="1" applyAlignment="1">
      <alignment horizontal="center" vertical="center"/>
    </xf>
    <xf numFmtId="0" fontId="18" fillId="2" borderId="10" xfId="0" applyFont="1" applyFill="1" applyBorder="1" applyAlignment="1">
      <alignment horizontal="center" vertical="center"/>
    </xf>
    <xf numFmtId="177" fontId="18" fillId="2" borderId="11" xfId="1" applyNumberFormat="1" applyFont="1" applyFill="1" applyBorder="1" applyAlignment="1">
      <alignment horizontal="center" vertical="center"/>
    </xf>
    <xf numFmtId="177" fontId="18" fillId="4" borderId="11" xfId="1" applyNumberFormat="1" applyFont="1" applyFill="1" applyBorder="1" applyAlignment="1">
      <alignment horizontal="center" vertical="center"/>
    </xf>
    <xf numFmtId="177" fontId="18" fillId="4" borderId="12" xfId="1" applyNumberFormat="1" applyFont="1" applyFill="1" applyBorder="1" applyAlignment="1">
      <alignment horizontal="center" vertical="center"/>
    </xf>
    <xf numFmtId="10" fontId="18" fillId="4" borderId="12" xfId="2" applyNumberFormat="1" applyFont="1" applyFill="1" applyBorder="1" applyAlignment="1">
      <alignment horizontal="center" vertical="center"/>
    </xf>
    <xf numFmtId="0" fontId="6" fillId="2" borderId="1" xfId="0" applyFont="1" applyFill="1" applyBorder="1" applyAlignment="1">
      <alignment horizontal="left" vertical="center" indent="2"/>
    </xf>
    <xf numFmtId="0" fontId="16" fillId="0" borderId="0" xfId="0" applyFont="1" applyAlignment="1">
      <alignment horizontal="center" vertical="center"/>
    </xf>
    <xf numFmtId="178" fontId="16" fillId="2" borderId="8" xfId="1" applyNumberFormat="1" applyFont="1" applyFill="1" applyBorder="1" applyAlignment="1">
      <alignment horizontal="center" vertical="center"/>
    </xf>
    <xf numFmtId="178" fontId="16" fillId="2" borderId="9" xfId="1" applyNumberFormat="1" applyFont="1" applyFill="1" applyBorder="1" applyAlignment="1">
      <alignment horizontal="center" vertical="center"/>
    </xf>
    <xf numFmtId="178" fontId="18" fillId="4" borderId="12" xfId="1" applyNumberFormat="1" applyFont="1" applyFill="1" applyBorder="1" applyAlignment="1">
      <alignment horizontal="center" vertical="center"/>
    </xf>
    <xf numFmtId="178" fontId="18" fillId="2" borderId="11" xfId="1" applyNumberFormat="1" applyFont="1" applyFill="1" applyBorder="1" applyAlignment="1">
      <alignment horizontal="center" vertical="center"/>
    </xf>
    <xf numFmtId="178" fontId="18" fillId="0" borderId="11" xfId="1" applyNumberFormat="1" applyFont="1" applyFill="1" applyBorder="1" applyAlignment="1">
      <alignment horizontal="center" vertical="center"/>
    </xf>
    <xf numFmtId="165" fontId="0" fillId="3" borderId="0" xfId="2" applyNumberFormat="1" applyFont="1" applyFill="1" applyAlignment="1">
      <alignment horizontal="center" vertical="center"/>
    </xf>
    <xf numFmtId="0" fontId="16" fillId="0" borderId="10" xfId="0" applyFont="1" applyBorder="1" applyAlignment="1">
      <alignment horizontal="left" vertical="center" indent="2"/>
    </xf>
    <xf numFmtId="164" fontId="16" fillId="0" borderId="11" xfId="0" applyNumberFormat="1" applyFont="1" applyBorder="1" applyAlignment="1">
      <alignment horizontal="center" vertical="center"/>
    </xf>
    <xf numFmtId="164" fontId="13" fillId="0" borderId="11" xfId="0" applyNumberFormat="1" applyFont="1" applyBorder="1" applyAlignment="1">
      <alignment horizontal="center" vertical="center"/>
    </xf>
    <xf numFmtId="170" fontId="0" fillId="3" borderId="0" xfId="0" applyNumberFormat="1" applyFill="1" applyAlignment="1">
      <alignment vertical="center"/>
    </xf>
    <xf numFmtId="170" fontId="16" fillId="0" borderId="8" xfId="2" applyNumberFormat="1" applyFont="1" applyFill="1" applyBorder="1" applyAlignment="1">
      <alignment horizontal="center" vertical="center"/>
    </xf>
    <xf numFmtId="0" fontId="0" fillId="2" borderId="13" xfId="0" applyFill="1" applyBorder="1"/>
    <xf numFmtId="0" fontId="0" fillId="2" borderId="14" xfId="0" applyFill="1" applyBorder="1"/>
    <xf numFmtId="0" fontId="0" fillId="2" borderId="15" xfId="0" applyFill="1" applyBorder="1"/>
    <xf numFmtId="0" fontId="0" fillId="2" borderId="57" xfId="0" applyFill="1" applyBorder="1"/>
    <xf numFmtId="0" fontId="0" fillId="2" borderId="58" xfId="0" applyFill="1" applyBorder="1"/>
    <xf numFmtId="10" fontId="13" fillId="2" borderId="19" xfId="0" applyNumberFormat="1" applyFont="1" applyFill="1" applyBorder="1" applyAlignment="1">
      <alignment horizontal="center" vertical="center" wrapText="1"/>
    </xf>
    <xf numFmtId="10" fontId="6" fillId="2" borderId="19" xfId="2" applyNumberFormat="1" applyFont="1" applyFill="1" applyBorder="1" applyAlignment="1">
      <alignment horizontal="center" vertical="center"/>
    </xf>
    <xf numFmtId="10" fontId="6" fillId="2" borderId="20" xfId="2" applyNumberFormat="1" applyFont="1" applyFill="1" applyBorder="1" applyAlignment="1">
      <alignment horizontal="center" vertical="center"/>
    </xf>
    <xf numFmtId="0" fontId="0" fillId="2" borderId="0" xfId="0" applyFill="1"/>
    <xf numFmtId="0" fontId="9" fillId="2" borderId="18" xfId="0" applyFont="1" applyFill="1" applyBorder="1" applyAlignment="1">
      <alignment horizontal="left" vertical="center" indent="2"/>
    </xf>
    <xf numFmtId="165" fontId="15" fillId="2" borderId="19" xfId="0" applyNumberFormat="1" applyFont="1" applyFill="1" applyBorder="1" applyAlignment="1">
      <alignment vertical="center"/>
    </xf>
    <xf numFmtId="0" fontId="8" fillId="2" borderId="19" xfId="0" applyFont="1" applyFill="1" applyBorder="1" applyAlignment="1">
      <alignment horizontal="left" vertical="center" indent="4"/>
    </xf>
    <xf numFmtId="2" fontId="16" fillId="0" borderId="9" xfId="2" applyNumberFormat="1" applyFont="1" applyFill="1" applyBorder="1" applyAlignment="1">
      <alignment horizontal="center" vertical="center"/>
    </xf>
    <xf numFmtId="9" fontId="16" fillId="0" borderId="12" xfId="2" applyFont="1" applyFill="1" applyBorder="1" applyAlignment="1">
      <alignment horizontal="center" vertical="center"/>
    </xf>
    <xf numFmtId="0" fontId="8" fillId="2" borderId="0" xfId="0" applyFont="1" applyFill="1" applyAlignment="1">
      <alignment horizontal="right" vertical="center" textRotation="90"/>
    </xf>
    <xf numFmtId="10" fontId="8" fillId="2" borderId="19" xfId="0" applyNumberFormat="1" applyFont="1" applyFill="1" applyBorder="1" applyAlignment="1">
      <alignment horizontal="center" vertical="top"/>
    </xf>
    <xf numFmtId="10" fontId="8" fillId="2" borderId="20" xfId="0" applyNumberFormat="1" applyFont="1" applyFill="1" applyBorder="1" applyAlignment="1">
      <alignment horizontal="center" vertical="top"/>
    </xf>
    <xf numFmtId="0" fontId="4" fillId="3" borderId="0" xfId="0" applyFont="1" applyFill="1" applyAlignment="1">
      <alignment horizontal="center" vertical="center" shrinkToFit="1"/>
    </xf>
    <xf numFmtId="0" fontId="4" fillId="3" borderId="2" xfId="0" applyFont="1" applyFill="1" applyBorder="1" applyAlignment="1">
      <alignment horizontal="center" vertical="center" shrinkToFit="1"/>
    </xf>
    <xf numFmtId="0" fontId="8" fillId="2" borderId="57" xfId="0" applyFont="1" applyFill="1" applyBorder="1" applyAlignment="1">
      <alignment horizontal="right" vertical="center" textRotation="90"/>
    </xf>
    <xf numFmtId="10" fontId="8" fillId="2" borderId="0" xfId="0" applyNumberFormat="1" applyFont="1" applyFill="1" applyAlignment="1">
      <alignment horizontal="center" vertical="top"/>
    </xf>
    <xf numFmtId="10" fontId="8" fillId="2" borderId="17" xfId="0" applyNumberFormat="1" applyFont="1" applyFill="1" applyBorder="1" applyAlignment="1">
      <alignment horizontal="center" vertical="top"/>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1" fillId="3" borderId="0" xfId="0" applyFont="1" applyFill="1" applyAlignment="1">
      <alignment horizontal="center" vertical="center"/>
    </xf>
    <xf numFmtId="0" fontId="21" fillId="3" borderId="2" xfId="0" applyFont="1" applyFill="1" applyBorder="1" applyAlignment="1">
      <alignment horizontal="center" vertical="center"/>
    </xf>
    <xf numFmtId="0" fontId="0" fillId="0" borderId="40" xfId="0" applyBorder="1" applyAlignment="1">
      <alignment horizontal="center"/>
    </xf>
    <xf numFmtId="0" fontId="0" fillId="0" borderId="41" xfId="0" applyBorder="1" applyAlignment="1">
      <alignment horizont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xf>
    <xf numFmtId="0" fontId="0" fillId="0" borderId="8" xfId="0" applyBorder="1" applyAlignment="1">
      <alignment horizontal="center" vertical="center"/>
    </xf>
    <xf numFmtId="164" fontId="13" fillId="0" borderId="8" xfId="0" applyNumberFormat="1" applyFont="1" applyBorder="1" applyAlignment="1">
      <alignment horizontal="center" vertical="center"/>
    </xf>
    <xf numFmtId="164" fontId="13" fillId="0" borderId="9" xfId="0" applyNumberFormat="1" applyFont="1" applyBorder="1" applyAlignment="1">
      <alignment horizontal="center" vertical="center"/>
    </xf>
    <xf numFmtId="167" fontId="16" fillId="2" borderId="8" xfId="0" applyNumberFormat="1" applyFont="1" applyFill="1" applyBorder="1" applyAlignment="1">
      <alignment horizontal="center" vertical="center" wrapText="1"/>
    </xf>
    <xf numFmtId="167" fontId="16" fillId="2" borderId="9" xfId="0" applyNumberFormat="1" applyFont="1" applyFill="1" applyBorder="1" applyAlignment="1">
      <alignment horizontal="center" vertical="center" wrapText="1"/>
    </xf>
    <xf numFmtId="165" fontId="16" fillId="0" borderId="11" xfId="0" applyNumberFormat="1" applyFont="1" applyBorder="1" applyAlignment="1">
      <alignment horizontal="center" vertical="center" wrapText="1"/>
    </xf>
    <xf numFmtId="165" fontId="16" fillId="0" borderId="12" xfId="0" applyNumberFormat="1" applyFont="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7" fontId="16" fillId="2" borderId="8" xfId="0" applyNumberFormat="1" applyFont="1" applyFill="1" applyBorder="1" applyAlignment="1">
      <alignment horizontal="center" vertical="center"/>
    </xf>
    <xf numFmtId="167" fontId="16" fillId="2" borderId="9" xfId="0" applyNumberFormat="1" applyFont="1" applyFill="1" applyBorder="1" applyAlignment="1">
      <alignment horizontal="center" vertical="center"/>
    </xf>
    <xf numFmtId="167" fontId="13" fillId="0" borderId="8" xfId="0" applyNumberFormat="1" applyFont="1" applyBorder="1" applyAlignment="1">
      <alignment horizontal="center" vertical="center"/>
    </xf>
    <xf numFmtId="167" fontId="13" fillId="0" borderId="9" xfId="0" applyNumberFormat="1" applyFont="1" applyBorder="1" applyAlignment="1">
      <alignment horizontal="center" vertical="center"/>
    </xf>
    <xf numFmtId="10" fontId="16" fillId="0" borderId="8" xfId="2" applyNumberFormat="1" applyFont="1" applyFill="1" applyBorder="1" applyAlignment="1">
      <alignment horizontal="center" vertical="center"/>
    </xf>
    <xf numFmtId="10" fontId="16" fillId="0" borderId="9" xfId="2" applyNumberFormat="1"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10" fontId="16" fillId="0" borderId="26" xfId="2" applyNumberFormat="1" applyFont="1" applyFill="1" applyBorder="1" applyAlignment="1">
      <alignment horizontal="center" vertical="center"/>
    </xf>
    <xf numFmtId="10" fontId="16" fillId="0" borderId="27" xfId="2" applyNumberFormat="1" applyFont="1" applyFill="1" applyBorder="1" applyAlignment="1">
      <alignment horizontal="center" vertical="center"/>
    </xf>
    <xf numFmtId="10" fontId="16" fillId="0" borderId="28" xfId="2" applyNumberFormat="1" applyFont="1" applyFill="1" applyBorder="1" applyAlignment="1">
      <alignment horizontal="center" vertical="center" wrapText="1"/>
    </xf>
    <xf numFmtId="10" fontId="16" fillId="0" borderId="29" xfId="2" applyNumberFormat="1" applyFont="1" applyFill="1" applyBorder="1" applyAlignment="1">
      <alignment horizontal="center" vertical="center" wrapText="1"/>
    </xf>
    <xf numFmtId="10" fontId="16" fillId="0" borderId="11" xfId="2" applyNumberFormat="1" applyFont="1" applyFill="1" applyBorder="1" applyAlignment="1">
      <alignment horizontal="center" vertical="center"/>
    </xf>
    <xf numFmtId="10" fontId="16" fillId="0" borderId="12" xfId="2" applyNumberFormat="1" applyFont="1" applyFill="1" applyBorder="1" applyAlignment="1">
      <alignment horizontal="center" vertical="center"/>
    </xf>
    <xf numFmtId="10" fontId="20" fillId="0" borderId="8" xfId="2" applyNumberFormat="1" applyFont="1" applyFill="1" applyBorder="1" applyAlignment="1">
      <alignment horizontal="center" vertical="center"/>
    </xf>
    <xf numFmtId="10" fontId="20" fillId="0" borderId="9" xfId="2" applyNumberFormat="1" applyFont="1" applyFill="1" applyBorder="1" applyAlignment="1">
      <alignment horizontal="center" vertical="center"/>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27" xfId="0" applyFont="1" applyFill="1" applyBorder="1" applyAlignment="1">
      <alignment horizontal="center" vertical="center"/>
    </xf>
    <xf numFmtId="10" fontId="16" fillId="0" borderId="8" xfId="2" applyNumberFormat="1" applyFont="1" applyFill="1" applyBorder="1" applyAlignment="1">
      <alignment horizontal="center" vertical="center" wrapText="1"/>
    </xf>
    <xf numFmtId="10" fontId="16" fillId="0" borderId="9" xfId="2" applyNumberFormat="1" applyFont="1" applyFill="1" applyBorder="1" applyAlignment="1">
      <alignment horizontal="center" vertical="center" wrapText="1"/>
    </xf>
    <xf numFmtId="10" fontId="16" fillId="0" borderId="26" xfId="2" applyNumberFormat="1" applyFont="1" applyFill="1" applyBorder="1" applyAlignment="1">
      <alignment horizontal="center" vertical="center" wrapText="1"/>
    </xf>
    <xf numFmtId="10" fontId="16" fillId="0" borderId="27" xfId="2" applyNumberFormat="1" applyFont="1" applyFill="1" applyBorder="1" applyAlignment="1">
      <alignment horizontal="center" vertical="center" wrapText="1"/>
    </xf>
    <xf numFmtId="10" fontId="16" fillId="0" borderId="28" xfId="2" applyNumberFormat="1" applyFont="1" applyFill="1" applyBorder="1" applyAlignment="1">
      <alignment horizontal="center" vertical="center"/>
    </xf>
    <xf numFmtId="10" fontId="16" fillId="0" borderId="29" xfId="2" applyNumberFormat="1" applyFont="1" applyFill="1" applyBorder="1" applyAlignment="1">
      <alignment horizontal="center" vertical="center"/>
    </xf>
    <xf numFmtId="10" fontId="16" fillId="0" borderId="48" xfId="2" applyNumberFormat="1" applyFont="1" applyFill="1" applyBorder="1" applyAlignment="1">
      <alignment horizontal="center" vertical="center"/>
    </xf>
    <xf numFmtId="10" fontId="16" fillId="0" borderId="49" xfId="2" applyNumberFormat="1" applyFont="1" applyFill="1" applyBorder="1" applyAlignment="1">
      <alignment horizontal="center" vertical="center"/>
    </xf>
    <xf numFmtId="168" fontId="16" fillId="2" borderId="26" xfId="0" applyNumberFormat="1" applyFont="1" applyFill="1" applyBorder="1" applyAlignment="1">
      <alignment horizontal="center" vertical="center" wrapText="1"/>
    </xf>
    <xf numFmtId="168" fontId="16" fillId="2" borderId="27" xfId="0" applyNumberFormat="1" applyFont="1" applyFill="1" applyBorder="1" applyAlignment="1">
      <alignment horizontal="center" vertical="center" wrapText="1"/>
    </xf>
    <xf numFmtId="168" fontId="16" fillId="2" borderId="28" xfId="0" applyNumberFormat="1" applyFont="1" applyFill="1" applyBorder="1" applyAlignment="1">
      <alignment horizontal="center" vertical="center"/>
    </xf>
    <xf numFmtId="168" fontId="16" fillId="2" borderId="29" xfId="0" applyNumberFormat="1" applyFont="1" applyFill="1" applyBorder="1" applyAlignment="1">
      <alignment horizontal="center" vertical="center"/>
    </xf>
    <xf numFmtId="0" fontId="4" fillId="3" borderId="0" xfId="0" applyFont="1" applyFill="1" applyAlignment="1">
      <alignment horizontal="center" vertical="center"/>
    </xf>
    <xf numFmtId="0" fontId="4" fillId="3" borderId="2" xfId="0" applyFont="1" applyFill="1" applyBorder="1" applyAlignment="1">
      <alignment horizontal="center" vertical="center"/>
    </xf>
  </cellXfs>
  <cellStyles count="5">
    <cellStyle name="Hiperlink" xfId="3" builtinId="8"/>
    <cellStyle name="Moeda" xfId="1" builtinId="4"/>
    <cellStyle name="Normal" xfId="0" builtinId="0"/>
    <cellStyle name="Normal 2" xfId="4" xr:uid="{89940767-228A-4C0C-A2D5-8B6A065E17E9}"/>
    <cellStyle name="Porcentagem" xfId="2" builtinId="5"/>
  </cellStyles>
  <dxfs count="21">
    <dxf>
      <numFmt numFmtId="179" formatCode="&quot;-&quot;"/>
    </dxf>
    <dxf>
      <numFmt numFmtId="179" formatCode="&quot;-&quot;"/>
    </dxf>
    <dxf>
      <numFmt numFmtId="179" formatCode="&quot;-&quot;"/>
    </dxf>
    <dxf>
      <numFmt numFmtId="179" formatCode="&quot;-&quot;"/>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79" formatCode="&quot;-&quot;"/>
    </dxf>
    <dxf>
      <numFmt numFmtId="180" formatCode="\-"/>
    </dxf>
    <dxf>
      <font>
        <color rgb="FF00C556"/>
      </font>
    </dxf>
    <dxf>
      <font>
        <color rgb="FFFF5757"/>
      </font>
    </dxf>
    <dxf>
      <font>
        <color theme="4"/>
      </font>
    </dxf>
    <dxf>
      <font>
        <color rgb="FFFF5757"/>
      </font>
    </dxf>
  </dxfs>
  <tableStyles count="0" defaultTableStyle="TableStyleMedium2" defaultPivotStyle="PivotStyleLight16"/>
  <colors>
    <mruColors>
      <color rgb="FFF9FBFD"/>
      <color rgb="FF43AF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BAZA3 x IBOV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ALPA4 x BOVA11</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96058617672791"/>
                  <c:y val="-0.557320282881306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rendlineLbl>
          </c:trendline>
          <c:xVal>
            <c:numRef>
              <c:f>Ke!$I$23:$I$768</c:f>
              <c:numCache>
                <c:formatCode>0.00%</c:formatCode>
                <c:ptCount val="746"/>
                <c:pt idx="0">
                  <c:v>3.4163562120737012E-4</c:v>
                </c:pt>
                <c:pt idx="1">
                  <c:v>-2.7972027972027469E-3</c:v>
                </c:pt>
                <c:pt idx="2">
                  <c:v>5.3002381030031742E-4</c:v>
                </c:pt>
                <c:pt idx="3">
                  <c:v>-8.8833831835111177E-4</c:v>
                </c:pt>
                <c:pt idx="4">
                  <c:v>1.1746280344557603E-2</c:v>
                </c:pt>
                <c:pt idx="5">
                  <c:v>-8.4171826625386581E-3</c:v>
                </c:pt>
                <c:pt idx="6">
                  <c:v>8.1390054314240956E-3</c:v>
                </c:pt>
                <c:pt idx="7">
                  <c:v>3.048657542201294E-3</c:v>
                </c:pt>
                <c:pt idx="8">
                  <c:v>9.6006175271574623E-3</c:v>
                </c:pt>
                <c:pt idx="9">
                  <c:v>5.2165879532657389E-3</c:v>
                </c:pt>
                <c:pt idx="10">
                  <c:v>1.6249920770742277E-2</c:v>
                </c:pt>
                <c:pt idx="11">
                  <c:v>1.0400180872710774E-2</c:v>
                </c:pt>
                <c:pt idx="12">
                  <c:v>4.0508946690225311E-3</c:v>
                </c:pt>
                <c:pt idx="13">
                  <c:v>4.995158538647182E-3</c:v>
                </c:pt>
                <c:pt idx="14">
                  <c:v>-7.5625497033094957E-3</c:v>
                </c:pt>
                <c:pt idx="15">
                  <c:v>9.2459183123128064E-4</c:v>
                </c:pt>
                <c:pt idx="16">
                  <c:v>1.3009306657840725E-3</c:v>
                </c:pt>
                <c:pt idx="17">
                  <c:v>-4.8817614317783198E-3</c:v>
                </c:pt>
                <c:pt idx="18">
                  <c:v>5.9254795621170864E-3</c:v>
                </c:pt>
                <c:pt idx="19">
                  <c:v>-8.9856230031948314E-4</c:v>
                </c:pt>
                <c:pt idx="20">
                  <c:v>-6.3955231338063134E-3</c:v>
                </c:pt>
                <c:pt idx="21">
                  <c:v>-9.2991590527545798E-3</c:v>
                </c:pt>
                <c:pt idx="22">
                  <c:v>2.7175398455374644E-3</c:v>
                </c:pt>
                <c:pt idx="23">
                  <c:v>6.6975585062887255E-3</c:v>
                </c:pt>
                <c:pt idx="24">
                  <c:v>-3.8525509612037379E-3</c:v>
                </c:pt>
                <c:pt idx="25">
                  <c:v>-2.6326620951020452E-3</c:v>
                </c:pt>
                <c:pt idx="26">
                  <c:v>8.4560999159062344E-3</c:v>
                </c:pt>
                <c:pt idx="27">
                  <c:v>-1.7434408635359833E-2</c:v>
                </c:pt>
                <c:pt idx="28">
                  <c:v>1.3594643867480549E-3</c:v>
                </c:pt>
                <c:pt idx="29">
                  <c:v>-8.0044573841120403E-4</c:v>
                </c:pt>
                <c:pt idx="30">
                  <c:v>-4.123241731918581E-3</c:v>
                </c:pt>
                <c:pt idx="31">
                  <c:v>-8.958849229507404E-3</c:v>
                </c:pt>
                <c:pt idx="32">
                  <c:v>1.5565069310712554E-2</c:v>
                </c:pt>
                <c:pt idx="33">
                  <c:v>-5.5006190155302281E-3</c:v>
                </c:pt>
                <c:pt idx="34">
                  <c:v>-1.437913646391431E-2</c:v>
                </c:pt>
                <c:pt idx="35">
                  <c:v>1.5380310963667654E-2</c:v>
                </c:pt>
                <c:pt idx="36">
                  <c:v>-1.2525685133720099E-2</c:v>
                </c:pt>
                <c:pt idx="37">
                  <c:v>1.7268871384379825E-2</c:v>
                </c:pt>
                <c:pt idx="38">
                  <c:v>4.4986441368717323E-3</c:v>
                </c:pt>
                <c:pt idx="39">
                  <c:v>1.8647400287123972E-3</c:v>
                </c:pt>
                <c:pt idx="40">
                  <c:v>-7.3126854454975687E-3</c:v>
                </c:pt>
                <c:pt idx="41">
                  <c:v>-1.1830420183889245E-2</c:v>
                </c:pt>
                <c:pt idx="42">
                  <c:v>-1.2424579231502086E-2</c:v>
                </c:pt>
                <c:pt idx="43">
                  <c:v>8.0871417661481093E-3</c:v>
                </c:pt>
                <c:pt idx="44">
                  <c:v>4.2104927392923042E-3</c:v>
                </c:pt>
                <c:pt idx="45">
                  <c:v>1.7311342105472693E-3</c:v>
                </c:pt>
                <c:pt idx="46">
                  <c:v>-8.6724218570397582E-3</c:v>
                </c:pt>
                <c:pt idx="47">
                  <c:v>7.604775575156042E-3</c:v>
                </c:pt>
                <c:pt idx="48">
                  <c:v>-1.1047268340687588E-2</c:v>
                </c:pt>
                <c:pt idx="49">
                  <c:v>1.3433698199210253E-2</c:v>
                </c:pt>
                <c:pt idx="50">
                  <c:v>-4.8382243479087039E-3</c:v>
                </c:pt>
                <c:pt idx="51">
                  <c:v>-3.0825542072806855E-2</c:v>
                </c:pt>
                <c:pt idx="52">
                  <c:v>5.8702309504847783E-3</c:v>
                </c:pt>
                <c:pt idx="53">
                  <c:v>8.6600933755591747E-3</c:v>
                </c:pt>
                <c:pt idx="54">
                  <c:v>-1.4371606366880618E-2</c:v>
                </c:pt>
                <c:pt idx="55">
                  <c:v>-1.3792990205334643E-3</c:v>
                </c:pt>
                <c:pt idx="56">
                  <c:v>9.6766502511653751E-3</c:v>
                </c:pt>
                <c:pt idx="57">
                  <c:v>1.701815813044627E-3</c:v>
                </c:pt>
                <c:pt idx="58">
                  <c:v>-6.6412505385347043E-3</c:v>
                </c:pt>
                <c:pt idx="59">
                  <c:v>-1.1947431302270495E-3</c:v>
                </c:pt>
                <c:pt idx="60">
                  <c:v>-1.1101461624172471E-2</c:v>
                </c:pt>
                <c:pt idx="61">
                  <c:v>4.0844732023761487E-3</c:v>
                </c:pt>
                <c:pt idx="62">
                  <c:v>-1.6617984388666129E-2</c:v>
                </c:pt>
                <c:pt idx="63">
                  <c:v>-1.070649437825133E-2</c:v>
                </c:pt>
                <c:pt idx="64">
                  <c:v>-1.0695141810286302E-2</c:v>
                </c:pt>
                <c:pt idx="65">
                  <c:v>4.4751935392608466E-3</c:v>
                </c:pt>
                <c:pt idx="66">
                  <c:v>7.5790551785943627E-3</c:v>
                </c:pt>
                <c:pt idx="67">
                  <c:v>-4.9215183011021013E-3</c:v>
                </c:pt>
                <c:pt idx="68">
                  <c:v>2.3316194497412068E-2</c:v>
                </c:pt>
                <c:pt idx="69">
                  <c:v>5.0494547088035802E-3</c:v>
                </c:pt>
                <c:pt idx="70">
                  <c:v>-1.7331854524987977E-2</c:v>
                </c:pt>
                <c:pt idx="71">
                  <c:v>1.6458340352413892E-2</c:v>
                </c:pt>
                <c:pt idx="72">
                  <c:v>-7.7727506256318746E-3</c:v>
                </c:pt>
                <c:pt idx="73">
                  <c:v>-8.0090195423417887E-3</c:v>
                </c:pt>
                <c:pt idx="74">
                  <c:v>5.1775957434270214E-3</c:v>
                </c:pt>
                <c:pt idx="75">
                  <c:v>-2.2772957217997214E-2</c:v>
                </c:pt>
                <c:pt idx="76">
                  <c:v>2.1940913804776585E-3</c:v>
                </c:pt>
                <c:pt idx="77">
                  <c:v>8.0045838215045961E-3</c:v>
                </c:pt>
                <c:pt idx="78">
                  <c:v>-3.7804681468409873E-2</c:v>
                </c:pt>
                <c:pt idx="79">
                  <c:v>1.7176161462971518E-2</c:v>
                </c:pt>
                <c:pt idx="80">
                  <c:v>-9.3185738681182961E-3</c:v>
                </c:pt>
                <c:pt idx="81">
                  <c:v>1.85324536688658E-2</c:v>
                </c:pt>
                <c:pt idx="82">
                  <c:v>-1.9157417270884158E-3</c:v>
                </c:pt>
                <c:pt idx="83">
                  <c:v>-9.6229159673268949E-3</c:v>
                </c:pt>
                <c:pt idx="84">
                  <c:v>-1.1028740776791834E-2</c:v>
                </c:pt>
                <c:pt idx="85">
                  <c:v>-2.0695291491642842E-2</c:v>
                </c:pt>
                <c:pt idx="86">
                  <c:v>-2.3286282181283036E-2</c:v>
                </c:pt>
                <c:pt idx="87">
                  <c:v>1.2917570100327014E-2</c:v>
                </c:pt>
                <c:pt idx="88">
                  <c:v>1.8430839002267607E-2</c:v>
                </c:pt>
                <c:pt idx="89">
                  <c:v>1.5870753994406961E-2</c:v>
                </c:pt>
                <c:pt idx="90">
                  <c:v>-6.8470332444943161E-3</c:v>
                </c:pt>
                <c:pt idx="91">
                  <c:v>2.6482349514049819E-3</c:v>
                </c:pt>
                <c:pt idx="92">
                  <c:v>-3.0453500964052749E-2</c:v>
                </c:pt>
                <c:pt idx="93">
                  <c:v>8.9263012603972847E-3</c:v>
                </c:pt>
                <c:pt idx="94">
                  <c:v>-1.1520426255771099E-3</c:v>
                </c:pt>
                <c:pt idx="95">
                  <c:v>1.730958109191838E-2</c:v>
                </c:pt>
                <c:pt idx="96">
                  <c:v>-2.2205491585473913E-2</c:v>
                </c:pt>
                <c:pt idx="97">
                  <c:v>5.8880544962081061E-4</c:v>
                </c:pt>
                <c:pt idx="98">
                  <c:v>9.234279092504849E-4</c:v>
                </c:pt>
                <c:pt idx="99">
                  <c:v>2.2612156295220842E-4</c:v>
                </c:pt>
                <c:pt idx="100">
                  <c:v>2.0328254284034841E-2</c:v>
                </c:pt>
                <c:pt idx="101">
                  <c:v>-5.7873139950191943E-3</c:v>
                </c:pt>
                <c:pt idx="102">
                  <c:v>1.1374576573364159E-2</c:v>
                </c:pt>
                <c:pt idx="103">
                  <c:v>-2.3885911719080388E-3</c:v>
                </c:pt>
                <c:pt idx="104">
                  <c:v>1.2925741043424477E-2</c:v>
                </c:pt>
                <c:pt idx="105">
                  <c:v>-1.9189170330053962E-3</c:v>
                </c:pt>
                <c:pt idx="106">
                  <c:v>-3.2815394833432432E-2</c:v>
                </c:pt>
                <c:pt idx="107">
                  <c:v>1.0210259051439685E-3</c:v>
                </c:pt>
                <c:pt idx="108">
                  <c:v>-2.7539580813460196E-2</c:v>
                </c:pt>
                <c:pt idx="109">
                  <c:v>-1.3356847821042406E-2</c:v>
                </c:pt>
                <c:pt idx="110">
                  <c:v>2.2757206291864174E-2</c:v>
                </c:pt>
                <c:pt idx="111">
                  <c:v>-2.111024237685688E-2</c:v>
                </c:pt>
                <c:pt idx="112">
                  <c:v>-5.3561360646492417E-4</c:v>
                </c:pt>
                <c:pt idx="113">
                  <c:v>-6.1863617987457653E-3</c:v>
                </c:pt>
                <c:pt idx="114">
                  <c:v>-2.0850480109739333E-2</c:v>
                </c:pt>
                <c:pt idx="115">
                  <c:v>1.9806571917179605E-2</c:v>
                </c:pt>
                <c:pt idx="116">
                  <c:v>6.2529014410106498E-4</c:v>
                </c:pt>
                <c:pt idx="117">
                  <c:v>-2.0877320885842265E-2</c:v>
                </c:pt>
                <c:pt idx="118">
                  <c:v>1.3654121378563477E-2</c:v>
                </c:pt>
                <c:pt idx="119">
                  <c:v>-4.1021140196906281E-4</c:v>
                </c:pt>
                <c:pt idx="120">
                  <c:v>7.1959610998177936E-3</c:v>
                </c:pt>
                <c:pt idx="121">
                  <c:v>4.1029042497748858E-3</c:v>
                </c:pt>
                <c:pt idx="122">
                  <c:v>1.6580477125169857E-2</c:v>
                </c:pt>
                <c:pt idx="123">
                  <c:v>-1.3116732420515254E-2</c:v>
                </c:pt>
                <c:pt idx="124">
                  <c:v>-1.6968921664534564E-2</c:v>
                </c:pt>
                <c:pt idx="125">
                  <c:v>-1.4955792857963002E-2</c:v>
                </c:pt>
                <c:pt idx="126">
                  <c:v>-4.0895623876827658E-3</c:v>
                </c:pt>
                <c:pt idx="127">
                  <c:v>4.984198821739394E-3</c:v>
                </c:pt>
                <c:pt idx="128">
                  <c:v>-8.8610666278449157E-3</c:v>
                </c:pt>
                <c:pt idx="129">
                  <c:v>1.5089794559448588E-2</c:v>
                </c:pt>
                <c:pt idx="130">
                  <c:v>8.2092935763000696E-3</c:v>
                </c:pt>
                <c:pt idx="131">
                  <c:v>1.2409820693878304E-2</c:v>
                </c:pt>
                <c:pt idx="132">
                  <c:v>-3.3900067100773978E-2</c:v>
                </c:pt>
                <c:pt idx="133">
                  <c:v>5.7716387541086878E-3</c:v>
                </c:pt>
                <c:pt idx="134">
                  <c:v>-8.7439453770886688E-3</c:v>
                </c:pt>
                <c:pt idx="135">
                  <c:v>-1.1185792081636614E-2</c:v>
                </c:pt>
                <c:pt idx="136">
                  <c:v>3.6626147357975647E-2</c:v>
                </c:pt>
                <c:pt idx="137">
                  <c:v>5.7817854612984831E-3</c:v>
                </c:pt>
                <c:pt idx="138">
                  <c:v>1.7026744075378408E-2</c:v>
                </c:pt>
                <c:pt idx="139">
                  <c:v>6.5413301640480093E-3</c:v>
                </c:pt>
                <c:pt idx="140">
                  <c:v>5.0019524349653732E-3</c:v>
                </c:pt>
                <c:pt idx="141">
                  <c:v>-1.6698120189461263E-2</c:v>
                </c:pt>
                <c:pt idx="142">
                  <c:v>1.3801732978333092E-2</c:v>
                </c:pt>
                <c:pt idx="143">
                  <c:v>-3.4800200449154328E-3</c:v>
                </c:pt>
                <c:pt idx="144">
                  <c:v>-5.8016632055353234E-3</c:v>
                </c:pt>
                <c:pt idx="145">
                  <c:v>5.7137504683402174E-3</c:v>
                </c:pt>
                <c:pt idx="146">
                  <c:v>7.8420415386049047E-3</c:v>
                </c:pt>
                <c:pt idx="147">
                  <c:v>-9.3427715964957692E-3</c:v>
                </c:pt>
                <c:pt idx="148">
                  <c:v>-2.0344959468661661E-2</c:v>
                </c:pt>
                <c:pt idx="149">
                  <c:v>4.57055798895456E-3</c:v>
                </c:pt>
                <c:pt idx="150">
                  <c:v>-2.4265402843601791E-3</c:v>
                </c:pt>
                <c:pt idx="151">
                  <c:v>-3.3541104481015216E-3</c:v>
                </c:pt>
                <c:pt idx="152">
                  <c:v>6.1015721081885133E-3</c:v>
                </c:pt>
                <c:pt idx="153">
                  <c:v>-6.3204176971695114E-3</c:v>
                </c:pt>
                <c:pt idx="154">
                  <c:v>-7.2188739700945748E-3</c:v>
                </c:pt>
                <c:pt idx="155">
                  <c:v>6.8679339525681282E-3</c:v>
                </c:pt>
                <c:pt idx="156">
                  <c:v>-8.585983858350299E-3</c:v>
                </c:pt>
                <c:pt idx="157">
                  <c:v>-3.9260214391563242E-3</c:v>
                </c:pt>
                <c:pt idx="158">
                  <c:v>-2.4228606758506133E-2</c:v>
                </c:pt>
                <c:pt idx="159">
                  <c:v>5.4947230857573803E-3</c:v>
                </c:pt>
                <c:pt idx="160">
                  <c:v>1.1402014552830408E-2</c:v>
                </c:pt>
                <c:pt idx="161">
                  <c:v>-7.5351200848917665E-3</c:v>
                </c:pt>
                <c:pt idx="162">
                  <c:v>1.7990092697042437E-2</c:v>
                </c:pt>
                <c:pt idx="163">
                  <c:v>1.8375586583027292E-2</c:v>
                </c:pt>
                <c:pt idx="164">
                  <c:v>-1.476070624302217E-3</c:v>
                </c:pt>
                <c:pt idx="165">
                  <c:v>1.3247417795887451E-2</c:v>
                </c:pt>
                <c:pt idx="166">
                  <c:v>-2.2070926230735033E-3</c:v>
                </c:pt>
                <c:pt idx="167">
                  <c:v>-1.5933715742511012E-3</c:v>
                </c:pt>
                <c:pt idx="168">
                  <c:v>1.3997108578509554E-2</c:v>
                </c:pt>
                <c:pt idx="169">
                  <c:v>1.0082119744845519E-2</c:v>
                </c:pt>
                <c:pt idx="170">
                  <c:v>-1.466517570713699E-3</c:v>
                </c:pt>
                <c:pt idx="171">
                  <c:v>-1.0923243560793772E-2</c:v>
                </c:pt>
                <c:pt idx="172">
                  <c:v>1.9424233424901516E-2</c:v>
                </c:pt>
                <c:pt idx="173">
                  <c:v>1.5731257681278255E-2</c:v>
                </c:pt>
                <c:pt idx="174">
                  <c:v>6.6503544764413558E-3</c:v>
                </c:pt>
                <c:pt idx="175">
                  <c:v>-7.4522548190357751E-3</c:v>
                </c:pt>
                <c:pt idx="176">
                  <c:v>8.1630456233516835E-3</c:v>
                </c:pt>
                <c:pt idx="177">
                  <c:v>6.7533900416414383E-3</c:v>
                </c:pt>
                <c:pt idx="178">
                  <c:v>-8.7143273794267895E-3</c:v>
                </c:pt>
                <c:pt idx="179">
                  <c:v>-4.1458260892823784E-3</c:v>
                </c:pt>
                <c:pt idx="180">
                  <c:v>4.9151267726685877E-3</c:v>
                </c:pt>
                <c:pt idx="181">
                  <c:v>-2.2183616196712608E-3</c:v>
                </c:pt>
                <c:pt idx="182">
                  <c:v>2.1250758955677629E-3</c:v>
                </c:pt>
                <c:pt idx="183">
                  <c:v>2.0225600085534978E-3</c:v>
                </c:pt>
                <c:pt idx="184">
                  <c:v>7.9849903522108967E-3</c:v>
                </c:pt>
                <c:pt idx="185">
                  <c:v>1.8789862295891524E-3</c:v>
                </c:pt>
                <c:pt idx="186">
                  <c:v>2.0691719790089103E-3</c:v>
                </c:pt>
                <c:pt idx="187">
                  <c:v>7.4951452898328608E-3</c:v>
                </c:pt>
                <c:pt idx="188">
                  <c:v>4.5438688295831309E-3</c:v>
                </c:pt>
                <c:pt idx="189">
                  <c:v>-1.4351325305388962E-2</c:v>
                </c:pt>
                <c:pt idx="190">
                  <c:v>-6.6943837643577142E-3</c:v>
                </c:pt>
                <c:pt idx="191">
                  <c:v>-9.2490777525539025E-3</c:v>
                </c:pt>
                <c:pt idx="192">
                  <c:v>1.0445289773998612E-2</c:v>
                </c:pt>
                <c:pt idx="193">
                  <c:v>-7.8304928604330248E-3</c:v>
                </c:pt>
                <c:pt idx="194">
                  <c:v>-3.71402042711233E-3</c:v>
                </c:pt>
                <c:pt idx="195">
                  <c:v>1.3889884579539657E-2</c:v>
                </c:pt>
                <c:pt idx="196">
                  <c:v>1.7959732018171914E-2</c:v>
                </c:pt>
                <c:pt idx="197">
                  <c:v>-6.946012120789824E-5</c:v>
                </c:pt>
                <c:pt idx="198">
                  <c:v>-6.0087178507545191E-3</c:v>
                </c:pt>
                <c:pt idx="199">
                  <c:v>-2.5167286894840712E-2</c:v>
                </c:pt>
                <c:pt idx="200">
                  <c:v>-3.494842866488046E-3</c:v>
                </c:pt>
                <c:pt idx="201">
                  <c:v>2.4252942816290979E-2</c:v>
                </c:pt>
                <c:pt idx="202">
                  <c:v>-2.0807726075504629E-3</c:v>
                </c:pt>
                <c:pt idx="203">
                  <c:v>-1.7155978638607072E-2</c:v>
                </c:pt>
                <c:pt idx="204">
                  <c:v>-1.5978444764709554E-2</c:v>
                </c:pt>
                <c:pt idx="205">
                  <c:v>-8.8148606360526349E-3</c:v>
                </c:pt>
                <c:pt idx="206">
                  <c:v>1.9759726135518907E-2</c:v>
                </c:pt>
                <c:pt idx="207">
                  <c:v>1.7675858593131144E-2</c:v>
                </c:pt>
                <c:pt idx="208">
                  <c:v>1.9765467473203957E-2</c:v>
                </c:pt>
                <c:pt idx="209">
                  <c:v>7.319336403291965E-3</c:v>
                </c:pt>
                <c:pt idx="210">
                  <c:v>9.6164607636348709E-3</c:v>
                </c:pt>
                <c:pt idx="211">
                  <c:v>1.5775291629716026E-3</c:v>
                </c:pt>
                <c:pt idx="212">
                  <c:v>1.3587951335382265E-2</c:v>
                </c:pt>
                <c:pt idx="213">
                  <c:v>2.3518936944055824E-4</c:v>
                </c:pt>
                <c:pt idx="214">
                  <c:v>-2.8803923379884244E-3</c:v>
                </c:pt>
                <c:pt idx="215">
                  <c:v>1.0746349104751696E-2</c:v>
                </c:pt>
                <c:pt idx="216">
                  <c:v>2.0497608612328744E-3</c:v>
                </c:pt>
                <c:pt idx="217">
                  <c:v>-2.1702976883418712E-3</c:v>
                </c:pt>
                <c:pt idx="218">
                  <c:v>1.3091775764798141E-2</c:v>
                </c:pt>
                <c:pt idx="219">
                  <c:v>-2.3854569383894297E-3</c:v>
                </c:pt>
                <c:pt idx="220">
                  <c:v>-1.9747691292876013E-2</c:v>
                </c:pt>
                <c:pt idx="221">
                  <c:v>-5.5263489927240839E-3</c:v>
                </c:pt>
                <c:pt idx="222">
                  <c:v>5.3625198768481042E-3</c:v>
                </c:pt>
                <c:pt idx="223">
                  <c:v>-4.5430835759115995E-3</c:v>
                </c:pt>
                <c:pt idx="224">
                  <c:v>-1.1570122208887645E-2</c:v>
                </c:pt>
                <c:pt idx="225">
                  <c:v>-6.891657332432688E-3</c:v>
                </c:pt>
                <c:pt idx="226">
                  <c:v>5.4672096567280892E-3</c:v>
                </c:pt>
                <c:pt idx="227">
                  <c:v>-5.1377780822386976E-3</c:v>
                </c:pt>
                <c:pt idx="228">
                  <c:v>-4.2605567127438349E-3</c:v>
                </c:pt>
                <c:pt idx="229">
                  <c:v>-5.445728560685259E-3</c:v>
                </c:pt>
                <c:pt idx="230">
                  <c:v>-6.1969284789278323E-3</c:v>
                </c:pt>
                <c:pt idx="231">
                  <c:v>-2.8562932904218852E-2</c:v>
                </c:pt>
                <c:pt idx="232">
                  <c:v>-3.5380543401933862E-3</c:v>
                </c:pt>
                <c:pt idx="233">
                  <c:v>-2.2333649546008916E-2</c:v>
                </c:pt>
                <c:pt idx="234">
                  <c:v>1.0497814495485702E-2</c:v>
                </c:pt>
                <c:pt idx="235">
                  <c:v>5.2126676970067898E-3</c:v>
                </c:pt>
                <c:pt idx="236">
                  <c:v>-1.8586413631856202E-2</c:v>
                </c:pt>
                <c:pt idx="237">
                  <c:v>-1.1466869368534249E-2</c:v>
                </c:pt>
                <c:pt idx="238">
                  <c:v>-1.0408949821359981E-3</c:v>
                </c:pt>
                <c:pt idx="239">
                  <c:v>1.7047161309702519E-2</c:v>
                </c:pt>
                <c:pt idx="240">
                  <c:v>-2.8058775751310661E-2</c:v>
                </c:pt>
                <c:pt idx="241">
                  <c:v>-1.604877307604613E-3</c:v>
                </c:pt>
                <c:pt idx="242">
                  <c:v>-1.7929328958006363E-2</c:v>
                </c:pt>
                <c:pt idx="243">
                  <c:v>-1.3559322033898091E-3</c:v>
                </c:pt>
                <c:pt idx="244">
                  <c:v>1.2481815536805385E-2</c:v>
                </c:pt>
                <c:pt idx="245">
                  <c:v>1.2366255735318132E-2</c:v>
                </c:pt>
                <c:pt idx="246">
                  <c:v>1.1694799788055432E-2</c:v>
                </c:pt>
                <c:pt idx="247">
                  <c:v>1.2242340353896264E-2</c:v>
                </c:pt>
                <c:pt idx="248">
                  <c:v>5.137065405190544E-3</c:v>
                </c:pt>
                <c:pt idx="249">
                  <c:v>-2.3366332993225436E-2</c:v>
                </c:pt>
                <c:pt idx="250">
                  <c:v>7.1343190866566264E-3</c:v>
                </c:pt>
                <c:pt idx="251">
                  <c:v>1.3859165459557898E-2</c:v>
                </c:pt>
                <c:pt idx="252">
                  <c:v>1.7126318118132922E-2</c:v>
                </c:pt>
                <c:pt idx="253">
                  <c:v>2.1296648723108103E-3</c:v>
                </c:pt>
                <c:pt idx="254">
                  <c:v>-9.043144844067541E-6</c:v>
                </c:pt>
                <c:pt idx="255">
                  <c:v>1.1846626876469424E-2</c:v>
                </c:pt>
                <c:pt idx="256">
                  <c:v>4.6474215747616121E-4</c:v>
                </c:pt>
                <c:pt idx="257">
                  <c:v>-8.1292097693448362E-3</c:v>
                </c:pt>
                <c:pt idx="258">
                  <c:v>2.8730456084731237E-3</c:v>
                </c:pt>
                <c:pt idx="259">
                  <c:v>8.0825497750458553E-5</c:v>
                </c:pt>
                <c:pt idx="260">
                  <c:v>9.2762212643677788E-3</c:v>
                </c:pt>
                <c:pt idx="261">
                  <c:v>-1.1486480474762639E-2</c:v>
                </c:pt>
                <c:pt idx="262">
                  <c:v>-8.2446760634371508E-3</c:v>
                </c:pt>
                <c:pt idx="263">
                  <c:v>-1.0527653240883783E-3</c:v>
                </c:pt>
                <c:pt idx="264">
                  <c:v>-1.5462887253565927E-2</c:v>
                </c:pt>
                <c:pt idx="265">
                  <c:v>-1.1756238003838737E-2</c:v>
                </c:pt>
                <c:pt idx="266">
                  <c:v>-1.5061534726501957E-2</c:v>
                </c:pt>
                <c:pt idx="267">
                  <c:v>-2.7331936557294711E-2</c:v>
                </c:pt>
                <c:pt idx="268">
                  <c:v>-5.2145265989590461E-3</c:v>
                </c:pt>
                <c:pt idx="269">
                  <c:v>7.2896152376473733E-3</c:v>
                </c:pt>
                <c:pt idx="270">
                  <c:v>-2.9005806997577932E-2</c:v>
                </c:pt>
                <c:pt idx="271">
                  <c:v>2.8049085900327952E-4</c:v>
                </c:pt>
                <c:pt idx="272">
                  <c:v>-1.6824732356564009E-3</c:v>
                </c:pt>
                <c:pt idx="273">
                  <c:v>-1.635150724783041E-3</c:v>
                </c:pt>
                <c:pt idx="274">
                  <c:v>-1.4489258656377513E-2</c:v>
                </c:pt>
                <c:pt idx="275">
                  <c:v>6.0358890701468493E-3</c:v>
                </c:pt>
                <c:pt idx="276">
                  <c:v>2.1201556672612254E-2</c:v>
                </c:pt>
                <c:pt idx="277">
                  <c:v>-1.716883013774706E-3</c:v>
                </c:pt>
                <c:pt idx="278">
                  <c:v>-9.6330685647821879E-3</c:v>
                </c:pt>
                <c:pt idx="279">
                  <c:v>-1.0840978900242937E-2</c:v>
                </c:pt>
                <c:pt idx="280">
                  <c:v>4.1809583730794131E-3</c:v>
                </c:pt>
                <c:pt idx="281">
                  <c:v>-3.4864684600925955E-3</c:v>
                </c:pt>
                <c:pt idx="282">
                  <c:v>-3.184293522903614E-3</c:v>
                </c:pt>
                <c:pt idx="283">
                  <c:v>4.3135459585941227E-3</c:v>
                </c:pt>
                <c:pt idx="284">
                  <c:v>2.0370951893759148E-2</c:v>
                </c:pt>
                <c:pt idx="285">
                  <c:v>-4.3780403057679385E-3</c:v>
                </c:pt>
                <c:pt idx="286">
                  <c:v>-2.0710147673224433E-2</c:v>
                </c:pt>
                <c:pt idx="287">
                  <c:v>6.0074125361464503E-4</c:v>
                </c:pt>
                <c:pt idx="288">
                  <c:v>-3.9686173947552916E-3</c:v>
                </c:pt>
                <c:pt idx="289">
                  <c:v>-1.7981017766471541E-2</c:v>
                </c:pt>
                <c:pt idx="290">
                  <c:v>4.4735281572185759E-3</c:v>
                </c:pt>
                <c:pt idx="291">
                  <c:v>3.7803854957483285E-3</c:v>
                </c:pt>
                <c:pt idx="292">
                  <c:v>1.3712906021709603E-2</c:v>
                </c:pt>
                <c:pt idx="293">
                  <c:v>4.2750267189162194E-4</c:v>
                </c:pt>
                <c:pt idx="294">
                  <c:v>7.5900169910567694E-3</c:v>
                </c:pt>
                <c:pt idx="295">
                  <c:v>-1.0905455757171945E-3</c:v>
                </c:pt>
                <c:pt idx="296">
                  <c:v>1.3596158706090433E-2</c:v>
                </c:pt>
                <c:pt idx="297">
                  <c:v>-4.9665902064426337E-3</c:v>
                </c:pt>
                <c:pt idx="298">
                  <c:v>1.6698071603255427E-2</c:v>
                </c:pt>
                <c:pt idx="299">
                  <c:v>1.1425698456199784E-2</c:v>
                </c:pt>
                <c:pt idx="300">
                  <c:v>5.5362242560699215E-3</c:v>
                </c:pt>
                <c:pt idx="301">
                  <c:v>-9.1116173120728838E-3</c:v>
                </c:pt>
                <c:pt idx="302">
                  <c:v>1.1122523844460774E-2</c:v>
                </c:pt>
                <c:pt idx="303">
                  <c:v>3.9956657185427069E-3</c:v>
                </c:pt>
                <c:pt idx="304">
                  <c:v>2.039990363767763E-2</c:v>
                </c:pt>
                <c:pt idx="305">
                  <c:v>5.477278736826241E-3</c:v>
                </c:pt>
                <c:pt idx="306">
                  <c:v>1.8126831467428106E-2</c:v>
                </c:pt>
                <c:pt idx="307">
                  <c:v>2.2970055903026587E-3</c:v>
                </c:pt>
                <c:pt idx="308">
                  <c:v>1.4587992747420619E-2</c:v>
                </c:pt>
                <c:pt idx="309">
                  <c:v>-4.6990093980188163E-3</c:v>
                </c:pt>
                <c:pt idx="310">
                  <c:v>2.7762080971217129E-2</c:v>
                </c:pt>
                <c:pt idx="311">
                  <c:v>2.3766450285551688E-3</c:v>
                </c:pt>
                <c:pt idx="312">
                  <c:v>4.2465850378654579E-3</c:v>
                </c:pt>
                <c:pt idx="313">
                  <c:v>1.7266896891958705E-3</c:v>
                </c:pt>
                <c:pt idx="314">
                  <c:v>9.2341787737004744E-4</c:v>
                </c:pt>
                <c:pt idx="315">
                  <c:v>-2.0357955593824917E-2</c:v>
                </c:pt>
                <c:pt idx="316">
                  <c:v>-8.9240869627610353E-3</c:v>
                </c:pt>
                <c:pt idx="317">
                  <c:v>2.1321074017429664E-2</c:v>
                </c:pt>
                <c:pt idx="318">
                  <c:v>3.632915991031993E-4</c:v>
                </c:pt>
                <c:pt idx="319">
                  <c:v>5.6156884975819832E-3</c:v>
                </c:pt>
                <c:pt idx="320">
                  <c:v>-1.0860374167635523E-2</c:v>
                </c:pt>
                <c:pt idx="321">
                  <c:v>2.1371517110568838E-4</c:v>
                </c:pt>
                <c:pt idx="322">
                  <c:v>-1.6844279444103161E-2</c:v>
                </c:pt>
                <c:pt idx="323">
                  <c:v>-8.2223288750441492E-3</c:v>
                </c:pt>
                <c:pt idx="324">
                  <c:v>8.0531030011961047E-3</c:v>
                </c:pt>
                <c:pt idx="325">
                  <c:v>4.1574204066845422E-3</c:v>
                </c:pt>
                <c:pt idx="326">
                  <c:v>1.2077861163227066E-2</c:v>
                </c:pt>
                <c:pt idx="327">
                  <c:v>-2.1737386700890315E-2</c:v>
                </c:pt>
                <c:pt idx="328">
                  <c:v>1.3847891840677029E-3</c:v>
                </c:pt>
                <c:pt idx="329">
                  <c:v>2.1689290003275241E-2</c:v>
                </c:pt>
                <c:pt idx="330">
                  <c:v>9.8575244879786084E-3</c:v>
                </c:pt>
                <c:pt idx="331">
                  <c:v>-2.3040905764194486E-2</c:v>
                </c:pt>
                <c:pt idx="332">
                  <c:v>-2.2293626008628165E-3</c:v>
                </c:pt>
                <c:pt idx="333">
                  <c:v>-5.3642342171202895E-3</c:v>
                </c:pt>
                <c:pt idx="334">
                  <c:v>-6.1298361132837709E-3</c:v>
                </c:pt>
                <c:pt idx="335">
                  <c:v>2.3279648609077608E-2</c:v>
                </c:pt>
                <c:pt idx="336">
                  <c:v>6.1972385176707334E-3</c:v>
                </c:pt>
                <c:pt idx="337">
                  <c:v>-5.1636641574162034E-3</c:v>
                </c:pt>
                <c:pt idx="338">
                  <c:v>1.906446540880502E-2</c:v>
                </c:pt>
                <c:pt idx="339">
                  <c:v>-2.0636451301832226E-2</c:v>
                </c:pt>
                <c:pt idx="340">
                  <c:v>-2.3291202692541813E-2</c:v>
                </c:pt>
                <c:pt idx="341">
                  <c:v>-6.7635683780266076E-3</c:v>
                </c:pt>
                <c:pt idx="342">
                  <c:v>6.9203513693061325E-4</c:v>
                </c:pt>
                <c:pt idx="343">
                  <c:v>-7.2567334556620233E-3</c:v>
                </c:pt>
                <c:pt idx="344">
                  <c:v>2.2040793580026641E-2</c:v>
                </c:pt>
                <c:pt idx="345">
                  <c:v>5.5408635277224949E-2</c:v>
                </c:pt>
                <c:pt idx="346">
                  <c:v>8.2663130521631878E-4</c:v>
                </c:pt>
                <c:pt idx="347">
                  <c:v>8.3283145487396126E-3</c:v>
                </c:pt>
                <c:pt idx="348">
                  <c:v>3.0973224799057952E-3</c:v>
                </c:pt>
                <c:pt idx="349">
                  <c:v>-1.0088379649713763E-2</c:v>
                </c:pt>
                <c:pt idx="350">
                  <c:v>-3.7293233082706934E-3</c:v>
                </c:pt>
                <c:pt idx="351">
                  <c:v>-9.6083352739755323E-3</c:v>
                </c:pt>
                <c:pt idx="352">
                  <c:v>-4.5895129194353235E-3</c:v>
                </c:pt>
                <c:pt idx="353">
                  <c:v>-1.9492563429571286E-2</c:v>
                </c:pt>
                <c:pt idx="354">
                  <c:v>1.3848240416874935E-2</c:v>
                </c:pt>
                <c:pt idx="355">
                  <c:v>1.8649229036119097E-2</c:v>
                </c:pt>
                <c:pt idx="356">
                  <c:v>4.5877504471112385E-3</c:v>
                </c:pt>
                <c:pt idx="357">
                  <c:v>7.7145363537849398E-3</c:v>
                </c:pt>
                <c:pt idx="358">
                  <c:v>2.353824751858391E-2</c:v>
                </c:pt>
                <c:pt idx="359">
                  <c:v>-3.265265281958496E-2</c:v>
                </c:pt>
                <c:pt idx="360">
                  <c:v>-1.1955556704852044E-2</c:v>
                </c:pt>
                <c:pt idx="361">
                  <c:v>-1.624413309371342E-2</c:v>
                </c:pt>
                <c:pt idx="362">
                  <c:v>1.66453832783513E-2</c:v>
                </c:pt>
                <c:pt idx="363">
                  <c:v>-8.8973403930525663E-4</c:v>
                </c:pt>
                <c:pt idx="364">
                  <c:v>1.3078514741703628E-2</c:v>
                </c:pt>
                <c:pt idx="365">
                  <c:v>7.6872032196626527E-3</c:v>
                </c:pt>
                <c:pt idx="366">
                  <c:v>-2.8222254530529955E-4</c:v>
                </c:pt>
                <c:pt idx="367">
                  <c:v>1.0770257322748389E-2</c:v>
                </c:pt>
                <c:pt idx="368">
                  <c:v>-2.3807710211163347E-2</c:v>
                </c:pt>
                <c:pt idx="369">
                  <c:v>7.0919526278372391E-3</c:v>
                </c:pt>
                <c:pt idx="370">
                  <c:v>-2.2210743801652888E-2</c:v>
                </c:pt>
                <c:pt idx="371">
                  <c:v>-3.3500616305687569E-2</c:v>
                </c:pt>
                <c:pt idx="372">
                  <c:v>2.2573445684354265E-2</c:v>
                </c:pt>
                <c:pt idx="373">
                  <c:v>8.0888706760620099E-3</c:v>
                </c:pt>
                <c:pt idx="374">
                  <c:v>-2.5786269120986915E-2</c:v>
                </c:pt>
                <c:pt idx="375">
                  <c:v>-4.8982701849550336E-3</c:v>
                </c:pt>
                <c:pt idx="376">
                  <c:v>-7.5020737810269633E-3</c:v>
                </c:pt>
                <c:pt idx="377">
                  <c:v>7.9720793534165946E-3</c:v>
                </c:pt>
                <c:pt idx="378">
                  <c:v>-6.4784779677078408E-3</c:v>
                </c:pt>
                <c:pt idx="379">
                  <c:v>-3.2466043636564246E-3</c:v>
                </c:pt>
                <c:pt idx="380">
                  <c:v>2.8964971522685179E-2</c:v>
                </c:pt>
                <c:pt idx="381">
                  <c:v>-2.5520651697650942E-2</c:v>
                </c:pt>
                <c:pt idx="382">
                  <c:v>-1.7893683988364772E-3</c:v>
                </c:pt>
                <c:pt idx="383">
                  <c:v>1.9562059899615791E-2</c:v>
                </c:pt>
                <c:pt idx="384">
                  <c:v>1.4209719592462422E-2</c:v>
                </c:pt>
                <c:pt idx="385">
                  <c:v>-1.3868392511068084E-2</c:v>
                </c:pt>
                <c:pt idx="386">
                  <c:v>8.9969889836467587E-3</c:v>
                </c:pt>
                <c:pt idx="387">
                  <c:v>-2.2542082127157692E-2</c:v>
                </c:pt>
                <c:pt idx="388">
                  <c:v>1.2065703238544057E-3</c:v>
                </c:pt>
                <c:pt idx="389">
                  <c:v>-1.5703030137036444E-3</c:v>
                </c:pt>
                <c:pt idx="390">
                  <c:v>-1.9348762355867244E-2</c:v>
                </c:pt>
                <c:pt idx="391">
                  <c:v>4.1400531493309689E-3</c:v>
                </c:pt>
                <c:pt idx="392">
                  <c:v>-2.2518548783998393E-2</c:v>
                </c:pt>
                <c:pt idx="393">
                  <c:v>-1.3033895728834177E-2</c:v>
                </c:pt>
                <c:pt idx="394">
                  <c:v>-8.566588380241047E-4</c:v>
                </c:pt>
                <c:pt idx="395">
                  <c:v>-6.261861410556957E-4</c:v>
                </c:pt>
                <c:pt idx="396">
                  <c:v>-8.8010179490639606E-3</c:v>
                </c:pt>
                <c:pt idx="397">
                  <c:v>1.6581570629710773E-2</c:v>
                </c:pt>
                <c:pt idx="398">
                  <c:v>2.3428680761503839E-2</c:v>
                </c:pt>
                <c:pt idx="399">
                  <c:v>3.1221080772863008E-3</c:v>
                </c:pt>
                <c:pt idx="400">
                  <c:v>3.7274141995835564E-5</c:v>
                </c:pt>
                <c:pt idx="401">
                  <c:v>2.2186606036322276E-2</c:v>
                </c:pt>
                <c:pt idx="402">
                  <c:v>-8.7512990209483998E-3</c:v>
                </c:pt>
                <c:pt idx="403">
                  <c:v>-3.5957990766797288E-3</c:v>
                </c:pt>
                <c:pt idx="404">
                  <c:v>1.744395322436243E-2</c:v>
                </c:pt>
                <c:pt idx="405">
                  <c:v>-1.8687010713281937E-3</c:v>
                </c:pt>
                <c:pt idx="406">
                  <c:v>-3.3217911315901905E-2</c:v>
                </c:pt>
                <c:pt idx="407">
                  <c:v>-2.0775362863803881E-2</c:v>
                </c:pt>
                <c:pt idx="408">
                  <c:v>1.1212871762379173E-2</c:v>
                </c:pt>
                <c:pt idx="409">
                  <c:v>2.0734045987050642E-2</c:v>
                </c:pt>
                <c:pt idx="410">
                  <c:v>1.2258412544876141E-2</c:v>
                </c:pt>
                <c:pt idx="411">
                  <c:v>3.5925612848690669E-3</c:v>
                </c:pt>
                <c:pt idx="412">
                  <c:v>1.542658866397506E-2</c:v>
                </c:pt>
                <c:pt idx="413">
                  <c:v>7.6727495672244128E-3</c:v>
                </c:pt>
                <c:pt idx="414">
                  <c:v>1.0200155686586054E-3</c:v>
                </c:pt>
                <c:pt idx="415">
                  <c:v>-8.5897905735763391E-3</c:v>
                </c:pt>
                <c:pt idx="416">
                  <c:v>-1.5353961556493156E-2</c:v>
                </c:pt>
                <c:pt idx="417">
                  <c:v>2.0382188933551815E-2</c:v>
                </c:pt>
                <c:pt idx="418">
                  <c:v>9.0901748938880811E-3</c:v>
                </c:pt>
                <c:pt idx="419">
                  <c:v>4.9265464375911616E-3</c:v>
                </c:pt>
                <c:pt idx="420">
                  <c:v>-6.238606799638946E-3</c:v>
                </c:pt>
                <c:pt idx="421">
                  <c:v>-5.271547003143362E-3</c:v>
                </c:pt>
                <c:pt idx="422">
                  <c:v>1.1807464036022175E-2</c:v>
                </c:pt>
                <c:pt idx="423">
                  <c:v>1.0324875252149868E-2</c:v>
                </c:pt>
                <c:pt idx="424">
                  <c:v>-7.5309777135601497E-4</c:v>
                </c:pt>
                <c:pt idx="425">
                  <c:v>-1.4083025878765087E-2</c:v>
                </c:pt>
                <c:pt idx="426">
                  <c:v>-5.4576807523422088E-3</c:v>
                </c:pt>
                <c:pt idx="427">
                  <c:v>1.4693264693264707E-2</c:v>
                </c:pt>
                <c:pt idx="428">
                  <c:v>-1.0825141810238526E-2</c:v>
                </c:pt>
                <c:pt idx="429">
                  <c:v>-2.1085812489425981E-2</c:v>
                </c:pt>
                <c:pt idx="430">
                  <c:v>-1.3144130622640637E-2</c:v>
                </c:pt>
                <c:pt idx="431">
                  <c:v>-3.1339293944143698E-4</c:v>
                </c:pt>
                <c:pt idx="432">
                  <c:v>-4.9420963339972257E-3</c:v>
                </c:pt>
                <c:pt idx="433">
                  <c:v>1.8180133432172063E-2</c:v>
                </c:pt>
                <c:pt idx="434">
                  <c:v>-1.9102309750459567E-2</c:v>
                </c:pt>
                <c:pt idx="435">
                  <c:v>3.4049896551404668E-3</c:v>
                </c:pt>
                <c:pt idx="436">
                  <c:v>6.4355062413314901E-3</c:v>
                </c:pt>
                <c:pt idx="437">
                  <c:v>-1.090531576723075E-2</c:v>
                </c:pt>
                <c:pt idx="438">
                  <c:v>1.6561550822504323E-2</c:v>
                </c:pt>
                <c:pt idx="439">
                  <c:v>4.2305513422635777E-3</c:v>
                </c:pt>
                <c:pt idx="440">
                  <c:v>-5.4774578044675115E-3</c:v>
                </c:pt>
                <c:pt idx="441">
                  <c:v>-1.9679240277028054E-2</c:v>
                </c:pt>
                <c:pt idx="442">
                  <c:v>5.3008809914887323E-3</c:v>
                </c:pt>
                <c:pt idx="443">
                  <c:v>-1.7146305235796522E-2</c:v>
                </c:pt>
                <c:pt idx="444">
                  <c:v>-1.5301351619393389E-3</c:v>
                </c:pt>
                <c:pt idx="445">
                  <c:v>-7.3691479600042076E-3</c:v>
                </c:pt>
                <c:pt idx="446">
                  <c:v>-5.2128997827164403E-3</c:v>
                </c:pt>
                <c:pt idx="447">
                  <c:v>-1.0145135795372906E-2</c:v>
                </c:pt>
                <c:pt idx="448">
                  <c:v>5.2261773416177881E-3</c:v>
                </c:pt>
                <c:pt idx="449">
                  <c:v>8.0295765698110699E-3</c:v>
                </c:pt>
                <c:pt idx="450">
                  <c:v>-4.5081184336198676E-3</c:v>
                </c:pt>
                <c:pt idx="451">
                  <c:v>2.218213915646472E-2</c:v>
                </c:pt>
                <c:pt idx="452">
                  <c:v>-1.3788248545147375E-2</c:v>
                </c:pt>
                <c:pt idx="453">
                  <c:v>-1.3828744372852642E-2</c:v>
                </c:pt>
                <c:pt idx="454">
                  <c:v>-4.7964639348375693E-3</c:v>
                </c:pt>
                <c:pt idx="455">
                  <c:v>-1.8327983630880285E-3</c:v>
                </c:pt>
                <c:pt idx="456">
                  <c:v>-2.4967939999223088E-3</c:v>
                </c:pt>
                <c:pt idx="457">
                  <c:v>7.4019965911857888E-3</c:v>
                </c:pt>
                <c:pt idx="458">
                  <c:v>-1.4047469425242931E-2</c:v>
                </c:pt>
                <c:pt idx="459">
                  <c:v>-1.0384185444490157E-2</c:v>
                </c:pt>
                <c:pt idx="460">
                  <c:v>7.4314081032067492E-4</c:v>
                </c:pt>
                <c:pt idx="461">
                  <c:v>-7.6932216479533855E-3</c:v>
                </c:pt>
                <c:pt idx="462">
                  <c:v>-2.2899392342922154E-2</c:v>
                </c:pt>
                <c:pt idx="463">
                  <c:v>9.2212486979963426E-3</c:v>
                </c:pt>
                <c:pt idx="464">
                  <c:v>8.5096479778201672E-3</c:v>
                </c:pt>
                <c:pt idx="465">
                  <c:v>1.5200160529748263E-2</c:v>
                </c:pt>
                <c:pt idx="466">
                  <c:v>6.0087957701240313E-3</c:v>
                </c:pt>
                <c:pt idx="467">
                  <c:v>1.8861807786390017E-2</c:v>
                </c:pt>
                <c:pt idx="468">
                  <c:v>-1.7654488829751291E-2</c:v>
                </c:pt>
                <c:pt idx="469">
                  <c:v>-3.6905439626234715E-3</c:v>
                </c:pt>
                <c:pt idx="470">
                  <c:v>3.5761432821705963E-3</c:v>
                </c:pt>
                <c:pt idx="471">
                  <c:v>-8.7465274028408757E-3</c:v>
                </c:pt>
                <c:pt idx="472">
                  <c:v>-1.5448909663491328E-3</c:v>
                </c:pt>
                <c:pt idx="473">
                  <c:v>1.0166431929539144E-2</c:v>
                </c:pt>
                <c:pt idx="474">
                  <c:v>4.2878042554027163E-2</c:v>
                </c:pt>
                <c:pt idx="475">
                  <c:v>6.36450938670996E-3</c:v>
                </c:pt>
                <c:pt idx="476">
                  <c:v>-4.041538029750158E-3</c:v>
                </c:pt>
                <c:pt idx="477">
                  <c:v>-1.6814142666591314E-3</c:v>
                </c:pt>
                <c:pt idx="478">
                  <c:v>-2.4746186923099156E-3</c:v>
                </c:pt>
                <c:pt idx="479">
                  <c:v>1.386583157259258E-3</c:v>
                </c:pt>
                <c:pt idx="480">
                  <c:v>-2.1193824590488242E-2</c:v>
                </c:pt>
                <c:pt idx="481">
                  <c:v>4.3690394849538183E-3</c:v>
                </c:pt>
                <c:pt idx="482">
                  <c:v>-4.0242605421253463E-3</c:v>
                </c:pt>
                <c:pt idx="483">
                  <c:v>-6.9939488393123694E-3</c:v>
                </c:pt>
                <c:pt idx="484">
                  <c:v>-8.7967448168959628E-3</c:v>
                </c:pt>
                <c:pt idx="485">
                  <c:v>5.9719290014856874E-3</c:v>
                </c:pt>
                <c:pt idx="486">
                  <c:v>1.4661445935310935E-2</c:v>
                </c:pt>
                <c:pt idx="487">
                  <c:v>-2.3986900566876024E-2</c:v>
                </c:pt>
                <c:pt idx="488">
                  <c:v>-1.2754226063751428E-3</c:v>
                </c:pt>
                <c:pt idx="489">
                  <c:v>3.7034490210909876E-3</c:v>
                </c:pt>
                <c:pt idx="490">
                  <c:v>2.9107209270460288E-2</c:v>
                </c:pt>
                <c:pt idx="491">
                  <c:v>8.5023015178604666E-3</c:v>
                </c:pt>
                <c:pt idx="492">
                  <c:v>1.0109202014296326E-2</c:v>
                </c:pt>
                <c:pt idx="493">
                  <c:v>3.1181731613048047E-3</c:v>
                </c:pt>
                <c:pt idx="494">
                  <c:v>7.5199166108257387E-3</c:v>
                </c:pt>
                <c:pt idx="495">
                  <c:v>1.9213715637007578E-3</c:v>
                </c:pt>
                <c:pt idx="496">
                  <c:v>5.2091016374096188E-3</c:v>
                </c:pt>
                <c:pt idx="497">
                  <c:v>-7.658512872721901E-3</c:v>
                </c:pt>
                <c:pt idx="498">
                  <c:v>1.1701203393903459E-2</c:v>
                </c:pt>
                <c:pt idx="499">
                  <c:v>5.9199707655763767E-3</c:v>
                </c:pt>
                <c:pt idx="500">
                  <c:v>5.7852290478439539E-3</c:v>
                </c:pt>
                <c:pt idx="501">
                  <c:v>-4.8038286152873866E-3</c:v>
                </c:pt>
                <c:pt idx="502">
                  <c:v>-2.5768285048043404E-3</c:v>
                </c:pt>
                <c:pt idx="503">
                  <c:v>-1.0270265353091501E-2</c:v>
                </c:pt>
                <c:pt idx="504">
                  <c:v>1.1525735294117601E-2</c:v>
                </c:pt>
                <c:pt idx="505">
                  <c:v>7.7416540970796088E-3</c:v>
                </c:pt>
                <c:pt idx="506">
                  <c:v>-5.1665374280922549E-3</c:v>
                </c:pt>
                <c:pt idx="507">
                  <c:v>-1.2380702056501658E-2</c:v>
                </c:pt>
                <c:pt idx="508">
                  <c:v>-5.7999210770233178E-3</c:v>
                </c:pt>
                <c:pt idx="509">
                  <c:v>2.0584298703096859E-2</c:v>
                </c:pt>
                <c:pt idx="510">
                  <c:v>1.8025595803373484E-2</c:v>
                </c:pt>
                <c:pt idx="511">
                  <c:v>1.2260345777288517E-3</c:v>
                </c:pt>
                <c:pt idx="512">
                  <c:v>1.6983743877333701E-2</c:v>
                </c:pt>
                <c:pt idx="513">
                  <c:v>7.6607625861617734E-3</c:v>
                </c:pt>
                <c:pt idx="514">
                  <c:v>1.3256788584095291E-2</c:v>
                </c:pt>
                <c:pt idx="515">
                  <c:v>2.7089617925293297E-3</c:v>
                </c:pt>
                <c:pt idx="516">
                  <c:v>-5.0538624122179465E-3</c:v>
                </c:pt>
                <c:pt idx="517">
                  <c:v>1.9924106798694607E-2</c:v>
                </c:pt>
                <c:pt idx="518">
                  <c:v>1.2765707278972194E-3</c:v>
                </c:pt>
                <c:pt idx="519">
                  <c:v>-3.8835440065089211E-3</c:v>
                </c:pt>
                <c:pt idx="520">
                  <c:v>9.2625338924534617E-3</c:v>
                </c:pt>
                <c:pt idx="521">
                  <c:v>-1.9689966460311181E-3</c:v>
                </c:pt>
                <c:pt idx="522">
                  <c:v>6.6710136931333874E-3</c:v>
                </c:pt>
                <c:pt idx="523">
                  <c:v>-1.2340142833416334E-2</c:v>
                </c:pt>
                <c:pt idx="524">
                  <c:v>3.6154505860386266E-4</c:v>
                </c:pt>
                <c:pt idx="525">
                  <c:v>-6.1692596047975279E-3</c:v>
                </c:pt>
                <c:pt idx="526">
                  <c:v>-6.0891553834053758E-3</c:v>
                </c:pt>
                <c:pt idx="527">
                  <c:v>-7.1645550232720678E-3</c:v>
                </c:pt>
                <c:pt idx="528">
                  <c:v>1.4586779338538358E-2</c:v>
                </c:pt>
                <c:pt idx="529">
                  <c:v>-2.5003590042489421E-3</c:v>
                </c:pt>
                <c:pt idx="530">
                  <c:v>1.3430775614589274E-2</c:v>
                </c:pt>
                <c:pt idx="531">
                  <c:v>-4.9885939184277639E-3</c:v>
                </c:pt>
                <c:pt idx="532">
                  <c:v>3.9722530148813551E-3</c:v>
                </c:pt>
                <c:pt idx="533">
                  <c:v>-1.7758408685978111E-2</c:v>
                </c:pt>
                <c:pt idx="534">
                  <c:v>1.2535554306541963E-2</c:v>
                </c:pt>
                <c:pt idx="535">
                  <c:v>-8.0405053070699006E-3</c:v>
                </c:pt>
                <c:pt idx="536">
                  <c:v>-6.1216530158891835E-3</c:v>
                </c:pt>
                <c:pt idx="537">
                  <c:v>3.8048114656201726E-3</c:v>
                </c:pt>
                <c:pt idx="538">
                  <c:v>1.3580813489028287E-2</c:v>
                </c:pt>
                <c:pt idx="539">
                  <c:v>-1.3021532063321684E-2</c:v>
                </c:pt>
                <c:pt idx="540">
                  <c:v>4.3156544418108123E-3</c:v>
                </c:pt>
                <c:pt idx="541">
                  <c:v>-3.1974555697477092E-3</c:v>
                </c:pt>
                <c:pt idx="542">
                  <c:v>-2.4524571244304294E-3</c:v>
                </c:pt>
                <c:pt idx="543">
                  <c:v>4.5171498570846236E-3</c:v>
                </c:pt>
                <c:pt idx="544">
                  <c:v>1.8072034077724952E-2</c:v>
                </c:pt>
                <c:pt idx="545">
                  <c:v>9.3580774765631425E-3</c:v>
                </c:pt>
                <c:pt idx="546">
                  <c:v>5.4886189448006828E-3</c:v>
                </c:pt>
                <c:pt idx="547">
                  <c:v>4.5242934889515585E-3</c:v>
                </c:pt>
                <c:pt idx="548">
                  <c:v>-2.0969321148825104E-2</c:v>
                </c:pt>
                <c:pt idx="549">
                  <c:v>1.6418034836236384E-3</c:v>
                </c:pt>
                <c:pt idx="550">
                  <c:v>1.4610565202559433E-2</c:v>
                </c:pt>
                <c:pt idx="551">
                  <c:v>-5.699384138490915E-3</c:v>
                </c:pt>
                <c:pt idx="552">
                  <c:v>-3.2083003430984913E-3</c:v>
                </c:pt>
                <c:pt idx="553">
                  <c:v>-2.2588305380649709E-3</c:v>
                </c:pt>
                <c:pt idx="554">
                  <c:v>-8.9396779062246301E-3</c:v>
                </c:pt>
                <c:pt idx="555">
                  <c:v>-1.0710580044850371E-3</c:v>
                </c:pt>
                <c:pt idx="556">
                  <c:v>-2.4292176243927432E-3</c:v>
                </c:pt>
                <c:pt idx="557">
                  <c:v>-5.7183642623226394E-3</c:v>
                </c:pt>
                <c:pt idx="558">
                  <c:v>-4.9827293533433181E-4</c:v>
                </c:pt>
                <c:pt idx="559">
                  <c:v>-2.4081115335867764E-3</c:v>
                </c:pt>
                <c:pt idx="560">
                  <c:v>-1.0629737856265642E-2</c:v>
                </c:pt>
                <c:pt idx="561">
                  <c:v>-5.4704220529063763E-3</c:v>
                </c:pt>
                <c:pt idx="562">
                  <c:v>-4.9840321594890602E-3</c:v>
                </c:pt>
                <c:pt idx="563">
                  <c:v>-5.2771818118900748E-3</c:v>
                </c:pt>
                <c:pt idx="564">
                  <c:v>3.7136247412639101E-3</c:v>
                </c:pt>
                <c:pt idx="565">
                  <c:v>-8.4915387881361326E-3</c:v>
                </c:pt>
                <c:pt idx="566">
                  <c:v>1.5092327993777799E-2</c:v>
                </c:pt>
                <c:pt idx="567">
                  <c:v>1.7037432418471665E-2</c:v>
                </c:pt>
                <c:pt idx="568">
                  <c:v>-9.3875650738561855E-3</c:v>
                </c:pt>
                <c:pt idx="569">
                  <c:v>-1.0160135354536637E-2</c:v>
                </c:pt>
                <c:pt idx="570">
                  <c:v>1.1084541208767451E-2</c:v>
                </c:pt>
                <c:pt idx="571">
                  <c:v>1.0954482970602974E-2</c:v>
                </c:pt>
                <c:pt idx="572">
                  <c:v>-7.3392790784094775E-3</c:v>
                </c:pt>
                <c:pt idx="573">
                  <c:v>-1.5255030416471693E-2</c:v>
                </c:pt>
                <c:pt idx="574">
                  <c:v>1.8584437801316689E-2</c:v>
                </c:pt>
                <c:pt idx="575">
                  <c:v>-9.8394306701843348E-4</c:v>
                </c:pt>
                <c:pt idx="576">
                  <c:v>-3.7868174601153326E-3</c:v>
                </c:pt>
                <c:pt idx="577">
                  <c:v>-1.1471819041855902E-2</c:v>
                </c:pt>
                <c:pt idx="578">
                  <c:v>-5.7938526533602985E-3</c:v>
                </c:pt>
                <c:pt idx="579">
                  <c:v>1.3615117116023256E-2</c:v>
                </c:pt>
                <c:pt idx="580">
                  <c:v>9.2827870605647345E-3</c:v>
                </c:pt>
                <c:pt idx="581">
                  <c:v>1.7631900176318105E-3</c:v>
                </c:pt>
                <c:pt idx="582">
                  <c:v>1.0289737340915206E-2</c:v>
                </c:pt>
                <c:pt idx="583">
                  <c:v>-5.3102385419458997E-3</c:v>
                </c:pt>
                <c:pt idx="584">
                  <c:v>-3.9576281176847417E-3</c:v>
                </c:pt>
                <c:pt idx="585">
                  <c:v>-3.7366427701880367E-3</c:v>
                </c:pt>
                <c:pt idx="586">
                  <c:v>7.204317499108992E-3</c:v>
                </c:pt>
                <c:pt idx="587">
                  <c:v>-2.1483634525464423E-2</c:v>
                </c:pt>
                <c:pt idx="588">
                  <c:v>-1.1709501054716354E-3</c:v>
                </c:pt>
                <c:pt idx="589">
                  <c:v>-7.2408175227789418E-4</c:v>
                </c:pt>
                <c:pt idx="590">
                  <c:v>-1.4940694414492084E-2</c:v>
                </c:pt>
                <c:pt idx="591">
                  <c:v>1.17345196290497E-3</c:v>
                </c:pt>
                <c:pt idx="592">
                  <c:v>1.2280563646382747E-2</c:v>
                </c:pt>
                <c:pt idx="593">
                  <c:v>7.2063664878037059E-3</c:v>
                </c:pt>
                <c:pt idx="594">
                  <c:v>-1.2936987946639222E-2</c:v>
                </c:pt>
                <c:pt idx="595">
                  <c:v>-1.4236421947382616E-2</c:v>
                </c:pt>
                <c:pt idx="596">
                  <c:v>1.6575706010457658E-3</c:v>
                </c:pt>
                <c:pt idx="597">
                  <c:v>-2.8431346659977264E-3</c:v>
                </c:pt>
                <c:pt idx="598">
                  <c:v>7.8210515165424432E-3</c:v>
                </c:pt>
                <c:pt idx="599">
                  <c:v>8.6362441972496207E-3</c:v>
                </c:pt>
                <c:pt idx="600">
                  <c:v>1.3729202125811968E-2</c:v>
                </c:pt>
                <c:pt idx="601">
                  <c:v>2.6898070020644482E-3</c:v>
                </c:pt>
                <c:pt idx="602">
                  <c:v>-1.1080640062878566E-2</c:v>
                </c:pt>
                <c:pt idx="603">
                  <c:v>6.7384280456830314E-3</c:v>
                </c:pt>
                <c:pt idx="604">
                  <c:v>-5.3718228156589554E-3</c:v>
                </c:pt>
                <c:pt idx="605">
                  <c:v>-1.5943679469924477E-2</c:v>
                </c:pt>
                <c:pt idx="606">
                  <c:v>-4.9096966508854756E-4</c:v>
                </c:pt>
                <c:pt idx="607">
                  <c:v>-7.4471071190485016E-3</c:v>
                </c:pt>
                <c:pt idx="608">
                  <c:v>-3.2698510892139598E-3</c:v>
                </c:pt>
                <c:pt idx="609">
                  <c:v>8.6624994458484039E-3</c:v>
                </c:pt>
                <c:pt idx="610">
                  <c:v>-8.1925423252052765E-3</c:v>
                </c:pt>
                <c:pt idx="611">
                  <c:v>1.7256048923158795E-2</c:v>
                </c:pt>
                <c:pt idx="612">
                  <c:v>-1.285971928173768E-2</c:v>
                </c:pt>
                <c:pt idx="613">
                  <c:v>-6.7872304745765222E-3</c:v>
                </c:pt>
                <c:pt idx="614">
                  <c:v>5.4384530622400007E-3</c:v>
                </c:pt>
                <c:pt idx="615">
                  <c:v>1.6872304320158404E-2</c:v>
                </c:pt>
                <c:pt idx="616">
                  <c:v>2.7004945546834858E-2</c:v>
                </c:pt>
                <c:pt idx="617">
                  <c:v>2.7674339878132059E-3</c:v>
                </c:pt>
                <c:pt idx="618">
                  <c:v>6.5914404111844238E-3</c:v>
                </c:pt>
                <c:pt idx="619">
                  <c:v>-1.4169768923768533E-3</c:v>
                </c:pt>
                <c:pt idx="620">
                  <c:v>-7.3048472279368948E-4</c:v>
                </c:pt>
                <c:pt idx="621">
                  <c:v>1.3645682788290259E-2</c:v>
                </c:pt>
                <c:pt idx="622">
                  <c:v>-2.1552438741337943E-3</c:v>
                </c:pt>
                <c:pt idx="623">
                  <c:v>2.4523160762942808E-2</c:v>
                </c:pt>
                <c:pt idx="624">
                  <c:v>1.0119356512714006E-2</c:v>
                </c:pt>
                <c:pt idx="625">
                  <c:v>3.9012329822758485E-3</c:v>
                </c:pt>
                <c:pt idx="626">
                  <c:v>8.2599030880683433E-3</c:v>
                </c:pt>
                <c:pt idx="627">
                  <c:v>-3.8700979420278614E-3</c:v>
                </c:pt>
                <c:pt idx="628">
                  <c:v>3.4074534062591422E-3</c:v>
                </c:pt>
                <c:pt idx="629">
                  <c:v>4.2924584440831026E-3</c:v>
                </c:pt>
                <c:pt idx="630">
                  <c:v>-8.1690051826570631E-3</c:v>
                </c:pt>
                <c:pt idx="631">
                  <c:v>1.1231301078522549E-3</c:v>
                </c:pt>
                <c:pt idx="632">
                  <c:v>6.802829340483596E-3</c:v>
                </c:pt>
                <c:pt idx="633">
                  <c:v>-3.4535080371114191E-3</c:v>
                </c:pt>
                <c:pt idx="634">
                  <c:v>9.7540860104201599E-3</c:v>
                </c:pt>
                <c:pt idx="635">
                  <c:v>6.0629383260950576E-3</c:v>
                </c:pt>
                <c:pt idx="636">
                  <c:v>-1.0148083963685495E-2</c:v>
                </c:pt>
                <c:pt idx="637">
                  <c:v>7.8862487480590993E-4</c:v>
                </c:pt>
                <c:pt idx="638">
                  <c:v>-1.0086443976895731E-2</c:v>
                </c:pt>
                <c:pt idx="639">
                  <c:v>3.0806460600367735E-3</c:v>
                </c:pt>
                <c:pt idx="640">
                  <c:v>8.6024918657250371E-3</c:v>
                </c:pt>
                <c:pt idx="641">
                  <c:v>-1.4005381843360531E-3</c:v>
                </c:pt>
                <c:pt idx="642">
                  <c:v>-4.0420435563679469E-3</c:v>
                </c:pt>
                <c:pt idx="643">
                  <c:v>2.4224108605017225E-2</c:v>
                </c:pt>
                <c:pt idx="644">
                  <c:v>1.0636079249217945E-2</c:v>
                </c:pt>
                <c:pt idx="645">
                  <c:v>-4.9296097583344523E-3</c:v>
                </c:pt>
                <c:pt idx="646">
                  <c:v>6.8127529820196653E-3</c:v>
                </c:pt>
                <c:pt idx="647">
                  <c:v>5.8512099112020266E-3</c:v>
                </c:pt>
                <c:pt idx="648">
                  <c:v>-7.9407816398814335E-3</c:v>
                </c:pt>
                <c:pt idx="649">
                  <c:v>1.0534846029173428E-2</c:v>
                </c:pt>
                <c:pt idx="650">
                  <c:v>4.3198014858301104E-3</c:v>
                </c:pt>
                <c:pt idx="651">
                  <c:v>5.8755734333686416E-3</c:v>
                </c:pt>
                <c:pt idx="652">
                  <c:v>4.9500872443515309E-3</c:v>
                </c:pt>
                <c:pt idx="653">
                  <c:v>-6.7067081985783261E-5</c:v>
                </c:pt>
                <c:pt idx="654">
                  <c:v>-1.108916793978465E-2</c:v>
                </c:pt>
                <c:pt idx="655">
                  <c:v>1.0324272590940264E-3</c:v>
                </c:pt>
                <c:pt idx="656">
                  <c:v>-1.2105334477618634E-2</c:v>
                </c:pt>
                <c:pt idx="657">
                  <c:v>6.0734915336899675E-3</c:v>
                </c:pt>
                <c:pt idx="658">
                  <c:v>3.0600728660914456E-3</c:v>
                </c:pt>
                <c:pt idx="659">
                  <c:v>-7.4003035634726544E-3</c:v>
                </c:pt>
                <c:pt idx="660">
                  <c:v>-4.610223131756519E-3</c:v>
                </c:pt>
                <c:pt idx="661">
                  <c:v>-1.4674299340420305E-3</c:v>
                </c:pt>
                <c:pt idx="662">
                  <c:v>2.5947385743481099E-3</c:v>
                </c:pt>
                <c:pt idx="663">
                  <c:v>4.0690750297738276E-3</c:v>
                </c:pt>
                <c:pt idx="664">
                  <c:v>-1.6932657142205376E-2</c:v>
                </c:pt>
                <c:pt idx="665">
                  <c:v>-5.9554194316828735E-3</c:v>
                </c:pt>
                <c:pt idx="666">
                  <c:v>-9.3990227506146606E-3</c:v>
                </c:pt>
                <c:pt idx="667">
                  <c:v>2.5134311476955329E-3</c:v>
                </c:pt>
                <c:pt idx="668">
                  <c:v>-8.1011626813751736E-3</c:v>
                </c:pt>
                <c:pt idx="669">
                  <c:v>1.3119855926446711E-2</c:v>
                </c:pt>
                <c:pt idx="670">
                  <c:v>-3.4850268588758615E-3</c:v>
                </c:pt>
                <c:pt idx="671">
                  <c:v>2.7617825624335346E-3</c:v>
                </c:pt>
                <c:pt idx="672">
                  <c:v>6.2261545303465837E-3</c:v>
                </c:pt>
                <c:pt idx="673">
                  <c:v>-3.5978195972613536E-3</c:v>
                </c:pt>
                <c:pt idx="674">
                  <c:v>-8.5678933565753734E-3</c:v>
                </c:pt>
                <c:pt idx="675">
                  <c:v>2.7472096199432361E-3</c:v>
                </c:pt>
                <c:pt idx="676">
                  <c:v>5.7063685891414195E-3</c:v>
                </c:pt>
                <c:pt idx="677">
                  <c:v>-1.0110444345856617E-2</c:v>
                </c:pt>
                <c:pt idx="678">
                  <c:v>3.231589375854993E-3</c:v>
                </c:pt>
                <c:pt idx="679">
                  <c:v>2.2125038207425174E-2</c:v>
                </c:pt>
                <c:pt idx="680">
                  <c:v>-6.1955588271377371E-3</c:v>
                </c:pt>
                <c:pt idx="681">
                  <c:v>-1.0732362199864176E-2</c:v>
                </c:pt>
                <c:pt idx="682">
                  <c:v>-1.489662057293506E-3</c:v>
                </c:pt>
                <c:pt idx="683">
                  <c:v>-7.8734007154797059E-3</c:v>
                </c:pt>
                <c:pt idx="684">
                  <c:v>6.1880993245051474E-3</c:v>
                </c:pt>
                <c:pt idx="685">
                  <c:v>7.214171700416161E-3</c:v>
                </c:pt>
                <c:pt idx="686">
                  <c:v>2.4082159004397141E-3</c:v>
                </c:pt>
                <c:pt idx="687">
                  <c:v>6.8198022257355273E-3</c:v>
                </c:pt>
                <c:pt idx="688">
                  <c:v>8.9288463314751709E-4</c:v>
                </c:pt>
                <c:pt idx="689">
                  <c:v>1.6072966654361309E-3</c:v>
                </c:pt>
                <c:pt idx="690">
                  <c:v>-6.3113766018381146E-3</c:v>
                </c:pt>
                <c:pt idx="691">
                  <c:v>1.468099738060058E-3</c:v>
                </c:pt>
                <c:pt idx="692">
                  <c:v>1.6048268252976339E-2</c:v>
                </c:pt>
                <c:pt idx="693">
                  <c:v>-1.1648657063232259E-2</c:v>
                </c:pt>
                <c:pt idx="694">
                  <c:v>-8.7203718643156236E-3</c:v>
                </c:pt>
                <c:pt idx="695">
                  <c:v>1.240117811192043E-3</c:v>
                </c:pt>
                <c:pt idx="696">
                  <c:v>-6.4948134386128009E-3</c:v>
                </c:pt>
                <c:pt idx="697">
                  <c:v>-1.8933933816940307E-3</c:v>
                </c:pt>
                <c:pt idx="698">
                  <c:v>6.1827663195366256E-3</c:v>
                </c:pt>
                <c:pt idx="699">
                  <c:v>-4.2672045930638447E-3</c:v>
                </c:pt>
                <c:pt idx="700">
                  <c:v>-9.887798036465667E-3</c:v>
                </c:pt>
                <c:pt idx="701">
                  <c:v>-7.4525265402806129E-3</c:v>
                </c:pt>
                <c:pt idx="702">
                  <c:v>1.2241920649519455E-2</c:v>
                </c:pt>
                <c:pt idx="703">
                  <c:v>2.647491932199042E-3</c:v>
                </c:pt>
                <c:pt idx="704">
                  <c:v>-2.4686342827680008E-3</c:v>
                </c:pt>
                <c:pt idx="705">
                  <c:v>-7.4242305583835932E-3</c:v>
                </c:pt>
                <c:pt idx="706">
                  <c:v>1.6726894005143489E-3</c:v>
                </c:pt>
                <c:pt idx="707">
                  <c:v>4.5291995525937878E-3</c:v>
                </c:pt>
                <c:pt idx="708">
                  <c:v>1.2514800555167849E-2</c:v>
                </c:pt>
                <c:pt idx="709">
                  <c:v>-7.4811229428848325E-3</c:v>
                </c:pt>
                <c:pt idx="710">
                  <c:v>-8.832778033536437E-3</c:v>
                </c:pt>
                <c:pt idx="711">
                  <c:v>-7.5574484164786515E-4</c:v>
                </c:pt>
                <c:pt idx="712">
                  <c:v>-5.3572413358438098E-4</c:v>
                </c:pt>
                <c:pt idx="713">
                  <c:v>6.5267256804584228E-3</c:v>
                </c:pt>
                <c:pt idx="714">
                  <c:v>3.2500332834732859E-3</c:v>
                </c:pt>
                <c:pt idx="715">
                  <c:v>-8.7115357594491627E-3</c:v>
                </c:pt>
                <c:pt idx="716">
                  <c:v>4.4019214111348237E-3</c:v>
                </c:pt>
                <c:pt idx="717">
                  <c:v>-1.8110686873280546E-3</c:v>
                </c:pt>
                <c:pt idx="718">
                  <c:v>8.6397838483165401E-4</c:v>
                </c:pt>
                <c:pt idx="719">
                  <c:v>-4.9675110650720944E-3</c:v>
                </c:pt>
                <c:pt idx="720">
                  <c:v>1.6262470917622895E-2</c:v>
                </c:pt>
                <c:pt idx="721">
                  <c:v>8.0166385993776235E-3</c:v>
                </c:pt>
                <c:pt idx="722">
                  <c:v>-1.4135037339287115E-2</c:v>
                </c:pt>
                <c:pt idx="723">
                  <c:v>-5.1384572133631456E-3</c:v>
                </c:pt>
                <c:pt idx="724">
                  <c:v>-1.1381833024584731E-2</c:v>
                </c:pt>
                <c:pt idx="725">
                  <c:v>-4.8592253823066534E-3</c:v>
                </c:pt>
                <c:pt idx="726">
                  <c:v>-7.5398535114175047E-3</c:v>
                </c:pt>
                <c:pt idx="727">
                  <c:v>-1.7525665452733374E-3</c:v>
                </c:pt>
                <c:pt idx="728">
                  <c:v>2.0133525541399244E-4</c:v>
                </c:pt>
                <c:pt idx="729">
                  <c:v>7.4720602917968115E-3</c:v>
                </c:pt>
                <c:pt idx="730">
                  <c:v>3.5884402672547999E-3</c:v>
                </c:pt>
                <c:pt idx="731">
                  <c:v>-3.384485518383773E-3</c:v>
                </c:pt>
                <c:pt idx="732">
                  <c:v>-3.2521494550452612E-3</c:v>
                </c:pt>
                <c:pt idx="733">
                  <c:v>-7.6157798959441969E-4</c:v>
                </c:pt>
                <c:pt idx="734">
                  <c:v>1.5082714246746898E-2</c:v>
                </c:pt>
                <c:pt idx="735">
                  <c:v>6.5283024832840653E-3</c:v>
                </c:pt>
                <c:pt idx="736">
                  <c:v>-1.1213015892958089E-2</c:v>
                </c:pt>
                <c:pt idx="737">
                  <c:v>9.5136749150281918E-3</c:v>
                </c:pt>
                <c:pt idx="738">
                  <c:v>1.0910778622110984E-2</c:v>
                </c:pt>
                <c:pt idx="739">
                  <c:v>-3.3460691469078263E-4</c:v>
                </c:pt>
                <c:pt idx="740">
                  <c:v>5.7914156274812001E-3</c:v>
                </c:pt>
                <c:pt idx="741">
                  <c:v>2.0973608853804837E-3</c:v>
                </c:pt>
                <c:pt idx="742">
                  <c:v>-9.9860211150670786E-3</c:v>
                </c:pt>
                <c:pt idx="743">
                  <c:v>-4.5870128249133613E-3</c:v>
                </c:pt>
                <c:pt idx="744">
                  <c:v>4.349529780564243E-3</c:v>
                </c:pt>
                <c:pt idx="745">
                  <c:v>2.8090983574577955E-3</c:v>
                </c:pt>
              </c:numCache>
            </c:numRef>
          </c:xVal>
          <c:yVal>
            <c:numRef>
              <c:f>Ke!$H$23:$H$768</c:f>
              <c:numCache>
                <c:formatCode>0.00%</c:formatCode>
                <c:ptCount val="746"/>
                <c:pt idx="0">
                  <c:v>-5.0633055533317872E-3</c:v>
                </c:pt>
                <c:pt idx="1">
                  <c:v>1.7811703775611143E-2</c:v>
                </c:pt>
                <c:pt idx="2">
                  <c:v>1.0000710125726009E-3</c:v>
                </c:pt>
                <c:pt idx="3">
                  <c:v>-9.990718697561185E-4</c:v>
                </c:pt>
                <c:pt idx="4">
                  <c:v>0</c:v>
                </c:pt>
                <c:pt idx="5">
                  <c:v>1.0000710125726009E-3</c:v>
                </c:pt>
                <c:pt idx="6">
                  <c:v>-2.4975605305848081E-3</c:v>
                </c:pt>
                <c:pt idx="7">
                  <c:v>3.7557038730915426E-3</c:v>
                </c:pt>
                <c:pt idx="8">
                  <c:v>2.7437915184906903E-3</c:v>
                </c:pt>
                <c:pt idx="9">
                  <c:v>0</c:v>
                </c:pt>
                <c:pt idx="10">
                  <c:v>1.7412933467852554E-2</c:v>
                </c:pt>
                <c:pt idx="11">
                  <c:v>2.4450779733933281E-3</c:v>
                </c:pt>
                <c:pt idx="12">
                  <c:v>0</c:v>
                </c:pt>
                <c:pt idx="13">
                  <c:v>1.9509921230609351E-3</c:v>
                </c:pt>
                <c:pt idx="14">
                  <c:v>-1.9471931645347329E-3</c:v>
                </c:pt>
                <c:pt idx="15">
                  <c:v>-1.2197232946836722E-3</c:v>
                </c:pt>
                <c:pt idx="16">
                  <c:v>0</c:v>
                </c:pt>
                <c:pt idx="17">
                  <c:v>1.221212836428176E-3</c:v>
                </c:pt>
                <c:pt idx="18">
                  <c:v>6.0974861765523691E-3</c:v>
                </c:pt>
                <c:pt idx="19">
                  <c:v>0</c:v>
                </c:pt>
                <c:pt idx="20">
                  <c:v>0</c:v>
                </c:pt>
                <c:pt idx="21">
                  <c:v>1.2120998245803705E-3</c:v>
                </c:pt>
                <c:pt idx="22">
                  <c:v>1.307504792299774E-2</c:v>
                </c:pt>
                <c:pt idx="23">
                  <c:v>-2.2705438257151545E-2</c:v>
                </c:pt>
                <c:pt idx="24">
                  <c:v>2.6901432868635666E-3</c:v>
                </c:pt>
                <c:pt idx="25">
                  <c:v>0</c:v>
                </c:pt>
                <c:pt idx="26">
                  <c:v>-1.048792488898076E-2</c:v>
                </c:pt>
                <c:pt idx="27">
                  <c:v>1.9718724372259633E-3</c:v>
                </c:pt>
                <c:pt idx="28">
                  <c:v>-1.4267999289024336E-2</c:v>
                </c:pt>
                <c:pt idx="29">
                  <c:v>-1.7470751772289406E-3</c:v>
                </c:pt>
                <c:pt idx="30">
                  <c:v>-2.0000397997527175E-3</c:v>
                </c:pt>
                <c:pt idx="31">
                  <c:v>-8.0159528979244499E-3</c:v>
                </c:pt>
                <c:pt idx="32">
                  <c:v>2.5252768621473187E-3</c:v>
                </c:pt>
                <c:pt idx="33">
                  <c:v>-5.0378318042041403E-3</c:v>
                </c:pt>
                <c:pt idx="34">
                  <c:v>0</c:v>
                </c:pt>
                <c:pt idx="35">
                  <c:v>0</c:v>
                </c:pt>
                <c:pt idx="36">
                  <c:v>0</c:v>
                </c:pt>
                <c:pt idx="37">
                  <c:v>0</c:v>
                </c:pt>
                <c:pt idx="38">
                  <c:v>0</c:v>
                </c:pt>
                <c:pt idx="39">
                  <c:v>2.7848197796555452E-2</c:v>
                </c:pt>
                <c:pt idx="40">
                  <c:v>0</c:v>
                </c:pt>
                <c:pt idx="41">
                  <c:v>-2.6847305797206511E-2</c:v>
                </c:pt>
                <c:pt idx="42">
                  <c:v>-2.5317880146547012E-4</c:v>
                </c:pt>
                <c:pt idx="43">
                  <c:v>3.7974808903219026E-2</c:v>
                </c:pt>
                <c:pt idx="44">
                  <c:v>0</c:v>
                </c:pt>
                <c:pt idx="45">
                  <c:v>-2.4390376878540954E-2</c:v>
                </c:pt>
                <c:pt idx="46">
                  <c:v>0</c:v>
                </c:pt>
                <c:pt idx="47">
                  <c:v>2.4500087164184503E-2</c:v>
                </c:pt>
                <c:pt idx="48">
                  <c:v>-3.4895126102585716E-2</c:v>
                </c:pt>
                <c:pt idx="49">
                  <c:v>-1.2642347023946732E-3</c:v>
                </c:pt>
                <c:pt idx="50">
                  <c:v>-1.0126645613124596E-2</c:v>
                </c:pt>
                <c:pt idx="51">
                  <c:v>2.5575696311821439E-3</c:v>
                </c:pt>
                <c:pt idx="52">
                  <c:v>0</c:v>
                </c:pt>
                <c:pt idx="53">
                  <c:v>-3.8263591100924366E-3</c:v>
                </c:pt>
                <c:pt idx="54">
                  <c:v>-1.280491740102252E-3</c:v>
                </c:pt>
                <c:pt idx="55">
                  <c:v>-1.5384658398584272E-2</c:v>
                </c:pt>
                <c:pt idx="56">
                  <c:v>-7.8125044368658747E-3</c:v>
                </c:pt>
                <c:pt idx="57">
                  <c:v>2.6246972679579983E-3</c:v>
                </c:pt>
                <c:pt idx="58">
                  <c:v>0</c:v>
                </c:pt>
                <c:pt idx="59">
                  <c:v>6.8586348839550837E-2</c:v>
                </c:pt>
                <c:pt idx="60">
                  <c:v>2.1558054539441818E-2</c:v>
                </c:pt>
                <c:pt idx="61">
                  <c:v>-6.0911265417975202E-2</c:v>
                </c:pt>
                <c:pt idx="62">
                  <c:v>2.1705858113593157E-2</c:v>
                </c:pt>
                <c:pt idx="63">
                  <c:v>3.7240735192929808E-2</c:v>
                </c:pt>
                <c:pt idx="64">
                  <c:v>-4.5542139060153031E-2</c:v>
                </c:pt>
                <c:pt idx="65">
                  <c:v>5.1502149614874426E-2</c:v>
                </c:pt>
                <c:pt idx="66">
                  <c:v>-1.5606228000476507E-2</c:v>
                </c:pt>
                <c:pt idx="67">
                  <c:v>-1.1951393378448305E-2</c:v>
                </c:pt>
                <c:pt idx="68">
                  <c:v>0</c:v>
                </c:pt>
                <c:pt idx="69">
                  <c:v>2.1969922500818306E-2</c:v>
                </c:pt>
                <c:pt idx="70">
                  <c:v>0</c:v>
                </c:pt>
                <c:pt idx="71">
                  <c:v>2.1739604237274168E-3</c:v>
                </c:pt>
                <c:pt idx="72">
                  <c:v>-1.1809984793080486E-2</c:v>
                </c:pt>
                <c:pt idx="73">
                  <c:v>0</c:v>
                </c:pt>
                <c:pt idx="74">
                  <c:v>1.2195072085181335E-2</c:v>
                </c:pt>
                <c:pt idx="75">
                  <c:v>-4.0963854155431356E-2</c:v>
                </c:pt>
                <c:pt idx="76">
                  <c:v>0</c:v>
                </c:pt>
                <c:pt idx="77">
                  <c:v>-3.7690173459180576E-3</c:v>
                </c:pt>
                <c:pt idx="78">
                  <c:v>-1.614111151384412E-2</c:v>
                </c:pt>
                <c:pt idx="79">
                  <c:v>-1.5380575258063467E-2</c:v>
                </c:pt>
                <c:pt idx="80">
                  <c:v>1.5360509687945889E-2</c:v>
                </c:pt>
                <c:pt idx="81">
                  <c:v>1.0256369034690183E-2</c:v>
                </c:pt>
                <c:pt idx="82">
                  <c:v>2.5380609687446487E-3</c:v>
                </c:pt>
                <c:pt idx="83">
                  <c:v>0</c:v>
                </c:pt>
                <c:pt idx="84">
                  <c:v>1.7721552183430855E-2</c:v>
                </c:pt>
                <c:pt idx="85">
                  <c:v>-4.9751722845309265E-3</c:v>
                </c:pt>
                <c:pt idx="86">
                  <c:v>-3.9999978191916363E-2</c:v>
                </c:pt>
                <c:pt idx="87">
                  <c:v>2.8645825938558023E-3</c:v>
                </c:pt>
                <c:pt idx="88">
                  <c:v>0</c:v>
                </c:pt>
                <c:pt idx="89">
                  <c:v>2.5978857881625572E-4</c:v>
                </c:pt>
                <c:pt idx="90">
                  <c:v>-3.1153794383824707E-3</c:v>
                </c:pt>
                <c:pt idx="91">
                  <c:v>1.3021668943073994E-3</c:v>
                </c:pt>
                <c:pt idx="92">
                  <c:v>2.0804526779167887E-3</c:v>
                </c:pt>
                <c:pt idx="93">
                  <c:v>-1.0640922032593703E-2</c:v>
                </c:pt>
                <c:pt idx="94">
                  <c:v>0</c:v>
                </c:pt>
                <c:pt idx="95">
                  <c:v>2.0986059840002458E-3</c:v>
                </c:pt>
                <c:pt idx="96">
                  <c:v>0</c:v>
                </c:pt>
                <c:pt idx="97">
                  <c:v>-2.6178262665084162E-3</c:v>
                </c:pt>
                <c:pt idx="98">
                  <c:v>0</c:v>
                </c:pt>
                <c:pt idx="99">
                  <c:v>1.3123486339789991E-3</c:v>
                </c:pt>
                <c:pt idx="100">
                  <c:v>2.2018303784166804E-2</c:v>
                </c:pt>
                <c:pt idx="101">
                  <c:v>2.5391085323429374E-2</c:v>
                </c:pt>
                <c:pt idx="102">
                  <c:v>5.0030272150025645E-4</c:v>
                </c:pt>
                <c:pt idx="103">
                  <c:v>-3.7499953998573532E-2</c:v>
                </c:pt>
                <c:pt idx="104">
                  <c:v>5.9739985346101143E-3</c:v>
                </c:pt>
                <c:pt idx="105">
                  <c:v>0</c:v>
                </c:pt>
                <c:pt idx="106">
                  <c:v>-5.9385218139955676E-3</c:v>
                </c:pt>
                <c:pt idx="107">
                  <c:v>1.0389604228615568E-2</c:v>
                </c:pt>
                <c:pt idx="108">
                  <c:v>-2.3136294525726186E-2</c:v>
                </c:pt>
                <c:pt idx="109">
                  <c:v>-2.3684260553516356E-2</c:v>
                </c:pt>
                <c:pt idx="110">
                  <c:v>1.8598482993459342E-2</c:v>
                </c:pt>
                <c:pt idx="111">
                  <c:v>-7.6739824349425501E-3</c:v>
                </c:pt>
                <c:pt idx="112">
                  <c:v>6.6666945325501992E-3</c:v>
                </c:pt>
                <c:pt idx="113">
                  <c:v>-1.324443819889165E-3</c:v>
                </c:pt>
                <c:pt idx="114">
                  <c:v>7.9574187099449301E-3</c:v>
                </c:pt>
                <c:pt idx="115">
                  <c:v>1.3157950427499232E-2</c:v>
                </c:pt>
                <c:pt idx="116">
                  <c:v>-1.5584636460677093E-3</c:v>
                </c:pt>
                <c:pt idx="117">
                  <c:v>0</c:v>
                </c:pt>
                <c:pt idx="118">
                  <c:v>0</c:v>
                </c:pt>
                <c:pt idx="119">
                  <c:v>1.3008118780868383E-3</c:v>
                </c:pt>
                <c:pt idx="120">
                  <c:v>-1.1431501310259051E-2</c:v>
                </c:pt>
                <c:pt idx="121">
                  <c:v>2.4967063995468219E-2</c:v>
                </c:pt>
                <c:pt idx="122">
                  <c:v>-2.564109733097375E-2</c:v>
                </c:pt>
                <c:pt idx="123">
                  <c:v>0</c:v>
                </c:pt>
                <c:pt idx="124">
                  <c:v>1.3421082175944621E-2</c:v>
                </c:pt>
                <c:pt idx="125">
                  <c:v>1.7398118989115252E-2</c:v>
                </c:pt>
                <c:pt idx="126">
                  <c:v>-4.5941761761033595E-3</c:v>
                </c:pt>
                <c:pt idx="127">
                  <c:v>5.128114619645574E-3</c:v>
                </c:pt>
                <c:pt idx="128">
                  <c:v>-1.7857072695155463E-2</c:v>
                </c:pt>
                <c:pt idx="129">
                  <c:v>0</c:v>
                </c:pt>
                <c:pt idx="130">
                  <c:v>-2.8571774506690462E-3</c:v>
                </c:pt>
                <c:pt idx="131">
                  <c:v>4.1677567927205672E-2</c:v>
                </c:pt>
                <c:pt idx="132">
                  <c:v>-3.8509581987554609E-2</c:v>
                </c:pt>
                <c:pt idx="133">
                  <c:v>2.2106524536962935E-2</c:v>
                </c:pt>
                <c:pt idx="134">
                  <c:v>-1.0178076806558578E-2</c:v>
                </c:pt>
                <c:pt idx="135">
                  <c:v>1.3367611920682032E-2</c:v>
                </c:pt>
                <c:pt idx="136">
                  <c:v>7.1030134204836948E-3</c:v>
                </c:pt>
                <c:pt idx="137">
                  <c:v>-5.0378318042041403E-3</c:v>
                </c:pt>
                <c:pt idx="138">
                  <c:v>0</c:v>
                </c:pt>
                <c:pt idx="139">
                  <c:v>0</c:v>
                </c:pt>
                <c:pt idx="140">
                  <c:v>1.2658212123638046E-2</c:v>
                </c:pt>
                <c:pt idx="141">
                  <c:v>0</c:v>
                </c:pt>
                <c:pt idx="142">
                  <c:v>-2.0000023171088954E-2</c:v>
                </c:pt>
                <c:pt idx="143">
                  <c:v>2.0408187391804944E-2</c:v>
                </c:pt>
                <c:pt idx="144">
                  <c:v>0</c:v>
                </c:pt>
                <c:pt idx="145">
                  <c:v>0</c:v>
                </c:pt>
                <c:pt idx="146">
                  <c:v>0</c:v>
                </c:pt>
                <c:pt idx="147">
                  <c:v>-2.0999991958269182E-2</c:v>
                </c:pt>
                <c:pt idx="148">
                  <c:v>1.0214185689134681E-3</c:v>
                </c:pt>
                <c:pt idx="149">
                  <c:v>-2.21938285972898E-2</c:v>
                </c:pt>
                <c:pt idx="150">
                  <c:v>0</c:v>
                </c:pt>
                <c:pt idx="151">
                  <c:v>0</c:v>
                </c:pt>
                <c:pt idx="152">
                  <c:v>1.4870873837814047E-2</c:v>
                </c:pt>
                <c:pt idx="153">
                  <c:v>-2.5707188576882256E-3</c:v>
                </c:pt>
                <c:pt idx="154">
                  <c:v>2.8350508311363321E-3</c:v>
                </c:pt>
                <c:pt idx="155">
                  <c:v>6.1166916714426867E-2</c:v>
                </c:pt>
                <c:pt idx="156">
                  <c:v>0</c:v>
                </c:pt>
                <c:pt idx="157">
                  <c:v>-5.2797349174693697E-2</c:v>
                </c:pt>
                <c:pt idx="158">
                  <c:v>3.0426972599693292E-2</c:v>
                </c:pt>
                <c:pt idx="159">
                  <c:v>-2.5310126800405452E-2</c:v>
                </c:pt>
                <c:pt idx="160">
                  <c:v>-6.3646925601087423E-3</c:v>
                </c:pt>
                <c:pt idx="161">
                  <c:v>1.8959812192328451E-2</c:v>
                </c:pt>
                <c:pt idx="162">
                  <c:v>-1.6846909287083101E-2</c:v>
                </c:pt>
                <c:pt idx="163">
                  <c:v>0</c:v>
                </c:pt>
                <c:pt idx="164">
                  <c:v>-5.1149998244826023E-3</c:v>
                </c:pt>
                <c:pt idx="165">
                  <c:v>2.8277627125021798E-3</c:v>
                </c:pt>
                <c:pt idx="166">
                  <c:v>1.2560856119587571E-2</c:v>
                </c:pt>
                <c:pt idx="167">
                  <c:v>0</c:v>
                </c:pt>
                <c:pt idx="168">
                  <c:v>1.2658350149481468E-3</c:v>
                </c:pt>
                <c:pt idx="169">
                  <c:v>1.1377974470206276E-2</c:v>
                </c:pt>
                <c:pt idx="170">
                  <c:v>0</c:v>
                </c:pt>
                <c:pt idx="171">
                  <c:v>-1.2499984666191177E-2</c:v>
                </c:pt>
                <c:pt idx="172">
                  <c:v>2.5316700298962935E-3</c:v>
                </c:pt>
                <c:pt idx="173">
                  <c:v>1.1363608202372477E-2</c:v>
                </c:pt>
                <c:pt idx="174">
                  <c:v>2.9463306061884964E-2</c:v>
                </c:pt>
                <c:pt idx="175">
                  <c:v>-2.9832785100949999E-2</c:v>
                </c:pt>
                <c:pt idx="176">
                  <c:v>1.250008689158344E-2</c:v>
                </c:pt>
                <c:pt idx="177">
                  <c:v>0</c:v>
                </c:pt>
                <c:pt idx="178">
                  <c:v>-2.4444436591740115E-2</c:v>
                </c:pt>
                <c:pt idx="179">
                  <c:v>0</c:v>
                </c:pt>
                <c:pt idx="180">
                  <c:v>-2.5563193466793366E-2</c:v>
                </c:pt>
                <c:pt idx="181">
                  <c:v>2.4155850188101846E-2</c:v>
                </c:pt>
                <c:pt idx="182">
                  <c:v>-3.2970344630477433E-3</c:v>
                </c:pt>
                <c:pt idx="183">
                  <c:v>0</c:v>
                </c:pt>
                <c:pt idx="184">
                  <c:v>1.7811703775611143E-2</c:v>
                </c:pt>
                <c:pt idx="185">
                  <c:v>2.9750042559838263E-2</c:v>
                </c:pt>
                <c:pt idx="186">
                  <c:v>-1.213832381402602E-3</c:v>
                </c:pt>
                <c:pt idx="187">
                  <c:v>7.2921104136174364E-3</c:v>
                </c:pt>
                <c:pt idx="188">
                  <c:v>-1.0617659087274633E-2</c:v>
                </c:pt>
                <c:pt idx="189">
                  <c:v>-2.4390376878540954E-2</c:v>
                </c:pt>
                <c:pt idx="190">
                  <c:v>1.7500067128007668E-2</c:v>
                </c:pt>
                <c:pt idx="191">
                  <c:v>1.1056416390234025E-2</c:v>
                </c:pt>
                <c:pt idx="192">
                  <c:v>1.992707077183753E-2</c:v>
                </c:pt>
                <c:pt idx="193">
                  <c:v>0</c:v>
                </c:pt>
                <c:pt idx="194">
                  <c:v>-3.5263191225064827E-2</c:v>
                </c:pt>
                <c:pt idx="195">
                  <c:v>1.9758054295137661E-2</c:v>
                </c:pt>
                <c:pt idx="196">
                  <c:v>0</c:v>
                </c:pt>
                <c:pt idx="197">
                  <c:v>-2.8094112247311842E-2</c:v>
                </c:pt>
                <c:pt idx="198">
                  <c:v>-1.2459491521261579E-2</c:v>
                </c:pt>
                <c:pt idx="199">
                  <c:v>9.336362279705579E-3</c:v>
                </c:pt>
                <c:pt idx="200">
                  <c:v>0</c:v>
                </c:pt>
                <c:pt idx="201">
                  <c:v>2.0000091321350499E-2</c:v>
                </c:pt>
                <c:pt idx="202">
                  <c:v>1.2255019458402572E-3</c:v>
                </c:pt>
                <c:pt idx="203">
                  <c:v>8.3230729802308279E-3</c:v>
                </c:pt>
                <c:pt idx="204">
                  <c:v>-2.4277309441684825E-3</c:v>
                </c:pt>
                <c:pt idx="205">
                  <c:v>-1.4358723176348009E-2</c:v>
                </c:pt>
                <c:pt idx="206">
                  <c:v>0</c:v>
                </c:pt>
                <c:pt idx="207">
                  <c:v>0</c:v>
                </c:pt>
                <c:pt idx="208">
                  <c:v>-6.1729323675179248E-3</c:v>
                </c:pt>
                <c:pt idx="209">
                  <c:v>8.4223666417047705E-2</c:v>
                </c:pt>
                <c:pt idx="210">
                  <c:v>-2.268560302687106E-2</c:v>
                </c:pt>
                <c:pt idx="211">
                  <c:v>-2.9073906549490602E-2</c:v>
                </c:pt>
                <c:pt idx="212">
                  <c:v>1.4247699949261783E-2</c:v>
                </c:pt>
                <c:pt idx="213">
                  <c:v>1.6666796476696222E-2</c:v>
                </c:pt>
                <c:pt idx="214">
                  <c:v>-2.482447318814085E-2</c:v>
                </c:pt>
                <c:pt idx="215">
                  <c:v>3.9865613700337477E-2</c:v>
                </c:pt>
                <c:pt idx="216">
                  <c:v>-1.8706758031452941E-2</c:v>
                </c:pt>
                <c:pt idx="217">
                  <c:v>0.10449525163165285</c:v>
                </c:pt>
                <c:pt idx="218">
                  <c:v>-1.960372011826117E-2</c:v>
                </c:pt>
                <c:pt idx="219">
                  <c:v>5.1727959441040472E-2</c:v>
                </c:pt>
                <c:pt idx="220">
                  <c:v>0</c:v>
                </c:pt>
                <c:pt idx="221">
                  <c:v>-5.7656553914021802E-2</c:v>
                </c:pt>
                <c:pt idx="222">
                  <c:v>8.552648136691321E-3</c:v>
                </c:pt>
                <c:pt idx="223">
                  <c:v>2.1741695322918808E-4</c:v>
                </c:pt>
                <c:pt idx="224">
                  <c:v>-2.1739043475568431E-2</c:v>
                </c:pt>
                <c:pt idx="225">
                  <c:v>0</c:v>
                </c:pt>
                <c:pt idx="226">
                  <c:v>2.0666579131453755E-2</c:v>
                </c:pt>
                <c:pt idx="227">
                  <c:v>-9.3620916244534502E-3</c:v>
                </c:pt>
                <c:pt idx="228">
                  <c:v>-9.45041893387355E-3</c:v>
                </c:pt>
                <c:pt idx="229">
                  <c:v>4.2378356944186901E-2</c:v>
                </c:pt>
                <c:pt idx="230">
                  <c:v>-3.5546961550051992E-2</c:v>
                </c:pt>
                <c:pt idx="231">
                  <c:v>-6.841708088766052E-3</c:v>
                </c:pt>
                <c:pt idx="232">
                  <c:v>-4.4449108950583849E-4</c:v>
                </c:pt>
                <c:pt idx="233">
                  <c:v>4.4468874969272321E-4</c:v>
                </c:pt>
                <c:pt idx="234">
                  <c:v>3.5555046700339599E-3</c:v>
                </c:pt>
                <c:pt idx="235">
                  <c:v>-2.4358736426653982E-3</c:v>
                </c:pt>
                <c:pt idx="236">
                  <c:v>4.1953391937616935E-2</c:v>
                </c:pt>
                <c:pt idx="237">
                  <c:v>-1.7482414938629898E-3</c:v>
                </c:pt>
                <c:pt idx="238">
                  <c:v>-1.1749878172046313E-2</c:v>
                </c:pt>
                <c:pt idx="239">
                  <c:v>6.8301901042890911E-3</c:v>
                </c:pt>
                <c:pt idx="240">
                  <c:v>1.3653775660065426E-2</c:v>
                </c:pt>
                <c:pt idx="241">
                  <c:v>2.4995993344423262E-4</c:v>
                </c:pt>
                <c:pt idx="242">
                  <c:v>-5.2499228423181776E-3</c:v>
                </c:pt>
                <c:pt idx="243">
                  <c:v>-1.9854264380627984E-2</c:v>
                </c:pt>
                <c:pt idx="244">
                  <c:v>1.2051307150015678E-2</c:v>
                </c:pt>
                <c:pt idx="245">
                  <c:v>1.0894322821583202E-2</c:v>
                </c:pt>
                <c:pt idx="246">
                  <c:v>-2.2305865036860384E-2</c:v>
                </c:pt>
                <c:pt idx="247">
                  <c:v>-5.1259707761708295E-4</c:v>
                </c:pt>
                <c:pt idx="248">
                  <c:v>5.1295225808504874E-2</c:v>
                </c:pt>
                <c:pt idx="249">
                  <c:v>-1.4393731160108558E-2</c:v>
                </c:pt>
                <c:pt idx="250">
                  <c:v>-7.6732599848772232E-3</c:v>
                </c:pt>
                <c:pt idx="251">
                  <c:v>2.74379404850289E-3</c:v>
                </c:pt>
                <c:pt idx="252">
                  <c:v>1.3681545972032971E-2</c:v>
                </c:pt>
                <c:pt idx="253">
                  <c:v>2.453943557260585E-3</c:v>
                </c:pt>
                <c:pt idx="254">
                  <c:v>-5.6304176094224001E-3</c:v>
                </c:pt>
                <c:pt idx="255">
                  <c:v>-1.7232837385907418E-2</c:v>
                </c:pt>
                <c:pt idx="256">
                  <c:v>2.0040529447176159E-3</c:v>
                </c:pt>
                <c:pt idx="257">
                  <c:v>-5.7500349458557976E-3</c:v>
                </c:pt>
                <c:pt idx="258">
                  <c:v>-4.5259375688748715E-3</c:v>
                </c:pt>
                <c:pt idx="259">
                  <c:v>7.8302528819158557E-3</c:v>
                </c:pt>
                <c:pt idx="260">
                  <c:v>3.6591443053898276E-2</c:v>
                </c:pt>
                <c:pt idx="261">
                  <c:v>1.2814355929017696E-2</c:v>
                </c:pt>
                <c:pt idx="262">
                  <c:v>5.3950802678376375E-2</c:v>
                </c:pt>
                <c:pt idx="263">
                  <c:v>-3.6240116575262382E-3</c:v>
                </c:pt>
                <c:pt idx="264">
                  <c:v>-2.2732396552997414E-2</c:v>
                </c:pt>
                <c:pt idx="265">
                  <c:v>-2.7680930050103858E-2</c:v>
                </c:pt>
                <c:pt idx="266">
                  <c:v>-1.9138687595956827E-2</c:v>
                </c:pt>
                <c:pt idx="267">
                  <c:v>-3.5853832434646571E-2</c:v>
                </c:pt>
                <c:pt idx="268">
                  <c:v>1.1889818216956671E-2</c:v>
                </c:pt>
                <c:pt idx="269">
                  <c:v>-1.0000223745744163E-3</c:v>
                </c:pt>
                <c:pt idx="270">
                  <c:v>2.2022111179549553E-2</c:v>
                </c:pt>
                <c:pt idx="271">
                  <c:v>1.5425966377876188E-2</c:v>
                </c:pt>
                <c:pt idx="272">
                  <c:v>0</c:v>
                </c:pt>
                <c:pt idx="273">
                  <c:v>-5.4738249056958566E-2</c:v>
                </c:pt>
                <c:pt idx="274">
                  <c:v>-7.6530698558395782E-3</c:v>
                </c:pt>
                <c:pt idx="275">
                  <c:v>1.9537147049616843E-2</c:v>
                </c:pt>
                <c:pt idx="276">
                  <c:v>-2.0927825242158415E-2</c:v>
                </c:pt>
                <c:pt idx="277">
                  <c:v>2.5753116407769561E-3</c:v>
                </c:pt>
                <c:pt idx="278">
                  <c:v>-1.3357369652468254E-2</c:v>
                </c:pt>
                <c:pt idx="279">
                  <c:v>-9.3724691177566877E-3</c:v>
                </c:pt>
                <c:pt idx="280">
                  <c:v>2.2601783667273612E-2</c:v>
                </c:pt>
                <c:pt idx="281">
                  <c:v>-2.3130299779770769E-2</c:v>
                </c:pt>
                <c:pt idx="282">
                  <c:v>-1.8679250338238473E-2</c:v>
                </c:pt>
                <c:pt idx="283">
                  <c:v>1.8766696015219075E-2</c:v>
                </c:pt>
                <c:pt idx="284">
                  <c:v>2.6315862954453983E-2</c:v>
                </c:pt>
                <c:pt idx="285">
                  <c:v>1.2820429410823397E-2</c:v>
                </c:pt>
                <c:pt idx="286">
                  <c:v>-1.2658146536678183E-2</c:v>
                </c:pt>
                <c:pt idx="287">
                  <c:v>1.5128210208613435E-2</c:v>
                </c:pt>
                <c:pt idx="288">
                  <c:v>-1.4902758150622586E-2</c:v>
                </c:pt>
                <c:pt idx="289">
                  <c:v>-1.2820547700928331E-2</c:v>
                </c:pt>
                <c:pt idx="290">
                  <c:v>3.6363670677543869E-2</c:v>
                </c:pt>
                <c:pt idx="291">
                  <c:v>0</c:v>
                </c:pt>
                <c:pt idx="292">
                  <c:v>-1.8546447632525886E-2</c:v>
                </c:pt>
                <c:pt idx="293">
                  <c:v>-1.5321069487873595E-3</c:v>
                </c:pt>
                <c:pt idx="294">
                  <c:v>3.0946282469627384E-2</c:v>
                </c:pt>
                <c:pt idx="295">
                  <c:v>-3.2498114789923593E-2</c:v>
                </c:pt>
                <c:pt idx="296">
                  <c:v>-5.128230909381748E-3</c:v>
                </c:pt>
                <c:pt idx="297">
                  <c:v>5.5927873923829807E-2</c:v>
                </c:pt>
                <c:pt idx="298">
                  <c:v>-3.5147834081715956E-2</c:v>
                </c:pt>
                <c:pt idx="299">
                  <c:v>1.6696336750275043E-2</c:v>
                </c:pt>
                <c:pt idx="300">
                  <c:v>-1.2441255287476416E-3</c:v>
                </c:pt>
                <c:pt idx="301">
                  <c:v>-2.8649698772644561E-2</c:v>
                </c:pt>
                <c:pt idx="302">
                  <c:v>-9.2331654928244911E-3</c:v>
                </c:pt>
                <c:pt idx="303">
                  <c:v>5.1773495703366645E-3</c:v>
                </c:pt>
                <c:pt idx="304">
                  <c:v>3.0131309558072861E-2</c:v>
                </c:pt>
                <c:pt idx="305">
                  <c:v>-1.3749954443521228E-2</c:v>
                </c:pt>
                <c:pt idx="306">
                  <c:v>1.2673457905481023E-3</c:v>
                </c:pt>
                <c:pt idx="307">
                  <c:v>1.4936831899726277E-2</c:v>
                </c:pt>
                <c:pt idx="308">
                  <c:v>6.7597764366678303E-2</c:v>
                </c:pt>
                <c:pt idx="309">
                  <c:v>4.6729211211065103E-3</c:v>
                </c:pt>
                <c:pt idx="310">
                  <c:v>9.3025339165775378E-4</c:v>
                </c:pt>
                <c:pt idx="311">
                  <c:v>5.0418144581045432E-2</c:v>
                </c:pt>
                <c:pt idx="312">
                  <c:v>0.10550768387039655</c:v>
                </c:pt>
                <c:pt idx="313">
                  <c:v>1.0404186984333652E-2</c:v>
                </c:pt>
                <c:pt idx="314">
                  <c:v>1.6831654315317079E-2</c:v>
                </c:pt>
                <c:pt idx="315">
                  <c:v>-1.8500423957754863E-2</c:v>
                </c:pt>
                <c:pt idx="316">
                  <c:v>7.738056390625303E-3</c:v>
                </c:pt>
                <c:pt idx="317">
                  <c:v>1.9295171138836942E-2</c:v>
                </c:pt>
                <c:pt idx="318">
                  <c:v>-3.4189741591584499E-2</c:v>
                </c:pt>
                <c:pt idx="319">
                  <c:v>3.0000152931373147E-3</c:v>
                </c:pt>
                <c:pt idx="320">
                  <c:v>1.9939820855299217E-3</c:v>
                </c:pt>
                <c:pt idx="321">
                  <c:v>1.194159901887426E-3</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-2.5044833896514129E-2</c:v>
                </c:pt>
                <c:pt idx="370">
                  <c:v>2.242653943386852E-3</c:v>
                </c:pt>
                <c:pt idx="371">
                  <c:v>-3.2546809866467186E-3</c:v>
                </c:pt>
                <c:pt idx="372">
                  <c:v>-5.7142722643900301E-3</c:v>
                </c:pt>
                <c:pt idx="373">
                  <c:v>0.10837436779391574</c:v>
                </c:pt>
                <c:pt idx="374">
                  <c:v>-3.7037053648765195E-2</c:v>
                </c:pt>
                <c:pt idx="375">
                  <c:v>-5.9615332536457899E-3</c:v>
                </c:pt>
                <c:pt idx="376">
                  <c:v>-1.4509583002440318E-2</c:v>
                </c:pt>
                <c:pt idx="377">
                  <c:v>2.0808796233782179E-2</c:v>
                </c:pt>
                <c:pt idx="378">
                  <c:v>2.8846078564166433E-3</c:v>
                </c:pt>
                <c:pt idx="379">
                  <c:v>-4.9856747300663917E-3</c:v>
                </c:pt>
                <c:pt idx="380">
                  <c:v>-1.1561514091813496E-3</c:v>
                </c:pt>
                <c:pt idx="381">
                  <c:v>2.1222089834342928E-3</c:v>
                </c:pt>
                <c:pt idx="382">
                  <c:v>-3.4077752113218174E-2</c:v>
                </c:pt>
                <c:pt idx="383">
                  <c:v>1.3952540287248016E-2</c:v>
                </c:pt>
                <c:pt idx="384">
                  <c:v>2.3590070509482697E-3</c:v>
                </c:pt>
                <c:pt idx="385">
                  <c:v>-1.0590356291440117E-2</c:v>
                </c:pt>
                <c:pt idx="386">
                  <c:v>5.3519019314516303E-3</c:v>
                </c:pt>
                <c:pt idx="387">
                  <c:v>5.5204006124829341E-3</c:v>
                </c:pt>
                <c:pt idx="388">
                  <c:v>1.9411810080784297E-2</c:v>
                </c:pt>
                <c:pt idx="389">
                  <c:v>-1.7310577036983021E-3</c:v>
                </c:pt>
                <c:pt idx="390">
                  <c:v>1.7340594606862769E-3</c:v>
                </c:pt>
                <c:pt idx="391">
                  <c:v>-9.6171721066182769E-3</c:v>
                </c:pt>
                <c:pt idx="392">
                  <c:v>-5.690427496480821E-2</c:v>
                </c:pt>
                <c:pt idx="393">
                  <c:v>-2.8212610797383131E-2</c:v>
                </c:pt>
                <c:pt idx="394">
                  <c:v>-1.4621685105790427E-2</c:v>
                </c:pt>
                <c:pt idx="395">
                  <c:v>6.6666608793546356E-3</c:v>
                </c:pt>
                <c:pt idx="396">
                  <c:v>2.2431095453722127E-2</c:v>
                </c:pt>
                <c:pt idx="397">
                  <c:v>3.9281273375026071E-2</c:v>
                </c:pt>
                <c:pt idx="398">
                  <c:v>-1.6887776957107525E-2</c:v>
                </c:pt>
                <c:pt idx="399">
                  <c:v>5.1124529502697413E-3</c:v>
                </c:pt>
                <c:pt idx="400">
                  <c:v>-1.1393759645487278E-2</c:v>
                </c:pt>
                <c:pt idx="401">
                  <c:v>-1.2142397513614234E-2</c:v>
                </c:pt>
                <c:pt idx="402">
                  <c:v>4.5625030575221714E-2</c:v>
                </c:pt>
                <c:pt idx="403">
                  <c:v>-3.9848087854085223E-3</c:v>
                </c:pt>
                <c:pt idx="404">
                  <c:v>2.8005649302491609E-3</c:v>
                </c:pt>
                <c:pt idx="405">
                  <c:v>-3.590778893605262E-3</c:v>
                </c:pt>
                <c:pt idx="406">
                  <c:v>-1.2612520253963089E-2</c:v>
                </c:pt>
                <c:pt idx="407">
                  <c:v>1.7842637723140431E-2</c:v>
                </c:pt>
                <c:pt idx="408">
                  <c:v>-3.9641533539161888E-2</c:v>
                </c:pt>
                <c:pt idx="409">
                  <c:v>3.9618382896362991E-2</c:v>
                </c:pt>
                <c:pt idx="410">
                  <c:v>-3.6312846140968635E-2</c:v>
                </c:pt>
                <c:pt idx="411">
                  <c:v>2.0704994681786104E-4</c:v>
                </c:pt>
                <c:pt idx="412">
                  <c:v>3.4568416725246243E-2</c:v>
                </c:pt>
                <c:pt idx="413">
                  <c:v>1.4005165933708152E-3</c:v>
                </c:pt>
                <c:pt idx="414">
                  <c:v>-9.9896004551558448E-4</c:v>
                </c:pt>
                <c:pt idx="415">
                  <c:v>-1.9991797988305748E-4</c:v>
                </c:pt>
                <c:pt idx="416">
                  <c:v>-8.002701727977124E-4</c:v>
                </c:pt>
                <c:pt idx="417">
                  <c:v>-1.9018954881067973E-2</c:v>
                </c:pt>
                <c:pt idx="418">
                  <c:v>2.7550924457567794E-2</c:v>
                </c:pt>
                <c:pt idx="419">
                  <c:v>1.5888883345581251E-2</c:v>
                </c:pt>
                <c:pt idx="420">
                  <c:v>1.4662763012178504E-2</c:v>
                </c:pt>
                <c:pt idx="421">
                  <c:v>1.7340594606862769E-3</c:v>
                </c:pt>
                <c:pt idx="422">
                  <c:v>-1.9235009723099772E-3</c:v>
                </c:pt>
                <c:pt idx="423">
                  <c:v>1.9272079586922786E-3</c:v>
                </c:pt>
                <c:pt idx="424">
                  <c:v>1.5579874271876681E-2</c:v>
                </c:pt>
                <c:pt idx="425">
                  <c:v>-5.681825504303295E-3</c:v>
                </c:pt>
                <c:pt idx="426">
                  <c:v>2.6285809866060994E-2</c:v>
                </c:pt>
                <c:pt idx="427">
                  <c:v>2.0415499237247392E-3</c:v>
                </c:pt>
                <c:pt idx="428">
                  <c:v>2.0929762695863996E-2</c:v>
                </c:pt>
                <c:pt idx="429">
                  <c:v>6.8577710422158988E-2</c:v>
                </c:pt>
                <c:pt idx="430">
                  <c:v>-1.6978406086628484E-3</c:v>
                </c:pt>
                <c:pt idx="431">
                  <c:v>9.1837124580749219E-3</c:v>
                </c:pt>
                <c:pt idx="432">
                  <c:v>2.7974378769114239E-2</c:v>
                </c:pt>
                <c:pt idx="433">
                  <c:v>1.6557355067438495E-2</c:v>
                </c:pt>
                <c:pt idx="434">
                  <c:v>1.4352589382640391E-2</c:v>
                </c:pt>
                <c:pt idx="435">
                  <c:v>4.7694626479248825E-3</c:v>
                </c:pt>
                <c:pt idx="436">
                  <c:v>-2.0569650860445154E-2</c:v>
                </c:pt>
                <c:pt idx="437">
                  <c:v>8.0775667308643495E-3</c:v>
                </c:pt>
                <c:pt idx="438">
                  <c:v>-3.5096175678995811E-2</c:v>
                </c:pt>
                <c:pt idx="439">
                  <c:v>1.312074543680497E-2</c:v>
                </c:pt>
                <c:pt idx="440">
                  <c:v>2.3442650982809843E-2</c:v>
                </c:pt>
                <c:pt idx="441">
                  <c:v>-5.7664764102562938E-3</c:v>
                </c:pt>
                <c:pt idx="442">
                  <c:v>6.7666029793447269E-3</c:v>
                </c:pt>
                <c:pt idx="443">
                  <c:v>0</c:v>
                </c:pt>
                <c:pt idx="444">
                  <c:v>-7.8413418638423327E-3</c:v>
                </c:pt>
                <c:pt idx="445">
                  <c:v>-9.0322371341823304E-3</c:v>
                </c:pt>
                <c:pt idx="446">
                  <c:v>-7.3241432968706999E-3</c:v>
                </c:pt>
                <c:pt idx="447">
                  <c:v>-7.2143637523170989E-3</c:v>
                </c:pt>
                <c:pt idx="448">
                  <c:v>-8.2578706293734427E-4</c:v>
                </c:pt>
                <c:pt idx="449">
                  <c:v>5.4545579669909028E-3</c:v>
                </c:pt>
                <c:pt idx="450">
                  <c:v>-1.6438202823232384E-4</c:v>
                </c:pt>
                <c:pt idx="451">
                  <c:v>-2.5649481186085898E-2</c:v>
                </c:pt>
                <c:pt idx="452">
                  <c:v>-2.6324618131656763E-2</c:v>
                </c:pt>
                <c:pt idx="453">
                  <c:v>2.2357063717503456E-2</c:v>
                </c:pt>
                <c:pt idx="454">
                  <c:v>-2.6275732040990096E-2</c:v>
                </c:pt>
                <c:pt idx="455">
                  <c:v>1.671318498938823E-2</c:v>
                </c:pt>
                <c:pt idx="456">
                  <c:v>1.4212206240174607E-2</c:v>
                </c:pt>
                <c:pt idx="457">
                  <c:v>1.7896416212875632E-2</c:v>
                </c:pt>
                <c:pt idx="458">
                  <c:v>-6.3029050488280225E-3</c:v>
                </c:pt>
                <c:pt idx="459">
                  <c:v>-2.019695679499478E-2</c:v>
                </c:pt>
                <c:pt idx="460">
                  <c:v>1.3798918126717741E-2</c:v>
                </c:pt>
                <c:pt idx="461">
                  <c:v>-2.1676977436310363E-2</c:v>
                </c:pt>
                <c:pt idx="462">
                  <c:v>2.9199696346930981E-3</c:v>
                </c:pt>
                <c:pt idx="463">
                  <c:v>2.6545637551003365E-2</c:v>
                </c:pt>
                <c:pt idx="464">
                  <c:v>2.4524510281277667E-2</c:v>
                </c:pt>
                <c:pt idx="465">
                  <c:v>3.4033597789455472E-2</c:v>
                </c:pt>
                <c:pt idx="466">
                  <c:v>3.7637777579158982E-2</c:v>
                </c:pt>
                <c:pt idx="467">
                  <c:v>3.5058369644336729E-2</c:v>
                </c:pt>
                <c:pt idx="468">
                  <c:v>2.6393012113840042E-2</c:v>
                </c:pt>
                <c:pt idx="469">
                  <c:v>-2.9428529160256733E-2</c:v>
                </c:pt>
                <c:pt idx="470">
                  <c:v>2.9437207773013174E-3</c:v>
                </c:pt>
                <c:pt idx="471">
                  <c:v>-2.0545801996573188E-3</c:v>
                </c:pt>
                <c:pt idx="472">
                  <c:v>-3.823589442715325E-3</c:v>
                </c:pt>
                <c:pt idx="473">
                  <c:v>1.6238540095041554E-3</c:v>
                </c:pt>
                <c:pt idx="474">
                  <c:v>5.0111236293493011E-3</c:v>
                </c:pt>
                <c:pt idx="475">
                  <c:v>-3.0795850987246354E-3</c:v>
                </c:pt>
                <c:pt idx="476">
                  <c:v>2.9419886287713748E-3</c:v>
                </c:pt>
                <c:pt idx="477">
                  <c:v>2.1560629795202901E-2</c:v>
                </c:pt>
                <c:pt idx="478">
                  <c:v>5.0250679631724804E-3</c:v>
                </c:pt>
                <c:pt idx="479">
                  <c:v>7.2856753479300096E-3</c:v>
                </c:pt>
                <c:pt idx="480">
                  <c:v>-4.2547046148142531E-3</c:v>
                </c:pt>
                <c:pt idx="481">
                  <c:v>1.3388484156138247E-2</c:v>
                </c:pt>
                <c:pt idx="482">
                  <c:v>7.3506626005960918E-2</c:v>
                </c:pt>
                <c:pt idx="483">
                  <c:v>2.2299361450390354E-2</c:v>
                </c:pt>
                <c:pt idx="484">
                  <c:v>-7.8867325118973874E-2</c:v>
                </c:pt>
                <c:pt idx="485">
                  <c:v>2.9988783089660576E-3</c:v>
                </c:pt>
                <c:pt idx="486">
                  <c:v>3.1394802650928977E-2</c:v>
                </c:pt>
                <c:pt idx="487">
                  <c:v>-3.3337390349729157E-3</c:v>
                </c:pt>
                <c:pt idx="488">
                  <c:v>9.1622104318291875E-3</c:v>
                </c:pt>
                <c:pt idx="489">
                  <c:v>8.2145033317053695E-3</c:v>
                </c:pt>
                <c:pt idx="490">
                  <c:v>-5.2887448742423571E-3</c:v>
                </c:pt>
                <c:pt idx="491">
                  <c:v>-1.2789278360058831E-2</c:v>
                </c:pt>
                <c:pt idx="492">
                  <c:v>-1.0188261330364989E-3</c:v>
                </c:pt>
                <c:pt idx="493">
                  <c:v>-5.0998557756785079E-3</c:v>
                </c:pt>
                <c:pt idx="494">
                  <c:v>-2.0064349442516005E-2</c:v>
                </c:pt>
                <c:pt idx="495">
                  <c:v>4.1099968338806914E-2</c:v>
                </c:pt>
                <c:pt idx="496">
                  <c:v>-4.0338818306006052E-2</c:v>
                </c:pt>
                <c:pt idx="497">
                  <c:v>-1.4963383381916273E-4</c:v>
                </c:pt>
                <c:pt idx="498">
                  <c:v>9.4255424750260275E-3</c:v>
                </c:pt>
                <c:pt idx="499">
                  <c:v>-6.2249362533883801E-3</c:v>
                </c:pt>
                <c:pt idx="500">
                  <c:v>1.1036461189793068E-2</c:v>
                </c:pt>
                <c:pt idx="501">
                  <c:v>-1.6964169500729986E-2</c:v>
                </c:pt>
                <c:pt idx="502">
                  <c:v>1.4255661804150055E-2</c:v>
                </c:pt>
                <c:pt idx="503">
                  <c:v>5.9180835971670565E-3</c:v>
                </c:pt>
                <c:pt idx="504">
                  <c:v>3.5300224767340627E-3</c:v>
                </c:pt>
                <c:pt idx="505">
                  <c:v>-1.3483881793392105E-2</c:v>
                </c:pt>
                <c:pt idx="506">
                  <c:v>2.1542162288325617E-2</c:v>
                </c:pt>
                <c:pt idx="507">
                  <c:v>-1.5270563269452087E-2</c:v>
                </c:pt>
                <c:pt idx="508">
                  <c:v>1.5359636231768281E-2</c:v>
                </c:pt>
                <c:pt idx="509">
                  <c:v>-1.0909058894725931E-2</c:v>
                </c:pt>
                <c:pt idx="510">
                  <c:v>0</c:v>
                </c:pt>
                <c:pt idx="511">
                  <c:v>2.058769403390226E-3</c:v>
                </c:pt>
                <c:pt idx="512">
                  <c:v>-1.9077385502219713E-3</c:v>
                </c:pt>
                <c:pt idx="513">
                  <c:v>-2.9416324645026304E-4</c:v>
                </c:pt>
                <c:pt idx="514">
                  <c:v>9.4131783143744929E-3</c:v>
                </c:pt>
                <c:pt idx="515">
                  <c:v>-1.0491014794698938E-2</c:v>
                </c:pt>
                <c:pt idx="516">
                  <c:v>1.1779762687054163E-3</c:v>
                </c:pt>
                <c:pt idx="517">
                  <c:v>0</c:v>
                </c:pt>
                <c:pt idx="518">
                  <c:v>-7.0597932965906773E-3</c:v>
                </c:pt>
                <c:pt idx="519">
                  <c:v>4.2956430388321198E-3</c:v>
                </c:pt>
                <c:pt idx="520">
                  <c:v>-2.3599010633323925E-3</c:v>
                </c:pt>
                <c:pt idx="521">
                  <c:v>3.1046455408860751E-3</c:v>
                </c:pt>
                <c:pt idx="522">
                  <c:v>2.2107966817908054E-3</c:v>
                </c:pt>
                <c:pt idx="523">
                  <c:v>3.8235210028509936E-3</c:v>
                </c:pt>
                <c:pt idx="524">
                  <c:v>1.0987415604640116E-2</c:v>
                </c:pt>
                <c:pt idx="525">
                  <c:v>1.0433308325245028E-2</c:v>
                </c:pt>
                <c:pt idx="526">
                  <c:v>2.8678455955599702E-4</c:v>
                </c:pt>
                <c:pt idx="527">
                  <c:v>6.4515538515454995E-3</c:v>
                </c:pt>
                <c:pt idx="528">
                  <c:v>1.1396713434261851E-3</c:v>
                </c:pt>
                <c:pt idx="529">
                  <c:v>9.3910298766486378E-3</c:v>
                </c:pt>
                <c:pt idx="530">
                  <c:v>-6.0614375329546277E-3</c:v>
                </c:pt>
                <c:pt idx="531">
                  <c:v>-2.9783968744433453E-3</c:v>
                </c:pt>
                <c:pt idx="532">
                  <c:v>-5.2631511695522271E-3</c:v>
                </c:pt>
                <c:pt idx="533">
                  <c:v>1.573064027683424E-3</c:v>
                </c:pt>
                <c:pt idx="534">
                  <c:v>1.7132899313523353E-3</c:v>
                </c:pt>
                <c:pt idx="535">
                  <c:v>1.42534792449589E-3</c:v>
                </c:pt>
                <c:pt idx="536">
                  <c:v>4.2697749536513285E-4</c:v>
                </c:pt>
                <c:pt idx="537">
                  <c:v>-1.9918025125070793E-3</c:v>
                </c:pt>
                <c:pt idx="538">
                  <c:v>1.0833984466227298E-2</c:v>
                </c:pt>
                <c:pt idx="539">
                  <c:v>-1.1423063723257187E-2</c:v>
                </c:pt>
                <c:pt idx="540">
                  <c:v>-5.7061196877390419E-3</c:v>
                </c:pt>
                <c:pt idx="541">
                  <c:v>4.0173414577298061E-3</c:v>
                </c:pt>
                <c:pt idx="542">
                  <c:v>-8.0024117535577588E-3</c:v>
                </c:pt>
                <c:pt idx="543">
                  <c:v>4.03342185409028E-3</c:v>
                </c:pt>
                <c:pt idx="544">
                  <c:v>7.1736212891648776E-3</c:v>
                </c:pt>
                <c:pt idx="545">
                  <c:v>-5.8403776749025305E-3</c:v>
                </c:pt>
                <c:pt idx="546">
                  <c:v>-1.8484091961355364E-2</c:v>
                </c:pt>
                <c:pt idx="547">
                  <c:v>2.9196380853353521E-3</c:v>
                </c:pt>
                <c:pt idx="548">
                  <c:v>9.4615468396412883E-3</c:v>
                </c:pt>
                <c:pt idx="549">
                  <c:v>-3.6049125067011412E-3</c:v>
                </c:pt>
                <c:pt idx="550">
                  <c:v>1.2735222976319571E-2</c:v>
                </c:pt>
                <c:pt idx="551">
                  <c:v>-2.8586700251254094E-4</c:v>
                </c:pt>
                <c:pt idx="552">
                  <c:v>-2.7158634449908625E-3</c:v>
                </c:pt>
                <c:pt idx="553">
                  <c:v>5.446503564259908E-3</c:v>
                </c:pt>
                <c:pt idx="554">
                  <c:v>-2.1382657478326017E-3</c:v>
                </c:pt>
                <c:pt idx="555">
                  <c:v>-2.8566312549183071E-4</c:v>
                </c:pt>
                <c:pt idx="556">
                  <c:v>2.8574475223086537E-4</c:v>
                </c:pt>
                <c:pt idx="557">
                  <c:v>4.1429020810084261E-3</c:v>
                </c:pt>
                <c:pt idx="558">
                  <c:v>-1.4226797843668426E-2</c:v>
                </c:pt>
                <c:pt idx="559">
                  <c:v>3.7523831768568883E-3</c:v>
                </c:pt>
                <c:pt idx="560">
                  <c:v>-4.3135166089455224E-3</c:v>
                </c:pt>
                <c:pt idx="561">
                  <c:v>-3.610118226507697E-3</c:v>
                </c:pt>
                <c:pt idx="562">
                  <c:v>3.3333797249859298E-3</c:v>
                </c:pt>
                <c:pt idx="563">
                  <c:v>-8.2334718636367654E-3</c:v>
                </c:pt>
                <c:pt idx="564">
                  <c:v>-8.7387054642118489E-4</c:v>
                </c:pt>
                <c:pt idx="565">
                  <c:v>1.2536427855406318E-2</c:v>
                </c:pt>
                <c:pt idx="566">
                  <c:v>2.8800712142929008E-4</c:v>
                </c:pt>
                <c:pt idx="567">
                  <c:v>6.0448536247064144E-3</c:v>
                </c:pt>
                <c:pt idx="568">
                  <c:v>-2.1458980586281928E-3</c:v>
                </c:pt>
                <c:pt idx="569">
                  <c:v>5.0178275193217825E-3</c:v>
                </c:pt>
                <c:pt idx="570">
                  <c:v>2.8531208643824968E-3</c:v>
                </c:pt>
                <c:pt idx="571">
                  <c:v>1.9203482317294851E-2</c:v>
                </c:pt>
                <c:pt idx="572">
                  <c:v>4.7451710803783076E-3</c:v>
                </c:pt>
                <c:pt idx="573">
                  <c:v>1.5835520912126366E-2</c:v>
                </c:pt>
                <c:pt idx="574">
                  <c:v>-2.4613537340250069E-3</c:v>
                </c:pt>
                <c:pt idx="575">
                  <c:v>2.673074197603964E-2</c:v>
                </c:pt>
                <c:pt idx="576">
                  <c:v>-2.6708909776496093E-4</c:v>
                </c:pt>
                <c:pt idx="577">
                  <c:v>3.7394323130990337E-3</c:v>
                </c:pt>
                <c:pt idx="578">
                  <c:v>1.1176062090991756E-2</c:v>
                </c:pt>
                <c:pt idx="579">
                  <c:v>1.9605277828604883E-2</c:v>
                </c:pt>
                <c:pt idx="580">
                  <c:v>6.5814406811821602E-3</c:v>
                </c:pt>
                <c:pt idx="581">
                  <c:v>4.4872057472120641E-3</c:v>
                </c:pt>
                <c:pt idx="582">
                  <c:v>3.3184902956060469E-3</c:v>
                </c:pt>
                <c:pt idx="583">
                  <c:v>4.9611490790253399E-3</c:v>
                </c:pt>
                <c:pt idx="584">
                  <c:v>2.3670932811184819E-2</c:v>
                </c:pt>
                <c:pt idx="585">
                  <c:v>2.015576012720377E-2</c:v>
                </c:pt>
                <c:pt idx="586">
                  <c:v>1.8181868616698349E-2</c:v>
                </c:pt>
                <c:pt idx="587">
                  <c:v>-4.285774338558368E-3</c:v>
                </c:pt>
                <c:pt idx="588">
                  <c:v>1.3629818765035218E-2</c:v>
                </c:pt>
                <c:pt idx="589">
                  <c:v>-8.9643379703473469E-3</c:v>
                </c:pt>
                <c:pt idx="590">
                  <c:v>-1.3091622584682217E-3</c:v>
                </c:pt>
                <c:pt idx="591">
                  <c:v>1.0725704806631153E-3</c:v>
                </c:pt>
                <c:pt idx="592">
                  <c:v>3.571426843681702E-2</c:v>
                </c:pt>
                <c:pt idx="593">
                  <c:v>2.1149375091704448E-2</c:v>
                </c:pt>
                <c:pt idx="594">
                  <c:v>1.249435621039674E-2</c:v>
                </c:pt>
                <c:pt idx="595">
                  <c:v>3.3360753326006076E-4</c:v>
                </c:pt>
                <c:pt idx="596">
                  <c:v>2.2223181184632956E-4</c:v>
                </c:pt>
                <c:pt idx="597">
                  <c:v>0</c:v>
                </c:pt>
                <c:pt idx="598">
                  <c:v>0</c:v>
                </c:pt>
                <c:pt idx="599">
                  <c:v>-1.111112985834406E-2</c:v>
                </c:pt>
                <c:pt idx="600">
                  <c:v>0</c:v>
                </c:pt>
                <c:pt idx="601">
                  <c:v>0</c:v>
                </c:pt>
                <c:pt idx="602">
                  <c:v>2.2467887196375713E-4</c:v>
                </c:pt>
                <c:pt idx="603">
                  <c:v>-3.3699666191544519E-4</c:v>
                </c:pt>
                <c:pt idx="604">
                  <c:v>-2.921622313567962E-3</c:v>
                </c:pt>
                <c:pt idx="605">
                  <c:v>2.3668069537199354E-3</c:v>
                </c:pt>
                <c:pt idx="606">
                  <c:v>-5.0597365495821389E-3</c:v>
                </c:pt>
                <c:pt idx="607">
                  <c:v>-1.8081105605072034E-2</c:v>
                </c:pt>
                <c:pt idx="608">
                  <c:v>-4.5920111849072853E-2</c:v>
                </c:pt>
                <c:pt idx="609">
                  <c:v>-4.4873357470978203E-2</c:v>
                </c:pt>
                <c:pt idx="610">
                  <c:v>-2.753213876418048E-2</c:v>
                </c:pt>
                <c:pt idx="611">
                  <c:v>1.2986937233692153E-2</c:v>
                </c:pt>
                <c:pt idx="612">
                  <c:v>3.8333388447763239E-2</c:v>
                </c:pt>
                <c:pt idx="613">
                  <c:v>1.2349613939544035E-4</c:v>
                </c:pt>
                <c:pt idx="614">
                  <c:v>-1.8395061588222572E-2</c:v>
                </c:pt>
                <c:pt idx="615">
                  <c:v>-6.6658382557944762E-3</c:v>
                </c:pt>
                <c:pt idx="616">
                  <c:v>1.2661454295610719E-2</c:v>
                </c:pt>
                <c:pt idx="617">
                  <c:v>4.75111242113746E-3</c:v>
                </c:pt>
                <c:pt idx="618">
                  <c:v>6.9686578535868016E-3</c:v>
                </c:pt>
                <c:pt idx="619">
                  <c:v>2.5704409747832724E-2</c:v>
                </c:pt>
                <c:pt idx="620">
                  <c:v>3.6145322178855466E-3</c:v>
                </c:pt>
                <c:pt idx="621">
                  <c:v>8.4033197027697515E-3</c:v>
                </c:pt>
                <c:pt idx="622">
                  <c:v>-4.7619941197608595E-3</c:v>
                </c:pt>
                <c:pt idx="623">
                  <c:v>5.9813897423932616E-4</c:v>
                </c:pt>
                <c:pt idx="624">
                  <c:v>-1.0280907152989016E-2</c:v>
                </c:pt>
                <c:pt idx="625">
                  <c:v>6.1602172910555364E-3</c:v>
                </c:pt>
                <c:pt idx="626">
                  <c:v>0</c:v>
                </c:pt>
                <c:pt idx="627">
                  <c:v>-2.8811576238238934E-2</c:v>
                </c:pt>
                <c:pt idx="628">
                  <c:v>5.4387383453129434E-3</c:v>
                </c:pt>
                <c:pt idx="629">
                  <c:v>-2.3973446449862545E-2</c:v>
                </c:pt>
                <c:pt idx="630">
                  <c:v>3.9047687193065617E-3</c:v>
                </c:pt>
                <c:pt idx="631">
                  <c:v>3.5132835934925666E-3</c:v>
                </c:pt>
                <c:pt idx="632">
                  <c:v>8.6270892388418119E-3</c:v>
                </c:pt>
                <c:pt idx="633">
                  <c:v>-3.8428244284309798E-3</c:v>
                </c:pt>
                <c:pt idx="634">
                  <c:v>1.0328608958924068E-2</c:v>
                </c:pt>
                <c:pt idx="635">
                  <c:v>2.0938016169922413E-3</c:v>
                </c:pt>
                <c:pt idx="636">
                  <c:v>6.1455429553554097E-3</c:v>
                </c:pt>
                <c:pt idx="637">
                  <c:v>-1.9545723524500014E-3</c:v>
                </c:pt>
                <c:pt idx="638">
                  <c:v>-3.059983931223198E-3</c:v>
                </c:pt>
                <c:pt idx="639">
                  <c:v>-5.5248245940402452E-3</c:v>
                </c:pt>
                <c:pt idx="640">
                  <c:v>-2.468693640307329E-4</c:v>
                </c:pt>
                <c:pt idx="641">
                  <c:v>1.7535169479522938E-2</c:v>
                </c:pt>
                <c:pt idx="642">
                  <c:v>2.2208751094042523E-2</c:v>
                </c:pt>
                <c:pt idx="643">
                  <c:v>3.2648673433991915E-2</c:v>
                </c:pt>
                <c:pt idx="644">
                  <c:v>5.518468414377864E-3</c:v>
                </c:pt>
                <c:pt idx="645">
                  <c:v>-2.9728299816947912E-3</c:v>
                </c:pt>
                <c:pt idx="646">
                  <c:v>8.9450698899156134E-3</c:v>
                </c:pt>
                <c:pt idx="647">
                  <c:v>7.0469607891721076E-3</c:v>
                </c:pt>
                <c:pt idx="648">
                  <c:v>2.4830804915045412E-2</c:v>
                </c:pt>
                <c:pt idx="649">
                  <c:v>-3.3040324775318597E-3</c:v>
                </c:pt>
                <c:pt idx="650">
                  <c:v>1.8232070547513413E-2</c:v>
                </c:pt>
                <c:pt idx="651">
                  <c:v>2.0075936386727555E-2</c:v>
                </c:pt>
                <c:pt idx="652">
                  <c:v>1.0531911915170777E-2</c:v>
                </c:pt>
                <c:pt idx="653">
                  <c:v>1.0530605035263818E-4</c:v>
                </c:pt>
                <c:pt idx="654">
                  <c:v>-1.0526569479438752E-3</c:v>
                </c:pt>
                <c:pt idx="655">
                  <c:v>9.4836028382960791E-4</c:v>
                </c:pt>
                <c:pt idx="656">
                  <c:v>-5.6848492974613807E-3</c:v>
                </c:pt>
                <c:pt idx="657">
                  <c:v>7.4116437658378054E-4</c:v>
                </c:pt>
                <c:pt idx="658">
                  <c:v>-7.6173727177701878E-3</c:v>
                </c:pt>
                <c:pt idx="659">
                  <c:v>-7.8892063093221054E-3</c:v>
                </c:pt>
                <c:pt idx="660">
                  <c:v>-1.0745785210746539E-2</c:v>
                </c:pt>
                <c:pt idx="661">
                  <c:v>1.0102117039727299E-2</c:v>
                </c:pt>
                <c:pt idx="662">
                  <c:v>-1.4840270946302025E-2</c:v>
                </c:pt>
                <c:pt idx="663">
                  <c:v>-7.6412950573323535E-4</c:v>
                </c:pt>
                <c:pt idx="664">
                  <c:v>7.428436843473829E-3</c:v>
                </c:pt>
                <c:pt idx="665">
                  <c:v>1.2144888582362512E-2</c:v>
                </c:pt>
                <c:pt idx="666">
                  <c:v>-3.6425978828457106E-3</c:v>
                </c:pt>
                <c:pt idx="667">
                  <c:v>-1.4301062005680709E-2</c:v>
                </c:pt>
                <c:pt idx="668">
                  <c:v>3.5998370270744484E-3</c:v>
                </c:pt>
                <c:pt idx="669">
                  <c:v>1.1956996796496089E-3</c:v>
                </c:pt>
                <c:pt idx="670">
                  <c:v>0</c:v>
                </c:pt>
                <c:pt idx="671">
                  <c:v>-1.1073799981138666E-2</c:v>
                </c:pt>
                <c:pt idx="672">
                  <c:v>2.5250106128398286E-3</c:v>
                </c:pt>
                <c:pt idx="673">
                  <c:v>-5.6941443355178478E-3</c:v>
                </c:pt>
                <c:pt idx="674">
                  <c:v>-6.7181243884533171E-3</c:v>
                </c:pt>
                <c:pt idx="675">
                  <c:v>2.2174875307456876E-3</c:v>
                </c:pt>
                <c:pt idx="676">
                  <c:v>0</c:v>
                </c:pt>
                <c:pt idx="677">
                  <c:v>3.9827975213231337E-3</c:v>
                </c:pt>
                <c:pt idx="678">
                  <c:v>-8.2644854037455806E-3</c:v>
                </c:pt>
                <c:pt idx="679">
                  <c:v>0</c:v>
                </c:pt>
                <c:pt idx="680">
                  <c:v>0</c:v>
                </c:pt>
                <c:pt idx="681">
                  <c:v>-6.6666018698923191E-3</c:v>
                </c:pt>
                <c:pt idx="682">
                  <c:v>1.1184875106255987E-3</c:v>
                </c:pt>
                <c:pt idx="683">
                  <c:v>-6.7038455589981671E-3</c:v>
                </c:pt>
                <c:pt idx="684">
                  <c:v>-1.4398231976846865E-2</c:v>
                </c:pt>
                <c:pt idx="685">
                  <c:v>7.7607747312840036E-3</c:v>
                </c:pt>
                <c:pt idx="686">
                  <c:v>1.2910521748293657E-2</c:v>
                </c:pt>
                <c:pt idx="687">
                  <c:v>4.4725472973627944E-4</c:v>
                </c:pt>
                <c:pt idx="688">
                  <c:v>1.2292781527483143E-3</c:v>
                </c:pt>
                <c:pt idx="689">
                  <c:v>2.1207759135519977E-2</c:v>
                </c:pt>
                <c:pt idx="690">
                  <c:v>-1.1148750283651587E-2</c:v>
                </c:pt>
                <c:pt idx="691">
                  <c:v>-1.8790290670547272E-3</c:v>
                </c:pt>
                <c:pt idx="692">
                  <c:v>1.993330049703701E-3</c:v>
                </c:pt>
                <c:pt idx="693">
                  <c:v>7.4049194612213487E-3</c:v>
                </c:pt>
                <c:pt idx="694">
                  <c:v>8.777281943719295E-4</c:v>
                </c:pt>
                <c:pt idx="695">
                  <c:v>-1.3482471521062855E-2</c:v>
                </c:pt>
                <c:pt idx="696">
                  <c:v>-1.111112985834406E-2</c:v>
                </c:pt>
                <c:pt idx="697">
                  <c:v>7.752832910520091E-3</c:v>
                </c:pt>
                <c:pt idx="698">
                  <c:v>2.2298495200026025E-3</c:v>
                </c:pt>
                <c:pt idx="699">
                  <c:v>7.0086023409086096E-3</c:v>
                </c:pt>
                <c:pt idx="700">
                  <c:v>7.5121420970434283E-3</c:v>
                </c:pt>
                <c:pt idx="701">
                  <c:v>-3.4210499439235709E-2</c:v>
                </c:pt>
                <c:pt idx="702">
                  <c:v>4.7683520685444236E-3</c:v>
                </c:pt>
                <c:pt idx="703">
                  <c:v>3.7288771346015714E-3</c:v>
                </c:pt>
                <c:pt idx="704">
                  <c:v>1.9137201222301226E-3</c:v>
                </c:pt>
                <c:pt idx="705">
                  <c:v>6.6516865532320724E-2</c:v>
                </c:pt>
                <c:pt idx="706">
                  <c:v>4.2143345168987878E-4</c:v>
                </c:pt>
                <c:pt idx="707">
                  <c:v>3.1591660207119787E-4</c:v>
                </c:pt>
                <c:pt idx="708">
                  <c:v>9.895807915189625E-3</c:v>
                </c:pt>
                <c:pt idx="709">
                  <c:v>2.6790369382730717E-2</c:v>
                </c:pt>
                <c:pt idx="710">
                  <c:v>1.0146666338073373E-4</c:v>
                </c:pt>
                <c:pt idx="711">
                  <c:v>9.1360667773532356E-4</c:v>
                </c:pt>
                <c:pt idx="712">
                  <c:v>3.8539704140154729E-3</c:v>
                </c:pt>
                <c:pt idx="713">
                  <c:v>1.545770441994132E-2</c:v>
                </c:pt>
                <c:pt idx="714">
                  <c:v>4.8751203004235855E-3</c:v>
                </c:pt>
                <c:pt idx="715">
                  <c:v>1.1881167760567468E-2</c:v>
                </c:pt>
                <c:pt idx="716">
                  <c:v>2.936203162111628E-4</c:v>
                </c:pt>
                <c:pt idx="717">
                  <c:v>-1.7020533717035491E-2</c:v>
                </c:pt>
                <c:pt idx="718">
                  <c:v>8.0605131334114954E-3</c:v>
                </c:pt>
                <c:pt idx="719">
                  <c:v>1.0069093635152626E-2</c:v>
                </c:pt>
                <c:pt idx="720">
                  <c:v>3.5867835412997984E-2</c:v>
                </c:pt>
                <c:pt idx="721">
                  <c:v>9.436694896347575E-5</c:v>
                </c:pt>
                <c:pt idx="722">
                  <c:v>4.5283387080325976E-3</c:v>
                </c:pt>
                <c:pt idx="723">
                  <c:v>-4.5079252954244309E-3</c:v>
                </c:pt>
                <c:pt idx="724">
                  <c:v>-1.3301921812985062E-2</c:v>
                </c:pt>
                <c:pt idx="725">
                  <c:v>-2.9543844993950907E-2</c:v>
                </c:pt>
                <c:pt idx="726">
                  <c:v>-4.9261218166205545E-3</c:v>
                </c:pt>
                <c:pt idx="727">
                  <c:v>-1.8019783632618469E-2</c:v>
                </c:pt>
                <c:pt idx="728">
                  <c:v>8.2677602205591949E-3</c:v>
                </c:pt>
                <c:pt idx="729">
                  <c:v>-1.1200015929550222E-2</c:v>
                </c:pt>
                <c:pt idx="730">
                  <c:v>2.1541326241538039E-2</c:v>
                </c:pt>
                <c:pt idx="731">
                  <c:v>1.4255970345625091E-2</c:v>
                </c:pt>
                <c:pt idx="732">
                  <c:v>2.4792589526107633E-2</c:v>
                </c:pt>
                <c:pt idx="733">
                  <c:v>-2.571675467061707E-2</c:v>
                </c:pt>
                <c:pt idx="734">
                  <c:v>-1.7596909500950941E-3</c:v>
                </c:pt>
                <c:pt idx="735">
                  <c:v>7.7029568253976111E-2</c:v>
                </c:pt>
                <c:pt idx="736">
                  <c:v>-8.2652473070885524E-3</c:v>
                </c:pt>
                <c:pt idx="737">
                  <c:v>-9.7068145839163122E-3</c:v>
                </c:pt>
                <c:pt idx="738">
                  <c:v>1.980198019801982E-2</c:v>
                </c:pt>
                <c:pt idx="739">
                  <c:v>-4.7572621359223133E-3</c:v>
                </c:pt>
                <c:pt idx="740">
                  <c:v>-9.8527166158869361E-3</c:v>
                </c:pt>
                <c:pt idx="741">
                  <c:v>-8.8666009852211847E-4</c:v>
                </c:pt>
                <c:pt idx="742">
                  <c:v>-1.9722413185192522E-3</c:v>
                </c:pt>
                <c:pt idx="743">
                  <c:v>1.7784804048857072E-3</c:v>
                </c:pt>
                <c:pt idx="744">
                  <c:v>-3.945172146613829E-3</c:v>
                </c:pt>
                <c:pt idx="745">
                  <c:v>-1.0298059417725769E-2</c:v>
                </c:pt>
              </c:numCache>
            </c:numRef>
          </c:yVal>
          <c:smooth val="0"/>
          <c:extLst>
            <c:ext xmlns:c16="http://schemas.microsoft.com/office/drawing/2014/chart" uri="{C3380CC4-5D6E-409C-BE32-E72D297353CC}">
              <c16:uniqueId val="{00000001-00B1-4743-B5A7-EFB846EFD509}"/>
            </c:ext>
          </c:extLst>
        </c:ser>
        <c:dLbls>
          <c:showLegendKey val="0"/>
          <c:showVal val="0"/>
          <c:showCatName val="0"/>
          <c:showSerName val="0"/>
          <c:showPercent val="0"/>
          <c:showBubbleSize val="0"/>
        </c:dLbls>
        <c:axId val="619883744"/>
        <c:axId val="619882104"/>
      </c:scatterChart>
      <c:valAx>
        <c:axId val="6198837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9882104"/>
        <c:crosses val="autoZero"/>
        <c:crossBetween val="midCat"/>
      </c:valAx>
      <c:valAx>
        <c:axId val="619882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9883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IFNC x IBOV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1"/>
          <c:order val="0"/>
          <c:tx>
            <c:v>IFNC x IBOV</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intercept val="0"/>
            <c:dispRSqr val="1"/>
            <c:dispEq val="1"/>
            <c:trendlineLbl>
              <c:layout>
                <c:manualLayout>
                  <c:x val="8.0802792947735153E-2"/>
                  <c:y val="-0.443213933518425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trendlineLbl>
          </c:trendline>
          <c:trendline>
            <c:spPr>
              <a:ln w="19050" cap="rnd">
                <a:solidFill>
                  <a:schemeClr val="accent2"/>
                </a:solidFill>
                <a:prstDash val="sysDot"/>
              </a:ln>
              <a:effectLst/>
            </c:spPr>
            <c:trendlineType val="linear"/>
            <c:intercept val="0"/>
            <c:dispRSqr val="0"/>
            <c:dispEq val="0"/>
          </c:trendline>
          <c:xVal>
            <c:numRef>
              <c:f>Ke!$O$23:$O$768</c:f>
              <c:numCache>
                <c:formatCode>0.00%</c:formatCode>
                <c:ptCount val="746"/>
                <c:pt idx="0">
                  <c:v>3.4163562120737012E-4</c:v>
                </c:pt>
                <c:pt idx="1">
                  <c:v>-2.7972027972027469E-3</c:v>
                </c:pt>
                <c:pt idx="2">
                  <c:v>5.3002381030031742E-4</c:v>
                </c:pt>
                <c:pt idx="3">
                  <c:v>-8.8833831835111177E-4</c:v>
                </c:pt>
                <c:pt idx="4">
                  <c:v>1.1746280344557603E-2</c:v>
                </c:pt>
                <c:pt idx="5">
                  <c:v>-8.4171826625386581E-3</c:v>
                </c:pt>
                <c:pt idx="6">
                  <c:v>8.1390054314240956E-3</c:v>
                </c:pt>
                <c:pt idx="7">
                  <c:v>3.048657542201294E-3</c:v>
                </c:pt>
                <c:pt idx="8">
                  <c:v>9.6006175271574623E-3</c:v>
                </c:pt>
                <c:pt idx="9">
                  <c:v>5.2165879532657389E-3</c:v>
                </c:pt>
                <c:pt idx="10">
                  <c:v>1.6249920770742277E-2</c:v>
                </c:pt>
                <c:pt idx="11">
                  <c:v>1.0400180872710774E-2</c:v>
                </c:pt>
                <c:pt idx="12">
                  <c:v>4.0508946690225311E-3</c:v>
                </c:pt>
                <c:pt idx="13">
                  <c:v>4.995158538647182E-3</c:v>
                </c:pt>
                <c:pt idx="14">
                  <c:v>-7.5625497033094957E-3</c:v>
                </c:pt>
                <c:pt idx="15">
                  <c:v>9.2459183123128064E-4</c:v>
                </c:pt>
                <c:pt idx="16">
                  <c:v>1.3009306657840725E-3</c:v>
                </c:pt>
                <c:pt idx="17">
                  <c:v>-4.8817614317783198E-3</c:v>
                </c:pt>
                <c:pt idx="18">
                  <c:v>5.9254795621170864E-3</c:v>
                </c:pt>
                <c:pt idx="19">
                  <c:v>-8.9856230031948314E-4</c:v>
                </c:pt>
                <c:pt idx="20">
                  <c:v>-6.3955231338063134E-3</c:v>
                </c:pt>
                <c:pt idx="21">
                  <c:v>-9.2991590527545798E-3</c:v>
                </c:pt>
                <c:pt idx="22">
                  <c:v>2.7175398455374644E-3</c:v>
                </c:pt>
                <c:pt idx="23">
                  <c:v>6.6975585062887255E-3</c:v>
                </c:pt>
                <c:pt idx="24">
                  <c:v>-3.8525509612037379E-3</c:v>
                </c:pt>
                <c:pt idx="25">
                  <c:v>-2.6326620951020452E-3</c:v>
                </c:pt>
                <c:pt idx="26">
                  <c:v>8.4560999159062344E-3</c:v>
                </c:pt>
                <c:pt idx="27">
                  <c:v>-1.7434408635359833E-2</c:v>
                </c:pt>
                <c:pt idx="28">
                  <c:v>1.3594643867480549E-3</c:v>
                </c:pt>
                <c:pt idx="29">
                  <c:v>-8.0044573841120403E-4</c:v>
                </c:pt>
                <c:pt idx="30">
                  <c:v>-4.123241731918581E-3</c:v>
                </c:pt>
                <c:pt idx="31">
                  <c:v>-8.958849229507404E-3</c:v>
                </c:pt>
                <c:pt idx="32">
                  <c:v>1.5565069310712554E-2</c:v>
                </c:pt>
                <c:pt idx="33">
                  <c:v>-5.5006190155302281E-3</c:v>
                </c:pt>
                <c:pt idx="34">
                  <c:v>-1.437913646391431E-2</c:v>
                </c:pt>
                <c:pt idx="35">
                  <c:v>1.5380310963667654E-2</c:v>
                </c:pt>
                <c:pt idx="36">
                  <c:v>-1.2525685133720099E-2</c:v>
                </c:pt>
                <c:pt idx="37">
                  <c:v>1.7268871384379825E-2</c:v>
                </c:pt>
                <c:pt idx="38">
                  <c:v>4.4986441368717323E-3</c:v>
                </c:pt>
                <c:pt idx="39">
                  <c:v>1.8647400287123972E-3</c:v>
                </c:pt>
                <c:pt idx="40">
                  <c:v>-7.3126854454975687E-3</c:v>
                </c:pt>
                <c:pt idx="41">
                  <c:v>-1.1830420183889245E-2</c:v>
                </c:pt>
                <c:pt idx="42">
                  <c:v>-1.2424579231502086E-2</c:v>
                </c:pt>
                <c:pt idx="43">
                  <c:v>8.0871417661481093E-3</c:v>
                </c:pt>
                <c:pt idx="44">
                  <c:v>4.2104927392923042E-3</c:v>
                </c:pt>
                <c:pt idx="45">
                  <c:v>1.7311342105472693E-3</c:v>
                </c:pt>
                <c:pt idx="46">
                  <c:v>-8.6724218570397582E-3</c:v>
                </c:pt>
                <c:pt idx="47">
                  <c:v>7.604775575156042E-3</c:v>
                </c:pt>
                <c:pt idx="48">
                  <c:v>-1.1047268340687588E-2</c:v>
                </c:pt>
                <c:pt idx="49">
                  <c:v>1.3433698199210253E-2</c:v>
                </c:pt>
                <c:pt idx="50">
                  <c:v>-4.8382243479087039E-3</c:v>
                </c:pt>
                <c:pt idx="51">
                  <c:v>-3.0825542072806855E-2</c:v>
                </c:pt>
                <c:pt idx="52">
                  <c:v>5.8702309504847783E-3</c:v>
                </c:pt>
                <c:pt idx="53">
                  <c:v>8.6600933755591747E-3</c:v>
                </c:pt>
                <c:pt idx="54">
                  <c:v>-1.4371606366880618E-2</c:v>
                </c:pt>
                <c:pt idx="55">
                  <c:v>-1.3792990205334643E-3</c:v>
                </c:pt>
                <c:pt idx="56">
                  <c:v>9.6766502511653751E-3</c:v>
                </c:pt>
                <c:pt idx="57">
                  <c:v>1.701815813044627E-3</c:v>
                </c:pt>
                <c:pt idx="58">
                  <c:v>-6.6412505385347043E-3</c:v>
                </c:pt>
                <c:pt idx="59">
                  <c:v>-1.1947431302270495E-3</c:v>
                </c:pt>
                <c:pt idx="60">
                  <c:v>-1.1101461624172471E-2</c:v>
                </c:pt>
                <c:pt idx="61">
                  <c:v>4.0844732023761487E-3</c:v>
                </c:pt>
                <c:pt idx="62">
                  <c:v>-1.6617984388666129E-2</c:v>
                </c:pt>
                <c:pt idx="63">
                  <c:v>-1.070649437825133E-2</c:v>
                </c:pt>
                <c:pt idx="64">
                  <c:v>-1.0695141810286302E-2</c:v>
                </c:pt>
                <c:pt idx="65">
                  <c:v>4.4751935392608466E-3</c:v>
                </c:pt>
                <c:pt idx="66">
                  <c:v>7.5790551785943627E-3</c:v>
                </c:pt>
                <c:pt idx="67">
                  <c:v>-4.9215183011021013E-3</c:v>
                </c:pt>
                <c:pt idx="68">
                  <c:v>2.3316194497412068E-2</c:v>
                </c:pt>
                <c:pt idx="69">
                  <c:v>5.0494547088035802E-3</c:v>
                </c:pt>
                <c:pt idx="70">
                  <c:v>-1.7331854524987977E-2</c:v>
                </c:pt>
                <c:pt idx="71">
                  <c:v>1.6458340352413892E-2</c:v>
                </c:pt>
                <c:pt idx="72">
                  <c:v>-7.7727506256318746E-3</c:v>
                </c:pt>
                <c:pt idx="73">
                  <c:v>-8.0090195423417887E-3</c:v>
                </c:pt>
                <c:pt idx="74">
                  <c:v>5.1775957434270214E-3</c:v>
                </c:pt>
                <c:pt idx="75">
                  <c:v>-2.2772957217997214E-2</c:v>
                </c:pt>
                <c:pt idx="76">
                  <c:v>2.1940913804776585E-3</c:v>
                </c:pt>
                <c:pt idx="77">
                  <c:v>8.0045838215045961E-3</c:v>
                </c:pt>
                <c:pt idx="78">
                  <c:v>-3.7804681468409873E-2</c:v>
                </c:pt>
                <c:pt idx="79">
                  <c:v>1.7176161462971518E-2</c:v>
                </c:pt>
                <c:pt idx="80">
                  <c:v>-9.3185738681182961E-3</c:v>
                </c:pt>
                <c:pt idx="81">
                  <c:v>1.85324536688658E-2</c:v>
                </c:pt>
                <c:pt idx="82">
                  <c:v>-1.9157417270884158E-3</c:v>
                </c:pt>
                <c:pt idx="83">
                  <c:v>-9.6229159673268949E-3</c:v>
                </c:pt>
                <c:pt idx="84">
                  <c:v>-1.1028740776791834E-2</c:v>
                </c:pt>
                <c:pt idx="85">
                  <c:v>-2.0695291491642842E-2</c:v>
                </c:pt>
                <c:pt idx="86">
                  <c:v>-2.3286282181283036E-2</c:v>
                </c:pt>
                <c:pt idx="87">
                  <c:v>1.2917570100327014E-2</c:v>
                </c:pt>
                <c:pt idx="88">
                  <c:v>1.8430839002267607E-2</c:v>
                </c:pt>
                <c:pt idx="89">
                  <c:v>1.5870753994406961E-2</c:v>
                </c:pt>
                <c:pt idx="90">
                  <c:v>-6.8470332444943161E-3</c:v>
                </c:pt>
                <c:pt idx="91">
                  <c:v>2.6482349514049819E-3</c:v>
                </c:pt>
                <c:pt idx="92">
                  <c:v>-3.0453500964052749E-2</c:v>
                </c:pt>
                <c:pt idx="93">
                  <c:v>8.9263012603972847E-3</c:v>
                </c:pt>
                <c:pt idx="94">
                  <c:v>-1.1520426255771099E-3</c:v>
                </c:pt>
                <c:pt idx="95">
                  <c:v>1.730958109191838E-2</c:v>
                </c:pt>
                <c:pt idx="96">
                  <c:v>-2.2205491585473913E-2</c:v>
                </c:pt>
                <c:pt idx="97">
                  <c:v>5.8880544962081061E-4</c:v>
                </c:pt>
                <c:pt idx="98">
                  <c:v>9.234279092504849E-4</c:v>
                </c:pt>
                <c:pt idx="99">
                  <c:v>2.2612156295220842E-4</c:v>
                </c:pt>
                <c:pt idx="100">
                  <c:v>2.0328254284034841E-2</c:v>
                </c:pt>
                <c:pt idx="101">
                  <c:v>-5.7873139950191943E-3</c:v>
                </c:pt>
                <c:pt idx="102">
                  <c:v>1.1374576573364159E-2</c:v>
                </c:pt>
                <c:pt idx="103">
                  <c:v>-2.3885911719080388E-3</c:v>
                </c:pt>
                <c:pt idx="104">
                  <c:v>1.2925741043424477E-2</c:v>
                </c:pt>
                <c:pt idx="105">
                  <c:v>-1.9189170330053962E-3</c:v>
                </c:pt>
                <c:pt idx="106">
                  <c:v>-3.2815394833432432E-2</c:v>
                </c:pt>
                <c:pt idx="107">
                  <c:v>1.0210259051439685E-3</c:v>
                </c:pt>
                <c:pt idx="108">
                  <c:v>-2.7539580813460196E-2</c:v>
                </c:pt>
                <c:pt idx="109">
                  <c:v>-1.3356847821042406E-2</c:v>
                </c:pt>
                <c:pt idx="110">
                  <c:v>2.2757206291864174E-2</c:v>
                </c:pt>
                <c:pt idx="111">
                  <c:v>-2.111024237685688E-2</c:v>
                </c:pt>
                <c:pt idx="112">
                  <c:v>-5.3561360646492417E-4</c:v>
                </c:pt>
                <c:pt idx="113">
                  <c:v>-6.1863617987457653E-3</c:v>
                </c:pt>
                <c:pt idx="114">
                  <c:v>-2.0850480109739333E-2</c:v>
                </c:pt>
                <c:pt idx="115">
                  <c:v>1.9806571917179605E-2</c:v>
                </c:pt>
                <c:pt idx="116">
                  <c:v>6.2529014410106498E-4</c:v>
                </c:pt>
                <c:pt idx="117">
                  <c:v>-2.0877320885842265E-2</c:v>
                </c:pt>
                <c:pt idx="118">
                  <c:v>1.3654121378563477E-2</c:v>
                </c:pt>
                <c:pt idx="119">
                  <c:v>-4.1021140196906281E-4</c:v>
                </c:pt>
                <c:pt idx="120">
                  <c:v>7.1959610998177936E-3</c:v>
                </c:pt>
                <c:pt idx="121">
                  <c:v>4.1029042497748858E-3</c:v>
                </c:pt>
                <c:pt idx="122">
                  <c:v>1.6580477125169857E-2</c:v>
                </c:pt>
                <c:pt idx="123">
                  <c:v>-1.3116732420515254E-2</c:v>
                </c:pt>
                <c:pt idx="124">
                  <c:v>-1.6968921664534564E-2</c:v>
                </c:pt>
                <c:pt idx="125">
                  <c:v>-1.4955792857963002E-2</c:v>
                </c:pt>
                <c:pt idx="126">
                  <c:v>-4.0895623876827658E-3</c:v>
                </c:pt>
                <c:pt idx="127">
                  <c:v>4.984198821739394E-3</c:v>
                </c:pt>
                <c:pt idx="128">
                  <c:v>-8.8610666278449157E-3</c:v>
                </c:pt>
                <c:pt idx="129">
                  <c:v>1.5089794559448588E-2</c:v>
                </c:pt>
                <c:pt idx="130">
                  <c:v>8.2092935763000696E-3</c:v>
                </c:pt>
                <c:pt idx="131">
                  <c:v>1.2409820693878304E-2</c:v>
                </c:pt>
                <c:pt idx="132">
                  <c:v>-3.3900067100773978E-2</c:v>
                </c:pt>
                <c:pt idx="133">
                  <c:v>5.7716387541086878E-3</c:v>
                </c:pt>
                <c:pt idx="134">
                  <c:v>-8.7439453770886688E-3</c:v>
                </c:pt>
                <c:pt idx="135">
                  <c:v>-1.1185792081636614E-2</c:v>
                </c:pt>
                <c:pt idx="136">
                  <c:v>3.6626147357975647E-2</c:v>
                </c:pt>
                <c:pt idx="137">
                  <c:v>5.7817854612984831E-3</c:v>
                </c:pt>
                <c:pt idx="138">
                  <c:v>1.7026744075378408E-2</c:v>
                </c:pt>
                <c:pt idx="139">
                  <c:v>6.5413301640480093E-3</c:v>
                </c:pt>
                <c:pt idx="140">
                  <c:v>5.0019524349653732E-3</c:v>
                </c:pt>
                <c:pt idx="141">
                  <c:v>-1.6698120189461263E-2</c:v>
                </c:pt>
                <c:pt idx="142">
                  <c:v>1.3801732978333092E-2</c:v>
                </c:pt>
                <c:pt idx="143">
                  <c:v>-3.4800200449154328E-3</c:v>
                </c:pt>
                <c:pt idx="144">
                  <c:v>-5.8016632055353234E-3</c:v>
                </c:pt>
                <c:pt idx="145">
                  <c:v>5.7137504683402174E-3</c:v>
                </c:pt>
                <c:pt idx="146">
                  <c:v>7.8420415386049047E-3</c:v>
                </c:pt>
                <c:pt idx="147">
                  <c:v>-9.3427715964957692E-3</c:v>
                </c:pt>
                <c:pt idx="148">
                  <c:v>-2.0344959468661661E-2</c:v>
                </c:pt>
                <c:pt idx="149">
                  <c:v>4.57055798895456E-3</c:v>
                </c:pt>
                <c:pt idx="150">
                  <c:v>-2.4265402843601791E-3</c:v>
                </c:pt>
                <c:pt idx="151">
                  <c:v>-3.3541104481015216E-3</c:v>
                </c:pt>
                <c:pt idx="152">
                  <c:v>6.1015721081885133E-3</c:v>
                </c:pt>
                <c:pt idx="153">
                  <c:v>-6.3204176971695114E-3</c:v>
                </c:pt>
                <c:pt idx="154">
                  <c:v>-7.2188739700945748E-3</c:v>
                </c:pt>
                <c:pt idx="155">
                  <c:v>6.8679339525681282E-3</c:v>
                </c:pt>
                <c:pt idx="156">
                  <c:v>-8.585983858350299E-3</c:v>
                </c:pt>
                <c:pt idx="157">
                  <c:v>-3.9260214391563242E-3</c:v>
                </c:pt>
                <c:pt idx="158">
                  <c:v>-2.4228606758506133E-2</c:v>
                </c:pt>
                <c:pt idx="159">
                  <c:v>5.4947230857573803E-3</c:v>
                </c:pt>
                <c:pt idx="160">
                  <c:v>1.1402014552830408E-2</c:v>
                </c:pt>
                <c:pt idx="161">
                  <c:v>-7.5351200848917665E-3</c:v>
                </c:pt>
                <c:pt idx="162">
                  <c:v>1.7990092697042437E-2</c:v>
                </c:pt>
                <c:pt idx="163">
                  <c:v>1.8375586583027292E-2</c:v>
                </c:pt>
                <c:pt idx="164">
                  <c:v>-1.476070624302217E-3</c:v>
                </c:pt>
                <c:pt idx="165">
                  <c:v>1.3247417795887451E-2</c:v>
                </c:pt>
                <c:pt idx="166">
                  <c:v>-2.2070926230735033E-3</c:v>
                </c:pt>
                <c:pt idx="167">
                  <c:v>-1.5933715742511012E-3</c:v>
                </c:pt>
                <c:pt idx="168">
                  <c:v>1.3997108578509554E-2</c:v>
                </c:pt>
                <c:pt idx="169">
                  <c:v>1.0082119744845519E-2</c:v>
                </c:pt>
                <c:pt idx="170">
                  <c:v>-1.466517570713699E-3</c:v>
                </c:pt>
                <c:pt idx="171">
                  <c:v>-1.0923243560793772E-2</c:v>
                </c:pt>
                <c:pt idx="172">
                  <c:v>1.9424233424901516E-2</c:v>
                </c:pt>
                <c:pt idx="173">
                  <c:v>1.5731257681278255E-2</c:v>
                </c:pt>
                <c:pt idx="174">
                  <c:v>6.6503544764413558E-3</c:v>
                </c:pt>
                <c:pt idx="175">
                  <c:v>-7.4522548190357751E-3</c:v>
                </c:pt>
                <c:pt idx="176">
                  <c:v>8.1630456233516835E-3</c:v>
                </c:pt>
                <c:pt idx="177">
                  <c:v>6.7533900416414383E-3</c:v>
                </c:pt>
                <c:pt idx="178">
                  <c:v>-8.7143273794267895E-3</c:v>
                </c:pt>
                <c:pt idx="179">
                  <c:v>-4.1458260892823784E-3</c:v>
                </c:pt>
                <c:pt idx="180">
                  <c:v>4.9151267726685877E-3</c:v>
                </c:pt>
                <c:pt idx="181">
                  <c:v>-2.2183616196712608E-3</c:v>
                </c:pt>
                <c:pt idx="182">
                  <c:v>2.1250758955677629E-3</c:v>
                </c:pt>
                <c:pt idx="183">
                  <c:v>2.0225600085534978E-3</c:v>
                </c:pt>
                <c:pt idx="184">
                  <c:v>7.9849903522108967E-3</c:v>
                </c:pt>
                <c:pt idx="185">
                  <c:v>1.8789862295891524E-3</c:v>
                </c:pt>
                <c:pt idx="186">
                  <c:v>2.0691719790089103E-3</c:v>
                </c:pt>
                <c:pt idx="187">
                  <c:v>7.4951452898328608E-3</c:v>
                </c:pt>
                <c:pt idx="188">
                  <c:v>4.5438688295831309E-3</c:v>
                </c:pt>
                <c:pt idx="189">
                  <c:v>-1.4351325305388962E-2</c:v>
                </c:pt>
                <c:pt idx="190">
                  <c:v>-6.6943837643577142E-3</c:v>
                </c:pt>
                <c:pt idx="191">
                  <c:v>-9.2490777525539025E-3</c:v>
                </c:pt>
                <c:pt idx="192">
                  <c:v>1.0445289773998612E-2</c:v>
                </c:pt>
                <c:pt idx="193">
                  <c:v>-7.8304928604330248E-3</c:v>
                </c:pt>
                <c:pt idx="194">
                  <c:v>-3.71402042711233E-3</c:v>
                </c:pt>
                <c:pt idx="195">
                  <c:v>1.3889884579539657E-2</c:v>
                </c:pt>
                <c:pt idx="196">
                  <c:v>1.7959732018171914E-2</c:v>
                </c:pt>
                <c:pt idx="197">
                  <c:v>-6.946012120789824E-5</c:v>
                </c:pt>
                <c:pt idx="198">
                  <c:v>-6.0087178507545191E-3</c:v>
                </c:pt>
                <c:pt idx="199">
                  <c:v>-2.5167286894840712E-2</c:v>
                </c:pt>
                <c:pt idx="200">
                  <c:v>-3.494842866488046E-3</c:v>
                </c:pt>
                <c:pt idx="201">
                  <c:v>2.4252942816290979E-2</c:v>
                </c:pt>
                <c:pt idx="202">
                  <c:v>-2.0807726075504629E-3</c:v>
                </c:pt>
                <c:pt idx="203">
                  <c:v>-1.7155978638607072E-2</c:v>
                </c:pt>
                <c:pt idx="204">
                  <c:v>-1.5978444764709554E-2</c:v>
                </c:pt>
                <c:pt idx="205">
                  <c:v>-8.8148606360526349E-3</c:v>
                </c:pt>
                <c:pt idx="206">
                  <c:v>1.9759726135518907E-2</c:v>
                </c:pt>
                <c:pt idx="207">
                  <c:v>1.7675858593131144E-2</c:v>
                </c:pt>
                <c:pt idx="208">
                  <c:v>1.9765467473203957E-2</c:v>
                </c:pt>
                <c:pt idx="209">
                  <c:v>7.319336403291965E-3</c:v>
                </c:pt>
                <c:pt idx="210">
                  <c:v>9.6164607636348709E-3</c:v>
                </c:pt>
                <c:pt idx="211">
                  <c:v>1.5775291629716026E-3</c:v>
                </c:pt>
                <c:pt idx="212">
                  <c:v>1.3587951335382265E-2</c:v>
                </c:pt>
                <c:pt idx="213">
                  <c:v>2.3518936944055824E-4</c:v>
                </c:pt>
                <c:pt idx="214">
                  <c:v>-2.8803923379884244E-3</c:v>
                </c:pt>
                <c:pt idx="215">
                  <c:v>1.0746349104751696E-2</c:v>
                </c:pt>
                <c:pt idx="216">
                  <c:v>2.0497608612328744E-3</c:v>
                </c:pt>
                <c:pt idx="217">
                  <c:v>-2.1702976883418712E-3</c:v>
                </c:pt>
                <c:pt idx="218">
                  <c:v>1.3091775764798141E-2</c:v>
                </c:pt>
                <c:pt idx="219">
                  <c:v>-2.3854569383894297E-3</c:v>
                </c:pt>
                <c:pt idx="220">
                  <c:v>-1.9747691292876013E-2</c:v>
                </c:pt>
                <c:pt idx="221">
                  <c:v>-5.5263489927240839E-3</c:v>
                </c:pt>
                <c:pt idx="222">
                  <c:v>5.3625198768481042E-3</c:v>
                </c:pt>
                <c:pt idx="223">
                  <c:v>-4.5430835759115995E-3</c:v>
                </c:pt>
                <c:pt idx="224">
                  <c:v>-1.1570122208887645E-2</c:v>
                </c:pt>
                <c:pt idx="225">
                  <c:v>-6.891657332432688E-3</c:v>
                </c:pt>
                <c:pt idx="226">
                  <c:v>5.4672096567280892E-3</c:v>
                </c:pt>
                <c:pt idx="227">
                  <c:v>-5.1377780822386976E-3</c:v>
                </c:pt>
                <c:pt idx="228">
                  <c:v>-4.2605567127438349E-3</c:v>
                </c:pt>
                <c:pt idx="229">
                  <c:v>-5.445728560685259E-3</c:v>
                </c:pt>
                <c:pt idx="230">
                  <c:v>-6.1969284789278323E-3</c:v>
                </c:pt>
                <c:pt idx="231">
                  <c:v>-2.8562932904218852E-2</c:v>
                </c:pt>
                <c:pt idx="232">
                  <c:v>-3.5380543401933862E-3</c:v>
                </c:pt>
                <c:pt idx="233">
                  <c:v>-2.2333649546008916E-2</c:v>
                </c:pt>
                <c:pt idx="234">
                  <c:v>1.0497814495485702E-2</c:v>
                </c:pt>
                <c:pt idx="235">
                  <c:v>5.2126676970067898E-3</c:v>
                </c:pt>
                <c:pt idx="236">
                  <c:v>-1.8586413631856202E-2</c:v>
                </c:pt>
                <c:pt idx="237">
                  <c:v>-1.1466869368534249E-2</c:v>
                </c:pt>
                <c:pt idx="238">
                  <c:v>-1.0408949821359981E-3</c:v>
                </c:pt>
                <c:pt idx="239">
                  <c:v>1.7047161309702519E-2</c:v>
                </c:pt>
                <c:pt idx="240">
                  <c:v>-2.8058775751310661E-2</c:v>
                </c:pt>
                <c:pt idx="241">
                  <c:v>-1.604877307604613E-3</c:v>
                </c:pt>
                <c:pt idx="242">
                  <c:v>-1.7929328958006363E-2</c:v>
                </c:pt>
                <c:pt idx="243">
                  <c:v>-1.3559322033898091E-3</c:v>
                </c:pt>
                <c:pt idx="244">
                  <c:v>1.2481815536805385E-2</c:v>
                </c:pt>
                <c:pt idx="245">
                  <c:v>1.2366255735318132E-2</c:v>
                </c:pt>
                <c:pt idx="246">
                  <c:v>1.1694799788055432E-2</c:v>
                </c:pt>
                <c:pt idx="247">
                  <c:v>1.2242340353896264E-2</c:v>
                </c:pt>
                <c:pt idx="248">
                  <c:v>5.137065405190544E-3</c:v>
                </c:pt>
                <c:pt idx="249">
                  <c:v>-2.3366332993225436E-2</c:v>
                </c:pt>
                <c:pt idx="250">
                  <c:v>7.1343190866566264E-3</c:v>
                </c:pt>
                <c:pt idx="251">
                  <c:v>1.3859165459557898E-2</c:v>
                </c:pt>
                <c:pt idx="252">
                  <c:v>1.7126318118132922E-2</c:v>
                </c:pt>
                <c:pt idx="253">
                  <c:v>2.1296648723108103E-3</c:v>
                </c:pt>
                <c:pt idx="254">
                  <c:v>-9.043144844067541E-6</c:v>
                </c:pt>
                <c:pt idx="255">
                  <c:v>1.1846626876469424E-2</c:v>
                </c:pt>
                <c:pt idx="256">
                  <c:v>4.6474215747616121E-4</c:v>
                </c:pt>
                <c:pt idx="257">
                  <c:v>-8.1292097693448362E-3</c:v>
                </c:pt>
                <c:pt idx="258">
                  <c:v>2.8730456084731237E-3</c:v>
                </c:pt>
                <c:pt idx="259">
                  <c:v>8.0825497750458553E-5</c:v>
                </c:pt>
                <c:pt idx="260">
                  <c:v>9.2762212643677788E-3</c:v>
                </c:pt>
                <c:pt idx="261">
                  <c:v>-1.1486480474762639E-2</c:v>
                </c:pt>
                <c:pt idx="262">
                  <c:v>-8.2446760634371508E-3</c:v>
                </c:pt>
                <c:pt idx="263">
                  <c:v>-1.0527653240883783E-3</c:v>
                </c:pt>
                <c:pt idx="264">
                  <c:v>-1.5462887253565927E-2</c:v>
                </c:pt>
                <c:pt idx="265">
                  <c:v>-1.1756238003838737E-2</c:v>
                </c:pt>
                <c:pt idx="266">
                  <c:v>-1.5061534726501957E-2</c:v>
                </c:pt>
                <c:pt idx="267">
                  <c:v>-2.7331936557294711E-2</c:v>
                </c:pt>
                <c:pt idx="268">
                  <c:v>-5.2145265989590461E-3</c:v>
                </c:pt>
                <c:pt idx="269">
                  <c:v>7.2896152376473733E-3</c:v>
                </c:pt>
                <c:pt idx="270">
                  <c:v>-2.9005806997577932E-2</c:v>
                </c:pt>
                <c:pt idx="271">
                  <c:v>2.8049085900327952E-4</c:v>
                </c:pt>
                <c:pt idx="272">
                  <c:v>-1.6824732356564009E-3</c:v>
                </c:pt>
                <c:pt idx="273">
                  <c:v>-1.635150724783041E-3</c:v>
                </c:pt>
                <c:pt idx="274">
                  <c:v>-1.4489258656377513E-2</c:v>
                </c:pt>
                <c:pt idx="275">
                  <c:v>6.0358890701468493E-3</c:v>
                </c:pt>
                <c:pt idx="276">
                  <c:v>2.1201556672612254E-2</c:v>
                </c:pt>
                <c:pt idx="277">
                  <c:v>-1.716883013774706E-3</c:v>
                </c:pt>
                <c:pt idx="278">
                  <c:v>-9.6330685647821879E-3</c:v>
                </c:pt>
                <c:pt idx="279">
                  <c:v>-1.0840978900242937E-2</c:v>
                </c:pt>
                <c:pt idx="280">
                  <c:v>4.1809583730794131E-3</c:v>
                </c:pt>
                <c:pt idx="281">
                  <c:v>-3.4864684600925955E-3</c:v>
                </c:pt>
                <c:pt idx="282">
                  <c:v>-3.184293522903614E-3</c:v>
                </c:pt>
                <c:pt idx="283">
                  <c:v>4.3135459585941227E-3</c:v>
                </c:pt>
                <c:pt idx="284">
                  <c:v>2.0370951893759148E-2</c:v>
                </c:pt>
                <c:pt idx="285">
                  <c:v>-4.3780403057679385E-3</c:v>
                </c:pt>
                <c:pt idx="286">
                  <c:v>-2.0710147673224433E-2</c:v>
                </c:pt>
                <c:pt idx="287">
                  <c:v>6.0074125361464503E-4</c:v>
                </c:pt>
                <c:pt idx="288">
                  <c:v>-3.9686173947552916E-3</c:v>
                </c:pt>
                <c:pt idx="289">
                  <c:v>-1.7981017766471541E-2</c:v>
                </c:pt>
                <c:pt idx="290">
                  <c:v>4.4735281572185759E-3</c:v>
                </c:pt>
                <c:pt idx="291">
                  <c:v>3.7803854957483285E-3</c:v>
                </c:pt>
                <c:pt idx="292">
                  <c:v>1.3712906021709603E-2</c:v>
                </c:pt>
                <c:pt idx="293">
                  <c:v>4.2750267189162194E-4</c:v>
                </c:pt>
                <c:pt idx="294">
                  <c:v>7.5900169910567694E-3</c:v>
                </c:pt>
                <c:pt idx="295">
                  <c:v>-1.0905455757171945E-3</c:v>
                </c:pt>
                <c:pt idx="296">
                  <c:v>1.3596158706090433E-2</c:v>
                </c:pt>
                <c:pt idx="297">
                  <c:v>-4.9665902064426337E-3</c:v>
                </c:pt>
                <c:pt idx="298">
                  <c:v>1.6698071603255427E-2</c:v>
                </c:pt>
                <c:pt idx="299">
                  <c:v>1.1425698456199784E-2</c:v>
                </c:pt>
                <c:pt idx="300">
                  <c:v>5.5362242560699215E-3</c:v>
                </c:pt>
                <c:pt idx="301">
                  <c:v>-9.1116173120728838E-3</c:v>
                </c:pt>
                <c:pt idx="302">
                  <c:v>1.1122523844460774E-2</c:v>
                </c:pt>
                <c:pt idx="303">
                  <c:v>3.9956657185427069E-3</c:v>
                </c:pt>
                <c:pt idx="304">
                  <c:v>2.039990363767763E-2</c:v>
                </c:pt>
                <c:pt idx="305">
                  <c:v>5.477278736826241E-3</c:v>
                </c:pt>
                <c:pt idx="306">
                  <c:v>1.8126831467428106E-2</c:v>
                </c:pt>
                <c:pt idx="307">
                  <c:v>2.2970055903026587E-3</c:v>
                </c:pt>
                <c:pt idx="308">
                  <c:v>1.4587992747420619E-2</c:v>
                </c:pt>
                <c:pt idx="309">
                  <c:v>-4.6990093980188163E-3</c:v>
                </c:pt>
                <c:pt idx="310">
                  <c:v>2.7762080971217129E-2</c:v>
                </c:pt>
                <c:pt idx="311">
                  <c:v>2.3766450285551688E-3</c:v>
                </c:pt>
                <c:pt idx="312">
                  <c:v>4.2465850378654579E-3</c:v>
                </c:pt>
                <c:pt idx="313">
                  <c:v>1.7266896891958705E-3</c:v>
                </c:pt>
                <c:pt idx="314">
                  <c:v>9.2341787737004744E-4</c:v>
                </c:pt>
                <c:pt idx="315">
                  <c:v>-2.0357955593824917E-2</c:v>
                </c:pt>
                <c:pt idx="316">
                  <c:v>-8.9240869627610353E-3</c:v>
                </c:pt>
                <c:pt idx="317">
                  <c:v>2.1321074017429664E-2</c:v>
                </c:pt>
                <c:pt idx="318">
                  <c:v>3.632915991031993E-4</c:v>
                </c:pt>
                <c:pt idx="319">
                  <c:v>5.6156884975819832E-3</c:v>
                </c:pt>
                <c:pt idx="320">
                  <c:v>-1.0860374167635523E-2</c:v>
                </c:pt>
                <c:pt idx="321">
                  <c:v>2.1371517110568838E-4</c:v>
                </c:pt>
                <c:pt idx="322">
                  <c:v>-1.6844279444103161E-2</c:v>
                </c:pt>
                <c:pt idx="323">
                  <c:v>-8.2223288750441492E-3</c:v>
                </c:pt>
                <c:pt idx="324">
                  <c:v>8.0531030011961047E-3</c:v>
                </c:pt>
                <c:pt idx="325">
                  <c:v>4.1574204066845422E-3</c:v>
                </c:pt>
                <c:pt idx="326">
                  <c:v>1.2077861163227066E-2</c:v>
                </c:pt>
                <c:pt idx="327">
                  <c:v>-2.1737386700890315E-2</c:v>
                </c:pt>
                <c:pt idx="328">
                  <c:v>1.3847891840677029E-3</c:v>
                </c:pt>
                <c:pt idx="329">
                  <c:v>2.1689290003275241E-2</c:v>
                </c:pt>
                <c:pt idx="330">
                  <c:v>9.8575244879786084E-3</c:v>
                </c:pt>
                <c:pt idx="331">
                  <c:v>-2.3040905764194486E-2</c:v>
                </c:pt>
                <c:pt idx="332">
                  <c:v>-2.2293626008628165E-3</c:v>
                </c:pt>
                <c:pt idx="333">
                  <c:v>-5.3642342171202895E-3</c:v>
                </c:pt>
                <c:pt idx="334">
                  <c:v>-6.1298361132837709E-3</c:v>
                </c:pt>
                <c:pt idx="335">
                  <c:v>2.3279648609077608E-2</c:v>
                </c:pt>
                <c:pt idx="336">
                  <c:v>6.1972385176707334E-3</c:v>
                </c:pt>
                <c:pt idx="337">
                  <c:v>-5.1636641574162034E-3</c:v>
                </c:pt>
                <c:pt idx="338">
                  <c:v>1.906446540880502E-2</c:v>
                </c:pt>
                <c:pt idx="339">
                  <c:v>-2.0636451301832226E-2</c:v>
                </c:pt>
                <c:pt idx="340">
                  <c:v>-2.3291202692541813E-2</c:v>
                </c:pt>
                <c:pt idx="341">
                  <c:v>-6.7635683780266076E-3</c:v>
                </c:pt>
                <c:pt idx="342">
                  <c:v>6.9203513693061325E-4</c:v>
                </c:pt>
                <c:pt idx="343">
                  <c:v>-7.2567334556620233E-3</c:v>
                </c:pt>
                <c:pt idx="344">
                  <c:v>2.2040793580026641E-2</c:v>
                </c:pt>
                <c:pt idx="345">
                  <c:v>5.5408635277224949E-2</c:v>
                </c:pt>
                <c:pt idx="346">
                  <c:v>8.2663130521631878E-4</c:v>
                </c:pt>
                <c:pt idx="347">
                  <c:v>8.3283145487396126E-3</c:v>
                </c:pt>
                <c:pt idx="348">
                  <c:v>3.0973224799057952E-3</c:v>
                </c:pt>
                <c:pt idx="349">
                  <c:v>-1.0088379649713763E-2</c:v>
                </c:pt>
                <c:pt idx="350">
                  <c:v>-3.7293233082706934E-3</c:v>
                </c:pt>
                <c:pt idx="351">
                  <c:v>-9.6083352739755323E-3</c:v>
                </c:pt>
                <c:pt idx="352">
                  <c:v>-4.5895129194353235E-3</c:v>
                </c:pt>
                <c:pt idx="353">
                  <c:v>-1.9492563429571286E-2</c:v>
                </c:pt>
                <c:pt idx="354">
                  <c:v>1.3848240416874935E-2</c:v>
                </c:pt>
                <c:pt idx="355">
                  <c:v>1.8649229036119097E-2</c:v>
                </c:pt>
                <c:pt idx="356">
                  <c:v>4.5877504471112385E-3</c:v>
                </c:pt>
                <c:pt idx="357">
                  <c:v>7.7145363537849398E-3</c:v>
                </c:pt>
                <c:pt idx="358">
                  <c:v>2.353824751858391E-2</c:v>
                </c:pt>
                <c:pt idx="359">
                  <c:v>-3.265265281958496E-2</c:v>
                </c:pt>
                <c:pt idx="360">
                  <c:v>-1.1955556704852044E-2</c:v>
                </c:pt>
                <c:pt idx="361">
                  <c:v>-1.624413309371342E-2</c:v>
                </c:pt>
                <c:pt idx="362">
                  <c:v>1.66453832783513E-2</c:v>
                </c:pt>
                <c:pt idx="363">
                  <c:v>-8.8973403930525663E-4</c:v>
                </c:pt>
                <c:pt idx="364">
                  <c:v>1.3078514741703628E-2</c:v>
                </c:pt>
                <c:pt idx="365">
                  <c:v>7.6872032196626527E-3</c:v>
                </c:pt>
                <c:pt idx="366">
                  <c:v>-2.8222254530529955E-4</c:v>
                </c:pt>
                <c:pt idx="367">
                  <c:v>1.0770257322748389E-2</c:v>
                </c:pt>
                <c:pt idx="368">
                  <c:v>-2.3807710211163347E-2</c:v>
                </c:pt>
                <c:pt idx="369">
                  <c:v>7.0919526278372391E-3</c:v>
                </c:pt>
                <c:pt idx="370">
                  <c:v>-2.2210743801652888E-2</c:v>
                </c:pt>
                <c:pt idx="371">
                  <c:v>-3.3500616305687569E-2</c:v>
                </c:pt>
                <c:pt idx="372">
                  <c:v>2.2573445684354265E-2</c:v>
                </c:pt>
                <c:pt idx="373">
                  <c:v>8.0888706760620099E-3</c:v>
                </c:pt>
                <c:pt idx="374">
                  <c:v>-2.5786269120986915E-2</c:v>
                </c:pt>
                <c:pt idx="375">
                  <c:v>-4.8982701849550336E-3</c:v>
                </c:pt>
                <c:pt idx="376">
                  <c:v>-7.5020737810269633E-3</c:v>
                </c:pt>
                <c:pt idx="377">
                  <c:v>7.9720793534165946E-3</c:v>
                </c:pt>
                <c:pt idx="378">
                  <c:v>-6.4784779677078408E-3</c:v>
                </c:pt>
                <c:pt idx="379">
                  <c:v>-3.2466043636564246E-3</c:v>
                </c:pt>
                <c:pt idx="380">
                  <c:v>2.8964971522685179E-2</c:v>
                </c:pt>
                <c:pt idx="381">
                  <c:v>-2.5520651697650942E-2</c:v>
                </c:pt>
                <c:pt idx="382">
                  <c:v>-1.7893683988364772E-3</c:v>
                </c:pt>
                <c:pt idx="383">
                  <c:v>1.9562059899615791E-2</c:v>
                </c:pt>
                <c:pt idx="384">
                  <c:v>1.4209719592462422E-2</c:v>
                </c:pt>
                <c:pt idx="385">
                  <c:v>-1.3868392511068084E-2</c:v>
                </c:pt>
                <c:pt idx="386">
                  <c:v>8.9969889836467587E-3</c:v>
                </c:pt>
                <c:pt idx="387">
                  <c:v>-2.2542082127157692E-2</c:v>
                </c:pt>
                <c:pt idx="388">
                  <c:v>1.2065703238544057E-3</c:v>
                </c:pt>
                <c:pt idx="389">
                  <c:v>-1.5703030137036444E-3</c:v>
                </c:pt>
                <c:pt idx="390">
                  <c:v>-1.9348762355867244E-2</c:v>
                </c:pt>
                <c:pt idx="391">
                  <c:v>4.1400531493309689E-3</c:v>
                </c:pt>
                <c:pt idx="392">
                  <c:v>-2.2518548783998393E-2</c:v>
                </c:pt>
                <c:pt idx="393">
                  <c:v>-1.3033895728834177E-2</c:v>
                </c:pt>
                <c:pt idx="394">
                  <c:v>-8.566588380241047E-4</c:v>
                </c:pt>
                <c:pt idx="395">
                  <c:v>-6.261861410556957E-4</c:v>
                </c:pt>
                <c:pt idx="396">
                  <c:v>-8.8010179490639606E-3</c:v>
                </c:pt>
                <c:pt idx="397">
                  <c:v>1.6581570629710773E-2</c:v>
                </c:pt>
                <c:pt idx="398">
                  <c:v>2.3428680761503839E-2</c:v>
                </c:pt>
                <c:pt idx="399">
                  <c:v>3.1221080772863008E-3</c:v>
                </c:pt>
                <c:pt idx="400">
                  <c:v>3.7274141995835564E-5</c:v>
                </c:pt>
                <c:pt idx="401">
                  <c:v>2.2186606036322276E-2</c:v>
                </c:pt>
                <c:pt idx="402">
                  <c:v>-8.7512990209483998E-3</c:v>
                </c:pt>
                <c:pt idx="403">
                  <c:v>-3.5957990766797288E-3</c:v>
                </c:pt>
                <c:pt idx="404">
                  <c:v>1.744395322436243E-2</c:v>
                </c:pt>
                <c:pt idx="405">
                  <c:v>-1.8687010713281937E-3</c:v>
                </c:pt>
                <c:pt idx="406">
                  <c:v>-3.3217911315901905E-2</c:v>
                </c:pt>
                <c:pt idx="407">
                  <c:v>-2.0775362863803881E-2</c:v>
                </c:pt>
                <c:pt idx="408">
                  <c:v>1.1212871762379173E-2</c:v>
                </c:pt>
                <c:pt idx="409">
                  <c:v>2.0734045987050642E-2</c:v>
                </c:pt>
                <c:pt idx="410">
                  <c:v>1.2258412544876141E-2</c:v>
                </c:pt>
                <c:pt idx="411">
                  <c:v>3.5925612848690669E-3</c:v>
                </c:pt>
                <c:pt idx="412">
                  <c:v>1.542658866397506E-2</c:v>
                </c:pt>
                <c:pt idx="413">
                  <c:v>7.6727495672244128E-3</c:v>
                </c:pt>
                <c:pt idx="414">
                  <c:v>1.0200155686586054E-3</c:v>
                </c:pt>
                <c:pt idx="415">
                  <c:v>-8.5897905735763391E-3</c:v>
                </c:pt>
                <c:pt idx="416">
                  <c:v>-1.5353961556493156E-2</c:v>
                </c:pt>
                <c:pt idx="417">
                  <c:v>2.0382188933551815E-2</c:v>
                </c:pt>
                <c:pt idx="418">
                  <c:v>9.0901748938880811E-3</c:v>
                </c:pt>
                <c:pt idx="419">
                  <c:v>4.9265464375911616E-3</c:v>
                </c:pt>
                <c:pt idx="420">
                  <c:v>-6.238606799638946E-3</c:v>
                </c:pt>
                <c:pt idx="421">
                  <c:v>-5.271547003143362E-3</c:v>
                </c:pt>
                <c:pt idx="422">
                  <c:v>1.1807464036022175E-2</c:v>
                </c:pt>
                <c:pt idx="423">
                  <c:v>1.0324875252149868E-2</c:v>
                </c:pt>
                <c:pt idx="424">
                  <c:v>-7.5309777135601497E-4</c:v>
                </c:pt>
                <c:pt idx="425">
                  <c:v>-1.4083025878765087E-2</c:v>
                </c:pt>
                <c:pt idx="426">
                  <c:v>-5.4576807523422088E-3</c:v>
                </c:pt>
                <c:pt idx="427">
                  <c:v>1.4693264693264707E-2</c:v>
                </c:pt>
                <c:pt idx="428">
                  <c:v>-1.0825141810238526E-2</c:v>
                </c:pt>
                <c:pt idx="429">
                  <c:v>-2.1085812489425981E-2</c:v>
                </c:pt>
                <c:pt idx="430">
                  <c:v>-1.3144130622640637E-2</c:v>
                </c:pt>
                <c:pt idx="431">
                  <c:v>-3.1339293944143698E-4</c:v>
                </c:pt>
                <c:pt idx="432">
                  <c:v>-4.9420963339972257E-3</c:v>
                </c:pt>
                <c:pt idx="433">
                  <c:v>1.8180133432172063E-2</c:v>
                </c:pt>
                <c:pt idx="434">
                  <c:v>-1.9102309750459567E-2</c:v>
                </c:pt>
                <c:pt idx="435">
                  <c:v>3.4049896551404668E-3</c:v>
                </c:pt>
                <c:pt idx="436">
                  <c:v>6.4355062413314901E-3</c:v>
                </c:pt>
                <c:pt idx="437">
                  <c:v>-1.090531576723075E-2</c:v>
                </c:pt>
                <c:pt idx="438">
                  <c:v>1.6561550822504323E-2</c:v>
                </c:pt>
                <c:pt idx="439">
                  <c:v>4.2305513422635777E-3</c:v>
                </c:pt>
                <c:pt idx="440">
                  <c:v>-5.4774578044675115E-3</c:v>
                </c:pt>
                <c:pt idx="441">
                  <c:v>-1.9679240277028054E-2</c:v>
                </c:pt>
                <c:pt idx="442">
                  <c:v>5.3008809914887323E-3</c:v>
                </c:pt>
                <c:pt idx="443">
                  <c:v>-1.7146305235796522E-2</c:v>
                </c:pt>
                <c:pt idx="444">
                  <c:v>-1.5301351619393389E-3</c:v>
                </c:pt>
                <c:pt idx="445">
                  <c:v>-7.3691479600042076E-3</c:v>
                </c:pt>
                <c:pt idx="446">
                  <c:v>-5.2128997827164403E-3</c:v>
                </c:pt>
                <c:pt idx="447">
                  <c:v>-1.0145135795372906E-2</c:v>
                </c:pt>
                <c:pt idx="448">
                  <c:v>5.2261773416177881E-3</c:v>
                </c:pt>
                <c:pt idx="449">
                  <c:v>8.0295765698110699E-3</c:v>
                </c:pt>
                <c:pt idx="450">
                  <c:v>-4.5081184336198676E-3</c:v>
                </c:pt>
                <c:pt idx="451">
                  <c:v>2.218213915646472E-2</c:v>
                </c:pt>
                <c:pt idx="452">
                  <c:v>-1.3788248545147375E-2</c:v>
                </c:pt>
                <c:pt idx="453">
                  <c:v>-1.3828744372852642E-2</c:v>
                </c:pt>
                <c:pt idx="454">
                  <c:v>-4.7964639348375693E-3</c:v>
                </c:pt>
                <c:pt idx="455">
                  <c:v>-1.8327983630880285E-3</c:v>
                </c:pt>
                <c:pt idx="456">
                  <c:v>-2.4967939999223088E-3</c:v>
                </c:pt>
                <c:pt idx="457">
                  <c:v>7.4019965911857888E-3</c:v>
                </c:pt>
                <c:pt idx="458">
                  <c:v>-1.4047469425242931E-2</c:v>
                </c:pt>
                <c:pt idx="459">
                  <c:v>-1.0384185444490157E-2</c:v>
                </c:pt>
                <c:pt idx="460">
                  <c:v>7.4314081032067492E-4</c:v>
                </c:pt>
                <c:pt idx="461">
                  <c:v>-7.6932216479533855E-3</c:v>
                </c:pt>
                <c:pt idx="462">
                  <c:v>-2.2899392342922154E-2</c:v>
                </c:pt>
                <c:pt idx="463">
                  <c:v>9.2212486979963426E-3</c:v>
                </c:pt>
                <c:pt idx="464">
                  <c:v>8.5096479778201672E-3</c:v>
                </c:pt>
                <c:pt idx="465">
                  <c:v>1.5200160529748263E-2</c:v>
                </c:pt>
                <c:pt idx="466">
                  <c:v>6.0087957701240313E-3</c:v>
                </c:pt>
                <c:pt idx="467">
                  <c:v>1.8861807786390017E-2</c:v>
                </c:pt>
                <c:pt idx="468">
                  <c:v>-1.7654488829751291E-2</c:v>
                </c:pt>
                <c:pt idx="469">
                  <c:v>-3.6905439626234715E-3</c:v>
                </c:pt>
                <c:pt idx="470">
                  <c:v>3.5761432821705963E-3</c:v>
                </c:pt>
                <c:pt idx="471">
                  <c:v>-8.7465274028408757E-3</c:v>
                </c:pt>
                <c:pt idx="472">
                  <c:v>-1.5448909663491328E-3</c:v>
                </c:pt>
                <c:pt idx="473">
                  <c:v>1.0166431929539144E-2</c:v>
                </c:pt>
                <c:pt idx="474">
                  <c:v>4.2878042554027163E-2</c:v>
                </c:pt>
                <c:pt idx="475">
                  <c:v>6.36450938670996E-3</c:v>
                </c:pt>
                <c:pt idx="476">
                  <c:v>-4.041538029750158E-3</c:v>
                </c:pt>
                <c:pt idx="477">
                  <c:v>-1.6814142666591314E-3</c:v>
                </c:pt>
                <c:pt idx="478">
                  <c:v>-2.4746186923099156E-3</c:v>
                </c:pt>
                <c:pt idx="479">
                  <c:v>1.386583157259258E-3</c:v>
                </c:pt>
                <c:pt idx="480">
                  <c:v>-2.1193824590488242E-2</c:v>
                </c:pt>
                <c:pt idx="481">
                  <c:v>4.3690394849538183E-3</c:v>
                </c:pt>
                <c:pt idx="482">
                  <c:v>-4.0242605421253463E-3</c:v>
                </c:pt>
                <c:pt idx="483">
                  <c:v>-6.9939488393123694E-3</c:v>
                </c:pt>
                <c:pt idx="484">
                  <c:v>-8.7967448168959628E-3</c:v>
                </c:pt>
                <c:pt idx="485">
                  <c:v>5.9719290014856874E-3</c:v>
                </c:pt>
                <c:pt idx="486">
                  <c:v>1.4661445935310935E-2</c:v>
                </c:pt>
                <c:pt idx="487">
                  <c:v>-2.3986900566876024E-2</c:v>
                </c:pt>
                <c:pt idx="488">
                  <c:v>-1.2754226063751428E-3</c:v>
                </c:pt>
                <c:pt idx="489">
                  <c:v>3.7034490210909876E-3</c:v>
                </c:pt>
                <c:pt idx="490">
                  <c:v>2.9107209270460288E-2</c:v>
                </c:pt>
                <c:pt idx="491">
                  <c:v>8.5023015178604666E-3</c:v>
                </c:pt>
                <c:pt idx="492">
                  <c:v>1.0109202014296326E-2</c:v>
                </c:pt>
                <c:pt idx="493">
                  <c:v>3.1181731613048047E-3</c:v>
                </c:pt>
                <c:pt idx="494">
                  <c:v>7.5199166108257387E-3</c:v>
                </c:pt>
                <c:pt idx="495">
                  <c:v>1.9213715637007578E-3</c:v>
                </c:pt>
                <c:pt idx="496">
                  <c:v>5.2091016374096188E-3</c:v>
                </c:pt>
                <c:pt idx="497">
                  <c:v>-7.658512872721901E-3</c:v>
                </c:pt>
                <c:pt idx="498">
                  <c:v>1.1701203393903459E-2</c:v>
                </c:pt>
                <c:pt idx="499">
                  <c:v>5.9199707655763767E-3</c:v>
                </c:pt>
                <c:pt idx="500">
                  <c:v>5.7852290478439539E-3</c:v>
                </c:pt>
                <c:pt idx="501">
                  <c:v>-4.8038286152873866E-3</c:v>
                </c:pt>
                <c:pt idx="502">
                  <c:v>-2.5768285048043404E-3</c:v>
                </c:pt>
                <c:pt idx="503">
                  <c:v>-1.0270265353091501E-2</c:v>
                </c:pt>
                <c:pt idx="504">
                  <c:v>1.1525735294117601E-2</c:v>
                </c:pt>
                <c:pt idx="505">
                  <c:v>7.7416540970796088E-3</c:v>
                </c:pt>
                <c:pt idx="506">
                  <c:v>-5.1665374280922549E-3</c:v>
                </c:pt>
                <c:pt idx="507">
                  <c:v>-1.2380702056501658E-2</c:v>
                </c:pt>
                <c:pt idx="508">
                  <c:v>-5.7999210770233178E-3</c:v>
                </c:pt>
                <c:pt idx="509">
                  <c:v>2.0584298703096859E-2</c:v>
                </c:pt>
                <c:pt idx="510">
                  <c:v>1.8025595803373484E-2</c:v>
                </c:pt>
                <c:pt idx="511">
                  <c:v>1.2260345777288517E-3</c:v>
                </c:pt>
                <c:pt idx="512">
                  <c:v>1.6983743877333701E-2</c:v>
                </c:pt>
                <c:pt idx="513">
                  <c:v>7.6607625861617734E-3</c:v>
                </c:pt>
                <c:pt idx="514">
                  <c:v>1.3256788584095291E-2</c:v>
                </c:pt>
                <c:pt idx="515">
                  <c:v>2.7089617925293297E-3</c:v>
                </c:pt>
                <c:pt idx="516">
                  <c:v>-5.0538624122179465E-3</c:v>
                </c:pt>
                <c:pt idx="517">
                  <c:v>1.9924106798694607E-2</c:v>
                </c:pt>
                <c:pt idx="518">
                  <c:v>1.2765707278972194E-3</c:v>
                </c:pt>
                <c:pt idx="519">
                  <c:v>-3.8835440065089211E-3</c:v>
                </c:pt>
                <c:pt idx="520">
                  <c:v>9.2625338924534617E-3</c:v>
                </c:pt>
                <c:pt idx="521">
                  <c:v>-1.9689966460311181E-3</c:v>
                </c:pt>
                <c:pt idx="522">
                  <c:v>6.6710136931333874E-3</c:v>
                </c:pt>
                <c:pt idx="523">
                  <c:v>-1.2340142833416334E-2</c:v>
                </c:pt>
                <c:pt idx="524">
                  <c:v>3.6154505860386266E-4</c:v>
                </c:pt>
                <c:pt idx="525">
                  <c:v>-6.1692596047975279E-3</c:v>
                </c:pt>
                <c:pt idx="526">
                  <c:v>-6.0891553834053758E-3</c:v>
                </c:pt>
                <c:pt idx="527">
                  <c:v>-7.1645550232720678E-3</c:v>
                </c:pt>
                <c:pt idx="528">
                  <c:v>1.4586779338538358E-2</c:v>
                </c:pt>
                <c:pt idx="529">
                  <c:v>-2.5003590042489421E-3</c:v>
                </c:pt>
                <c:pt idx="530">
                  <c:v>1.3430775614589274E-2</c:v>
                </c:pt>
                <c:pt idx="531">
                  <c:v>-4.9885939184277639E-3</c:v>
                </c:pt>
                <c:pt idx="532">
                  <c:v>3.9722530148813551E-3</c:v>
                </c:pt>
                <c:pt idx="533">
                  <c:v>-1.7758408685978111E-2</c:v>
                </c:pt>
                <c:pt idx="534">
                  <c:v>1.2535554306541963E-2</c:v>
                </c:pt>
                <c:pt idx="535">
                  <c:v>-8.0405053070699006E-3</c:v>
                </c:pt>
                <c:pt idx="536">
                  <c:v>-6.1216530158891835E-3</c:v>
                </c:pt>
                <c:pt idx="537">
                  <c:v>3.8048114656201726E-3</c:v>
                </c:pt>
                <c:pt idx="538">
                  <c:v>1.3580813489028287E-2</c:v>
                </c:pt>
                <c:pt idx="539">
                  <c:v>-1.3021532063321684E-2</c:v>
                </c:pt>
                <c:pt idx="540">
                  <c:v>4.3156544418108123E-3</c:v>
                </c:pt>
                <c:pt idx="541">
                  <c:v>-3.1974555697477092E-3</c:v>
                </c:pt>
                <c:pt idx="542">
                  <c:v>-2.4524571244304294E-3</c:v>
                </c:pt>
                <c:pt idx="543">
                  <c:v>4.5171498570846236E-3</c:v>
                </c:pt>
                <c:pt idx="544">
                  <c:v>1.8072034077724952E-2</c:v>
                </c:pt>
                <c:pt idx="545">
                  <c:v>9.3580774765631425E-3</c:v>
                </c:pt>
                <c:pt idx="546">
                  <c:v>5.4886189448006828E-3</c:v>
                </c:pt>
                <c:pt idx="547">
                  <c:v>4.5242934889515585E-3</c:v>
                </c:pt>
                <c:pt idx="548">
                  <c:v>-2.0969321148825104E-2</c:v>
                </c:pt>
                <c:pt idx="549">
                  <c:v>1.6418034836236384E-3</c:v>
                </c:pt>
                <c:pt idx="550">
                  <c:v>1.4610565202559433E-2</c:v>
                </c:pt>
                <c:pt idx="551">
                  <c:v>-5.699384138490915E-3</c:v>
                </c:pt>
                <c:pt idx="552">
                  <c:v>-3.2083003430984913E-3</c:v>
                </c:pt>
                <c:pt idx="553">
                  <c:v>-2.2588305380649709E-3</c:v>
                </c:pt>
                <c:pt idx="554">
                  <c:v>-8.9396779062246301E-3</c:v>
                </c:pt>
                <c:pt idx="555">
                  <c:v>-1.0710580044850371E-3</c:v>
                </c:pt>
                <c:pt idx="556">
                  <c:v>-2.4292176243927432E-3</c:v>
                </c:pt>
                <c:pt idx="557">
                  <c:v>-5.7183642623226394E-3</c:v>
                </c:pt>
                <c:pt idx="558">
                  <c:v>-4.9827293533433181E-4</c:v>
                </c:pt>
                <c:pt idx="559">
                  <c:v>-2.4081115335867764E-3</c:v>
                </c:pt>
                <c:pt idx="560">
                  <c:v>-1.0629737856265642E-2</c:v>
                </c:pt>
                <c:pt idx="561">
                  <c:v>-5.4704220529063763E-3</c:v>
                </c:pt>
                <c:pt idx="562">
                  <c:v>-4.9840321594890602E-3</c:v>
                </c:pt>
                <c:pt idx="563">
                  <c:v>-5.2771818118900748E-3</c:v>
                </c:pt>
                <c:pt idx="564">
                  <c:v>3.7136247412639101E-3</c:v>
                </c:pt>
                <c:pt idx="565">
                  <c:v>-8.4915387881361326E-3</c:v>
                </c:pt>
                <c:pt idx="566">
                  <c:v>1.5092327993777799E-2</c:v>
                </c:pt>
                <c:pt idx="567">
                  <c:v>1.7037432418471665E-2</c:v>
                </c:pt>
                <c:pt idx="568">
                  <c:v>-9.3875650738561855E-3</c:v>
                </c:pt>
                <c:pt idx="569">
                  <c:v>-1.0160135354536637E-2</c:v>
                </c:pt>
                <c:pt idx="570">
                  <c:v>1.1084541208767451E-2</c:v>
                </c:pt>
                <c:pt idx="571">
                  <c:v>1.0954482970602974E-2</c:v>
                </c:pt>
                <c:pt idx="572">
                  <c:v>-7.3392790784094775E-3</c:v>
                </c:pt>
                <c:pt idx="573">
                  <c:v>-1.5255030416471693E-2</c:v>
                </c:pt>
                <c:pt idx="574">
                  <c:v>1.8584437801316689E-2</c:v>
                </c:pt>
                <c:pt idx="575">
                  <c:v>-9.8394306701843348E-4</c:v>
                </c:pt>
                <c:pt idx="576">
                  <c:v>-3.7868174601153326E-3</c:v>
                </c:pt>
                <c:pt idx="577">
                  <c:v>-1.1471819041855902E-2</c:v>
                </c:pt>
                <c:pt idx="578">
                  <c:v>-5.7938526533602985E-3</c:v>
                </c:pt>
                <c:pt idx="579">
                  <c:v>1.3615117116023256E-2</c:v>
                </c:pt>
                <c:pt idx="580">
                  <c:v>9.2827870605647345E-3</c:v>
                </c:pt>
                <c:pt idx="581">
                  <c:v>1.7631900176318105E-3</c:v>
                </c:pt>
                <c:pt idx="582">
                  <c:v>1.0289737340915206E-2</c:v>
                </c:pt>
                <c:pt idx="583">
                  <c:v>-5.3102385419458997E-3</c:v>
                </c:pt>
                <c:pt idx="584">
                  <c:v>-3.9576281176847417E-3</c:v>
                </c:pt>
                <c:pt idx="585">
                  <c:v>-3.7366427701880367E-3</c:v>
                </c:pt>
                <c:pt idx="586">
                  <c:v>7.204317499108992E-3</c:v>
                </c:pt>
                <c:pt idx="587">
                  <c:v>-2.1483634525464423E-2</c:v>
                </c:pt>
                <c:pt idx="588">
                  <c:v>-1.1709501054716354E-3</c:v>
                </c:pt>
                <c:pt idx="589">
                  <c:v>-7.2408175227789418E-4</c:v>
                </c:pt>
                <c:pt idx="590">
                  <c:v>-1.4940694414492084E-2</c:v>
                </c:pt>
                <c:pt idx="591">
                  <c:v>1.17345196290497E-3</c:v>
                </c:pt>
                <c:pt idx="592">
                  <c:v>1.2280563646382747E-2</c:v>
                </c:pt>
                <c:pt idx="593">
                  <c:v>7.2063664878037059E-3</c:v>
                </c:pt>
                <c:pt idx="594">
                  <c:v>-1.2936987946639222E-2</c:v>
                </c:pt>
                <c:pt idx="595">
                  <c:v>-1.4236421947382616E-2</c:v>
                </c:pt>
                <c:pt idx="596">
                  <c:v>1.6575706010457658E-3</c:v>
                </c:pt>
                <c:pt idx="597">
                  <c:v>-2.8431346659977264E-3</c:v>
                </c:pt>
                <c:pt idx="598">
                  <c:v>7.8210515165424432E-3</c:v>
                </c:pt>
                <c:pt idx="599">
                  <c:v>8.6362441972496207E-3</c:v>
                </c:pt>
                <c:pt idx="600">
                  <c:v>1.3729202125811968E-2</c:v>
                </c:pt>
                <c:pt idx="601">
                  <c:v>2.6898070020644482E-3</c:v>
                </c:pt>
                <c:pt idx="602">
                  <c:v>-1.1080640062878566E-2</c:v>
                </c:pt>
                <c:pt idx="603">
                  <c:v>6.7384280456830314E-3</c:v>
                </c:pt>
                <c:pt idx="604">
                  <c:v>-5.3718228156589554E-3</c:v>
                </c:pt>
                <c:pt idx="605">
                  <c:v>-1.5943679469924477E-2</c:v>
                </c:pt>
                <c:pt idx="606">
                  <c:v>-4.9096966508854756E-4</c:v>
                </c:pt>
                <c:pt idx="607">
                  <c:v>-7.4471071190485016E-3</c:v>
                </c:pt>
                <c:pt idx="608">
                  <c:v>-3.2698510892139598E-3</c:v>
                </c:pt>
                <c:pt idx="609">
                  <c:v>8.6624994458484039E-3</c:v>
                </c:pt>
                <c:pt idx="610">
                  <c:v>-8.1925423252052765E-3</c:v>
                </c:pt>
                <c:pt idx="611">
                  <c:v>1.7256048923158795E-2</c:v>
                </c:pt>
                <c:pt idx="612">
                  <c:v>-1.285971928173768E-2</c:v>
                </c:pt>
                <c:pt idx="613">
                  <c:v>-6.7872304745765222E-3</c:v>
                </c:pt>
                <c:pt idx="614">
                  <c:v>5.4384530622400007E-3</c:v>
                </c:pt>
                <c:pt idx="615">
                  <c:v>1.6872304320158404E-2</c:v>
                </c:pt>
                <c:pt idx="616">
                  <c:v>2.7004945546834858E-2</c:v>
                </c:pt>
                <c:pt idx="617">
                  <c:v>2.7674339878132059E-3</c:v>
                </c:pt>
                <c:pt idx="618">
                  <c:v>6.5914404111844238E-3</c:v>
                </c:pt>
                <c:pt idx="619">
                  <c:v>-1.4169768923768533E-3</c:v>
                </c:pt>
                <c:pt idx="620">
                  <c:v>-7.3048472279368948E-4</c:v>
                </c:pt>
                <c:pt idx="621">
                  <c:v>1.3645682788290259E-2</c:v>
                </c:pt>
                <c:pt idx="622">
                  <c:v>-2.1552438741337943E-3</c:v>
                </c:pt>
                <c:pt idx="623">
                  <c:v>2.4523160762942808E-2</c:v>
                </c:pt>
                <c:pt idx="624">
                  <c:v>1.0119356512714006E-2</c:v>
                </c:pt>
                <c:pt idx="625">
                  <c:v>3.9012329822758485E-3</c:v>
                </c:pt>
                <c:pt idx="626">
                  <c:v>8.2599030880683433E-3</c:v>
                </c:pt>
                <c:pt idx="627">
                  <c:v>-3.8700979420278614E-3</c:v>
                </c:pt>
                <c:pt idx="628">
                  <c:v>3.4074534062591422E-3</c:v>
                </c:pt>
                <c:pt idx="629">
                  <c:v>4.2924584440831026E-3</c:v>
                </c:pt>
                <c:pt idx="630">
                  <c:v>-8.1690051826570631E-3</c:v>
                </c:pt>
                <c:pt idx="631">
                  <c:v>1.1231301078522549E-3</c:v>
                </c:pt>
                <c:pt idx="632">
                  <c:v>6.802829340483596E-3</c:v>
                </c:pt>
                <c:pt idx="633">
                  <c:v>-3.4535080371114191E-3</c:v>
                </c:pt>
                <c:pt idx="634">
                  <c:v>9.7540860104201599E-3</c:v>
                </c:pt>
                <c:pt idx="635">
                  <c:v>6.0629383260950576E-3</c:v>
                </c:pt>
                <c:pt idx="636">
                  <c:v>-1.0148083963685495E-2</c:v>
                </c:pt>
                <c:pt idx="637">
                  <c:v>7.8862487480590993E-4</c:v>
                </c:pt>
                <c:pt idx="638">
                  <c:v>-1.0086443976895731E-2</c:v>
                </c:pt>
                <c:pt idx="639">
                  <c:v>3.0806460600367735E-3</c:v>
                </c:pt>
                <c:pt idx="640">
                  <c:v>8.6024918657250371E-3</c:v>
                </c:pt>
                <c:pt idx="641">
                  <c:v>-1.4005381843360531E-3</c:v>
                </c:pt>
                <c:pt idx="642">
                  <c:v>-4.0420435563679469E-3</c:v>
                </c:pt>
                <c:pt idx="643">
                  <c:v>2.4224108605017225E-2</c:v>
                </c:pt>
                <c:pt idx="644">
                  <c:v>1.0636079249217945E-2</c:v>
                </c:pt>
                <c:pt idx="645">
                  <c:v>-4.9296097583344523E-3</c:v>
                </c:pt>
                <c:pt idx="646">
                  <c:v>6.8127529820196653E-3</c:v>
                </c:pt>
                <c:pt idx="647">
                  <c:v>5.8512099112020266E-3</c:v>
                </c:pt>
                <c:pt idx="648">
                  <c:v>-7.9407816398814335E-3</c:v>
                </c:pt>
                <c:pt idx="649">
                  <c:v>1.0534846029173428E-2</c:v>
                </c:pt>
                <c:pt idx="650">
                  <c:v>4.3198014858301104E-3</c:v>
                </c:pt>
                <c:pt idx="651">
                  <c:v>5.8755734333686416E-3</c:v>
                </c:pt>
                <c:pt idx="652">
                  <c:v>4.9500872443515309E-3</c:v>
                </c:pt>
                <c:pt idx="653">
                  <c:v>-6.7067081985783261E-5</c:v>
                </c:pt>
                <c:pt idx="654">
                  <c:v>-1.108916793978465E-2</c:v>
                </c:pt>
                <c:pt idx="655">
                  <c:v>1.0324272590940264E-3</c:v>
                </c:pt>
                <c:pt idx="656">
                  <c:v>-1.2105334477618634E-2</c:v>
                </c:pt>
                <c:pt idx="657">
                  <c:v>6.0734915336899675E-3</c:v>
                </c:pt>
                <c:pt idx="658">
                  <c:v>3.0600728660914456E-3</c:v>
                </c:pt>
                <c:pt idx="659">
                  <c:v>-7.4003035634726544E-3</c:v>
                </c:pt>
                <c:pt idx="660">
                  <c:v>-4.610223131756519E-3</c:v>
                </c:pt>
                <c:pt idx="661">
                  <c:v>-1.4674299340420305E-3</c:v>
                </c:pt>
                <c:pt idx="662">
                  <c:v>2.5947385743481099E-3</c:v>
                </c:pt>
                <c:pt idx="663">
                  <c:v>4.0690750297738276E-3</c:v>
                </c:pt>
                <c:pt idx="664">
                  <c:v>-1.6932657142205376E-2</c:v>
                </c:pt>
                <c:pt idx="665">
                  <c:v>-5.9554194316828735E-3</c:v>
                </c:pt>
                <c:pt idx="666">
                  <c:v>-9.3990227506146606E-3</c:v>
                </c:pt>
                <c:pt idx="667">
                  <c:v>2.5134311476955329E-3</c:v>
                </c:pt>
                <c:pt idx="668">
                  <c:v>-8.1011626813751736E-3</c:v>
                </c:pt>
                <c:pt idx="669">
                  <c:v>1.3119855926446711E-2</c:v>
                </c:pt>
                <c:pt idx="670">
                  <c:v>-3.4850268588758615E-3</c:v>
                </c:pt>
                <c:pt idx="671">
                  <c:v>2.7617825624335346E-3</c:v>
                </c:pt>
                <c:pt idx="672">
                  <c:v>6.2261545303465837E-3</c:v>
                </c:pt>
                <c:pt idx="673">
                  <c:v>-3.5978195972613536E-3</c:v>
                </c:pt>
                <c:pt idx="674">
                  <c:v>-8.5678933565753734E-3</c:v>
                </c:pt>
                <c:pt idx="675">
                  <c:v>2.7472096199432361E-3</c:v>
                </c:pt>
                <c:pt idx="676">
                  <c:v>5.7063685891414195E-3</c:v>
                </c:pt>
                <c:pt idx="677">
                  <c:v>-1.0110444345856617E-2</c:v>
                </c:pt>
                <c:pt idx="678">
                  <c:v>3.231589375854993E-3</c:v>
                </c:pt>
                <c:pt idx="679">
                  <c:v>2.2125038207425174E-2</c:v>
                </c:pt>
                <c:pt idx="680">
                  <c:v>-6.1955588271377371E-3</c:v>
                </c:pt>
                <c:pt idx="681">
                  <c:v>-1.0732362199864176E-2</c:v>
                </c:pt>
                <c:pt idx="682">
                  <c:v>-1.489662057293506E-3</c:v>
                </c:pt>
                <c:pt idx="683">
                  <c:v>-7.8734007154797059E-3</c:v>
                </c:pt>
                <c:pt idx="684">
                  <c:v>6.1880993245051474E-3</c:v>
                </c:pt>
                <c:pt idx="685">
                  <c:v>7.214171700416161E-3</c:v>
                </c:pt>
                <c:pt idx="686">
                  <c:v>2.4082159004397141E-3</c:v>
                </c:pt>
                <c:pt idx="687">
                  <c:v>6.8198022257355273E-3</c:v>
                </c:pt>
                <c:pt idx="688">
                  <c:v>8.9288463314751709E-4</c:v>
                </c:pt>
                <c:pt idx="689">
                  <c:v>1.6072966654361309E-3</c:v>
                </c:pt>
                <c:pt idx="690">
                  <c:v>-6.3113766018381146E-3</c:v>
                </c:pt>
                <c:pt idx="691">
                  <c:v>1.468099738060058E-3</c:v>
                </c:pt>
                <c:pt idx="692">
                  <c:v>1.6048268252976339E-2</c:v>
                </c:pt>
                <c:pt idx="693">
                  <c:v>-1.1648657063232259E-2</c:v>
                </c:pt>
                <c:pt idx="694">
                  <c:v>-8.7203718643156236E-3</c:v>
                </c:pt>
                <c:pt idx="695">
                  <c:v>1.240117811192043E-3</c:v>
                </c:pt>
                <c:pt idx="696">
                  <c:v>-6.4948134386128009E-3</c:v>
                </c:pt>
                <c:pt idx="697">
                  <c:v>-1.8933933816940307E-3</c:v>
                </c:pt>
                <c:pt idx="698">
                  <c:v>6.1827663195366256E-3</c:v>
                </c:pt>
                <c:pt idx="699">
                  <c:v>-4.2672045930638447E-3</c:v>
                </c:pt>
                <c:pt idx="700">
                  <c:v>-9.887798036465667E-3</c:v>
                </c:pt>
                <c:pt idx="701">
                  <c:v>-7.4525265402806129E-3</c:v>
                </c:pt>
                <c:pt idx="702">
                  <c:v>1.2241920649519455E-2</c:v>
                </c:pt>
                <c:pt idx="703">
                  <c:v>2.647491932199042E-3</c:v>
                </c:pt>
                <c:pt idx="704">
                  <c:v>-2.4686342827680008E-3</c:v>
                </c:pt>
                <c:pt idx="705">
                  <c:v>-7.4242305583835932E-3</c:v>
                </c:pt>
                <c:pt idx="706">
                  <c:v>1.6726894005143489E-3</c:v>
                </c:pt>
                <c:pt idx="707">
                  <c:v>4.5291995525937878E-3</c:v>
                </c:pt>
                <c:pt idx="708">
                  <c:v>1.2514800555167849E-2</c:v>
                </c:pt>
                <c:pt idx="709">
                  <c:v>-7.4811229428848325E-3</c:v>
                </c:pt>
                <c:pt idx="710">
                  <c:v>-8.832778033536437E-3</c:v>
                </c:pt>
                <c:pt idx="711">
                  <c:v>-7.5574484164786515E-4</c:v>
                </c:pt>
                <c:pt idx="712">
                  <c:v>-5.3572413358438098E-4</c:v>
                </c:pt>
                <c:pt idx="713">
                  <c:v>6.5267256804584228E-3</c:v>
                </c:pt>
                <c:pt idx="714">
                  <c:v>3.2500332834732859E-3</c:v>
                </c:pt>
                <c:pt idx="715">
                  <c:v>-8.7115357594491627E-3</c:v>
                </c:pt>
                <c:pt idx="716">
                  <c:v>4.4019214111348237E-3</c:v>
                </c:pt>
                <c:pt idx="717">
                  <c:v>-1.8110686873280546E-3</c:v>
                </c:pt>
                <c:pt idx="718">
                  <c:v>8.6397838483165401E-4</c:v>
                </c:pt>
                <c:pt idx="719">
                  <c:v>-4.9675110650720944E-3</c:v>
                </c:pt>
                <c:pt idx="720">
                  <c:v>1.6262470917622895E-2</c:v>
                </c:pt>
                <c:pt idx="721">
                  <c:v>8.0166385993776235E-3</c:v>
                </c:pt>
                <c:pt idx="722">
                  <c:v>-1.4135037339287115E-2</c:v>
                </c:pt>
                <c:pt idx="723">
                  <c:v>-5.1384572133631456E-3</c:v>
                </c:pt>
                <c:pt idx="724">
                  <c:v>-1.1381833024584731E-2</c:v>
                </c:pt>
                <c:pt idx="725">
                  <c:v>-4.8592253823066534E-3</c:v>
                </c:pt>
                <c:pt idx="726">
                  <c:v>-7.5398535114175047E-3</c:v>
                </c:pt>
                <c:pt idx="727">
                  <c:v>-1.7525665452733374E-3</c:v>
                </c:pt>
                <c:pt idx="728">
                  <c:v>2.0133525541399244E-4</c:v>
                </c:pt>
                <c:pt idx="729">
                  <c:v>7.4720602917968115E-3</c:v>
                </c:pt>
                <c:pt idx="730">
                  <c:v>3.5884402672547999E-3</c:v>
                </c:pt>
                <c:pt idx="731">
                  <c:v>-3.384485518383773E-3</c:v>
                </c:pt>
                <c:pt idx="732">
                  <c:v>-3.2521494550452612E-3</c:v>
                </c:pt>
                <c:pt idx="733">
                  <c:v>-7.6157798959441969E-4</c:v>
                </c:pt>
                <c:pt idx="734">
                  <c:v>1.5082714246746898E-2</c:v>
                </c:pt>
                <c:pt idx="735">
                  <c:v>6.5283024832840653E-3</c:v>
                </c:pt>
                <c:pt idx="736">
                  <c:v>-1.1213015892958089E-2</c:v>
                </c:pt>
                <c:pt idx="737">
                  <c:v>9.5136749150281918E-3</c:v>
                </c:pt>
                <c:pt idx="738">
                  <c:v>1.0910778622110984E-2</c:v>
                </c:pt>
                <c:pt idx="739">
                  <c:v>-3.3460691469078263E-4</c:v>
                </c:pt>
                <c:pt idx="740">
                  <c:v>5.7914156274812001E-3</c:v>
                </c:pt>
                <c:pt idx="741">
                  <c:v>2.0973608853804837E-3</c:v>
                </c:pt>
                <c:pt idx="742">
                  <c:v>-9.9860211150670786E-3</c:v>
                </c:pt>
                <c:pt idx="743">
                  <c:v>-4.5870128249133613E-3</c:v>
                </c:pt>
                <c:pt idx="744">
                  <c:v>4.349529780564243E-3</c:v>
                </c:pt>
                <c:pt idx="745">
                  <c:v>2.8090983574577955E-3</c:v>
                </c:pt>
              </c:numCache>
            </c:numRef>
          </c:xVal>
          <c:yVal>
            <c:numRef>
              <c:f>Ke!$N$23:$N$768</c:f>
              <c:numCache>
                <c:formatCode>0.00%</c:formatCode>
                <c:ptCount val="746"/>
                <c:pt idx="0">
                  <c:v>4.7574749701584373E-4</c:v>
                </c:pt>
                <c:pt idx="1">
                  <c:v>5.0091070814459737E-3</c:v>
                </c:pt>
                <c:pt idx="2">
                  <c:v>9.5145637630389412E-3</c:v>
                </c:pt>
                <c:pt idx="3">
                  <c:v>1.0813389520554217E-3</c:v>
                </c:pt>
                <c:pt idx="4">
                  <c:v>1.6774419011008179E-2</c:v>
                </c:pt>
                <c:pt idx="5">
                  <c:v>-1.4400113141984083E-2</c:v>
                </c:pt>
                <c:pt idx="6">
                  <c:v>1.0231442162818682E-2</c:v>
                </c:pt>
                <c:pt idx="7">
                  <c:v>-4.0382452379261746E-4</c:v>
                </c:pt>
                <c:pt idx="8">
                  <c:v>1.0202960428210339E-2</c:v>
                </c:pt>
                <c:pt idx="9">
                  <c:v>1.6650542246663402E-3</c:v>
                </c:pt>
                <c:pt idx="10">
                  <c:v>1.7855699495190613E-2</c:v>
                </c:pt>
                <c:pt idx="11">
                  <c:v>1.229977965635376E-2</c:v>
                </c:pt>
                <c:pt idx="12">
                  <c:v>1.2599611892968765E-2</c:v>
                </c:pt>
                <c:pt idx="13">
                  <c:v>1.0372291309968418E-2</c:v>
                </c:pt>
                <c:pt idx="14">
                  <c:v>-1.5268990589221265E-2</c:v>
                </c:pt>
                <c:pt idx="15">
                  <c:v>1.4770374937866926E-3</c:v>
                </c:pt>
                <c:pt idx="16">
                  <c:v>-2.9473621383728776E-3</c:v>
                </c:pt>
                <c:pt idx="17">
                  <c:v>-8.7768561321813765E-3</c:v>
                </c:pt>
                <c:pt idx="18">
                  <c:v>2.5642737153601658E-3</c:v>
                </c:pt>
                <c:pt idx="19">
                  <c:v>5.7067084735902274E-3</c:v>
                </c:pt>
                <c:pt idx="20">
                  <c:v>1.3404020733359445E-2</c:v>
                </c:pt>
                <c:pt idx="21">
                  <c:v>-1.1151887305279606E-3</c:v>
                </c:pt>
                <c:pt idx="22">
                  <c:v>-8.1054337002616217E-3</c:v>
                </c:pt>
                <c:pt idx="23">
                  <c:v>-9.1049232517770307E-4</c:v>
                </c:pt>
                <c:pt idx="24">
                  <c:v>-8.020419899503195E-3</c:v>
                </c:pt>
                <c:pt idx="25">
                  <c:v>-2.5794607762774646E-3</c:v>
                </c:pt>
                <c:pt idx="26">
                  <c:v>-1.9469434100094496E-3</c:v>
                </c:pt>
                <c:pt idx="27">
                  <c:v>-2.3821002770180066E-2</c:v>
                </c:pt>
                <c:pt idx="28">
                  <c:v>1.1858036081029422E-3</c:v>
                </c:pt>
                <c:pt idx="29">
                  <c:v>-1.6996738221739527E-3</c:v>
                </c:pt>
                <c:pt idx="30">
                  <c:v>-5.773074153832769E-3</c:v>
                </c:pt>
                <c:pt idx="31">
                  <c:v>-1.1115366730008902E-2</c:v>
                </c:pt>
                <c:pt idx="32">
                  <c:v>1.3164420485175077E-2</c:v>
                </c:pt>
                <c:pt idx="33">
                  <c:v>-1.3399387536089158E-2</c:v>
                </c:pt>
                <c:pt idx="34">
                  <c:v>-1.2248040661968385E-2</c:v>
                </c:pt>
                <c:pt idx="35">
                  <c:v>1.2112639144152171E-2</c:v>
                </c:pt>
                <c:pt idx="36">
                  <c:v>-1.1538601989190989E-2</c:v>
                </c:pt>
                <c:pt idx="37">
                  <c:v>2.3264307826389219E-2</c:v>
                </c:pt>
                <c:pt idx="38">
                  <c:v>1.8741020269676945E-3</c:v>
                </c:pt>
                <c:pt idx="39">
                  <c:v>1.0971325985809965E-2</c:v>
                </c:pt>
                <c:pt idx="40">
                  <c:v>-7.1046835013369725E-3</c:v>
                </c:pt>
                <c:pt idx="41">
                  <c:v>-1.6661676023782213E-2</c:v>
                </c:pt>
                <c:pt idx="42">
                  <c:v>-8.9262748443004192E-3</c:v>
                </c:pt>
                <c:pt idx="43">
                  <c:v>9.64127362597611E-3</c:v>
                </c:pt>
                <c:pt idx="44">
                  <c:v>4.9644931357819555E-3</c:v>
                </c:pt>
                <c:pt idx="45">
                  <c:v>-7.9615429996756637E-3</c:v>
                </c:pt>
                <c:pt idx="46">
                  <c:v>-6.5116751032603393E-3</c:v>
                </c:pt>
                <c:pt idx="47">
                  <c:v>8.390311040936238E-3</c:v>
                </c:pt>
                <c:pt idx="48">
                  <c:v>-5.4836259179158464E-3</c:v>
                </c:pt>
                <c:pt idx="49">
                  <c:v>1.1362479025620154E-2</c:v>
                </c:pt>
                <c:pt idx="50">
                  <c:v>-7.7647480274468661E-3</c:v>
                </c:pt>
                <c:pt idx="51">
                  <c:v>-2.5547918881551723E-2</c:v>
                </c:pt>
                <c:pt idx="52">
                  <c:v>1.1237144469400606E-2</c:v>
                </c:pt>
                <c:pt idx="53">
                  <c:v>9.8729808719966172E-3</c:v>
                </c:pt>
                <c:pt idx="54">
                  <c:v>-2.1998075638604564E-2</c:v>
                </c:pt>
                <c:pt idx="55">
                  <c:v>-5.4909455811734675E-3</c:v>
                </c:pt>
                <c:pt idx="56">
                  <c:v>2.1019302072536217E-2</c:v>
                </c:pt>
                <c:pt idx="57">
                  <c:v>5.2266157557758763E-3</c:v>
                </c:pt>
                <c:pt idx="58">
                  <c:v>-1.3090296415827929E-2</c:v>
                </c:pt>
                <c:pt idx="59">
                  <c:v>-5.0477923863101459E-3</c:v>
                </c:pt>
                <c:pt idx="60">
                  <c:v>-3.0659584883326318E-2</c:v>
                </c:pt>
                <c:pt idx="61">
                  <c:v>1.1662494996194761E-2</c:v>
                </c:pt>
                <c:pt idx="62">
                  <c:v>-1.9421840852741679E-2</c:v>
                </c:pt>
                <c:pt idx="63">
                  <c:v>-1.0059792933046485E-2</c:v>
                </c:pt>
                <c:pt idx="64">
                  <c:v>-4.2402225377727865E-3</c:v>
                </c:pt>
                <c:pt idx="65">
                  <c:v>8.3672070262945653E-3</c:v>
                </c:pt>
                <c:pt idx="66">
                  <c:v>2.9488339391603446E-3</c:v>
                </c:pt>
                <c:pt idx="67">
                  <c:v>-2.9294885538219129E-3</c:v>
                </c:pt>
                <c:pt idx="68">
                  <c:v>2.2020103605122632E-2</c:v>
                </c:pt>
                <c:pt idx="69">
                  <c:v>-1.1706944024918453E-3</c:v>
                </c:pt>
                <c:pt idx="70">
                  <c:v>-1.7141363809976662E-2</c:v>
                </c:pt>
                <c:pt idx="71">
                  <c:v>2.2810601135950348E-2</c:v>
                </c:pt>
                <c:pt idx="72">
                  <c:v>-1.1676514469140198E-2</c:v>
                </c:pt>
                <c:pt idx="73">
                  <c:v>6.8485197168750567E-3</c:v>
                </c:pt>
                <c:pt idx="74">
                  <c:v>3.3725722503707978E-3</c:v>
                </c:pt>
                <c:pt idx="75">
                  <c:v>-3.0245901425216437E-2</c:v>
                </c:pt>
                <c:pt idx="76">
                  <c:v>-6.9420187437201353E-3</c:v>
                </c:pt>
                <c:pt idx="77">
                  <c:v>1.3030756237781826E-2</c:v>
                </c:pt>
                <c:pt idx="78">
                  <c:v>-5.5854821736037397E-2</c:v>
                </c:pt>
                <c:pt idx="79">
                  <c:v>2.1480358910411557E-2</c:v>
                </c:pt>
                <c:pt idx="80">
                  <c:v>-8.1491710150508601E-3</c:v>
                </c:pt>
                <c:pt idx="81">
                  <c:v>2.2926769639619593E-2</c:v>
                </c:pt>
                <c:pt idx="82">
                  <c:v>-2.2422035990194988E-3</c:v>
                </c:pt>
                <c:pt idx="83">
                  <c:v>-1.1315752181644489E-2</c:v>
                </c:pt>
                <c:pt idx="84">
                  <c:v>-1.0208912824760663E-3</c:v>
                </c:pt>
                <c:pt idx="85">
                  <c:v>-2.2420540884788065E-2</c:v>
                </c:pt>
                <c:pt idx="86">
                  <c:v>-3.0851741766508844E-2</c:v>
                </c:pt>
                <c:pt idx="87">
                  <c:v>5.6502143134202765E-3</c:v>
                </c:pt>
                <c:pt idx="88">
                  <c:v>2.6519405722813083E-2</c:v>
                </c:pt>
                <c:pt idx="89">
                  <c:v>1.5657120142346104E-2</c:v>
                </c:pt>
                <c:pt idx="90">
                  <c:v>-9.8805076398510439E-3</c:v>
                </c:pt>
                <c:pt idx="91">
                  <c:v>1.196212777171235E-2</c:v>
                </c:pt>
                <c:pt idx="92">
                  <c:v>-3.4464254159575103E-2</c:v>
                </c:pt>
                <c:pt idx="93">
                  <c:v>8.2317686936570489E-3</c:v>
                </c:pt>
                <c:pt idx="94">
                  <c:v>-9.7695752155068094E-3</c:v>
                </c:pt>
                <c:pt idx="95">
                  <c:v>3.206003320813533E-2</c:v>
                </c:pt>
                <c:pt idx="96">
                  <c:v>-3.5870968465668174E-2</c:v>
                </c:pt>
                <c:pt idx="97">
                  <c:v>6.7280683297925581E-3</c:v>
                </c:pt>
                <c:pt idx="98">
                  <c:v>1.9358753334810519E-3</c:v>
                </c:pt>
                <c:pt idx="99">
                  <c:v>-6.8422570412380868E-3</c:v>
                </c:pt>
                <c:pt idx="100">
                  <c:v>2.1081474512718801E-2</c:v>
                </c:pt>
                <c:pt idx="101">
                  <c:v>-2.6145940663321876E-2</c:v>
                </c:pt>
                <c:pt idx="102">
                  <c:v>1.8635753080651796E-2</c:v>
                </c:pt>
                <c:pt idx="103">
                  <c:v>-1.7629757884659591E-3</c:v>
                </c:pt>
                <c:pt idx="104">
                  <c:v>3.1719730712054695E-2</c:v>
                </c:pt>
                <c:pt idx="105">
                  <c:v>2.4002197031409711E-3</c:v>
                </c:pt>
                <c:pt idx="106">
                  <c:v>-3.5856924023861425E-2</c:v>
                </c:pt>
                <c:pt idx="107">
                  <c:v>2.8621485794377399E-2</c:v>
                </c:pt>
                <c:pt idx="108">
                  <c:v>-2.6919799641430209E-2</c:v>
                </c:pt>
                <c:pt idx="109">
                  <c:v>-3.1995856651656607E-2</c:v>
                </c:pt>
                <c:pt idx="110">
                  <c:v>2.0568229669812421E-2</c:v>
                </c:pt>
                <c:pt idx="111">
                  <c:v>-2.7769957108212062E-2</c:v>
                </c:pt>
                <c:pt idx="112">
                  <c:v>6.3339424622790297E-3</c:v>
                </c:pt>
                <c:pt idx="113">
                  <c:v>-7.5334425510507064E-3</c:v>
                </c:pt>
                <c:pt idx="114">
                  <c:v>-2.2271968773652007E-2</c:v>
                </c:pt>
                <c:pt idx="115">
                  <c:v>3.4850010992887981E-2</c:v>
                </c:pt>
                <c:pt idx="116">
                  <c:v>7.2590008745188062E-3</c:v>
                </c:pt>
                <c:pt idx="117">
                  <c:v>-3.4083138843025496E-2</c:v>
                </c:pt>
                <c:pt idx="118">
                  <c:v>2.197160439533663E-2</c:v>
                </c:pt>
                <c:pt idx="119">
                  <c:v>-1.3288320072508797E-2</c:v>
                </c:pt>
                <c:pt idx="120">
                  <c:v>-9.7698446191829547E-4</c:v>
                </c:pt>
                <c:pt idx="121">
                  <c:v>2.7590003236275251E-2</c:v>
                </c:pt>
                <c:pt idx="122">
                  <c:v>9.6679215146084907E-3</c:v>
                </c:pt>
                <c:pt idx="123">
                  <c:v>-6.102413660078132E-3</c:v>
                </c:pt>
                <c:pt idx="124">
                  <c:v>-1.6820147415823383E-2</c:v>
                </c:pt>
                <c:pt idx="125">
                  <c:v>-9.2281653949763953E-3</c:v>
                </c:pt>
                <c:pt idx="126">
                  <c:v>-1.0705213195936869E-2</c:v>
                </c:pt>
                <c:pt idx="127">
                  <c:v>-7.4061223268206966E-4</c:v>
                </c:pt>
                <c:pt idx="128">
                  <c:v>-2.3077524440550223E-2</c:v>
                </c:pt>
                <c:pt idx="129">
                  <c:v>1.0641117177001558E-2</c:v>
                </c:pt>
                <c:pt idx="130">
                  <c:v>1.9844722093680822E-2</c:v>
                </c:pt>
                <c:pt idx="131">
                  <c:v>1.9429330838075964E-2</c:v>
                </c:pt>
                <c:pt idx="132">
                  <c:v>-3.4218020072857458E-2</c:v>
                </c:pt>
                <c:pt idx="133">
                  <c:v>-3.5507188490222497E-3</c:v>
                </c:pt>
                <c:pt idx="134">
                  <c:v>-1.6076796974166307E-2</c:v>
                </c:pt>
                <c:pt idx="135">
                  <c:v>-1.2841150177632432E-2</c:v>
                </c:pt>
                <c:pt idx="136">
                  <c:v>3.4319908573363422E-2</c:v>
                </c:pt>
                <c:pt idx="137">
                  <c:v>3.1561619842588318E-3</c:v>
                </c:pt>
                <c:pt idx="138">
                  <c:v>1.3216213956011913E-2</c:v>
                </c:pt>
                <c:pt idx="139">
                  <c:v>1.3990983364822185E-3</c:v>
                </c:pt>
                <c:pt idx="140">
                  <c:v>2.8254465079953217E-3</c:v>
                </c:pt>
                <c:pt idx="141">
                  <c:v>-2.8802302901278609E-2</c:v>
                </c:pt>
                <c:pt idx="142">
                  <c:v>2.0088507082837159E-2</c:v>
                </c:pt>
                <c:pt idx="143">
                  <c:v>-1.7914322453757348E-2</c:v>
                </c:pt>
                <c:pt idx="144">
                  <c:v>-4.4194000329653704E-3</c:v>
                </c:pt>
                <c:pt idx="145">
                  <c:v>4.6883892263278604E-3</c:v>
                </c:pt>
                <c:pt idx="146">
                  <c:v>-2.1422075654942141E-4</c:v>
                </c:pt>
                <c:pt idx="147">
                  <c:v>-1.5607471725557431E-2</c:v>
                </c:pt>
                <c:pt idx="148">
                  <c:v>-2.3552692438902345E-2</c:v>
                </c:pt>
                <c:pt idx="149">
                  <c:v>-9.2016354176156501E-3</c:v>
                </c:pt>
                <c:pt idx="150">
                  <c:v>5.9501854497900908E-3</c:v>
                </c:pt>
                <c:pt idx="151">
                  <c:v>-1.9343878022817229E-3</c:v>
                </c:pt>
                <c:pt idx="152">
                  <c:v>6.5394613940148449E-3</c:v>
                </c:pt>
                <c:pt idx="153">
                  <c:v>-5.7134844870011525E-3</c:v>
                </c:pt>
                <c:pt idx="154">
                  <c:v>-8.5376605453725274E-3</c:v>
                </c:pt>
                <c:pt idx="155">
                  <c:v>-4.7882112285202449E-4</c:v>
                </c:pt>
                <c:pt idx="156">
                  <c:v>6.6371849645507908E-4</c:v>
                </c:pt>
                <c:pt idx="157">
                  <c:v>2.0180594062846335E-3</c:v>
                </c:pt>
                <c:pt idx="158">
                  <c:v>-1.8721811923847365E-2</c:v>
                </c:pt>
                <c:pt idx="159">
                  <c:v>1.3010068892421955E-2</c:v>
                </c:pt>
                <c:pt idx="160">
                  <c:v>1.7215523179269887E-2</c:v>
                </c:pt>
                <c:pt idx="161">
                  <c:v>-2.301412132770464E-3</c:v>
                </c:pt>
                <c:pt idx="162">
                  <c:v>1.2537693622797441E-2</c:v>
                </c:pt>
                <c:pt idx="163">
                  <c:v>3.5201147139523048E-3</c:v>
                </c:pt>
                <c:pt idx="164">
                  <c:v>6.8517183724976505E-3</c:v>
                </c:pt>
                <c:pt idx="165">
                  <c:v>1.9710938426672708E-2</c:v>
                </c:pt>
                <c:pt idx="166">
                  <c:v>2.2245166231404934E-3</c:v>
                </c:pt>
                <c:pt idx="167">
                  <c:v>-1.426652204994161E-3</c:v>
                </c:pt>
                <c:pt idx="168">
                  <c:v>4.2202425585180503E-3</c:v>
                </c:pt>
                <c:pt idx="169">
                  <c:v>2.1649619695141675E-2</c:v>
                </c:pt>
                <c:pt idx="170">
                  <c:v>2.3710247739505697E-3</c:v>
                </c:pt>
                <c:pt idx="171">
                  <c:v>-7.2822816815758529E-3</c:v>
                </c:pt>
                <c:pt idx="172">
                  <c:v>3.1034423697512192E-2</c:v>
                </c:pt>
                <c:pt idx="173">
                  <c:v>1.1999851467636713E-2</c:v>
                </c:pt>
                <c:pt idx="174">
                  <c:v>2.0376081712896399E-2</c:v>
                </c:pt>
                <c:pt idx="175">
                  <c:v>8.2263363893071428E-3</c:v>
                </c:pt>
                <c:pt idx="176">
                  <c:v>1.1950205599476682E-2</c:v>
                </c:pt>
                <c:pt idx="177">
                  <c:v>-5.7413001679729181E-4</c:v>
                </c:pt>
                <c:pt idx="178">
                  <c:v>-1.8799406793660323E-2</c:v>
                </c:pt>
                <c:pt idx="179">
                  <c:v>2.6776332030300498E-3</c:v>
                </c:pt>
                <c:pt idx="180">
                  <c:v>2.5808691189954658E-3</c:v>
                </c:pt>
                <c:pt idx="181">
                  <c:v>-8.1921711935147856E-3</c:v>
                </c:pt>
                <c:pt idx="182">
                  <c:v>4.9225100722201098E-3</c:v>
                </c:pt>
                <c:pt idx="183">
                  <c:v>-1.8650538172385045E-2</c:v>
                </c:pt>
                <c:pt idx="184">
                  <c:v>6.6479473704967873E-3</c:v>
                </c:pt>
                <c:pt idx="185">
                  <c:v>1.7200519837932804E-2</c:v>
                </c:pt>
                <c:pt idx="186">
                  <c:v>6.4773410491507644E-3</c:v>
                </c:pt>
                <c:pt idx="187">
                  <c:v>2.1522809473807136E-2</c:v>
                </c:pt>
                <c:pt idx="188">
                  <c:v>2.4249977613999274E-3</c:v>
                </c:pt>
                <c:pt idx="189">
                  <c:v>-1.2123913487340876E-2</c:v>
                </c:pt>
                <c:pt idx="190">
                  <c:v>3.6935301862819347E-3</c:v>
                </c:pt>
                <c:pt idx="191">
                  <c:v>-2.0226330449811147E-2</c:v>
                </c:pt>
                <c:pt idx="192">
                  <c:v>6.5116139419847396E-3</c:v>
                </c:pt>
                <c:pt idx="193">
                  <c:v>-4.1212683923604887E-3</c:v>
                </c:pt>
                <c:pt idx="194">
                  <c:v>-1.0455795946296198E-2</c:v>
                </c:pt>
                <c:pt idx="195">
                  <c:v>6.4892251430039849E-3</c:v>
                </c:pt>
                <c:pt idx="196">
                  <c:v>-1.1781048254835169E-2</c:v>
                </c:pt>
                <c:pt idx="197">
                  <c:v>1.0331329139807055E-2</c:v>
                </c:pt>
                <c:pt idx="198">
                  <c:v>-2.1927376273739307E-2</c:v>
                </c:pt>
                <c:pt idx="199">
                  <c:v>-3.3224225263731255E-2</c:v>
                </c:pt>
                <c:pt idx="200">
                  <c:v>-8.0039024001765657E-4</c:v>
                </c:pt>
                <c:pt idx="201">
                  <c:v>4.9199666037664347E-2</c:v>
                </c:pt>
                <c:pt idx="202">
                  <c:v>-1.408809140356726E-2</c:v>
                </c:pt>
                <c:pt idx="203">
                  <c:v>-1.0404988384322911E-2</c:v>
                </c:pt>
                <c:pt idx="204">
                  <c:v>3.5164762435897501E-3</c:v>
                </c:pt>
                <c:pt idx="205">
                  <c:v>-2.4217748302236553E-3</c:v>
                </c:pt>
                <c:pt idx="206">
                  <c:v>2.0430405467812163E-2</c:v>
                </c:pt>
                <c:pt idx="207">
                  <c:v>1.8179670134406134E-2</c:v>
                </c:pt>
                <c:pt idx="208">
                  <c:v>1.040274736586011E-2</c:v>
                </c:pt>
                <c:pt idx="209">
                  <c:v>8.2887485101090785E-3</c:v>
                </c:pt>
                <c:pt idx="210">
                  <c:v>2.371393379607567E-2</c:v>
                </c:pt>
                <c:pt idx="211">
                  <c:v>-2.7903763419157013E-4</c:v>
                </c:pt>
                <c:pt idx="212">
                  <c:v>1.2352880992681836E-2</c:v>
                </c:pt>
                <c:pt idx="213">
                  <c:v>1.0396295028891833E-2</c:v>
                </c:pt>
                <c:pt idx="214">
                  <c:v>-3.6385970299852577E-3</c:v>
                </c:pt>
                <c:pt idx="215">
                  <c:v>1.4537970971610914E-2</c:v>
                </c:pt>
                <c:pt idx="216">
                  <c:v>-1.8583665990503651E-3</c:v>
                </c:pt>
                <c:pt idx="217">
                  <c:v>-5.0706728837701665E-3</c:v>
                </c:pt>
                <c:pt idx="218">
                  <c:v>7.9047997797425662E-3</c:v>
                </c:pt>
                <c:pt idx="219">
                  <c:v>-4.7521634050464723E-3</c:v>
                </c:pt>
                <c:pt idx="220">
                  <c:v>-2.5768529353591196E-2</c:v>
                </c:pt>
                <c:pt idx="221">
                  <c:v>-4.7482123771918072E-3</c:v>
                </c:pt>
                <c:pt idx="222">
                  <c:v>4.6863935528167477E-3</c:v>
                </c:pt>
                <c:pt idx="223">
                  <c:v>-9.2485673217890252E-4</c:v>
                </c:pt>
                <c:pt idx="224">
                  <c:v>-1.2733476159312085E-2</c:v>
                </c:pt>
                <c:pt idx="225">
                  <c:v>-1.6987469553499834E-2</c:v>
                </c:pt>
                <c:pt idx="226">
                  <c:v>6.2102117947901991E-3</c:v>
                </c:pt>
                <c:pt idx="227">
                  <c:v>9.3146661068077563E-4</c:v>
                </c:pt>
                <c:pt idx="228">
                  <c:v>1.235609364251955E-2</c:v>
                </c:pt>
                <c:pt idx="229">
                  <c:v>-8.3455552047076997E-3</c:v>
                </c:pt>
                <c:pt idx="230">
                  <c:v>2.8119539978193053E-3</c:v>
                </c:pt>
                <c:pt idx="231">
                  <c:v>-2.0773038721082493E-2</c:v>
                </c:pt>
                <c:pt idx="232">
                  <c:v>-4.3464324040566327E-3</c:v>
                </c:pt>
                <c:pt idx="233">
                  <c:v>-3.552608372285726E-2</c:v>
                </c:pt>
                <c:pt idx="234">
                  <c:v>-2.794287964533515E-3</c:v>
                </c:pt>
                <c:pt idx="235">
                  <c:v>-1.2196198705863859E-3</c:v>
                </c:pt>
                <c:pt idx="236">
                  <c:v>-2.1489384024744762E-2</c:v>
                </c:pt>
                <c:pt idx="237">
                  <c:v>-1.2562656921523474E-2</c:v>
                </c:pt>
                <c:pt idx="238">
                  <c:v>2.7849916098365846E-4</c:v>
                </c:pt>
                <c:pt idx="239">
                  <c:v>1.3047621153610356E-2</c:v>
                </c:pt>
                <c:pt idx="240">
                  <c:v>-3.3104303609078456E-2</c:v>
                </c:pt>
                <c:pt idx="241">
                  <c:v>2.1836615324624109E-3</c:v>
                </c:pt>
                <c:pt idx="242">
                  <c:v>-4.0342481042088263E-4</c:v>
                </c:pt>
                <c:pt idx="243">
                  <c:v>-1.0929644638021374E-3</c:v>
                </c:pt>
                <c:pt idx="244">
                  <c:v>7.7985842570116315E-3</c:v>
                </c:pt>
                <c:pt idx="245">
                  <c:v>2.4149811453608283E-2</c:v>
                </c:pt>
                <c:pt idx="246">
                  <c:v>4.0863731922791136E-3</c:v>
                </c:pt>
                <c:pt idx="247">
                  <c:v>1.1801561205941891E-2</c:v>
                </c:pt>
                <c:pt idx="248">
                  <c:v>1.5782020740184421E-2</c:v>
                </c:pt>
                <c:pt idx="249">
                  <c:v>-2.0573913009991451E-2</c:v>
                </c:pt>
                <c:pt idx="250">
                  <c:v>4.5944065017633484E-3</c:v>
                </c:pt>
                <c:pt idx="251">
                  <c:v>1.5469697592363163E-2</c:v>
                </c:pt>
                <c:pt idx="252">
                  <c:v>1.4778263416739934E-2</c:v>
                </c:pt>
                <c:pt idx="253">
                  <c:v>6.1938289599248186E-3</c:v>
                </c:pt>
                <c:pt idx="254">
                  <c:v>-1.0948712238172731E-2</c:v>
                </c:pt>
                <c:pt idx="255">
                  <c:v>1.265282911572374E-2</c:v>
                </c:pt>
                <c:pt idx="256">
                  <c:v>7.679065924074191E-3</c:v>
                </c:pt>
                <c:pt idx="257">
                  <c:v>-6.6565246377435772E-3</c:v>
                </c:pt>
                <c:pt idx="258">
                  <c:v>7.3845163306531791E-3</c:v>
                </c:pt>
                <c:pt idx="259">
                  <c:v>-1.3678713290843025E-2</c:v>
                </c:pt>
                <c:pt idx="260">
                  <c:v>6.449632613465317E-3</c:v>
                </c:pt>
                <c:pt idx="261">
                  <c:v>-1.4561754263101689E-2</c:v>
                </c:pt>
                <c:pt idx="262">
                  <c:v>-1.0271257481598184E-2</c:v>
                </c:pt>
                <c:pt idx="263">
                  <c:v>-1.1548532112659493E-2</c:v>
                </c:pt>
                <c:pt idx="264">
                  <c:v>-1.3445839268958704E-2</c:v>
                </c:pt>
                <c:pt idx="265">
                  <c:v>-1.9714730228856947E-3</c:v>
                </c:pt>
                <c:pt idx="266">
                  <c:v>-2.0807798337994066E-2</c:v>
                </c:pt>
                <c:pt idx="267">
                  <c:v>-1.6587387347243521E-2</c:v>
                </c:pt>
                <c:pt idx="268">
                  <c:v>-5.7164453616570521E-3</c:v>
                </c:pt>
                <c:pt idx="269">
                  <c:v>1.2046520636308067E-2</c:v>
                </c:pt>
                <c:pt idx="270">
                  <c:v>-1.4441153654857208E-2</c:v>
                </c:pt>
                <c:pt idx="271">
                  <c:v>2.0088741021798917E-2</c:v>
                </c:pt>
                <c:pt idx="272">
                  <c:v>-8.2687533146778014E-3</c:v>
                </c:pt>
                <c:pt idx="273">
                  <c:v>1.2481395945598273E-3</c:v>
                </c:pt>
                <c:pt idx="274">
                  <c:v>-1.5708389631212127E-2</c:v>
                </c:pt>
                <c:pt idx="275">
                  <c:v>-4.219163187150321E-3</c:v>
                </c:pt>
                <c:pt idx="276">
                  <c:v>1.0357789836124676E-2</c:v>
                </c:pt>
                <c:pt idx="277">
                  <c:v>-1.2997996884042018E-2</c:v>
                </c:pt>
                <c:pt idx="278">
                  <c:v>-1.1922105137297745E-2</c:v>
                </c:pt>
                <c:pt idx="279">
                  <c:v>-9.7848147487663573E-3</c:v>
                </c:pt>
                <c:pt idx="280">
                  <c:v>7.6089077176062503E-3</c:v>
                </c:pt>
                <c:pt idx="281">
                  <c:v>-1.0371806219892088E-2</c:v>
                </c:pt>
                <c:pt idx="282">
                  <c:v>5.5020248268387029E-3</c:v>
                </c:pt>
                <c:pt idx="283">
                  <c:v>-4.7801770728979065E-3</c:v>
                </c:pt>
                <c:pt idx="284">
                  <c:v>1.4261159155610548E-2</c:v>
                </c:pt>
                <c:pt idx="285">
                  <c:v>2.1278962001853863E-3</c:v>
                </c:pt>
                <c:pt idx="286">
                  <c:v>-2.5746881519953857E-2</c:v>
                </c:pt>
                <c:pt idx="287">
                  <c:v>-1.4092391410475136E-3</c:v>
                </c:pt>
                <c:pt idx="288">
                  <c:v>-1.2719519813139901E-2</c:v>
                </c:pt>
                <c:pt idx="289">
                  <c:v>-9.9728533276405296E-3</c:v>
                </c:pt>
                <c:pt idx="290">
                  <c:v>1.0542356152690058E-2</c:v>
                </c:pt>
                <c:pt idx="291">
                  <c:v>1.0013319562819367E-2</c:v>
                </c:pt>
                <c:pt idx="292">
                  <c:v>2.5007268921792836E-2</c:v>
                </c:pt>
                <c:pt idx="293">
                  <c:v>-1.1718372346765094E-3</c:v>
                </c:pt>
                <c:pt idx="294">
                  <c:v>1.5462360421803156E-2</c:v>
                </c:pt>
                <c:pt idx="295">
                  <c:v>-1.1724212336766571E-2</c:v>
                </c:pt>
                <c:pt idx="296">
                  <c:v>9.6078635036851434E-3</c:v>
                </c:pt>
                <c:pt idx="297">
                  <c:v>-5.3392793967431684E-3</c:v>
                </c:pt>
                <c:pt idx="298">
                  <c:v>9.0039124960288319E-3</c:v>
                </c:pt>
                <c:pt idx="299">
                  <c:v>1.4296951489945808E-2</c:v>
                </c:pt>
                <c:pt idx="300">
                  <c:v>-3.2959462748383128E-3</c:v>
                </c:pt>
                <c:pt idx="301">
                  <c:v>-8.5630328615179385E-3</c:v>
                </c:pt>
                <c:pt idx="302">
                  <c:v>9.4572763211173694E-3</c:v>
                </c:pt>
                <c:pt idx="303">
                  <c:v>1.5571724840943491E-2</c:v>
                </c:pt>
                <c:pt idx="304">
                  <c:v>3.0027648606168134E-2</c:v>
                </c:pt>
                <c:pt idx="305">
                  <c:v>1.4442220739752321E-2</c:v>
                </c:pt>
                <c:pt idx="306">
                  <c:v>1.7803315933354158E-2</c:v>
                </c:pt>
                <c:pt idx="307">
                  <c:v>8.2328909785662763E-3</c:v>
                </c:pt>
                <c:pt idx="308">
                  <c:v>1.6986403851466658E-2</c:v>
                </c:pt>
                <c:pt idx="309">
                  <c:v>4.5882907566714426E-3</c:v>
                </c:pt>
                <c:pt idx="310">
                  <c:v>2.846708545515364E-2</c:v>
                </c:pt>
                <c:pt idx="311">
                  <c:v>2.8461609354923922E-4</c:v>
                </c:pt>
                <c:pt idx="312">
                  <c:v>5.050272385912713E-3</c:v>
                </c:pt>
                <c:pt idx="313">
                  <c:v>-3.128538816889237E-3</c:v>
                </c:pt>
                <c:pt idx="314">
                  <c:v>-4.123770825087858E-3</c:v>
                </c:pt>
                <c:pt idx="315">
                  <c:v>-1.5008985112325179E-2</c:v>
                </c:pt>
                <c:pt idx="316">
                  <c:v>-9.6367182401891904E-3</c:v>
                </c:pt>
                <c:pt idx="317">
                  <c:v>7.9208122939173897E-3</c:v>
                </c:pt>
                <c:pt idx="318">
                  <c:v>-8.0104891370447184E-5</c:v>
                </c:pt>
                <c:pt idx="319">
                  <c:v>1.1434738289246127E-2</c:v>
                </c:pt>
                <c:pt idx="320">
                  <c:v>-8.8774015460572064E-3</c:v>
                </c:pt>
                <c:pt idx="321">
                  <c:v>1.7122029364649016E-3</c:v>
                </c:pt>
                <c:pt idx="322">
                  <c:v>-4.677585005318563E-3</c:v>
                </c:pt>
                <c:pt idx="323">
                  <c:v>-2.0604024805167542E-2</c:v>
                </c:pt>
                <c:pt idx="324">
                  <c:v>1.1950463522583554E-2</c:v>
                </c:pt>
                <c:pt idx="325">
                  <c:v>1.4176967145987263E-2</c:v>
                </c:pt>
                <c:pt idx="326">
                  <c:v>7.3289887352085969E-3</c:v>
                </c:pt>
                <c:pt idx="327">
                  <c:v>-2.0531280084003178E-2</c:v>
                </c:pt>
                <c:pt idx="328">
                  <c:v>5.4048429920052765E-3</c:v>
                </c:pt>
                <c:pt idx="329">
                  <c:v>9.6511004749320062E-3</c:v>
                </c:pt>
                <c:pt idx="330">
                  <c:v>1.3766753149294653E-2</c:v>
                </c:pt>
                <c:pt idx="331">
                  <c:v>-1.5105421088550841E-2</c:v>
                </c:pt>
                <c:pt idx="332">
                  <c:v>-3.046704215799001E-3</c:v>
                </c:pt>
                <c:pt idx="333">
                  <c:v>-4.9811941075177391E-3</c:v>
                </c:pt>
                <c:pt idx="334">
                  <c:v>-6.3320437634496463E-3</c:v>
                </c:pt>
                <c:pt idx="335">
                  <c:v>3.199122203418181E-2</c:v>
                </c:pt>
                <c:pt idx="336">
                  <c:v>2.6437525229225489E-2</c:v>
                </c:pt>
                <c:pt idx="337">
                  <c:v>-1.346951495174098E-2</c:v>
                </c:pt>
                <c:pt idx="338">
                  <c:v>1.413837257000905E-2</c:v>
                </c:pt>
                <c:pt idx="339">
                  <c:v>-1.4086039431083441E-2</c:v>
                </c:pt>
                <c:pt idx="340">
                  <c:v>-3.079323209238416E-2</c:v>
                </c:pt>
                <c:pt idx="341">
                  <c:v>-4.9997474875005388E-3</c:v>
                </c:pt>
                <c:pt idx="342">
                  <c:v>1.0898755087160872E-3</c:v>
                </c:pt>
                <c:pt idx="343">
                  <c:v>-1.3735364692368801E-3</c:v>
                </c:pt>
                <c:pt idx="344">
                  <c:v>1.1638501210651464E-2</c:v>
                </c:pt>
                <c:pt idx="345">
                  <c:v>6.3837417157811549E-2</c:v>
                </c:pt>
                <c:pt idx="346">
                  <c:v>-1.5233272348780247E-3</c:v>
                </c:pt>
                <c:pt idx="347">
                  <c:v>8.9365712189661828E-3</c:v>
                </c:pt>
                <c:pt idx="348">
                  <c:v>-3.0353445222460751E-3</c:v>
                </c:pt>
                <c:pt idx="349">
                  <c:v>-7.2736993042288312E-3</c:v>
                </c:pt>
                <c:pt idx="350">
                  <c:v>-6.6207048435410476E-3</c:v>
                </c:pt>
                <c:pt idx="351">
                  <c:v>-1.4818336598199755E-2</c:v>
                </c:pt>
                <c:pt idx="352">
                  <c:v>-8.6699536834776714E-3</c:v>
                </c:pt>
                <c:pt idx="353">
                  <c:v>-5.2467581295045917E-3</c:v>
                </c:pt>
                <c:pt idx="354">
                  <c:v>1.15784341079328E-2</c:v>
                </c:pt>
                <c:pt idx="355">
                  <c:v>1.714815441446027E-2</c:v>
                </c:pt>
                <c:pt idx="356">
                  <c:v>5.7655188187226702E-3</c:v>
                </c:pt>
                <c:pt idx="357">
                  <c:v>1.094810974984739E-2</c:v>
                </c:pt>
                <c:pt idx="358">
                  <c:v>2.7812593459158208E-2</c:v>
                </c:pt>
                <c:pt idx="359">
                  <c:v>-4.5405597194024927E-2</c:v>
                </c:pt>
                <c:pt idx="360">
                  <c:v>-1.0481879895198665E-2</c:v>
                </c:pt>
                <c:pt idx="361">
                  <c:v>-3.501014971376315E-2</c:v>
                </c:pt>
                <c:pt idx="362">
                  <c:v>2.7838686588774086E-2</c:v>
                </c:pt>
                <c:pt idx="363">
                  <c:v>8.7465569004008259E-3</c:v>
                </c:pt>
                <c:pt idx="364">
                  <c:v>2.7543673752942865E-2</c:v>
                </c:pt>
                <c:pt idx="365">
                  <c:v>5.329315503501908E-3</c:v>
                </c:pt>
                <c:pt idx="366">
                  <c:v>1.0146999884519392E-3</c:v>
                </c:pt>
                <c:pt idx="367">
                  <c:v>5.3270765631534545E-3</c:v>
                </c:pt>
                <c:pt idx="368">
                  <c:v>-2.1376806397094605E-2</c:v>
                </c:pt>
                <c:pt idx="369">
                  <c:v>-1.1105094893381073E-3</c:v>
                </c:pt>
                <c:pt idx="370">
                  <c:v>-5.1330985550779529E-2</c:v>
                </c:pt>
                <c:pt idx="371">
                  <c:v>-5.008593621340196E-2</c:v>
                </c:pt>
                <c:pt idx="372">
                  <c:v>-1.9754354070743663E-2</c:v>
                </c:pt>
                <c:pt idx="373">
                  <c:v>5.8247076653388241E-3</c:v>
                </c:pt>
                <c:pt idx="374">
                  <c:v>-1.8890378487603998E-2</c:v>
                </c:pt>
                <c:pt idx="375">
                  <c:v>-9.168098305302963E-3</c:v>
                </c:pt>
                <c:pt idx="376">
                  <c:v>6.3368430309715951E-3</c:v>
                </c:pt>
                <c:pt idx="377">
                  <c:v>7.3058807523758151E-3</c:v>
                </c:pt>
                <c:pt idx="378">
                  <c:v>-1.0562387489969072E-2</c:v>
                </c:pt>
                <c:pt idx="379">
                  <c:v>-1.0103224263680044E-3</c:v>
                </c:pt>
                <c:pt idx="380">
                  <c:v>3.3584806298659675E-2</c:v>
                </c:pt>
                <c:pt idx="381">
                  <c:v>-3.1421433389398179E-2</c:v>
                </c:pt>
                <c:pt idx="382">
                  <c:v>-3.7081426708391874E-3</c:v>
                </c:pt>
                <c:pt idx="383">
                  <c:v>1.5656765148522656E-2</c:v>
                </c:pt>
                <c:pt idx="384">
                  <c:v>9.3819658314890919E-3</c:v>
                </c:pt>
                <c:pt idx="385">
                  <c:v>-9.5230106096269029E-3</c:v>
                </c:pt>
                <c:pt idx="386">
                  <c:v>1.2885080132908122E-2</c:v>
                </c:pt>
                <c:pt idx="387">
                  <c:v>-3.1963341571692228E-2</c:v>
                </c:pt>
                <c:pt idx="388">
                  <c:v>1.164870682079111E-2</c:v>
                </c:pt>
                <c:pt idx="389">
                  <c:v>-5.594468078769399E-3</c:v>
                </c:pt>
                <c:pt idx="390">
                  <c:v>-2.7687423248569765E-2</c:v>
                </c:pt>
                <c:pt idx="391">
                  <c:v>-7.7381355775569816E-3</c:v>
                </c:pt>
                <c:pt idx="392">
                  <c:v>-1.8944638647600875E-2</c:v>
                </c:pt>
                <c:pt idx="393">
                  <c:v>-2.9686667686319668E-2</c:v>
                </c:pt>
                <c:pt idx="394">
                  <c:v>1.4076667779117313E-2</c:v>
                </c:pt>
                <c:pt idx="395">
                  <c:v>5.9710132498613788E-4</c:v>
                </c:pt>
                <c:pt idx="396">
                  <c:v>7.8316086295560083E-4</c:v>
                </c:pt>
                <c:pt idx="397">
                  <c:v>3.6879314183923428E-2</c:v>
                </c:pt>
                <c:pt idx="398">
                  <c:v>2.5978289822812251E-2</c:v>
                </c:pt>
                <c:pt idx="399">
                  <c:v>7.960834826010954E-3</c:v>
                </c:pt>
                <c:pt idx="400">
                  <c:v>3.5740991622823515E-4</c:v>
                </c:pt>
                <c:pt idx="401">
                  <c:v>3.1736241890042871E-2</c:v>
                </c:pt>
                <c:pt idx="402">
                  <c:v>-1.2262419847379968E-2</c:v>
                </c:pt>
                <c:pt idx="403">
                  <c:v>-1.5750167461209719E-2</c:v>
                </c:pt>
                <c:pt idx="404">
                  <c:v>2.6205687483893847E-2</c:v>
                </c:pt>
                <c:pt idx="405">
                  <c:v>-5.8542525744459395E-3</c:v>
                </c:pt>
                <c:pt idx="406">
                  <c:v>-3.4292713992991608E-2</c:v>
                </c:pt>
                <c:pt idx="407">
                  <c:v>-3.1145632087676511E-2</c:v>
                </c:pt>
                <c:pt idx="408">
                  <c:v>7.3424944258959624E-3</c:v>
                </c:pt>
                <c:pt idx="409">
                  <c:v>3.0285878076265149E-2</c:v>
                </c:pt>
                <c:pt idx="410">
                  <c:v>1.9887330903451961E-2</c:v>
                </c:pt>
                <c:pt idx="411">
                  <c:v>-1.5992752053256565E-3</c:v>
                </c:pt>
                <c:pt idx="412">
                  <c:v>2.6854441941300156E-2</c:v>
                </c:pt>
                <c:pt idx="413">
                  <c:v>1.9654929293356105E-2</c:v>
                </c:pt>
                <c:pt idx="414">
                  <c:v>-1.4413239832542613E-2</c:v>
                </c:pt>
                <c:pt idx="415">
                  <c:v>-7.8472678890945113E-3</c:v>
                </c:pt>
                <c:pt idx="416">
                  <c:v>-1.7322502393994688E-2</c:v>
                </c:pt>
                <c:pt idx="417">
                  <c:v>1.8792529261308255E-2</c:v>
                </c:pt>
                <c:pt idx="418">
                  <c:v>1.3243815927990843E-2</c:v>
                </c:pt>
                <c:pt idx="419">
                  <c:v>5.1853575380000905E-4</c:v>
                </c:pt>
                <c:pt idx="420">
                  <c:v>-1.0240044954442862E-2</c:v>
                </c:pt>
                <c:pt idx="421">
                  <c:v>-2.0363030258275683E-2</c:v>
                </c:pt>
                <c:pt idx="422">
                  <c:v>1.055223252307913E-2</c:v>
                </c:pt>
                <c:pt idx="423">
                  <c:v>1.158418977998954E-2</c:v>
                </c:pt>
                <c:pt idx="424">
                  <c:v>3.4666791799087271E-4</c:v>
                </c:pt>
                <c:pt idx="425">
                  <c:v>-2.0232837986997598E-2</c:v>
                </c:pt>
                <c:pt idx="426">
                  <c:v>6.8337218868652627E-3</c:v>
                </c:pt>
                <c:pt idx="427">
                  <c:v>9.606501249941779E-3</c:v>
                </c:pt>
                <c:pt idx="428">
                  <c:v>-1.5858170398914906E-2</c:v>
                </c:pt>
                <c:pt idx="429">
                  <c:v>1.2423707011481877E-3</c:v>
                </c:pt>
                <c:pt idx="430">
                  <c:v>-2.1542822749704538E-2</c:v>
                </c:pt>
                <c:pt idx="431">
                  <c:v>2.2651208280450863E-3</c:v>
                </c:pt>
                <c:pt idx="432">
                  <c:v>-1.2510581323752268E-2</c:v>
                </c:pt>
                <c:pt idx="433">
                  <c:v>4.5956008268092541E-2</c:v>
                </c:pt>
                <c:pt idx="434">
                  <c:v>-2.5264023637410871E-2</c:v>
                </c:pt>
                <c:pt idx="435">
                  <c:v>-8.9228461814347959E-3</c:v>
                </c:pt>
                <c:pt idx="436">
                  <c:v>2.1179555174510867E-2</c:v>
                </c:pt>
                <c:pt idx="437">
                  <c:v>-7.5346444278483471E-3</c:v>
                </c:pt>
                <c:pt idx="438">
                  <c:v>1.7322157705409236E-2</c:v>
                </c:pt>
                <c:pt idx="439">
                  <c:v>4.8819069701331319E-3</c:v>
                </c:pt>
                <c:pt idx="440">
                  <c:v>-7.0250828461352333E-3</c:v>
                </c:pt>
                <c:pt idx="441">
                  <c:v>-1.6394777005256933E-2</c:v>
                </c:pt>
                <c:pt idx="442">
                  <c:v>-1.2708658438542741E-4</c:v>
                </c:pt>
                <c:pt idx="443">
                  <c:v>-2.6339825425868102E-2</c:v>
                </c:pt>
                <c:pt idx="444">
                  <c:v>-6.2032353970982168E-3</c:v>
                </c:pt>
                <c:pt idx="445">
                  <c:v>3.7472099578028661E-4</c:v>
                </c:pt>
                <c:pt idx="446">
                  <c:v>-1.3974504087814643E-2</c:v>
                </c:pt>
                <c:pt idx="447">
                  <c:v>-1.7075409077911385E-2</c:v>
                </c:pt>
                <c:pt idx="448">
                  <c:v>1.2025264608332975E-3</c:v>
                </c:pt>
                <c:pt idx="449">
                  <c:v>2.5712598354989513E-2</c:v>
                </c:pt>
                <c:pt idx="450">
                  <c:v>8.4841877689019185E-3</c:v>
                </c:pt>
                <c:pt idx="451">
                  <c:v>2.6275840038940679E-2</c:v>
                </c:pt>
                <c:pt idx="452">
                  <c:v>-1.0598541934693451E-2</c:v>
                </c:pt>
                <c:pt idx="453">
                  <c:v>-2.3512433836013202E-2</c:v>
                </c:pt>
                <c:pt idx="454">
                  <c:v>-9.2753107367168353E-3</c:v>
                </c:pt>
                <c:pt idx="455">
                  <c:v>-2.0842624250531072E-3</c:v>
                </c:pt>
                <c:pt idx="456">
                  <c:v>3.9361973953855323E-3</c:v>
                </c:pt>
                <c:pt idx="457">
                  <c:v>1.8026242846279183E-2</c:v>
                </c:pt>
                <c:pt idx="458">
                  <c:v>-3.0505036600375846E-2</c:v>
                </c:pt>
                <c:pt idx="459">
                  <c:v>-6.5366505538559938E-3</c:v>
                </c:pt>
                <c:pt idx="460">
                  <c:v>7.4424450565329092E-3</c:v>
                </c:pt>
                <c:pt idx="461">
                  <c:v>-6.2160264788749808E-3</c:v>
                </c:pt>
                <c:pt idx="462">
                  <c:v>-2.6341146981396002E-2</c:v>
                </c:pt>
                <c:pt idx="463">
                  <c:v>1.2964681860764937E-2</c:v>
                </c:pt>
                <c:pt idx="464">
                  <c:v>8.8163018572342544E-3</c:v>
                </c:pt>
                <c:pt idx="465">
                  <c:v>5.2167564961542734E-3</c:v>
                </c:pt>
                <c:pt idx="466">
                  <c:v>2.5880199653252056E-3</c:v>
                </c:pt>
                <c:pt idx="467">
                  <c:v>2.3401631707975712E-2</c:v>
                </c:pt>
                <c:pt idx="468">
                  <c:v>-8.1356362141162819E-3</c:v>
                </c:pt>
                <c:pt idx="469">
                  <c:v>-1.3133688074908334E-2</c:v>
                </c:pt>
                <c:pt idx="470">
                  <c:v>1.941516263594778E-2</c:v>
                </c:pt>
                <c:pt idx="471">
                  <c:v>-4.0079379722912645E-4</c:v>
                </c:pt>
                <c:pt idx="472">
                  <c:v>-2.9738313099316738E-3</c:v>
                </c:pt>
                <c:pt idx="473">
                  <c:v>1.0263578233685511E-2</c:v>
                </c:pt>
                <c:pt idx="474">
                  <c:v>4.1653262095673993E-2</c:v>
                </c:pt>
                <c:pt idx="475">
                  <c:v>1.8780921179945453E-2</c:v>
                </c:pt>
                <c:pt idx="476">
                  <c:v>-1.8975768959939021E-3</c:v>
                </c:pt>
                <c:pt idx="477">
                  <c:v>9.774087758216865E-3</c:v>
                </c:pt>
                <c:pt idx="478">
                  <c:v>-1.4287441234450693E-3</c:v>
                </c:pt>
                <c:pt idx="479">
                  <c:v>-2.2515137187913981E-3</c:v>
                </c:pt>
                <c:pt idx="480">
                  <c:v>-1.6639756952737672E-2</c:v>
                </c:pt>
                <c:pt idx="481">
                  <c:v>5.8457601479851018E-3</c:v>
                </c:pt>
                <c:pt idx="482">
                  <c:v>-3.0831345200954541E-3</c:v>
                </c:pt>
                <c:pt idx="483">
                  <c:v>6.4789103571489814E-3</c:v>
                </c:pt>
                <c:pt idx="484">
                  <c:v>-1.5434080505965952E-2</c:v>
                </c:pt>
                <c:pt idx="485">
                  <c:v>1.400116546014174E-2</c:v>
                </c:pt>
                <c:pt idx="486">
                  <c:v>8.6588267964653465E-3</c:v>
                </c:pt>
                <c:pt idx="487">
                  <c:v>-2.5682744591194462E-2</c:v>
                </c:pt>
                <c:pt idx="488">
                  <c:v>1.7660806549411046E-3</c:v>
                </c:pt>
                <c:pt idx="489">
                  <c:v>1.5287863146739689E-2</c:v>
                </c:pt>
                <c:pt idx="490">
                  <c:v>3.669539800215138E-2</c:v>
                </c:pt>
                <c:pt idx="491">
                  <c:v>1.0601551755262451E-2</c:v>
                </c:pt>
                <c:pt idx="492">
                  <c:v>3.8000197044880668E-3</c:v>
                </c:pt>
                <c:pt idx="493">
                  <c:v>7.6474030751054745E-3</c:v>
                </c:pt>
                <c:pt idx="494">
                  <c:v>1.3723121570926367E-2</c:v>
                </c:pt>
                <c:pt idx="495">
                  <c:v>-2.0905435233561365E-3</c:v>
                </c:pt>
                <c:pt idx="496">
                  <c:v>4.718076270317173E-3</c:v>
                </c:pt>
                <c:pt idx="497">
                  <c:v>-9.6793464582656252E-3</c:v>
                </c:pt>
                <c:pt idx="498">
                  <c:v>1.1234573037386397E-2</c:v>
                </c:pt>
                <c:pt idx="499">
                  <c:v>1.4819571493476236E-3</c:v>
                </c:pt>
                <c:pt idx="500">
                  <c:v>5.9074473129820948E-3</c:v>
                </c:pt>
                <c:pt idx="501">
                  <c:v>-1.1857370639601905E-2</c:v>
                </c:pt>
                <c:pt idx="502">
                  <c:v>4.4679757634999984E-3</c:v>
                </c:pt>
                <c:pt idx="503">
                  <c:v>-1.1255763614652858E-2</c:v>
                </c:pt>
                <c:pt idx="504">
                  <c:v>2.2485550753966299E-2</c:v>
                </c:pt>
                <c:pt idx="505">
                  <c:v>3.6362767710924615E-3</c:v>
                </c:pt>
                <c:pt idx="506">
                  <c:v>-1.5118297371180534E-3</c:v>
                </c:pt>
                <c:pt idx="507">
                  <c:v>-1.270623799299353E-2</c:v>
                </c:pt>
                <c:pt idx="508">
                  <c:v>-8.4209679150123451E-3</c:v>
                </c:pt>
                <c:pt idx="509">
                  <c:v>2.3167875562625895E-2</c:v>
                </c:pt>
                <c:pt idx="510">
                  <c:v>1.6937066844827875E-2</c:v>
                </c:pt>
                <c:pt idx="511">
                  <c:v>5.7117152566934504E-3</c:v>
                </c:pt>
                <c:pt idx="512">
                  <c:v>6.6703494349593662E-3</c:v>
                </c:pt>
                <c:pt idx="513">
                  <c:v>7.5079252700327448E-3</c:v>
                </c:pt>
                <c:pt idx="514">
                  <c:v>1.5169062996815974E-2</c:v>
                </c:pt>
                <c:pt idx="515">
                  <c:v>3.7648957371638758E-3</c:v>
                </c:pt>
                <c:pt idx="516">
                  <c:v>-3.999269524582294E-3</c:v>
                </c:pt>
                <c:pt idx="517">
                  <c:v>1.3091676901734184E-2</c:v>
                </c:pt>
                <c:pt idx="518">
                  <c:v>2.6668099102524767E-3</c:v>
                </c:pt>
                <c:pt idx="519">
                  <c:v>7.4920443390547042E-4</c:v>
                </c:pt>
                <c:pt idx="520">
                  <c:v>1.3688070130357888E-2</c:v>
                </c:pt>
                <c:pt idx="521">
                  <c:v>2.032797753685367E-3</c:v>
                </c:pt>
                <c:pt idx="522">
                  <c:v>7.9938831671961808E-3</c:v>
                </c:pt>
                <c:pt idx="523">
                  <c:v>-1.8698061498885532E-2</c:v>
                </c:pt>
                <c:pt idx="524">
                  <c:v>1.1558021266759866E-3</c:v>
                </c:pt>
                <c:pt idx="525">
                  <c:v>-6.8097224200920348E-3</c:v>
                </c:pt>
                <c:pt idx="526">
                  <c:v>-5.7904824715071523E-3</c:v>
                </c:pt>
                <c:pt idx="527">
                  <c:v>-6.8383027874768798E-3</c:v>
                </c:pt>
                <c:pt idx="528">
                  <c:v>1.8194053202911231E-2</c:v>
                </c:pt>
                <c:pt idx="529">
                  <c:v>2.3098759702380178E-3</c:v>
                </c:pt>
                <c:pt idx="530">
                  <c:v>1.8262987345003312E-2</c:v>
                </c:pt>
                <c:pt idx="531">
                  <c:v>-7.6718082538020926E-3</c:v>
                </c:pt>
                <c:pt idx="532">
                  <c:v>2.3074344729090424E-3</c:v>
                </c:pt>
                <c:pt idx="533">
                  <c:v>-2.1842699606135052E-2</c:v>
                </c:pt>
                <c:pt idx="534">
                  <c:v>1.6179898872535237E-2</c:v>
                </c:pt>
                <c:pt idx="535">
                  <c:v>-9.0358704308678428E-3</c:v>
                </c:pt>
                <c:pt idx="536">
                  <c:v>-8.8697832823938505E-3</c:v>
                </c:pt>
                <c:pt idx="537">
                  <c:v>-2.2819697088792834E-3</c:v>
                </c:pt>
                <c:pt idx="538">
                  <c:v>1.5327815220338881E-2</c:v>
                </c:pt>
                <c:pt idx="539">
                  <c:v>-9.7808597355287796E-3</c:v>
                </c:pt>
                <c:pt idx="540">
                  <c:v>1.4098180813375549E-2</c:v>
                </c:pt>
                <c:pt idx="541">
                  <c:v>-2.100131197196764E-3</c:v>
                </c:pt>
                <c:pt idx="542">
                  <c:v>-8.4051627522179206E-3</c:v>
                </c:pt>
                <c:pt idx="543">
                  <c:v>8.2363859198899547E-3</c:v>
                </c:pt>
                <c:pt idx="544">
                  <c:v>2.3229762924832142E-2</c:v>
                </c:pt>
                <c:pt idx="545">
                  <c:v>-1.3989702533571902E-2</c:v>
                </c:pt>
                <c:pt idx="546">
                  <c:v>-2.3935198802755853E-3</c:v>
                </c:pt>
                <c:pt idx="547">
                  <c:v>3.9164194772816074E-3</c:v>
                </c:pt>
                <c:pt idx="548">
                  <c:v>-1.9295115868324553E-2</c:v>
                </c:pt>
                <c:pt idx="549">
                  <c:v>1.1031150989701866E-2</c:v>
                </c:pt>
                <c:pt idx="550">
                  <c:v>7.2782016071610833E-3</c:v>
                </c:pt>
                <c:pt idx="551">
                  <c:v>-4.8569298096087232E-3</c:v>
                </c:pt>
                <c:pt idx="552">
                  <c:v>-7.3631664700712918E-4</c:v>
                </c:pt>
                <c:pt idx="553">
                  <c:v>-1.6760094239985923E-3</c:v>
                </c:pt>
                <c:pt idx="554">
                  <c:v>-2.1516279213598E-2</c:v>
                </c:pt>
                <c:pt idx="555">
                  <c:v>-2.1590206895060193E-3</c:v>
                </c:pt>
                <c:pt idx="556">
                  <c:v>-4.7241167493609071E-3</c:v>
                </c:pt>
                <c:pt idx="557">
                  <c:v>-6.7588786173733428E-3</c:v>
                </c:pt>
                <c:pt idx="558">
                  <c:v>2.8733742418187713E-3</c:v>
                </c:pt>
                <c:pt idx="559">
                  <c:v>-2.1101835271175595E-4</c:v>
                </c:pt>
                <c:pt idx="560">
                  <c:v>-6.0106675053124281E-3</c:v>
                </c:pt>
                <c:pt idx="561">
                  <c:v>-6.5842068708225066E-3</c:v>
                </c:pt>
                <c:pt idx="562">
                  <c:v>-4.9596010518714317E-3</c:v>
                </c:pt>
                <c:pt idx="563">
                  <c:v>-1.292637171534583E-2</c:v>
                </c:pt>
                <c:pt idx="564">
                  <c:v>8.4648331830476931E-3</c:v>
                </c:pt>
                <c:pt idx="565">
                  <c:v>-8.4126958197886514E-3</c:v>
                </c:pt>
                <c:pt idx="566">
                  <c:v>1.7900216588718987E-2</c:v>
                </c:pt>
                <c:pt idx="567">
                  <c:v>1.5863943515366019E-2</c:v>
                </c:pt>
                <c:pt idx="568">
                  <c:v>-1.6263530232507373E-2</c:v>
                </c:pt>
                <c:pt idx="569">
                  <c:v>-1.190152496013086E-2</c:v>
                </c:pt>
                <c:pt idx="570">
                  <c:v>2.0393392958193646E-2</c:v>
                </c:pt>
                <c:pt idx="571">
                  <c:v>1.1321434217411719E-2</c:v>
                </c:pt>
                <c:pt idx="572">
                  <c:v>-1.7318673455484102E-2</c:v>
                </c:pt>
                <c:pt idx="573">
                  <c:v>-1.5388371359084885E-2</c:v>
                </c:pt>
                <c:pt idx="574">
                  <c:v>6.1254128606023084E-3</c:v>
                </c:pt>
                <c:pt idx="575">
                  <c:v>-3.7842521186058908E-3</c:v>
                </c:pt>
                <c:pt idx="576">
                  <c:v>-1.4125686545602423E-2</c:v>
                </c:pt>
                <c:pt idx="577">
                  <c:v>-1.2169425967503922E-2</c:v>
                </c:pt>
                <c:pt idx="578">
                  <c:v>-1.1408604158608115E-3</c:v>
                </c:pt>
                <c:pt idx="579">
                  <c:v>2.089831289430788E-2</c:v>
                </c:pt>
                <c:pt idx="580">
                  <c:v>1.0283427867152195E-2</c:v>
                </c:pt>
                <c:pt idx="581">
                  <c:v>5.8660146581637207E-3</c:v>
                </c:pt>
                <c:pt idx="582">
                  <c:v>3.7127793232272222E-3</c:v>
                </c:pt>
                <c:pt idx="583">
                  <c:v>-5.0350247794358483E-3</c:v>
                </c:pt>
                <c:pt idx="584">
                  <c:v>-3.4013227271133539E-3</c:v>
                </c:pt>
                <c:pt idx="585">
                  <c:v>-8.4297770309814668E-3</c:v>
                </c:pt>
                <c:pt idx="586">
                  <c:v>9.0397602321516946E-3</c:v>
                </c:pt>
                <c:pt idx="587">
                  <c:v>-2.6509225522688085E-2</c:v>
                </c:pt>
                <c:pt idx="588">
                  <c:v>-4.4440959339693276E-3</c:v>
                </c:pt>
                <c:pt idx="589">
                  <c:v>4.3276442658712888E-4</c:v>
                </c:pt>
                <c:pt idx="590">
                  <c:v>-1.5134010477391824E-2</c:v>
                </c:pt>
                <c:pt idx="591">
                  <c:v>-2.4206746271981938E-3</c:v>
                </c:pt>
                <c:pt idx="592">
                  <c:v>2.2344955255165777E-2</c:v>
                </c:pt>
                <c:pt idx="593">
                  <c:v>1.0286688602207938E-3</c:v>
                </c:pt>
                <c:pt idx="594">
                  <c:v>-1.1275575920099645E-2</c:v>
                </c:pt>
                <c:pt idx="595">
                  <c:v>-1.6745862253069954E-2</c:v>
                </c:pt>
                <c:pt idx="596">
                  <c:v>2.0945156523053399E-2</c:v>
                </c:pt>
                <c:pt idx="597">
                  <c:v>3.4526315789473738E-3</c:v>
                </c:pt>
                <c:pt idx="598">
                  <c:v>1.1387607992791704E-2</c:v>
                </c:pt>
                <c:pt idx="599">
                  <c:v>-6.7044512630239916E-3</c:v>
                </c:pt>
                <c:pt idx="600">
                  <c:v>7.7837913887630616E-3</c:v>
                </c:pt>
                <c:pt idx="601">
                  <c:v>9.9320557688902245E-3</c:v>
                </c:pt>
                <c:pt idx="602">
                  <c:v>-1.650496341157881E-2</c:v>
                </c:pt>
                <c:pt idx="603">
                  <c:v>8.4419246534066517E-3</c:v>
                </c:pt>
                <c:pt idx="604">
                  <c:v>-1.7365345616981553E-2</c:v>
                </c:pt>
                <c:pt idx="605">
                  <c:v>-1.2208776099450258E-2</c:v>
                </c:pt>
                <c:pt idx="606">
                  <c:v>4.4630156631835227E-3</c:v>
                </c:pt>
                <c:pt idx="607">
                  <c:v>-4.1831882649149277E-3</c:v>
                </c:pt>
                <c:pt idx="608">
                  <c:v>5.4290482342809199E-3</c:v>
                </c:pt>
                <c:pt idx="609">
                  <c:v>5.3203118655804627E-3</c:v>
                </c:pt>
                <c:pt idx="610">
                  <c:v>-3.1857678108742071E-3</c:v>
                </c:pt>
                <c:pt idx="611">
                  <c:v>1.9739372956337764E-2</c:v>
                </c:pt>
                <c:pt idx="612">
                  <c:v>-2.1696702006984259E-2</c:v>
                </c:pt>
                <c:pt idx="613">
                  <c:v>-1.026327651844805E-2</c:v>
                </c:pt>
                <c:pt idx="614">
                  <c:v>-4.0575140669205645E-3</c:v>
                </c:pt>
                <c:pt idx="615">
                  <c:v>1.3565056125645958E-2</c:v>
                </c:pt>
                <c:pt idx="616">
                  <c:v>4.0606171065891816E-2</c:v>
                </c:pt>
                <c:pt idx="617">
                  <c:v>5.4183859374383747E-3</c:v>
                </c:pt>
                <c:pt idx="618">
                  <c:v>2.0442355529102452E-2</c:v>
                </c:pt>
                <c:pt idx="619">
                  <c:v>7.0954687411086681E-3</c:v>
                </c:pt>
                <c:pt idx="620">
                  <c:v>-9.6221998609018478E-3</c:v>
                </c:pt>
                <c:pt idx="621">
                  <c:v>1.4814323841102262E-2</c:v>
                </c:pt>
                <c:pt idx="622">
                  <c:v>-1.249313790982387E-2</c:v>
                </c:pt>
                <c:pt idx="623">
                  <c:v>1.6329086687993488E-2</c:v>
                </c:pt>
                <c:pt idx="624">
                  <c:v>1.5928338950044196E-2</c:v>
                </c:pt>
                <c:pt idx="625">
                  <c:v>-5.2616087435628511E-3</c:v>
                </c:pt>
                <c:pt idx="626">
                  <c:v>8.4529958004018191E-3</c:v>
                </c:pt>
                <c:pt idx="627">
                  <c:v>-5.1319399201718019E-3</c:v>
                </c:pt>
                <c:pt idx="628">
                  <c:v>1.0285138588159715E-2</c:v>
                </c:pt>
                <c:pt idx="629">
                  <c:v>9.1808045910457547E-3</c:v>
                </c:pt>
                <c:pt idx="630">
                  <c:v>-6.0579497641207736E-3</c:v>
                </c:pt>
                <c:pt idx="631">
                  <c:v>2.2144221256206187E-3</c:v>
                </c:pt>
                <c:pt idx="632">
                  <c:v>1.056686186042044E-2</c:v>
                </c:pt>
                <c:pt idx="633">
                  <c:v>2.360579743186042E-3</c:v>
                </c:pt>
                <c:pt idx="634">
                  <c:v>1.4923027472870443E-2</c:v>
                </c:pt>
                <c:pt idx="635">
                  <c:v>3.3996640020790281E-3</c:v>
                </c:pt>
                <c:pt idx="636">
                  <c:v>-1.958904874462486E-3</c:v>
                </c:pt>
                <c:pt idx="637">
                  <c:v>4.2782660046465359E-3</c:v>
                </c:pt>
                <c:pt idx="638">
                  <c:v>-1.3563114518180708E-2</c:v>
                </c:pt>
                <c:pt idx="639">
                  <c:v>6.4912553159113262E-3</c:v>
                </c:pt>
                <c:pt idx="640">
                  <c:v>1.2359513786390774E-2</c:v>
                </c:pt>
                <c:pt idx="641">
                  <c:v>7.6053705616740963E-4</c:v>
                </c:pt>
                <c:pt idx="642">
                  <c:v>-7.8103486735330296E-3</c:v>
                </c:pt>
                <c:pt idx="643">
                  <c:v>2.9900396614973346E-2</c:v>
                </c:pt>
                <c:pt idx="644">
                  <c:v>1.4787521123685865E-2</c:v>
                </c:pt>
                <c:pt idx="645">
                  <c:v>2.5865458078968562E-3</c:v>
                </c:pt>
                <c:pt idx="646">
                  <c:v>5.2211536256201452E-3</c:v>
                </c:pt>
                <c:pt idx="647">
                  <c:v>1.6707466250183156E-3</c:v>
                </c:pt>
                <c:pt idx="648">
                  <c:v>-1.3666249309302936E-2</c:v>
                </c:pt>
                <c:pt idx="649">
                  <c:v>5.8859682123446611E-3</c:v>
                </c:pt>
                <c:pt idx="650">
                  <c:v>7.5208517559024468E-3</c:v>
                </c:pt>
                <c:pt idx="651">
                  <c:v>7.8403353128966291E-3</c:v>
                </c:pt>
                <c:pt idx="652">
                  <c:v>3.3266062125338891E-3</c:v>
                </c:pt>
                <c:pt idx="653">
                  <c:v>3.4391565161511206E-3</c:v>
                </c:pt>
                <c:pt idx="654">
                  <c:v>-1.4309320980991247E-2</c:v>
                </c:pt>
                <c:pt idx="655">
                  <c:v>-3.676300357120077E-3</c:v>
                </c:pt>
                <c:pt idx="656">
                  <c:v>-1.3256073856322326E-2</c:v>
                </c:pt>
                <c:pt idx="657">
                  <c:v>1.7469638578536006E-2</c:v>
                </c:pt>
                <c:pt idx="658">
                  <c:v>5.5973425481059547E-3</c:v>
                </c:pt>
                <c:pt idx="659">
                  <c:v>-1.2975834800138086E-2</c:v>
                </c:pt>
                <c:pt idx="660">
                  <c:v>-6.6572307163870192E-3</c:v>
                </c:pt>
                <c:pt idx="661">
                  <c:v>2.3921858243980409E-4</c:v>
                </c:pt>
                <c:pt idx="662">
                  <c:v>3.8906563154248452E-3</c:v>
                </c:pt>
                <c:pt idx="663">
                  <c:v>6.1339812915426339E-3</c:v>
                </c:pt>
                <c:pt idx="664">
                  <c:v>-1.1171540123495527E-2</c:v>
                </c:pt>
                <c:pt idx="665">
                  <c:v>-4.1490990144210649E-3</c:v>
                </c:pt>
                <c:pt idx="666">
                  <c:v>-2.9648606335722638E-3</c:v>
                </c:pt>
                <c:pt idx="667">
                  <c:v>2.6122980108367333E-3</c:v>
                </c:pt>
                <c:pt idx="668">
                  <c:v>-1.0233879784696587E-2</c:v>
                </c:pt>
                <c:pt idx="669">
                  <c:v>9.4728171334432787E-3</c:v>
                </c:pt>
                <c:pt idx="670">
                  <c:v>-2.4802301581586805E-3</c:v>
                </c:pt>
                <c:pt idx="671">
                  <c:v>-5.3637605570371338E-3</c:v>
                </c:pt>
                <c:pt idx="672">
                  <c:v>2.9261404653251333E-3</c:v>
                </c:pt>
                <c:pt idx="673">
                  <c:v>-5.1621451731794776E-3</c:v>
                </c:pt>
                <c:pt idx="674">
                  <c:v>-9.4293236358126142E-3</c:v>
                </c:pt>
                <c:pt idx="675">
                  <c:v>7.1175139333021775E-3</c:v>
                </c:pt>
                <c:pt idx="676">
                  <c:v>9.1366472127187848E-3</c:v>
                </c:pt>
                <c:pt idx="677">
                  <c:v>-1.8715909501390016E-3</c:v>
                </c:pt>
                <c:pt idx="678">
                  <c:v>1.0415213721482353E-2</c:v>
                </c:pt>
                <c:pt idx="679">
                  <c:v>3.0945951290272777E-2</c:v>
                </c:pt>
                <c:pt idx="680">
                  <c:v>-2.7266640851467239E-2</c:v>
                </c:pt>
                <c:pt idx="681">
                  <c:v>-2.2277730528750039E-2</c:v>
                </c:pt>
                <c:pt idx="682">
                  <c:v>1.7884281847146966E-4</c:v>
                </c:pt>
                <c:pt idx="683">
                  <c:v>-5.8992359070426659E-3</c:v>
                </c:pt>
                <c:pt idx="684">
                  <c:v>-1.2629306880673763E-4</c:v>
                </c:pt>
                <c:pt idx="685">
                  <c:v>-9.4004531814573244E-4</c:v>
                </c:pt>
                <c:pt idx="686">
                  <c:v>9.0913131028309557E-3</c:v>
                </c:pt>
                <c:pt idx="687">
                  <c:v>1.5900291353476259E-2</c:v>
                </c:pt>
                <c:pt idx="688">
                  <c:v>-2.3746222616538581E-3</c:v>
                </c:pt>
                <c:pt idx="689">
                  <c:v>-3.3774874130904076E-3</c:v>
                </c:pt>
                <c:pt idx="690">
                  <c:v>-9.5232940313273451E-3</c:v>
                </c:pt>
                <c:pt idx="691">
                  <c:v>2.4037147905497935E-3</c:v>
                </c:pt>
                <c:pt idx="692">
                  <c:v>1.1386291171952001E-2</c:v>
                </c:pt>
                <c:pt idx="693">
                  <c:v>-1.4890522096591141E-3</c:v>
                </c:pt>
                <c:pt idx="694">
                  <c:v>-8.9318917946258347E-3</c:v>
                </c:pt>
                <c:pt idx="695">
                  <c:v>-5.093630352075551E-3</c:v>
                </c:pt>
                <c:pt idx="696">
                  <c:v>-5.1949868984741965E-3</c:v>
                </c:pt>
                <c:pt idx="697">
                  <c:v>-3.0039395176273409E-4</c:v>
                </c:pt>
                <c:pt idx="698">
                  <c:v>7.7391888761202399E-3</c:v>
                </c:pt>
                <c:pt idx="699">
                  <c:v>-2.3778253747502864E-3</c:v>
                </c:pt>
                <c:pt idx="700">
                  <c:v>2.9303121128438914E-3</c:v>
                </c:pt>
                <c:pt idx="701">
                  <c:v>7.8332941542247347E-4</c:v>
                </c:pt>
                <c:pt idx="702">
                  <c:v>1.1644514962156016E-2</c:v>
                </c:pt>
                <c:pt idx="703">
                  <c:v>3.4236340853444069E-3</c:v>
                </c:pt>
                <c:pt idx="704">
                  <c:v>-3.5134679204777974E-3</c:v>
                </c:pt>
                <c:pt idx="705">
                  <c:v>-6.4771778171455185E-3</c:v>
                </c:pt>
                <c:pt idx="706">
                  <c:v>-2.6275155539873252E-3</c:v>
                </c:pt>
                <c:pt idx="707">
                  <c:v>-8.7083847684898963E-4</c:v>
                </c:pt>
                <c:pt idx="708">
                  <c:v>1.4351851501576363E-2</c:v>
                </c:pt>
                <c:pt idx="709">
                  <c:v>-1.3240295969209503E-2</c:v>
                </c:pt>
                <c:pt idx="710">
                  <c:v>-1.4563895719271414E-2</c:v>
                </c:pt>
                <c:pt idx="711">
                  <c:v>-1.0317091393321487E-3</c:v>
                </c:pt>
                <c:pt idx="712">
                  <c:v>8.8442368486321143E-3</c:v>
                </c:pt>
                <c:pt idx="713">
                  <c:v>8.2590279601320038E-3</c:v>
                </c:pt>
                <c:pt idx="714">
                  <c:v>-1.9083767775911475E-3</c:v>
                </c:pt>
                <c:pt idx="715">
                  <c:v>-1.6634169289903356E-2</c:v>
                </c:pt>
                <c:pt idx="716">
                  <c:v>8.468155964820312E-4</c:v>
                </c:pt>
                <c:pt idx="717">
                  <c:v>1.8397468311628362E-3</c:v>
                </c:pt>
                <c:pt idx="718">
                  <c:v>5.4761210745133404E-3</c:v>
                </c:pt>
                <c:pt idx="719">
                  <c:v>-5.1113862613583194E-5</c:v>
                </c:pt>
                <c:pt idx="720">
                  <c:v>1.2263376494966227E-2</c:v>
                </c:pt>
                <c:pt idx="721">
                  <c:v>9.2538019876304833E-3</c:v>
                </c:pt>
                <c:pt idx="722">
                  <c:v>-2.2353340044388492E-2</c:v>
                </c:pt>
                <c:pt idx="723">
                  <c:v>1.9249116412090039E-4</c:v>
                </c:pt>
                <c:pt idx="724">
                  <c:v>-1.326024149937044E-2</c:v>
                </c:pt>
                <c:pt idx="725">
                  <c:v>-1.3843998637812938E-2</c:v>
                </c:pt>
                <c:pt idx="726">
                  <c:v>-9.7547154855029961E-3</c:v>
                </c:pt>
                <c:pt idx="727">
                  <c:v>-3.1013121728681314E-3</c:v>
                </c:pt>
                <c:pt idx="728">
                  <c:v>-3.5434576418873487E-3</c:v>
                </c:pt>
                <c:pt idx="729">
                  <c:v>-1.8175232216915971E-3</c:v>
                </c:pt>
                <c:pt idx="730">
                  <c:v>4.9797134626516915E-4</c:v>
                </c:pt>
                <c:pt idx="731">
                  <c:v>9.3632734387405492E-4</c:v>
                </c:pt>
                <c:pt idx="732">
                  <c:v>-4.0235586903998311E-3</c:v>
                </c:pt>
                <c:pt idx="733">
                  <c:v>-4.8299848537058931E-3</c:v>
                </c:pt>
                <c:pt idx="734">
                  <c:v>1.9739040733514068E-2</c:v>
                </c:pt>
                <c:pt idx="735">
                  <c:v>3.3167102972075924E-5</c:v>
                </c:pt>
                <c:pt idx="736">
                  <c:v>-1.1755768712930048E-2</c:v>
                </c:pt>
                <c:pt idx="737">
                  <c:v>1.1425763302356451E-2</c:v>
                </c:pt>
                <c:pt idx="738">
                  <c:v>1.5688486603795848E-2</c:v>
                </c:pt>
                <c:pt idx="739">
                  <c:v>3.406897957183519E-3</c:v>
                </c:pt>
                <c:pt idx="740">
                  <c:v>2.489133779894237E-3</c:v>
                </c:pt>
                <c:pt idx="741">
                  <c:v>1.0276689622321644E-3</c:v>
                </c:pt>
                <c:pt idx="742">
                  <c:v>-3.1235636867568251E-2</c:v>
                </c:pt>
                <c:pt idx="743">
                  <c:v>2.1122532216046874E-3</c:v>
                </c:pt>
                <c:pt idx="744">
                  <c:v>1.0332919570960053E-2</c:v>
                </c:pt>
                <c:pt idx="745">
                  <c:v>9.3325751764525844E-3</c:v>
                </c:pt>
              </c:numCache>
            </c:numRef>
          </c:yVal>
          <c:smooth val="0"/>
          <c:extLst>
            <c:ext xmlns:c16="http://schemas.microsoft.com/office/drawing/2014/chart" uri="{C3380CC4-5D6E-409C-BE32-E72D297353CC}">
              <c16:uniqueId val="{00000004-6881-4009-9658-A68220CAC31C}"/>
            </c:ext>
          </c:extLst>
        </c:ser>
        <c:dLbls>
          <c:showLegendKey val="0"/>
          <c:showVal val="0"/>
          <c:showCatName val="0"/>
          <c:showSerName val="0"/>
          <c:showPercent val="0"/>
          <c:showBubbleSize val="0"/>
        </c:dLbls>
        <c:axId val="619883744"/>
        <c:axId val="619882104"/>
      </c:scatterChart>
      <c:valAx>
        <c:axId val="6198837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9882104"/>
        <c:crosses val="autoZero"/>
        <c:crossBetween val="midCat"/>
      </c:valAx>
      <c:valAx>
        <c:axId val="619882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9883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321945</xdr:rowOff>
    </xdr:from>
    <xdr:to>
      <xdr:col>18</xdr:col>
      <xdr:colOff>762000</xdr:colOff>
      <xdr:row>7</xdr:row>
      <xdr:rowOff>349961</xdr:rowOff>
    </xdr:to>
    <xdr:sp macro="" textlink="">
      <xdr:nvSpPr>
        <xdr:cNvPr id="2" name="Retângulo: Cantos Superiores Arredondados 1">
          <a:extLst>
            <a:ext uri="{FF2B5EF4-FFF2-40B4-BE49-F238E27FC236}">
              <a16:creationId xmlns:a16="http://schemas.microsoft.com/office/drawing/2014/main" id="{D9AB4D2F-3DCF-405C-8424-AEAACA439CCC}"/>
            </a:ext>
          </a:extLst>
        </xdr:cNvPr>
        <xdr:cNvSpPr/>
      </xdr:nvSpPr>
      <xdr:spPr>
        <a:xfrm>
          <a:off x="4333875" y="1468755"/>
          <a:ext cx="14020800" cy="40711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Dashboard</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AC71C725-9D52-4877-96BD-B37EFEF4AC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-1</xdr:colOff>
      <xdr:row>6</xdr:row>
      <xdr:rowOff>332367</xdr:rowOff>
    </xdr:from>
    <xdr:to>
      <xdr:col>16</xdr:col>
      <xdr:colOff>22412</xdr:colOff>
      <xdr:row>8</xdr:row>
      <xdr:rowOff>46618</xdr:rowOff>
    </xdr:to>
    <xdr:sp macro="" textlink="">
      <xdr:nvSpPr>
        <xdr:cNvPr id="2" name="Retângulo: Cantos Superiores Arredondados 1">
          <a:extLst>
            <a:ext uri="{FF2B5EF4-FFF2-40B4-BE49-F238E27FC236}">
              <a16:creationId xmlns:a16="http://schemas.microsoft.com/office/drawing/2014/main" id="{9CBD6196-DD57-46B7-9F0E-DF6820098BEA}"/>
            </a:ext>
          </a:extLst>
        </xdr:cNvPr>
        <xdr:cNvSpPr/>
      </xdr:nvSpPr>
      <xdr:spPr>
        <a:xfrm>
          <a:off x="4276724" y="1416312"/>
          <a:ext cx="15049053" cy="4800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Custo</a:t>
          </a:r>
          <a:r>
            <a:rPr lang="pt-BR" sz="1100" b="0" baseline="0">
              <a:solidFill>
                <a:schemeClr val="tx1">
                  <a:lumMod val="75000"/>
                  <a:lumOff val="25000"/>
                </a:schemeClr>
              </a:solidFill>
              <a:latin typeface="+mn-lt"/>
              <a:ea typeface="SF Pro Display" panose="00000500000000000000" pitchFamily="2" charset="0"/>
            </a:rPr>
            <a:t> de Capital Próprio (Ke)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603437</xdr:colOff>
      <xdr:row>18</xdr:row>
      <xdr:rowOff>315670</xdr:rowOff>
    </xdr:from>
    <xdr:to>
      <xdr:col>9</xdr:col>
      <xdr:colOff>11206</xdr:colOff>
      <xdr:row>20</xdr:row>
      <xdr:rowOff>20396</xdr:rowOff>
    </xdr:to>
    <xdr:sp macro="" textlink="">
      <xdr:nvSpPr>
        <xdr:cNvPr id="3" name="Retângulo: Cantos Superiores Arredondados 2">
          <a:extLst>
            <a:ext uri="{FF2B5EF4-FFF2-40B4-BE49-F238E27FC236}">
              <a16:creationId xmlns:a16="http://schemas.microsoft.com/office/drawing/2014/main" id="{8FB334C9-16BE-4A6F-9070-0AD100466277}"/>
            </a:ext>
          </a:extLst>
        </xdr:cNvPr>
        <xdr:cNvSpPr/>
      </xdr:nvSpPr>
      <xdr:spPr>
        <a:xfrm>
          <a:off x="4268657" y="5975425"/>
          <a:ext cx="5336129" cy="46101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Beta</a:t>
          </a:r>
        </a:p>
      </xdr:txBody>
    </xdr:sp>
    <xdr:clientData/>
  </xdr:two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A862B10C-395B-4606-8E79-08D999B1B2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twoCellAnchor>
    <xdr:from>
      <xdr:col>15</xdr:col>
      <xdr:colOff>487680</xdr:colOff>
      <xdr:row>18</xdr:row>
      <xdr:rowOff>363855</xdr:rowOff>
    </xdr:from>
    <xdr:to>
      <xdr:col>15</xdr:col>
      <xdr:colOff>4659630</xdr:colOff>
      <xdr:row>27</xdr:row>
      <xdr:rowOff>234315</xdr:rowOff>
    </xdr:to>
    <xdr:graphicFrame macro="">
      <xdr:nvGraphicFramePr>
        <xdr:cNvPr id="7" name="Gráfico 6">
          <a:extLst>
            <a:ext uri="{FF2B5EF4-FFF2-40B4-BE49-F238E27FC236}">
              <a16:creationId xmlns:a16="http://schemas.microsoft.com/office/drawing/2014/main" id="{70593ABE-65AB-437D-8A6B-3D619B117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18</xdr:row>
      <xdr:rowOff>293370</xdr:rowOff>
    </xdr:from>
    <xdr:to>
      <xdr:col>15</xdr:col>
      <xdr:colOff>28575</xdr:colOff>
      <xdr:row>19</xdr:row>
      <xdr:rowOff>379096</xdr:rowOff>
    </xdr:to>
    <xdr:sp macro="" textlink="">
      <xdr:nvSpPr>
        <xdr:cNvPr id="6" name="Retângulo: Cantos Superiores Arredondados 5">
          <a:extLst>
            <a:ext uri="{FF2B5EF4-FFF2-40B4-BE49-F238E27FC236}">
              <a16:creationId xmlns:a16="http://schemas.microsoft.com/office/drawing/2014/main" id="{FB96212C-BD88-4AB6-B345-518B084E9AC2}"/>
            </a:ext>
          </a:extLst>
        </xdr:cNvPr>
        <xdr:cNvSpPr/>
      </xdr:nvSpPr>
      <xdr:spPr>
        <a:xfrm>
          <a:off x="10410825" y="5951220"/>
          <a:ext cx="4124325" cy="46672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Beta</a:t>
          </a:r>
        </a:p>
      </xdr:txBody>
    </xdr:sp>
    <xdr:clientData/>
  </xdr:twoCellAnchor>
  <xdr:twoCellAnchor>
    <xdr:from>
      <xdr:col>15</xdr:col>
      <xdr:colOff>598170</xdr:colOff>
      <xdr:row>28</xdr:row>
      <xdr:rowOff>154305</xdr:rowOff>
    </xdr:from>
    <xdr:to>
      <xdr:col>15</xdr:col>
      <xdr:colOff>4772025</xdr:colOff>
      <xdr:row>37</xdr:row>
      <xdr:rowOff>24765</xdr:rowOff>
    </xdr:to>
    <xdr:graphicFrame macro="">
      <xdr:nvGraphicFramePr>
        <xdr:cNvPr id="8" name="Gráfico 7">
          <a:extLst>
            <a:ext uri="{FF2B5EF4-FFF2-40B4-BE49-F238E27FC236}">
              <a16:creationId xmlns:a16="http://schemas.microsoft.com/office/drawing/2014/main" id="{F76DAAFE-E83D-4117-B329-1659EB884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xdr:colOff>
      <xdr:row>7</xdr:row>
      <xdr:rowOff>325755</xdr:rowOff>
    </xdr:from>
    <xdr:to>
      <xdr:col>16</xdr:col>
      <xdr:colOff>5715</xdr:colOff>
      <xdr:row>8</xdr:row>
      <xdr:rowOff>359486</xdr:rowOff>
    </xdr:to>
    <xdr:sp macro="" textlink="">
      <xdr:nvSpPr>
        <xdr:cNvPr id="2" name="Retângulo: Cantos Superiores Arredondados 1">
          <a:extLst>
            <a:ext uri="{FF2B5EF4-FFF2-40B4-BE49-F238E27FC236}">
              <a16:creationId xmlns:a16="http://schemas.microsoft.com/office/drawing/2014/main" id="{50D09BD3-E263-423A-A560-3CCACA293D3C}"/>
            </a:ext>
          </a:extLst>
        </xdr:cNvPr>
        <xdr:cNvSpPr/>
      </xdr:nvSpPr>
      <xdr:spPr>
        <a:xfrm>
          <a:off x="4276725" y="1804035"/>
          <a:ext cx="8218170" cy="41473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Matriz da Perpetuidade</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860941BE-FD95-424B-A902-AD0A85D646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2</xdr:col>
      <xdr:colOff>0</xdr:colOff>
      <xdr:row>7</xdr:row>
      <xdr:rowOff>19050</xdr:rowOff>
    </xdr:from>
    <xdr:to>
      <xdr:col>22</xdr:col>
      <xdr:colOff>0</xdr:colOff>
      <xdr:row>9</xdr:row>
      <xdr:rowOff>8401</xdr:rowOff>
    </xdr:to>
    <xdr:sp macro="" textlink="">
      <xdr:nvSpPr>
        <xdr:cNvPr id="2" name="Retângulo: Cantos Superiores Arredondados 1">
          <a:extLst>
            <a:ext uri="{FF2B5EF4-FFF2-40B4-BE49-F238E27FC236}">
              <a16:creationId xmlns:a16="http://schemas.microsoft.com/office/drawing/2014/main" id="{8C24CF0A-940D-4010-9487-896C7D2C655B}"/>
            </a:ext>
          </a:extLst>
        </xdr:cNvPr>
        <xdr:cNvSpPr/>
      </xdr:nvSpPr>
      <xdr:spPr>
        <a:xfrm>
          <a:off x="3070860" y="1543050"/>
          <a:ext cx="19834860" cy="68277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TIR</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470BF1B9-3A75-44B9-972B-0DB67A87B8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1904</xdr:colOff>
      <xdr:row>6</xdr:row>
      <xdr:rowOff>323850</xdr:rowOff>
    </xdr:from>
    <xdr:to>
      <xdr:col>22</xdr:col>
      <xdr:colOff>8283</xdr:colOff>
      <xdr:row>8</xdr:row>
      <xdr:rowOff>22748</xdr:rowOff>
    </xdr:to>
    <xdr:sp macro="" textlink="">
      <xdr:nvSpPr>
        <xdr:cNvPr id="2" name="Retângulo: Cantos Superiores Arredondados 1">
          <a:extLst>
            <a:ext uri="{FF2B5EF4-FFF2-40B4-BE49-F238E27FC236}">
              <a16:creationId xmlns:a16="http://schemas.microsoft.com/office/drawing/2014/main" id="{0DFD485D-755F-4BD6-844A-724757236A8F}"/>
            </a:ext>
          </a:extLst>
        </xdr:cNvPr>
        <xdr:cNvSpPr/>
      </xdr:nvSpPr>
      <xdr:spPr>
        <a:xfrm>
          <a:off x="4341991" y="1466850"/>
          <a:ext cx="22559922" cy="460898"/>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p>
      </xdr:txBody>
    </xdr:sp>
    <xdr:clientData/>
  </xdr:twoCellAnchor>
  <xdr:twoCellAnchor>
    <xdr:from>
      <xdr:col>3</xdr:col>
      <xdr:colOff>621029</xdr:colOff>
      <xdr:row>40</xdr:row>
      <xdr:rowOff>0</xdr:rowOff>
    </xdr:from>
    <xdr:to>
      <xdr:col>22</xdr:col>
      <xdr:colOff>1</xdr:colOff>
      <xdr:row>41</xdr:row>
      <xdr:rowOff>1072</xdr:rowOff>
    </xdr:to>
    <xdr:sp macro="" textlink="">
      <xdr:nvSpPr>
        <xdr:cNvPr id="3" name="Retângulo: Cantos Superiores Arredondados 2">
          <a:extLst>
            <a:ext uri="{FF2B5EF4-FFF2-40B4-BE49-F238E27FC236}">
              <a16:creationId xmlns:a16="http://schemas.microsoft.com/office/drawing/2014/main" id="{56C463B7-17B3-4580-89AC-719C3E5D35F3}"/>
            </a:ext>
          </a:extLst>
        </xdr:cNvPr>
        <xdr:cNvSpPr/>
      </xdr:nvSpPr>
      <xdr:spPr>
        <a:xfrm>
          <a:off x="4322172" y="14097000"/>
          <a:ext cx="26157829" cy="382072"/>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p>
      </xdr:txBody>
    </xdr:sp>
    <xdr:clientData/>
  </xdr:twoCellAnchor>
  <xdr:twoCellAnchor>
    <xdr:from>
      <xdr:col>3</xdr:col>
      <xdr:colOff>616401</xdr:colOff>
      <xdr:row>27</xdr:row>
      <xdr:rowOff>334192</xdr:rowOff>
    </xdr:from>
    <xdr:to>
      <xdr:col>24</xdr:col>
      <xdr:colOff>896166</xdr:colOff>
      <xdr:row>29</xdr:row>
      <xdr:rowOff>31185</xdr:rowOff>
    </xdr:to>
    <xdr:sp macro="" textlink="">
      <xdr:nvSpPr>
        <xdr:cNvPr id="4" name="Retângulo: Cantos Superiores Arredondados 3">
          <a:extLst>
            <a:ext uri="{FF2B5EF4-FFF2-40B4-BE49-F238E27FC236}">
              <a16:creationId xmlns:a16="http://schemas.microsoft.com/office/drawing/2014/main" id="{D66F0C59-FC80-4681-9072-AD1834356BB5}"/>
            </a:ext>
          </a:extLst>
        </xdr:cNvPr>
        <xdr:cNvSpPr/>
      </xdr:nvSpPr>
      <xdr:spPr>
        <a:xfrm>
          <a:off x="4312101" y="11764192"/>
          <a:ext cx="26515425" cy="45899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Fluxo de Caixa do Acionista</a:t>
          </a:r>
        </a:p>
      </xdr:txBody>
    </xdr:sp>
    <xdr:clientData/>
  </xdr:twoCellAnchor>
  <xdr:twoCellAnchor>
    <xdr:from>
      <xdr:col>4</xdr:col>
      <xdr:colOff>0</xdr:colOff>
      <xdr:row>48</xdr:row>
      <xdr:rowOff>339986</xdr:rowOff>
    </xdr:from>
    <xdr:to>
      <xdr:col>24</xdr:col>
      <xdr:colOff>21499</xdr:colOff>
      <xdr:row>50</xdr:row>
      <xdr:rowOff>52219</xdr:rowOff>
    </xdr:to>
    <xdr:sp macro="" textlink="">
      <xdr:nvSpPr>
        <xdr:cNvPr id="5" name="Retângulo: Cantos Superiores Arredondados 4">
          <a:extLst>
            <a:ext uri="{FF2B5EF4-FFF2-40B4-BE49-F238E27FC236}">
              <a16:creationId xmlns:a16="http://schemas.microsoft.com/office/drawing/2014/main" id="{E37FBE2E-A412-47F6-9B2D-D322BA648077}"/>
            </a:ext>
          </a:extLst>
        </xdr:cNvPr>
        <xdr:cNvSpPr/>
      </xdr:nvSpPr>
      <xdr:spPr>
        <a:xfrm>
          <a:off x="4320540" y="19770986"/>
          <a:ext cx="25639939" cy="47423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a:t>
          </a:r>
          <a:r>
            <a:rPr lang="pt-BR" sz="1100" b="0" baseline="0">
              <a:solidFill>
                <a:schemeClr val="tx1">
                  <a:lumMod val="75000"/>
                  <a:lumOff val="25000"/>
                </a:schemeClr>
              </a:solidFill>
              <a:latin typeface="+mn-lt"/>
              <a:ea typeface="SF Pro Display" panose="00000500000000000000" pitchFamily="2" charset="0"/>
            </a:rPr>
            <a:t> de Basileia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615762</xdr:colOff>
      <xdr:row>59</xdr:row>
      <xdr:rowOff>360045</xdr:rowOff>
    </xdr:from>
    <xdr:to>
      <xdr:col>21</xdr:col>
      <xdr:colOff>1228501</xdr:colOff>
      <xdr:row>61</xdr:row>
      <xdr:rowOff>7172</xdr:rowOff>
    </xdr:to>
    <xdr:sp macro="" textlink="">
      <xdr:nvSpPr>
        <xdr:cNvPr id="6" name="Retângulo: Cantos Superiores Arredondados 5">
          <a:extLst>
            <a:ext uri="{FF2B5EF4-FFF2-40B4-BE49-F238E27FC236}">
              <a16:creationId xmlns:a16="http://schemas.microsoft.com/office/drawing/2014/main" id="{601AC5AA-C8D0-4554-BFC8-7C7892FF32CB}"/>
            </a:ext>
          </a:extLst>
        </xdr:cNvPr>
        <xdr:cNvSpPr/>
      </xdr:nvSpPr>
      <xdr:spPr>
        <a:xfrm>
          <a:off x="4320987" y="21696045"/>
          <a:ext cx="26111164" cy="409127"/>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Teste</a:t>
          </a:r>
          <a:r>
            <a:rPr lang="pt-BR" sz="1100" b="0" baseline="0">
              <a:solidFill>
                <a:schemeClr val="tx1">
                  <a:lumMod val="75000"/>
                  <a:lumOff val="25000"/>
                </a:schemeClr>
              </a:solidFill>
              <a:latin typeface="+mn-lt"/>
              <a:ea typeface="SF Pro Display" panose="00000500000000000000" pitchFamily="2" charset="0"/>
            </a:rPr>
            <a:t> de Consistência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79CAF037-A9B3-45C0-B27E-40D4BD68E8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3</xdr:col>
      <xdr:colOff>600075</xdr:colOff>
      <xdr:row>7</xdr:row>
      <xdr:rowOff>243840</xdr:rowOff>
    </xdr:from>
    <xdr:to>
      <xdr:col>24</xdr:col>
      <xdr:colOff>0</xdr:colOff>
      <xdr:row>9</xdr:row>
      <xdr:rowOff>34290</xdr:rowOff>
    </xdr:to>
    <xdr:sp macro="" textlink="">
      <xdr:nvSpPr>
        <xdr:cNvPr id="2" name="Retângulo: Cantos Superiores Arredondados 1">
          <a:extLst>
            <a:ext uri="{FF2B5EF4-FFF2-40B4-BE49-F238E27FC236}">
              <a16:creationId xmlns:a16="http://schemas.microsoft.com/office/drawing/2014/main" id="{AC0091EF-A4AB-4D11-9591-334223B41DDD}"/>
            </a:ext>
          </a:extLst>
        </xdr:cNvPr>
        <xdr:cNvSpPr/>
      </xdr:nvSpPr>
      <xdr:spPr>
        <a:xfrm>
          <a:off x="4265295" y="1714500"/>
          <a:ext cx="23481030" cy="54864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Margens Financeiras</a:t>
          </a:r>
        </a:p>
      </xdr:txBody>
    </xdr:sp>
    <xdr:clientData/>
  </xdr:twoCellAnchor>
  <xdr:twoCellAnchor>
    <xdr:from>
      <xdr:col>3</xdr:col>
      <xdr:colOff>567691</xdr:colOff>
      <xdr:row>14</xdr:row>
      <xdr:rowOff>262890</xdr:rowOff>
    </xdr:from>
    <xdr:to>
      <xdr:col>23</xdr:col>
      <xdr:colOff>3059431</xdr:colOff>
      <xdr:row>16</xdr:row>
      <xdr:rowOff>36195</xdr:rowOff>
    </xdr:to>
    <xdr:sp macro="" textlink="">
      <xdr:nvSpPr>
        <xdr:cNvPr id="3" name="Retângulo: Cantos Superiores Arredondados 2">
          <a:extLst>
            <a:ext uri="{FF2B5EF4-FFF2-40B4-BE49-F238E27FC236}">
              <a16:creationId xmlns:a16="http://schemas.microsoft.com/office/drawing/2014/main" id="{212CA869-37CD-4E99-9EFF-710FBC0D0D89}"/>
            </a:ext>
          </a:extLst>
        </xdr:cNvPr>
        <xdr:cNvSpPr/>
      </xdr:nvSpPr>
      <xdr:spPr>
        <a:xfrm>
          <a:off x="4234816" y="4539615"/>
          <a:ext cx="2412301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Lucro Líquido</a:t>
          </a:r>
        </a:p>
      </xdr:txBody>
    </xdr:sp>
    <xdr:clientData/>
  </xdr:twoCellAnchor>
  <xdr:twoCellAnchor>
    <xdr:from>
      <xdr:col>3</xdr:col>
      <xdr:colOff>593911</xdr:colOff>
      <xdr:row>171</xdr:row>
      <xdr:rowOff>227192</xdr:rowOff>
    </xdr:from>
    <xdr:to>
      <xdr:col>23</xdr:col>
      <xdr:colOff>3079168</xdr:colOff>
      <xdr:row>172</xdr:row>
      <xdr:rowOff>377687</xdr:rowOff>
    </xdr:to>
    <xdr:sp macro="" textlink="">
      <xdr:nvSpPr>
        <xdr:cNvPr id="4" name="Retângulo: Cantos Superiores Arredondados 3">
          <a:extLst>
            <a:ext uri="{FF2B5EF4-FFF2-40B4-BE49-F238E27FC236}">
              <a16:creationId xmlns:a16="http://schemas.microsoft.com/office/drawing/2014/main" id="{AFF74E98-E8EC-47C5-A186-A7C1A9428D88}"/>
            </a:ext>
          </a:extLst>
        </xdr:cNvPr>
        <xdr:cNvSpPr/>
      </xdr:nvSpPr>
      <xdr:spPr>
        <a:xfrm>
          <a:off x="4247029" y="64313633"/>
          <a:ext cx="24123815" cy="53149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a:t>
          </a:r>
          <a:r>
            <a:rPr lang="pt-BR" sz="1100" b="0" baseline="0">
              <a:solidFill>
                <a:schemeClr val="tx1">
                  <a:lumMod val="75000"/>
                  <a:lumOff val="25000"/>
                </a:schemeClr>
              </a:solidFill>
              <a:latin typeface="+mn-lt"/>
              <a:ea typeface="SF Pro Display" panose="00000500000000000000" pitchFamily="2" charset="0"/>
            </a:rPr>
            <a:t> do IR e CSLL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8" name="Imagem 7">
          <a:extLst>
            <a:ext uri="{FF2B5EF4-FFF2-40B4-BE49-F238E27FC236}">
              <a16:creationId xmlns:a16="http://schemas.microsoft.com/office/drawing/2014/main" id="{A53A6980-1FCC-4B82-9AFC-977F2E54BA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twoCellAnchor>
    <xdr:from>
      <xdr:col>4</xdr:col>
      <xdr:colOff>11657</xdr:colOff>
      <xdr:row>80</xdr:row>
      <xdr:rowOff>251460</xdr:rowOff>
    </xdr:from>
    <xdr:to>
      <xdr:col>24</xdr:col>
      <xdr:colOff>37654</xdr:colOff>
      <xdr:row>82</xdr:row>
      <xdr:rowOff>24765</xdr:rowOff>
    </xdr:to>
    <xdr:sp macro="" textlink="">
      <xdr:nvSpPr>
        <xdr:cNvPr id="9" name="Retângulo: Cantos Superiores Arredondados 8">
          <a:extLst>
            <a:ext uri="{FF2B5EF4-FFF2-40B4-BE49-F238E27FC236}">
              <a16:creationId xmlns:a16="http://schemas.microsoft.com/office/drawing/2014/main" id="{B730FCD3-4CBB-496F-AC96-EA77748D61FD}"/>
            </a:ext>
          </a:extLst>
        </xdr:cNvPr>
        <xdr:cNvSpPr/>
      </xdr:nvSpPr>
      <xdr:spPr>
        <a:xfrm>
          <a:off x="4269892" y="29666901"/>
          <a:ext cx="27401968"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 Receita com Administração de Fundos e Programas</a:t>
          </a:r>
        </a:p>
      </xdr:txBody>
    </xdr:sp>
    <xdr:clientData/>
  </xdr:twoCellAnchor>
  <xdr:twoCellAnchor>
    <xdr:from>
      <xdr:col>3</xdr:col>
      <xdr:colOff>598171</xdr:colOff>
      <xdr:row>94</xdr:row>
      <xdr:rowOff>243840</xdr:rowOff>
    </xdr:from>
    <xdr:to>
      <xdr:col>24</xdr:col>
      <xdr:colOff>9526</xdr:colOff>
      <xdr:row>96</xdr:row>
      <xdr:rowOff>17145</xdr:rowOff>
    </xdr:to>
    <xdr:sp macro="" textlink="">
      <xdr:nvSpPr>
        <xdr:cNvPr id="10" name="Retângulo: Cantos Superiores Arredondados 9">
          <a:extLst>
            <a:ext uri="{FF2B5EF4-FFF2-40B4-BE49-F238E27FC236}">
              <a16:creationId xmlns:a16="http://schemas.microsoft.com/office/drawing/2014/main" id="{0CD6C61E-3F11-4FF3-B76B-39F8B6BA18F4}"/>
            </a:ext>
          </a:extLst>
        </xdr:cNvPr>
        <xdr:cNvSpPr/>
      </xdr:nvSpPr>
      <xdr:spPr>
        <a:xfrm>
          <a:off x="4263391" y="33718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 Receita com</a:t>
          </a:r>
          <a:r>
            <a:rPr lang="pt-BR" sz="1100" b="0" baseline="0">
              <a:solidFill>
                <a:schemeClr val="tx1">
                  <a:lumMod val="75000"/>
                  <a:lumOff val="25000"/>
                </a:schemeClr>
              </a:solidFill>
              <a:latin typeface="+mn-lt"/>
              <a:ea typeface="SF Pro Display" panose="00000500000000000000" pitchFamily="2" charset="0"/>
            </a:rPr>
            <a:t> Tarifas Bancárias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598171</xdr:colOff>
      <xdr:row>105</xdr:row>
      <xdr:rowOff>243840</xdr:rowOff>
    </xdr:from>
    <xdr:to>
      <xdr:col>24</xdr:col>
      <xdr:colOff>9526</xdr:colOff>
      <xdr:row>107</xdr:row>
      <xdr:rowOff>17145</xdr:rowOff>
    </xdr:to>
    <xdr:sp macro="" textlink="">
      <xdr:nvSpPr>
        <xdr:cNvPr id="11" name="Retângulo: Cantos Superiores Arredondados 10">
          <a:extLst>
            <a:ext uri="{FF2B5EF4-FFF2-40B4-BE49-F238E27FC236}">
              <a16:creationId xmlns:a16="http://schemas.microsoft.com/office/drawing/2014/main" id="{2176C324-4E36-438D-BA19-1D17EAC13A0E}"/>
            </a:ext>
          </a:extLst>
        </xdr:cNvPr>
        <xdr:cNvSpPr/>
      </xdr:nvSpPr>
      <xdr:spPr>
        <a:xfrm>
          <a:off x="4263391" y="37909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 Receita com o FNO</a:t>
          </a:r>
        </a:p>
      </xdr:txBody>
    </xdr:sp>
    <xdr:clientData/>
  </xdr:twoCellAnchor>
  <xdr:twoCellAnchor>
    <xdr:from>
      <xdr:col>3</xdr:col>
      <xdr:colOff>598171</xdr:colOff>
      <xdr:row>132</xdr:row>
      <xdr:rowOff>243840</xdr:rowOff>
    </xdr:from>
    <xdr:to>
      <xdr:col>24</xdr:col>
      <xdr:colOff>9526</xdr:colOff>
      <xdr:row>134</xdr:row>
      <xdr:rowOff>17145</xdr:rowOff>
    </xdr:to>
    <xdr:sp macro="" textlink="">
      <xdr:nvSpPr>
        <xdr:cNvPr id="12" name="Retângulo: Cantos Superiores Arredondados 11">
          <a:extLst>
            <a:ext uri="{FF2B5EF4-FFF2-40B4-BE49-F238E27FC236}">
              <a16:creationId xmlns:a16="http://schemas.microsoft.com/office/drawing/2014/main" id="{3224975A-A648-4AAD-ABE8-EEA9EB479921}"/>
            </a:ext>
          </a:extLst>
        </xdr:cNvPr>
        <xdr:cNvSpPr/>
      </xdr:nvSpPr>
      <xdr:spPr>
        <a:xfrm>
          <a:off x="4263391" y="48196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das</a:t>
          </a:r>
          <a:r>
            <a:rPr lang="pt-BR" sz="1100" b="0" baseline="0">
              <a:solidFill>
                <a:schemeClr val="tx1">
                  <a:lumMod val="75000"/>
                  <a:lumOff val="25000"/>
                </a:schemeClr>
              </a:solidFill>
              <a:latin typeface="+mn-lt"/>
              <a:ea typeface="SF Pro Display" panose="00000500000000000000" pitchFamily="2" charset="0"/>
            </a:rPr>
            <a:t> Despesas Tributárias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598171</xdr:colOff>
      <xdr:row>139</xdr:row>
      <xdr:rowOff>243840</xdr:rowOff>
    </xdr:from>
    <xdr:to>
      <xdr:col>24</xdr:col>
      <xdr:colOff>9526</xdr:colOff>
      <xdr:row>141</xdr:row>
      <xdr:rowOff>17145</xdr:rowOff>
    </xdr:to>
    <xdr:sp macro="" textlink="">
      <xdr:nvSpPr>
        <xdr:cNvPr id="13" name="Retângulo: Cantos Superiores Arredondados 12">
          <a:extLst>
            <a:ext uri="{FF2B5EF4-FFF2-40B4-BE49-F238E27FC236}">
              <a16:creationId xmlns:a16="http://schemas.microsoft.com/office/drawing/2014/main" id="{5F6A90FA-A94F-46C0-98EF-8B7411B3FC50}"/>
            </a:ext>
          </a:extLst>
        </xdr:cNvPr>
        <xdr:cNvSpPr/>
      </xdr:nvSpPr>
      <xdr:spPr>
        <a:xfrm>
          <a:off x="4263391" y="50863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das</a:t>
          </a:r>
          <a:r>
            <a:rPr lang="pt-BR" sz="1100" b="0" baseline="0">
              <a:solidFill>
                <a:schemeClr val="tx1">
                  <a:lumMod val="75000"/>
                  <a:lumOff val="25000"/>
                </a:schemeClr>
              </a:solidFill>
              <a:latin typeface="+mn-lt"/>
              <a:ea typeface="SF Pro Display" panose="00000500000000000000" pitchFamily="2" charset="0"/>
            </a:rPr>
            <a:t> Demais Despesas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598171</xdr:colOff>
      <xdr:row>146</xdr:row>
      <xdr:rowOff>243840</xdr:rowOff>
    </xdr:from>
    <xdr:to>
      <xdr:col>24</xdr:col>
      <xdr:colOff>9526</xdr:colOff>
      <xdr:row>148</xdr:row>
      <xdr:rowOff>17145</xdr:rowOff>
    </xdr:to>
    <xdr:sp macro="" textlink="">
      <xdr:nvSpPr>
        <xdr:cNvPr id="14" name="Retângulo: Cantos Superiores Arredondados 13">
          <a:extLst>
            <a:ext uri="{FF2B5EF4-FFF2-40B4-BE49-F238E27FC236}">
              <a16:creationId xmlns:a16="http://schemas.microsoft.com/office/drawing/2014/main" id="{05D649E4-B646-4CA1-BC41-89D100667E35}"/>
            </a:ext>
          </a:extLst>
        </xdr:cNvPr>
        <xdr:cNvSpPr/>
      </xdr:nvSpPr>
      <xdr:spPr>
        <a:xfrm>
          <a:off x="4263391" y="53530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das</a:t>
          </a:r>
          <a:r>
            <a:rPr lang="pt-BR" sz="1100" b="0" baseline="0">
              <a:solidFill>
                <a:schemeClr val="tx1">
                  <a:lumMod val="75000"/>
                  <a:lumOff val="25000"/>
                </a:schemeClr>
              </a:solidFill>
              <a:latin typeface="+mn-lt"/>
              <a:ea typeface="SF Pro Display" panose="00000500000000000000" pitchFamily="2" charset="0"/>
            </a:rPr>
            <a:t> Despesas com Provisão das Garantias Financeiras Prestadas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598171</xdr:colOff>
      <xdr:row>116</xdr:row>
      <xdr:rowOff>243840</xdr:rowOff>
    </xdr:from>
    <xdr:to>
      <xdr:col>24</xdr:col>
      <xdr:colOff>9526</xdr:colOff>
      <xdr:row>118</xdr:row>
      <xdr:rowOff>17145</xdr:rowOff>
    </xdr:to>
    <xdr:sp macro="" textlink="">
      <xdr:nvSpPr>
        <xdr:cNvPr id="15" name="Retângulo: Cantos Superiores Arredondados 14">
          <a:extLst>
            <a:ext uri="{FF2B5EF4-FFF2-40B4-BE49-F238E27FC236}">
              <a16:creationId xmlns:a16="http://schemas.microsoft.com/office/drawing/2014/main" id="{EE6324F8-2ED9-49D6-A840-4F7D94BDEF78}"/>
            </a:ext>
          </a:extLst>
        </xdr:cNvPr>
        <xdr:cNvSpPr/>
      </xdr:nvSpPr>
      <xdr:spPr>
        <a:xfrm>
          <a:off x="4263391" y="42100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a:t>
          </a:r>
          <a:r>
            <a:rPr lang="pt-BR" sz="1100" b="0" baseline="0">
              <a:solidFill>
                <a:schemeClr val="tx1">
                  <a:lumMod val="75000"/>
                  <a:lumOff val="25000"/>
                </a:schemeClr>
              </a:solidFill>
              <a:latin typeface="+mn-lt"/>
              <a:ea typeface="SF Pro Display" panose="00000500000000000000" pitchFamily="2" charset="0"/>
            </a:rPr>
            <a:t> Receita com Recuperação de Encargos e Despesas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592456</xdr:colOff>
      <xdr:row>123</xdr:row>
      <xdr:rowOff>243840</xdr:rowOff>
    </xdr:from>
    <xdr:to>
      <xdr:col>24</xdr:col>
      <xdr:colOff>15241</xdr:colOff>
      <xdr:row>125</xdr:row>
      <xdr:rowOff>17145</xdr:rowOff>
    </xdr:to>
    <xdr:sp macro="" textlink="">
      <xdr:nvSpPr>
        <xdr:cNvPr id="16" name="Retângulo: Cantos Superiores Arredondados 15">
          <a:extLst>
            <a:ext uri="{FF2B5EF4-FFF2-40B4-BE49-F238E27FC236}">
              <a16:creationId xmlns:a16="http://schemas.microsoft.com/office/drawing/2014/main" id="{CED7C1CB-2C30-4715-8DC3-780D2DC5C6DE}"/>
            </a:ext>
          </a:extLst>
        </xdr:cNvPr>
        <xdr:cNvSpPr/>
      </xdr:nvSpPr>
      <xdr:spPr>
        <a:xfrm>
          <a:off x="4245574" y="46042281"/>
          <a:ext cx="27403873"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a:t>
          </a:r>
          <a:r>
            <a:rPr lang="pt-BR" sz="1100" b="0" baseline="0">
              <a:solidFill>
                <a:schemeClr val="tx1">
                  <a:lumMod val="75000"/>
                  <a:lumOff val="25000"/>
                </a:schemeClr>
              </a:solidFill>
              <a:latin typeface="+mn-lt"/>
              <a:ea typeface="SF Pro Display" panose="00000500000000000000" pitchFamily="2" charset="0"/>
            </a:rPr>
            <a:t> Receita com Outros Serviços e com Demais Receitas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598171</xdr:colOff>
      <xdr:row>153</xdr:row>
      <xdr:rowOff>243840</xdr:rowOff>
    </xdr:from>
    <xdr:to>
      <xdr:col>24</xdr:col>
      <xdr:colOff>9526</xdr:colOff>
      <xdr:row>155</xdr:row>
      <xdr:rowOff>17145</xdr:rowOff>
    </xdr:to>
    <xdr:sp macro="" textlink="">
      <xdr:nvSpPr>
        <xdr:cNvPr id="17" name="Retângulo: Cantos Superiores Arredondados 16">
          <a:extLst>
            <a:ext uri="{FF2B5EF4-FFF2-40B4-BE49-F238E27FC236}">
              <a16:creationId xmlns:a16="http://schemas.microsoft.com/office/drawing/2014/main" id="{7B3F43CA-7F58-4996-99AD-23AE4446E567}"/>
            </a:ext>
          </a:extLst>
        </xdr:cNvPr>
        <xdr:cNvSpPr/>
      </xdr:nvSpPr>
      <xdr:spPr>
        <a:xfrm>
          <a:off x="4263391" y="56197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 de Eficiência (Despesas</a:t>
          </a:r>
          <a:r>
            <a:rPr lang="pt-BR" sz="1100" b="0" baseline="0">
              <a:solidFill>
                <a:schemeClr val="tx1">
                  <a:lumMod val="75000"/>
                  <a:lumOff val="25000"/>
                </a:schemeClr>
              </a:solidFill>
              <a:latin typeface="+mn-lt"/>
              <a:ea typeface="SF Pro Display" panose="00000500000000000000" pitchFamily="2" charset="0"/>
            </a:rPr>
            <a:t> Operacionais Totais / Receitas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598171</xdr:colOff>
      <xdr:row>164</xdr:row>
      <xdr:rowOff>243840</xdr:rowOff>
    </xdr:from>
    <xdr:to>
      <xdr:col>24</xdr:col>
      <xdr:colOff>9526</xdr:colOff>
      <xdr:row>166</xdr:row>
      <xdr:rowOff>17145</xdr:rowOff>
    </xdr:to>
    <xdr:sp macro="" textlink="">
      <xdr:nvSpPr>
        <xdr:cNvPr id="18" name="Retângulo: Cantos Superiores Arredondados 17">
          <a:extLst>
            <a:ext uri="{FF2B5EF4-FFF2-40B4-BE49-F238E27FC236}">
              <a16:creationId xmlns:a16="http://schemas.microsoft.com/office/drawing/2014/main" id="{2E4E6AD0-CF25-4BFE-A291-CEA7F0F4BFA6}"/>
            </a:ext>
          </a:extLst>
        </xdr:cNvPr>
        <xdr:cNvSpPr/>
      </xdr:nvSpPr>
      <xdr:spPr>
        <a:xfrm>
          <a:off x="4263391" y="60388500"/>
          <a:ext cx="23494365" cy="53530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da Participação</a:t>
          </a:r>
          <a:r>
            <a:rPr lang="pt-BR" sz="1100" b="0" baseline="0">
              <a:solidFill>
                <a:schemeClr val="tx1">
                  <a:lumMod val="75000"/>
                  <a:lumOff val="25000"/>
                </a:schemeClr>
              </a:solidFill>
              <a:latin typeface="+mn-lt"/>
              <a:ea typeface="SF Pro Display" panose="00000500000000000000" pitchFamily="2" charset="0"/>
            </a:rPr>
            <a:t> sobre o Lucro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594134</xdr:colOff>
      <xdr:row>193</xdr:row>
      <xdr:rowOff>229785</xdr:rowOff>
    </xdr:from>
    <xdr:to>
      <xdr:col>24</xdr:col>
      <xdr:colOff>18601</xdr:colOff>
      <xdr:row>194</xdr:row>
      <xdr:rowOff>380280</xdr:rowOff>
    </xdr:to>
    <xdr:sp macro="" textlink="">
      <xdr:nvSpPr>
        <xdr:cNvPr id="20" name="Retângulo: Cantos Superiores Arredondados 19">
          <a:extLst>
            <a:ext uri="{FF2B5EF4-FFF2-40B4-BE49-F238E27FC236}">
              <a16:creationId xmlns:a16="http://schemas.microsoft.com/office/drawing/2014/main" id="{AFB5D1CF-9F98-4861-A7A5-A6E93046646F}"/>
            </a:ext>
          </a:extLst>
        </xdr:cNvPr>
        <xdr:cNvSpPr/>
      </xdr:nvSpPr>
      <xdr:spPr>
        <a:xfrm>
          <a:off x="4247252" y="72698226"/>
          <a:ext cx="24144643" cy="53149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de Adição e Exclusão</a:t>
          </a:r>
          <a:r>
            <a:rPr lang="pt-BR" sz="1100" b="0" baseline="0">
              <a:solidFill>
                <a:schemeClr val="tx1">
                  <a:lumMod val="75000"/>
                  <a:lumOff val="25000"/>
                </a:schemeClr>
              </a:solidFill>
              <a:latin typeface="+mn-lt"/>
              <a:ea typeface="SF Pro Display" panose="00000500000000000000" pitchFamily="2" charset="0"/>
            </a:rPr>
            <a:t> de IR e CSLL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588420</xdr:colOff>
      <xdr:row>209</xdr:row>
      <xdr:rowOff>230281</xdr:rowOff>
    </xdr:from>
    <xdr:to>
      <xdr:col>24</xdr:col>
      <xdr:colOff>11206</xdr:colOff>
      <xdr:row>210</xdr:row>
      <xdr:rowOff>380776</xdr:rowOff>
    </xdr:to>
    <xdr:sp macro="" textlink="">
      <xdr:nvSpPr>
        <xdr:cNvPr id="21" name="Retângulo: Cantos Superiores Arredondados 20">
          <a:extLst>
            <a:ext uri="{FF2B5EF4-FFF2-40B4-BE49-F238E27FC236}">
              <a16:creationId xmlns:a16="http://schemas.microsoft.com/office/drawing/2014/main" id="{2DF18EDB-1B38-468E-9B54-4F67CE02569F}"/>
            </a:ext>
          </a:extLst>
        </xdr:cNvPr>
        <xdr:cNvSpPr/>
      </xdr:nvSpPr>
      <xdr:spPr>
        <a:xfrm>
          <a:off x="4241538" y="78794722"/>
          <a:ext cx="24142962" cy="53149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de Valores Devidos:</a:t>
          </a:r>
          <a:r>
            <a:rPr lang="pt-BR" sz="1100" b="0" baseline="0">
              <a:solidFill>
                <a:schemeClr val="tx1">
                  <a:lumMod val="75000"/>
                  <a:lumOff val="25000"/>
                </a:schemeClr>
              </a:solidFill>
              <a:latin typeface="+mn-lt"/>
              <a:ea typeface="SF Pro Display" panose="00000500000000000000" pitchFamily="2" charset="0"/>
            </a:rPr>
            <a:t> IR e CSLL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598714</xdr:colOff>
      <xdr:row>231</xdr:row>
      <xdr:rowOff>304800</xdr:rowOff>
    </xdr:from>
    <xdr:to>
      <xdr:col>21</xdr:col>
      <xdr:colOff>1086394</xdr:colOff>
      <xdr:row>233</xdr:row>
      <xdr:rowOff>20843</xdr:rowOff>
    </xdr:to>
    <xdr:sp macro="" textlink="">
      <xdr:nvSpPr>
        <xdr:cNvPr id="22" name="Retângulo: Cantos Superiores Arredondados 21">
          <a:extLst>
            <a:ext uri="{FF2B5EF4-FFF2-40B4-BE49-F238E27FC236}">
              <a16:creationId xmlns:a16="http://schemas.microsoft.com/office/drawing/2014/main" id="{BC10A599-FB4B-4B13-A78F-8D7796DF74EF}"/>
            </a:ext>
          </a:extLst>
        </xdr:cNvPr>
        <xdr:cNvSpPr/>
      </xdr:nvSpPr>
      <xdr:spPr>
        <a:xfrm>
          <a:off x="4272643" y="86859836"/>
          <a:ext cx="19755394" cy="47804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 sobre o Capital Próprio e o Benefício</a:t>
          </a:r>
          <a:r>
            <a:rPr lang="pt-BR" sz="1100" b="0" baseline="0">
              <a:solidFill>
                <a:schemeClr val="tx1">
                  <a:lumMod val="75000"/>
                  <a:lumOff val="25000"/>
                </a:schemeClr>
              </a:solidFill>
              <a:latin typeface="+mn-lt"/>
              <a:ea typeface="SF Pro Display" panose="00000500000000000000" pitchFamily="2" charset="0"/>
            </a:rPr>
            <a:t> Fiscal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3808</xdr:colOff>
      <xdr:row>7</xdr:row>
      <xdr:rowOff>285638</xdr:rowOff>
    </xdr:from>
    <xdr:to>
      <xdr:col>22</xdr:col>
      <xdr:colOff>3248024</xdr:colOff>
      <xdr:row>8</xdr:row>
      <xdr:rowOff>380889</xdr:rowOff>
    </xdr:to>
    <xdr:sp macro="" textlink="">
      <xdr:nvSpPr>
        <xdr:cNvPr id="2" name="Retângulo: Cantos Superiores Arredondados 1">
          <a:extLst>
            <a:ext uri="{FF2B5EF4-FFF2-40B4-BE49-F238E27FC236}">
              <a16:creationId xmlns:a16="http://schemas.microsoft.com/office/drawing/2014/main" id="{E540C34B-52E6-4238-BC85-A697B5F9F8B0}"/>
            </a:ext>
          </a:extLst>
        </xdr:cNvPr>
        <xdr:cNvSpPr/>
      </xdr:nvSpPr>
      <xdr:spPr>
        <a:xfrm>
          <a:off x="4280533" y="1752488"/>
          <a:ext cx="26799541" cy="47625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Balanço Patrimonial</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C5F6FA6A-714D-4F27-B574-150986D36C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xdr:col>
      <xdr:colOff>597943</xdr:colOff>
      <xdr:row>34</xdr:row>
      <xdr:rowOff>211007</xdr:rowOff>
    </xdr:from>
    <xdr:to>
      <xdr:col>24</xdr:col>
      <xdr:colOff>0</xdr:colOff>
      <xdr:row>36</xdr:row>
      <xdr:rowOff>20507</xdr:rowOff>
    </xdr:to>
    <xdr:sp macro="" textlink="">
      <xdr:nvSpPr>
        <xdr:cNvPr id="2" name="Retângulo: Cantos Superiores Arredondados 1">
          <a:extLst>
            <a:ext uri="{FF2B5EF4-FFF2-40B4-BE49-F238E27FC236}">
              <a16:creationId xmlns:a16="http://schemas.microsoft.com/office/drawing/2014/main" id="{7DEDF024-2048-4FD0-8A60-A850BABEC4AA}"/>
            </a:ext>
          </a:extLst>
        </xdr:cNvPr>
        <xdr:cNvSpPr/>
      </xdr:nvSpPr>
      <xdr:spPr>
        <a:xfrm>
          <a:off x="4261258" y="11961047"/>
          <a:ext cx="29600117" cy="57150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Aplicações e Captações</a:t>
          </a:r>
          <a:r>
            <a:rPr lang="pt-BR" sz="1100" b="0" baseline="0">
              <a:solidFill>
                <a:schemeClr val="tx1">
                  <a:lumMod val="75000"/>
                  <a:lumOff val="25000"/>
                </a:schemeClr>
              </a:solidFill>
              <a:latin typeface="+mn-lt"/>
              <a:ea typeface="SF Pro Display" panose="00000500000000000000" pitchFamily="2" charset="0"/>
            </a:rPr>
            <a:t> (Saldo Médio)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600073</xdr:colOff>
      <xdr:row>7</xdr:row>
      <xdr:rowOff>0</xdr:rowOff>
    </xdr:from>
    <xdr:to>
      <xdr:col>22</xdr:col>
      <xdr:colOff>0</xdr:colOff>
      <xdr:row>8</xdr:row>
      <xdr:rowOff>10271</xdr:rowOff>
    </xdr:to>
    <xdr:sp macro="" textlink="">
      <xdr:nvSpPr>
        <xdr:cNvPr id="3" name="Retângulo: Cantos Superiores Arredondados 2">
          <a:extLst>
            <a:ext uri="{FF2B5EF4-FFF2-40B4-BE49-F238E27FC236}">
              <a16:creationId xmlns:a16="http://schemas.microsoft.com/office/drawing/2014/main" id="{6F008011-396A-4253-8373-8EDE14C74F21}"/>
            </a:ext>
          </a:extLst>
        </xdr:cNvPr>
        <xdr:cNvSpPr/>
      </xdr:nvSpPr>
      <xdr:spPr>
        <a:xfrm>
          <a:off x="4265293" y="1466850"/>
          <a:ext cx="24176357" cy="39317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Taxas</a:t>
          </a:r>
          <a:r>
            <a:rPr lang="pt-BR" sz="1100" b="0" baseline="0">
              <a:solidFill>
                <a:schemeClr val="tx1">
                  <a:lumMod val="75000"/>
                  <a:lumOff val="25000"/>
                </a:schemeClr>
              </a:solidFill>
              <a:latin typeface="+mn-lt"/>
              <a:ea typeface="SF Pro Display" panose="00000500000000000000" pitchFamily="2" charset="0"/>
            </a:rPr>
            <a:t> e Margens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599334</xdr:colOff>
      <xdr:row>109</xdr:row>
      <xdr:rowOff>320346</xdr:rowOff>
    </xdr:from>
    <xdr:to>
      <xdr:col>23</xdr:col>
      <xdr:colOff>0</xdr:colOff>
      <xdr:row>111</xdr:row>
      <xdr:rowOff>40199</xdr:rowOff>
    </xdr:to>
    <xdr:sp macro="" textlink="">
      <xdr:nvSpPr>
        <xdr:cNvPr id="4" name="Retângulo: Cantos Superiores Arredondados 3">
          <a:extLst>
            <a:ext uri="{FF2B5EF4-FFF2-40B4-BE49-F238E27FC236}">
              <a16:creationId xmlns:a16="http://schemas.microsoft.com/office/drawing/2014/main" id="{9285A0BF-F1AA-48E6-8BB7-862D51CBF1CA}"/>
            </a:ext>
          </a:extLst>
        </xdr:cNvPr>
        <xdr:cNvSpPr/>
      </xdr:nvSpPr>
      <xdr:spPr>
        <a:xfrm>
          <a:off x="4273263" y="40624703"/>
          <a:ext cx="25539987"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a:t>
          </a:r>
        </a:p>
      </xdr:txBody>
    </xdr:sp>
    <xdr:clientData/>
  </xdr:twoCellAnchor>
  <xdr:twoCellAnchor>
    <xdr:from>
      <xdr:col>3</xdr:col>
      <xdr:colOff>593751</xdr:colOff>
      <xdr:row>193</xdr:row>
      <xdr:rowOff>296047</xdr:rowOff>
    </xdr:from>
    <xdr:to>
      <xdr:col>7</xdr:col>
      <xdr:colOff>1409700</xdr:colOff>
      <xdr:row>195</xdr:row>
      <xdr:rowOff>10185</xdr:rowOff>
    </xdr:to>
    <xdr:sp macro="" textlink="">
      <xdr:nvSpPr>
        <xdr:cNvPr id="5" name="Retângulo: Cantos Superiores Arredondados 4">
          <a:extLst>
            <a:ext uri="{FF2B5EF4-FFF2-40B4-BE49-F238E27FC236}">
              <a16:creationId xmlns:a16="http://schemas.microsoft.com/office/drawing/2014/main" id="{9BC0EC6E-C895-4118-965E-6333739D9AE7}"/>
            </a:ext>
          </a:extLst>
        </xdr:cNvPr>
        <xdr:cNvSpPr/>
      </xdr:nvSpPr>
      <xdr:spPr>
        <a:xfrm>
          <a:off x="4260876" y="65770897"/>
          <a:ext cx="8559774" cy="476138"/>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Regressão Linear - Selic x Ativos e Passivos</a:t>
          </a:r>
        </a:p>
      </xdr:txBody>
    </xdr:sp>
    <xdr:clientData/>
  </xdr:twoCellAnchor>
  <xdr:twoCellAnchor>
    <xdr:from>
      <xdr:col>3</xdr:col>
      <xdr:colOff>590102</xdr:colOff>
      <xdr:row>143</xdr:row>
      <xdr:rowOff>286921</xdr:rowOff>
    </xdr:from>
    <xdr:to>
      <xdr:col>23</xdr:col>
      <xdr:colOff>19050</xdr:colOff>
      <xdr:row>145</xdr:row>
      <xdr:rowOff>12489</xdr:rowOff>
    </xdr:to>
    <xdr:sp macro="" textlink="">
      <xdr:nvSpPr>
        <xdr:cNvPr id="6" name="Retângulo: Cantos Superiores Arredondados 5">
          <a:extLst>
            <a:ext uri="{FF2B5EF4-FFF2-40B4-BE49-F238E27FC236}">
              <a16:creationId xmlns:a16="http://schemas.microsoft.com/office/drawing/2014/main" id="{BCB8DE60-017A-470D-A61E-994AA3908484}"/>
            </a:ext>
          </a:extLst>
        </xdr:cNvPr>
        <xdr:cNvSpPr/>
      </xdr:nvSpPr>
      <xdr:spPr>
        <a:xfrm>
          <a:off x="4257227" y="53569771"/>
          <a:ext cx="25622698" cy="487568"/>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a:t>
          </a:r>
          <a:r>
            <a:rPr lang="pt-BR" sz="1100" b="0" baseline="0">
              <a:solidFill>
                <a:schemeClr val="tx1">
                  <a:lumMod val="75000"/>
                  <a:lumOff val="25000"/>
                </a:schemeClr>
              </a:solidFill>
              <a:latin typeface="+mn-lt"/>
              <a:ea typeface="SF Pro Display" panose="00000500000000000000" pitchFamily="2" charset="0"/>
            </a:rPr>
            <a:t> Médio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599440</xdr:colOff>
      <xdr:row>14</xdr:row>
      <xdr:rowOff>320724</xdr:rowOff>
    </xdr:from>
    <xdr:to>
      <xdr:col>24</xdr:col>
      <xdr:colOff>0</xdr:colOff>
      <xdr:row>16</xdr:row>
      <xdr:rowOff>309</xdr:rowOff>
    </xdr:to>
    <xdr:sp macro="" textlink="">
      <xdr:nvSpPr>
        <xdr:cNvPr id="7" name="Retângulo: Cantos Superiores Arredondados 6">
          <a:extLst>
            <a:ext uri="{FF2B5EF4-FFF2-40B4-BE49-F238E27FC236}">
              <a16:creationId xmlns:a16="http://schemas.microsoft.com/office/drawing/2014/main" id="{92DBADF4-E2F2-4E20-A2F7-32E414899DE8}"/>
            </a:ext>
          </a:extLst>
        </xdr:cNvPr>
        <xdr:cNvSpPr/>
      </xdr:nvSpPr>
      <xdr:spPr>
        <a:xfrm>
          <a:off x="4273369" y="4430081"/>
          <a:ext cx="40181167" cy="44158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Margem Financeira Bruta e Líquida</a:t>
          </a:r>
        </a:p>
      </xdr:txBody>
    </xdr:sp>
    <xdr:clientData/>
  </xdr:twoCellAnchor>
  <xdr:oneCellAnchor>
    <xdr:from>
      <xdr:col>0</xdr:col>
      <xdr:colOff>969869</xdr:colOff>
      <xdr:row>0</xdr:row>
      <xdr:rowOff>164166</xdr:rowOff>
    </xdr:from>
    <xdr:ext cx="363716" cy="626400"/>
    <xdr:pic>
      <xdr:nvPicPr>
        <xdr:cNvPr id="8" name="Imagem 7">
          <a:extLst>
            <a:ext uri="{FF2B5EF4-FFF2-40B4-BE49-F238E27FC236}">
              <a16:creationId xmlns:a16="http://schemas.microsoft.com/office/drawing/2014/main" id="{F7584AFD-491F-4BCE-96F4-9BE2DEEE16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twoCellAnchor>
    <xdr:from>
      <xdr:col>4</xdr:col>
      <xdr:colOff>0</xdr:colOff>
      <xdr:row>175</xdr:row>
      <xdr:rowOff>281940</xdr:rowOff>
    </xdr:from>
    <xdr:to>
      <xdr:col>24</xdr:col>
      <xdr:colOff>0</xdr:colOff>
      <xdr:row>177</xdr:row>
      <xdr:rowOff>22748</xdr:rowOff>
    </xdr:to>
    <xdr:sp macro="" textlink="">
      <xdr:nvSpPr>
        <xdr:cNvPr id="9" name="Retângulo: Cantos Superiores Arredondados 8">
          <a:extLst>
            <a:ext uri="{FF2B5EF4-FFF2-40B4-BE49-F238E27FC236}">
              <a16:creationId xmlns:a16="http://schemas.microsoft.com/office/drawing/2014/main" id="{124C21B1-9455-4636-960F-4D3D8A98A095}"/>
            </a:ext>
          </a:extLst>
        </xdr:cNvPr>
        <xdr:cNvSpPr/>
      </xdr:nvSpPr>
      <xdr:spPr>
        <a:xfrm>
          <a:off x="4258235" y="65746705"/>
          <a:ext cx="29639559" cy="502808"/>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Carteira de Crédito</a:t>
          </a:r>
        </a:p>
      </xdr:txBody>
    </xdr:sp>
    <xdr:clientData/>
  </xdr:twoCellAnchor>
  <xdr:twoCellAnchor>
    <xdr:from>
      <xdr:col>8</xdr:col>
      <xdr:colOff>1401536</xdr:colOff>
      <xdr:row>193</xdr:row>
      <xdr:rowOff>282282</xdr:rowOff>
    </xdr:from>
    <xdr:to>
      <xdr:col>11</xdr:col>
      <xdr:colOff>33617</xdr:colOff>
      <xdr:row>195</xdr:row>
      <xdr:rowOff>17375</xdr:rowOff>
    </xdr:to>
    <xdr:sp macro="" textlink="">
      <xdr:nvSpPr>
        <xdr:cNvPr id="12" name="Retângulo: Cantos Superiores Arredondados 11">
          <a:extLst>
            <a:ext uri="{FF2B5EF4-FFF2-40B4-BE49-F238E27FC236}">
              <a16:creationId xmlns:a16="http://schemas.microsoft.com/office/drawing/2014/main" id="{7AEB9410-6DA1-4063-A6F5-3AE93901A69A}"/>
            </a:ext>
          </a:extLst>
        </xdr:cNvPr>
        <xdr:cNvSpPr/>
      </xdr:nvSpPr>
      <xdr:spPr>
        <a:xfrm>
          <a:off x="14680507" y="72605047"/>
          <a:ext cx="2901522" cy="49709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PIB</a:t>
          </a:r>
          <a:r>
            <a:rPr lang="pt-BR" sz="1100" b="0" baseline="0">
              <a:solidFill>
                <a:schemeClr val="tx1">
                  <a:lumMod val="75000"/>
                  <a:lumOff val="25000"/>
                </a:schemeClr>
              </a:solidFill>
              <a:latin typeface="+mn-lt"/>
              <a:ea typeface="SF Pro Display" panose="00000500000000000000" pitchFamily="2" charset="0"/>
            </a:rPr>
            <a:t> Nominal do Longo Prazo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8</xdr:row>
      <xdr:rowOff>15240</xdr:rowOff>
    </xdr:from>
    <xdr:to>
      <xdr:col>10</xdr:col>
      <xdr:colOff>9525</xdr:colOff>
      <xdr:row>9</xdr:row>
      <xdr:rowOff>27416</xdr:rowOff>
    </xdr:to>
    <xdr:sp macro="" textlink="">
      <xdr:nvSpPr>
        <xdr:cNvPr id="2" name="Retângulo: Cantos Superiores Arredondados 1">
          <a:extLst>
            <a:ext uri="{FF2B5EF4-FFF2-40B4-BE49-F238E27FC236}">
              <a16:creationId xmlns:a16="http://schemas.microsoft.com/office/drawing/2014/main" id="{2E2FE97D-BF3E-4FC4-B97D-49B44CDFE14F}"/>
            </a:ext>
          </a:extLst>
        </xdr:cNvPr>
        <xdr:cNvSpPr/>
      </xdr:nvSpPr>
      <xdr:spPr>
        <a:xfrm>
          <a:off x="4333875" y="1924050"/>
          <a:ext cx="3926205"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Patrimônio</a:t>
          </a:r>
          <a:r>
            <a:rPr lang="pt-BR" sz="1100" b="0" baseline="0">
              <a:solidFill>
                <a:schemeClr val="tx1">
                  <a:lumMod val="75000"/>
                  <a:lumOff val="25000"/>
                </a:schemeClr>
              </a:solidFill>
              <a:latin typeface="+mn-lt"/>
              <a:ea typeface="SF Pro Display" panose="00000500000000000000" pitchFamily="2" charset="0"/>
            </a:rPr>
            <a:t> Líquido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0</xdr:colOff>
      <xdr:row>8</xdr:row>
      <xdr:rowOff>19050</xdr:rowOff>
    </xdr:from>
    <xdr:to>
      <xdr:col>17</xdr:col>
      <xdr:colOff>9525</xdr:colOff>
      <xdr:row>9</xdr:row>
      <xdr:rowOff>25511</xdr:rowOff>
    </xdr:to>
    <xdr:sp macro="" textlink="">
      <xdr:nvSpPr>
        <xdr:cNvPr id="3" name="Retângulo: Cantos Superiores Arredondados 2">
          <a:extLst>
            <a:ext uri="{FF2B5EF4-FFF2-40B4-BE49-F238E27FC236}">
              <a16:creationId xmlns:a16="http://schemas.microsoft.com/office/drawing/2014/main" id="{B357D1CA-1ED8-4EB4-855E-BE5EFA176DAF}"/>
            </a:ext>
          </a:extLst>
        </xdr:cNvPr>
        <xdr:cNvSpPr/>
      </xdr:nvSpPr>
      <xdr:spPr>
        <a:xfrm>
          <a:off x="8877300" y="1920240"/>
          <a:ext cx="216408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do Patrimônio</a:t>
          </a:r>
          <a:r>
            <a:rPr lang="pt-BR" sz="1100" b="0" baseline="0">
              <a:solidFill>
                <a:schemeClr val="tx1">
                  <a:lumMod val="75000"/>
                  <a:lumOff val="25000"/>
                </a:schemeClr>
              </a:solidFill>
              <a:latin typeface="+mn-lt"/>
              <a:ea typeface="SF Pro Display" panose="00000500000000000000" pitchFamily="2" charset="0"/>
            </a:rPr>
            <a:t> Líquido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16" name="Imagem 15">
          <a:extLst>
            <a:ext uri="{FF2B5EF4-FFF2-40B4-BE49-F238E27FC236}">
              <a16:creationId xmlns:a16="http://schemas.microsoft.com/office/drawing/2014/main" id="{211F94F3-BFEE-4123-BA5F-69A43E3555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twoCellAnchor>
    <xdr:from>
      <xdr:col>4</xdr:col>
      <xdr:colOff>0</xdr:colOff>
      <xdr:row>19</xdr:row>
      <xdr:rowOff>15240</xdr:rowOff>
    </xdr:from>
    <xdr:to>
      <xdr:col>10</xdr:col>
      <xdr:colOff>0</xdr:colOff>
      <xdr:row>20</xdr:row>
      <xdr:rowOff>27416</xdr:rowOff>
    </xdr:to>
    <xdr:sp macro="" textlink="">
      <xdr:nvSpPr>
        <xdr:cNvPr id="59" name="Retângulo: Cantos Superiores Arredondados 58">
          <a:extLst>
            <a:ext uri="{FF2B5EF4-FFF2-40B4-BE49-F238E27FC236}">
              <a16:creationId xmlns:a16="http://schemas.microsoft.com/office/drawing/2014/main" id="{6BAEB4FB-B3F0-4669-8187-28AD11EB8D5B}"/>
            </a:ext>
          </a:extLst>
        </xdr:cNvPr>
        <xdr:cNvSpPr/>
      </xdr:nvSpPr>
      <xdr:spPr>
        <a:xfrm>
          <a:off x="4333875" y="5353050"/>
          <a:ext cx="3914775"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Ativos Rentáveis </a:t>
          </a:r>
          <a:r>
            <a:rPr lang="pt-BR" sz="1100" b="0" baseline="0">
              <a:solidFill>
                <a:schemeClr val="tx1">
                  <a:lumMod val="75000"/>
                  <a:lumOff val="25000"/>
                </a:schemeClr>
              </a:solidFill>
              <a:latin typeface="+mn-lt"/>
              <a:ea typeface="SF Pro Display" panose="00000500000000000000" pitchFamily="2" charset="0"/>
            </a:rPr>
            <a:t>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19</xdr:row>
      <xdr:rowOff>19050</xdr:rowOff>
    </xdr:from>
    <xdr:to>
      <xdr:col>17</xdr:col>
      <xdr:colOff>0</xdr:colOff>
      <xdr:row>20</xdr:row>
      <xdr:rowOff>17891</xdr:rowOff>
    </xdr:to>
    <xdr:sp macro="" textlink="">
      <xdr:nvSpPr>
        <xdr:cNvPr id="60" name="Retângulo: Cantos Superiores Arredondados 59">
          <a:extLst>
            <a:ext uri="{FF2B5EF4-FFF2-40B4-BE49-F238E27FC236}">
              <a16:creationId xmlns:a16="http://schemas.microsoft.com/office/drawing/2014/main" id="{C0E101DE-39CF-4A63-88BC-BD38294F0AD1}"/>
            </a:ext>
          </a:extLst>
        </xdr:cNvPr>
        <xdr:cNvSpPr/>
      </xdr:nvSpPr>
      <xdr:spPr>
        <a:xfrm>
          <a:off x="8877300" y="5349240"/>
          <a:ext cx="215265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dos Ativos Rentáveis </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49</xdr:row>
      <xdr:rowOff>15240</xdr:rowOff>
    </xdr:from>
    <xdr:to>
      <xdr:col>10</xdr:col>
      <xdr:colOff>0</xdr:colOff>
      <xdr:row>50</xdr:row>
      <xdr:rowOff>27416</xdr:rowOff>
    </xdr:to>
    <xdr:sp macro="" textlink="">
      <xdr:nvSpPr>
        <xdr:cNvPr id="67" name="Retângulo: Cantos Superiores Arredondados 66">
          <a:extLst>
            <a:ext uri="{FF2B5EF4-FFF2-40B4-BE49-F238E27FC236}">
              <a16:creationId xmlns:a16="http://schemas.microsoft.com/office/drawing/2014/main" id="{8ACE99DC-5E19-4987-9438-1604EC8B71C1}"/>
            </a:ext>
          </a:extLst>
        </xdr:cNvPr>
        <xdr:cNvSpPr/>
      </xdr:nvSpPr>
      <xdr:spPr>
        <a:xfrm>
          <a:off x="4325471" y="6115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Exposição da Carteira de Crédito </a:t>
          </a:r>
          <a:r>
            <a:rPr lang="pt-BR" sz="1100" b="0" baseline="0">
              <a:solidFill>
                <a:schemeClr val="tx1">
                  <a:lumMod val="75000"/>
                  <a:lumOff val="25000"/>
                </a:schemeClr>
              </a:solidFill>
              <a:latin typeface="+mn-lt"/>
              <a:ea typeface="SF Pro Display" panose="00000500000000000000" pitchFamily="2" charset="0"/>
            </a:rPr>
            <a:t>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49</xdr:row>
      <xdr:rowOff>19050</xdr:rowOff>
    </xdr:from>
    <xdr:to>
      <xdr:col>17</xdr:col>
      <xdr:colOff>0</xdr:colOff>
      <xdr:row>50</xdr:row>
      <xdr:rowOff>17891</xdr:rowOff>
    </xdr:to>
    <xdr:sp macro="" textlink="">
      <xdr:nvSpPr>
        <xdr:cNvPr id="68" name="Retângulo: Cantos Superiores Arredondados 67">
          <a:extLst>
            <a:ext uri="{FF2B5EF4-FFF2-40B4-BE49-F238E27FC236}">
              <a16:creationId xmlns:a16="http://schemas.microsoft.com/office/drawing/2014/main" id="{5464BA47-A9B2-474E-91F1-D536274A5645}"/>
            </a:ext>
          </a:extLst>
        </xdr:cNvPr>
        <xdr:cNvSpPr/>
      </xdr:nvSpPr>
      <xdr:spPr>
        <a:xfrm>
          <a:off x="13145621" y="6111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da Exposição da Carteira de Crédito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41</xdr:row>
      <xdr:rowOff>15240</xdr:rowOff>
    </xdr:from>
    <xdr:to>
      <xdr:col>10</xdr:col>
      <xdr:colOff>0</xdr:colOff>
      <xdr:row>42</xdr:row>
      <xdr:rowOff>27416</xdr:rowOff>
    </xdr:to>
    <xdr:sp macro="" textlink="">
      <xdr:nvSpPr>
        <xdr:cNvPr id="69" name="Retângulo: Cantos Superiores Arredondados 68">
          <a:extLst>
            <a:ext uri="{FF2B5EF4-FFF2-40B4-BE49-F238E27FC236}">
              <a16:creationId xmlns:a16="http://schemas.microsoft.com/office/drawing/2014/main" id="{90472D34-AC71-45EC-9FC8-E98B505C1E15}"/>
            </a:ext>
          </a:extLst>
        </xdr:cNvPr>
        <xdr:cNvSpPr/>
      </xdr:nvSpPr>
      <xdr:spPr>
        <a:xfrm>
          <a:off x="4325471" y="6115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Passivos Onerosos</a:t>
          </a:r>
          <a:r>
            <a:rPr lang="pt-BR" sz="1100" b="0" baseline="0">
              <a:solidFill>
                <a:schemeClr val="tx1">
                  <a:lumMod val="75000"/>
                  <a:lumOff val="25000"/>
                </a:schemeClr>
              </a:solidFill>
              <a:latin typeface="+mn-lt"/>
              <a:ea typeface="SF Pro Display" panose="00000500000000000000" pitchFamily="2" charset="0"/>
            </a:rPr>
            <a:t>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41</xdr:row>
      <xdr:rowOff>19050</xdr:rowOff>
    </xdr:from>
    <xdr:to>
      <xdr:col>17</xdr:col>
      <xdr:colOff>0</xdr:colOff>
      <xdr:row>42</xdr:row>
      <xdr:rowOff>17891</xdr:rowOff>
    </xdr:to>
    <xdr:sp macro="" textlink="">
      <xdr:nvSpPr>
        <xdr:cNvPr id="70" name="Retângulo: Cantos Superiores Arredondados 69">
          <a:extLst>
            <a:ext uri="{FF2B5EF4-FFF2-40B4-BE49-F238E27FC236}">
              <a16:creationId xmlns:a16="http://schemas.microsoft.com/office/drawing/2014/main" id="{F7EDF0F9-42A7-4498-B24F-43805CB85C50}"/>
            </a:ext>
          </a:extLst>
        </xdr:cNvPr>
        <xdr:cNvSpPr/>
      </xdr:nvSpPr>
      <xdr:spPr>
        <a:xfrm>
          <a:off x="13145621" y="6111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dos Passivos Onerosos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57</xdr:row>
      <xdr:rowOff>15240</xdr:rowOff>
    </xdr:from>
    <xdr:to>
      <xdr:col>10</xdr:col>
      <xdr:colOff>0</xdr:colOff>
      <xdr:row>58</xdr:row>
      <xdr:rowOff>27416</xdr:rowOff>
    </xdr:to>
    <xdr:sp macro="" textlink="">
      <xdr:nvSpPr>
        <xdr:cNvPr id="71" name="Retângulo: Cantos Superiores Arredondados 70">
          <a:extLst>
            <a:ext uri="{FF2B5EF4-FFF2-40B4-BE49-F238E27FC236}">
              <a16:creationId xmlns:a16="http://schemas.microsoft.com/office/drawing/2014/main" id="{101912BE-A06E-4C75-A98B-AE6874BAF7B7}"/>
            </a:ext>
          </a:extLst>
        </xdr:cNvPr>
        <xdr:cNvSpPr/>
      </xdr:nvSpPr>
      <xdr:spPr>
        <a:xfrm>
          <a:off x="4325471" y="12211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Carteira</a:t>
          </a:r>
          <a:r>
            <a:rPr lang="pt-BR" sz="1100" b="0" baseline="0">
              <a:solidFill>
                <a:schemeClr val="tx1">
                  <a:lumMod val="75000"/>
                  <a:lumOff val="25000"/>
                </a:schemeClr>
              </a:solidFill>
              <a:latin typeface="+mn-lt"/>
              <a:ea typeface="SF Pro Display" panose="00000500000000000000" pitchFamily="2" charset="0"/>
            </a:rPr>
            <a:t> de Crédito Ativa: FNO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57</xdr:row>
      <xdr:rowOff>19050</xdr:rowOff>
    </xdr:from>
    <xdr:to>
      <xdr:col>17</xdr:col>
      <xdr:colOff>0</xdr:colOff>
      <xdr:row>58</xdr:row>
      <xdr:rowOff>17891</xdr:rowOff>
    </xdr:to>
    <xdr:sp macro="" textlink="">
      <xdr:nvSpPr>
        <xdr:cNvPr id="72" name="Retângulo: Cantos Superiores Arredondados 71">
          <a:extLst>
            <a:ext uri="{FF2B5EF4-FFF2-40B4-BE49-F238E27FC236}">
              <a16:creationId xmlns:a16="http://schemas.microsoft.com/office/drawing/2014/main" id="{EF6AA1AE-3E88-4504-8FA8-D86B6290FB41}"/>
            </a:ext>
          </a:extLst>
        </xdr:cNvPr>
        <xdr:cNvSpPr/>
      </xdr:nvSpPr>
      <xdr:spPr>
        <a:xfrm>
          <a:off x="13145621" y="12207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da Carteira de Crédito Ativa: FNO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65</xdr:row>
      <xdr:rowOff>15240</xdr:rowOff>
    </xdr:from>
    <xdr:to>
      <xdr:col>10</xdr:col>
      <xdr:colOff>0</xdr:colOff>
      <xdr:row>66</xdr:row>
      <xdr:rowOff>27416</xdr:rowOff>
    </xdr:to>
    <xdr:sp macro="" textlink="">
      <xdr:nvSpPr>
        <xdr:cNvPr id="73" name="Retângulo: Cantos Superiores Arredondados 72">
          <a:extLst>
            <a:ext uri="{FF2B5EF4-FFF2-40B4-BE49-F238E27FC236}">
              <a16:creationId xmlns:a16="http://schemas.microsoft.com/office/drawing/2014/main" id="{C5BAE699-5E6A-465B-B471-E5694E434A23}"/>
            </a:ext>
          </a:extLst>
        </xdr:cNvPr>
        <xdr:cNvSpPr/>
      </xdr:nvSpPr>
      <xdr:spPr>
        <a:xfrm>
          <a:off x="4325471" y="15259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Carteira</a:t>
          </a:r>
          <a:r>
            <a:rPr lang="pt-BR" sz="1100" b="0" baseline="0">
              <a:solidFill>
                <a:schemeClr val="tx1">
                  <a:lumMod val="75000"/>
                  <a:lumOff val="25000"/>
                </a:schemeClr>
              </a:solidFill>
              <a:latin typeface="+mn-lt"/>
              <a:ea typeface="SF Pro Display" panose="00000500000000000000" pitchFamily="2" charset="0"/>
            </a:rPr>
            <a:t> de Crédito Ativa: Demais Fontes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65</xdr:row>
      <xdr:rowOff>19050</xdr:rowOff>
    </xdr:from>
    <xdr:to>
      <xdr:col>17</xdr:col>
      <xdr:colOff>0</xdr:colOff>
      <xdr:row>66</xdr:row>
      <xdr:rowOff>17891</xdr:rowOff>
    </xdr:to>
    <xdr:sp macro="" textlink="">
      <xdr:nvSpPr>
        <xdr:cNvPr id="74" name="Retângulo: Cantos Superiores Arredondados 73">
          <a:extLst>
            <a:ext uri="{FF2B5EF4-FFF2-40B4-BE49-F238E27FC236}">
              <a16:creationId xmlns:a16="http://schemas.microsoft.com/office/drawing/2014/main" id="{BF55C8ED-40B4-42FB-B87A-C6C2EBC85ED9}"/>
            </a:ext>
          </a:extLst>
        </xdr:cNvPr>
        <xdr:cNvSpPr/>
      </xdr:nvSpPr>
      <xdr:spPr>
        <a:xfrm>
          <a:off x="13145621" y="15255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da Carteira de Crédito Ativa: Demais Fontes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73</xdr:row>
      <xdr:rowOff>15240</xdr:rowOff>
    </xdr:from>
    <xdr:to>
      <xdr:col>10</xdr:col>
      <xdr:colOff>0</xdr:colOff>
      <xdr:row>74</xdr:row>
      <xdr:rowOff>27416</xdr:rowOff>
    </xdr:to>
    <xdr:sp macro="" textlink="">
      <xdr:nvSpPr>
        <xdr:cNvPr id="75" name="Retângulo: Cantos Superiores Arredondados 74">
          <a:extLst>
            <a:ext uri="{FF2B5EF4-FFF2-40B4-BE49-F238E27FC236}">
              <a16:creationId xmlns:a16="http://schemas.microsoft.com/office/drawing/2014/main" id="{A9D2E09A-3139-44A4-98BB-E1E14E414DE7}"/>
            </a:ext>
          </a:extLst>
        </xdr:cNvPr>
        <xdr:cNvSpPr/>
      </xdr:nvSpPr>
      <xdr:spPr>
        <a:xfrm>
          <a:off x="4325471" y="18307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com a</a:t>
          </a:r>
          <a:r>
            <a:rPr lang="pt-BR" sz="1100" b="0" baseline="0">
              <a:solidFill>
                <a:schemeClr val="tx1">
                  <a:lumMod val="75000"/>
                  <a:lumOff val="25000"/>
                </a:schemeClr>
              </a:solidFill>
              <a:latin typeface="+mn-lt"/>
              <a:ea typeface="SF Pro Display" panose="00000500000000000000" pitchFamily="2" charset="0"/>
            </a:rPr>
            <a:t> Administração do FNO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73</xdr:row>
      <xdr:rowOff>19050</xdr:rowOff>
    </xdr:from>
    <xdr:to>
      <xdr:col>17</xdr:col>
      <xdr:colOff>0</xdr:colOff>
      <xdr:row>74</xdr:row>
      <xdr:rowOff>17891</xdr:rowOff>
    </xdr:to>
    <xdr:sp macro="" textlink="">
      <xdr:nvSpPr>
        <xdr:cNvPr id="76" name="Retângulo: Cantos Superiores Arredondados 75">
          <a:extLst>
            <a:ext uri="{FF2B5EF4-FFF2-40B4-BE49-F238E27FC236}">
              <a16:creationId xmlns:a16="http://schemas.microsoft.com/office/drawing/2014/main" id="{1A0B4EB1-F6E1-439A-B11A-29D36350C0BD}"/>
            </a:ext>
          </a:extLst>
        </xdr:cNvPr>
        <xdr:cNvSpPr/>
      </xdr:nvSpPr>
      <xdr:spPr>
        <a:xfrm>
          <a:off x="13145621" y="18303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das</a:t>
          </a:r>
          <a:r>
            <a:rPr lang="pt-BR" sz="1100" b="0" baseline="0">
              <a:solidFill>
                <a:schemeClr val="tx1">
                  <a:lumMod val="75000"/>
                  <a:lumOff val="25000"/>
                </a:schemeClr>
              </a:solidFill>
              <a:latin typeface="+mn-lt"/>
              <a:ea typeface="SF Pro Display" panose="00000500000000000000" pitchFamily="2" charset="0"/>
            </a:rPr>
            <a:t> </a:t>
          </a:r>
          <a:r>
            <a:rPr lang="pt-BR" sz="1100" b="0">
              <a:solidFill>
                <a:sysClr val="windowText" lastClr="000000"/>
              </a:solidFill>
              <a:effectLst/>
              <a:latin typeface="+mn-lt"/>
              <a:ea typeface="+mn-ea"/>
              <a:cs typeface="+mn-cs"/>
            </a:rPr>
            <a:t>Receitas com a</a:t>
          </a:r>
          <a:r>
            <a:rPr lang="pt-BR" sz="1100" b="0" baseline="0">
              <a:solidFill>
                <a:sysClr val="windowText" lastClr="000000"/>
              </a:solidFill>
              <a:effectLst/>
              <a:latin typeface="+mn-lt"/>
              <a:ea typeface="+mn-ea"/>
              <a:cs typeface="+mn-cs"/>
            </a:rPr>
            <a:t> Administração do FNO </a:t>
          </a:r>
          <a:endParaRPr lang="pt-BR" sz="1100" b="0">
            <a:solidFill>
              <a:sysClr val="windowText" lastClr="000000"/>
            </a:solidFill>
            <a:latin typeface="+mn-lt"/>
            <a:ea typeface="SF Pro Display" panose="00000500000000000000" pitchFamily="2" charset="0"/>
          </a:endParaRPr>
        </a:p>
      </xdr:txBody>
    </xdr:sp>
    <xdr:clientData/>
  </xdr:twoCellAnchor>
  <xdr:twoCellAnchor>
    <xdr:from>
      <xdr:col>4</xdr:col>
      <xdr:colOff>0</xdr:colOff>
      <xdr:row>84</xdr:row>
      <xdr:rowOff>15240</xdr:rowOff>
    </xdr:from>
    <xdr:to>
      <xdr:col>10</xdr:col>
      <xdr:colOff>0</xdr:colOff>
      <xdr:row>85</xdr:row>
      <xdr:rowOff>27416</xdr:rowOff>
    </xdr:to>
    <xdr:sp macro="" textlink="">
      <xdr:nvSpPr>
        <xdr:cNvPr id="77" name="Retângulo: Cantos Superiores Arredondados 76">
          <a:extLst>
            <a:ext uri="{FF2B5EF4-FFF2-40B4-BE49-F238E27FC236}">
              <a16:creationId xmlns:a16="http://schemas.microsoft.com/office/drawing/2014/main" id="{DFC37E07-C36B-4A6C-9DA1-772B09CCF2F3}"/>
            </a:ext>
          </a:extLst>
        </xdr:cNvPr>
        <xdr:cNvSpPr/>
      </xdr:nvSpPr>
      <xdr:spPr>
        <a:xfrm>
          <a:off x="4325471" y="21355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com a</a:t>
          </a:r>
          <a:r>
            <a:rPr lang="pt-BR" sz="1100" b="0" baseline="0">
              <a:solidFill>
                <a:schemeClr val="tx1">
                  <a:lumMod val="75000"/>
                  <a:lumOff val="25000"/>
                </a:schemeClr>
              </a:solidFill>
              <a:latin typeface="+mn-lt"/>
              <a:ea typeface="SF Pro Display" panose="00000500000000000000" pitchFamily="2" charset="0"/>
            </a:rPr>
            <a:t> Administração do Art. 19 da Lei nº 8.167/91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84</xdr:row>
      <xdr:rowOff>19050</xdr:rowOff>
    </xdr:from>
    <xdr:to>
      <xdr:col>17</xdr:col>
      <xdr:colOff>0</xdr:colOff>
      <xdr:row>85</xdr:row>
      <xdr:rowOff>17891</xdr:rowOff>
    </xdr:to>
    <xdr:sp macro="" textlink="">
      <xdr:nvSpPr>
        <xdr:cNvPr id="78" name="Retângulo: Cantos Superiores Arredondados 77">
          <a:extLst>
            <a:ext uri="{FF2B5EF4-FFF2-40B4-BE49-F238E27FC236}">
              <a16:creationId xmlns:a16="http://schemas.microsoft.com/office/drawing/2014/main" id="{F3935405-82B8-4C94-A998-36CD052513C5}"/>
            </a:ext>
          </a:extLst>
        </xdr:cNvPr>
        <xdr:cNvSpPr/>
      </xdr:nvSpPr>
      <xdr:spPr>
        <a:xfrm>
          <a:off x="13145621" y="21351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das</a:t>
          </a:r>
          <a:r>
            <a:rPr lang="pt-BR" sz="1100" b="0" baseline="0">
              <a:solidFill>
                <a:schemeClr val="tx1">
                  <a:lumMod val="75000"/>
                  <a:lumOff val="25000"/>
                </a:schemeClr>
              </a:solidFill>
              <a:latin typeface="+mn-lt"/>
              <a:ea typeface="SF Pro Display" panose="00000500000000000000" pitchFamily="2" charset="0"/>
            </a:rPr>
            <a:t> </a:t>
          </a:r>
          <a:r>
            <a:rPr lang="pt-BR" sz="1100" b="0">
              <a:solidFill>
                <a:sysClr val="windowText" lastClr="000000"/>
              </a:solidFill>
              <a:effectLst/>
              <a:latin typeface="+mn-lt"/>
              <a:ea typeface="+mn-ea"/>
              <a:cs typeface="+mn-cs"/>
            </a:rPr>
            <a:t>Receitas com a</a:t>
          </a:r>
          <a:r>
            <a:rPr lang="pt-BR" sz="1100" b="0" baseline="0">
              <a:solidFill>
                <a:sysClr val="windowText" lastClr="000000"/>
              </a:solidFill>
              <a:effectLst/>
              <a:latin typeface="+mn-lt"/>
              <a:ea typeface="+mn-ea"/>
              <a:cs typeface="+mn-cs"/>
            </a:rPr>
            <a:t> Administração do Art. 19 da Lei nº 8.167/91 </a:t>
          </a:r>
          <a:endParaRPr lang="pt-BR" sz="1100" b="0">
            <a:solidFill>
              <a:sysClr val="windowText" lastClr="000000"/>
            </a:solidFill>
            <a:latin typeface="+mn-lt"/>
            <a:ea typeface="SF Pro Display" panose="00000500000000000000" pitchFamily="2" charset="0"/>
          </a:endParaRPr>
        </a:p>
      </xdr:txBody>
    </xdr:sp>
    <xdr:clientData/>
  </xdr:twoCellAnchor>
  <xdr:twoCellAnchor>
    <xdr:from>
      <xdr:col>4</xdr:col>
      <xdr:colOff>0</xdr:colOff>
      <xdr:row>95</xdr:row>
      <xdr:rowOff>15240</xdr:rowOff>
    </xdr:from>
    <xdr:to>
      <xdr:col>10</xdr:col>
      <xdr:colOff>0</xdr:colOff>
      <xdr:row>96</xdr:row>
      <xdr:rowOff>27416</xdr:rowOff>
    </xdr:to>
    <xdr:sp macro="" textlink="">
      <xdr:nvSpPr>
        <xdr:cNvPr id="79" name="Retângulo: Cantos Superiores Arredondados 78">
          <a:extLst>
            <a:ext uri="{FF2B5EF4-FFF2-40B4-BE49-F238E27FC236}">
              <a16:creationId xmlns:a16="http://schemas.microsoft.com/office/drawing/2014/main" id="{58BF7BA1-FA7F-4EAB-852E-8F7BFE49C8B2}"/>
            </a:ext>
          </a:extLst>
        </xdr:cNvPr>
        <xdr:cNvSpPr/>
      </xdr:nvSpPr>
      <xdr:spPr>
        <a:xfrm>
          <a:off x="4325471" y="21355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com a</a:t>
          </a:r>
          <a:r>
            <a:rPr lang="pt-BR" sz="1100" b="0" baseline="0">
              <a:solidFill>
                <a:schemeClr val="tx1">
                  <a:lumMod val="75000"/>
                  <a:lumOff val="25000"/>
                </a:schemeClr>
              </a:solidFill>
              <a:latin typeface="+mn-lt"/>
              <a:ea typeface="SF Pro Display" panose="00000500000000000000" pitchFamily="2" charset="0"/>
            </a:rPr>
            <a:t> Administração do Finam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95</xdr:row>
      <xdr:rowOff>19050</xdr:rowOff>
    </xdr:from>
    <xdr:to>
      <xdr:col>17</xdr:col>
      <xdr:colOff>0</xdr:colOff>
      <xdr:row>96</xdr:row>
      <xdr:rowOff>17891</xdr:rowOff>
    </xdr:to>
    <xdr:sp macro="" textlink="">
      <xdr:nvSpPr>
        <xdr:cNvPr id="80" name="Retângulo: Cantos Superiores Arredondados 79">
          <a:extLst>
            <a:ext uri="{FF2B5EF4-FFF2-40B4-BE49-F238E27FC236}">
              <a16:creationId xmlns:a16="http://schemas.microsoft.com/office/drawing/2014/main" id="{4F62AAEA-7492-4F53-B5A9-5186BFBA6293}"/>
            </a:ext>
          </a:extLst>
        </xdr:cNvPr>
        <xdr:cNvSpPr/>
      </xdr:nvSpPr>
      <xdr:spPr>
        <a:xfrm>
          <a:off x="13145621" y="21351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das</a:t>
          </a:r>
          <a:r>
            <a:rPr lang="pt-BR" sz="1100" b="0" baseline="0">
              <a:solidFill>
                <a:schemeClr val="tx1">
                  <a:lumMod val="75000"/>
                  <a:lumOff val="25000"/>
                </a:schemeClr>
              </a:solidFill>
              <a:latin typeface="+mn-lt"/>
              <a:ea typeface="SF Pro Display" panose="00000500000000000000" pitchFamily="2" charset="0"/>
            </a:rPr>
            <a:t> </a:t>
          </a:r>
          <a:r>
            <a:rPr lang="pt-BR" sz="1100" b="0">
              <a:solidFill>
                <a:sysClr val="windowText" lastClr="000000"/>
              </a:solidFill>
              <a:effectLst/>
              <a:latin typeface="+mn-lt"/>
              <a:ea typeface="+mn-ea"/>
              <a:cs typeface="+mn-cs"/>
            </a:rPr>
            <a:t>Receitas com a</a:t>
          </a:r>
          <a:r>
            <a:rPr lang="pt-BR" sz="1100" b="0" baseline="0">
              <a:solidFill>
                <a:sysClr val="windowText" lastClr="000000"/>
              </a:solidFill>
              <a:effectLst/>
              <a:latin typeface="+mn-lt"/>
              <a:ea typeface="+mn-ea"/>
              <a:cs typeface="+mn-cs"/>
            </a:rPr>
            <a:t> Administração do Finam</a:t>
          </a:r>
          <a:endParaRPr lang="pt-BR" sz="1100" b="0">
            <a:solidFill>
              <a:sysClr val="windowText" lastClr="000000"/>
            </a:solidFill>
            <a:latin typeface="+mn-lt"/>
            <a:ea typeface="SF Pro Display" panose="00000500000000000000" pitchFamily="2" charset="0"/>
          </a:endParaRPr>
        </a:p>
      </xdr:txBody>
    </xdr:sp>
    <xdr:clientData/>
  </xdr:twoCellAnchor>
  <xdr:twoCellAnchor>
    <xdr:from>
      <xdr:col>4</xdr:col>
      <xdr:colOff>0</xdr:colOff>
      <xdr:row>106</xdr:row>
      <xdr:rowOff>15240</xdr:rowOff>
    </xdr:from>
    <xdr:to>
      <xdr:col>10</xdr:col>
      <xdr:colOff>0</xdr:colOff>
      <xdr:row>107</xdr:row>
      <xdr:rowOff>27416</xdr:rowOff>
    </xdr:to>
    <xdr:sp macro="" textlink="">
      <xdr:nvSpPr>
        <xdr:cNvPr id="81" name="Retângulo: Cantos Superiores Arredondados 80">
          <a:extLst>
            <a:ext uri="{FF2B5EF4-FFF2-40B4-BE49-F238E27FC236}">
              <a16:creationId xmlns:a16="http://schemas.microsoft.com/office/drawing/2014/main" id="{3F8716EE-7573-4AA1-AACC-2CFDD2ADBA05}"/>
            </a:ext>
          </a:extLst>
        </xdr:cNvPr>
        <xdr:cNvSpPr/>
      </xdr:nvSpPr>
      <xdr:spPr>
        <a:xfrm>
          <a:off x="4325471" y="21355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com a</a:t>
          </a:r>
          <a:r>
            <a:rPr lang="pt-BR" sz="1100" b="0" baseline="0">
              <a:solidFill>
                <a:schemeClr val="tx1">
                  <a:lumMod val="75000"/>
                  <a:lumOff val="25000"/>
                </a:schemeClr>
              </a:solidFill>
              <a:latin typeface="+mn-lt"/>
              <a:ea typeface="SF Pro Display" panose="00000500000000000000" pitchFamily="2" charset="0"/>
            </a:rPr>
            <a:t> Administração de Outros - FDA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106</xdr:row>
      <xdr:rowOff>19050</xdr:rowOff>
    </xdr:from>
    <xdr:to>
      <xdr:col>17</xdr:col>
      <xdr:colOff>0</xdr:colOff>
      <xdr:row>107</xdr:row>
      <xdr:rowOff>17891</xdr:rowOff>
    </xdr:to>
    <xdr:sp macro="" textlink="">
      <xdr:nvSpPr>
        <xdr:cNvPr id="82" name="Retângulo: Cantos Superiores Arredondados 81">
          <a:extLst>
            <a:ext uri="{FF2B5EF4-FFF2-40B4-BE49-F238E27FC236}">
              <a16:creationId xmlns:a16="http://schemas.microsoft.com/office/drawing/2014/main" id="{FC92A48B-9BC4-4BF8-9FEF-6D052CCF1C14}"/>
            </a:ext>
          </a:extLst>
        </xdr:cNvPr>
        <xdr:cNvSpPr/>
      </xdr:nvSpPr>
      <xdr:spPr>
        <a:xfrm>
          <a:off x="13145621" y="21351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das</a:t>
          </a:r>
          <a:r>
            <a:rPr lang="pt-BR" sz="1100" b="0" baseline="0">
              <a:solidFill>
                <a:schemeClr val="tx1">
                  <a:lumMod val="75000"/>
                  <a:lumOff val="25000"/>
                </a:schemeClr>
              </a:solidFill>
              <a:latin typeface="+mn-lt"/>
              <a:ea typeface="SF Pro Display" panose="00000500000000000000" pitchFamily="2" charset="0"/>
            </a:rPr>
            <a:t> </a:t>
          </a:r>
          <a:r>
            <a:rPr lang="pt-BR" sz="1100" b="0">
              <a:solidFill>
                <a:sysClr val="windowText" lastClr="000000"/>
              </a:solidFill>
              <a:effectLst/>
              <a:latin typeface="+mn-lt"/>
              <a:ea typeface="+mn-ea"/>
              <a:cs typeface="+mn-cs"/>
            </a:rPr>
            <a:t>Receitas com a</a:t>
          </a:r>
          <a:r>
            <a:rPr lang="pt-BR" sz="1100" b="0" baseline="0">
              <a:solidFill>
                <a:sysClr val="windowText" lastClr="000000"/>
              </a:solidFill>
              <a:effectLst/>
              <a:latin typeface="+mn-lt"/>
              <a:ea typeface="+mn-ea"/>
              <a:cs typeface="+mn-cs"/>
            </a:rPr>
            <a:t> Administração de Outros - FDA</a:t>
          </a:r>
          <a:endParaRPr lang="pt-BR" sz="1100" b="0">
            <a:solidFill>
              <a:sysClr val="windowText" lastClr="000000"/>
            </a:solidFill>
            <a:latin typeface="+mn-lt"/>
            <a:ea typeface="SF Pro Display" panose="00000500000000000000" pitchFamily="2" charset="0"/>
          </a:endParaRPr>
        </a:p>
      </xdr:txBody>
    </xdr:sp>
    <xdr:clientData/>
  </xdr:twoCellAnchor>
  <xdr:twoCellAnchor>
    <xdr:from>
      <xdr:col>4</xdr:col>
      <xdr:colOff>0</xdr:colOff>
      <xdr:row>117</xdr:row>
      <xdr:rowOff>15240</xdr:rowOff>
    </xdr:from>
    <xdr:to>
      <xdr:col>10</xdr:col>
      <xdr:colOff>0</xdr:colOff>
      <xdr:row>118</xdr:row>
      <xdr:rowOff>27416</xdr:rowOff>
    </xdr:to>
    <xdr:sp macro="" textlink="">
      <xdr:nvSpPr>
        <xdr:cNvPr id="83" name="Retângulo: Cantos Superiores Arredondados 82">
          <a:extLst>
            <a:ext uri="{FF2B5EF4-FFF2-40B4-BE49-F238E27FC236}">
              <a16:creationId xmlns:a16="http://schemas.microsoft.com/office/drawing/2014/main" id="{AF240208-BF5A-4B97-94FB-7F2813B29847}"/>
            </a:ext>
          </a:extLst>
        </xdr:cNvPr>
        <xdr:cNvSpPr/>
      </xdr:nvSpPr>
      <xdr:spPr>
        <a:xfrm>
          <a:off x="4325471" y="33928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com o</a:t>
          </a:r>
          <a:r>
            <a:rPr lang="pt-BR" sz="1100" b="0" baseline="0">
              <a:solidFill>
                <a:schemeClr val="tx1">
                  <a:lumMod val="75000"/>
                  <a:lumOff val="25000"/>
                </a:schemeClr>
              </a:solidFill>
              <a:latin typeface="+mn-lt"/>
              <a:ea typeface="SF Pro Display" panose="00000500000000000000" pitchFamily="2" charset="0"/>
            </a:rPr>
            <a:t> Outros Serviços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117</xdr:row>
      <xdr:rowOff>19050</xdr:rowOff>
    </xdr:from>
    <xdr:to>
      <xdr:col>17</xdr:col>
      <xdr:colOff>0</xdr:colOff>
      <xdr:row>118</xdr:row>
      <xdr:rowOff>17891</xdr:rowOff>
    </xdr:to>
    <xdr:sp macro="" textlink="">
      <xdr:nvSpPr>
        <xdr:cNvPr id="84" name="Retângulo: Cantos Superiores Arredondados 83">
          <a:extLst>
            <a:ext uri="{FF2B5EF4-FFF2-40B4-BE49-F238E27FC236}">
              <a16:creationId xmlns:a16="http://schemas.microsoft.com/office/drawing/2014/main" id="{FA78045C-5A6E-4193-9AC0-EFBC59E993FE}"/>
            </a:ext>
          </a:extLst>
        </xdr:cNvPr>
        <xdr:cNvSpPr/>
      </xdr:nvSpPr>
      <xdr:spPr>
        <a:xfrm>
          <a:off x="13145621" y="33924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das</a:t>
          </a:r>
          <a:r>
            <a:rPr lang="pt-BR" sz="1100" b="0" baseline="0">
              <a:solidFill>
                <a:schemeClr val="tx1">
                  <a:lumMod val="75000"/>
                  <a:lumOff val="25000"/>
                </a:schemeClr>
              </a:solidFill>
              <a:latin typeface="+mn-lt"/>
              <a:ea typeface="SF Pro Display" panose="00000500000000000000" pitchFamily="2" charset="0"/>
            </a:rPr>
            <a:t> </a:t>
          </a:r>
          <a:r>
            <a:rPr lang="pt-BR" sz="1100" b="0">
              <a:solidFill>
                <a:sysClr val="windowText" lastClr="000000"/>
              </a:solidFill>
              <a:effectLst/>
              <a:latin typeface="+mn-lt"/>
              <a:ea typeface="+mn-ea"/>
              <a:cs typeface="+mn-cs"/>
            </a:rPr>
            <a:t>Receitas com Outros Serviços</a:t>
          </a:r>
          <a:endParaRPr lang="pt-BR" sz="1100" b="0">
            <a:solidFill>
              <a:sysClr val="windowText" lastClr="000000"/>
            </a:solidFill>
            <a:latin typeface="+mn-lt"/>
            <a:ea typeface="SF Pro Display" panose="00000500000000000000" pitchFamily="2" charset="0"/>
          </a:endParaRPr>
        </a:p>
      </xdr:txBody>
    </xdr:sp>
    <xdr:clientData/>
  </xdr:twoCellAnchor>
  <xdr:twoCellAnchor>
    <xdr:from>
      <xdr:col>4</xdr:col>
      <xdr:colOff>0</xdr:colOff>
      <xdr:row>128</xdr:row>
      <xdr:rowOff>15240</xdr:rowOff>
    </xdr:from>
    <xdr:to>
      <xdr:col>10</xdr:col>
      <xdr:colOff>0</xdr:colOff>
      <xdr:row>129</xdr:row>
      <xdr:rowOff>27416</xdr:rowOff>
    </xdr:to>
    <xdr:sp macro="" textlink="">
      <xdr:nvSpPr>
        <xdr:cNvPr id="85" name="Retângulo: Cantos Superiores Arredondados 84">
          <a:extLst>
            <a:ext uri="{FF2B5EF4-FFF2-40B4-BE49-F238E27FC236}">
              <a16:creationId xmlns:a16="http://schemas.microsoft.com/office/drawing/2014/main" id="{F2632B9C-586F-418C-82F8-85BFDCC71C42}"/>
            </a:ext>
          </a:extLst>
        </xdr:cNvPr>
        <xdr:cNvSpPr/>
      </xdr:nvSpPr>
      <xdr:spPr>
        <a:xfrm>
          <a:off x="4325471" y="33928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com Tarifas Bancárias</a:t>
          </a:r>
          <a:r>
            <a:rPr lang="pt-BR" sz="1100" b="0" baseline="0">
              <a:solidFill>
                <a:schemeClr val="tx1">
                  <a:lumMod val="75000"/>
                  <a:lumOff val="25000"/>
                </a:schemeClr>
              </a:solidFill>
              <a:latin typeface="+mn-lt"/>
              <a:ea typeface="SF Pro Display" panose="00000500000000000000" pitchFamily="2" charset="0"/>
            </a:rPr>
            <a:t> - Pessoa Física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1121</xdr:colOff>
      <xdr:row>128</xdr:row>
      <xdr:rowOff>15240</xdr:rowOff>
    </xdr:from>
    <xdr:to>
      <xdr:col>17</xdr:col>
      <xdr:colOff>0</xdr:colOff>
      <xdr:row>129</xdr:row>
      <xdr:rowOff>21701</xdr:rowOff>
    </xdr:to>
    <xdr:sp macro="" textlink="">
      <xdr:nvSpPr>
        <xdr:cNvPr id="86" name="Retângulo: Cantos Superiores Arredondados 85">
          <a:extLst>
            <a:ext uri="{FF2B5EF4-FFF2-40B4-BE49-F238E27FC236}">
              <a16:creationId xmlns:a16="http://schemas.microsoft.com/office/drawing/2014/main" id="{9471B17F-06BD-4E03-AEF0-8F66DB5AD14F}"/>
            </a:ext>
          </a:extLst>
        </xdr:cNvPr>
        <xdr:cNvSpPr/>
      </xdr:nvSpPr>
      <xdr:spPr>
        <a:xfrm>
          <a:off x="13145621" y="4230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 das</a:t>
          </a:r>
          <a:r>
            <a:rPr lang="pt-BR" sz="1100" b="0" baseline="0">
              <a:solidFill>
                <a:schemeClr val="tx1">
                  <a:lumMod val="75000"/>
                  <a:lumOff val="25000"/>
                </a:schemeClr>
              </a:solidFill>
              <a:latin typeface="+mn-lt"/>
              <a:ea typeface="SF Pro Display" panose="00000500000000000000" pitchFamily="2" charset="0"/>
            </a:rPr>
            <a:t> </a:t>
          </a:r>
          <a:r>
            <a:rPr lang="pt-BR" sz="1100" b="0">
              <a:solidFill>
                <a:sysClr val="windowText" lastClr="000000"/>
              </a:solidFill>
              <a:effectLst/>
              <a:latin typeface="+mn-lt"/>
              <a:ea typeface="+mn-ea"/>
              <a:cs typeface="+mn-cs"/>
            </a:rPr>
            <a:t>Receitas com a</a:t>
          </a:r>
          <a:r>
            <a:rPr lang="pt-BR" sz="1100" b="0" baseline="0">
              <a:solidFill>
                <a:sysClr val="windowText" lastClr="000000"/>
              </a:solidFill>
              <a:effectLst/>
              <a:latin typeface="+mn-lt"/>
              <a:ea typeface="+mn-ea"/>
              <a:cs typeface="+mn-cs"/>
            </a:rPr>
            <a:t> Tarifas Bancárias - Pessoa Física</a:t>
          </a:r>
          <a:endParaRPr lang="pt-BR" sz="1100" b="0">
            <a:solidFill>
              <a:sysClr val="windowText" lastClr="000000"/>
            </a:solidFill>
            <a:latin typeface="+mn-lt"/>
            <a:ea typeface="SF Pro Display" panose="00000500000000000000" pitchFamily="2" charset="0"/>
          </a:endParaRPr>
        </a:p>
      </xdr:txBody>
    </xdr:sp>
    <xdr:clientData/>
  </xdr:twoCellAnchor>
  <xdr:twoCellAnchor>
    <xdr:from>
      <xdr:col>4</xdr:col>
      <xdr:colOff>0</xdr:colOff>
      <xdr:row>139</xdr:row>
      <xdr:rowOff>15240</xdr:rowOff>
    </xdr:from>
    <xdr:to>
      <xdr:col>10</xdr:col>
      <xdr:colOff>0</xdr:colOff>
      <xdr:row>140</xdr:row>
      <xdr:rowOff>27416</xdr:rowOff>
    </xdr:to>
    <xdr:sp macro="" textlink="">
      <xdr:nvSpPr>
        <xdr:cNvPr id="87" name="Retângulo: Cantos Superiores Arredondados 86">
          <a:extLst>
            <a:ext uri="{FF2B5EF4-FFF2-40B4-BE49-F238E27FC236}">
              <a16:creationId xmlns:a16="http://schemas.microsoft.com/office/drawing/2014/main" id="{465DDBB6-A609-4410-932E-C2DB0A91A06B}"/>
            </a:ext>
          </a:extLst>
        </xdr:cNvPr>
        <xdr:cNvSpPr/>
      </xdr:nvSpPr>
      <xdr:spPr>
        <a:xfrm>
          <a:off x="4325471" y="33928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Receitas com Tarifas Bancárias</a:t>
          </a:r>
          <a:r>
            <a:rPr lang="pt-BR" sz="1100" b="0" baseline="0">
              <a:solidFill>
                <a:sysClr val="windowText" lastClr="000000"/>
              </a:solidFill>
              <a:effectLst/>
              <a:latin typeface="+mn-lt"/>
              <a:ea typeface="+mn-ea"/>
              <a:cs typeface="+mn-cs"/>
            </a:rPr>
            <a:t> - Pessoa Jurídica por Trimestre</a:t>
          </a:r>
          <a:endParaRPr lang="pt-BR">
            <a:solidFill>
              <a:sysClr val="windowText" lastClr="000000"/>
            </a:solidFill>
            <a:effectLst/>
          </a:endParaRPr>
        </a:p>
      </xdr:txBody>
    </xdr:sp>
    <xdr:clientData/>
  </xdr:twoCellAnchor>
  <xdr:twoCellAnchor>
    <xdr:from>
      <xdr:col>10</xdr:col>
      <xdr:colOff>624840</xdr:colOff>
      <xdr:row>139</xdr:row>
      <xdr:rowOff>19050</xdr:rowOff>
    </xdr:from>
    <xdr:to>
      <xdr:col>17</xdr:col>
      <xdr:colOff>0</xdr:colOff>
      <xdr:row>140</xdr:row>
      <xdr:rowOff>17891</xdr:rowOff>
    </xdr:to>
    <xdr:sp macro="" textlink="">
      <xdr:nvSpPr>
        <xdr:cNvPr id="88" name="Retângulo: Cantos Superiores Arredondados 87">
          <a:extLst>
            <a:ext uri="{FF2B5EF4-FFF2-40B4-BE49-F238E27FC236}">
              <a16:creationId xmlns:a16="http://schemas.microsoft.com/office/drawing/2014/main" id="{402D0265-0DC9-40B9-B584-7EEDBBBF96D9}"/>
            </a:ext>
          </a:extLst>
        </xdr:cNvPr>
        <xdr:cNvSpPr/>
      </xdr:nvSpPr>
      <xdr:spPr>
        <a:xfrm>
          <a:off x="13145621" y="33924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Receitas com a</a:t>
          </a:r>
          <a:r>
            <a:rPr lang="pt-BR" sz="1100" b="0" baseline="0">
              <a:solidFill>
                <a:sysClr val="windowText" lastClr="000000"/>
              </a:solidFill>
              <a:effectLst/>
              <a:latin typeface="+mn-lt"/>
              <a:ea typeface="+mn-ea"/>
              <a:cs typeface="+mn-cs"/>
            </a:rPr>
            <a:t> Tarifas Bancárias - Pessoa Jurídica</a:t>
          </a:r>
          <a:endParaRPr lang="pt-BR">
            <a:solidFill>
              <a:sysClr val="windowText" lastClr="000000"/>
            </a:solidFill>
            <a:effectLst/>
          </a:endParaRPr>
        </a:p>
      </xdr:txBody>
    </xdr:sp>
    <xdr:clientData/>
  </xdr:twoCellAnchor>
  <xdr:twoCellAnchor>
    <xdr:from>
      <xdr:col>4</xdr:col>
      <xdr:colOff>0</xdr:colOff>
      <xdr:row>150</xdr:row>
      <xdr:rowOff>15240</xdr:rowOff>
    </xdr:from>
    <xdr:to>
      <xdr:col>10</xdr:col>
      <xdr:colOff>0</xdr:colOff>
      <xdr:row>151</xdr:row>
      <xdr:rowOff>27416</xdr:rowOff>
    </xdr:to>
    <xdr:sp macro="" textlink="">
      <xdr:nvSpPr>
        <xdr:cNvPr id="89" name="Retângulo: Cantos Superiores Arredondados 88">
          <a:extLst>
            <a:ext uri="{FF2B5EF4-FFF2-40B4-BE49-F238E27FC236}">
              <a16:creationId xmlns:a16="http://schemas.microsoft.com/office/drawing/2014/main" id="{CE00B623-1C6B-4553-95EE-60EA128BC22D}"/>
            </a:ext>
          </a:extLst>
        </xdr:cNvPr>
        <xdr:cNvSpPr/>
      </xdr:nvSpPr>
      <xdr:spPr>
        <a:xfrm>
          <a:off x="4325471" y="46501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Receitas com Del Credere </a:t>
          </a:r>
          <a:r>
            <a:rPr lang="pt-BR" sz="1100" b="0" baseline="0">
              <a:solidFill>
                <a:sysClr val="windowText" lastClr="000000"/>
              </a:solidFill>
              <a:effectLst/>
              <a:latin typeface="+mn-lt"/>
              <a:ea typeface="+mn-ea"/>
              <a:cs typeface="+mn-cs"/>
            </a:rPr>
            <a:t>por Trimestre</a:t>
          </a:r>
          <a:endParaRPr lang="pt-BR">
            <a:solidFill>
              <a:sysClr val="windowText" lastClr="000000"/>
            </a:solidFill>
            <a:effectLst/>
          </a:endParaRPr>
        </a:p>
      </xdr:txBody>
    </xdr:sp>
    <xdr:clientData/>
  </xdr:twoCellAnchor>
  <xdr:twoCellAnchor>
    <xdr:from>
      <xdr:col>10</xdr:col>
      <xdr:colOff>624840</xdr:colOff>
      <xdr:row>150</xdr:row>
      <xdr:rowOff>19050</xdr:rowOff>
    </xdr:from>
    <xdr:to>
      <xdr:col>17</xdr:col>
      <xdr:colOff>0</xdr:colOff>
      <xdr:row>151</xdr:row>
      <xdr:rowOff>17891</xdr:rowOff>
    </xdr:to>
    <xdr:sp macro="" textlink="">
      <xdr:nvSpPr>
        <xdr:cNvPr id="90" name="Retângulo: Cantos Superiores Arredondados 89">
          <a:extLst>
            <a:ext uri="{FF2B5EF4-FFF2-40B4-BE49-F238E27FC236}">
              <a16:creationId xmlns:a16="http://schemas.microsoft.com/office/drawing/2014/main" id="{7B6C8A8F-D001-4BC9-90D8-A32E9810FC50}"/>
            </a:ext>
          </a:extLst>
        </xdr:cNvPr>
        <xdr:cNvSpPr/>
      </xdr:nvSpPr>
      <xdr:spPr>
        <a:xfrm>
          <a:off x="13145621" y="46497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Receitas com Del Credere</a:t>
          </a:r>
          <a:endParaRPr lang="pt-BR">
            <a:solidFill>
              <a:sysClr val="windowText" lastClr="000000"/>
            </a:solidFill>
            <a:effectLst/>
          </a:endParaRPr>
        </a:p>
      </xdr:txBody>
    </xdr:sp>
    <xdr:clientData/>
  </xdr:twoCellAnchor>
  <xdr:twoCellAnchor>
    <xdr:from>
      <xdr:col>4</xdr:col>
      <xdr:colOff>0</xdr:colOff>
      <xdr:row>164</xdr:row>
      <xdr:rowOff>15240</xdr:rowOff>
    </xdr:from>
    <xdr:to>
      <xdr:col>10</xdr:col>
      <xdr:colOff>0</xdr:colOff>
      <xdr:row>165</xdr:row>
      <xdr:rowOff>27416</xdr:rowOff>
    </xdr:to>
    <xdr:sp macro="" textlink="">
      <xdr:nvSpPr>
        <xdr:cNvPr id="91" name="Retângulo: Cantos Superiores Arredondados 90">
          <a:extLst>
            <a:ext uri="{FF2B5EF4-FFF2-40B4-BE49-F238E27FC236}">
              <a16:creationId xmlns:a16="http://schemas.microsoft.com/office/drawing/2014/main" id="{07B9BDBA-1CF9-4477-8B69-40221CE7EDAD}"/>
            </a:ext>
          </a:extLst>
        </xdr:cNvPr>
        <xdr:cNvSpPr/>
      </xdr:nvSpPr>
      <xdr:spPr>
        <a:xfrm>
          <a:off x="4325471" y="46501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Receitas com Recuperação de Encargos</a:t>
          </a:r>
          <a:r>
            <a:rPr lang="pt-BR" sz="1100" b="0" baseline="0">
              <a:solidFill>
                <a:sysClr val="windowText" lastClr="000000"/>
              </a:solidFill>
              <a:effectLst/>
              <a:latin typeface="+mn-lt"/>
              <a:ea typeface="+mn-ea"/>
              <a:cs typeface="+mn-cs"/>
            </a:rPr>
            <a:t> e Despesas por Trimestre</a:t>
          </a:r>
          <a:endParaRPr lang="pt-BR">
            <a:solidFill>
              <a:sysClr val="windowText" lastClr="000000"/>
            </a:solidFill>
            <a:effectLst/>
          </a:endParaRPr>
        </a:p>
      </xdr:txBody>
    </xdr:sp>
    <xdr:clientData/>
  </xdr:twoCellAnchor>
  <xdr:twoCellAnchor>
    <xdr:from>
      <xdr:col>10</xdr:col>
      <xdr:colOff>624840</xdr:colOff>
      <xdr:row>164</xdr:row>
      <xdr:rowOff>19050</xdr:rowOff>
    </xdr:from>
    <xdr:to>
      <xdr:col>17</xdr:col>
      <xdr:colOff>0</xdr:colOff>
      <xdr:row>165</xdr:row>
      <xdr:rowOff>17891</xdr:rowOff>
    </xdr:to>
    <xdr:sp macro="" textlink="">
      <xdr:nvSpPr>
        <xdr:cNvPr id="92" name="Retângulo: Cantos Superiores Arredondados 91">
          <a:extLst>
            <a:ext uri="{FF2B5EF4-FFF2-40B4-BE49-F238E27FC236}">
              <a16:creationId xmlns:a16="http://schemas.microsoft.com/office/drawing/2014/main" id="{91EF81B1-DB8D-42E7-8972-68E61AED87D8}"/>
            </a:ext>
          </a:extLst>
        </xdr:cNvPr>
        <xdr:cNvSpPr/>
      </xdr:nvSpPr>
      <xdr:spPr>
        <a:xfrm>
          <a:off x="13145621" y="46497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Receitas com a Recuperação de Encargos</a:t>
          </a:r>
          <a:r>
            <a:rPr lang="pt-BR" sz="1100" b="0" baseline="0">
              <a:solidFill>
                <a:sysClr val="windowText" lastClr="000000"/>
              </a:solidFill>
              <a:effectLst/>
              <a:latin typeface="+mn-lt"/>
              <a:ea typeface="+mn-ea"/>
              <a:cs typeface="+mn-cs"/>
            </a:rPr>
            <a:t> e Despesas</a:t>
          </a:r>
          <a:endParaRPr lang="pt-BR">
            <a:solidFill>
              <a:sysClr val="windowText" lastClr="000000"/>
            </a:solidFill>
            <a:effectLst/>
          </a:endParaRPr>
        </a:p>
      </xdr:txBody>
    </xdr:sp>
    <xdr:clientData/>
  </xdr:twoCellAnchor>
  <xdr:twoCellAnchor>
    <xdr:from>
      <xdr:col>4</xdr:col>
      <xdr:colOff>0</xdr:colOff>
      <xdr:row>171</xdr:row>
      <xdr:rowOff>15240</xdr:rowOff>
    </xdr:from>
    <xdr:to>
      <xdr:col>10</xdr:col>
      <xdr:colOff>0</xdr:colOff>
      <xdr:row>172</xdr:row>
      <xdr:rowOff>27416</xdr:rowOff>
    </xdr:to>
    <xdr:sp macro="" textlink="">
      <xdr:nvSpPr>
        <xdr:cNvPr id="93" name="Retângulo: Cantos Superiores Arredondados 92">
          <a:extLst>
            <a:ext uri="{FF2B5EF4-FFF2-40B4-BE49-F238E27FC236}">
              <a16:creationId xmlns:a16="http://schemas.microsoft.com/office/drawing/2014/main" id="{DBBBBFDD-1B5E-420A-841D-2AC2A5020528}"/>
            </a:ext>
          </a:extLst>
        </xdr:cNvPr>
        <xdr:cNvSpPr/>
      </xdr:nvSpPr>
      <xdr:spPr>
        <a:xfrm>
          <a:off x="4325471" y="46501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Demais Receitas Operacionais</a:t>
          </a:r>
          <a:r>
            <a:rPr lang="pt-BR" sz="1100" b="0" baseline="0">
              <a:solidFill>
                <a:sysClr val="windowText" lastClr="000000"/>
              </a:solidFill>
              <a:effectLst/>
              <a:latin typeface="+mn-lt"/>
              <a:ea typeface="+mn-ea"/>
              <a:cs typeface="+mn-cs"/>
            </a:rPr>
            <a:t> por Trimestre</a:t>
          </a:r>
          <a:endParaRPr lang="pt-BR">
            <a:solidFill>
              <a:sysClr val="windowText" lastClr="000000"/>
            </a:solidFill>
            <a:effectLst/>
          </a:endParaRPr>
        </a:p>
      </xdr:txBody>
    </xdr:sp>
    <xdr:clientData/>
  </xdr:twoCellAnchor>
  <xdr:twoCellAnchor>
    <xdr:from>
      <xdr:col>10</xdr:col>
      <xdr:colOff>624840</xdr:colOff>
      <xdr:row>171</xdr:row>
      <xdr:rowOff>19050</xdr:rowOff>
    </xdr:from>
    <xdr:to>
      <xdr:col>17</xdr:col>
      <xdr:colOff>0</xdr:colOff>
      <xdr:row>172</xdr:row>
      <xdr:rowOff>17891</xdr:rowOff>
    </xdr:to>
    <xdr:sp macro="" textlink="">
      <xdr:nvSpPr>
        <xdr:cNvPr id="94" name="Retângulo: Cantos Superiores Arredondados 93">
          <a:extLst>
            <a:ext uri="{FF2B5EF4-FFF2-40B4-BE49-F238E27FC236}">
              <a16:creationId xmlns:a16="http://schemas.microsoft.com/office/drawing/2014/main" id="{78441831-A3D3-4122-AADF-5B8A56E211EC}"/>
            </a:ext>
          </a:extLst>
        </xdr:cNvPr>
        <xdr:cNvSpPr/>
      </xdr:nvSpPr>
      <xdr:spPr>
        <a:xfrm>
          <a:off x="13145621" y="46497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Demais Receitas Operacionais</a:t>
          </a:r>
          <a:endParaRPr lang="pt-BR">
            <a:solidFill>
              <a:sysClr val="windowText" lastClr="000000"/>
            </a:solidFill>
            <a:effectLst/>
          </a:endParaRPr>
        </a:p>
      </xdr:txBody>
    </xdr:sp>
    <xdr:clientData/>
  </xdr:twoCellAnchor>
  <xdr:twoCellAnchor>
    <xdr:from>
      <xdr:col>4</xdr:col>
      <xdr:colOff>0</xdr:colOff>
      <xdr:row>178</xdr:row>
      <xdr:rowOff>15240</xdr:rowOff>
    </xdr:from>
    <xdr:to>
      <xdr:col>10</xdr:col>
      <xdr:colOff>0</xdr:colOff>
      <xdr:row>179</xdr:row>
      <xdr:rowOff>27416</xdr:rowOff>
    </xdr:to>
    <xdr:sp macro="" textlink="">
      <xdr:nvSpPr>
        <xdr:cNvPr id="95" name="Retângulo: Cantos Superiores Arredondados 94">
          <a:extLst>
            <a:ext uri="{FF2B5EF4-FFF2-40B4-BE49-F238E27FC236}">
              <a16:creationId xmlns:a16="http://schemas.microsoft.com/office/drawing/2014/main" id="{C17AEADE-9671-46DB-93F2-9DB2042505A2}"/>
            </a:ext>
          </a:extLst>
        </xdr:cNvPr>
        <xdr:cNvSpPr/>
      </xdr:nvSpPr>
      <xdr:spPr>
        <a:xfrm>
          <a:off x="4325471" y="46501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de Pessoal por Trimestre</a:t>
          </a:r>
          <a:endParaRPr lang="pt-BR">
            <a:solidFill>
              <a:sysClr val="windowText" lastClr="000000"/>
            </a:solidFill>
            <a:effectLst/>
          </a:endParaRPr>
        </a:p>
      </xdr:txBody>
    </xdr:sp>
    <xdr:clientData/>
  </xdr:twoCellAnchor>
  <xdr:twoCellAnchor>
    <xdr:from>
      <xdr:col>10</xdr:col>
      <xdr:colOff>624840</xdr:colOff>
      <xdr:row>178</xdr:row>
      <xdr:rowOff>19050</xdr:rowOff>
    </xdr:from>
    <xdr:to>
      <xdr:col>17</xdr:col>
      <xdr:colOff>0</xdr:colOff>
      <xdr:row>179</xdr:row>
      <xdr:rowOff>17891</xdr:rowOff>
    </xdr:to>
    <xdr:sp macro="" textlink="">
      <xdr:nvSpPr>
        <xdr:cNvPr id="96" name="Retângulo: Cantos Superiores Arredondados 95">
          <a:extLst>
            <a:ext uri="{FF2B5EF4-FFF2-40B4-BE49-F238E27FC236}">
              <a16:creationId xmlns:a16="http://schemas.microsoft.com/office/drawing/2014/main" id="{3330CF17-8D3F-49DE-911F-537039C35676}"/>
            </a:ext>
          </a:extLst>
        </xdr:cNvPr>
        <xdr:cNvSpPr/>
      </xdr:nvSpPr>
      <xdr:spPr>
        <a:xfrm>
          <a:off x="13145621" y="46497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Despesas</a:t>
          </a:r>
          <a:r>
            <a:rPr lang="pt-BR" sz="1100" b="0" baseline="0">
              <a:solidFill>
                <a:sysClr val="windowText" lastClr="000000"/>
              </a:solidFill>
              <a:effectLst/>
              <a:latin typeface="+mn-lt"/>
              <a:ea typeface="+mn-ea"/>
              <a:cs typeface="+mn-cs"/>
            </a:rPr>
            <a:t> de Pessoal</a:t>
          </a:r>
          <a:endParaRPr lang="pt-BR">
            <a:solidFill>
              <a:sysClr val="windowText" lastClr="000000"/>
            </a:solidFill>
            <a:effectLst/>
          </a:endParaRPr>
        </a:p>
      </xdr:txBody>
    </xdr:sp>
    <xdr:clientData/>
  </xdr:twoCellAnchor>
  <xdr:twoCellAnchor>
    <xdr:from>
      <xdr:col>4</xdr:col>
      <xdr:colOff>0</xdr:colOff>
      <xdr:row>157</xdr:row>
      <xdr:rowOff>15240</xdr:rowOff>
    </xdr:from>
    <xdr:to>
      <xdr:col>10</xdr:col>
      <xdr:colOff>0</xdr:colOff>
      <xdr:row>158</xdr:row>
      <xdr:rowOff>27416</xdr:rowOff>
    </xdr:to>
    <xdr:sp macro="" textlink="">
      <xdr:nvSpPr>
        <xdr:cNvPr id="97" name="Retângulo: Cantos Superiores Arredondados 96">
          <a:extLst>
            <a:ext uri="{FF2B5EF4-FFF2-40B4-BE49-F238E27FC236}">
              <a16:creationId xmlns:a16="http://schemas.microsoft.com/office/drawing/2014/main" id="{6E8819D5-EB10-4348-A802-2271D6E1483C}"/>
            </a:ext>
          </a:extLst>
        </xdr:cNvPr>
        <xdr:cNvSpPr/>
      </xdr:nvSpPr>
      <xdr:spPr>
        <a:xfrm>
          <a:off x="4325471" y="50692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Receitas com Recuperação de Rendas FNO </a:t>
          </a:r>
          <a:r>
            <a:rPr lang="pt-BR" sz="1100" b="0" baseline="0">
              <a:solidFill>
                <a:sysClr val="windowText" lastClr="000000"/>
              </a:solidFill>
              <a:effectLst/>
              <a:latin typeface="+mn-lt"/>
              <a:ea typeface="+mn-ea"/>
              <a:cs typeface="+mn-cs"/>
            </a:rPr>
            <a:t>por Trimestre</a:t>
          </a:r>
          <a:endParaRPr lang="pt-BR">
            <a:solidFill>
              <a:sysClr val="windowText" lastClr="000000"/>
            </a:solidFill>
            <a:effectLst/>
          </a:endParaRPr>
        </a:p>
      </xdr:txBody>
    </xdr:sp>
    <xdr:clientData/>
  </xdr:twoCellAnchor>
  <xdr:twoCellAnchor>
    <xdr:from>
      <xdr:col>10</xdr:col>
      <xdr:colOff>624840</xdr:colOff>
      <xdr:row>157</xdr:row>
      <xdr:rowOff>19050</xdr:rowOff>
    </xdr:from>
    <xdr:to>
      <xdr:col>17</xdr:col>
      <xdr:colOff>0</xdr:colOff>
      <xdr:row>158</xdr:row>
      <xdr:rowOff>17891</xdr:rowOff>
    </xdr:to>
    <xdr:sp macro="" textlink="">
      <xdr:nvSpPr>
        <xdr:cNvPr id="98" name="Retângulo: Cantos Superiores Arredondados 97">
          <a:extLst>
            <a:ext uri="{FF2B5EF4-FFF2-40B4-BE49-F238E27FC236}">
              <a16:creationId xmlns:a16="http://schemas.microsoft.com/office/drawing/2014/main" id="{B865A0ED-9EAD-4CAD-A8F6-70E6C31271C5}"/>
            </a:ext>
          </a:extLst>
        </xdr:cNvPr>
        <xdr:cNvSpPr/>
      </xdr:nvSpPr>
      <xdr:spPr>
        <a:xfrm>
          <a:off x="13145621" y="50688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Receitas com Recuperação de Rendas FNO</a:t>
          </a:r>
          <a:endParaRPr lang="pt-BR">
            <a:solidFill>
              <a:sysClr val="windowText" lastClr="000000"/>
            </a:solidFill>
            <a:effectLst/>
          </a:endParaRPr>
        </a:p>
      </xdr:txBody>
    </xdr:sp>
    <xdr:clientData/>
  </xdr:twoCellAnchor>
  <xdr:twoCellAnchor>
    <xdr:from>
      <xdr:col>4</xdr:col>
      <xdr:colOff>0</xdr:colOff>
      <xdr:row>185</xdr:row>
      <xdr:rowOff>15240</xdr:rowOff>
    </xdr:from>
    <xdr:to>
      <xdr:col>10</xdr:col>
      <xdr:colOff>0</xdr:colOff>
      <xdr:row>186</xdr:row>
      <xdr:rowOff>27416</xdr:rowOff>
    </xdr:to>
    <xdr:sp macro="" textlink="">
      <xdr:nvSpPr>
        <xdr:cNvPr id="99" name="Retângulo: Cantos Superiores Arredondados 98">
          <a:extLst>
            <a:ext uri="{FF2B5EF4-FFF2-40B4-BE49-F238E27FC236}">
              <a16:creationId xmlns:a16="http://schemas.microsoft.com/office/drawing/2014/main" id="{035AAADC-DA1D-47A9-8B1A-C17404E6FAD4}"/>
            </a:ext>
          </a:extLst>
        </xdr:cNvPr>
        <xdr:cNvSpPr/>
      </xdr:nvSpPr>
      <xdr:spPr>
        <a:xfrm>
          <a:off x="4325471" y="61360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de Administrativas por Trimestre</a:t>
          </a:r>
          <a:endParaRPr lang="pt-BR">
            <a:solidFill>
              <a:sysClr val="windowText" lastClr="000000"/>
            </a:solidFill>
            <a:effectLst/>
          </a:endParaRPr>
        </a:p>
      </xdr:txBody>
    </xdr:sp>
    <xdr:clientData/>
  </xdr:twoCellAnchor>
  <xdr:twoCellAnchor>
    <xdr:from>
      <xdr:col>10</xdr:col>
      <xdr:colOff>624840</xdr:colOff>
      <xdr:row>185</xdr:row>
      <xdr:rowOff>19050</xdr:rowOff>
    </xdr:from>
    <xdr:to>
      <xdr:col>17</xdr:col>
      <xdr:colOff>0</xdr:colOff>
      <xdr:row>186</xdr:row>
      <xdr:rowOff>17891</xdr:rowOff>
    </xdr:to>
    <xdr:sp macro="" textlink="">
      <xdr:nvSpPr>
        <xdr:cNvPr id="100" name="Retângulo: Cantos Superiores Arredondados 99">
          <a:extLst>
            <a:ext uri="{FF2B5EF4-FFF2-40B4-BE49-F238E27FC236}">
              <a16:creationId xmlns:a16="http://schemas.microsoft.com/office/drawing/2014/main" id="{93ED1092-A7AB-4E3C-88C4-B0AE9701D8CD}"/>
            </a:ext>
          </a:extLst>
        </xdr:cNvPr>
        <xdr:cNvSpPr/>
      </xdr:nvSpPr>
      <xdr:spPr>
        <a:xfrm>
          <a:off x="13145621" y="6135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Despesas</a:t>
          </a:r>
          <a:r>
            <a:rPr lang="pt-BR" sz="1100" b="0" baseline="0">
              <a:solidFill>
                <a:sysClr val="windowText" lastClr="000000"/>
              </a:solidFill>
              <a:effectLst/>
              <a:latin typeface="+mn-lt"/>
              <a:ea typeface="+mn-ea"/>
              <a:cs typeface="+mn-cs"/>
            </a:rPr>
            <a:t> Administrativas</a:t>
          </a:r>
          <a:endParaRPr lang="pt-BR">
            <a:solidFill>
              <a:sysClr val="windowText" lastClr="000000"/>
            </a:solidFill>
            <a:effectLst/>
          </a:endParaRPr>
        </a:p>
      </xdr:txBody>
    </xdr:sp>
    <xdr:clientData/>
  </xdr:twoCellAnchor>
  <xdr:twoCellAnchor>
    <xdr:from>
      <xdr:col>4</xdr:col>
      <xdr:colOff>0</xdr:colOff>
      <xdr:row>192</xdr:row>
      <xdr:rowOff>15240</xdr:rowOff>
    </xdr:from>
    <xdr:to>
      <xdr:col>10</xdr:col>
      <xdr:colOff>0</xdr:colOff>
      <xdr:row>193</xdr:row>
      <xdr:rowOff>27416</xdr:rowOff>
    </xdr:to>
    <xdr:sp macro="" textlink="">
      <xdr:nvSpPr>
        <xdr:cNvPr id="101" name="Retângulo: Cantos Superiores Arredondados 100">
          <a:extLst>
            <a:ext uri="{FF2B5EF4-FFF2-40B4-BE49-F238E27FC236}">
              <a16:creationId xmlns:a16="http://schemas.microsoft.com/office/drawing/2014/main" id="{CCCBF839-0435-4BCA-BC95-1743DEBFBAC6}"/>
            </a:ext>
          </a:extLst>
        </xdr:cNvPr>
        <xdr:cNvSpPr/>
      </xdr:nvSpPr>
      <xdr:spPr>
        <a:xfrm>
          <a:off x="4325471" y="61360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Tributárias por Trimestre</a:t>
          </a:r>
          <a:endParaRPr lang="pt-BR">
            <a:solidFill>
              <a:sysClr val="windowText" lastClr="000000"/>
            </a:solidFill>
            <a:effectLst/>
          </a:endParaRPr>
        </a:p>
      </xdr:txBody>
    </xdr:sp>
    <xdr:clientData/>
  </xdr:twoCellAnchor>
  <xdr:twoCellAnchor>
    <xdr:from>
      <xdr:col>10</xdr:col>
      <xdr:colOff>624840</xdr:colOff>
      <xdr:row>192</xdr:row>
      <xdr:rowOff>19050</xdr:rowOff>
    </xdr:from>
    <xdr:to>
      <xdr:col>17</xdr:col>
      <xdr:colOff>0</xdr:colOff>
      <xdr:row>193</xdr:row>
      <xdr:rowOff>17891</xdr:rowOff>
    </xdr:to>
    <xdr:sp macro="" textlink="">
      <xdr:nvSpPr>
        <xdr:cNvPr id="102" name="Retângulo: Cantos Superiores Arredondados 101">
          <a:extLst>
            <a:ext uri="{FF2B5EF4-FFF2-40B4-BE49-F238E27FC236}">
              <a16:creationId xmlns:a16="http://schemas.microsoft.com/office/drawing/2014/main" id="{3D0EE949-94D5-438F-9F98-8B13FB9FCE12}"/>
            </a:ext>
          </a:extLst>
        </xdr:cNvPr>
        <xdr:cNvSpPr/>
      </xdr:nvSpPr>
      <xdr:spPr>
        <a:xfrm>
          <a:off x="13145621" y="6135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Despesas</a:t>
          </a:r>
          <a:r>
            <a:rPr lang="pt-BR" sz="1100" b="0" baseline="0">
              <a:solidFill>
                <a:sysClr val="windowText" lastClr="000000"/>
              </a:solidFill>
              <a:effectLst/>
              <a:latin typeface="+mn-lt"/>
              <a:ea typeface="+mn-ea"/>
              <a:cs typeface="+mn-cs"/>
            </a:rPr>
            <a:t> Tributárias</a:t>
          </a:r>
          <a:endParaRPr lang="pt-BR">
            <a:solidFill>
              <a:sysClr val="windowText" lastClr="000000"/>
            </a:solidFill>
            <a:effectLst/>
          </a:endParaRPr>
        </a:p>
      </xdr:txBody>
    </xdr:sp>
    <xdr:clientData/>
  </xdr:twoCellAnchor>
  <xdr:twoCellAnchor>
    <xdr:from>
      <xdr:col>4</xdr:col>
      <xdr:colOff>0</xdr:colOff>
      <xdr:row>199</xdr:row>
      <xdr:rowOff>15240</xdr:rowOff>
    </xdr:from>
    <xdr:to>
      <xdr:col>10</xdr:col>
      <xdr:colOff>0</xdr:colOff>
      <xdr:row>200</xdr:row>
      <xdr:rowOff>27416</xdr:rowOff>
    </xdr:to>
    <xdr:sp macro="" textlink="">
      <xdr:nvSpPr>
        <xdr:cNvPr id="105" name="Retângulo: Cantos Superiores Arredondados 104">
          <a:extLst>
            <a:ext uri="{FF2B5EF4-FFF2-40B4-BE49-F238E27FC236}">
              <a16:creationId xmlns:a16="http://schemas.microsoft.com/office/drawing/2014/main" id="{09A9C6DF-15C6-4BE9-A918-B601518E886D}"/>
            </a:ext>
          </a:extLst>
        </xdr:cNvPr>
        <xdr:cNvSpPr/>
      </xdr:nvSpPr>
      <xdr:spPr>
        <a:xfrm>
          <a:off x="4325471" y="61360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Demais Despesas Operacionais por Trimestre</a:t>
          </a:r>
          <a:endParaRPr lang="pt-BR">
            <a:solidFill>
              <a:sysClr val="windowText" lastClr="000000"/>
            </a:solidFill>
            <a:effectLst/>
          </a:endParaRPr>
        </a:p>
      </xdr:txBody>
    </xdr:sp>
    <xdr:clientData/>
  </xdr:twoCellAnchor>
  <xdr:twoCellAnchor>
    <xdr:from>
      <xdr:col>10</xdr:col>
      <xdr:colOff>624840</xdr:colOff>
      <xdr:row>199</xdr:row>
      <xdr:rowOff>19050</xdr:rowOff>
    </xdr:from>
    <xdr:to>
      <xdr:col>17</xdr:col>
      <xdr:colOff>0</xdr:colOff>
      <xdr:row>200</xdr:row>
      <xdr:rowOff>17891</xdr:rowOff>
    </xdr:to>
    <xdr:sp macro="" textlink="">
      <xdr:nvSpPr>
        <xdr:cNvPr id="106" name="Retângulo: Cantos Superiores Arredondados 105">
          <a:extLst>
            <a:ext uri="{FF2B5EF4-FFF2-40B4-BE49-F238E27FC236}">
              <a16:creationId xmlns:a16="http://schemas.microsoft.com/office/drawing/2014/main" id="{79A46F04-F1F5-4929-9943-B1E8E4E5D99C}"/>
            </a:ext>
          </a:extLst>
        </xdr:cNvPr>
        <xdr:cNvSpPr/>
      </xdr:nvSpPr>
      <xdr:spPr>
        <a:xfrm>
          <a:off x="13145621" y="6135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a:t>
          </a:r>
          <a:r>
            <a:rPr lang="pt-BR" sz="1100" b="0">
              <a:solidFill>
                <a:sysClr val="windowText" lastClr="000000"/>
              </a:solidFill>
              <a:effectLst/>
              <a:latin typeface="+mn-lt"/>
              <a:ea typeface="+mn-ea"/>
              <a:cs typeface="+mn-cs"/>
            </a:rPr>
            <a:t>Demais Despesas Operacionais</a:t>
          </a:r>
          <a:endParaRPr lang="pt-BR">
            <a:solidFill>
              <a:sysClr val="windowText" lastClr="000000"/>
            </a:solidFill>
            <a:effectLst/>
          </a:endParaRPr>
        </a:p>
      </xdr:txBody>
    </xdr:sp>
    <xdr:clientData/>
  </xdr:twoCellAnchor>
  <xdr:twoCellAnchor>
    <xdr:from>
      <xdr:col>4</xdr:col>
      <xdr:colOff>0</xdr:colOff>
      <xdr:row>206</xdr:row>
      <xdr:rowOff>15240</xdr:rowOff>
    </xdr:from>
    <xdr:to>
      <xdr:col>10</xdr:col>
      <xdr:colOff>0</xdr:colOff>
      <xdr:row>207</xdr:row>
      <xdr:rowOff>27416</xdr:rowOff>
    </xdr:to>
    <xdr:sp macro="" textlink="">
      <xdr:nvSpPr>
        <xdr:cNvPr id="107" name="Retângulo: Cantos Superiores Arredondados 106">
          <a:extLst>
            <a:ext uri="{FF2B5EF4-FFF2-40B4-BE49-F238E27FC236}">
              <a16:creationId xmlns:a16="http://schemas.microsoft.com/office/drawing/2014/main" id="{76A7D4C5-F57E-4817-A67C-9D7F697B333C}"/>
            </a:ext>
          </a:extLst>
        </xdr:cNvPr>
        <xdr:cNvSpPr/>
      </xdr:nvSpPr>
      <xdr:spPr>
        <a:xfrm>
          <a:off x="4325471" y="61360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de Provisão com Garantias Financeiras Prestadas por Trimestre</a:t>
          </a:r>
          <a:endParaRPr lang="pt-BR">
            <a:solidFill>
              <a:sysClr val="windowText" lastClr="000000"/>
            </a:solidFill>
            <a:effectLst/>
          </a:endParaRPr>
        </a:p>
      </xdr:txBody>
    </xdr:sp>
    <xdr:clientData/>
  </xdr:twoCellAnchor>
  <xdr:twoCellAnchor>
    <xdr:from>
      <xdr:col>10</xdr:col>
      <xdr:colOff>624840</xdr:colOff>
      <xdr:row>206</xdr:row>
      <xdr:rowOff>19050</xdr:rowOff>
    </xdr:from>
    <xdr:to>
      <xdr:col>17</xdr:col>
      <xdr:colOff>0</xdr:colOff>
      <xdr:row>207</xdr:row>
      <xdr:rowOff>17891</xdr:rowOff>
    </xdr:to>
    <xdr:sp macro="" textlink="">
      <xdr:nvSpPr>
        <xdr:cNvPr id="108" name="Retângulo: Cantos Superiores Arredondados 107">
          <a:extLst>
            <a:ext uri="{FF2B5EF4-FFF2-40B4-BE49-F238E27FC236}">
              <a16:creationId xmlns:a16="http://schemas.microsoft.com/office/drawing/2014/main" id="{726BFEF7-C591-41B8-88A7-03B67BFA9128}"/>
            </a:ext>
          </a:extLst>
        </xdr:cNvPr>
        <xdr:cNvSpPr/>
      </xdr:nvSpPr>
      <xdr:spPr>
        <a:xfrm>
          <a:off x="13145621" y="6135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Despesas de Provisão com Garantias Financeiras Prestadas </a:t>
          </a:r>
          <a:endParaRPr lang="pt-BR">
            <a:solidFill>
              <a:sysClr val="windowText" lastClr="000000"/>
            </a:solidFill>
            <a:effectLst/>
          </a:endParaRPr>
        </a:p>
      </xdr:txBody>
    </xdr:sp>
    <xdr:clientData/>
  </xdr:twoCellAnchor>
  <xdr:twoCellAnchor>
    <xdr:from>
      <xdr:col>4</xdr:col>
      <xdr:colOff>0</xdr:colOff>
      <xdr:row>213</xdr:row>
      <xdr:rowOff>15240</xdr:rowOff>
    </xdr:from>
    <xdr:to>
      <xdr:col>10</xdr:col>
      <xdr:colOff>0</xdr:colOff>
      <xdr:row>214</xdr:row>
      <xdr:rowOff>27416</xdr:rowOff>
    </xdr:to>
    <xdr:sp macro="" textlink="">
      <xdr:nvSpPr>
        <xdr:cNvPr id="109" name="Retângulo: Cantos Superiores Arredondados 108">
          <a:extLst>
            <a:ext uri="{FF2B5EF4-FFF2-40B4-BE49-F238E27FC236}">
              <a16:creationId xmlns:a16="http://schemas.microsoft.com/office/drawing/2014/main" id="{B56BB5F6-25FB-4B88-99B7-1971AA71B3F5}"/>
            </a:ext>
          </a:extLst>
        </xdr:cNvPr>
        <xdr:cNvSpPr/>
      </xdr:nvSpPr>
      <xdr:spPr>
        <a:xfrm>
          <a:off x="4325471" y="61360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de Provisão com Passivo Autarial por Trimestre</a:t>
          </a:r>
          <a:endParaRPr lang="pt-BR">
            <a:solidFill>
              <a:sysClr val="windowText" lastClr="000000"/>
            </a:solidFill>
            <a:effectLst/>
          </a:endParaRPr>
        </a:p>
      </xdr:txBody>
    </xdr:sp>
    <xdr:clientData/>
  </xdr:twoCellAnchor>
  <xdr:twoCellAnchor>
    <xdr:from>
      <xdr:col>10</xdr:col>
      <xdr:colOff>624840</xdr:colOff>
      <xdr:row>213</xdr:row>
      <xdr:rowOff>19050</xdr:rowOff>
    </xdr:from>
    <xdr:to>
      <xdr:col>17</xdr:col>
      <xdr:colOff>0</xdr:colOff>
      <xdr:row>214</xdr:row>
      <xdr:rowOff>17891</xdr:rowOff>
    </xdr:to>
    <xdr:sp macro="" textlink="">
      <xdr:nvSpPr>
        <xdr:cNvPr id="110" name="Retângulo: Cantos Superiores Arredondados 109">
          <a:extLst>
            <a:ext uri="{FF2B5EF4-FFF2-40B4-BE49-F238E27FC236}">
              <a16:creationId xmlns:a16="http://schemas.microsoft.com/office/drawing/2014/main" id="{C3E48F92-7016-43BE-93A7-2FD7C7F154BD}"/>
            </a:ext>
          </a:extLst>
        </xdr:cNvPr>
        <xdr:cNvSpPr/>
      </xdr:nvSpPr>
      <xdr:spPr>
        <a:xfrm>
          <a:off x="13145621" y="6135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Despesas de Provisão com Passivo Autarial</a:t>
          </a:r>
          <a:endParaRPr lang="pt-BR">
            <a:solidFill>
              <a:sysClr val="windowText" lastClr="000000"/>
            </a:solidFill>
            <a:effectLst/>
          </a:endParaRPr>
        </a:p>
      </xdr:txBody>
    </xdr:sp>
    <xdr:clientData/>
  </xdr:twoCellAnchor>
  <xdr:twoCellAnchor>
    <xdr:from>
      <xdr:col>4</xdr:col>
      <xdr:colOff>0</xdr:colOff>
      <xdr:row>220</xdr:row>
      <xdr:rowOff>15240</xdr:rowOff>
    </xdr:from>
    <xdr:to>
      <xdr:col>10</xdr:col>
      <xdr:colOff>0</xdr:colOff>
      <xdr:row>221</xdr:row>
      <xdr:rowOff>27416</xdr:rowOff>
    </xdr:to>
    <xdr:sp macro="" textlink="">
      <xdr:nvSpPr>
        <xdr:cNvPr id="111" name="Retângulo: Cantos Superiores Arredondados 110">
          <a:extLst>
            <a:ext uri="{FF2B5EF4-FFF2-40B4-BE49-F238E27FC236}">
              <a16:creationId xmlns:a16="http://schemas.microsoft.com/office/drawing/2014/main" id="{E183A819-D811-4E96-948D-8964FB2344E8}"/>
            </a:ext>
          </a:extLst>
        </xdr:cNvPr>
        <xdr:cNvSpPr/>
      </xdr:nvSpPr>
      <xdr:spPr>
        <a:xfrm>
          <a:off x="4325471" y="61360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de Provisão com Demandas Judiciais por Trimestre</a:t>
          </a:r>
          <a:endParaRPr lang="pt-BR">
            <a:solidFill>
              <a:sysClr val="windowText" lastClr="000000"/>
            </a:solidFill>
            <a:effectLst/>
          </a:endParaRPr>
        </a:p>
      </xdr:txBody>
    </xdr:sp>
    <xdr:clientData/>
  </xdr:twoCellAnchor>
  <xdr:twoCellAnchor>
    <xdr:from>
      <xdr:col>10</xdr:col>
      <xdr:colOff>624840</xdr:colOff>
      <xdr:row>220</xdr:row>
      <xdr:rowOff>19050</xdr:rowOff>
    </xdr:from>
    <xdr:to>
      <xdr:col>17</xdr:col>
      <xdr:colOff>0</xdr:colOff>
      <xdr:row>221</xdr:row>
      <xdr:rowOff>17891</xdr:rowOff>
    </xdr:to>
    <xdr:sp macro="" textlink="">
      <xdr:nvSpPr>
        <xdr:cNvPr id="112" name="Retângulo: Cantos Superiores Arredondados 111">
          <a:extLst>
            <a:ext uri="{FF2B5EF4-FFF2-40B4-BE49-F238E27FC236}">
              <a16:creationId xmlns:a16="http://schemas.microsoft.com/office/drawing/2014/main" id="{C3242B22-82D4-40C8-A426-14604BC359E5}"/>
            </a:ext>
          </a:extLst>
        </xdr:cNvPr>
        <xdr:cNvSpPr/>
      </xdr:nvSpPr>
      <xdr:spPr>
        <a:xfrm>
          <a:off x="13145621" y="61356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Despesas de Provisão com Demandas Judiciais</a:t>
          </a:r>
          <a:endParaRPr lang="pt-BR">
            <a:solidFill>
              <a:sysClr val="windowText" lastClr="000000"/>
            </a:solidFill>
            <a:effectLst/>
          </a:endParaRPr>
        </a:p>
      </xdr:txBody>
    </xdr:sp>
    <xdr:clientData/>
  </xdr:twoCellAnchor>
  <xdr:twoCellAnchor>
    <xdr:from>
      <xdr:col>4</xdr:col>
      <xdr:colOff>0</xdr:colOff>
      <xdr:row>227</xdr:row>
      <xdr:rowOff>15240</xdr:rowOff>
    </xdr:from>
    <xdr:to>
      <xdr:col>10</xdr:col>
      <xdr:colOff>0</xdr:colOff>
      <xdr:row>228</xdr:row>
      <xdr:rowOff>27416</xdr:rowOff>
    </xdr:to>
    <xdr:sp macro="" textlink="">
      <xdr:nvSpPr>
        <xdr:cNvPr id="113" name="Retângulo: Cantos Superiores Arredondados 112">
          <a:extLst>
            <a:ext uri="{FF2B5EF4-FFF2-40B4-BE49-F238E27FC236}">
              <a16:creationId xmlns:a16="http://schemas.microsoft.com/office/drawing/2014/main" id="{9CD7366B-5813-437F-8AB6-62A7BFA7CB6A}"/>
            </a:ext>
          </a:extLst>
        </xdr:cNvPr>
        <xdr:cNvSpPr/>
      </xdr:nvSpPr>
      <xdr:spPr>
        <a:xfrm>
          <a:off x="4325471" y="77362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Despesas de Provisão com Planos Saldados por Trimestre</a:t>
          </a:r>
          <a:endParaRPr lang="pt-BR">
            <a:solidFill>
              <a:sysClr val="windowText" lastClr="000000"/>
            </a:solidFill>
            <a:effectLst/>
          </a:endParaRPr>
        </a:p>
      </xdr:txBody>
    </xdr:sp>
    <xdr:clientData/>
  </xdr:twoCellAnchor>
  <xdr:twoCellAnchor>
    <xdr:from>
      <xdr:col>10</xdr:col>
      <xdr:colOff>624840</xdr:colOff>
      <xdr:row>227</xdr:row>
      <xdr:rowOff>19050</xdr:rowOff>
    </xdr:from>
    <xdr:to>
      <xdr:col>17</xdr:col>
      <xdr:colOff>0</xdr:colOff>
      <xdr:row>228</xdr:row>
      <xdr:rowOff>17891</xdr:rowOff>
    </xdr:to>
    <xdr:sp macro="" textlink="">
      <xdr:nvSpPr>
        <xdr:cNvPr id="114" name="Retângulo: Cantos Superiores Arredondados 113">
          <a:extLst>
            <a:ext uri="{FF2B5EF4-FFF2-40B4-BE49-F238E27FC236}">
              <a16:creationId xmlns:a16="http://schemas.microsoft.com/office/drawing/2014/main" id="{0DE00F6F-5FE0-4B17-9392-6A3B87B2A830}"/>
            </a:ext>
          </a:extLst>
        </xdr:cNvPr>
        <xdr:cNvSpPr/>
      </xdr:nvSpPr>
      <xdr:spPr>
        <a:xfrm>
          <a:off x="13145621" y="77358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BR" sz="1100" b="0">
              <a:solidFill>
                <a:sysClr val="windowText" lastClr="000000"/>
              </a:solidFill>
              <a:effectLst/>
              <a:latin typeface="+mn-lt"/>
              <a:ea typeface="+mn-ea"/>
              <a:cs typeface="+mn-cs"/>
            </a:rPr>
            <a:t>Sazonalidade das</a:t>
          </a:r>
          <a:r>
            <a:rPr lang="pt-BR" sz="1100" b="0" baseline="0">
              <a:solidFill>
                <a:sysClr val="windowText" lastClr="000000"/>
              </a:solidFill>
              <a:effectLst/>
              <a:latin typeface="+mn-lt"/>
              <a:ea typeface="+mn-ea"/>
              <a:cs typeface="+mn-cs"/>
            </a:rPr>
            <a:t> Despesas de Provisão com Planos Saldados</a:t>
          </a:r>
          <a:endParaRPr lang="pt-BR">
            <a:solidFill>
              <a:sysClr val="windowText" lastClr="000000"/>
            </a:solidFill>
            <a:effectLst/>
          </a:endParaRPr>
        </a:p>
      </xdr:txBody>
    </xdr:sp>
    <xdr:clientData/>
  </xdr:twoCellAnchor>
  <xdr:twoCellAnchor>
    <xdr:from>
      <xdr:col>4</xdr:col>
      <xdr:colOff>0</xdr:colOff>
      <xdr:row>234</xdr:row>
      <xdr:rowOff>19050</xdr:rowOff>
    </xdr:from>
    <xdr:to>
      <xdr:col>10</xdr:col>
      <xdr:colOff>0</xdr:colOff>
      <xdr:row>235</xdr:row>
      <xdr:rowOff>25511</xdr:rowOff>
    </xdr:to>
    <xdr:sp macro="" textlink="">
      <xdr:nvSpPr>
        <xdr:cNvPr id="115" name="Retângulo: Cantos Superiores Arredondados 114">
          <a:extLst>
            <a:ext uri="{FF2B5EF4-FFF2-40B4-BE49-F238E27FC236}">
              <a16:creationId xmlns:a16="http://schemas.microsoft.com/office/drawing/2014/main" id="{A08E9380-70F5-491A-92C5-EE012D7C44EF}"/>
            </a:ext>
          </a:extLst>
        </xdr:cNvPr>
        <xdr:cNvSpPr/>
      </xdr:nvSpPr>
      <xdr:spPr>
        <a:xfrm>
          <a:off x="4325471" y="82696050"/>
          <a:ext cx="819150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ysClr val="windowText" lastClr="000000"/>
              </a:solidFill>
              <a:effectLst/>
              <a:latin typeface="+mn-lt"/>
              <a:ea typeface="+mn-ea"/>
              <a:cs typeface="+mn-cs"/>
            </a:rPr>
            <a:t>Participação sobre Lucro por Trimestre</a:t>
          </a:r>
          <a:endParaRPr lang="pt-BR">
            <a:solidFill>
              <a:sysClr val="windowText" lastClr="000000"/>
            </a:solidFill>
            <a:effectLst/>
          </a:endParaRPr>
        </a:p>
      </xdr:txBody>
    </xdr:sp>
    <xdr:clientData/>
  </xdr:twoCellAnchor>
  <xdr:twoCellAnchor>
    <xdr:from>
      <xdr:col>10</xdr:col>
      <xdr:colOff>624840</xdr:colOff>
      <xdr:row>234</xdr:row>
      <xdr:rowOff>19050</xdr:rowOff>
    </xdr:from>
    <xdr:to>
      <xdr:col>17</xdr:col>
      <xdr:colOff>0</xdr:colOff>
      <xdr:row>235</xdr:row>
      <xdr:rowOff>17891</xdr:rowOff>
    </xdr:to>
    <xdr:sp macro="" textlink="">
      <xdr:nvSpPr>
        <xdr:cNvPr id="116" name="Retângulo: Cantos Superiores Arredondados 115">
          <a:extLst>
            <a:ext uri="{FF2B5EF4-FFF2-40B4-BE49-F238E27FC236}">
              <a16:creationId xmlns:a16="http://schemas.microsoft.com/office/drawing/2014/main" id="{80E43003-E12D-4DC5-9EB9-AEBAD9E829A6}"/>
            </a:ext>
          </a:extLst>
        </xdr:cNvPr>
        <xdr:cNvSpPr/>
      </xdr:nvSpPr>
      <xdr:spPr>
        <a:xfrm>
          <a:off x="13145621" y="80025240"/>
          <a:ext cx="6453467"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BR" sz="1100" b="0">
              <a:solidFill>
                <a:sysClr val="windowText" lastClr="000000"/>
              </a:solidFill>
              <a:effectLst/>
              <a:latin typeface="+mn-lt"/>
              <a:ea typeface="+mn-ea"/>
              <a:cs typeface="+mn-cs"/>
            </a:rPr>
            <a:t>Sazonalidade da</a:t>
          </a:r>
          <a:r>
            <a:rPr lang="pt-BR" sz="1100" b="0" baseline="0">
              <a:solidFill>
                <a:sysClr val="windowText" lastClr="000000"/>
              </a:solidFill>
              <a:effectLst/>
              <a:latin typeface="+mn-lt"/>
              <a:ea typeface="+mn-ea"/>
              <a:cs typeface="+mn-cs"/>
            </a:rPr>
            <a:t> Participação sobre Lucro</a:t>
          </a:r>
          <a:endParaRPr lang="pt-BR">
            <a:solidFill>
              <a:sysClr val="windowText" lastClr="000000"/>
            </a:solidFill>
            <a:effectLst/>
          </a:endParaRPr>
        </a:p>
      </xdr:txBody>
    </xdr:sp>
    <xdr:clientData/>
  </xdr:twoCellAnchor>
  <xdr:twoCellAnchor>
    <xdr:from>
      <xdr:col>4</xdr:col>
      <xdr:colOff>0</xdr:colOff>
      <xdr:row>27</xdr:row>
      <xdr:rowOff>15240</xdr:rowOff>
    </xdr:from>
    <xdr:to>
      <xdr:col>10</xdr:col>
      <xdr:colOff>0</xdr:colOff>
      <xdr:row>28</xdr:row>
      <xdr:rowOff>27416</xdr:rowOff>
    </xdr:to>
    <xdr:sp macro="" textlink="">
      <xdr:nvSpPr>
        <xdr:cNvPr id="55" name="Retângulo: Cantos Superiores Arredondados 54">
          <a:extLst>
            <a:ext uri="{FF2B5EF4-FFF2-40B4-BE49-F238E27FC236}">
              <a16:creationId xmlns:a16="http://schemas.microsoft.com/office/drawing/2014/main" id="{129D8758-3F0A-4F29-B244-0E0C1CC49679}"/>
            </a:ext>
          </a:extLst>
        </xdr:cNvPr>
        <xdr:cNvSpPr/>
      </xdr:nvSpPr>
      <xdr:spPr>
        <a:xfrm>
          <a:off x="4333875" y="6115050"/>
          <a:ext cx="817245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Ativos Ponderados pelo Risco (RWA)</a:t>
          </a:r>
          <a:r>
            <a:rPr lang="pt-BR" sz="1100" b="0" baseline="0">
              <a:solidFill>
                <a:schemeClr val="tx1">
                  <a:lumMod val="75000"/>
                  <a:lumOff val="25000"/>
                </a:schemeClr>
              </a:solidFill>
              <a:latin typeface="+mn-lt"/>
              <a:ea typeface="SF Pro Display" panose="00000500000000000000" pitchFamily="2" charset="0"/>
            </a:rPr>
            <a:t>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624840</xdr:colOff>
      <xdr:row>27</xdr:row>
      <xdr:rowOff>19050</xdr:rowOff>
    </xdr:from>
    <xdr:to>
      <xdr:col>17</xdr:col>
      <xdr:colOff>0</xdr:colOff>
      <xdr:row>28</xdr:row>
      <xdr:rowOff>17891</xdr:rowOff>
    </xdr:to>
    <xdr:sp macro="" textlink="">
      <xdr:nvSpPr>
        <xdr:cNvPr id="56" name="Retângulo: Cantos Superiores Arredondados 55">
          <a:extLst>
            <a:ext uri="{FF2B5EF4-FFF2-40B4-BE49-F238E27FC236}">
              <a16:creationId xmlns:a16="http://schemas.microsoft.com/office/drawing/2014/main" id="{803D0561-69C4-4851-8521-61BA508E9626}"/>
            </a:ext>
          </a:extLst>
        </xdr:cNvPr>
        <xdr:cNvSpPr/>
      </xdr:nvSpPr>
      <xdr:spPr>
        <a:xfrm>
          <a:off x="13134975" y="6111240"/>
          <a:ext cx="6457950" cy="38746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dos AtivosPonderados pelo Risco (RWA) </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1081</xdr:colOff>
      <xdr:row>6</xdr:row>
      <xdr:rowOff>286839</xdr:rowOff>
    </xdr:from>
    <xdr:to>
      <xdr:col>10</xdr:col>
      <xdr:colOff>9526</xdr:colOff>
      <xdr:row>8</xdr:row>
      <xdr:rowOff>44089</xdr:rowOff>
    </xdr:to>
    <xdr:sp macro="" textlink="">
      <xdr:nvSpPr>
        <xdr:cNvPr id="2" name="Retângulo: Cantos Superiores Arredondados 2">
          <a:extLst>
            <a:ext uri="{FF2B5EF4-FFF2-40B4-BE49-F238E27FC236}">
              <a16:creationId xmlns:a16="http://schemas.microsoft.com/office/drawing/2014/main" id="{955C5012-9202-41F7-9D6C-3D09ED892C9F}"/>
            </a:ext>
          </a:extLst>
        </xdr:cNvPr>
        <xdr:cNvSpPr/>
      </xdr:nvSpPr>
      <xdr:spPr>
        <a:xfrm>
          <a:off x="4334956" y="1426029"/>
          <a:ext cx="8859075" cy="52496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Solvência</a:t>
          </a:r>
          <a:r>
            <a:rPr lang="pt-BR" sz="1100" b="0" baseline="0">
              <a:solidFill>
                <a:schemeClr val="tx1">
                  <a:lumMod val="75000"/>
                  <a:lumOff val="25000"/>
                </a:schemeClr>
              </a:solidFill>
              <a:latin typeface="+mn-lt"/>
              <a:ea typeface="SF Pro Display" panose="00000500000000000000" pitchFamily="2" charset="0"/>
            </a:rPr>
            <a:t> e Liquidez</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8290</xdr:colOff>
      <xdr:row>15</xdr:row>
      <xdr:rowOff>352155</xdr:rowOff>
    </xdr:from>
    <xdr:to>
      <xdr:col>10</xdr:col>
      <xdr:colOff>9525</xdr:colOff>
      <xdr:row>17</xdr:row>
      <xdr:rowOff>45996</xdr:rowOff>
    </xdr:to>
    <xdr:sp macro="" textlink="">
      <xdr:nvSpPr>
        <xdr:cNvPr id="3" name="Retângulo: Cantos Superiores Arredondados 2">
          <a:extLst>
            <a:ext uri="{FF2B5EF4-FFF2-40B4-BE49-F238E27FC236}">
              <a16:creationId xmlns:a16="http://schemas.microsoft.com/office/drawing/2014/main" id="{E4188943-535C-4178-A4E2-D4E4119A4FD0}"/>
            </a:ext>
          </a:extLst>
        </xdr:cNvPr>
        <xdr:cNvSpPr/>
      </xdr:nvSpPr>
      <xdr:spPr>
        <a:xfrm>
          <a:off x="4342165" y="4924155"/>
          <a:ext cx="8849960"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Capital e</a:t>
          </a:r>
          <a:r>
            <a:rPr lang="pt-BR" sz="1100" b="0" baseline="0">
              <a:solidFill>
                <a:schemeClr val="tx1">
                  <a:lumMod val="75000"/>
                  <a:lumOff val="25000"/>
                </a:schemeClr>
              </a:solidFill>
              <a:latin typeface="+mn-lt"/>
              <a:ea typeface="SF Pro Display" panose="00000500000000000000" pitchFamily="2" charset="0"/>
            </a:rPr>
            <a:t> Risco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542</xdr:colOff>
      <xdr:row>24</xdr:row>
      <xdr:rowOff>315686</xdr:rowOff>
    </xdr:from>
    <xdr:to>
      <xdr:col>10</xdr:col>
      <xdr:colOff>9525</xdr:colOff>
      <xdr:row>26</xdr:row>
      <xdr:rowOff>9527</xdr:rowOff>
    </xdr:to>
    <xdr:sp macro="" textlink="">
      <xdr:nvSpPr>
        <xdr:cNvPr id="4" name="Retângulo: Cantos Superiores Arredondados 2">
          <a:extLst>
            <a:ext uri="{FF2B5EF4-FFF2-40B4-BE49-F238E27FC236}">
              <a16:creationId xmlns:a16="http://schemas.microsoft.com/office/drawing/2014/main" id="{7C2BCF9C-7B45-4635-A1E4-E20EF88879CA}"/>
            </a:ext>
          </a:extLst>
        </xdr:cNvPr>
        <xdr:cNvSpPr/>
      </xdr:nvSpPr>
      <xdr:spPr>
        <a:xfrm>
          <a:off x="4334417" y="8316686"/>
          <a:ext cx="7648033"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Rentabilidade</a:t>
          </a:r>
        </a:p>
      </xdr:txBody>
    </xdr:sp>
    <xdr:clientData/>
  </xdr:twoCellAnchor>
  <xdr:twoCellAnchor>
    <xdr:from>
      <xdr:col>4</xdr:col>
      <xdr:colOff>1906</xdr:colOff>
      <xdr:row>40</xdr:row>
      <xdr:rowOff>364224</xdr:rowOff>
    </xdr:from>
    <xdr:to>
      <xdr:col>10</xdr:col>
      <xdr:colOff>9526</xdr:colOff>
      <xdr:row>42</xdr:row>
      <xdr:rowOff>56430</xdr:rowOff>
    </xdr:to>
    <xdr:sp macro="" textlink="">
      <xdr:nvSpPr>
        <xdr:cNvPr id="5" name="Retângulo: Cantos Superiores Arredondados 2">
          <a:extLst>
            <a:ext uri="{FF2B5EF4-FFF2-40B4-BE49-F238E27FC236}">
              <a16:creationId xmlns:a16="http://schemas.microsoft.com/office/drawing/2014/main" id="{903EBE54-B5C5-446C-909A-2F32A76719EF}"/>
            </a:ext>
          </a:extLst>
        </xdr:cNvPr>
        <xdr:cNvSpPr/>
      </xdr:nvSpPr>
      <xdr:spPr>
        <a:xfrm>
          <a:off x="4335781" y="14461224"/>
          <a:ext cx="7646670" cy="45420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Dividendos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1905</xdr:colOff>
      <xdr:row>35</xdr:row>
      <xdr:rowOff>326669</xdr:rowOff>
    </xdr:from>
    <xdr:to>
      <xdr:col>10</xdr:col>
      <xdr:colOff>0</xdr:colOff>
      <xdr:row>37</xdr:row>
      <xdr:rowOff>18605</xdr:rowOff>
    </xdr:to>
    <xdr:sp macro="" textlink="">
      <xdr:nvSpPr>
        <xdr:cNvPr id="6" name="Retângulo: Cantos Superiores Arredondados 2">
          <a:extLst>
            <a:ext uri="{FF2B5EF4-FFF2-40B4-BE49-F238E27FC236}">
              <a16:creationId xmlns:a16="http://schemas.microsoft.com/office/drawing/2014/main" id="{6140D0B8-15CB-463D-8C35-6C7D49C7107F}"/>
            </a:ext>
          </a:extLst>
        </xdr:cNvPr>
        <xdr:cNvSpPr/>
      </xdr:nvSpPr>
      <xdr:spPr>
        <a:xfrm>
          <a:off x="4335780" y="12518669"/>
          <a:ext cx="8846820" cy="45393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Sensibilidade de Juros</a:t>
          </a:r>
        </a:p>
      </xdr:txBody>
    </xdr:sp>
    <xdr:clientData/>
  </xdr:two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029D5FB5-3AE1-447E-A664-EAFD72B42B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679" y="167976"/>
          <a:ext cx="363716" cy="6264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arosmf-my.sharepoint.com/Users/Guilherme/Downloads/Valuation%20WEG%20DCF%20-%20Edufinance%203T22%20-%20The%20Mother%20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WACC"/>
      <sheetName val="Balanço Patrimonial"/>
      <sheetName val="DRE + DCF"/>
      <sheetName val="DRE - Contas Abertas"/>
      <sheetName val="Projeções"/>
      <sheetName val="Projeções 2022"/>
      <sheetName val="Projeções (crescimento)"/>
      <sheetName val="Projeções (% total)"/>
      <sheetName val="Painel de Índices"/>
      <sheetName val="Sugestões"/>
      <sheetName val="Provisões e Processos"/>
      <sheetName val="Aquisições"/>
      <sheetName val="Dados Complementares"/>
      <sheetName val="Gráficos"/>
      <sheetName val="ComDinheiro"/>
      <sheetName val="Explorando Cenários"/>
      <sheetName val="sddsdssdssdsd"/>
      <sheetName val="To-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1">
          <cell r="F11">
            <v>9.0560000000000002E-2</v>
          </cell>
          <cell r="G11">
            <v>6.3710000000000003E-2</v>
          </cell>
          <cell r="H11">
            <v>4.4080000000000001E-2</v>
          </cell>
          <cell r="I11">
            <v>6.4640000000000003E-2</v>
          </cell>
          <cell r="J11">
            <v>4.9680000000000002E-2</v>
          </cell>
          <cell r="K11">
            <v>5.4879999999999998E-2</v>
          </cell>
          <cell r="L11">
            <v>5.9819999999999998E-2</v>
          </cell>
          <cell r="M11">
            <v>6.25E-2</v>
          </cell>
          <cell r="N11">
            <v>5.867E-2</v>
          </cell>
          <cell r="P11">
            <v>5.1400000000000001E-2</v>
          </cell>
        </row>
        <row r="14">
          <cell r="J14">
            <v>0.02</v>
          </cell>
          <cell r="K14">
            <v>0.02</v>
          </cell>
        </row>
        <row r="15">
          <cell r="J15">
            <v>4.5999999999999999E-2</v>
          </cell>
        </row>
        <row r="16">
          <cell r="J16">
            <v>6.5000000000000002E-2</v>
          </cell>
          <cell r="K16">
            <v>6.2E-2</v>
          </cell>
        </row>
        <row r="20">
          <cell r="J20">
            <v>3.3000000000000002E-2</v>
          </cell>
        </row>
      </sheetData>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Personalizada 1">
      <a:dk1>
        <a:sysClr val="windowText" lastClr="000000"/>
      </a:dk1>
      <a:lt1>
        <a:sysClr val="window" lastClr="FFFFFF"/>
      </a:lt1>
      <a:dk2>
        <a:srgbClr val="44546A"/>
      </a:dk2>
      <a:lt2>
        <a:srgbClr val="E7E6E6"/>
      </a:lt2>
      <a:accent1>
        <a:srgbClr val="43AF43"/>
      </a:accent1>
      <a:accent2>
        <a:srgbClr val="273835"/>
      </a:accent2>
      <a:accent3>
        <a:srgbClr val="878D96"/>
      </a:accent3>
      <a:accent4>
        <a:srgbClr val="C6CAD2"/>
      </a:accent4>
      <a:accent5>
        <a:srgbClr val="4FE04F"/>
      </a:accent5>
      <a:accent6>
        <a:srgbClr val="1CB799"/>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F6E6-DB9E-4464-8C67-D90589B5D7E5}">
  <dimension ref="A1:BC28"/>
  <sheetViews>
    <sheetView tabSelected="1" zoomScaleNormal="100" workbookViewId="0"/>
  </sheetViews>
  <sheetFormatPr defaultColWidth="0" defaultRowHeight="14.4" customHeight="1" zeroHeight="1" x14ac:dyDescent="0.3"/>
  <cols>
    <col min="1" max="1" width="35.6640625" style="1" customWidth="1"/>
    <col min="2" max="4" width="9.109375" style="33" customWidth="1"/>
    <col min="5" max="5" width="40.6640625" style="33" bestFit="1" customWidth="1"/>
    <col min="6" max="6" width="18.33203125" style="33" bestFit="1" customWidth="1"/>
    <col min="7" max="7" width="9.109375" style="33" customWidth="1"/>
    <col min="8" max="8" width="6.33203125" style="33" customWidth="1"/>
    <col min="9" max="9" width="13.5546875" style="33" customWidth="1"/>
    <col min="10" max="10" width="15.109375" style="33" bestFit="1" customWidth="1"/>
    <col min="11" max="18" width="12.88671875" style="33" bestFit="1" customWidth="1"/>
    <col min="19" max="19" width="11.44140625" style="33" bestFit="1" customWidth="1"/>
    <col min="20" max="22" width="9.109375" style="33" customWidth="1"/>
    <col min="23" max="29" width="9.109375" style="33" hidden="1" customWidth="1"/>
    <col min="30" max="54" width="0" style="33" hidden="1" customWidth="1"/>
    <col min="55" max="55" width="9.109375" style="33" hidden="1" customWidth="1"/>
    <col min="56" max="16384" width="0" style="33" hidden="1"/>
  </cols>
  <sheetData>
    <row r="1" spans="1:28" ht="15" customHeight="1" x14ac:dyDescent="0.3">
      <c r="B1" s="32"/>
      <c r="C1" s="32"/>
      <c r="D1" s="32"/>
      <c r="E1" s="32"/>
      <c r="F1" s="32"/>
      <c r="G1" s="32"/>
      <c r="H1" s="32"/>
      <c r="I1" s="32"/>
      <c r="J1" s="32"/>
      <c r="K1" s="32"/>
      <c r="L1" s="32"/>
      <c r="M1" s="32"/>
      <c r="N1" s="32"/>
      <c r="O1" s="32"/>
      <c r="P1" s="32"/>
      <c r="Q1" s="32"/>
      <c r="R1" s="32"/>
      <c r="S1" s="32"/>
      <c r="T1" s="32"/>
      <c r="U1" s="32"/>
      <c r="V1" s="32"/>
      <c r="W1" s="32"/>
      <c r="X1" s="32"/>
      <c r="Y1" s="32"/>
      <c r="Z1" s="32"/>
      <c r="AA1" s="32"/>
      <c r="AB1" s="32"/>
    </row>
    <row r="2" spans="1:28" ht="15" customHeight="1" x14ac:dyDescent="0.3">
      <c r="B2" s="32"/>
      <c r="C2" s="32"/>
      <c r="D2" s="34"/>
      <c r="E2" s="34"/>
      <c r="F2" s="34"/>
      <c r="G2" s="34"/>
      <c r="H2" s="34"/>
      <c r="I2" s="34"/>
      <c r="J2" s="34"/>
      <c r="K2" s="34"/>
      <c r="L2" s="34"/>
      <c r="M2" s="34"/>
      <c r="N2" s="34"/>
      <c r="O2" s="34"/>
      <c r="P2" s="34"/>
      <c r="Q2" s="34"/>
      <c r="R2" s="34"/>
      <c r="S2" s="34"/>
      <c r="T2" s="32"/>
      <c r="U2" s="32"/>
      <c r="V2" s="32"/>
      <c r="W2" s="32"/>
      <c r="X2" s="32"/>
      <c r="Y2" s="32"/>
      <c r="Z2" s="32"/>
      <c r="AA2" s="32"/>
      <c r="AB2" s="32"/>
    </row>
    <row r="3" spans="1:28" ht="15" customHeight="1" x14ac:dyDescent="0.55000000000000004">
      <c r="B3" s="32"/>
      <c r="C3" s="32"/>
      <c r="D3" s="35"/>
      <c r="E3" s="35"/>
      <c r="F3" s="35"/>
      <c r="G3" s="35"/>
      <c r="H3" s="35"/>
      <c r="I3" s="36"/>
      <c r="J3" s="36"/>
      <c r="K3" s="36"/>
      <c r="L3" s="36"/>
      <c r="M3" s="36"/>
      <c r="N3" s="34"/>
      <c r="O3" s="34"/>
      <c r="P3" s="34"/>
      <c r="Q3" s="34"/>
      <c r="R3" s="34"/>
      <c r="S3" s="34"/>
      <c r="T3" s="32"/>
      <c r="U3" s="32"/>
      <c r="V3" s="32"/>
      <c r="W3" s="32"/>
      <c r="X3" s="32"/>
      <c r="Y3" s="32"/>
      <c r="Z3" s="32"/>
      <c r="AA3" s="32"/>
      <c r="AB3" s="32"/>
    </row>
    <row r="4" spans="1:28" ht="15" customHeight="1" x14ac:dyDescent="0.55000000000000004">
      <c r="B4" s="32"/>
      <c r="C4" s="35"/>
      <c r="D4" s="35"/>
      <c r="E4" s="35"/>
      <c r="F4" s="35"/>
      <c r="G4" s="35"/>
      <c r="H4" s="35"/>
      <c r="I4" s="36"/>
      <c r="J4" s="458" t="s">
        <v>34</v>
      </c>
      <c r="K4" s="458"/>
      <c r="L4" s="458"/>
      <c r="M4" s="36"/>
      <c r="N4" s="34"/>
      <c r="O4" s="34"/>
      <c r="P4" s="34"/>
      <c r="Q4" s="34"/>
      <c r="R4" s="34"/>
      <c r="S4" s="34"/>
      <c r="T4" s="32"/>
      <c r="U4" s="32"/>
      <c r="V4" s="32"/>
      <c r="W4" s="32"/>
      <c r="X4" s="32"/>
      <c r="Y4" s="32"/>
      <c r="Z4" s="32"/>
      <c r="AA4" s="32"/>
      <c r="AB4" s="32"/>
    </row>
    <row r="5" spans="1:28" ht="15" customHeight="1" x14ac:dyDescent="0.55000000000000004">
      <c r="B5" s="32"/>
      <c r="C5" s="32"/>
      <c r="D5" s="35"/>
      <c r="E5" s="35"/>
      <c r="F5" s="35"/>
      <c r="G5" s="35"/>
      <c r="H5" s="35"/>
      <c r="I5" s="36"/>
      <c r="J5" s="459"/>
      <c r="K5" s="459"/>
      <c r="L5" s="459"/>
      <c r="M5" s="36"/>
      <c r="N5" s="34"/>
      <c r="O5" s="34"/>
      <c r="P5" s="34"/>
      <c r="Q5" s="34"/>
      <c r="R5" s="37"/>
      <c r="S5" s="34"/>
      <c r="T5" s="32"/>
      <c r="U5" s="32"/>
      <c r="V5" s="32"/>
      <c r="W5" s="32"/>
      <c r="X5" s="32"/>
      <c r="Y5" s="32"/>
      <c r="Z5" s="32"/>
      <c r="AA5" s="32"/>
      <c r="AB5" s="32"/>
    </row>
    <row r="6" spans="1:28" ht="15" customHeight="1" x14ac:dyDescent="0.55000000000000004">
      <c r="B6" s="32"/>
      <c r="C6" s="32"/>
      <c r="D6" s="35"/>
      <c r="E6" s="35"/>
      <c r="F6" s="35"/>
      <c r="G6" s="35"/>
      <c r="H6" s="34"/>
      <c r="I6" s="34"/>
      <c r="J6" s="34"/>
      <c r="K6" s="34"/>
      <c r="L6" s="34"/>
      <c r="M6" s="34"/>
      <c r="N6" s="34"/>
      <c r="O6" s="32"/>
      <c r="P6" s="32"/>
      <c r="Q6" s="32"/>
      <c r="R6" s="32"/>
      <c r="S6" s="32"/>
      <c r="T6" s="32"/>
      <c r="U6" s="32"/>
      <c r="V6" s="32"/>
      <c r="W6" s="32"/>
      <c r="X6" s="32"/>
      <c r="Y6" s="32"/>
      <c r="Z6" s="32"/>
      <c r="AA6" s="32"/>
      <c r="AB6" s="32"/>
    </row>
    <row r="7" spans="1:28" s="39" customFormat="1" ht="30" customHeight="1" thickBot="1" x14ac:dyDescent="0.6">
      <c r="A7" s="3" t="s">
        <v>0</v>
      </c>
      <c r="B7" s="38"/>
      <c r="C7" s="38"/>
      <c r="D7" s="38"/>
      <c r="E7" s="38"/>
      <c r="F7" s="38"/>
      <c r="G7" s="38"/>
      <c r="H7" s="38"/>
      <c r="I7" s="35"/>
      <c r="J7" s="38"/>
      <c r="K7" s="38"/>
      <c r="L7" s="38"/>
      <c r="M7" s="38"/>
      <c r="N7" s="38"/>
      <c r="O7" s="38"/>
      <c r="P7" s="38"/>
      <c r="Q7" s="38"/>
      <c r="R7" s="38"/>
      <c r="S7" s="38"/>
      <c r="T7" s="38"/>
      <c r="U7" s="38"/>
      <c r="V7" s="38"/>
      <c r="W7" s="38"/>
      <c r="X7" s="38"/>
      <c r="Y7" s="38"/>
      <c r="Z7" s="38"/>
      <c r="AA7" s="38"/>
      <c r="AB7" s="38"/>
    </row>
    <row r="8" spans="1:28" ht="30" customHeight="1" x14ac:dyDescent="0.3">
      <c r="A8" s="5" t="s">
        <v>1</v>
      </c>
      <c r="B8" s="32"/>
      <c r="C8" s="32"/>
      <c r="D8" s="38"/>
      <c r="E8" s="40"/>
      <c r="F8" s="41"/>
      <c r="G8" s="41"/>
      <c r="H8" s="41"/>
      <c r="I8" s="41"/>
      <c r="J8" s="41"/>
      <c r="K8" s="41"/>
      <c r="L8" s="41"/>
      <c r="M8" s="41"/>
      <c r="N8" s="41"/>
      <c r="O8" s="41"/>
      <c r="P8" s="41"/>
      <c r="Q8" s="41"/>
      <c r="R8" s="41"/>
      <c r="S8" s="42"/>
      <c r="T8" s="32"/>
      <c r="U8" s="32"/>
      <c r="V8" s="32"/>
      <c r="W8" s="32"/>
      <c r="X8" s="32"/>
      <c r="Y8" s="32"/>
      <c r="Z8" s="32"/>
      <c r="AA8" s="32"/>
      <c r="AB8" s="32"/>
    </row>
    <row r="9" spans="1:28" ht="30" customHeight="1" x14ac:dyDescent="0.3">
      <c r="A9" s="4" t="s">
        <v>2</v>
      </c>
      <c r="B9" s="32"/>
      <c r="C9" s="32"/>
      <c r="D9" s="32"/>
      <c r="E9" s="43" t="s">
        <v>22</v>
      </c>
      <c r="F9" s="376">
        <v>2</v>
      </c>
      <c r="G9" s="45"/>
      <c r="H9" s="455" t="s">
        <v>16</v>
      </c>
      <c r="I9" s="46">
        <f>I10-0.5%</f>
        <v>0.13949345999999999</v>
      </c>
      <c r="J9" s="47">
        <f>1000*(SUM(NPV($I9,'DRE + DCF'!$N$36:$U$36,SUM('DRE + DCF'!$V$36,Perpetuidade!G10*(1+J$18)/($I9-J$18))),'DRE + DCF'!$L$36)/((1+$I9)^((5-$F$9)*3/12)))/$F$11</f>
        <v>193.66990946077914</v>
      </c>
      <c r="K9" s="47">
        <f>1000*(SUM(NPV($I9,'DRE + DCF'!$N$36:$U$36,SUM('DRE + DCF'!$V$36,Perpetuidade!H10*(1+K$18)/($I9-K$18))),'DRE + DCF'!$L$36)/((1+$I9)^((5-$F$9)*3/12)))/$F$11</f>
        <v>194.5315773017476</v>
      </c>
      <c r="L9" s="47">
        <f>1000*(SUM(NPV($I9,'DRE + DCF'!$N$36:$U$36,SUM('DRE + DCF'!$V$36,Perpetuidade!I10*(1+L$18)/($I9-L$18))),'DRE + DCF'!$L$36)/((1+$I9)^((5-$F$9)*3/12)))/$F$11</f>
        <v>195.43785434054743</v>
      </c>
      <c r="M9" s="47">
        <f>1000*(SUM(NPV($I9,'DRE + DCF'!$N$36:$U$36,SUM('DRE + DCF'!$V$36,Perpetuidade!J10*(1+M$18)/($I9-M$18))),'DRE + DCF'!$L$36)/((1+$I9)^((5-$F$9)*3/12)))/$F$11</f>
        <v>196.39362883069069</v>
      </c>
      <c r="N9" s="47">
        <f>1000*(SUM(NPV($I9,'DRE + DCF'!$N$36:$U$36,SUM('DRE + DCF'!$V$36,Perpetuidade!K10*(1+N$18)/($I9-N$18))),'DRE + DCF'!$L$36)/((1+$I9)^((5-$F$9)*3/12)))/$F$11</f>
        <v>197.40453030519072</v>
      </c>
      <c r="O9" s="47">
        <f>1000*(SUM(NPV($I9,'DRE + DCF'!$N$36:$U$36,SUM('DRE + DCF'!$V$36,Perpetuidade!L10*(1+O$18)/($I9-O$18))),'DRE + DCF'!$L$36)/((1+$I9)^((5-$F$9)*3/12)))/$F$11</f>
        <v>198.47707562776642</v>
      </c>
      <c r="P9" s="47">
        <f>1000*(SUM(NPV($I9,'DRE + DCF'!$N$36:$U$36,SUM('DRE + DCF'!$V$36,Perpetuidade!M10*(1+P$18)/($I9-P$18))),'DRE + DCF'!$L$36)/((1+$I9)^((5-$F$9)*3/12)))/$F$11</f>
        <v>199.61885099159693</v>
      </c>
      <c r="Q9" s="47">
        <f>1000*(SUM(NPV($I9,'DRE + DCF'!$N$36:$U$36,SUM('DRE + DCF'!$V$36,Perpetuidade!N10*(1+Q$18)/($I9-Q$18))),'DRE + DCF'!$L$36)/((1+$I9)^((5-$F$9)*3/12)))/$F$11</f>
        <v>200.83874062957014</v>
      </c>
      <c r="R9" s="47">
        <f>1000*(SUM(NPV($I9,'DRE + DCF'!$N$36:$U$36,SUM('DRE + DCF'!$V$36,Perpetuidade!O10*(1+R$18)/($I9-R$18))),'DRE + DCF'!$L$36)/((1+$I9)^((5-$F$9)*3/12)))/$F$11</f>
        <v>202.14721684811951</v>
      </c>
      <c r="S9" s="48">
        <f>1000*(SUM(NPV($I9,'DRE + DCF'!$N$36:$U$36,SUM('DRE + DCF'!$V$36,Perpetuidade!P10*(1+S$18)/($I9-S$18))),'DRE + DCF'!$L$36)/((1+$I9)^((5-$F$9)*3/12)))/$F$11</f>
        <v>203.55671146498878</v>
      </c>
      <c r="T9" s="32"/>
      <c r="U9" s="32"/>
      <c r="V9" s="32"/>
      <c r="W9" s="32"/>
      <c r="X9" s="32"/>
      <c r="Y9" s="32"/>
      <c r="Z9" s="32"/>
      <c r="AA9" s="32"/>
      <c r="AB9" s="32"/>
    </row>
    <row r="10" spans="1:28" ht="30" customHeight="1" x14ac:dyDescent="0.3">
      <c r="A10" s="4" t="s">
        <v>4</v>
      </c>
      <c r="B10" s="32"/>
      <c r="C10" s="32"/>
      <c r="D10" s="32"/>
      <c r="E10" s="43" t="s">
        <v>23</v>
      </c>
      <c r="F10" s="44" t="s">
        <v>33</v>
      </c>
      <c r="G10" s="45"/>
      <c r="H10" s="455"/>
      <c r="I10" s="46">
        <f>I11-0.5%</f>
        <v>0.14449345999999999</v>
      </c>
      <c r="J10" s="47">
        <f>1000*(SUM(NPV($I10,'DRE + DCF'!$N$36:$U$36,SUM('DRE + DCF'!$V$36,Perpetuidade!G11*(1+J$18)/($I10-J$18))),'DRE + DCF'!$L$36)/((1+$I10)^((5-$F$9)*3/12)))/$F$11</f>
        <v>181.64685510464585</v>
      </c>
      <c r="K10" s="47">
        <f>1000*(SUM(NPV($I10,'DRE + DCF'!$N$36:$U$36,SUM('DRE + DCF'!$V$36,Perpetuidade!H11*(1+K$18)/($I10-K$18))),'DRE + DCF'!$L$36)/((1+$I10)^((5-$F$9)*3/12)))/$F$11</f>
        <v>182.30733353740908</v>
      </c>
      <c r="L10" s="47">
        <f>1000*(SUM(NPV($I10,'DRE + DCF'!$N$36:$U$36,SUM('DRE + DCF'!$V$36,Perpetuidade!I11*(1+L$18)/($I10-L$18))),'DRE + DCF'!$L$36)/((1+$I10)^((5-$F$9)*3/12)))/$F$11</f>
        <v>182.99714017974986</v>
      </c>
      <c r="M10" s="47">
        <f>1000*(SUM(NPV($I10,'DRE + DCF'!$N$36:$U$36,SUM('DRE + DCF'!$V$36,Perpetuidade!J11*(1+M$18)/($I10-M$18))),'DRE + DCF'!$L$36)/((1+$I10)^((5-$F$9)*3/12)))/$F$11</f>
        <v>183.71927001000685</v>
      </c>
      <c r="N10" s="47">
        <f>1000*(SUM(NPV($I10,'DRE + DCF'!$N$36:$U$36,SUM('DRE + DCF'!$V$36,Perpetuidade!K11*(1+N$18)/($I10-N$18))),'DRE + DCF'!$L$36)/((1+$I10)^((5-$F$9)*3/12)))/$F$11</f>
        <v>184.47714017063933</v>
      </c>
      <c r="O10" s="47">
        <f>1000*(SUM(NPV($I10,'DRE + DCF'!$N$36:$U$36,SUM('DRE + DCF'!$V$36,Perpetuidade!L11*(1+O$18)/($I10-O$18))),'DRE + DCF'!$L$36)/((1+$I10)^((5-$F$9)*3/12)))/$F$11</f>
        <v>185.27466706911446</v>
      </c>
      <c r="P10" s="47">
        <f>1000*(SUM(NPV($I10,'DRE + DCF'!$N$36:$U$36,SUM('DRE + DCF'!$V$36,Perpetuidade!M11*(1+P$18)/($I10-P$18))),'DRE + DCF'!$L$36)/((1+$I10)^((5-$F$9)*3/12)))/$F$11</f>
        <v>186.11636101674767</v>
      </c>
      <c r="Q10" s="47">
        <f>1000*(SUM(NPV($I10,'DRE + DCF'!$N$36:$U$36,SUM('DRE + DCF'!$V$36,Perpetuidade!N11*(1+Q$18)/($I10-Q$18))),'DRE + DCF'!$L$36)/((1+$I10)^((5-$F$9)*3/12)))/$F$11</f>
        <v>187.00744324309804</v>
      </c>
      <c r="R10" s="47">
        <f>1000*(SUM(NPV($I10,'DRE + DCF'!$N$36:$U$36,SUM('DRE + DCF'!$V$36,Perpetuidade!O11*(1+R$18)/($I10-R$18))),'DRE + DCF'!$L$36)/((1+$I10)^((5-$F$9)*3/12)))/$F$11</f>
        <v>187.95399171109034</v>
      </c>
      <c r="S10" s="48">
        <f>1000*(SUM(NPV($I10,'DRE + DCF'!$N$36:$U$36,SUM('DRE + DCF'!$V$36,Perpetuidade!P11*(1+S$18)/($I10-S$18))),'DRE + DCF'!$L$36)/((1+$I10)^((5-$F$9)*3/12)))/$F$11</f>
        <v>188.96312435679991</v>
      </c>
      <c r="T10" s="32"/>
      <c r="U10" s="32"/>
      <c r="V10" s="32"/>
      <c r="W10" s="32"/>
      <c r="X10" s="32"/>
      <c r="Y10" s="32"/>
      <c r="Z10" s="32"/>
      <c r="AA10" s="32"/>
      <c r="AB10" s="32"/>
    </row>
    <row r="11" spans="1:28" ht="30" customHeight="1" x14ac:dyDescent="0.3">
      <c r="A11" s="4" t="s">
        <v>413</v>
      </c>
      <c r="B11" s="32"/>
      <c r="C11" s="32"/>
      <c r="D11" s="32"/>
      <c r="E11" s="43" t="s">
        <v>24</v>
      </c>
      <c r="F11" s="49">
        <v>56058315</v>
      </c>
      <c r="G11" s="50"/>
      <c r="H11" s="455"/>
      <c r="I11" s="46">
        <f>I12-0.5%</f>
        <v>0.14949345999999999</v>
      </c>
      <c r="J11" s="47">
        <f>1000*(SUM(NPV($I11,'DRE + DCF'!$N$36:$U$36,SUM('DRE + DCF'!$V$36,Perpetuidade!G12*(1+J$18)/($I11-J$18))),'DRE + DCF'!$L$36)/((1+$I11)^((5-$F$9)*3/12)))/$F$11</f>
        <v>170.87309640715117</v>
      </c>
      <c r="K11" s="47">
        <f>1000*(SUM(NPV($I11,'DRE + DCF'!$N$36:$U$36,SUM('DRE + DCF'!$V$36,Perpetuidade!H12*(1+K$18)/($I11-K$18))),'DRE + DCF'!$L$36)/((1+$I11)^((5-$F$9)*3/12)))/$F$11</f>
        <v>171.37871065660514</v>
      </c>
      <c r="L11" s="47">
        <f>1000*(SUM(NPV($I11,'DRE + DCF'!$N$36:$U$36,SUM('DRE + DCF'!$V$36,Perpetuidade!I12*(1+L$18)/($I11-L$18))),'DRE + DCF'!$L$36)/((1+$I11)^((5-$F$9)*3/12)))/$F$11</f>
        <v>171.90305678092511</v>
      </c>
      <c r="M11" s="47">
        <f>1000*(SUM(NPV($I11,'DRE + DCF'!$N$36:$U$36,SUM('DRE + DCF'!$V$36,Perpetuidade!J12*(1+M$18)/($I11-M$18))),'DRE + DCF'!$L$36)/((1+$I11)^((5-$F$9)*3/12)))/$F$11</f>
        <v>172.44792573963119</v>
      </c>
      <c r="N11" s="47">
        <f>1000*(SUM(NPV($I11,'DRE + DCF'!$N$36:$U$36,SUM('DRE + DCF'!$V$36,Perpetuidade!K12*(1+N$18)/($I11-N$18))),'DRE + DCF'!$L$36)/((1+$I11)^((5-$F$9)*3/12)))/$F$11</f>
        <v>173.01534432025596</v>
      </c>
      <c r="O11" s="47">
        <f>1000*(SUM(NPV($I11,'DRE + DCF'!$N$36:$U$36,SUM('DRE + DCF'!$V$36,Perpetuidade!L12*(1+O$18)/($I11-O$18))),'DRE + DCF'!$L$36)/((1+$I11)^((5-$F$9)*3/12)))/$F$11</f>
        <v>173.60761527602463</v>
      </c>
      <c r="P11" s="47">
        <f>1000*(SUM(NPV($I11,'DRE + DCF'!$N$36:$U$36,SUM('DRE + DCF'!$V$36,Perpetuidade!M12*(1+P$18)/($I11-P$18))),'DRE + DCF'!$L$36)/((1+$I11)^((5-$F$9)*3/12)))/$F$11</f>
        <v>174.22736595008598</v>
      </c>
      <c r="Q11" s="47">
        <f>1000*(SUM(NPV($I11,'DRE + DCF'!$N$36:$U$36,SUM('DRE + DCF'!$V$36,Perpetuidade!N12*(1+Q$18)/($I11-Q$18))),'DRE + DCF'!$L$36)/((1+$I11)^((5-$F$9)*3/12)))/$F$11</f>
        <v>174.87760755618038</v>
      </c>
      <c r="R11" s="47">
        <f>1000*(SUM(NPV($I11,'DRE + DCF'!$N$36:$U$36,SUM('DRE + DCF'!$V$36,Perpetuidade!O12*(1+R$18)/($I11-R$18))),'DRE + DCF'!$L$36)/((1+$I11)^((5-$F$9)*3/12)))/$F$11</f>
        <v>175.56180794373901</v>
      </c>
      <c r="S11" s="48">
        <f>1000*(SUM(NPV($I11,'DRE + DCF'!$N$36:$U$36,SUM('DRE + DCF'!$V$36,Perpetuidade!P12*(1+S$18)/($I11-S$18))),'DRE + DCF'!$L$36)/((1+$I11)^((5-$F$9)*3/12)))/$F$11</f>
        <v>176.28398156690704</v>
      </c>
      <c r="T11" s="32"/>
      <c r="U11" s="32"/>
      <c r="V11" s="32"/>
      <c r="W11" s="32"/>
      <c r="X11" s="32"/>
      <c r="Y11" s="32"/>
      <c r="Z11" s="32"/>
      <c r="AA11" s="32"/>
      <c r="AB11" s="32"/>
    </row>
    <row r="12" spans="1:28" ht="30" customHeight="1" x14ac:dyDescent="0.3">
      <c r="A12" s="4" t="s">
        <v>8</v>
      </c>
      <c r="B12" s="32"/>
      <c r="C12" s="32"/>
      <c r="D12" s="32"/>
      <c r="E12" s="43" t="s">
        <v>25</v>
      </c>
      <c r="F12" s="51">
        <f>SUM('DRE + DCF'!L38,'DRE + DCF'!N38:W38)</f>
        <v>8775603.1977889929</v>
      </c>
      <c r="G12" s="50"/>
      <c r="H12" s="455"/>
      <c r="I12" s="46">
        <f>I13-0.5%</f>
        <v>0.15449346</v>
      </c>
      <c r="J12" s="47">
        <f>1000*(SUM(NPV($I12,'DRE + DCF'!$N$36:$U$36,SUM('DRE + DCF'!$V$36,Perpetuidade!G13*(1+J$18)/($I12-J$18))),'DRE + DCF'!$L$36)/((1+$I12)^((5-$F$9)*3/12)))/$F$11</f>
        <v>161.16517025728569</v>
      </c>
      <c r="K12" s="47">
        <f>1000*(SUM(NPV($I12,'DRE + DCF'!$N$36:$U$36,SUM('DRE + DCF'!$V$36,Perpetuidade!H13*(1+K$18)/($I12-K$18))),'DRE + DCF'!$L$36)/((1+$I12)^((5-$F$9)*3/12)))/$F$11</f>
        <v>161.55055288660697</v>
      </c>
      <c r="L12" s="47">
        <f>1000*(SUM(NPV($I12,'DRE + DCF'!$N$36:$U$36,SUM('DRE + DCF'!$V$36,Perpetuidade!I13*(1+L$18)/($I12-L$18))),'DRE + DCF'!$L$36)/((1+$I12)^((5-$F$9)*3/12)))/$F$11</f>
        <v>161.94726383455949</v>
      </c>
      <c r="M12" s="47">
        <f>1000*(SUM(NPV($I12,'DRE + DCF'!$N$36:$U$36,SUM('DRE + DCF'!$V$36,Perpetuidade!J13*(1+M$18)/($I12-M$18))),'DRE + DCF'!$L$36)/((1+$I12)^((5-$F$9)*3/12)))/$F$11</f>
        <v>162.35632130424423</v>
      </c>
      <c r="N12" s="47">
        <f>1000*(SUM(NPV($I12,'DRE + DCF'!$N$36:$U$36,SUM('DRE + DCF'!$V$36,Perpetuidade!K13*(1+N$18)/($I12-N$18))),'DRE + DCF'!$L$36)/((1+$I12)^((5-$F$9)*3/12)))/$F$11</f>
        <v>162.77886929065465</v>
      </c>
      <c r="O12" s="47">
        <f>1000*(SUM(NPV($I12,'DRE + DCF'!$N$36:$U$36,SUM('DRE + DCF'!$V$36,Perpetuidade!L13*(1+O$18)/($I12-O$18))),'DRE + DCF'!$L$36)/((1+$I12)^((5-$F$9)*3/12)))/$F$11</f>
        <v>163.21619762567019</v>
      </c>
      <c r="P12" s="47">
        <f>1000*(SUM(NPV($I12,'DRE + DCF'!$N$36:$U$36,SUM('DRE + DCF'!$V$36,Perpetuidade!M13*(1+P$18)/($I12-P$18))),'DRE + DCF'!$L$36)/((1+$I12)^((5-$F$9)*3/12)))/$F$11</f>
        <v>163.66976598224414</v>
      </c>
      <c r="Q12" s="47">
        <f>1000*(SUM(NPV($I12,'DRE + DCF'!$N$36:$U$36,SUM('DRE + DCF'!$V$36,Perpetuidade!N13*(1+Q$18)/($I12-Q$18))),'DRE + DCF'!$L$36)/((1+$I12)^((5-$F$9)*3/12)))/$F$11</f>
        <v>164.14123278117646</v>
      </c>
      <c r="R12" s="47">
        <f>1000*(SUM(NPV($I12,'DRE + DCF'!$N$36:$U$36,SUM('DRE + DCF'!$V$36,Perpetuidade!O13*(1+R$18)/($I12-R$18))),'DRE + DCF'!$L$36)/((1+$I12)^((5-$F$9)*3/12)))/$F$11</f>
        <v>164.63249020981871</v>
      </c>
      <c r="S12" s="48">
        <f>1000*(SUM(NPV($I12,'DRE + DCF'!$N$36:$U$36,SUM('DRE + DCF'!$V$36,Perpetuidade!P13*(1+S$18)/($I12-S$18))),'DRE + DCF'!$L$36)/((1+$I12)^((5-$F$9)*3/12)))/$F$11</f>
        <v>165.14570691544296</v>
      </c>
      <c r="T12" s="32"/>
      <c r="U12" s="32"/>
      <c r="V12" s="32"/>
      <c r="W12" s="32"/>
      <c r="X12" s="32"/>
      <c r="Y12" s="32"/>
      <c r="Z12" s="32"/>
      <c r="AA12" s="32"/>
      <c r="AB12" s="32"/>
    </row>
    <row r="13" spans="1:28" ht="30" customHeight="1" x14ac:dyDescent="0.3">
      <c r="A13" s="4" t="s">
        <v>10</v>
      </c>
      <c r="B13" s="32"/>
      <c r="C13" s="32"/>
      <c r="D13" s="32"/>
      <c r="E13" s="43" t="s">
        <v>26</v>
      </c>
      <c r="F13" s="52">
        <f>F12*1000/F11</f>
        <v>156.54418435140252</v>
      </c>
      <c r="G13" s="53"/>
      <c r="H13" s="455"/>
      <c r="I13" s="46">
        <f>AVERAGE(Ke!F16:O16)</f>
        <v>0.15949346</v>
      </c>
      <c r="J13" s="47">
        <f>1000*(SUM(NPV($I13,'DRE + DCF'!$N$36:$U$36,SUM('DRE + DCF'!$V$36,Perpetuidade!G14*(1+J$18)/($I13-J$18))),'DRE + DCF'!$L$36)/((1+$I13)^((5-$F$9)*3/12)))/$F$11</f>
        <v>152.37465460513519</v>
      </c>
      <c r="K13" s="47">
        <f>1000*(SUM(NPV($I13,'DRE + DCF'!$N$36:$U$36,SUM('DRE + DCF'!$V$36,Perpetuidade!H14*(1+K$18)/($I13-K$18))),'DRE + DCF'!$L$36)/((1+$I13)^((5-$F$9)*3/12)))/$F$11</f>
        <v>152.66602979340377</v>
      </c>
      <c r="L13" s="47">
        <f>1000*(SUM(NPV($I13,'DRE + DCF'!$N$36:$U$36,SUM('DRE + DCF'!$V$36,Perpetuidade!I14*(1+L$18)/($I13-L$18))),'DRE + DCF'!$L$36)/((1+$I13)^((5-$F$9)*3/12)))/$F$11</f>
        <v>152.96353859919978</v>
      </c>
      <c r="M13" s="47">
        <f>1000*(SUM(NPV($I13,'DRE + DCF'!$N$36:$U$36,SUM('DRE + DCF'!$V$36,Perpetuidade!J14*(1+M$18)/($I13-M$18))),'DRE + DCF'!$L$36)/((1+$I13)^((5-$F$9)*3/12)))/$F$11</f>
        <v>153.26770115291461</v>
      </c>
      <c r="N13" s="47">
        <f>1000*(SUM(NPV($I13,'DRE + DCF'!$N$36:$U$36,SUM('DRE + DCF'!$V$36,Perpetuidade!K14*(1+N$18)/($I13-N$18))),'DRE + DCF'!$L$36)/((1+$I13)^((5-$F$9)*3/12)))/$F$11</f>
        <v>153.57909810500595</v>
      </c>
      <c r="O13" s="47">
        <f>1000*(SUM(NPV($I13,'DRE + DCF'!$N$36:$U$36,SUM('DRE + DCF'!$V$36,Perpetuidade!L14*(1+O$18)/($I13-O$18))),'DRE + DCF'!$L$36)/((1+$I13)^((5-$F$9)*3/12)))/$F$11</f>
        <v>153.89837969202711</v>
      </c>
      <c r="P13" s="47">
        <f>1000*(SUM(NPV($I13,'DRE + DCF'!$N$36:$U$36,SUM('DRE + DCF'!$V$36,Perpetuidade!M14*(1+P$18)/($I13-P$18))),'DRE + DCF'!$L$36)/((1+$I13)^((5-$F$9)*3/12)))/$F$11</f>
        <v>154.22627648272291</v>
      </c>
      <c r="Q13" s="47">
        <f>1000*(SUM(NPV($I13,'DRE + DCF'!$N$36:$U$36,SUM('DRE + DCF'!$V$36,Perpetuidade!N14*(1+Q$18)/($I13-Q$18))),'DRE + DCF'!$L$36)/((1+$I13)^((5-$F$9)*3/12)))/$F$11</f>
        <v>154.56361217899993</v>
      </c>
      <c r="R13" s="47">
        <f>1000*(SUM(NPV($I13,'DRE + DCF'!$N$36:$U$36,SUM('DRE + DCF'!$V$36,Perpetuidade!O14*(1+R$18)/($I13-R$18))),'DRE + DCF'!$L$36)/((1+$I13)^((5-$F$9)*3/12)))/$F$11</f>
        <v>154.91131894528493</v>
      </c>
      <c r="S13" s="48">
        <f>1000*(SUM(NPV($I13,'DRE + DCF'!$N$36:$U$36,SUM('DRE + DCF'!$V$36,Perpetuidade!P14*(1+S$18)/($I13-S$18))),'DRE + DCF'!$L$36)/((1+$I13)^((5-$F$9)*3/12)))/$F$11</f>
        <v>155.27045586873226</v>
      </c>
      <c r="T13" s="32"/>
      <c r="U13" s="32"/>
      <c r="V13" s="32"/>
      <c r="W13" s="32"/>
      <c r="X13" s="32"/>
      <c r="Y13" s="32"/>
      <c r="Z13" s="32"/>
      <c r="AA13" s="32"/>
      <c r="AB13" s="32"/>
    </row>
    <row r="14" spans="1:28" ht="30" customHeight="1" x14ac:dyDescent="0.3">
      <c r="A14" s="4" t="s">
        <v>419</v>
      </c>
      <c r="B14" s="32"/>
      <c r="C14" s="32"/>
      <c r="D14" s="32"/>
      <c r="E14" s="54" t="s">
        <v>27</v>
      </c>
      <c r="F14" s="55">
        <v>96.99</v>
      </c>
      <c r="G14" s="50"/>
      <c r="H14" s="455"/>
      <c r="I14" s="46">
        <f>I13+0.5%</f>
        <v>0.16449346000000001</v>
      </c>
      <c r="J14" s="47">
        <f>1000*(SUM(NPV($I14,'DRE + DCF'!$N$36:$U$36,SUM('DRE + DCF'!$V$36,Perpetuidade!G15*(1+J$18)/($I14-J$18))),'DRE + DCF'!$L$36)/((1+$I14)^((5-$F$9)*3/12)))/$F$11</f>
        <v>144.3799841645303</v>
      </c>
      <c r="K14" s="47">
        <f>1000*(SUM(NPV($I14,'DRE + DCF'!$N$36:$U$36,SUM('DRE + DCF'!$V$36,Perpetuidade!H15*(1+K$18)/($I14-K$18))),'DRE + DCF'!$L$36)/((1+$I14)^((5-$F$9)*3/12)))/$F$11</f>
        <v>144.59743223988522</v>
      </c>
      <c r="L14" s="47">
        <f>1000*(SUM(NPV($I14,'DRE + DCF'!$N$36:$U$36,SUM('DRE + DCF'!$V$36,Perpetuidade!I15*(1+L$18)/($I14-L$18))),'DRE + DCF'!$L$36)/((1+$I14)^((5-$F$9)*3/12)))/$F$11</f>
        <v>144.81736671554177</v>
      </c>
      <c r="M14" s="47">
        <f>1000*(SUM(NPV($I14,'DRE + DCF'!$N$36:$U$36,SUM('DRE + DCF'!$V$36,Perpetuidade!J15*(1+M$18)/($I14-M$18))),'DRE + DCF'!$L$36)/((1+$I14)^((5-$F$9)*3/12)))/$F$11</f>
        <v>145.03998715605221</v>
      </c>
      <c r="N14" s="47">
        <f>1000*(SUM(NPV($I14,'DRE + DCF'!$N$36:$U$36,SUM('DRE + DCF'!$V$36,Perpetuidade!K15*(1+N$18)/($I14-N$18))),'DRE + DCF'!$L$36)/((1+$I14)^((5-$F$9)*3/12)))/$F$11</f>
        <v>145.26551506977353</v>
      </c>
      <c r="O14" s="47">
        <f>1000*(SUM(NPV($I14,'DRE + DCF'!$N$36:$U$36,SUM('DRE + DCF'!$V$36,Perpetuidade!L15*(1+O$18)/($I14-O$18))),'DRE + DCF'!$L$36)/((1+$I14)^((5-$F$9)*3/12)))/$F$11</f>
        <v>145.49419701025619</v>
      </c>
      <c r="P14" s="47">
        <f>1000*(SUM(NPV($I14,'DRE + DCF'!$N$36:$U$36,SUM('DRE + DCF'!$V$36,Perpetuidade!M15*(1+P$18)/($I14-P$18))),'DRE + DCF'!$L$36)/((1+$I14)^((5-$F$9)*3/12)))/$F$11</f>
        <v>145.72630821892892</v>
      </c>
      <c r="Q14" s="47">
        <f>1000*(SUM(NPV($I14,'DRE + DCF'!$N$36:$U$36,SUM('DRE + DCF'!$V$36,Perpetuidade!N15*(1+Q$18)/($I14-Q$18))),'DRE + DCF'!$L$36)/((1+$I14)^((5-$F$9)*3/12)))/$F$11</f>
        <v>145.96215692260083</v>
      </c>
      <c r="R14" s="47">
        <f>1000*(SUM(NPV($I14,'DRE + DCF'!$N$36:$U$36,SUM('DRE + DCF'!$V$36,Perpetuidade!O15*(1+R$18)/($I14-R$18))),'DRE + DCF'!$L$36)/((1+$I14)^((5-$F$9)*3/12)))/$F$11</f>
        <v>146.20208942735397</v>
      </c>
      <c r="S14" s="48">
        <f>1000*(SUM(NPV($I14,'DRE + DCF'!$N$36:$U$36,SUM('DRE + DCF'!$V$36,Perpetuidade!P15*(1+S$18)/($I14-S$18))),'DRE + DCF'!$L$36)/((1+$I14)^((5-$F$9)*3/12)))/$F$11</f>
        <v>146.44649618649191</v>
      </c>
      <c r="T14" s="32"/>
      <c r="U14" s="32"/>
      <c r="V14" s="32"/>
      <c r="W14" s="32"/>
      <c r="X14" s="32"/>
      <c r="Y14" s="32"/>
      <c r="Z14" s="32"/>
      <c r="AA14" s="32"/>
      <c r="AB14" s="32"/>
    </row>
    <row r="15" spans="1:28" ht="30" customHeight="1" x14ac:dyDescent="0.3">
      <c r="A15" s="4" t="s">
        <v>12</v>
      </c>
      <c r="B15" s="32"/>
      <c r="C15" s="32"/>
      <c r="D15" s="32"/>
      <c r="E15" s="43" t="s">
        <v>28</v>
      </c>
      <c r="F15" s="56">
        <f>F13/F14-1</f>
        <v>0.61402396485619692</v>
      </c>
      <c r="G15" s="50"/>
      <c r="H15" s="455"/>
      <c r="I15" s="46">
        <f>I14+0.5%</f>
        <v>0.16949346000000001</v>
      </c>
      <c r="J15" s="47">
        <f>1000*(SUM(NPV($I15,'DRE + DCF'!$N$36:$U$36,SUM('DRE + DCF'!$V$36,Perpetuidade!G16*(1+J$18)/($I15-J$18))),'DRE + DCF'!$L$36)/((1+$I15)^((5-$F$9)*3/12)))/$F$11</f>
        <v>137.08049834575397</v>
      </c>
      <c r="K15" s="47">
        <f>1000*(SUM(NPV($I15,'DRE + DCF'!$N$36:$U$36,SUM('DRE + DCF'!$V$36,Perpetuidade!H16*(1+K$18)/($I15-K$18))),'DRE + DCF'!$L$36)/((1+$I15)^((5-$F$9)*3/12)))/$F$11</f>
        <v>137.23954655441304</v>
      </c>
      <c r="L15" s="47">
        <f>1000*(SUM(NPV($I15,'DRE + DCF'!$N$36:$U$36,SUM('DRE + DCF'!$V$36,Perpetuidade!I16*(1+L$18)/($I15-L$18))),'DRE + DCF'!$L$36)/((1+$I15)^((5-$F$9)*3/12)))/$F$11</f>
        <v>137.39852943180259</v>
      </c>
      <c r="M15" s="47">
        <f>1000*(SUM(NPV($I15,'DRE + DCF'!$N$36:$U$36,SUM('DRE + DCF'!$V$36,Perpetuidade!J16*(1+M$18)/($I15-M$18))),'DRE + DCF'!$L$36)/((1+$I15)^((5-$F$9)*3/12)))/$F$11</f>
        <v>137.5574420006034</v>
      </c>
      <c r="N15" s="47">
        <f>1000*(SUM(NPV($I15,'DRE + DCF'!$N$36:$U$36,SUM('DRE + DCF'!$V$36,Perpetuidade!K16*(1+N$18)/($I15-N$18))),'DRE + DCF'!$L$36)/((1+$I15)^((5-$F$9)*3/12)))/$F$11</f>
        <v>137.71627876471993</v>
      </c>
      <c r="O15" s="47">
        <f>1000*(SUM(NPV($I15,'DRE + DCF'!$N$36:$U$36,SUM('DRE + DCF'!$V$36,Perpetuidade!L16*(1+O$18)/($I15-O$18))),'DRE + DCF'!$L$36)/((1+$I15)^((5-$F$9)*3/12)))/$F$11</f>
        <v>137.87503363988347</v>
      </c>
      <c r="P15" s="47">
        <f>1000*(SUM(NPV($I15,'DRE + DCF'!$N$36:$U$36,SUM('DRE + DCF'!$V$36,Perpetuidade!M16*(1+P$18)/($I15-P$18))),'DRE + DCF'!$L$36)/((1+$I15)^((5-$F$9)*3/12)))/$F$11</f>
        <v>138.03369987280846</v>
      </c>
      <c r="Q15" s="47">
        <f>1000*(SUM(NPV($I15,'DRE + DCF'!$N$36:$U$36,SUM('DRE + DCF'!$V$36,Perpetuidade!N16*(1+Q$18)/($I15-Q$18))),'DRE + DCF'!$L$36)/((1+$I15)^((5-$F$9)*3/12)))/$F$11</f>
        <v>138.1922699466385</v>
      </c>
      <c r="R15" s="47">
        <f>1000*(SUM(NPV($I15,'DRE + DCF'!$N$36:$U$36,SUM('DRE + DCF'!$V$36,Perpetuidade!O16*(1+R$18)/($I15-R$18))),'DRE + DCF'!$L$36)/((1+$I15)^((5-$F$9)*3/12)))/$F$11</f>
        <v>138.35073546988912</v>
      </c>
      <c r="S15" s="48">
        <f>1000*(SUM(NPV($I15,'DRE + DCF'!$N$36:$U$36,SUM('DRE + DCF'!$V$36,Perpetuidade!P16*(1+S$18)/($I15-S$18))),'DRE + DCF'!$L$36)/((1+$I15)^((5-$F$9)*3/12)))/$F$11</f>
        <v>138.50908704542661</v>
      </c>
      <c r="T15" s="32"/>
      <c r="U15" s="32"/>
      <c r="V15" s="32"/>
      <c r="W15" s="32"/>
      <c r="X15" s="32"/>
      <c r="Y15" s="32"/>
      <c r="Z15" s="32"/>
      <c r="AA15" s="32"/>
      <c r="AB15" s="32"/>
    </row>
    <row r="16" spans="1:28" ht="30" customHeight="1" x14ac:dyDescent="0.3">
      <c r="B16" s="32"/>
      <c r="C16" s="32"/>
      <c r="D16" s="32"/>
      <c r="E16" s="43" t="s">
        <v>29</v>
      </c>
      <c r="F16" s="56">
        <f>VLOOKUP(MIN(TIR!C13:C3382),TIR!C13:D3382,2,FALSE)</f>
        <v>0.20784999999999235</v>
      </c>
      <c r="G16" s="50"/>
      <c r="H16" s="455"/>
      <c r="I16" s="46">
        <f>I15+0.5%</f>
        <v>0.17449346000000002</v>
      </c>
      <c r="J16" s="47">
        <f>1000*(SUM(NPV($I16,'DRE + DCF'!$N$36:$U$36,SUM('DRE + DCF'!$V$36,Perpetuidade!G17*(1+J$18)/($I16-J$18))),'DRE + DCF'!$L$36)/((1+$I16)^((5-$F$9)*3/12)))/$F$11</f>
        <v>130.39203367693162</v>
      </c>
      <c r="K16" s="47">
        <f>1000*(SUM(NPV($I16,'DRE + DCF'!$N$36:$U$36,SUM('DRE + DCF'!$V$36,Perpetuidade!H17*(1+K$18)/($I16-K$18))),'DRE + DCF'!$L$36)/((1+$I16)^((5-$F$9)*3/12)))/$F$11</f>
        <v>130.50479235648453</v>
      </c>
      <c r="L16" s="47">
        <f>1000*(SUM(NPV($I16,'DRE + DCF'!$N$36:$U$36,SUM('DRE + DCF'!$V$36,Perpetuidade!I17*(1+L$18)/($I16-L$18))),'DRE + DCF'!$L$36)/((1+$I16)^((5-$F$9)*3/12)))/$F$11</f>
        <v>130.6157160343412</v>
      </c>
      <c r="M16" s="47">
        <f>1000*(SUM(NPV($I16,'DRE + DCF'!$N$36:$U$36,SUM('DRE + DCF'!$V$36,Perpetuidade!J17*(1+M$18)/($I16-M$18))),'DRE + DCF'!$L$36)/((1+$I16)^((5-$F$9)*3/12)))/$F$11</f>
        <v>130.724671666685</v>
      </c>
      <c r="N16" s="47">
        <f>1000*(SUM(NPV($I16,'DRE + DCF'!$N$36:$U$36,SUM('DRE + DCF'!$V$36,Perpetuidade!K17*(1+N$18)/($I16-N$18))),'DRE + DCF'!$L$36)/((1+$I16)^((5-$F$9)*3/12)))/$F$11</f>
        <v>130.83151302966598</v>
      </c>
      <c r="O16" s="47">
        <f>1000*(SUM(NPV($I16,'DRE + DCF'!$N$36:$U$36,SUM('DRE + DCF'!$V$36,Perpetuidade!L17*(1+O$18)/($I16-O$18))),'DRE + DCF'!$L$36)/((1+$I16)^((5-$F$9)*3/12)))/$F$11</f>
        <v>130.93607904584721</v>
      </c>
      <c r="P16" s="47">
        <f>1000*(SUM(NPV($I16,'DRE + DCF'!$N$36:$U$36,SUM('DRE + DCF'!$V$36,Perpetuidade!M17*(1+P$18)/($I16-P$18))),'DRE + DCF'!$L$36)/((1+$I16)^((5-$F$9)*3/12)))/$F$11</f>
        <v>131.03819184900416</v>
      </c>
      <c r="Q16" s="47">
        <f>1000*(SUM(NPV($I16,'DRE + DCF'!$N$36:$U$36,SUM('DRE + DCF'!$V$36,Perpetuidade!N17*(1+Q$18)/($I16-Q$18))),'DRE + DCF'!$L$36)/((1+$I16)^((5-$F$9)*3/12)))/$F$11</f>
        <v>131.13765453827634</v>
      </c>
      <c r="R16" s="47">
        <f>1000*(SUM(NPV($I16,'DRE + DCF'!$N$36:$U$36,SUM('DRE + DCF'!$V$36,Perpetuidade!O17*(1+R$18)/($I16-R$18))),'DRE + DCF'!$L$36)/((1+$I16)^((5-$F$9)*3/12)))/$F$11</f>
        <v>131.23424856189391</v>
      </c>
      <c r="S16" s="48">
        <f>1000*(SUM(NPV($I16,'DRE + DCF'!$N$36:$U$36,SUM('DRE + DCF'!$V$36,Perpetuidade!P17*(1+S$18)/($I16-S$18))),'DRE + DCF'!$L$36)/((1+$I16)^((5-$F$9)*3/12)))/$F$11</f>
        <v>131.32773065718482</v>
      </c>
      <c r="T16" s="32"/>
      <c r="U16" s="32"/>
      <c r="V16" s="32"/>
      <c r="W16" s="32"/>
      <c r="X16" s="32"/>
      <c r="Y16" s="32"/>
      <c r="Z16" s="32"/>
      <c r="AA16" s="32"/>
      <c r="AB16" s="32"/>
    </row>
    <row r="17" spans="1:28" ht="30" customHeight="1" x14ac:dyDescent="0.3">
      <c r="A17" s="20"/>
      <c r="B17" s="32"/>
      <c r="C17" s="32"/>
      <c r="D17" s="32"/>
      <c r="E17" s="43"/>
      <c r="F17" s="56"/>
      <c r="G17" s="50"/>
      <c r="H17" s="455"/>
      <c r="I17" s="46">
        <f>I16+0.5%</f>
        <v>0.17949346000000002</v>
      </c>
      <c r="J17" s="47">
        <f>1000*(SUM(NPV($I17,'DRE + DCF'!$N$36:$U$36,SUM('DRE + DCF'!$V$36,Perpetuidade!G18*(1+J$18)/($I17-J$18))),'DRE + DCF'!$L$36)/((1+$I17)^((5-$F$9)*3/12)))/$F$11</f>
        <v>124.24360671858858</v>
      </c>
      <c r="K17" s="47">
        <f>1000*(SUM(NPV($I17,'DRE + DCF'!$N$36:$U$36,SUM('DRE + DCF'!$V$36,Perpetuidade!H18*(1+K$18)/($I17-K$18))),'DRE + DCF'!$L$36)/((1+$I17)^((5-$F$9)*3/12)))/$F$11</f>
        <v>124.3195929462786</v>
      </c>
      <c r="L17" s="47">
        <f>1000*(SUM(NPV($I17,'DRE + DCF'!$N$36:$U$36,SUM('DRE + DCF'!$V$36,Perpetuidade!I18*(1+L$18)/($I17-L$18))),'DRE + DCF'!$L$36)/((1+$I17)^((5-$F$9)*3/12)))/$F$11</f>
        <v>124.39253645056776</v>
      </c>
      <c r="M17" s="47">
        <f>1000*(SUM(NPV($I17,'DRE + DCF'!$N$36:$U$36,SUM('DRE + DCF'!$V$36,Perpetuidade!J18*(1+M$18)/($I17-M$18))),'DRE + DCF'!$L$36)/((1+$I17)^((5-$F$9)*3/12)))/$F$11</f>
        <v>124.46222679529406</v>
      </c>
      <c r="N17" s="47">
        <f>1000*(SUM(NPV($I17,'DRE + DCF'!$N$36:$U$36,SUM('DRE + DCF'!$V$36,Perpetuidade!K18*(1+N$18)/($I17-N$18))),'DRE + DCF'!$L$36)/((1+$I17)^((5-$F$9)*3/12)))/$F$11</f>
        <v>124.52843368123266</v>
      </c>
      <c r="O17" s="47">
        <f>1000*(SUM(NPV($I17,'DRE + DCF'!$N$36:$U$36,SUM('DRE + DCF'!$V$36,Perpetuidade!L18*(1+O$18)/($I17-O$18))),'DRE + DCF'!$L$36)/((1+$I17)^((5-$F$9)*3/12)))/$F$11</f>
        <v>124.59090454586382</v>
      </c>
      <c r="P17" s="47">
        <f>1000*(SUM(NPV($I17,'DRE + DCF'!$N$36:$U$36,SUM('DRE + DCF'!$V$36,Perpetuidade!M18*(1+P$18)/($I17-P$18))),'DRE + DCF'!$L$36)/((1+$I17)^((5-$F$9)*3/12)))/$F$11</f>
        <v>124.64936180647136</v>
      </c>
      <c r="Q17" s="47">
        <f>1000*(SUM(NPV($I17,'DRE + DCF'!$N$36:$U$36,SUM('DRE + DCF'!$V$36,Perpetuidade!N18*(1+Q$18)/($I17-Q$18))),'DRE + DCF'!$L$36)/((1+$I17)^((5-$F$9)*3/12)))/$F$11</f>
        <v>124.70349968316727</v>
      </c>
      <c r="R17" s="47">
        <f>1000*(SUM(NPV($I17,'DRE + DCF'!$N$36:$U$36,SUM('DRE + DCF'!$V$36,Perpetuidade!O18*(1+R$18)/($I17-R$18))),'DRE + DCF'!$L$36)/((1+$I17)^((5-$F$9)*3/12)))/$F$11</f>
        <v>124.75298052522119</v>
      </c>
      <c r="S17" s="48">
        <f>1000*(SUM(NPV($I17,'DRE + DCF'!$N$36:$U$36,SUM('DRE + DCF'!$V$36,Perpetuidade!P18*(1+S$18)/($I17-S$18))),'DRE + DCF'!$L$36)/((1+$I17)^((5-$F$9)*3/12)))/$F$11</f>
        <v>124.79743054767471</v>
      </c>
      <c r="T17" s="32"/>
      <c r="U17" s="32"/>
      <c r="V17" s="32"/>
      <c r="W17" s="32"/>
      <c r="X17" s="32"/>
      <c r="Y17" s="32"/>
      <c r="Z17" s="32"/>
      <c r="AA17" s="32"/>
      <c r="AB17" s="32"/>
    </row>
    <row r="18" spans="1:28" ht="30" customHeight="1" x14ac:dyDescent="0.3">
      <c r="A18" s="20"/>
      <c r="B18" s="32"/>
      <c r="C18" s="32"/>
      <c r="D18" s="32"/>
      <c r="E18" s="57"/>
      <c r="F18" s="55"/>
      <c r="G18" s="58"/>
      <c r="H18" s="50"/>
      <c r="I18" s="50"/>
      <c r="J18" s="46">
        <f>K18-0.25%</f>
        <v>6.3549999999999995E-2</v>
      </c>
      <c r="K18" s="46">
        <f>L18-0.25%</f>
        <v>6.6049999999999998E-2</v>
      </c>
      <c r="L18" s="46">
        <f>M18-0.25%</f>
        <v>6.855E-2</v>
      </c>
      <c r="M18" s="46">
        <f>N18-0.25%</f>
        <v>7.1050000000000002E-2</v>
      </c>
      <c r="N18" s="46">
        <f>'DRE + DCF'!Y31</f>
        <v>7.3550000000000004E-2</v>
      </c>
      <c r="O18" s="46">
        <f>N18+0.25%</f>
        <v>7.6050000000000006E-2</v>
      </c>
      <c r="P18" s="46">
        <f>O18+0.25%</f>
        <v>7.8550000000000009E-2</v>
      </c>
      <c r="Q18" s="46">
        <f>P18+0.25%</f>
        <v>8.1050000000000011E-2</v>
      </c>
      <c r="R18" s="46">
        <f>Q18+0.25%</f>
        <v>8.3550000000000013E-2</v>
      </c>
      <c r="S18" s="59">
        <f>R18+0.25%</f>
        <v>8.6050000000000015E-2</v>
      </c>
      <c r="T18" s="32"/>
      <c r="U18" s="32"/>
      <c r="V18" s="32"/>
      <c r="W18" s="32"/>
      <c r="X18" s="32"/>
      <c r="Y18" s="32"/>
      <c r="Z18" s="32"/>
      <c r="AA18" s="32"/>
      <c r="AB18" s="32"/>
    </row>
    <row r="19" spans="1:28" ht="30.75" customHeight="1" thickBot="1" x14ac:dyDescent="0.35">
      <c r="A19" s="20"/>
      <c r="B19" s="32"/>
      <c r="C19" s="32"/>
      <c r="D19" s="32"/>
      <c r="E19" s="450"/>
      <c r="F19" s="451"/>
      <c r="G19" s="452"/>
      <c r="H19" s="452"/>
      <c r="I19" s="452"/>
      <c r="J19" s="456" t="s">
        <v>30</v>
      </c>
      <c r="K19" s="456"/>
      <c r="L19" s="456"/>
      <c r="M19" s="456"/>
      <c r="N19" s="456"/>
      <c r="O19" s="456"/>
      <c r="P19" s="456"/>
      <c r="Q19" s="456"/>
      <c r="R19" s="456"/>
      <c r="S19" s="457"/>
      <c r="T19" s="32"/>
      <c r="U19" s="32"/>
      <c r="V19" s="32"/>
      <c r="W19" s="32"/>
      <c r="X19" s="32"/>
      <c r="Y19" s="32"/>
      <c r="Z19" s="32"/>
      <c r="AA19" s="32"/>
      <c r="AB19" s="32"/>
    </row>
    <row r="20" spans="1:28" ht="30" customHeight="1" x14ac:dyDescent="0.3">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row>
    <row r="21" spans="1:28" ht="30" customHeight="1" x14ac:dyDescent="0.3">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row>
    <row r="22" spans="1:28" ht="30" hidden="1" customHeight="1" x14ac:dyDescent="0.3">
      <c r="B22" s="32"/>
      <c r="C22" s="32"/>
      <c r="D22" s="32"/>
      <c r="E22" s="43" t="s">
        <v>32</v>
      </c>
      <c r="F22" s="64">
        <f>TIR!E12</f>
        <v>145.17172853452382</v>
      </c>
      <c r="G22" s="32"/>
      <c r="H22" s="32"/>
      <c r="I22" s="32"/>
      <c r="J22" s="32"/>
      <c r="K22" s="32"/>
      <c r="L22" s="32"/>
      <c r="M22" s="32"/>
      <c r="N22" s="32"/>
      <c r="O22" s="32"/>
      <c r="P22" s="32"/>
      <c r="Q22" s="32"/>
      <c r="R22" s="32"/>
      <c r="S22" s="32"/>
      <c r="T22" s="32"/>
      <c r="U22" s="32"/>
      <c r="V22" s="32"/>
      <c r="W22" s="32"/>
      <c r="X22" s="32"/>
      <c r="Y22" s="32"/>
      <c r="Z22" s="32"/>
      <c r="AA22" s="32"/>
      <c r="AB22" s="32"/>
    </row>
    <row r="23" spans="1:28" ht="15" customHeight="1" x14ac:dyDescent="0.3">
      <c r="B23" s="32"/>
      <c r="C23" s="32"/>
      <c r="D23" s="32"/>
      <c r="E23" s="32"/>
      <c r="F23" s="32"/>
      <c r="G23" s="32"/>
      <c r="H23" s="32"/>
      <c r="I23" s="32"/>
      <c r="J23" s="32"/>
      <c r="K23" s="32"/>
      <c r="L23" s="32"/>
      <c r="M23" s="32"/>
      <c r="N23" s="32"/>
      <c r="O23" s="32"/>
      <c r="P23" s="32"/>
      <c r="Q23" s="32"/>
      <c r="R23" s="32"/>
      <c r="S23" s="32"/>
      <c r="T23" s="32"/>
      <c r="U23" s="32"/>
      <c r="V23" s="32"/>
    </row>
    <row r="24" spans="1:28" x14ac:dyDescent="0.3">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row>
    <row r="25" spans="1:28" ht="14.4" customHeight="1" x14ac:dyDescent="0.3">
      <c r="B25" s="32"/>
      <c r="C25" s="32"/>
      <c r="D25" s="32"/>
      <c r="E25" s="32"/>
      <c r="F25" s="32"/>
      <c r="G25" s="32"/>
      <c r="H25" s="32"/>
      <c r="I25" s="32"/>
      <c r="J25" s="32"/>
      <c r="K25" s="32"/>
      <c r="L25" s="32"/>
      <c r="M25" s="32"/>
      <c r="N25" s="32"/>
      <c r="O25" s="32"/>
      <c r="P25" s="32"/>
      <c r="Q25" s="32"/>
      <c r="R25" s="32"/>
      <c r="S25" s="32"/>
      <c r="T25" s="32"/>
      <c r="U25" s="32"/>
      <c r="V25" s="32"/>
    </row>
    <row r="26" spans="1:28" ht="14.4" customHeight="1" x14ac:dyDescent="0.3">
      <c r="B26" s="32"/>
      <c r="C26" s="32"/>
      <c r="D26" s="32"/>
      <c r="E26" s="32"/>
      <c r="F26" s="32"/>
      <c r="G26" s="32"/>
      <c r="H26" s="32"/>
      <c r="I26" s="32"/>
      <c r="J26" s="32"/>
      <c r="K26" s="32"/>
      <c r="L26" s="32"/>
      <c r="M26" s="32"/>
      <c r="N26" s="32"/>
      <c r="O26" s="32"/>
      <c r="P26" s="32"/>
      <c r="Q26" s="32"/>
      <c r="R26" s="32"/>
      <c r="S26" s="32"/>
      <c r="T26" s="32"/>
      <c r="U26" s="32"/>
      <c r="V26" s="32"/>
    </row>
    <row r="27" spans="1:28" ht="14.4" customHeight="1" x14ac:dyDescent="0.3">
      <c r="B27" s="32"/>
      <c r="C27" s="32"/>
      <c r="D27" s="32"/>
      <c r="E27" s="32"/>
      <c r="F27" s="32"/>
      <c r="G27" s="32"/>
      <c r="H27" s="32"/>
      <c r="I27" s="32"/>
      <c r="J27" s="32"/>
      <c r="K27" s="32"/>
      <c r="L27" s="32"/>
      <c r="M27" s="32"/>
      <c r="N27" s="32"/>
      <c r="O27" s="32"/>
      <c r="P27" s="32"/>
      <c r="Q27" s="32"/>
      <c r="R27" s="32"/>
      <c r="S27" s="32"/>
      <c r="T27" s="32"/>
      <c r="U27" s="32"/>
      <c r="V27" s="32"/>
    </row>
    <row r="28" spans="1:28" ht="14.4" customHeight="1" x14ac:dyDescent="0.3">
      <c r="B28" s="32"/>
      <c r="C28" s="32"/>
      <c r="D28" s="32"/>
      <c r="E28" s="32"/>
      <c r="F28" s="32"/>
      <c r="G28" s="32"/>
      <c r="H28" s="32"/>
      <c r="I28" s="32"/>
      <c r="J28" s="32"/>
      <c r="K28" s="32"/>
      <c r="L28" s="32"/>
      <c r="M28" s="32"/>
      <c r="N28" s="32"/>
      <c r="O28" s="32"/>
      <c r="P28" s="32"/>
      <c r="Q28" s="32"/>
      <c r="R28" s="32"/>
      <c r="S28" s="32"/>
      <c r="T28" s="32"/>
      <c r="U28" s="32"/>
      <c r="V28" s="32"/>
    </row>
  </sheetData>
  <mergeCells count="3">
    <mergeCell ref="H9:H17"/>
    <mergeCell ref="J19:S19"/>
    <mergeCell ref="J4:L5"/>
  </mergeCells>
  <conditionalFormatting sqref="F15:F17">
    <cfRule type="cellIs" dxfId="20" priority="4" operator="lessThan">
      <formula>0</formula>
    </cfRule>
    <cfRule type="cellIs" dxfId="19" priority="5" operator="greaterThan">
      <formula>0</formula>
    </cfRule>
  </conditionalFormatting>
  <conditionalFormatting sqref="F19">
    <cfRule type="cellIs" dxfId="18" priority="6" operator="lessThan">
      <formula>0</formula>
    </cfRule>
    <cfRule type="cellIs" dxfId="17" priority="7" operator="greaterThan">
      <formula>0</formula>
    </cfRule>
  </conditionalFormatting>
  <conditionalFormatting sqref="J9:S17">
    <cfRule type="colorScale" priority="3">
      <colorScale>
        <cfvo type="min"/>
        <cfvo type="max"/>
        <color rgb="FFCEF6CE"/>
        <color rgb="FF59BF59"/>
      </colorScale>
    </cfRule>
  </conditionalFormatting>
  <hyperlinks>
    <hyperlink ref="A13" location="'Projeções - NIM'!A1" display="Projeções - NIM" xr:uid="{DDBB6792-6F41-46B5-A800-3B9B94E52002}"/>
    <hyperlink ref="A12" location="'Balanço Patrimonial - Contábil'!A1" display="Balanço Patrimonial" xr:uid="{CC392E5B-E2E9-4433-A168-04BE50F921BA}"/>
    <hyperlink ref="A11" location="'DRE - Cosif'!A1" display="DRE - Cosif" xr:uid="{1DDC2E64-4B51-4E30-BCFC-EACCDD676F7E}"/>
    <hyperlink ref="A10" location="'DRE + DCF'!A1" display="DRE + DCF" xr:uid="{1CC06942-7664-4F1F-862C-2C6269ABD019}"/>
    <hyperlink ref="A9" location="Ke!A1" display="Ke" xr:uid="{7EE8C960-EA97-4840-963F-D8BF08A6B70F}"/>
    <hyperlink ref="A8" location="Dashboard!A1" display="Dashboard" xr:uid="{364A5F82-8DE5-4CF3-8CB5-A0D7D5A57E1D}"/>
    <hyperlink ref="A15" location="'Painel de Índices'!A1" display="Painel de Índices" xr:uid="{CC824178-DC3A-4515-86E6-AE6C68782F44}"/>
    <hyperlink ref="A14" location="'Projeções Trimestrais'!A1" display="Projeções Trimestrais" xr:uid="{ABBA93D8-848E-4CCE-927B-B72CD5C5DE90}"/>
  </hyperlink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F78DC-8184-4676-94EE-E655153AE879}">
  <dimension ref="A1:S773"/>
  <sheetViews>
    <sheetView showGridLines="0" zoomScaleNormal="100" workbookViewId="0">
      <selection activeCell="A10" sqref="A10"/>
    </sheetView>
  </sheetViews>
  <sheetFormatPr defaultColWidth="0" defaultRowHeight="14.4" customHeight="1" zeroHeight="1" x14ac:dyDescent="0.3"/>
  <cols>
    <col min="1" max="1" width="35.6640625" style="1" customWidth="1"/>
    <col min="2" max="4" width="8.88671875" style="2" customWidth="1"/>
    <col min="5" max="5" width="29.6640625" style="2" customWidth="1"/>
    <col min="6" max="15" width="12" style="2" customWidth="1"/>
    <col min="16" max="16" width="70" style="2" customWidth="1"/>
    <col min="17" max="19" width="8.88671875" style="2" customWidth="1"/>
    <col min="20" max="16384" width="8.88671875" style="2" hidden="1"/>
  </cols>
  <sheetData>
    <row r="1" spans="1:16" x14ac:dyDescent="0.3"/>
    <row r="2" spans="1:16" x14ac:dyDescent="0.3"/>
    <row r="3" spans="1:16" x14ac:dyDescent="0.3"/>
    <row r="4" spans="1:16" x14ac:dyDescent="0.3">
      <c r="K4" s="458" t="str">
        <f>Dashboard!J4</f>
        <v>Banco da Amazônia ($BAZA3)</v>
      </c>
      <c r="L4" s="458"/>
      <c r="M4" s="458"/>
      <c r="N4" s="458"/>
    </row>
    <row r="5" spans="1:16" x14ac:dyDescent="0.3">
      <c r="K5" s="459"/>
      <c r="L5" s="459"/>
      <c r="M5" s="459"/>
      <c r="N5" s="459"/>
    </row>
    <row r="6" spans="1:16" x14ac:dyDescent="0.3"/>
    <row r="7" spans="1:16" ht="30" customHeight="1" x14ac:dyDescent="0.3">
      <c r="A7" s="3" t="s">
        <v>0</v>
      </c>
    </row>
    <row r="8" spans="1:16" ht="30" customHeight="1" thickBot="1" x14ac:dyDescent="0.35">
      <c r="A8" s="4" t="s">
        <v>1</v>
      </c>
      <c r="E8"/>
      <c r="F8"/>
      <c r="G8"/>
      <c r="H8"/>
      <c r="I8"/>
      <c r="J8"/>
      <c r="K8"/>
      <c r="L8"/>
      <c r="M8"/>
      <c r="N8"/>
      <c r="O8"/>
      <c r="P8"/>
    </row>
    <row r="9" spans="1:16" ht="30" customHeight="1" x14ac:dyDescent="0.3">
      <c r="A9" s="5" t="s">
        <v>2</v>
      </c>
      <c r="E9" s="6" t="s">
        <v>393</v>
      </c>
      <c r="F9" s="7">
        <f>2024</f>
        <v>2024</v>
      </c>
      <c r="G9" s="7">
        <f t="shared" ref="G9:O9" si="0">F9+1</f>
        <v>2025</v>
      </c>
      <c r="H9" s="7">
        <f t="shared" si="0"/>
        <v>2026</v>
      </c>
      <c r="I9" s="7">
        <f t="shared" si="0"/>
        <v>2027</v>
      </c>
      <c r="J9" s="7">
        <f t="shared" si="0"/>
        <v>2028</v>
      </c>
      <c r="K9" s="7">
        <f t="shared" si="0"/>
        <v>2029</v>
      </c>
      <c r="L9" s="7">
        <f t="shared" si="0"/>
        <v>2030</v>
      </c>
      <c r="M9" s="7">
        <f t="shared" si="0"/>
        <v>2031</v>
      </c>
      <c r="N9" s="7">
        <f t="shared" si="0"/>
        <v>2032</v>
      </c>
      <c r="O9" s="7">
        <f t="shared" si="0"/>
        <v>2033</v>
      </c>
      <c r="P9" s="8" t="s">
        <v>3</v>
      </c>
    </row>
    <row r="10" spans="1:16" ht="30" customHeight="1" x14ac:dyDescent="0.3">
      <c r="A10" s="4" t="s">
        <v>4</v>
      </c>
      <c r="E10" s="9" t="s">
        <v>5</v>
      </c>
      <c r="F10" s="10">
        <v>0.1033</v>
      </c>
      <c r="G10" s="10">
        <v>0.10535</v>
      </c>
      <c r="H10" s="10">
        <v>0.10869999999999999</v>
      </c>
      <c r="I10" s="10">
        <v>0.1116</v>
      </c>
      <c r="J10" s="10">
        <v>0.11365</v>
      </c>
      <c r="K10" s="10">
        <v>0.115</v>
      </c>
      <c r="L10" s="10">
        <v>0.11584</v>
      </c>
      <c r="M10" s="10">
        <v>0.11630000000000001</v>
      </c>
      <c r="N10" s="10">
        <v>0.11651</v>
      </c>
      <c r="O10" s="10">
        <v>0.1166</v>
      </c>
      <c r="P10" s="11" t="s">
        <v>6</v>
      </c>
    </row>
    <row r="11" spans="1:16" ht="30" customHeight="1" x14ac:dyDescent="0.3">
      <c r="A11" s="4" t="s">
        <v>413</v>
      </c>
      <c r="E11" s="9" t="s">
        <v>7</v>
      </c>
      <c r="F11" s="10">
        <v>3.7472459999999997E-3</v>
      </c>
      <c r="G11" s="10">
        <v>6.5087929999999997E-3</v>
      </c>
      <c r="H11" s="10">
        <v>9.973829E-3</v>
      </c>
      <c r="I11" s="10">
        <v>1.3900747000000001E-2</v>
      </c>
      <c r="J11" s="10">
        <v>1.8056147999999998E-2</v>
      </c>
      <c r="K11" s="10">
        <v>2.1600431E-2</v>
      </c>
      <c r="L11" s="10">
        <v>2.4344638000000002E-2</v>
      </c>
      <c r="M11" s="10">
        <v>2.6174446999999997E-2</v>
      </c>
      <c r="N11" s="10">
        <v>2.6975535999999998E-2</v>
      </c>
      <c r="O11" s="10">
        <v>2.6633584999999998E-2</v>
      </c>
      <c r="P11" s="12" t="s">
        <v>391</v>
      </c>
    </row>
    <row r="12" spans="1:16" ht="30" customHeight="1" x14ac:dyDescent="0.3">
      <c r="A12" s="4" t="s">
        <v>8</v>
      </c>
      <c r="E12" s="9" t="s">
        <v>9</v>
      </c>
      <c r="F12" s="10">
        <v>4.052E-2</v>
      </c>
      <c r="G12" s="10">
        <v>3.8620000000000002E-2</v>
      </c>
      <c r="H12" s="10">
        <v>4.3700000000000003E-2</v>
      </c>
      <c r="I12" s="10">
        <v>4.6649999999999997E-2</v>
      </c>
      <c r="J12" s="10">
        <v>4.879E-2</v>
      </c>
      <c r="K12" s="10">
        <v>5.0090000000000003E-2</v>
      </c>
      <c r="L12" s="10">
        <v>5.1679999999999997E-2</v>
      </c>
      <c r="M12" s="10">
        <v>5.2260000000000001E-2</v>
      </c>
      <c r="N12" s="10">
        <v>5.2330000000000002E-2</v>
      </c>
      <c r="O12" s="10">
        <v>5.2499999999999998E-2</v>
      </c>
      <c r="P12" s="12"/>
    </row>
    <row r="13" spans="1:16" ht="30" customHeight="1" x14ac:dyDescent="0.3">
      <c r="A13" s="4" t="s">
        <v>10</v>
      </c>
      <c r="E13" s="13" t="s">
        <v>11</v>
      </c>
      <c r="F13" s="14">
        <f t="shared" ref="F13:O13" si="1">F10-F11</f>
        <v>9.9552754000000007E-2</v>
      </c>
      <c r="G13" s="14">
        <f t="shared" si="1"/>
        <v>9.8841207E-2</v>
      </c>
      <c r="H13" s="14">
        <f t="shared" si="1"/>
        <v>9.8726170999999988E-2</v>
      </c>
      <c r="I13" s="14">
        <f t="shared" si="1"/>
        <v>9.7699253E-2</v>
      </c>
      <c r="J13" s="14">
        <f t="shared" si="1"/>
        <v>9.5593852000000007E-2</v>
      </c>
      <c r="K13" s="14">
        <f t="shared" si="1"/>
        <v>9.3399569000000002E-2</v>
      </c>
      <c r="L13" s="14">
        <f t="shared" si="1"/>
        <v>9.1495361999999997E-2</v>
      </c>
      <c r="M13" s="14">
        <f t="shared" si="1"/>
        <v>9.0125553000000025E-2</v>
      </c>
      <c r="N13" s="14">
        <f t="shared" si="1"/>
        <v>8.9534464000000008E-2</v>
      </c>
      <c r="O13" s="14">
        <f t="shared" si="1"/>
        <v>8.9966414999999994E-2</v>
      </c>
      <c r="P13" s="15"/>
    </row>
    <row r="14" spans="1:16" ht="28.8" x14ac:dyDescent="0.3">
      <c r="A14" s="4" t="s">
        <v>419</v>
      </c>
      <c r="E14" s="9" t="s">
        <v>13</v>
      </c>
      <c r="F14" s="340">
        <v>1</v>
      </c>
      <c r="G14" s="16">
        <f t="shared" ref="G14:O14" si="2">F14</f>
        <v>1</v>
      </c>
      <c r="H14" s="16">
        <f t="shared" si="2"/>
        <v>1</v>
      </c>
      <c r="I14" s="16">
        <f t="shared" si="2"/>
        <v>1</v>
      </c>
      <c r="J14" s="16">
        <f t="shared" si="2"/>
        <v>1</v>
      </c>
      <c r="K14" s="16">
        <f t="shared" si="2"/>
        <v>1</v>
      </c>
      <c r="L14" s="16">
        <f t="shared" si="2"/>
        <v>1</v>
      </c>
      <c r="M14" s="16">
        <f t="shared" si="2"/>
        <v>1</v>
      </c>
      <c r="N14" s="16">
        <f t="shared" si="2"/>
        <v>1</v>
      </c>
      <c r="O14" s="16">
        <f t="shared" si="2"/>
        <v>1</v>
      </c>
      <c r="P14" s="17" t="s">
        <v>409</v>
      </c>
    </row>
    <row r="15" spans="1:16" ht="30" customHeight="1" x14ac:dyDescent="0.3">
      <c r="A15" s="4" t="s">
        <v>12</v>
      </c>
      <c r="E15" s="9" t="s">
        <v>14</v>
      </c>
      <c r="F15" s="18">
        <v>6.5000000000000002E-2</v>
      </c>
      <c r="G15" s="18">
        <v>6.5000000000000002E-2</v>
      </c>
      <c r="H15" s="18">
        <v>6.5000000000000002E-2</v>
      </c>
      <c r="I15" s="18">
        <v>6.5000000000000002E-2</v>
      </c>
      <c r="J15" s="18">
        <v>6.5000000000000002E-2</v>
      </c>
      <c r="K15" s="18">
        <v>6.5000000000000002E-2</v>
      </c>
      <c r="L15" s="18">
        <v>6.5000000000000002E-2</v>
      </c>
      <c r="M15" s="18">
        <v>6.5000000000000002E-2</v>
      </c>
      <c r="N15" s="18">
        <v>6.5000000000000002E-2</v>
      </c>
      <c r="O15" s="18">
        <v>6.5000000000000002E-2</v>
      </c>
      <c r="P15" s="19" t="s">
        <v>15</v>
      </c>
    </row>
    <row r="16" spans="1:16" ht="30" customHeight="1" x14ac:dyDescent="0.3">
      <c r="E16" s="13" t="s">
        <v>16</v>
      </c>
      <c r="F16" s="14">
        <f t="shared" ref="F16:O16" si="3">F13+F14*F15</f>
        <v>0.16455275400000002</v>
      </c>
      <c r="G16" s="14">
        <f t="shared" si="3"/>
        <v>0.16384120699999999</v>
      </c>
      <c r="H16" s="14">
        <f t="shared" si="3"/>
        <v>0.16372617099999998</v>
      </c>
      <c r="I16" s="14">
        <f t="shared" si="3"/>
        <v>0.16269925299999999</v>
      </c>
      <c r="J16" s="14">
        <f t="shared" si="3"/>
        <v>0.16059385200000001</v>
      </c>
      <c r="K16" s="14">
        <f t="shared" si="3"/>
        <v>0.15839956900000002</v>
      </c>
      <c r="L16" s="14">
        <f t="shared" si="3"/>
        <v>0.156495362</v>
      </c>
      <c r="M16" s="14">
        <f t="shared" si="3"/>
        <v>0.15512555300000003</v>
      </c>
      <c r="N16" s="14">
        <f t="shared" si="3"/>
        <v>0.15453446400000001</v>
      </c>
      <c r="O16" s="14">
        <f t="shared" si="3"/>
        <v>0.154966415</v>
      </c>
      <c r="P16" s="15"/>
    </row>
    <row r="17" spans="1:16" ht="30" customHeight="1" thickBot="1" x14ac:dyDescent="0.35">
      <c r="A17" s="20"/>
      <c r="E17" s="21" t="s">
        <v>17</v>
      </c>
      <c r="F17" s="22">
        <f>(1+F16)^((5-Dashboard!$F$9)*3/12)</f>
        <v>1.1210355242477776</v>
      </c>
      <c r="G17" s="22">
        <f t="shared" ref="G17:N17" si="4">F17*(1+G16)</f>
        <v>1.3047073376304112</v>
      </c>
      <c r="H17" s="22">
        <f t="shared" si="4"/>
        <v>1.5183220742962427</v>
      </c>
      <c r="I17" s="22">
        <f t="shared" si="4"/>
        <v>1.7653519415976517</v>
      </c>
      <c r="J17" s="22">
        <f t="shared" si="4"/>
        <v>2.0488566100344978</v>
      </c>
      <c r="K17" s="22">
        <f t="shared" si="4"/>
        <v>2.3733946140067634</v>
      </c>
      <c r="L17" s="22">
        <f t="shared" si="4"/>
        <v>2.7448198632946021</v>
      </c>
      <c r="M17" s="22">
        <f t="shared" si="4"/>
        <v>3.1706115624735616</v>
      </c>
      <c r="N17" s="22">
        <f t="shared" si="4"/>
        <v>3.6605803208326155</v>
      </c>
      <c r="O17" s="22">
        <f>N17*(1+O16)</f>
        <v>4.2278473299715964</v>
      </c>
      <c r="P17" s="23"/>
    </row>
    <row r="18" spans="1:16" ht="30" customHeight="1" x14ac:dyDescent="0.3">
      <c r="A18" s="20"/>
    </row>
    <row r="19" spans="1:16" ht="30" customHeight="1" x14ac:dyDescent="0.3">
      <c r="A19" s="20"/>
    </row>
    <row r="20" spans="1:16" ht="30" customHeight="1" thickBot="1" x14ac:dyDescent="0.35">
      <c r="E20"/>
      <c r="F20"/>
      <c r="G20"/>
      <c r="H20"/>
      <c r="I20"/>
    </row>
    <row r="21" spans="1:16" ht="30" customHeight="1" x14ac:dyDescent="0.3">
      <c r="E21" s="24" t="s">
        <v>18</v>
      </c>
      <c r="F21" s="25" t="s">
        <v>35</v>
      </c>
      <c r="G21" s="7" t="s">
        <v>19</v>
      </c>
      <c r="H21" s="25" t="s">
        <v>36</v>
      </c>
      <c r="I21" s="26" t="s">
        <v>20</v>
      </c>
      <c r="K21" s="24" t="s">
        <v>18</v>
      </c>
      <c r="L21" s="25" t="s">
        <v>392</v>
      </c>
      <c r="M21" s="7" t="s">
        <v>19</v>
      </c>
      <c r="N21" s="25" t="s">
        <v>36</v>
      </c>
      <c r="O21" s="26" t="s">
        <v>20</v>
      </c>
    </row>
    <row r="22" spans="1:16" ht="30" customHeight="1" x14ac:dyDescent="0.3">
      <c r="E22" s="27">
        <v>44333</v>
      </c>
      <c r="F22" s="28">
        <v>28.980080000000001</v>
      </c>
      <c r="G22" s="29">
        <v>122938</v>
      </c>
      <c r="H22" s="30" t="s">
        <v>21</v>
      </c>
      <c r="I22" s="31" t="s">
        <v>21</v>
      </c>
      <c r="K22" s="27">
        <v>28.980080000000001</v>
      </c>
      <c r="L22" s="28">
        <v>11770.95</v>
      </c>
      <c r="M22" s="29">
        <v>122938</v>
      </c>
      <c r="N22" s="30" t="s">
        <v>21</v>
      </c>
      <c r="O22" s="31" t="s">
        <v>21</v>
      </c>
    </row>
    <row r="23" spans="1:16" ht="30" customHeight="1" x14ac:dyDescent="0.3">
      <c r="E23" s="27">
        <v>44334</v>
      </c>
      <c r="F23" s="28">
        <v>28.833345000000001</v>
      </c>
      <c r="G23" s="29">
        <v>122980</v>
      </c>
      <c r="H23" s="10">
        <f>F23/F22-1</f>
        <v>-5.0633055533317872E-3</v>
      </c>
      <c r="I23" s="12">
        <f>G23/G22-1</f>
        <v>3.4163562120737012E-4</v>
      </c>
      <c r="K23" s="27">
        <v>28.833345000000001</v>
      </c>
      <c r="L23" s="28">
        <v>11776.55</v>
      </c>
      <c r="M23" s="29">
        <v>122980</v>
      </c>
      <c r="N23" s="10">
        <f>L23/L22-1</f>
        <v>4.7574749701584373E-4</v>
      </c>
      <c r="O23" s="12">
        <f>M23/M22-1</f>
        <v>3.4163562120737012E-4</v>
      </c>
    </row>
    <row r="24" spans="1:16" ht="30" customHeight="1" x14ac:dyDescent="0.3">
      <c r="E24" s="27">
        <v>44335</v>
      </c>
      <c r="F24" s="28">
        <v>29.346916</v>
      </c>
      <c r="G24" s="29">
        <v>122636</v>
      </c>
      <c r="H24" s="10">
        <f t="shared" ref="H24:I87" si="5">F24/F23-1</f>
        <v>1.7811703775611143E-2</v>
      </c>
      <c r="I24" s="12">
        <f t="shared" si="5"/>
        <v>-2.7972027972027469E-3</v>
      </c>
      <c r="K24" s="27">
        <v>29.346916</v>
      </c>
      <c r="L24" s="28">
        <v>11835.54</v>
      </c>
      <c r="M24" s="29">
        <v>122636</v>
      </c>
      <c r="N24" s="10">
        <f t="shared" ref="N24:N87" si="6">L24/L23-1</f>
        <v>5.0091070814459737E-3</v>
      </c>
      <c r="O24" s="12">
        <f t="shared" ref="O24:O87" si="7">M24/M23-1</f>
        <v>-2.7972027972027469E-3</v>
      </c>
    </row>
    <row r="25" spans="1:16" ht="30" customHeight="1" x14ac:dyDescent="0.3">
      <c r="E25" s="27">
        <v>44336</v>
      </c>
      <c r="F25" s="28">
        <v>29.376265</v>
      </c>
      <c r="G25" s="29">
        <v>122701</v>
      </c>
      <c r="H25" s="10">
        <f t="shared" si="5"/>
        <v>1.0000710125726009E-3</v>
      </c>
      <c r="I25" s="12">
        <f t="shared" si="5"/>
        <v>5.3002381030031742E-4</v>
      </c>
      <c r="K25" s="27">
        <v>29.376265</v>
      </c>
      <c r="L25" s="28">
        <v>11948.15</v>
      </c>
      <c r="M25" s="29">
        <v>122701</v>
      </c>
      <c r="N25" s="10">
        <f t="shared" si="6"/>
        <v>9.5145637630389412E-3</v>
      </c>
      <c r="O25" s="12">
        <f t="shared" si="7"/>
        <v>5.3002381030031742E-4</v>
      </c>
    </row>
    <row r="26" spans="1:16" ht="30" customHeight="1" x14ac:dyDescent="0.3">
      <c r="E26" s="27">
        <v>44337</v>
      </c>
      <c r="F26" s="28">
        <v>29.346916</v>
      </c>
      <c r="G26" s="29">
        <v>122592</v>
      </c>
      <c r="H26" s="10">
        <f t="shared" si="5"/>
        <v>-9.990718697561185E-4</v>
      </c>
      <c r="I26" s="12">
        <f t="shared" si="5"/>
        <v>-8.8833831835111177E-4</v>
      </c>
      <c r="K26" s="27">
        <v>29.346916</v>
      </c>
      <c r="L26" s="28">
        <v>11961.07</v>
      </c>
      <c r="M26" s="29">
        <v>122592</v>
      </c>
      <c r="N26" s="10">
        <f t="shared" si="6"/>
        <v>1.0813389520554217E-3</v>
      </c>
      <c r="O26" s="12">
        <f t="shared" si="7"/>
        <v>-8.8833831835111177E-4</v>
      </c>
    </row>
    <row r="27" spans="1:16" ht="30" customHeight="1" x14ac:dyDescent="0.3">
      <c r="E27" s="27">
        <v>44340</v>
      </c>
      <c r="F27" s="28">
        <v>29.346916</v>
      </c>
      <c r="G27" s="29">
        <v>124032</v>
      </c>
      <c r="H27" s="10">
        <f t="shared" si="5"/>
        <v>0</v>
      </c>
      <c r="I27" s="12">
        <f t="shared" si="5"/>
        <v>1.1746280344557603E-2</v>
      </c>
      <c r="K27" s="27">
        <v>29.346916</v>
      </c>
      <c r="L27" s="28">
        <v>12161.71</v>
      </c>
      <c r="M27" s="29">
        <v>124032</v>
      </c>
      <c r="N27" s="10">
        <f t="shared" si="6"/>
        <v>1.6774419011008179E-2</v>
      </c>
      <c r="O27" s="12">
        <f t="shared" si="7"/>
        <v>1.1746280344557603E-2</v>
      </c>
    </row>
    <row r="28" spans="1:16" ht="30" customHeight="1" x14ac:dyDescent="0.3">
      <c r="E28" s="27">
        <v>44341</v>
      </c>
      <c r="F28" s="28">
        <v>29.376265</v>
      </c>
      <c r="G28" s="29">
        <v>122988</v>
      </c>
      <c r="H28" s="10">
        <f t="shared" si="5"/>
        <v>1.0000710125726009E-3</v>
      </c>
      <c r="I28" s="12">
        <f t="shared" si="5"/>
        <v>-8.4171826625386581E-3</v>
      </c>
      <c r="K28" s="27">
        <v>29.376265</v>
      </c>
      <c r="L28" s="28">
        <v>11986.58</v>
      </c>
      <c r="M28" s="29">
        <v>122988</v>
      </c>
      <c r="N28" s="10">
        <f t="shared" si="6"/>
        <v>-1.4400113141984083E-2</v>
      </c>
      <c r="O28" s="12">
        <f t="shared" si="7"/>
        <v>-8.4171826625386581E-3</v>
      </c>
    </row>
    <row r="29" spans="1:16" ht="30" customHeight="1" x14ac:dyDescent="0.3">
      <c r="E29" s="27">
        <v>44342</v>
      </c>
      <c r="F29" s="28">
        <v>29.302896</v>
      </c>
      <c r="G29" s="29">
        <v>123989</v>
      </c>
      <c r="H29" s="10">
        <f t="shared" si="5"/>
        <v>-2.4975605305848081E-3</v>
      </c>
      <c r="I29" s="12">
        <f t="shared" si="5"/>
        <v>8.1390054314240956E-3</v>
      </c>
      <c r="K29" s="27">
        <v>29.302896</v>
      </c>
      <c r="L29" s="28">
        <v>12109.22</v>
      </c>
      <c r="M29" s="29">
        <v>123989</v>
      </c>
      <c r="N29" s="10">
        <f t="shared" si="6"/>
        <v>1.0231442162818682E-2</v>
      </c>
      <c r="O29" s="12">
        <f t="shared" si="7"/>
        <v>8.1390054314240956E-3</v>
      </c>
    </row>
    <row r="30" spans="1:16" ht="30" customHeight="1" x14ac:dyDescent="0.3">
      <c r="E30" s="27">
        <v>44343</v>
      </c>
      <c r="F30" s="28">
        <v>29.412949000000001</v>
      </c>
      <c r="G30" s="29">
        <v>124367</v>
      </c>
      <c r="H30" s="10">
        <f t="shared" si="5"/>
        <v>3.7557038730915426E-3</v>
      </c>
      <c r="I30" s="12">
        <f t="shared" si="5"/>
        <v>3.048657542201294E-3</v>
      </c>
      <c r="K30" s="27">
        <v>29.412949000000001</v>
      </c>
      <c r="L30" s="28">
        <v>12104.33</v>
      </c>
      <c r="M30" s="29">
        <v>124367</v>
      </c>
      <c r="N30" s="10">
        <f t="shared" si="6"/>
        <v>-4.0382452379261746E-4</v>
      </c>
      <c r="O30" s="12">
        <f t="shared" si="7"/>
        <v>3.048657542201294E-3</v>
      </c>
    </row>
    <row r="31" spans="1:16" ht="30" customHeight="1" x14ac:dyDescent="0.3">
      <c r="E31" s="27">
        <v>44344</v>
      </c>
      <c r="F31" s="28">
        <v>29.493652000000001</v>
      </c>
      <c r="G31" s="29">
        <v>125561</v>
      </c>
      <c r="H31" s="10">
        <f t="shared" si="5"/>
        <v>2.7437915184906903E-3</v>
      </c>
      <c r="I31" s="12">
        <f t="shared" si="5"/>
        <v>9.6006175271574623E-3</v>
      </c>
      <c r="K31" s="27">
        <v>29.493652000000001</v>
      </c>
      <c r="L31" s="28">
        <v>12227.83</v>
      </c>
      <c r="M31" s="29">
        <v>125561</v>
      </c>
      <c r="N31" s="10">
        <f t="shared" si="6"/>
        <v>1.0202960428210339E-2</v>
      </c>
      <c r="O31" s="12">
        <f t="shared" si="7"/>
        <v>9.6006175271574623E-3</v>
      </c>
    </row>
    <row r="32" spans="1:16" ht="30" customHeight="1" x14ac:dyDescent="0.3">
      <c r="E32" s="27">
        <v>44347</v>
      </c>
      <c r="F32" s="28">
        <v>29.493652000000001</v>
      </c>
      <c r="G32" s="29">
        <v>126216</v>
      </c>
      <c r="H32" s="10">
        <f t="shared" si="5"/>
        <v>0</v>
      </c>
      <c r="I32" s="12">
        <f t="shared" si="5"/>
        <v>5.2165879532657389E-3</v>
      </c>
      <c r="K32" s="27">
        <v>29.493652000000001</v>
      </c>
      <c r="L32" s="28">
        <v>12248.19</v>
      </c>
      <c r="M32" s="29">
        <v>126216</v>
      </c>
      <c r="N32" s="10">
        <f t="shared" si="6"/>
        <v>1.6650542246663402E-3</v>
      </c>
      <c r="O32" s="12">
        <f t="shared" si="7"/>
        <v>5.2165879532657389E-3</v>
      </c>
    </row>
    <row r="33" spans="5:15" ht="30" customHeight="1" x14ac:dyDescent="0.3">
      <c r="E33" s="27">
        <v>44348</v>
      </c>
      <c r="F33" s="28">
        <v>30.007223</v>
      </c>
      <c r="G33" s="29">
        <v>128267</v>
      </c>
      <c r="H33" s="10">
        <f t="shared" si="5"/>
        <v>1.7412933467852554E-2</v>
      </c>
      <c r="I33" s="12">
        <f t="shared" si="5"/>
        <v>1.6249920770742277E-2</v>
      </c>
      <c r="K33" s="27">
        <v>30.007223</v>
      </c>
      <c r="L33" s="28">
        <v>12466.89</v>
      </c>
      <c r="M33" s="29">
        <v>128267</v>
      </c>
      <c r="N33" s="10">
        <f t="shared" si="6"/>
        <v>1.7855699495190613E-2</v>
      </c>
      <c r="O33" s="12">
        <f t="shared" si="7"/>
        <v>1.6249920770742277E-2</v>
      </c>
    </row>
    <row r="34" spans="5:15" ht="30" customHeight="1" x14ac:dyDescent="0.3">
      <c r="E34" s="27">
        <v>44349</v>
      </c>
      <c r="F34" s="28">
        <v>30.080593</v>
      </c>
      <c r="G34" s="29">
        <v>129601</v>
      </c>
      <c r="H34" s="10">
        <f t="shared" si="5"/>
        <v>2.4450779733933281E-3</v>
      </c>
      <c r="I34" s="12">
        <f t="shared" si="5"/>
        <v>1.0400180872710774E-2</v>
      </c>
      <c r="K34" s="27">
        <v>30.080593</v>
      </c>
      <c r="L34" s="28">
        <v>12620.23</v>
      </c>
      <c r="M34" s="29">
        <v>129601</v>
      </c>
      <c r="N34" s="10">
        <f t="shared" si="6"/>
        <v>1.229977965635376E-2</v>
      </c>
      <c r="O34" s="12">
        <f t="shared" si="7"/>
        <v>1.0400180872710774E-2</v>
      </c>
    </row>
    <row r="35" spans="5:15" ht="30" customHeight="1" x14ac:dyDescent="0.3">
      <c r="E35" s="27">
        <v>44351</v>
      </c>
      <c r="F35" s="28">
        <v>30.080593</v>
      </c>
      <c r="G35" s="29">
        <v>130126</v>
      </c>
      <c r="H35" s="10">
        <f t="shared" si="5"/>
        <v>0</v>
      </c>
      <c r="I35" s="12">
        <f t="shared" si="5"/>
        <v>4.0508946690225311E-3</v>
      </c>
      <c r="K35" s="27">
        <v>30.080593</v>
      </c>
      <c r="L35" s="28">
        <v>12779.24</v>
      </c>
      <c r="M35" s="29">
        <v>130126</v>
      </c>
      <c r="N35" s="10">
        <f t="shared" si="6"/>
        <v>1.2599611892968765E-2</v>
      </c>
      <c r="O35" s="12">
        <f t="shared" si="7"/>
        <v>4.0508946690225311E-3</v>
      </c>
    </row>
    <row r="36" spans="5:15" ht="30" customHeight="1" x14ac:dyDescent="0.3">
      <c r="E36" s="27">
        <v>44354</v>
      </c>
      <c r="F36" s="28">
        <v>30.139279999999999</v>
      </c>
      <c r="G36" s="29">
        <v>130776</v>
      </c>
      <c r="H36" s="10">
        <f t="shared" si="5"/>
        <v>1.9509921230609351E-3</v>
      </c>
      <c r="I36" s="12">
        <f t="shared" si="5"/>
        <v>4.995158538647182E-3</v>
      </c>
      <c r="K36" s="27">
        <v>30.139279999999999</v>
      </c>
      <c r="L36" s="28">
        <v>12911.79</v>
      </c>
      <c r="M36" s="29">
        <v>130776</v>
      </c>
      <c r="N36" s="10">
        <f t="shared" si="6"/>
        <v>1.0372291309968418E-2</v>
      </c>
      <c r="O36" s="12">
        <f t="shared" si="7"/>
        <v>4.995158538647182E-3</v>
      </c>
    </row>
    <row r="37" spans="5:15" ht="30" customHeight="1" x14ac:dyDescent="0.3">
      <c r="E37" s="27">
        <v>44355</v>
      </c>
      <c r="F37" s="28">
        <v>30.080593</v>
      </c>
      <c r="G37" s="29">
        <v>129787</v>
      </c>
      <c r="H37" s="10">
        <f t="shared" si="5"/>
        <v>-1.9471931645347329E-3</v>
      </c>
      <c r="I37" s="12">
        <f t="shared" si="5"/>
        <v>-7.5625497033094957E-3</v>
      </c>
      <c r="K37" s="27">
        <v>30.080593</v>
      </c>
      <c r="L37" s="28">
        <v>12714.64</v>
      </c>
      <c r="M37" s="29">
        <v>129787</v>
      </c>
      <c r="N37" s="10">
        <f t="shared" si="6"/>
        <v>-1.5268990589221265E-2</v>
      </c>
      <c r="O37" s="12">
        <f t="shared" si="7"/>
        <v>-7.5625497033094957E-3</v>
      </c>
    </row>
    <row r="38" spans="5:15" ht="30" customHeight="1" x14ac:dyDescent="0.3">
      <c r="E38" s="27">
        <v>44356</v>
      </c>
      <c r="F38" s="28">
        <v>30.043903</v>
      </c>
      <c r="G38" s="29">
        <v>129907</v>
      </c>
      <c r="H38" s="10">
        <f t="shared" si="5"/>
        <v>-1.2197232946836722E-3</v>
      </c>
      <c r="I38" s="12">
        <f t="shared" si="5"/>
        <v>9.2459183123128064E-4</v>
      </c>
      <c r="K38" s="27">
        <v>30.043903</v>
      </c>
      <c r="L38" s="28">
        <v>12733.42</v>
      </c>
      <c r="M38" s="29">
        <v>129907</v>
      </c>
      <c r="N38" s="10">
        <f t="shared" si="6"/>
        <v>1.4770374937866926E-3</v>
      </c>
      <c r="O38" s="12">
        <f t="shared" si="7"/>
        <v>9.2459183123128064E-4</v>
      </c>
    </row>
    <row r="39" spans="5:15" ht="30" customHeight="1" x14ac:dyDescent="0.3">
      <c r="E39" s="27">
        <v>44357</v>
      </c>
      <c r="F39" s="28">
        <v>30.043903</v>
      </c>
      <c r="G39" s="29">
        <v>130076</v>
      </c>
      <c r="H39" s="10">
        <f t="shared" si="5"/>
        <v>0</v>
      </c>
      <c r="I39" s="12">
        <f t="shared" si="5"/>
        <v>1.3009306657840725E-3</v>
      </c>
      <c r="K39" s="27">
        <v>30.043903</v>
      </c>
      <c r="L39" s="28">
        <v>12695.89</v>
      </c>
      <c r="M39" s="29">
        <v>130076</v>
      </c>
      <c r="N39" s="10">
        <f t="shared" si="6"/>
        <v>-2.9473621383728776E-3</v>
      </c>
      <c r="O39" s="12">
        <f t="shared" si="7"/>
        <v>1.3009306657840725E-3</v>
      </c>
    </row>
    <row r="40" spans="5:15" ht="30" customHeight="1" x14ac:dyDescent="0.3">
      <c r="E40" s="27">
        <v>44358</v>
      </c>
      <c r="F40" s="28">
        <v>30.080593</v>
      </c>
      <c r="G40" s="29">
        <v>129441</v>
      </c>
      <c r="H40" s="10">
        <f t="shared" si="5"/>
        <v>1.221212836428176E-3</v>
      </c>
      <c r="I40" s="12">
        <f t="shared" si="5"/>
        <v>-4.8817614317783198E-3</v>
      </c>
      <c r="K40" s="27">
        <v>30.080593</v>
      </c>
      <c r="L40" s="28">
        <v>12584.46</v>
      </c>
      <c r="M40" s="29">
        <v>129441</v>
      </c>
      <c r="N40" s="10">
        <f t="shared" si="6"/>
        <v>-8.7768561321813765E-3</v>
      </c>
      <c r="O40" s="12">
        <f t="shared" si="7"/>
        <v>-4.8817614317783198E-3</v>
      </c>
    </row>
    <row r="41" spans="5:15" ht="30" customHeight="1" x14ac:dyDescent="0.3">
      <c r="E41" s="27">
        <v>44361</v>
      </c>
      <c r="F41" s="28">
        <v>30.264009000000001</v>
      </c>
      <c r="G41" s="29">
        <v>130208</v>
      </c>
      <c r="H41" s="10">
        <f t="shared" si="5"/>
        <v>6.0974861765523691E-3</v>
      </c>
      <c r="I41" s="12">
        <f t="shared" si="5"/>
        <v>5.9254795621170864E-3</v>
      </c>
      <c r="K41" s="27">
        <v>30.264009000000001</v>
      </c>
      <c r="L41" s="28">
        <v>12616.73</v>
      </c>
      <c r="M41" s="29">
        <v>130208</v>
      </c>
      <c r="N41" s="10">
        <f t="shared" si="6"/>
        <v>2.5642737153601658E-3</v>
      </c>
      <c r="O41" s="12">
        <f t="shared" si="7"/>
        <v>5.9254795621170864E-3</v>
      </c>
    </row>
    <row r="42" spans="5:15" ht="30" customHeight="1" x14ac:dyDescent="0.3">
      <c r="E42" s="27">
        <v>44362</v>
      </c>
      <c r="F42" s="28">
        <v>30.264009000000001</v>
      </c>
      <c r="G42" s="29">
        <v>130091</v>
      </c>
      <c r="H42" s="10">
        <f t="shared" si="5"/>
        <v>0</v>
      </c>
      <c r="I42" s="12">
        <f t="shared" si="5"/>
        <v>-8.9856230031948314E-4</v>
      </c>
      <c r="K42" s="27">
        <v>30.264009000000001</v>
      </c>
      <c r="L42" s="28">
        <v>12688.73</v>
      </c>
      <c r="M42" s="29">
        <v>130091</v>
      </c>
      <c r="N42" s="10">
        <f t="shared" si="6"/>
        <v>5.7067084735902274E-3</v>
      </c>
      <c r="O42" s="12">
        <f t="shared" si="7"/>
        <v>-8.9856230031948314E-4</v>
      </c>
    </row>
    <row r="43" spans="5:15" ht="30" customHeight="1" x14ac:dyDescent="0.3">
      <c r="E43" s="27">
        <v>44363</v>
      </c>
      <c r="F43" s="28">
        <v>30.264009000000001</v>
      </c>
      <c r="G43" s="29">
        <v>129259</v>
      </c>
      <c r="H43" s="10">
        <f t="shared" si="5"/>
        <v>0</v>
      </c>
      <c r="I43" s="12">
        <f t="shared" si="5"/>
        <v>-6.3955231338063134E-3</v>
      </c>
      <c r="K43" s="27">
        <v>30.264009000000001</v>
      </c>
      <c r="L43" s="28">
        <v>12858.81</v>
      </c>
      <c r="M43" s="29">
        <v>129259</v>
      </c>
      <c r="N43" s="10">
        <f t="shared" si="6"/>
        <v>1.3404020733359445E-2</v>
      </c>
      <c r="O43" s="12">
        <f t="shared" si="7"/>
        <v>-6.3955231338063134E-3</v>
      </c>
    </row>
    <row r="44" spans="5:15" ht="30" customHeight="1" x14ac:dyDescent="0.3">
      <c r="E44" s="27">
        <v>44364</v>
      </c>
      <c r="F44" s="28">
        <v>30.300692000000002</v>
      </c>
      <c r="G44" s="29">
        <v>128057</v>
      </c>
      <c r="H44" s="10">
        <f t="shared" si="5"/>
        <v>1.2120998245803705E-3</v>
      </c>
      <c r="I44" s="12">
        <f t="shared" si="5"/>
        <v>-9.2991590527545798E-3</v>
      </c>
      <c r="K44" s="27">
        <v>30.300692000000002</v>
      </c>
      <c r="L44" s="28">
        <v>12844.47</v>
      </c>
      <c r="M44" s="29">
        <v>128057</v>
      </c>
      <c r="N44" s="10">
        <f t="shared" si="6"/>
        <v>-1.1151887305279606E-3</v>
      </c>
      <c r="O44" s="12">
        <f t="shared" si="7"/>
        <v>-9.2991590527545798E-3</v>
      </c>
    </row>
    <row r="45" spans="5:15" ht="30" customHeight="1" x14ac:dyDescent="0.3">
      <c r="E45" s="27">
        <v>44365</v>
      </c>
      <c r="F45" s="28">
        <v>30.696874999999999</v>
      </c>
      <c r="G45" s="29">
        <v>128405</v>
      </c>
      <c r="H45" s="10">
        <f t="shared" si="5"/>
        <v>1.307504792299774E-2</v>
      </c>
      <c r="I45" s="12">
        <f t="shared" si="5"/>
        <v>2.7175398455374644E-3</v>
      </c>
      <c r="K45" s="27">
        <v>30.696874999999999</v>
      </c>
      <c r="L45" s="28">
        <v>12740.36</v>
      </c>
      <c r="M45" s="29">
        <v>128405</v>
      </c>
      <c r="N45" s="10">
        <f t="shared" si="6"/>
        <v>-8.1054337002616217E-3</v>
      </c>
      <c r="O45" s="12">
        <f t="shared" si="7"/>
        <v>2.7175398455374644E-3</v>
      </c>
    </row>
    <row r="46" spans="5:15" ht="30" customHeight="1" x14ac:dyDescent="0.3">
      <c r="E46" s="27">
        <v>44368</v>
      </c>
      <c r="F46" s="28">
        <v>29.999889</v>
      </c>
      <c r="G46" s="29">
        <v>129265</v>
      </c>
      <c r="H46" s="10">
        <f t="shared" si="5"/>
        <v>-2.2705438257151545E-2</v>
      </c>
      <c r="I46" s="12">
        <f t="shared" si="5"/>
        <v>6.6975585062887255E-3</v>
      </c>
      <c r="K46" s="27">
        <v>29.999889</v>
      </c>
      <c r="L46" s="28">
        <v>12728.76</v>
      </c>
      <c r="M46" s="29">
        <v>129265</v>
      </c>
      <c r="N46" s="10">
        <f t="shared" si="6"/>
        <v>-9.1049232517770307E-4</v>
      </c>
      <c r="O46" s="12">
        <f t="shared" si="7"/>
        <v>6.6975585062887255E-3</v>
      </c>
    </row>
    <row r="47" spans="5:15" ht="30" customHeight="1" x14ac:dyDescent="0.3">
      <c r="E47" s="27">
        <v>44369</v>
      </c>
      <c r="F47" s="28">
        <v>30.080593</v>
      </c>
      <c r="G47" s="29">
        <v>128767</v>
      </c>
      <c r="H47" s="10">
        <f t="shared" si="5"/>
        <v>2.6901432868635666E-3</v>
      </c>
      <c r="I47" s="12">
        <f t="shared" si="5"/>
        <v>-3.8525509612037379E-3</v>
      </c>
      <c r="K47" s="27">
        <v>30.080593</v>
      </c>
      <c r="L47" s="28">
        <v>12626.67</v>
      </c>
      <c r="M47" s="29">
        <v>128767</v>
      </c>
      <c r="N47" s="10">
        <f t="shared" si="6"/>
        <v>-8.020419899503195E-3</v>
      </c>
      <c r="O47" s="12">
        <f t="shared" si="7"/>
        <v>-3.8525509612037379E-3</v>
      </c>
    </row>
    <row r="48" spans="5:15" ht="30" customHeight="1" x14ac:dyDescent="0.3">
      <c r="E48" s="27">
        <v>44370</v>
      </c>
      <c r="F48" s="28">
        <v>30.080593</v>
      </c>
      <c r="G48" s="29">
        <v>128428</v>
      </c>
      <c r="H48" s="10">
        <f t="shared" si="5"/>
        <v>0</v>
      </c>
      <c r="I48" s="12">
        <f t="shared" si="5"/>
        <v>-2.6326620951020452E-3</v>
      </c>
      <c r="K48" s="27">
        <v>30.080593</v>
      </c>
      <c r="L48" s="28">
        <v>12594.1</v>
      </c>
      <c r="M48" s="29">
        <v>128428</v>
      </c>
      <c r="N48" s="10">
        <f t="shared" si="6"/>
        <v>-2.5794607762774646E-3</v>
      </c>
      <c r="O48" s="12">
        <f t="shared" si="7"/>
        <v>-2.6326620951020452E-3</v>
      </c>
    </row>
    <row r="49" spans="5:15" ht="30" customHeight="1" x14ac:dyDescent="0.3">
      <c r="E49" s="27">
        <v>44371</v>
      </c>
      <c r="F49" s="28">
        <v>29.76511</v>
      </c>
      <c r="G49" s="29">
        <v>129514</v>
      </c>
      <c r="H49" s="10">
        <f t="shared" si="5"/>
        <v>-1.048792488898076E-2</v>
      </c>
      <c r="I49" s="12">
        <f t="shared" si="5"/>
        <v>8.4560999159062344E-3</v>
      </c>
      <c r="K49" s="27">
        <v>29.76511</v>
      </c>
      <c r="L49" s="28">
        <v>12569.58</v>
      </c>
      <c r="M49" s="29">
        <v>129514</v>
      </c>
      <c r="N49" s="10">
        <f t="shared" si="6"/>
        <v>-1.9469434100094496E-3</v>
      </c>
      <c r="O49" s="12">
        <f t="shared" si="7"/>
        <v>8.4560999159062344E-3</v>
      </c>
    </row>
    <row r="50" spans="5:15" ht="30" customHeight="1" x14ac:dyDescent="0.3">
      <c r="E50" s="27">
        <v>44372</v>
      </c>
      <c r="F50" s="28">
        <v>29.823803000000002</v>
      </c>
      <c r="G50" s="29">
        <v>127256</v>
      </c>
      <c r="H50" s="10">
        <f t="shared" si="5"/>
        <v>1.9718724372259633E-3</v>
      </c>
      <c r="I50" s="12">
        <f t="shared" si="5"/>
        <v>-1.7434408635359833E-2</v>
      </c>
      <c r="K50" s="27">
        <v>29.823803000000002</v>
      </c>
      <c r="L50" s="28">
        <v>12270.16</v>
      </c>
      <c r="M50" s="29">
        <v>127256</v>
      </c>
      <c r="N50" s="10">
        <f t="shared" si="6"/>
        <v>-2.3821002770180066E-2</v>
      </c>
      <c r="O50" s="12">
        <f t="shared" si="7"/>
        <v>-1.7434408635359833E-2</v>
      </c>
    </row>
    <row r="51" spans="5:15" ht="30" customHeight="1" x14ac:dyDescent="0.3">
      <c r="E51" s="27">
        <v>44375</v>
      </c>
      <c r="F51" s="28">
        <v>29.398277</v>
      </c>
      <c r="G51" s="29">
        <v>127429</v>
      </c>
      <c r="H51" s="10">
        <f t="shared" si="5"/>
        <v>-1.4267999289024336E-2</v>
      </c>
      <c r="I51" s="12">
        <f t="shared" si="5"/>
        <v>1.3594643867480549E-3</v>
      </c>
      <c r="K51" s="27">
        <v>29.398277</v>
      </c>
      <c r="L51" s="28">
        <v>12284.71</v>
      </c>
      <c r="M51" s="29">
        <v>127429</v>
      </c>
      <c r="N51" s="10">
        <f t="shared" si="6"/>
        <v>1.1858036081029422E-3</v>
      </c>
      <c r="O51" s="12">
        <f t="shared" si="7"/>
        <v>1.3594643867480549E-3</v>
      </c>
    </row>
    <row r="52" spans="5:15" ht="30" customHeight="1" x14ac:dyDescent="0.3">
      <c r="E52" s="27">
        <v>44376</v>
      </c>
      <c r="F52" s="28">
        <v>29.346916</v>
      </c>
      <c r="G52" s="29">
        <v>127327</v>
      </c>
      <c r="H52" s="10">
        <f t="shared" si="5"/>
        <v>-1.7470751772289406E-3</v>
      </c>
      <c r="I52" s="12">
        <f t="shared" si="5"/>
        <v>-8.0044573841120403E-4</v>
      </c>
      <c r="K52" s="27">
        <v>29.346916</v>
      </c>
      <c r="L52" s="28">
        <v>12263.83</v>
      </c>
      <c r="M52" s="29">
        <v>127327</v>
      </c>
      <c r="N52" s="10">
        <f t="shared" si="6"/>
        <v>-1.6996738221739527E-3</v>
      </c>
      <c r="O52" s="12">
        <f t="shared" si="7"/>
        <v>-8.0044573841120403E-4</v>
      </c>
    </row>
    <row r="53" spans="5:15" ht="30" customHeight="1" x14ac:dyDescent="0.3">
      <c r="E53" s="27">
        <v>44377</v>
      </c>
      <c r="F53" s="28">
        <v>29.288221</v>
      </c>
      <c r="G53" s="29">
        <v>126802</v>
      </c>
      <c r="H53" s="10">
        <f t="shared" si="5"/>
        <v>-2.0000397997527175E-3</v>
      </c>
      <c r="I53" s="12">
        <f t="shared" si="5"/>
        <v>-4.123241731918581E-3</v>
      </c>
      <c r="K53" s="27">
        <v>29.288221</v>
      </c>
      <c r="L53" s="28">
        <v>12193.03</v>
      </c>
      <c r="M53" s="29">
        <v>126802</v>
      </c>
      <c r="N53" s="10">
        <f t="shared" si="6"/>
        <v>-5.773074153832769E-3</v>
      </c>
      <c r="O53" s="12">
        <f t="shared" si="7"/>
        <v>-4.123241731918581E-3</v>
      </c>
    </row>
    <row r="54" spans="5:15" ht="30" customHeight="1" x14ac:dyDescent="0.3">
      <c r="E54" s="27">
        <v>44378</v>
      </c>
      <c r="F54" s="28">
        <v>29.053447999999999</v>
      </c>
      <c r="G54" s="29">
        <v>125666</v>
      </c>
      <c r="H54" s="10">
        <f t="shared" si="5"/>
        <v>-8.0159528979244499E-3</v>
      </c>
      <c r="I54" s="12">
        <f t="shared" si="5"/>
        <v>-8.958849229507404E-3</v>
      </c>
      <c r="K54" s="27">
        <v>29.053447999999999</v>
      </c>
      <c r="L54" s="28">
        <v>12057.5</v>
      </c>
      <c r="M54" s="29">
        <v>125666</v>
      </c>
      <c r="N54" s="10">
        <f t="shared" si="6"/>
        <v>-1.1115366730008902E-2</v>
      </c>
      <c r="O54" s="12">
        <f t="shared" si="7"/>
        <v>-8.958849229507404E-3</v>
      </c>
    </row>
    <row r="55" spans="5:15" ht="30" customHeight="1" x14ac:dyDescent="0.3">
      <c r="E55" s="27">
        <v>44379</v>
      </c>
      <c r="F55" s="28">
        <v>29.126816000000002</v>
      </c>
      <c r="G55" s="29">
        <v>127622</v>
      </c>
      <c r="H55" s="10">
        <f t="shared" si="5"/>
        <v>2.5252768621473187E-3</v>
      </c>
      <c r="I55" s="12">
        <f t="shared" si="5"/>
        <v>1.5565069310712554E-2</v>
      </c>
      <c r="K55" s="27">
        <v>29.126816000000002</v>
      </c>
      <c r="L55" s="28">
        <v>12216.23</v>
      </c>
      <c r="M55" s="29">
        <v>127622</v>
      </c>
      <c r="N55" s="10">
        <f t="shared" si="6"/>
        <v>1.3164420485175077E-2</v>
      </c>
      <c r="O55" s="12">
        <f t="shared" si="7"/>
        <v>1.5565069310712554E-2</v>
      </c>
    </row>
    <row r="56" spans="5:15" ht="30" customHeight="1" x14ac:dyDescent="0.3">
      <c r="E56" s="27">
        <v>44382</v>
      </c>
      <c r="F56" s="28">
        <v>28.980080000000001</v>
      </c>
      <c r="G56" s="29">
        <v>126920</v>
      </c>
      <c r="H56" s="10">
        <f t="shared" si="5"/>
        <v>-5.0378318042041403E-3</v>
      </c>
      <c r="I56" s="12">
        <f t="shared" si="5"/>
        <v>-5.5006190155302281E-3</v>
      </c>
      <c r="K56" s="27">
        <v>28.980080000000001</v>
      </c>
      <c r="L56" s="28">
        <v>12052.54</v>
      </c>
      <c r="M56" s="29">
        <v>126920</v>
      </c>
      <c r="N56" s="10">
        <f t="shared" si="6"/>
        <v>-1.3399387536089158E-2</v>
      </c>
      <c r="O56" s="12">
        <f t="shared" si="7"/>
        <v>-5.5006190155302281E-3</v>
      </c>
    </row>
    <row r="57" spans="5:15" ht="30" customHeight="1" x14ac:dyDescent="0.3">
      <c r="E57" s="27">
        <v>44383</v>
      </c>
      <c r="F57" s="28">
        <v>28.980080000000001</v>
      </c>
      <c r="G57" s="29">
        <v>125095</v>
      </c>
      <c r="H57" s="10">
        <f t="shared" si="5"/>
        <v>0</v>
      </c>
      <c r="I57" s="12">
        <f t="shared" si="5"/>
        <v>-1.437913646391431E-2</v>
      </c>
      <c r="K57" s="27">
        <v>28.980080000000001</v>
      </c>
      <c r="L57" s="28">
        <v>11904.92</v>
      </c>
      <c r="M57" s="29">
        <v>125095</v>
      </c>
      <c r="N57" s="10">
        <f t="shared" si="6"/>
        <v>-1.2248040661968385E-2</v>
      </c>
      <c r="O57" s="12">
        <f t="shared" si="7"/>
        <v>-1.437913646391431E-2</v>
      </c>
    </row>
    <row r="58" spans="5:15" ht="30" customHeight="1" x14ac:dyDescent="0.3">
      <c r="E58" s="27">
        <v>44384</v>
      </c>
      <c r="F58" s="28">
        <v>28.980080000000001</v>
      </c>
      <c r="G58" s="29">
        <v>127019</v>
      </c>
      <c r="H58" s="10">
        <f t="shared" si="5"/>
        <v>0</v>
      </c>
      <c r="I58" s="12">
        <f t="shared" si="5"/>
        <v>1.5380310963667654E-2</v>
      </c>
      <c r="K58" s="27">
        <v>28.980080000000001</v>
      </c>
      <c r="L58" s="28">
        <v>12049.12</v>
      </c>
      <c r="M58" s="29">
        <v>127019</v>
      </c>
      <c r="N58" s="10">
        <f t="shared" si="6"/>
        <v>1.2112639144152171E-2</v>
      </c>
      <c r="O58" s="12">
        <f t="shared" si="7"/>
        <v>1.5380310963667654E-2</v>
      </c>
    </row>
    <row r="59" spans="5:15" ht="30" customHeight="1" x14ac:dyDescent="0.3">
      <c r="E59" s="27">
        <v>44385</v>
      </c>
      <c r="F59" s="28">
        <v>28.980080000000001</v>
      </c>
      <c r="G59" s="29">
        <v>125428</v>
      </c>
      <c r="H59" s="10">
        <f t="shared" si="5"/>
        <v>0</v>
      </c>
      <c r="I59" s="12">
        <f t="shared" si="5"/>
        <v>-1.2525685133720099E-2</v>
      </c>
      <c r="K59" s="27">
        <v>28.980080000000001</v>
      </c>
      <c r="L59" s="28">
        <v>11910.09</v>
      </c>
      <c r="M59" s="29">
        <v>125428</v>
      </c>
      <c r="N59" s="10">
        <f t="shared" si="6"/>
        <v>-1.1538601989190989E-2</v>
      </c>
      <c r="O59" s="12">
        <f t="shared" si="7"/>
        <v>-1.2525685133720099E-2</v>
      </c>
    </row>
    <row r="60" spans="5:15" ht="30" customHeight="1" x14ac:dyDescent="0.3">
      <c r="E60" s="27">
        <v>44389</v>
      </c>
      <c r="F60" s="28">
        <v>28.980080000000001</v>
      </c>
      <c r="G60" s="29">
        <v>127594</v>
      </c>
      <c r="H60" s="10">
        <f t="shared" si="5"/>
        <v>0</v>
      </c>
      <c r="I60" s="12">
        <f t="shared" si="5"/>
        <v>1.7268871384379825E-2</v>
      </c>
      <c r="K60" s="27">
        <v>28.980080000000001</v>
      </c>
      <c r="L60" s="28">
        <v>12187.17</v>
      </c>
      <c r="M60" s="29">
        <v>127594</v>
      </c>
      <c r="N60" s="10">
        <f t="shared" si="6"/>
        <v>2.3264307826389219E-2</v>
      </c>
      <c r="O60" s="12">
        <f t="shared" si="7"/>
        <v>1.7268871384379825E-2</v>
      </c>
    </row>
    <row r="61" spans="5:15" ht="30" customHeight="1" x14ac:dyDescent="0.3">
      <c r="E61" s="27">
        <v>44390</v>
      </c>
      <c r="F61" s="28">
        <v>28.980080000000001</v>
      </c>
      <c r="G61" s="29">
        <v>128168</v>
      </c>
      <c r="H61" s="10">
        <f t="shared" si="5"/>
        <v>0</v>
      </c>
      <c r="I61" s="12">
        <f t="shared" si="5"/>
        <v>4.4986441368717323E-3</v>
      </c>
      <c r="K61" s="27">
        <v>28.980080000000001</v>
      </c>
      <c r="L61" s="28">
        <v>12210.01</v>
      </c>
      <c r="M61" s="29">
        <v>128168</v>
      </c>
      <c r="N61" s="10">
        <f t="shared" si="6"/>
        <v>1.8741020269676945E-3</v>
      </c>
      <c r="O61" s="12">
        <f t="shared" si="7"/>
        <v>4.4986441368717323E-3</v>
      </c>
    </row>
    <row r="62" spans="5:15" ht="30" customHeight="1" x14ac:dyDescent="0.3">
      <c r="E62" s="27">
        <v>44391</v>
      </c>
      <c r="F62" s="28">
        <v>29.787123000000001</v>
      </c>
      <c r="G62" s="29">
        <v>128407</v>
      </c>
      <c r="H62" s="10">
        <f t="shared" si="5"/>
        <v>2.7848197796555452E-2</v>
      </c>
      <c r="I62" s="12">
        <f t="shared" si="5"/>
        <v>1.8647400287123972E-3</v>
      </c>
      <c r="K62" s="27">
        <v>29.787123000000001</v>
      </c>
      <c r="L62" s="28">
        <v>12343.97</v>
      </c>
      <c r="M62" s="29">
        <v>128407</v>
      </c>
      <c r="N62" s="10">
        <f t="shared" si="6"/>
        <v>1.0971325985809965E-2</v>
      </c>
      <c r="O62" s="12">
        <f t="shared" si="7"/>
        <v>1.8647400287123972E-3</v>
      </c>
    </row>
    <row r="63" spans="5:15" ht="30" customHeight="1" x14ac:dyDescent="0.3">
      <c r="E63" s="27">
        <v>44392</v>
      </c>
      <c r="F63" s="28">
        <v>29.787123000000001</v>
      </c>
      <c r="G63" s="29">
        <v>127468</v>
      </c>
      <c r="H63" s="10">
        <f t="shared" si="5"/>
        <v>0</v>
      </c>
      <c r="I63" s="12">
        <f t="shared" si="5"/>
        <v>-7.3126854454975687E-3</v>
      </c>
      <c r="K63" s="27">
        <v>29.787123000000001</v>
      </c>
      <c r="L63" s="28">
        <v>12256.27</v>
      </c>
      <c r="M63" s="29">
        <v>127468</v>
      </c>
      <c r="N63" s="10">
        <f t="shared" si="6"/>
        <v>-7.1046835013369725E-3</v>
      </c>
      <c r="O63" s="12">
        <f t="shared" si="7"/>
        <v>-7.3126854454975687E-3</v>
      </c>
    </row>
    <row r="64" spans="5:15" ht="30" customHeight="1" x14ac:dyDescent="0.3">
      <c r="E64" s="27">
        <v>44393</v>
      </c>
      <c r="F64" s="28">
        <v>28.987418999999999</v>
      </c>
      <c r="G64" s="29">
        <v>125960</v>
      </c>
      <c r="H64" s="10">
        <f t="shared" si="5"/>
        <v>-2.6847305797206511E-2</v>
      </c>
      <c r="I64" s="12">
        <f t="shared" si="5"/>
        <v>-1.1830420183889245E-2</v>
      </c>
      <c r="K64" s="27">
        <v>28.987418999999999</v>
      </c>
      <c r="L64" s="28">
        <v>12052.06</v>
      </c>
      <c r="M64" s="29">
        <v>125960</v>
      </c>
      <c r="N64" s="10">
        <f t="shared" si="6"/>
        <v>-1.6661676023782213E-2</v>
      </c>
      <c r="O64" s="12">
        <f t="shared" si="7"/>
        <v>-1.1830420183889245E-2</v>
      </c>
    </row>
    <row r="65" spans="5:15" ht="30" customHeight="1" x14ac:dyDescent="0.3">
      <c r="E65" s="27">
        <v>44396</v>
      </c>
      <c r="F65" s="28">
        <v>28.980080000000001</v>
      </c>
      <c r="G65" s="29">
        <v>124395</v>
      </c>
      <c r="H65" s="10">
        <f t="shared" si="5"/>
        <v>-2.5317880146547012E-4</v>
      </c>
      <c r="I65" s="12">
        <f t="shared" si="5"/>
        <v>-1.2424579231502086E-2</v>
      </c>
      <c r="K65" s="27">
        <v>28.980080000000001</v>
      </c>
      <c r="L65" s="28">
        <v>11944.48</v>
      </c>
      <c r="M65" s="29">
        <v>124395</v>
      </c>
      <c r="N65" s="10">
        <f t="shared" si="6"/>
        <v>-8.9262748443004192E-3</v>
      </c>
      <c r="O65" s="12">
        <f t="shared" si="7"/>
        <v>-1.2424579231502086E-2</v>
      </c>
    </row>
    <row r="66" spans="5:15" ht="30" customHeight="1" x14ac:dyDescent="0.3">
      <c r="E66" s="27">
        <v>44397</v>
      </c>
      <c r="F66" s="28">
        <v>30.080593</v>
      </c>
      <c r="G66" s="29">
        <v>125401</v>
      </c>
      <c r="H66" s="10">
        <f t="shared" si="5"/>
        <v>3.7974808903219026E-2</v>
      </c>
      <c r="I66" s="12">
        <f t="shared" si="5"/>
        <v>8.0871417661481093E-3</v>
      </c>
      <c r="K66" s="27">
        <v>30.080593</v>
      </c>
      <c r="L66" s="28">
        <v>12059.64</v>
      </c>
      <c r="M66" s="29">
        <v>125401</v>
      </c>
      <c r="N66" s="10">
        <f t="shared" si="6"/>
        <v>9.64127362597611E-3</v>
      </c>
      <c r="O66" s="12">
        <f t="shared" si="7"/>
        <v>8.0871417661481093E-3</v>
      </c>
    </row>
    <row r="67" spans="5:15" ht="30" customHeight="1" x14ac:dyDescent="0.3">
      <c r="E67" s="27">
        <v>44398</v>
      </c>
      <c r="F67" s="28">
        <v>30.080593</v>
      </c>
      <c r="G67" s="29">
        <v>125929</v>
      </c>
      <c r="H67" s="10">
        <f t="shared" si="5"/>
        <v>0</v>
      </c>
      <c r="I67" s="12">
        <f t="shared" si="5"/>
        <v>4.2104927392923042E-3</v>
      </c>
      <c r="K67" s="27">
        <v>30.080593</v>
      </c>
      <c r="L67" s="28">
        <v>12119.51</v>
      </c>
      <c r="M67" s="29">
        <v>125929</v>
      </c>
      <c r="N67" s="10">
        <f t="shared" si="6"/>
        <v>4.9644931357819555E-3</v>
      </c>
      <c r="O67" s="12">
        <f t="shared" si="7"/>
        <v>4.2104927392923042E-3</v>
      </c>
    </row>
    <row r="68" spans="5:15" ht="30" customHeight="1" x14ac:dyDescent="0.3">
      <c r="E68" s="27">
        <v>44399</v>
      </c>
      <c r="F68" s="28">
        <v>29.346916</v>
      </c>
      <c r="G68" s="29">
        <v>126147</v>
      </c>
      <c r="H68" s="10">
        <f t="shared" si="5"/>
        <v>-2.4390376878540954E-2</v>
      </c>
      <c r="I68" s="12">
        <f t="shared" si="5"/>
        <v>1.7311342105472693E-3</v>
      </c>
      <c r="K68" s="27">
        <v>29.346916</v>
      </c>
      <c r="L68" s="28">
        <v>12023.02</v>
      </c>
      <c r="M68" s="29">
        <v>126147</v>
      </c>
      <c r="N68" s="10">
        <f t="shared" si="6"/>
        <v>-7.9615429996756637E-3</v>
      </c>
      <c r="O68" s="12">
        <f t="shared" si="7"/>
        <v>1.7311342105472693E-3</v>
      </c>
    </row>
    <row r="69" spans="5:15" ht="30" customHeight="1" x14ac:dyDescent="0.3">
      <c r="E69" s="27">
        <v>44400</v>
      </c>
      <c r="F69" s="28">
        <v>29.346916</v>
      </c>
      <c r="G69" s="29">
        <v>125053</v>
      </c>
      <c r="H69" s="10">
        <f t="shared" si="5"/>
        <v>0</v>
      </c>
      <c r="I69" s="12">
        <f t="shared" si="5"/>
        <v>-8.6724218570397582E-3</v>
      </c>
      <c r="K69" s="27">
        <v>29.346916</v>
      </c>
      <c r="L69" s="28">
        <v>11944.73</v>
      </c>
      <c r="M69" s="29">
        <v>125053</v>
      </c>
      <c r="N69" s="10">
        <f t="shared" si="6"/>
        <v>-6.5116751032603393E-3</v>
      </c>
      <c r="O69" s="12">
        <f t="shared" si="7"/>
        <v>-8.6724218570397582E-3</v>
      </c>
    </row>
    <row r="70" spans="5:15" ht="30" customHeight="1" x14ac:dyDescent="0.3">
      <c r="E70" s="27">
        <v>44403</v>
      </c>
      <c r="F70" s="28">
        <v>30.065918</v>
      </c>
      <c r="G70" s="29">
        <v>126004</v>
      </c>
      <c r="H70" s="10">
        <f t="shared" si="5"/>
        <v>2.4500087164184503E-2</v>
      </c>
      <c r="I70" s="12">
        <f t="shared" si="5"/>
        <v>7.604775575156042E-3</v>
      </c>
      <c r="K70" s="27">
        <v>30.065918</v>
      </c>
      <c r="L70" s="28">
        <v>12044.95</v>
      </c>
      <c r="M70" s="29">
        <v>126004</v>
      </c>
      <c r="N70" s="10">
        <f t="shared" si="6"/>
        <v>8.390311040936238E-3</v>
      </c>
      <c r="O70" s="12">
        <f t="shared" si="7"/>
        <v>7.604775575156042E-3</v>
      </c>
    </row>
    <row r="71" spans="5:15" ht="30" customHeight="1" x14ac:dyDescent="0.3">
      <c r="E71" s="27">
        <v>44404</v>
      </c>
      <c r="F71" s="28">
        <v>29.016763999999998</v>
      </c>
      <c r="G71" s="29">
        <v>124612</v>
      </c>
      <c r="H71" s="10">
        <f t="shared" si="5"/>
        <v>-3.4895126102585716E-2</v>
      </c>
      <c r="I71" s="12">
        <f t="shared" si="5"/>
        <v>-1.1047268340687588E-2</v>
      </c>
      <c r="K71" s="27">
        <v>29.016763999999998</v>
      </c>
      <c r="L71" s="28">
        <v>11978.9</v>
      </c>
      <c r="M71" s="29">
        <v>124612</v>
      </c>
      <c r="N71" s="10">
        <f t="shared" si="6"/>
        <v>-5.4836259179158464E-3</v>
      </c>
      <c r="O71" s="12">
        <f t="shared" si="7"/>
        <v>-1.1047268340687588E-2</v>
      </c>
    </row>
    <row r="72" spans="5:15" ht="30" customHeight="1" x14ac:dyDescent="0.3">
      <c r="E72" s="27">
        <v>44405</v>
      </c>
      <c r="F72" s="28">
        <v>28.980080000000001</v>
      </c>
      <c r="G72" s="29">
        <v>126286</v>
      </c>
      <c r="H72" s="10">
        <f t="shared" si="5"/>
        <v>-1.2642347023946732E-3</v>
      </c>
      <c r="I72" s="12">
        <f t="shared" si="5"/>
        <v>1.3433698199210253E-2</v>
      </c>
      <c r="K72" s="27">
        <v>28.980080000000001</v>
      </c>
      <c r="L72" s="28">
        <v>12115.01</v>
      </c>
      <c r="M72" s="29">
        <v>126286</v>
      </c>
      <c r="N72" s="10">
        <f t="shared" si="6"/>
        <v>1.1362479025620154E-2</v>
      </c>
      <c r="O72" s="12">
        <f t="shared" si="7"/>
        <v>1.3433698199210253E-2</v>
      </c>
    </row>
    <row r="73" spans="5:15" ht="30" customHeight="1" x14ac:dyDescent="0.3">
      <c r="E73" s="27">
        <v>44406</v>
      </c>
      <c r="F73" s="28">
        <v>28.686609000000001</v>
      </c>
      <c r="G73" s="29">
        <v>125675</v>
      </c>
      <c r="H73" s="10">
        <f t="shared" si="5"/>
        <v>-1.0126645613124596E-2</v>
      </c>
      <c r="I73" s="12">
        <f t="shared" si="5"/>
        <v>-4.8382243479087039E-3</v>
      </c>
      <c r="K73" s="27">
        <v>28.686609000000001</v>
      </c>
      <c r="L73" s="28">
        <v>12020.94</v>
      </c>
      <c r="M73" s="29">
        <v>125675</v>
      </c>
      <c r="N73" s="10">
        <f t="shared" si="6"/>
        <v>-7.7647480274468661E-3</v>
      </c>
      <c r="O73" s="12">
        <f t="shared" si="7"/>
        <v>-4.8382243479087039E-3</v>
      </c>
    </row>
    <row r="74" spans="5:15" ht="30" customHeight="1" x14ac:dyDescent="0.3">
      <c r="E74" s="27">
        <v>44407</v>
      </c>
      <c r="F74" s="28">
        <v>28.759976999999999</v>
      </c>
      <c r="G74" s="29">
        <v>121801</v>
      </c>
      <c r="H74" s="10">
        <f t="shared" si="5"/>
        <v>2.5575696311821439E-3</v>
      </c>
      <c r="I74" s="12">
        <f t="shared" si="5"/>
        <v>-3.0825542072806855E-2</v>
      </c>
      <c r="K74" s="27">
        <v>28.759976999999999</v>
      </c>
      <c r="L74" s="28">
        <v>11713.83</v>
      </c>
      <c r="M74" s="29">
        <v>121801</v>
      </c>
      <c r="N74" s="10">
        <f t="shared" si="6"/>
        <v>-2.5547918881551723E-2</v>
      </c>
      <c r="O74" s="12">
        <f t="shared" si="7"/>
        <v>-3.0825542072806855E-2</v>
      </c>
    </row>
    <row r="75" spans="5:15" ht="30" customHeight="1" x14ac:dyDescent="0.3">
      <c r="E75" s="27">
        <v>44410</v>
      </c>
      <c r="F75" s="28">
        <v>28.759976999999999</v>
      </c>
      <c r="G75" s="29">
        <v>122516</v>
      </c>
      <c r="H75" s="10">
        <f t="shared" si="5"/>
        <v>0</v>
      </c>
      <c r="I75" s="12">
        <f t="shared" si="5"/>
        <v>5.8702309504847783E-3</v>
      </c>
      <c r="K75" s="27">
        <v>28.759976999999999</v>
      </c>
      <c r="L75" s="28">
        <v>11845.46</v>
      </c>
      <c r="M75" s="29">
        <v>122516</v>
      </c>
      <c r="N75" s="10">
        <f t="shared" si="6"/>
        <v>1.1237144469400606E-2</v>
      </c>
      <c r="O75" s="12">
        <f t="shared" si="7"/>
        <v>5.8702309504847783E-3</v>
      </c>
    </row>
    <row r="76" spans="5:15" ht="30" customHeight="1" x14ac:dyDescent="0.3">
      <c r="E76" s="27">
        <v>44411</v>
      </c>
      <c r="F76" s="28">
        <v>28.649930999999999</v>
      </c>
      <c r="G76" s="29">
        <v>123577</v>
      </c>
      <c r="H76" s="10">
        <f t="shared" si="5"/>
        <v>-3.8263591100924366E-3</v>
      </c>
      <c r="I76" s="12">
        <f t="shared" si="5"/>
        <v>8.6600933755591747E-3</v>
      </c>
      <c r="K76" s="27">
        <v>28.649930999999999</v>
      </c>
      <c r="L76" s="28">
        <v>11962.41</v>
      </c>
      <c r="M76" s="29">
        <v>123577</v>
      </c>
      <c r="N76" s="10">
        <f t="shared" si="6"/>
        <v>9.8729808719966172E-3</v>
      </c>
      <c r="O76" s="12">
        <f t="shared" si="7"/>
        <v>8.6600933755591747E-3</v>
      </c>
    </row>
    <row r="77" spans="5:15" ht="30" customHeight="1" x14ac:dyDescent="0.3">
      <c r="E77" s="27">
        <v>44412</v>
      </c>
      <c r="F77" s="28">
        <v>28.613244999999999</v>
      </c>
      <c r="G77" s="29">
        <v>121801</v>
      </c>
      <c r="H77" s="10">
        <f t="shared" si="5"/>
        <v>-1.280491740102252E-3</v>
      </c>
      <c r="I77" s="12">
        <f t="shared" si="5"/>
        <v>-1.4371606366880618E-2</v>
      </c>
      <c r="K77" s="27">
        <v>28.613244999999999</v>
      </c>
      <c r="L77" s="28">
        <v>11699.26</v>
      </c>
      <c r="M77" s="29">
        <v>121801</v>
      </c>
      <c r="N77" s="10">
        <f t="shared" si="6"/>
        <v>-2.1998075638604564E-2</v>
      </c>
      <c r="O77" s="12">
        <f t="shared" si="7"/>
        <v>-1.4371606366880618E-2</v>
      </c>
    </row>
    <row r="78" spans="5:15" ht="30" customHeight="1" x14ac:dyDescent="0.3">
      <c r="E78" s="27">
        <v>44413</v>
      </c>
      <c r="F78" s="28">
        <v>28.17304</v>
      </c>
      <c r="G78" s="29">
        <v>121633</v>
      </c>
      <c r="H78" s="10">
        <f t="shared" si="5"/>
        <v>-1.5384658398584272E-2</v>
      </c>
      <c r="I78" s="12">
        <f t="shared" si="5"/>
        <v>-1.3792990205334643E-3</v>
      </c>
      <c r="K78" s="27">
        <v>28.17304</v>
      </c>
      <c r="L78" s="28">
        <v>11635.02</v>
      </c>
      <c r="M78" s="29">
        <v>121633</v>
      </c>
      <c r="N78" s="10">
        <f t="shared" si="6"/>
        <v>-5.4909455811734675E-3</v>
      </c>
      <c r="O78" s="12">
        <f t="shared" si="7"/>
        <v>-1.3792990205334643E-3</v>
      </c>
    </row>
    <row r="79" spans="5:15" ht="30" customHeight="1" x14ac:dyDescent="0.3">
      <c r="E79" s="27">
        <v>44414</v>
      </c>
      <c r="F79" s="28">
        <v>27.952938</v>
      </c>
      <c r="G79" s="29">
        <v>122810</v>
      </c>
      <c r="H79" s="10">
        <f t="shared" si="5"/>
        <v>-7.8125044368658747E-3</v>
      </c>
      <c r="I79" s="12">
        <f t="shared" si="5"/>
        <v>9.6766502511653751E-3</v>
      </c>
      <c r="K79" s="27">
        <v>27.952938</v>
      </c>
      <c r="L79" s="28">
        <v>11879.58</v>
      </c>
      <c r="M79" s="29">
        <v>122810</v>
      </c>
      <c r="N79" s="10">
        <f t="shared" si="6"/>
        <v>2.1019302072536217E-2</v>
      </c>
      <c r="O79" s="12">
        <f t="shared" si="7"/>
        <v>9.6766502511653751E-3</v>
      </c>
    </row>
    <row r="80" spans="5:15" ht="30" customHeight="1" x14ac:dyDescent="0.3">
      <c r="E80" s="27">
        <v>44417</v>
      </c>
      <c r="F80" s="28">
        <v>28.026306000000002</v>
      </c>
      <c r="G80" s="29">
        <v>123019</v>
      </c>
      <c r="H80" s="10">
        <f t="shared" si="5"/>
        <v>2.6246972679579983E-3</v>
      </c>
      <c r="I80" s="12">
        <f t="shared" si="5"/>
        <v>1.701815813044627E-3</v>
      </c>
      <c r="K80" s="27">
        <v>28.026306000000002</v>
      </c>
      <c r="L80" s="28">
        <v>11941.67</v>
      </c>
      <c r="M80" s="29">
        <v>123019</v>
      </c>
      <c r="N80" s="10">
        <f t="shared" si="6"/>
        <v>5.2266157557758763E-3</v>
      </c>
      <c r="O80" s="12">
        <f t="shared" si="7"/>
        <v>1.701815813044627E-3</v>
      </c>
    </row>
    <row r="81" spans="5:15" ht="30" customHeight="1" x14ac:dyDescent="0.3">
      <c r="E81" s="27">
        <v>44418</v>
      </c>
      <c r="F81" s="28">
        <v>28.026306000000002</v>
      </c>
      <c r="G81" s="29">
        <v>122202</v>
      </c>
      <c r="H81" s="10">
        <f t="shared" si="5"/>
        <v>0</v>
      </c>
      <c r="I81" s="12">
        <f t="shared" si="5"/>
        <v>-6.6412505385347043E-3</v>
      </c>
      <c r="K81" s="27">
        <v>28.026306000000002</v>
      </c>
      <c r="L81" s="28">
        <v>11785.35</v>
      </c>
      <c r="M81" s="29">
        <v>122202</v>
      </c>
      <c r="N81" s="10">
        <f t="shared" si="6"/>
        <v>-1.3090296415827929E-2</v>
      </c>
      <c r="O81" s="12">
        <f t="shared" si="7"/>
        <v>-6.6412505385347043E-3</v>
      </c>
    </row>
    <row r="82" spans="5:15" ht="30" customHeight="1" x14ac:dyDescent="0.3">
      <c r="E82" s="27">
        <v>44419</v>
      </c>
      <c r="F82" s="28">
        <v>29.948528</v>
      </c>
      <c r="G82" s="29">
        <v>122056</v>
      </c>
      <c r="H82" s="10">
        <f t="shared" si="5"/>
        <v>6.8586348839550837E-2</v>
      </c>
      <c r="I82" s="12">
        <f t="shared" si="5"/>
        <v>-1.1947431302270495E-3</v>
      </c>
      <c r="K82" s="27">
        <v>29.948528</v>
      </c>
      <c r="L82" s="28">
        <v>11725.86</v>
      </c>
      <c r="M82" s="29">
        <v>122056</v>
      </c>
      <c r="N82" s="10">
        <f t="shared" si="6"/>
        <v>-5.0477923863101459E-3</v>
      </c>
      <c r="O82" s="12">
        <f t="shared" si="7"/>
        <v>-1.1947431302270495E-3</v>
      </c>
    </row>
    <row r="83" spans="5:15" ht="30" customHeight="1" x14ac:dyDescent="0.3">
      <c r="E83" s="27">
        <v>44420</v>
      </c>
      <c r="F83" s="28">
        <v>30.594159999999999</v>
      </c>
      <c r="G83" s="29">
        <v>120701</v>
      </c>
      <c r="H83" s="10">
        <f t="shared" si="5"/>
        <v>2.1558054539441818E-2</v>
      </c>
      <c r="I83" s="12">
        <f t="shared" si="5"/>
        <v>-1.1101461624172471E-2</v>
      </c>
      <c r="K83" s="27">
        <v>30.594159999999999</v>
      </c>
      <c r="L83" s="28">
        <v>11366.35</v>
      </c>
      <c r="M83" s="29">
        <v>120701</v>
      </c>
      <c r="N83" s="10">
        <f t="shared" si="6"/>
        <v>-3.0659584883326318E-2</v>
      </c>
      <c r="O83" s="12">
        <f t="shared" si="7"/>
        <v>-1.1101461624172471E-2</v>
      </c>
    </row>
    <row r="84" spans="5:15" ht="30" customHeight="1" x14ac:dyDescent="0.3">
      <c r="E84" s="27">
        <v>44421</v>
      </c>
      <c r="F84" s="28">
        <v>28.730630999999999</v>
      </c>
      <c r="G84" s="29">
        <v>121194</v>
      </c>
      <c r="H84" s="10">
        <f t="shared" si="5"/>
        <v>-6.0911265417975202E-2</v>
      </c>
      <c r="I84" s="12">
        <f t="shared" si="5"/>
        <v>4.0844732023761487E-3</v>
      </c>
      <c r="K84" s="27">
        <v>28.730630999999999</v>
      </c>
      <c r="L84" s="28">
        <v>11498.91</v>
      </c>
      <c r="M84" s="29">
        <v>121194</v>
      </c>
      <c r="N84" s="10">
        <f t="shared" si="6"/>
        <v>1.1662494996194761E-2</v>
      </c>
      <c r="O84" s="12">
        <f t="shared" si="7"/>
        <v>4.0844732023761487E-3</v>
      </c>
    </row>
    <row r="85" spans="5:15" ht="30" customHeight="1" x14ac:dyDescent="0.3">
      <c r="E85" s="27">
        <v>44424</v>
      </c>
      <c r="F85" s="28">
        <v>29.354254000000001</v>
      </c>
      <c r="G85" s="29">
        <v>119180</v>
      </c>
      <c r="H85" s="10">
        <f t="shared" si="5"/>
        <v>2.1705858113593157E-2</v>
      </c>
      <c r="I85" s="12">
        <f t="shared" si="5"/>
        <v>-1.6617984388666129E-2</v>
      </c>
      <c r="K85" s="27">
        <v>29.354254000000001</v>
      </c>
      <c r="L85" s="28">
        <v>11275.58</v>
      </c>
      <c r="M85" s="29">
        <v>119180</v>
      </c>
      <c r="N85" s="10">
        <f t="shared" si="6"/>
        <v>-1.9421840852741679E-2</v>
      </c>
      <c r="O85" s="12">
        <f t="shared" si="7"/>
        <v>-1.6617984388666129E-2</v>
      </c>
    </row>
    <row r="86" spans="5:15" ht="30" customHeight="1" x14ac:dyDescent="0.3">
      <c r="E86" s="27">
        <v>44425</v>
      </c>
      <c r="F86" s="28">
        <v>30.447427999999999</v>
      </c>
      <c r="G86" s="29">
        <v>117904</v>
      </c>
      <c r="H86" s="10">
        <f t="shared" si="5"/>
        <v>3.7240735192929808E-2</v>
      </c>
      <c r="I86" s="12">
        <f t="shared" si="5"/>
        <v>-1.070649437825133E-2</v>
      </c>
      <c r="K86" s="27">
        <v>30.447427999999999</v>
      </c>
      <c r="L86" s="28">
        <v>11162.15</v>
      </c>
      <c r="M86" s="29">
        <v>117904</v>
      </c>
      <c r="N86" s="10">
        <f t="shared" si="6"/>
        <v>-1.0059792933046485E-2</v>
      </c>
      <c r="O86" s="12">
        <f t="shared" si="7"/>
        <v>-1.070649437825133E-2</v>
      </c>
    </row>
    <row r="87" spans="5:15" ht="30" customHeight="1" x14ac:dyDescent="0.3">
      <c r="E87" s="27">
        <v>44426</v>
      </c>
      <c r="F87" s="28">
        <v>29.060787000000001</v>
      </c>
      <c r="G87" s="29">
        <v>116643</v>
      </c>
      <c r="H87" s="10">
        <f t="shared" si="5"/>
        <v>-4.5542139060153031E-2</v>
      </c>
      <c r="I87" s="12">
        <f t="shared" si="5"/>
        <v>-1.0695141810286302E-2</v>
      </c>
      <c r="K87" s="27">
        <v>29.060787000000001</v>
      </c>
      <c r="L87" s="28">
        <v>11114.82</v>
      </c>
      <c r="M87" s="29">
        <v>116643</v>
      </c>
      <c r="N87" s="10">
        <f t="shared" si="6"/>
        <v>-4.2402225377727865E-3</v>
      </c>
      <c r="O87" s="12">
        <f t="shared" si="7"/>
        <v>-1.0695141810286302E-2</v>
      </c>
    </row>
    <row r="88" spans="5:15" ht="30" customHeight="1" x14ac:dyDescent="0.3">
      <c r="E88" s="27">
        <v>44427</v>
      </c>
      <c r="F88" s="28">
        <v>30.557480000000002</v>
      </c>
      <c r="G88" s="29">
        <v>117165</v>
      </c>
      <c r="H88" s="10">
        <f t="shared" ref="H88:I151" si="8">F88/F87-1</f>
        <v>5.1502149614874426E-2</v>
      </c>
      <c r="I88" s="12">
        <f t="shared" si="8"/>
        <v>4.4751935392608466E-3</v>
      </c>
      <c r="K88" s="27">
        <v>30.557480000000002</v>
      </c>
      <c r="L88" s="28">
        <v>11207.82</v>
      </c>
      <c r="M88" s="29">
        <v>117165</v>
      </c>
      <c r="N88" s="10">
        <f t="shared" ref="N88:N151" si="9">L88/L87-1</f>
        <v>8.3672070262945653E-3</v>
      </c>
      <c r="O88" s="12">
        <f t="shared" ref="O88:O151" si="10">M88/M87-1</f>
        <v>4.4751935392608466E-3</v>
      </c>
    </row>
    <row r="89" spans="5:15" ht="30" customHeight="1" x14ac:dyDescent="0.3">
      <c r="E89" s="27">
        <v>44428</v>
      </c>
      <c r="F89" s="28">
        <v>30.080593</v>
      </c>
      <c r="G89" s="29">
        <v>118053</v>
      </c>
      <c r="H89" s="10">
        <f t="shared" si="8"/>
        <v>-1.5606228000476507E-2</v>
      </c>
      <c r="I89" s="12">
        <f t="shared" si="8"/>
        <v>7.5790551785943627E-3</v>
      </c>
      <c r="K89" s="27">
        <v>30.080593</v>
      </c>
      <c r="L89" s="28">
        <v>11240.87</v>
      </c>
      <c r="M89" s="29">
        <v>118053</v>
      </c>
      <c r="N89" s="10">
        <f t="shared" si="9"/>
        <v>2.9488339391603446E-3</v>
      </c>
      <c r="O89" s="12">
        <f t="shared" si="10"/>
        <v>7.5790551785943627E-3</v>
      </c>
    </row>
    <row r="90" spans="5:15" ht="30" customHeight="1" x14ac:dyDescent="0.3">
      <c r="E90" s="27">
        <v>44431</v>
      </c>
      <c r="F90" s="28">
        <v>29.721088000000002</v>
      </c>
      <c r="G90" s="29">
        <v>117472</v>
      </c>
      <c r="H90" s="10">
        <f t="shared" si="8"/>
        <v>-1.1951393378448305E-2</v>
      </c>
      <c r="I90" s="12">
        <f t="shared" si="8"/>
        <v>-4.9215183011021013E-3</v>
      </c>
      <c r="K90" s="27">
        <v>29.721088000000002</v>
      </c>
      <c r="L90" s="28">
        <v>11207.94</v>
      </c>
      <c r="M90" s="29">
        <v>117472</v>
      </c>
      <c r="N90" s="10">
        <f t="shared" si="9"/>
        <v>-2.9294885538219129E-3</v>
      </c>
      <c r="O90" s="12">
        <f t="shared" si="10"/>
        <v>-4.9215183011021013E-3</v>
      </c>
    </row>
    <row r="91" spans="5:15" ht="30" customHeight="1" x14ac:dyDescent="0.3">
      <c r="E91" s="27">
        <v>44432</v>
      </c>
      <c r="F91" s="28">
        <v>29.721088000000002</v>
      </c>
      <c r="G91" s="29">
        <v>120211</v>
      </c>
      <c r="H91" s="10">
        <f t="shared" si="8"/>
        <v>0</v>
      </c>
      <c r="I91" s="12">
        <f t="shared" si="8"/>
        <v>2.3316194497412068E-2</v>
      </c>
      <c r="K91" s="27">
        <v>29.721088000000002</v>
      </c>
      <c r="L91" s="28">
        <v>11454.74</v>
      </c>
      <c r="M91" s="29">
        <v>120211</v>
      </c>
      <c r="N91" s="10">
        <f t="shared" si="9"/>
        <v>2.2020103605122632E-2</v>
      </c>
      <c r="O91" s="12">
        <f t="shared" si="10"/>
        <v>2.3316194497412068E-2</v>
      </c>
    </row>
    <row r="92" spans="5:15" ht="30" customHeight="1" x14ac:dyDescent="0.3">
      <c r="E92" s="27">
        <v>44433</v>
      </c>
      <c r="F92" s="28">
        <v>30.374058000000002</v>
      </c>
      <c r="G92" s="29">
        <v>120818</v>
      </c>
      <c r="H92" s="10">
        <f t="shared" si="8"/>
        <v>2.1969922500818306E-2</v>
      </c>
      <c r="I92" s="12">
        <f t="shared" si="8"/>
        <v>5.0494547088035802E-3</v>
      </c>
      <c r="K92" s="27">
        <v>30.374058000000002</v>
      </c>
      <c r="L92" s="28">
        <v>11441.33</v>
      </c>
      <c r="M92" s="29">
        <v>120818</v>
      </c>
      <c r="N92" s="10">
        <f t="shared" si="9"/>
        <v>-1.1706944024918453E-3</v>
      </c>
      <c r="O92" s="12">
        <f t="shared" si="10"/>
        <v>5.0494547088035802E-3</v>
      </c>
    </row>
    <row r="93" spans="5:15" ht="30" customHeight="1" x14ac:dyDescent="0.3">
      <c r="E93" s="27">
        <v>44434</v>
      </c>
      <c r="F93" s="28">
        <v>30.374058000000002</v>
      </c>
      <c r="G93" s="29">
        <v>118724</v>
      </c>
      <c r="H93" s="10">
        <f t="shared" si="8"/>
        <v>0</v>
      </c>
      <c r="I93" s="12">
        <f t="shared" si="8"/>
        <v>-1.7331854524987977E-2</v>
      </c>
      <c r="K93" s="27">
        <v>30.374058000000002</v>
      </c>
      <c r="L93" s="28">
        <v>11245.21</v>
      </c>
      <c r="M93" s="29">
        <v>118724</v>
      </c>
      <c r="N93" s="10">
        <f t="shared" si="9"/>
        <v>-1.7141363809976662E-2</v>
      </c>
      <c r="O93" s="12">
        <f t="shared" si="10"/>
        <v>-1.7331854524987977E-2</v>
      </c>
    </row>
    <row r="94" spans="5:15" ht="30" customHeight="1" x14ac:dyDescent="0.3">
      <c r="E94" s="27">
        <v>44435</v>
      </c>
      <c r="F94" s="28">
        <v>30.440090000000001</v>
      </c>
      <c r="G94" s="29">
        <v>120678</v>
      </c>
      <c r="H94" s="10">
        <f t="shared" si="8"/>
        <v>2.1739604237274168E-3</v>
      </c>
      <c r="I94" s="12">
        <f t="shared" si="8"/>
        <v>1.6458340352413892E-2</v>
      </c>
      <c r="K94" s="27">
        <v>30.440090000000001</v>
      </c>
      <c r="L94" s="28">
        <v>11501.72</v>
      </c>
      <c r="M94" s="29">
        <v>120678</v>
      </c>
      <c r="N94" s="10">
        <f t="shared" si="9"/>
        <v>2.2810601135950348E-2</v>
      </c>
      <c r="O94" s="12">
        <f t="shared" si="10"/>
        <v>1.6458340352413892E-2</v>
      </c>
    </row>
    <row r="95" spans="5:15" ht="30" customHeight="1" x14ac:dyDescent="0.3">
      <c r="E95" s="27">
        <v>44438</v>
      </c>
      <c r="F95" s="28">
        <v>30.080593</v>
      </c>
      <c r="G95" s="29">
        <v>119740</v>
      </c>
      <c r="H95" s="10">
        <f t="shared" si="8"/>
        <v>-1.1809984793080486E-2</v>
      </c>
      <c r="I95" s="12">
        <f t="shared" si="8"/>
        <v>-7.7727506256318746E-3</v>
      </c>
      <c r="K95" s="27">
        <v>30.080593</v>
      </c>
      <c r="L95" s="28">
        <v>11367.42</v>
      </c>
      <c r="M95" s="29">
        <v>119740</v>
      </c>
      <c r="N95" s="10">
        <f t="shared" si="9"/>
        <v>-1.1676514469140198E-2</v>
      </c>
      <c r="O95" s="12">
        <f t="shared" si="10"/>
        <v>-7.7727506256318746E-3</v>
      </c>
    </row>
    <row r="96" spans="5:15" ht="30" customHeight="1" x14ac:dyDescent="0.3">
      <c r="E96" s="27">
        <v>44439</v>
      </c>
      <c r="F96" s="28">
        <v>30.080593</v>
      </c>
      <c r="G96" s="29">
        <v>118781</v>
      </c>
      <c r="H96" s="10">
        <f t="shared" si="8"/>
        <v>0</v>
      </c>
      <c r="I96" s="12">
        <f t="shared" si="8"/>
        <v>-8.0090195423417887E-3</v>
      </c>
      <c r="K96" s="27">
        <v>30.080593</v>
      </c>
      <c r="L96" s="28">
        <v>11445.27</v>
      </c>
      <c r="M96" s="29">
        <v>118781</v>
      </c>
      <c r="N96" s="10">
        <f t="shared" si="9"/>
        <v>6.8485197168750567E-3</v>
      </c>
      <c r="O96" s="12">
        <f t="shared" si="10"/>
        <v>-8.0090195423417887E-3</v>
      </c>
    </row>
    <row r="97" spans="5:15" ht="30" customHeight="1" x14ac:dyDescent="0.3">
      <c r="E97" s="27">
        <v>44440</v>
      </c>
      <c r="F97" s="28">
        <v>30.447427999999999</v>
      </c>
      <c r="G97" s="29">
        <v>119396</v>
      </c>
      <c r="H97" s="10">
        <f t="shared" si="8"/>
        <v>1.2195072085181335E-2</v>
      </c>
      <c r="I97" s="12">
        <f t="shared" si="8"/>
        <v>5.1775957434270214E-3</v>
      </c>
      <c r="K97" s="27">
        <v>30.447427999999999</v>
      </c>
      <c r="L97" s="28">
        <v>11483.87</v>
      </c>
      <c r="M97" s="29">
        <v>119396</v>
      </c>
      <c r="N97" s="10">
        <f t="shared" si="9"/>
        <v>3.3725722503707978E-3</v>
      </c>
      <c r="O97" s="12">
        <f t="shared" si="10"/>
        <v>5.1775957434270214E-3</v>
      </c>
    </row>
    <row r="98" spans="5:15" ht="30" customHeight="1" x14ac:dyDescent="0.3">
      <c r="E98" s="27">
        <v>44441</v>
      </c>
      <c r="F98" s="28">
        <v>29.200184</v>
      </c>
      <c r="G98" s="29">
        <v>116677</v>
      </c>
      <c r="H98" s="10">
        <f t="shared" si="8"/>
        <v>-4.0963854155431356E-2</v>
      </c>
      <c r="I98" s="12">
        <f t="shared" si="8"/>
        <v>-2.2772957217997214E-2</v>
      </c>
      <c r="K98" s="27">
        <v>29.200184</v>
      </c>
      <c r="L98" s="28">
        <v>11136.53</v>
      </c>
      <c r="M98" s="29">
        <v>116677</v>
      </c>
      <c r="N98" s="10">
        <f t="shared" si="9"/>
        <v>-3.0245901425216437E-2</v>
      </c>
      <c r="O98" s="12">
        <f t="shared" si="10"/>
        <v>-2.2772957217997214E-2</v>
      </c>
    </row>
    <row r="99" spans="5:15" ht="30" customHeight="1" x14ac:dyDescent="0.3">
      <c r="E99" s="27">
        <v>44442</v>
      </c>
      <c r="F99" s="28">
        <v>29.200184</v>
      </c>
      <c r="G99" s="29">
        <v>116933</v>
      </c>
      <c r="H99" s="10">
        <f t="shared" si="8"/>
        <v>0</v>
      </c>
      <c r="I99" s="12">
        <f t="shared" si="8"/>
        <v>2.1940913804776585E-3</v>
      </c>
      <c r="K99" s="27">
        <v>29.200184</v>
      </c>
      <c r="L99" s="28">
        <v>11059.22</v>
      </c>
      <c r="M99" s="29">
        <v>116933</v>
      </c>
      <c r="N99" s="10">
        <f t="shared" si="9"/>
        <v>-6.9420187437201353E-3</v>
      </c>
      <c r="O99" s="12">
        <f t="shared" si="10"/>
        <v>2.1940913804776585E-3</v>
      </c>
    </row>
    <row r="100" spans="5:15" ht="30" customHeight="1" x14ac:dyDescent="0.3">
      <c r="E100" s="27">
        <v>44445</v>
      </c>
      <c r="F100" s="28">
        <v>29.090128</v>
      </c>
      <c r="G100" s="29">
        <v>117869</v>
      </c>
      <c r="H100" s="10">
        <f t="shared" si="8"/>
        <v>-3.7690173459180576E-3</v>
      </c>
      <c r="I100" s="12">
        <f t="shared" si="8"/>
        <v>8.0045838215045961E-3</v>
      </c>
      <c r="K100" s="27">
        <v>29.090128</v>
      </c>
      <c r="L100" s="28">
        <v>11203.33</v>
      </c>
      <c r="M100" s="29">
        <v>117869</v>
      </c>
      <c r="N100" s="10">
        <f t="shared" si="9"/>
        <v>1.3030756237781826E-2</v>
      </c>
      <c r="O100" s="12">
        <f t="shared" si="10"/>
        <v>8.0045838215045961E-3</v>
      </c>
    </row>
    <row r="101" spans="5:15" ht="30" customHeight="1" x14ac:dyDescent="0.3">
      <c r="E101" s="27">
        <v>44447</v>
      </c>
      <c r="F101" s="28">
        <v>28.620581000000001</v>
      </c>
      <c r="G101" s="29">
        <v>113413</v>
      </c>
      <c r="H101" s="10">
        <f t="shared" si="8"/>
        <v>-1.614111151384412E-2</v>
      </c>
      <c r="I101" s="12">
        <f t="shared" si="8"/>
        <v>-3.7804681468409873E-2</v>
      </c>
      <c r="K101" s="27">
        <v>28.620581000000001</v>
      </c>
      <c r="L101" s="28">
        <v>10577.57</v>
      </c>
      <c r="M101" s="29">
        <v>113413</v>
      </c>
      <c r="N101" s="10">
        <f t="shared" si="9"/>
        <v>-5.5854821736037397E-2</v>
      </c>
      <c r="O101" s="12">
        <f t="shared" si="10"/>
        <v>-3.7804681468409873E-2</v>
      </c>
    </row>
    <row r="102" spans="5:15" ht="30" customHeight="1" x14ac:dyDescent="0.3">
      <c r="E102" s="27">
        <v>44448</v>
      </c>
      <c r="F102" s="28">
        <v>28.18038</v>
      </c>
      <c r="G102" s="29">
        <v>115361</v>
      </c>
      <c r="H102" s="10">
        <f t="shared" si="8"/>
        <v>-1.5380575258063467E-2</v>
      </c>
      <c r="I102" s="12">
        <f t="shared" si="8"/>
        <v>1.7176161462971518E-2</v>
      </c>
      <c r="K102" s="27">
        <v>28.18038</v>
      </c>
      <c r="L102" s="28">
        <v>10804.78</v>
      </c>
      <c r="M102" s="29">
        <v>115361</v>
      </c>
      <c r="N102" s="10">
        <f t="shared" si="9"/>
        <v>2.1480358910411557E-2</v>
      </c>
      <c r="O102" s="12">
        <f t="shared" si="10"/>
        <v>1.7176161462971518E-2</v>
      </c>
    </row>
    <row r="103" spans="5:15" ht="30" customHeight="1" x14ac:dyDescent="0.3">
      <c r="E103" s="27">
        <v>44449</v>
      </c>
      <c r="F103" s="28">
        <v>28.613244999999999</v>
      </c>
      <c r="G103" s="29">
        <v>114286</v>
      </c>
      <c r="H103" s="10">
        <f t="shared" si="8"/>
        <v>1.5360509687945889E-2</v>
      </c>
      <c r="I103" s="12">
        <f t="shared" si="8"/>
        <v>-9.3185738681182961E-3</v>
      </c>
      <c r="K103" s="27">
        <v>28.613244999999999</v>
      </c>
      <c r="L103" s="28">
        <v>10716.73</v>
      </c>
      <c r="M103" s="29">
        <v>114286</v>
      </c>
      <c r="N103" s="10">
        <f t="shared" si="9"/>
        <v>-8.1491710150508601E-3</v>
      </c>
      <c r="O103" s="12">
        <f t="shared" si="10"/>
        <v>-9.3185738681182961E-3</v>
      </c>
    </row>
    <row r="104" spans="5:15" ht="30" customHeight="1" x14ac:dyDescent="0.3">
      <c r="E104" s="27">
        <v>44452</v>
      </c>
      <c r="F104" s="28">
        <v>28.906713</v>
      </c>
      <c r="G104" s="29">
        <v>116404</v>
      </c>
      <c r="H104" s="10">
        <f t="shared" si="8"/>
        <v>1.0256369034690183E-2</v>
      </c>
      <c r="I104" s="12">
        <f t="shared" si="8"/>
        <v>1.85324536688658E-2</v>
      </c>
      <c r="K104" s="27">
        <v>28.906713</v>
      </c>
      <c r="L104" s="28">
        <v>10962.43</v>
      </c>
      <c r="M104" s="29">
        <v>116404</v>
      </c>
      <c r="N104" s="10">
        <f t="shared" si="9"/>
        <v>2.2926769639619593E-2</v>
      </c>
      <c r="O104" s="12">
        <f t="shared" si="10"/>
        <v>1.85324536688658E-2</v>
      </c>
    </row>
    <row r="105" spans="5:15" ht="30" customHeight="1" x14ac:dyDescent="0.3">
      <c r="E105" s="27">
        <v>44453</v>
      </c>
      <c r="F105" s="28">
        <v>28.980080000000001</v>
      </c>
      <c r="G105" s="29">
        <v>116181</v>
      </c>
      <c r="H105" s="10">
        <f t="shared" si="8"/>
        <v>2.5380609687446487E-3</v>
      </c>
      <c r="I105" s="12">
        <f t="shared" si="8"/>
        <v>-1.9157417270884158E-3</v>
      </c>
      <c r="K105" s="27">
        <v>28.980080000000001</v>
      </c>
      <c r="L105" s="28">
        <v>10937.85</v>
      </c>
      <c r="M105" s="29">
        <v>116181</v>
      </c>
      <c r="N105" s="10">
        <f t="shared" si="9"/>
        <v>-2.2422035990194988E-3</v>
      </c>
      <c r="O105" s="12">
        <f t="shared" si="10"/>
        <v>-1.9157417270884158E-3</v>
      </c>
    </row>
    <row r="106" spans="5:15" ht="30" customHeight="1" x14ac:dyDescent="0.3">
      <c r="E106" s="27">
        <v>44454</v>
      </c>
      <c r="F106" s="28">
        <v>28.980080000000001</v>
      </c>
      <c r="G106" s="29">
        <v>115063</v>
      </c>
      <c r="H106" s="10">
        <f t="shared" si="8"/>
        <v>0</v>
      </c>
      <c r="I106" s="12">
        <f t="shared" si="8"/>
        <v>-9.6229159673268949E-3</v>
      </c>
      <c r="K106" s="27">
        <v>28.980080000000001</v>
      </c>
      <c r="L106" s="28">
        <v>10814.08</v>
      </c>
      <c r="M106" s="29">
        <v>115063</v>
      </c>
      <c r="N106" s="10">
        <f t="shared" si="9"/>
        <v>-1.1315752181644489E-2</v>
      </c>
      <c r="O106" s="12">
        <f t="shared" si="10"/>
        <v>-9.6229159673268949E-3</v>
      </c>
    </row>
    <row r="107" spans="5:15" ht="30" customHeight="1" x14ac:dyDescent="0.3">
      <c r="E107" s="27">
        <v>44455</v>
      </c>
      <c r="F107" s="28">
        <v>29.493652000000001</v>
      </c>
      <c r="G107" s="29">
        <v>113794</v>
      </c>
      <c r="H107" s="10">
        <f t="shared" si="8"/>
        <v>1.7721552183430855E-2</v>
      </c>
      <c r="I107" s="12">
        <f t="shared" si="8"/>
        <v>-1.1028740776791834E-2</v>
      </c>
      <c r="K107" s="27">
        <v>29.493652000000001</v>
      </c>
      <c r="L107" s="28">
        <v>10803.04</v>
      </c>
      <c r="M107" s="29">
        <v>113794</v>
      </c>
      <c r="N107" s="10">
        <f t="shared" si="9"/>
        <v>-1.0208912824760663E-3</v>
      </c>
      <c r="O107" s="12">
        <f t="shared" si="10"/>
        <v>-1.1028740776791834E-2</v>
      </c>
    </row>
    <row r="108" spans="5:15" ht="30" customHeight="1" x14ac:dyDescent="0.3">
      <c r="E108" s="27">
        <v>44456</v>
      </c>
      <c r="F108" s="28">
        <v>29.346916</v>
      </c>
      <c r="G108" s="29">
        <v>111439</v>
      </c>
      <c r="H108" s="10">
        <f t="shared" si="8"/>
        <v>-4.9751722845309265E-3</v>
      </c>
      <c r="I108" s="12">
        <f t="shared" si="8"/>
        <v>-2.0695291491642842E-2</v>
      </c>
      <c r="K108" s="27">
        <v>29.346916</v>
      </c>
      <c r="L108" s="28">
        <v>10560.83</v>
      </c>
      <c r="M108" s="29">
        <v>111439</v>
      </c>
      <c r="N108" s="10">
        <f t="shared" si="9"/>
        <v>-2.2420540884788065E-2</v>
      </c>
      <c r="O108" s="12">
        <f t="shared" si="10"/>
        <v>-2.0695291491642842E-2</v>
      </c>
    </row>
    <row r="109" spans="5:15" ht="30" customHeight="1" x14ac:dyDescent="0.3">
      <c r="E109" s="27">
        <v>44459</v>
      </c>
      <c r="F109" s="28">
        <v>28.17304</v>
      </c>
      <c r="G109" s="29">
        <v>108844</v>
      </c>
      <c r="H109" s="10">
        <f t="shared" si="8"/>
        <v>-3.9999978191916363E-2</v>
      </c>
      <c r="I109" s="12">
        <f t="shared" si="8"/>
        <v>-2.3286282181283036E-2</v>
      </c>
      <c r="K109" s="27">
        <v>28.17304</v>
      </c>
      <c r="L109" s="28">
        <v>10235.01</v>
      </c>
      <c r="M109" s="29">
        <v>108844</v>
      </c>
      <c r="N109" s="10">
        <f t="shared" si="9"/>
        <v>-3.0851741766508844E-2</v>
      </c>
      <c r="O109" s="12">
        <f t="shared" si="10"/>
        <v>-2.3286282181283036E-2</v>
      </c>
    </row>
    <row r="110" spans="5:15" ht="30" customHeight="1" x14ac:dyDescent="0.3">
      <c r="E110" s="27">
        <v>44460</v>
      </c>
      <c r="F110" s="28">
        <v>28.253744000000001</v>
      </c>
      <c r="G110" s="29">
        <v>110250</v>
      </c>
      <c r="H110" s="10">
        <f t="shared" si="8"/>
        <v>2.8645825938558023E-3</v>
      </c>
      <c r="I110" s="12">
        <f t="shared" si="8"/>
        <v>1.2917570100327014E-2</v>
      </c>
      <c r="K110" s="27">
        <v>28.253744000000001</v>
      </c>
      <c r="L110" s="28">
        <v>10292.84</v>
      </c>
      <c r="M110" s="29">
        <v>110250</v>
      </c>
      <c r="N110" s="10">
        <f t="shared" si="9"/>
        <v>5.6502143134202765E-3</v>
      </c>
      <c r="O110" s="12">
        <f t="shared" si="10"/>
        <v>1.2917570100327014E-2</v>
      </c>
    </row>
    <row r="111" spans="5:15" ht="30" customHeight="1" x14ac:dyDescent="0.3">
      <c r="E111" s="27">
        <v>44461</v>
      </c>
      <c r="F111" s="28">
        <v>28.253744000000001</v>
      </c>
      <c r="G111" s="29">
        <v>112282</v>
      </c>
      <c r="H111" s="10">
        <f t="shared" si="8"/>
        <v>0</v>
      </c>
      <c r="I111" s="12">
        <f t="shared" si="8"/>
        <v>1.8430839002267607E-2</v>
      </c>
      <c r="K111" s="27">
        <v>28.253744000000001</v>
      </c>
      <c r="L111" s="28">
        <v>10565.8</v>
      </c>
      <c r="M111" s="29">
        <v>112282</v>
      </c>
      <c r="N111" s="10">
        <f t="shared" si="9"/>
        <v>2.6519405722813083E-2</v>
      </c>
      <c r="O111" s="12">
        <f t="shared" si="10"/>
        <v>1.8430839002267607E-2</v>
      </c>
    </row>
    <row r="112" spans="5:15" ht="30" customHeight="1" x14ac:dyDescent="0.3">
      <c r="E112" s="27">
        <v>44462</v>
      </c>
      <c r="F112" s="28">
        <v>28.261084</v>
      </c>
      <c r="G112" s="29">
        <v>114064</v>
      </c>
      <c r="H112" s="10">
        <f t="shared" si="8"/>
        <v>2.5978857881625572E-4</v>
      </c>
      <c r="I112" s="12">
        <f t="shared" si="8"/>
        <v>1.5870753994406961E-2</v>
      </c>
      <c r="K112" s="27">
        <v>28.261084</v>
      </c>
      <c r="L112" s="28">
        <v>10731.23</v>
      </c>
      <c r="M112" s="29">
        <v>114064</v>
      </c>
      <c r="N112" s="10">
        <f t="shared" si="9"/>
        <v>1.5657120142346104E-2</v>
      </c>
      <c r="O112" s="12">
        <f t="shared" si="10"/>
        <v>1.5870753994406961E-2</v>
      </c>
    </row>
    <row r="113" spans="5:15" ht="30" customHeight="1" x14ac:dyDescent="0.3">
      <c r="E113" s="27">
        <v>44463</v>
      </c>
      <c r="F113" s="28">
        <v>28.17304</v>
      </c>
      <c r="G113" s="29">
        <v>113283</v>
      </c>
      <c r="H113" s="10">
        <f t="shared" si="8"/>
        <v>-3.1153794383824707E-3</v>
      </c>
      <c r="I113" s="12">
        <f t="shared" si="8"/>
        <v>-6.8470332444943161E-3</v>
      </c>
      <c r="K113" s="27">
        <v>28.17304</v>
      </c>
      <c r="L113" s="28">
        <v>10625.2</v>
      </c>
      <c r="M113" s="29">
        <v>113283</v>
      </c>
      <c r="N113" s="10">
        <f t="shared" si="9"/>
        <v>-9.8805076398510439E-3</v>
      </c>
      <c r="O113" s="12">
        <f t="shared" si="10"/>
        <v>-6.8470332444943161E-3</v>
      </c>
    </row>
    <row r="114" spans="5:15" ht="30" customHeight="1" x14ac:dyDescent="0.3">
      <c r="E114" s="27">
        <v>44466</v>
      </c>
      <c r="F114" s="28">
        <v>28.209726</v>
      </c>
      <c r="G114" s="29">
        <v>113583</v>
      </c>
      <c r="H114" s="10">
        <f t="shared" si="8"/>
        <v>1.3021668943073994E-3</v>
      </c>
      <c r="I114" s="12">
        <f t="shared" si="8"/>
        <v>2.6482349514049819E-3</v>
      </c>
      <c r="K114" s="27">
        <v>28.209726</v>
      </c>
      <c r="L114" s="28">
        <v>10752.3</v>
      </c>
      <c r="M114" s="29">
        <v>113583</v>
      </c>
      <c r="N114" s="10">
        <f t="shared" si="9"/>
        <v>1.196212777171235E-2</v>
      </c>
      <c r="O114" s="12">
        <f t="shared" si="10"/>
        <v>2.6482349514049819E-3</v>
      </c>
    </row>
    <row r="115" spans="5:15" ht="30" customHeight="1" x14ac:dyDescent="0.3">
      <c r="E115" s="27">
        <v>44467</v>
      </c>
      <c r="F115" s="28">
        <v>28.268415000000001</v>
      </c>
      <c r="G115" s="29">
        <v>110124</v>
      </c>
      <c r="H115" s="10">
        <f t="shared" si="8"/>
        <v>2.0804526779167887E-3</v>
      </c>
      <c r="I115" s="12">
        <f t="shared" si="8"/>
        <v>-3.0453500964052749E-2</v>
      </c>
      <c r="K115" s="27">
        <v>28.268415000000001</v>
      </c>
      <c r="L115" s="28">
        <v>10381.73</v>
      </c>
      <c r="M115" s="29">
        <v>110124</v>
      </c>
      <c r="N115" s="10">
        <f t="shared" si="9"/>
        <v>-3.4464254159575103E-2</v>
      </c>
      <c r="O115" s="12">
        <f t="shared" si="10"/>
        <v>-3.0453500964052749E-2</v>
      </c>
    </row>
    <row r="116" spans="5:15" ht="30" customHeight="1" x14ac:dyDescent="0.3">
      <c r="E116" s="27">
        <v>44468</v>
      </c>
      <c r="F116" s="28">
        <v>27.967613</v>
      </c>
      <c r="G116" s="29">
        <v>111107</v>
      </c>
      <c r="H116" s="10">
        <f t="shared" si="8"/>
        <v>-1.0640922032593703E-2</v>
      </c>
      <c r="I116" s="12">
        <f t="shared" si="8"/>
        <v>8.9263012603972847E-3</v>
      </c>
      <c r="K116" s="27">
        <v>27.967613</v>
      </c>
      <c r="L116" s="28">
        <v>10467.19</v>
      </c>
      <c r="M116" s="29">
        <v>111107</v>
      </c>
      <c r="N116" s="10">
        <f t="shared" si="9"/>
        <v>8.2317686936570489E-3</v>
      </c>
      <c r="O116" s="12">
        <f t="shared" si="10"/>
        <v>8.9263012603972847E-3</v>
      </c>
    </row>
    <row r="117" spans="5:15" ht="30" customHeight="1" x14ac:dyDescent="0.3">
      <c r="E117" s="27">
        <v>44469</v>
      </c>
      <c r="F117" s="28">
        <v>27.967613</v>
      </c>
      <c r="G117" s="29">
        <v>110979</v>
      </c>
      <c r="H117" s="10">
        <f t="shared" si="8"/>
        <v>0</v>
      </c>
      <c r="I117" s="12">
        <f t="shared" si="8"/>
        <v>-1.1520426255771099E-3</v>
      </c>
      <c r="K117" s="27">
        <v>27.967613</v>
      </c>
      <c r="L117" s="28">
        <v>10364.93</v>
      </c>
      <c r="M117" s="29">
        <v>110979</v>
      </c>
      <c r="N117" s="10">
        <f t="shared" si="9"/>
        <v>-9.7695752155068094E-3</v>
      </c>
      <c r="O117" s="12">
        <f t="shared" si="10"/>
        <v>-1.1520426255771099E-3</v>
      </c>
    </row>
    <row r="118" spans="5:15" ht="30" customHeight="1" x14ac:dyDescent="0.3">
      <c r="E118" s="27">
        <v>44470</v>
      </c>
      <c r="F118" s="28">
        <v>28.026306000000002</v>
      </c>
      <c r="G118" s="29">
        <v>112900</v>
      </c>
      <c r="H118" s="10">
        <f t="shared" si="8"/>
        <v>2.0986059840002458E-3</v>
      </c>
      <c r="I118" s="12">
        <f t="shared" si="8"/>
        <v>1.730958109191838E-2</v>
      </c>
      <c r="K118" s="27">
        <v>28.026306000000002</v>
      </c>
      <c r="L118" s="28">
        <v>10697.23</v>
      </c>
      <c r="M118" s="29">
        <v>112900</v>
      </c>
      <c r="N118" s="10">
        <f t="shared" si="9"/>
        <v>3.206003320813533E-2</v>
      </c>
      <c r="O118" s="12">
        <f t="shared" si="10"/>
        <v>1.730958109191838E-2</v>
      </c>
    </row>
    <row r="119" spans="5:15" ht="30" customHeight="1" x14ac:dyDescent="0.3">
      <c r="E119" s="27">
        <v>44473</v>
      </c>
      <c r="F119" s="28">
        <v>28.026306000000002</v>
      </c>
      <c r="G119" s="29">
        <v>110393</v>
      </c>
      <c r="H119" s="10">
        <f t="shared" si="8"/>
        <v>0</v>
      </c>
      <c r="I119" s="12">
        <f t="shared" si="8"/>
        <v>-2.2205491585473913E-2</v>
      </c>
      <c r="K119" s="27">
        <v>28.026306000000002</v>
      </c>
      <c r="L119" s="28">
        <v>10313.51</v>
      </c>
      <c r="M119" s="29">
        <v>110393</v>
      </c>
      <c r="N119" s="10">
        <f t="shared" si="9"/>
        <v>-3.5870968465668174E-2</v>
      </c>
      <c r="O119" s="12">
        <f t="shared" si="10"/>
        <v>-2.2205491585473913E-2</v>
      </c>
    </row>
    <row r="120" spans="5:15" ht="30" customHeight="1" x14ac:dyDescent="0.3">
      <c r="E120" s="27">
        <v>44474</v>
      </c>
      <c r="F120" s="28">
        <v>27.952938</v>
      </c>
      <c r="G120" s="29">
        <v>110458</v>
      </c>
      <c r="H120" s="10">
        <f t="shared" si="8"/>
        <v>-2.6178262665084162E-3</v>
      </c>
      <c r="I120" s="12">
        <f t="shared" si="8"/>
        <v>5.8880544962081061E-4</v>
      </c>
      <c r="K120" s="27">
        <v>27.952938</v>
      </c>
      <c r="L120" s="28">
        <v>10382.9</v>
      </c>
      <c r="M120" s="29">
        <v>110458</v>
      </c>
      <c r="N120" s="10">
        <f t="shared" si="9"/>
        <v>6.7280683297925581E-3</v>
      </c>
      <c r="O120" s="12">
        <f t="shared" si="10"/>
        <v>5.8880544962081061E-4</v>
      </c>
    </row>
    <row r="121" spans="5:15" ht="30" customHeight="1" x14ac:dyDescent="0.3">
      <c r="E121" s="27">
        <v>44475</v>
      </c>
      <c r="F121" s="28">
        <v>27.952938</v>
      </c>
      <c r="G121" s="29">
        <v>110560</v>
      </c>
      <c r="H121" s="10">
        <f t="shared" si="8"/>
        <v>0</v>
      </c>
      <c r="I121" s="12">
        <f t="shared" si="8"/>
        <v>9.234279092504849E-4</v>
      </c>
      <c r="K121" s="27">
        <v>27.952938</v>
      </c>
      <c r="L121" s="28">
        <v>10403</v>
      </c>
      <c r="M121" s="29">
        <v>110560</v>
      </c>
      <c r="N121" s="10">
        <f t="shared" si="9"/>
        <v>1.9358753334810519E-3</v>
      </c>
      <c r="O121" s="12">
        <f t="shared" si="10"/>
        <v>9.234279092504849E-4</v>
      </c>
    </row>
    <row r="122" spans="5:15" ht="30" customHeight="1" x14ac:dyDescent="0.3">
      <c r="E122" s="27">
        <v>44476</v>
      </c>
      <c r="F122" s="28">
        <v>27.989622000000001</v>
      </c>
      <c r="G122" s="29">
        <v>110585</v>
      </c>
      <c r="H122" s="10">
        <f t="shared" si="8"/>
        <v>1.3123486339789991E-3</v>
      </c>
      <c r="I122" s="12">
        <f t="shared" si="8"/>
        <v>2.2612156295220842E-4</v>
      </c>
      <c r="K122" s="27">
        <v>27.989622000000001</v>
      </c>
      <c r="L122" s="28">
        <v>10331.82</v>
      </c>
      <c r="M122" s="29">
        <v>110585</v>
      </c>
      <c r="N122" s="10">
        <f t="shared" si="9"/>
        <v>-6.8422570412380868E-3</v>
      </c>
      <c r="O122" s="12">
        <f t="shared" si="10"/>
        <v>2.2612156295220842E-4</v>
      </c>
    </row>
    <row r="123" spans="5:15" ht="30" customHeight="1" x14ac:dyDescent="0.3">
      <c r="E123" s="27">
        <v>44477</v>
      </c>
      <c r="F123" s="28">
        <v>28.605906000000001</v>
      </c>
      <c r="G123" s="29">
        <v>112833</v>
      </c>
      <c r="H123" s="10">
        <f t="shared" si="8"/>
        <v>2.2018303784166804E-2</v>
      </c>
      <c r="I123" s="12">
        <f t="shared" si="8"/>
        <v>2.0328254284034841E-2</v>
      </c>
      <c r="K123" s="27">
        <v>28.605906000000001</v>
      </c>
      <c r="L123" s="28">
        <v>10549.63</v>
      </c>
      <c r="M123" s="29">
        <v>112833</v>
      </c>
      <c r="N123" s="10">
        <f t="shared" si="9"/>
        <v>2.1081474512718801E-2</v>
      </c>
      <c r="O123" s="12">
        <f t="shared" si="10"/>
        <v>2.0328254284034841E-2</v>
      </c>
    </row>
    <row r="124" spans="5:15" ht="30" customHeight="1" x14ac:dyDescent="0.3">
      <c r="E124" s="27">
        <v>44480</v>
      </c>
      <c r="F124" s="28">
        <v>29.332241</v>
      </c>
      <c r="G124" s="29">
        <v>112180</v>
      </c>
      <c r="H124" s="10">
        <f t="shared" si="8"/>
        <v>2.5391085323429374E-2</v>
      </c>
      <c r="I124" s="12">
        <f t="shared" si="8"/>
        <v>-5.7873139950191943E-3</v>
      </c>
      <c r="K124" s="27">
        <v>29.332241</v>
      </c>
      <c r="L124" s="28">
        <v>10273.799999999999</v>
      </c>
      <c r="M124" s="29">
        <v>112180</v>
      </c>
      <c r="N124" s="10">
        <f t="shared" si="9"/>
        <v>-2.6145940663321876E-2</v>
      </c>
      <c r="O124" s="12">
        <f t="shared" si="10"/>
        <v>-5.7873139950191943E-3</v>
      </c>
    </row>
    <row r="125" spans="5:15" ht="30" customHeight="1" x14ac:dyDescent="0.3">
      <c r="E125" s="27">
        <v>44482</v>
      </c>
      <c r="F125" s="28">
        <v>29.346916</v>
      </c>
      <c r="G125" s="29">
        <v>113456</v>
      </c>
      <c r="H125" s="10">
        <f t="shared" si="8"/>
        <v>5.0030272150025645E-4</v>
      </c>
      <c r="I125" s="12">
        <f t="shared" si="8"/>
        <v>1.1374576573364159E-2</v>
      </c>
      <c r="K125" s="27">
        <v>29.346916</v>
      </c>
      <c r="L125" s="28">
        <v>10465.26</v>
      </c>
      <c r="M125" s="29">
        <v>113456</v>
      </c>
      <c r="N125" s="10">
        <f t="shared" si="9"/>
        <v>1.8635753080651796E-2</v>
      </c>
      <c r="O125" s="12">
        <f t="shared" si="10"/>
        <v>1.1374576573364159E-2</v>
      </c>
    </row>
    <row r="126" spans="5:15" ht="30" customHeight="1" x14ac:dyDescent="0.3">
      <c r="E126" s="27">
        <v>44483</v>
      </c>
      <c r="F126" s="28">
        <v>28.246407999999999</v>
      </c>
      <c r="G126" s="29">
        <v>113185</v>
      </c>
      <c r="H126" s="10">
        <f t="shared" si="8"/>
        <v>-3.7499953998573532E-2</v>
      </c>
      <c r="I126" s="12">
        <f t="shared" si="8"/>
        <v>-2.3885911719080388E-3</v>
      </c>
      <c r="K126" s="27">
        <v>28.246407999999999</v>
      </c>
      <c r="L126" s="28">
        <v>10446.81</v>
      </c>
      <c r="M126" s="29">
        <v>113185</v>
      </c>
      <c r="N126" s="10">
        <f t="shared" si="9"/>
        <v>-1.7629757884659591E-3</v>
      </c>
      <c r="O126" s="12">
        <f t="shared" si="10"/>
        <v>-2.3885911719080388E-3</v>
      </c>
    </row>
    <row r="127" spans="5:15" ht="30" customHeight="1" x14ac:dyDescent="0.3">
      <c r="E127" s="27">
        <v>44484</v>
      </c>
      <c r="F127" s="28">
        <v>28.415151999999999</v>
      </c>
      <c r="G127" s="29">
        <v>114648</v>
      </c>
      <c r="H127" s="10">
        <f t="shared" si="8"/>
        <v>5.9739985346101143E-3</v>
      </c>
      <c r="I127" s="12">
        <f t="shared" si="8"/>
        <v>1.2925741043424477E-2</v>
      </c>
      <c r="K127" s="27">
        <v>28.415151999999999</v>
      </c>
      <c r="L127" s="28">
        <v>10778.18</v>
      </c>
      <c r="M127" s="29">
        <v>114648</v>
      </c>
      <c r="N127" s="10">
        <f t="shared" si="9"/>
        <v>3.1719730712054695E-2</v>
      </c>
      <c r="O127" s="12">
        <f t="shared" si="10"/>
        <v>1.2925741043424477E-2</v>
      </c>
    </row>
    <row r="128" spans="5:15" ht="30" customHeight="1" x14ac:dyDescent="0.3">
      <c r="E128" s="27">
        <v>44487</v>
      </c>
      <c r="F128" s="28">
        <v>28.415151999999999</v>
      </c>
      <c r="G128" s="29">
        <v>114428</v>
      </c>
      <c r="H128" s="10">
        <f t="shared" si="8"/>
        <v>0</v>
      </c>
      <c r="I128" s="12">
        <f t="shared" si="8"/>
        <v>-1.9189170330053962E-3</v>
      </c>
      <c r="K128" s="27">
        <v>28.415151999999999</v>
      </c>
      <c r="L128" s="28">
        <v>10804.05</v>
      </c>
      <c r="M128" s="29">
        <v>114428</v>
      </c>
      <c r="N128" s="10">
        <f t="shared" si="9"/>
        <v>2.4002197031409711E-3</v>
      </c>
      <c r="O128" s="12">
        <f t="shared" si="10"/>
        <v>-1.9189170330053962E-3</v>
      </c>
    </row>
    <row r="129" spans="5:15" ht="30" customHeight="1" x14ac:dyDescent="0.3">
      <c r="E129" s="27">
        <v>44488</v>
      </c>
      <c r="F129" s="28">
        <v>28.246407999999999</v>
      </c>
      <c r="G129" s="29">
        <v>110673</v>
      </c>
      <c r="H129" s="10">
        <f t="shared" si="8"/>
        <v>-5.9385218139955676E-3</v>
      </c>
      <c r="I129" s="12">
        <f t="shared" si="8"/>
        <v>-3.2815394833432432E-2</v>
      </c>
      <c r="K129" s="27">
        <v>28.246407999999999</v>
      </c>
      <c r="L129" s="28">
        <v>10416.65</v>
      </c>
      <c r="M129" s="29">
        <v>110673</v>
      </c>
      <c r="N129" s="10">
        <f t="shared" si="9"/>
        <v>-3.5856924023861425E-2</v>
      </c>
      <c r="O129" s="12">
        <f t="shared" si="10"/>
        <v>-3.2815394833432432E-2</v>
      </c>
    </row>
    <row r="130" spans="5:15" ht="30" customHeight="1" x14ac:dyDescent="0.3">
      <c r="E130" s="27">
        <v>44489</v>
      </c>
      <c r="F130" s="28">
        <v>28.539877000000001</v>
      </c>
      <c r="G130" s="29">
        <v>110786</v>
      </c>
      <c r="H130" s="10">
        <f t="shared" si="8"/>
        <v>1.0389604228615568E-2</v>
      </c>
      <c r="I130" s="12">
        <f t="shared" si="8"/>
        <v>1.0210259051439685E-3</v>
      </c>
      <c r="K130" s="27">
        <v>28.539877000000001</v>
      </c>
      <c r="L130" s="28">
        <v>10714.79</v>
      </c>
      <c r="M130" s="29">
        <v>110786</v>
      </c>
      <c r="N130" s="10">
        <f t="shared" si="9"/>
        <v>2.8621485794377399E-2</v>
      </c>
      <c r="O130" s="12">
        <f t="shared" si="10"/>
        <v>1.0210259051439685E-3</v>
      </c>
    </row>
    <row r="131" spans="5:15" ht="30" customHeight="1" x14ac:dyDescent="0.3">
      <c r="E131" s="27">
        <v>44490</v>
      </c>
      <c r="F131" s="28">
        <v>27.879570000000001</v>
      </c>
      <c r="G131" s="29">
        <v>107735</v>
      </c>
      <c r="H131" s="10">
        <f t="shared" si="8"/>
        <v>-2.3136294525726186E-2</v>
      </c>
      <c r="I131" s="12">
        <f t="shared" si="8"/>
        <v>-2.7539580813460196E-2</v>
      </c>
      <c r="K131" s="27">
        <v>27.879570000000001</v>
      </c>
      <c r="L131" s="28">
        <v>10426.35</v>
      </c>
      <c r="M131" s="29">
        <v>107735</v>
      </c>
      <c r="N131" s="10">
        <f t="shared" si="9"/>
        <v>-2.6919799641430209E-2</v>
      </c>
      <c r="O131" s="12">
        <f t="shared" si="10"/>
        <v>-2.7539580813460196E-2</v>
      </c>
    </row>
    <row r="132" spans="5:15" ht="30" customHeight="1" x14ac:dyDescent="0.3">
      <c r="E132" s="27">
        <v>44491</v>
      </c>
      <c r="F132" s="28">
        <v>27.219263000000002</v>
      </c>
      <c r="G132" s="29">
        <v>106296</v>
      </c>
      <c r="H132" s="10">
        <f t="shared" si="8"/>
        <v>-2.3684260553516356E-2</v>
      </c>
      <c r="I132" s="12">
        <f t="shared" si="8"/>
        <v>-1.3356847821042406E-2</v>
      </c>
      <c r="K132" s="27">
        <v>27.219263000000002</v>
      </c>
      <c r="L132" s="28">
        <v>10092.75</v>
      </c>
      <c r="M132" s="29">
        <v>106296</v>
      </c>
      <c r="N132" s="10">
        <f t="shared" si="9"/>
        <v>-3.1995856651656607E-2</v>
      </c>
      <c r="O132" s="12">
        <f t="shared" si="10"/>
        <v>-1.3356847821042406E-2</v>
      </c>
    </row>
    <row r="133" spans="5:15" ht="30" customHeight="1" x14ac:dyDescent="0.3">
      <c r="E133" s="27">
        <v>44494</v>
      </c>
      <c r="F133" s="28">
        <v>27.7255</v>
      </c>
      <c r="G133" s="29">
        <v>108715</v>
      </c>
      <c r="H133" s="10">
        <f t="shared" si="8"/>
        <v>1.8598482993459342E-2</v>
      </c>
      <c r="I133" s="12">
        <f t="shared" si="8"/>
        <v>2.2757206291864174E-2</v>
      </c>
      <c r="K133" s="27">
        <v>27.7255</v>
      </c>
      <c r="L133" s="28">
        <v>10300.34</v>
      </c>
      <c r="M133" s="29">
        <v>108715</v>
      </c>
      <c r="N133" s="10">
        <f t="shared" si="9"/>
        <v>2.0568229669812421E-2</v>
      </c>
      <c r="O133" s="12">
        <f t="shared" si="10"/>
        <v>2.2757206291864174E-2</v>
      </c>
    </row>
    <row r="134" spans="5:15" ht="30" customHeight="1" x14ac:dyDescent="0.3">
      <c r="E134" s="27">
        <v>44495</v>
      </c>
      <c r="F134" s="28">
        <v>27.512734999999999</v>
      </c>
      <c r="G134" s="29">
        <v>106420</v>
      </c>
      <c r="H134" s="10">
        <f t="shared" si="8"/>
        <v>-7.6739824349425501E-3</v>
      </c>
      <c r="I134" s="12">
        <f t="shared" si="8"/>
        <v>-2.111024237685688E-2</v>
      </c>
      <c r="K134" s="27">
        <v>27.512734999999999</v>
      </c>
      <c r="L134" s="28">
        <v>10014.299999999999</v>
      </c>
      <c r="M134" s="29">
        <v>106420</v>
      </c>
      <c r="N134" s="10">
        <f t="shared" si="9"/>
        <v>-2.7769957108212062E-2</v>
      </c>
      <c r="O134" s="12">
        <f t="shared" si="10"/>
        <v>-2.111024237685688E-2</v>
      </c>
    </row>
    <row r="135" spans="5:15" ht="30" customHeight="1" x14ac:dyDescent="0.3">
      <c r="E135" s="27">
        <v>44496</v>
      </c>
      <c r="F135" s="28">
        <v>27.696154</v>
      </c>
      <c r="G135" s="29">
        <v>106363</v>
      </c>
      <c r="H135" s="10">
        <f t="shared" si="8"/>
        <v>6.6666945325501992E-3</v>
      </c>
      <c r="I135" s="12">
        <f t="shared" si="8"/>
        <v>-5.3561360646492417E-4</v>
      </c>
      <c r="K135" s="27">
        <v>27.696154</v>
      </c>
      <c r="L135" s="28">
        <v>10077.73</v>
      </c>
      <c r="M135" s="29">
        <v>106363</v>
      </c>
      <c r="N135" s="10">
        <f t="shared" si="9"/>
        <v>6.3339424622790297E-3</v>
      </c>
      <c r="O135" s="12">
        <f t="shared" si="10"/>
        <v>-5.3561360646492417E-4</v>
      </c>
    </row>
    <row r="136" spans="5:15" ht="30" customHeight="1" x14ac:dyDescent="0.3">
      <c r="E136" s="27">
        <v>44497</v>
      </c>
      <c r="F136" s="28">
        <v>27.659472000000001</v>
      </c>
      <c r="G136" s="29">
        <v>105705</v>
      </c>
      <c r="H136" s="10">
        <f t="shared" si="8"/>
        <v>-1.324443819889165E-3</v>
      </c>
      <c r="I136" s="12">
        <f t="shared" si="8"/>
        <v>-6.1863617987457653E-3</v>
      </c>
      <c r="K136" s="27">
        <v>27.659472000000001</v>
      </c>
      <c r="L136" s="28">
        <v>10001.81</v>
      </c>
      <c r="M136" s="29">
        <v>105705</v>
      </c>
      <c r="N136" s="10">
        <f t="shared" si="9"/>
        <v>-7.5334425510507064E-3</v>
      </c>
      <c r="O136" s="12">
        <f t="shared" si="10"/>
        <v>-6.1863617987457653E-3</v>
      </c>
    </row>
    <row r="137" spans="5:15" ht="30" customHeight="1" x14ac:dyDescent="0.3">
      <c r="E137" s="27">
        <v>44498</v>
      </c>
      <c r="F137" s="28">
        <v>27.879570000000001</v>
      </c>
      <c r="G137" s="29">
        <v>103501</v>
      </c>
      <c r="H137" s="10">
        <f t="shared" si="8"/>
        <v>7.9574187099449301E-3</v>
      </c>
      <c r="I137" s="12">
        <f t="shared" si="8"/>
        <v>-2.0850480109739333E-2</v>
      </c>
      <c r="K137" s="27">
        <v>27.879570000000001</v>
      </c>
      <c r="L137" s="28">
        <v>9779.0499999999993</v>
      </c>
      <c r="M137" s="29">
        <v>103501</v>
      </c>
      <c r="N137" s="10">
        <f t="shared" si="9"/>
        <v>-2.2271968773652007E-2</v>
      </c>
      <c r="O137" s="12">
        <f t="shared" si="10"/>
        <v>-2.0850480109739333E-2</v>
      </c>
    </row>
    <row r="138" spans="5:15" ht="30" customHeight="1" x14ac:dyDescent="0.3">
      <c r="E138" s="27">
        <v>44501</v>
      </c>
      <c r="F138" s="28">
        <v>28.246407999999999</v>
      </c>
      <c r="G138" s="29">
        <v>105551</v>
      </c>
      <c r="H138" s="10">
        <f t="shared" si="8"/>
        <v>1.3157950427499232E-2</v>
      </c>
      <c r="I138" s="12">
        <f t="shared" si="8"/>
        <v>1.9806571917179605E-2</v>
      </c>
      <c r="K138" s="27">
        <v>28.246407999999999</v>
      </c>
      <c r="L138" s="28">
        <v>10119.85</v>
      </c>
      <c r="M138" s="29">
        <v>105551</v>
      </c>
      <c r="N138" s="10">
        <f t="shared" si="9"/>
        <v>3.4850010992887981E-2</v>
      </c>
      <c r="O138" s="12">
        <f t="shared" si="10"/>
        <v>1.9806571917179605E-2</v>
      </c>
    </row>
    <row r="139" spans="5:15" ht="30" customHeight="1" x14ac:dyDescent="0.3">
      <c r="E139" s="27">
        <v>44503</v>
      </c>
      <c r="F139" s="28">
        <v>28.202387000000002</v>
      </c>
      <c r="G139" s="29">
        <v>105617</v>
      </c>
      <c r="H139" s="10">
        <f t="shared" si="8"/>
        <v>-1.5584636460677093E-3</v>
      </c>
      <c r="I139" s="12">
        <f t="shared" si="8"/>
        <v>6.2529014410106498E-4</v>
      </c>
      <c r="K139" s="27">
        <v>28.202387000000002</v>
      </c>
      <c r="L139" s="28">
        <v>10193.31</v>
      </c>
      <c r="M139" s="29">
        <v>105617</v>
      </c>
      <c r="N139" s="10">
        <f t="shared" si="9"/>
        <v>7.2590008745188062E-3</v>
      </c>
      <c r="O139" s="12">
        <f t="shared" si="10"/>
        <v>6.2529014410106498E-4</v>
      </c>
    </row>
    <row r="140" spans="5:15" ht="30" customHeight="1" x14ac:dyDescent="0.3">
      <c r="E140" s="27">
        <v>44504</v>
      </c>
      <c r="F140" s="28">
        <v>28.202387000000002</v>
      </c>
      <c r="G140" s="29">
        <v>103412</v>
      </c>
      <c r="H140" s="10">
        <f t="shared" si="8"/>
        <v>0</v>
      </c>
      <c r="I140" s="12">
        <f t="shared" si="8"/>
        <v>-2.0877320885842265E-2</v>
      </c>
      <c r="K140" s="27">
        <v>28.202387000000002</v>
      </c>
      <c r="L140" s="28">
        <v>9845.89</v>
      </c>
      <c r="M140" s="29">
        <v>103412</v>
      </c>
      <c r="N140" s="10">
        <f t="shared" si="9"/>
        <v>-3.4083138843025496E-2</v>
      </c>
      <c r="O140" s="12">
        <f t="shared" si="10"/>
        <v>-2.0877320885842265E-2</v>
      </c>
    </row>
    <row r="141" spans="5:15" ht="30" customHeight="1" x14ac:dyDescent="0.3">
      <c r="E141" s="27">
        <v>44505</v>
      </c>
      <c r="F141" s="28">
        <v>28.202387000000002</v>
      </c>
      <c r="G141" s="29">
        <v>104824</v>
      </c>
      <c r="H141" s="10">
        <f t="shared" si="8"/>
        <v>0</v>
      </c>
      <c r="I141" s="12">
        <f t="shared" si="8"/>
        <v>1.3654121378563477E-2</v>
      </c>
      <c r="K141" s="27">
        <v>28.202387000000002</v>
      </c>
      <c r="L141" s="28">
        <v>10062.219999999999</v>
      </c>
      <c r="M141" s="29">
        <v>104824</v>
      </c>
      <c r="N141" s="10">
        <f t="shared" si="9"/>
        <v>2.197160439533663E-2</v>
      </c>
      <c r="O141" s="12">
        <f t="shared" si="10"/>
        <v>1.3654121378563477E-2</v>
      </c>
    </row>
    <row r="142" spans="5:15" ht="30" customHeight="1" x14ac:dyDescent="0.3">
      <c r="E142" s="27">
        <v>44508</v>
      </c>
      <c r="F142" s="28">
        <v>28.239073000000001</v>
      </c>
      <c r="G142" s="29">
        <v>104781</v>
      </c>
      <c r="H142" s="10">
        <f t="shared" si="8"/>
        <v>1.3008118780868383E-3</v>
      </c>
      <c r="I142" s="12">
        <f t="shared" si="8"/>
        <v>-4.1021140196906281E-4</v>
      </c>
      <c r="K142" s="27">
        <v>28.239073000000001</v>
      </c>
      <c r="L142" s="28">
        <v>9928.51</v>
      </c>
      <c r="M142" s="29">
        <v>104781</v>
      </c>
      <c r="N142" s="10">
        <f t="shared" si="9"/>
        <v>-1.3288320072508797E-2</v>
      </c>
      <c r="O142" s="12">
        <f t="shared" si="10"/>
        <v>-4.1021140196906281E-4</v>
      </c>
    </row>
    <row r="143" spans="5:15" ht="30" customHeight="1" x14ac:dyDescent="0.3">
      <c r="E143" s="27">
        <v>44509</v>
      </c>
      <c r="F143" s="28">
        <v>27.916257999999999</v>
      </c>
      <c r="G143" s="29">
        <v>105535</v>
      </c>
      <c r="H143" s="10">
        <f t="shared" si="8"/>
        <v>-1.1431501310259051E-2</v>
      </c>
      <c r="I143" s="12">
        <f t="shared" si="8"/>
        <v>7.1959610998177936E-3</v>
      </c>
      <c r="K143" s="27">
        <v>27.916257999999999</v>
      </c>
      <c r="L143" s="28">
        <v>9918.81</v>
      </c>
      <c r="M143" s="29">
        <v>105535</v>
      </c>
      <c r="N143" s="10">
        <f t="shared" si="9"/>
        <v>-9.7698446191829547E-4</v>
      </c>
      <c r="O143" s="12">
        <f t="shared" si="10"/>
        <v>7.1959610998177936E-3</v>
      </c>
    </row>
    <row r="144" spans="5:15" ht="30" customHeight="1" x14ac:dyDescent="0.3">
      <c r="E144" s="27">
        <v>44510</v>
      </c>
      <c r="F144" s="28">
        <v>28.613244999999999</v>
      </c>
      <c r="G144" s="29">
        <v>105968</v>
      </c>
      <c r="H144" s="10">
        <f t="shared" si="8"/>
        <v>2.4967063995468219E-2</v>
      </c>
      <c r="I144" s="12">
        <f t="shared" si="8"/>
        <v>4.1029042497748858E-3</v>
      </c>
      <c r="K144" s="27">
        <v>28.613244999999999</v>
      </c>
      <c r="L144" s="28">
        <v>10192.469999999999</v>
      </c>
      <c r="M144" s="29">
        <v>105968</v>
      </c>
      <c r="N144" s="10">
        <f t="shared" si="9"/>
        <v>2.7590003236275251E-2</v>
      </c>
      <c r="O144" s="12">
        <f t="shared" si="10"/>
        <v>4.1029042497748858E-3</v>
      </c>
    </row>
    <row r="145" spans="5:15" ht="30" customHeight="1" x14ac:dyDescent="0.3">
      <c r="E145" s="27">
        <v>44511</v>
      </c>
      <c r="F145" s="28">
        <v>27.879570000000001</v>
      </c>
      <c r="G145" s="29">
        <v>107725</v>
      </c>
      <c r="H145" s="10">
        <f t="shared" si="8"/>
        <v>-2.564109733097375E-2</v>
      </c>
      <c r="I145" s="12">
        <f t="shared" si="8"/>
        <v>1.6580477125169857E-2</v>
      </c>
      <c r="K145" s="27">
        <v>27.879570000000001</v>
      </c>
      <c r="L145" s="28">
        <v>10291.01</v>
      </c>
      <c r="M145" s="29">
        <v>107725</v>
      </c>
      <c r="N145" s="10">
        <f t="shared" si="9"/>
        <v>9.6679215146084907E-3</v>
      </c>
      <c r="O145" s="12">
        <f t="shared" si="10"/>
        <v>1.6580477125169857E-2</v>
      </c>
    </row>
    <row r="146" spans="5:15" ht="30" customHeight="1" x14ac:dyDescent="0.3">
      <c r="E146" s="27">
        <v>44512</v>
      </c>
      <c r="F146" s="28">
        <v>27.879570000000001</v>
      </c>
      <c r="G146" s="29">
        <v>106312</v>
      </c>
      <c r="H146" s="10">
        <f t="shared" si="8"/>
        <v>0</v>
      </c>
      <c r="I146" s="12">
        <f t="shared" si="8"/>
        <v>-1.3116732420515254E-2</v>
      </c>
      <c r="K146" s="27">
        <v>27.879570000000001</v>
      </c>
      <c r="L146" s="28">
        <v>10228.209999999999</v>
      </c>
      <c r="M146" s="29">
        <v>106312</v>
      </c>
      <c r="N146" s="10">
        <f t="shared" si="9"/>
        <v>-6.102413660078132E-3</v>
      </c>
      <c r="O146" s="12">
        <f t="shared" si="10"/>
        <v>-1.3116732420515254E-2</v>
      </c>
    </row>
    <row r="147" spans="5:15" ht="30" customHeight="1" x14ac:dyDescent="0.3">
      <c r="E147" s="27">
        <v>44516</v>
      </c>
      <c r="F147" s="28">
        <v>28.253744000000001</v>
      </c>
      <c r="G147" s="29">
        <v>104508</v>
      </c>
      <c r="H147" s="10">
        <f t="shared" si="8"/>
        <v>1.3421082175944621E-2</v>
      </c>
      <c r="I147" s="12">
        <f t="shared" si="8"/>
        <v>-1.6968921664534564E-2</v>
      </c>
      <c r="K147" s="27">
        <v>28.253744000000001</v>
      </c>
      <c r="L147" s="28">
        <v>10056.17</v>
      </c>
      <c r="M147" s="29">
        <v>104508</v>
      </c>
      <c r="N147" s="10">
        <f t="shared" si="9"/>
        <v>-1.6820147415823383E-2</v>
      </c>
      <c r="O147" s="12">
        <f t="shared" si="10"/>
        <v>-1.6968921664534564E-2</v>
      </c>
    </row>
    <row r="148" spans="5:15" ht="30" customHeight="1" x14ac:dyDescent="0.3">
      <c r="E148" s="27">
        <v>44517</v>
      </c>
      <c r="F148" s="28">
        <v>28.745305999999999</v>
      </c>
      <c r="G148" s="29">
        <v>102945</v>
      </c>
      <c r="H148" s="10">
        <f t="shared" si="8"/>
        <v>1.7398118989115252E-2</v>
      </c>
      <c r="I148" s="12">
        <f t="shared" si="8"/>
        <v>-1.4955792857963002E-2</v>
      </c>
      <c r="K148" s="27">
        <v>28.745305999999999</v>
      </c>
      <c r="L148" s="28">
        <v>9963.3700000000008</v>
      </c>
      <c r="M148" s="29">
        <v>102945</v>
      </c>
      <c r="N148" s="10">
        <f t="shared" si="9"/>
        <v>-9.2281653949763953E-3</v>
      </c>
      <c r="O148" s="12">
        <f t="shared" si="10"/>
        <v>-1.4955792857963002E-2</v>
      </c>
    </row>
    <row r="149" spans="5:15" ht="30" customHeight="1" x14ac:dyDescent="0.3">
      <c r="E149" s="27">
        <v>44518</v>
      </c>
      <c r="F149" s="28">
        <v>28.613244999999999</v>
      </c>
      <c r="G149" s="29">
        <v>102524</v>
      </c>
      <c r="H149" s="10">
        <f t="shared" si="8"/>
        <v>-4.5941761761033595E-3</v>
      </c>
      <c r="I149" s="12">
        <f t="shared" si="8"/>
        <v>-4.0895623876827658E-3</v>
      </c>
      <c r="K149" s="27">
        <v>28.613244999999999</v>
      </c>
      <c r="L149" s="28">
        <v>9856.7099999999991</v>
      </c>
      <c r="M149" s="29">
        <v>102524</v>
      </c>
      <c r="N149" s="10">
        <f t="shared" si="9"/>
        <v>-1.0705213195936869E-2</v>
      </c>
      <c r="O149" s="12">
        <f t="shared" si="10"/>
        <v>-4.0895623876827658E-3</v>
      </c>
    </row>
    <row r="150" spans="5:15" ht="30" customHeight="1" x14ac:dyDescent="0.3">
      <c r="E150" s="27">
        <v>44519</v>
      </c>
      <c r="F150" s="28">
        <v>28.759976999999999</v>
      </c>
      <c r="G150" s="29">
        <v>103035</v>
      </c>
      <c r="H150" s="10">
        <f t="shared" si="8"/>
        <v>5.128114619645574E-3</v>
      </c>
      <c r="I150" s="12">
        <f t="shared" si="8"/>
        <v>4.984198821739394E-3</v>
      </c>
      <c r="K150" s="27">
        <v>28.759976999999999</v>
      </c>
      <c r="L150" s="28">
        <v>9849.41</v>
      </c>
      <c r="M150" s="29">
        <v>103035</v>
      </c>
      <c r="N150" s="10">
        <f t="shared" si="9"/>
        <v>-7.4061223268206966E-4</v>
      </c>
      <c r="O150" s="12">
        <f t="shared" si="10"/>
        <v>4.984198821739394E-3</v>
      </c>
    </row>
    <row r="151" spans="5:15" ht="30" customHeight="1" x14ac:dyDescent="0.3">
      <c r="E151" s="27">
        <v>44522</v>
      </c>
      <c r="F151" s="28">
        <v>28.246407999999999</v>
      </c>
      <c r="G151" s="29">
        <v>102122</v>
      </c>
      <c r="H151" s="10">
        <f t="shared" si="8"/>
        <v>-1.7857072695155463E-2</v>
      </c>
      <c r="I151" s="12">
        <f t="shared" si="8"/>
        <v>-8.8610666278449157E-3</v>
      </c>
      <c r="K151" s="27">
        <v>28.246407999999999</v>
      </c>
      <c r="L151" s="28">
        <v>9622.11</v>
      </c>
      <c r="M151" s="29">
        <v>102122</v>
      </c>
      <c r="N151" s="10">
        <f t="shared" si="9"/>
        <v>-2.3077524440550223E-2</v>
      </c>
      <c r="O151" s="12">
        <f t="shared" si="10"/>
        <v>-8.8610666278449157E-3</v>
      </c>
    </row>
    <row r="152" spans="5:15" ht="30" customHeight="1" x14ac:dyDescent="0.3">
      <c r="E152" s="27">
        <v>44523</v>
      </c>
      <c r="F152" s="28">
        <v>28.246407999999999</v>
      </c>
      <c r="G152" s="29">
        <v>103663</v>
      </c>
      <c r="H152" s="10">
        <f t="shared" ref="H152:I215" si="11">F152/F151-1</f>
        <v>0</v>
      </c>
      <c r="I152" s="12">
        <f t="shared" si="11"/>
        <v>1.5089794559448588E-2</v>
      </c>
      <c r="K152" s="27">
        <v>28.246407999999999</v>
      </c>
      <c r="L152" s="28">
        <v>9724.5</v>
      </c>
      <c r="M152" s="29">
        <v>103663</v>
      </c>
      <c r="N152" s="10">
        <f t="shared" ref="N152:N215" si="12">L152/L151-1</f>
        <v>1.0641117177001558E-2</v>
      </c>
      <c r="O152" s="12">
        <f t="shared" ref="O152:O215" si="13">M152/M151-1</f>
        <v>1.5089794559448588E-2</v>
      </c>
    </row>
    <row r="153" spans="5:15" ht="30" customHeight="1" x14ac:dyDescent="0.3">
      <c r="E153" s="27">
        <v>44524</v>
      </c>
      <c r="F153" s="28">
        <v>28.165703000000001</v>
      </c>
      <c r="G153" s="29">
        <v>104514</v>
      </c>
      <c r="H153" s="10">
        <f t="shared" si="11"/>
        <v>-2.8571774506690462E-3</v>
      </c>
      <c r="I153" s="12">
        <f t="shared" si="11"/>
        <v>8.2092935763000696E-3</v>
      </c>
      <c r="K153" s="27">
        <v>28.165703000000001</v>
      </c>
      <c r="L153" s="28">
        <v>9917.48</v>
      </c>
      <c r="M153" s="29">
        <v>104514</v>
      </c>
      <c r="N153" s="10">
        <f t="shared" si="12"/>
        <v>1.9844722093680822E-2</v>
      </c>
      <c r="O153" s="12">
        <f t="shared" si="13"/>
        <v>8.2092935763000696E-3</v>
      </c>
    </row>
    <row r="154" spans="5:15" ht="30" customHeight="1" x14ac:dyDescent="0.3">
      <c r="E154" s="27">
        <v>44525</v>
      </c>
      <c r="F154" s="28">
        <v>29.339580999999999</v>
      </c>
      <c r="G154" s="29">
        <v>105811</v>
      </c>
      <c r="H154" s="10">
        <f t="shared" si="11"/>
        <v>4.1677567927205672E-2</v>
      </c>
      <c r="I154" s="12">
        <f t="shared" si="11"/>
        <v>1.2409820693878304E-2</v>
      </c>
      <c r="K154" s="27">
        <v>29.339580999999999</v>
      </c>
      <c r="L154" s="28">
        <v>10110.17</v>
      </c>
      <c r="M154" s="29">
        <v>105811</v>
      </c>
      <c r="N154" s="10">
        <f t="shared" si="12"/>
        <v>1.9429330838075964E-2</v>
      </c>
      <c r="O154" s="12">
        <f t="shared" si="13"/>
        <v>1.2409820693878304E-2</v>
      </c>
    </row>
    <row r="155" spans="5:15" ht="30" customHeight="1" x14ac:dyDescent="0.3">
      <c r="E155" s="27">
        <v>44526</v>
      </c>
      <c r="F155" s="28">
        <v>28.209726</v>
      </c>
      <c r="G155" s="29">
        <v>102224</v>
      </c>
      <c r="H155" s="10">
        <f t="shared" si="11"/>
        <v>-3.8509581987554609E-2</v>
      </c>
      <c r="I155" s="12">
        <f t="shared" si="11"/>
        <v>-3.3900067100773978E-2</v>
      </c>
      <c r="K155" s="27">
        <v>28.209726</v>
      </c>
      <c r="L155" s="28">
        <v>9764.2199999999993</v>
      </c>
      <c r="M155" s="29">
        <v>102224</v>
      </c>
      <c r="N155" s="10">
        <f t="shared" si="12"/>
        <v>-3.4218020072857458E-2</v>
      </c>
      <c r="O155" s="12">
        <f t="shared" si="13"/>
        <v>-3.3900067100773978E-2</v>
      </c>
    </row>
    <row r="156" spans="5:15" ht="30" customHeight="1" x14ac:dyDescent="0.3">
      <c r="E156" s="27">
        <v>44529</v>
      </c>
      <c r="F156" s="28">
        <v>28.833345000000001</v>
      </c>
      <c r="G156" s="29">
        <v>102814</v>
      </c>
      <c r="H156" s="10">
        <f t="shared" si="11"/>
        <v>2.2106524536962935E-2</v>
      </c>
      <c r="I156" s="12">
        <f t="shared" si="11"/>
        <v>5.7716387541086878E-3</v>
      </c>
      <c r="K156" s="27">
        <v>28.833345000000001</v>
      </c>
      <c r="L156" s="28">
        <v>9729.5499999999993</v>
      </c>
      <c r="M156" s="29">
        <v>102814</v>
      </c>
      <c r="N156" s="10">
        <f t="shared" si="12"/>
        <v>-3.5507188490222497E-3</v>
      </c>
      <c r="O156" s="12">
        <f t="shared" si="13"/>
        <v>5.7716387541086878E-3</v>
      </c>
    </row>
    <row r="157" spans="5:15" ht="30" customHeight="1" x14ac:dyDescent="0.3">
      <c r="E157" s="27">
        <v>44530</v>
      </c>
      <c r="F157" s="28">
        <v>28.539877000000001</v>
      </c>
      <c r="G157" s="29">
        <v>101915</v>
      </c>
      <c r="H157" s="10">
        <f t="shared" si="11"/>
        <v>-1.0178076806558578E-2</v>
      </c>
      <c r="I157" s="12">
        <f t="shared" si="11"/>
        <v>-8.7439453770886688E-3</v>
      </c>
      <c r="K157" s="27">
        <v>28.539877000000001</v>
      </c>
      <c r="L157" s="28">
        <v>9573.1299999999992</v>
      </c>
      <c r="M157" s="29">
        <v>101915</v>
      </c>
      <c r="N157" s="10">
        <f t="shared" si="12"/>
        <v>-1.6076796974166307E-2</v>
      </c>
      <c r="O157" s="12">
        <f t="shared" si="13"/>
        <v>-8.7439453770886688E-3</v>
      </c>
    </row>
    <row r="158" spans="5:15" ht="30" customHeight="1" x14ac:dyDescent="0.3">
      <c r="E158" s="27">
        <v>44531</v>
      </c>
      <c r="F158" s="28">
        <v>28.921386999999999</v>
      </c>
      <c r="G158" s="29">
        <v>100775</v>
      </c>
      <c r="H158" s="10">
        <f t="shared" si="11"/>
        <v>1.3367611920682032E-2</v>
      </c>
      <c r="I158" s="12">
        <f t="shared" si="11"/>
        <v>-1.1185792081636614E-2</v>
      </c>
      <c r="K158" s="27">
        <v>28.921386999999999</v>
      </c>
      <c r="L158" s="28">
        <v>9450.2000000000007</v>
      </c>
      <c r="M158" s="29">
        <v>100775</v>
      </c>
      <c r="N158" s="10">
        <f t="shared" si="12"/>
        <v>-1.2841150177632432E-2</v>
      </c>
      <c r="O158" s="12">
        <f t="shared" si="13"/>
        <v>-1.1185792081636614E-2</v>
      </c>
    </row>
    <row r="159" spans="5:15" ht="30" customHeight="1" x14ac:dyDescent="0.3">
      <c r="E159" s="27">
        <v>44532</v>
      </c>
      <c r="F159" s="28">
        <v>29.126816000000002</v>
      </c>
      <c r="G159" s="29">
        <v>104466</v>
      </c>
      <c r="H159" s="10">
        <f t="shared" si="11"/>
        <v>7.1030134204836948E-3</v>
      </c>
      <c r="I159" s="12">
        <f t="shared" si="11"/>
        <v>3.6626147357975647E-2</v>
      </c>
      <c r="K159" s="27">
        <v>29.126816000000002</v>
      </c>
      <c r="L159" s="28">
        <v>9774.5300000000007</v>
      </c>
      <c r="M159" s="29">
        <v>104466</v>
      </c>
      <c r="N159" s="10">
        <f t="shared" si="12"/>
        <v>3.4319908573363422E-2</v>
      </c>
      <c r="O159" s="12">
        <f t="shared" si="13"/>
        <v>3.6626147357975647E-2</v>
      </c>
    </row>
    <row r="160" spans="5:15" ht="30" customHeight="1" x14ac:dyDescent="0.3">
      <c r="E160" s="27">
        <v>44533</v>
      </c>
      <c r="F160" s="28">
        <v>28.980080000000001</v>
      </c>
      <c r="G160" s="29">
        <v>105070</v>
      </c>
      <c r="H160" s="10">
        <f t="shared" si="11"/>
        <v>-5.0378318042041403E-3</v>
      </c>
      <c r="I160" s="12">
        <f t="shared" si="11"/>
        <v>5.7817854612984831E-3</v>
      </c>
      <c r="K160" s="27">
        <v>28.980080000000001</v>
      </c>
      <c r="L160" s="28">
        <v>9805.3799999999992</v>
      </c>
      <c r="M160" s="29">
        <v>105070</v>
      </c>
      <c r="N160" s="10">
        <f t="shared" si="12"/>
        <v>3.1561619842588318E-3</v>
      </c>
      <c r="O160" s="12">
        <f t="shared" si="13"/>
        <v>5.7817854612984831E-3</v>
      </c>
    </row>
    <row r="161" spans="5:15" ht="30" customHeight="1" x14ac:dyDescent="0.3">
      <c r="E161" s="27">
        <v>44536</v>
      </c>
      <c r="F161" s="28">
        <v>28.980080000000001</v>
      </c>
      <c r="G161" s="29">
        <v>106859</v>
      </c>
      <c r="H161" s="10">
        <f t="shared" si="11"/>
        <v>0</v>
      </c>
      <c r="I161" s="12">
        <f t="shared" si="11"/>
        <v>1.7026744075378408E-2</v>
      </c>
      <c r="K161" s="27">
        <v>28.980080000000001</v>
      </c>
      <c r="L161" s="28">
        <v>9934.9699999999993</v>
      </c>
      <c r="M161" s="29">
        <v>106859</v>
      </c>
      <c r="N161" s="10">
        <f t="shared" si="12"/>
        <v>1.3216213956011913E-2</v>
      </c>
      <c r="O161" s="12">
        <f t="shared" si="13"/>
        <v>1.7026744075378408E-2</v>
      </c>
    </row>
    <row r="162" spans="5:15" ht="30" customHeight="1" x14ac:dyDescent="0.3">
      <c r="E162" s="27">
        <v>44537</v>
      </c>
      <c r="F162" s="28">
        <v>28.980080000000001</v>
      </c>
      <c r="G162" s="29">
        <v>107558</v>
      </c>
      <c r="H162" s="10">
        <f t="shared" si="11"/>
        <v>0</v>
      </c>
      <c r="I162" s="12">
        <f t="shared" si="11"/>
        <v>6.5413301640480093E-3</v>
      </c>
      <c r="K162" s="27">
        <v>28.980080000000001</v>
      </c>
      <c r="L162" s="28">
        <v>9948.8700000000008</v>
      </c>
      <c r="M162" s="29">
        <v>107558</v>
      </c>
      <c r="N162" s="10">
        <f t="shared" si="12"/>
        <v>1.3990983364822185E-3</v>
      </c>
      <c r="O162" s="12">
        <f t="shared" si="13"/>
        <v>6.5413301640480093E-3</v>
      </c>
    </row>
    <row r="163" spans="5:15" ht="30" customHeight="1" x14ac:dyDescent="0.3">
      <c r="E163" s="27">
        <v>44538</v>
      </c>
      <c r="F163" s="28">
        <v>29.346916</v>
      </c>
      <c r="G163" s="29">
        <v>108096</v>
      </c>
      <c r="H163" s="10">
        <f t="shared" si="11"/>
        <v>1.2658212123638046E-2</v>
      </c>
      <c r="I163" s="12">
        <f t="shared" si="11"/>
        <v>5.0019524349653732E-3</v>
      </c>
      <c r="K163" s="27">
        <v>29.346916</v>
      </c>
      <c r="L163" s="28">
        <v>9976.98</v>
      </c>
      <c r="M163" s="29">
        <v>108096</v>
      </c>
      <c r="N163" s="10">
        <f t="shared" si="12"/>
        <v>2.8254465079953217E-3</v>
      </c>
      <c r="O163" s="12">
        <f t="shared" si="13"/>
        <v>5.0019524349653732E-3</v>
      </c>
    </row>
    <row r="164" spans="5:15" ht="30" customHeight="1" x14ac:dyDescent="0.3">
      <c r="E164" s="27">
        <v>44539</v>
      </c>
      <c r="F164" s="28">
        <v>29.346916</v>
      </c>
      <c r="G164" s="29">
        <v>106291</v>
      </c>
      <c r="H164" s="10">
        <f t="shared" si="11"/>
        <v>0</v>
      </c>
      <c r="I164" s="12">
        <f t="shared" si="11"/>
        <v>-1.6698120189461263E-2</v>
      </c>
      <c r="K164" s="27">
        <v>29.346916</v>
      </c>
      <c r="L164" s="28">
        <v>9689.6200000000008</v>
      </c>
      <c r="M164" s="29">
        <v>106291</v>
      </c>
      <c r="N164" s="10">
        <f t="shared" si="12"/>
        <v>-2.8802302901278609E-2</v>
      </c>
      <c r="O164" s="12">
        <f t="shared" si="13"/>
        <v>-1.6698120189461263E-2</v>
      </c>
    </row>
    <row r="165" spans="5:15" ht="30" customHeight="1" x14ac:dyDescent="0.3">
      <c r="E165" s="27">
        <v>44540</v>
      </c>
      <c r="F165" s="28">
        <v>28.759976999999999</v>
      </c>
      <c r="G165" s="29">
        <v>107758</v>
      </c>
      <c r="H165" s="10">
        <f t="shared" si="11"/>
        <v>-2.0000023171088954E-2</v>
      </c>
      <c r="I165" s="12">
        <f t="shared" si="11"/>
        <v>1.3801732978333092E-2</v>
      </c>
      <c r="K165" s="27">
        <v>28.759976999999999</v>
      </c>
      <c r="L165" s="28">
        <v>9884.27</v>
      </c>
      <c r="M165" s="29">
        <v>107758</v>
      </c>
      <c r="N165" s="10">
        <f t="shared" si="12"/>
        <v>2.0088507082837159E-2</v>
      </c>
      <c r="O165" s="12">
        <f t="shared" si="13"/>
        <v>1.3801732978333092E-2</v>
      </c>
    </row>
    <row r="166" spans="5:15" ht="30" customHeight="1" x14ac:dyDescent="0.3">
      <c r="E166" s="27">
        <v>44543</v>
      </c>
      <c r="F166" s="28">
        <v>29.346916</v>
      </c>
      <c r="G166" s="29">
        <v>107383</v>
      </c>
      <c r="H166" s="10">
        <f t="shared" si="11"/>
        <v>2.0408187391804944E-2</v>
      </c>
      <c r="I166" s="12">
        <f t="shared" si="11"/>
        <v>-3.4800200449154328E-3</v>
      </c>
      <c r="K166" s="27">
        <v>29.346916</v>
      </c>
      <c r="L166" s="28">
        <v>9707.2000000000007</v>
      </c>
      <c r="M166" s="29">
        <v>107383</v>
      </c>
      <c r="N166" s="10">
        <f t="shared" si="12"/>
        <v>-1.7914322453757348E-2</v>
      </c>
      <c r="O166" s="12">
        <f t="shared" si="13"/>
        <v>-3.4800200449154328E-3</v>
      </c>
    </row>
    <row r="167" spans="5:15" ht="30" customHeight="1" x14ac:dyDescent="0.3">
      <c r="E167" s="27">
        <v>44544</v>
      </c>
      <c r="F167" s="28">
        <v>29.346916</v>
      </c>
      <c r="G167" s="29">
        <v>106760</v>
      </c>
      <c r="H167" s="10">
        <f t="shared" si="11"/>
        <v>0</v>
      </c>
      <c r="I167" s="12">
        <f t="shared" si="11"/>
        <v>-5.8016632055353234E-3</v>
      </c>
      <c r="K167" s="27">
        <v>29.346916</v>
      </c>
      <c r="L167" s="28">
        <v>9664.2999999999993</v>
      </c>
      <c r="M167" s="29">
        <v>106760</v>
      </c>
      <c r="N167" s="10">
        <f t="shared" si="12"/>
        <v>-4.4194000329653704E-3</v>
      </c>
      <c r="O167" s="12">
        <f t="shared" si="13"/>
        <v>-5.8016632055353234E-3</v>
      </c>
    </row>
    <row r="168" spans="5:15" ht="30" customHeight="1" x14ac:dyDescent="0.3">
      <c r="E168" s="27">
        <v>44545</v>
      </c>
      <c r="F168" s="28">
        <v>29.346916</v>
      </c>
      <c r="G168" s="29">
        <v>107370</v>
      </c>
      <c r="H168" s="10">
        <f t="shared" si="11"/>
        <v>0</v>
      </c>
      <c r="I168" s="12">
        <f t="shared" si="11"/>
        <v>5.7137504683402174E-3</v>
      </c>
      <c r="K168" s="27">
        <v>29.346916</v>
      </c>
      <c r="L168" s="28">
        <v>9709.61</v>
      </c>
      <c r="M168" s="29">
        <v>107370</v>
      </c>
      <c r="N168" s="10">
        <f t="shared" si="12"/>
        <v>4.6883892263278604E-3</v>
      </c>
      <c r="O168" s="12">
        <f t="shared" si="13"/>
        <v>5.7137504683402174E-3</v>
      </c>
    </row>
    <row r="169" spans="5:15" ht="30" customHeight="1" x14ac:dyDescent="0.3">
      <c r="E169" s="27">
        <v>44546</v>
      </c>
      <c r="F169" s="28">
        <v>29.346916</v>
      </c>
      <c r="G169" s="29">
        <v>108212</v>
      </c>
      <c r="H169" s="10">
        <f t="shared" si="11"/>
        <v>0</v>
      </c>
      <c r="I169" s="12">
        <f t="shared" si="11"/>
        <v>7.8420415386049047E-3</v>
      </c>
      <c r="K169" s="27">
        <v>29.346916</v>
      </c>
      <c r="L169" s="28">
        <v>9707.5300000000007</v>
      </c>
      <c r="M169" s="29">
        <v>108212</v>
      </c>
      <c r="N169" s="10">
        <f t="shared" si="12"/>
        <v>-2.1422075654942141E-4</v>
      </c>
      <c r="O169" s="12">
        <f t="shared" si="13"/>
        <v>7.8420415386049047E-3</v>
      </c>
    </row>
    <row r="170" spans="5:15" ht="30" customHeight="1" x14ac:dyDescent="0.3">
      <c r="E170" s="27">
        <v>44547</v>
      </c>
      <c r="F170" s="28">
        <v>28.730630999999999</v>
      </c>
      <c r="G170" s="29">
        <v>107201</v>
      </c>
      <c r="H170" s="10">
        <f t="shared" si="11"/>
        <v>-2.0999991958269182E-2</v>
      </c>
      <c r="I170" s="12">
        <f t="shared" si="11"/>
        <v>-9.3427715964957692E-3</v>
      </c>
      <c r="K170" s="27">
        <v>28.730630999999999</v>
      </c>
      <c r="L170" s="28">
        <v>9556.02</v>
      </c>
      <c r="M170" s="29">
        <v>107201</v>
      </c>
      <c r="N170" s="10">
        <f t="shared" si="12"/>
        <v>-1.5607471725557431E-2</v>
      </c>
      <c r="O170" s="12">
        <f t="shared" si="13"/>
        <v>-9.3427715964957692E-3</v>
      </c>
    </row>
    <row r="171" spans="5:15" ht="30" customHeight="1" x14ac:dyDescent="0.3">
      <c r="E171" s="27">
        <v>44550</v>
      </c>
      <c r="F171" s="28">
        <v>28.759976999999999</v>
      </c>
      <c r="G171" s="29">
        <v>105020</v>
      </c>
      <c r="H171" s="10">
        <f t="shared" si="11"/>
        <v>1.0214185689134681E-3</v>
      </c>
      <c r="I171" s="12">
        <f t="shared" si="11"/>
        <v>-2.0344959468661661E-2</v>
      </c>
      <c r="K171" s="27">
        <v>28.759976999999999</v>
      </c>
      <c r="L171" s="28">
        <v>9330.9500000000007</v>
      </c>
      <c r="M171" s="29">
        <v>105020</v>
      </c>
      <c r="N171" s="10">
        <f t="shared" si="12"/>
        <v>-2.3552692438902345E-2</v>
      </c>
      <c r="O171" s="12">
        <f t="shared" si="13"/>
        <v>-2.0344959468661661E-2</v>
      </c>
    </row>
    <row r="172" spans="5:15" ht="30" customHeight="1" x14ac:dyDescent="0.3">
      <c r="E172" s="27">
        <v>44551</v>
      </c>
      <c r="F172" s="28">
        <v>28.121683000000001</v>
      </c>
      <c r="G172" s="29">
        <v>105500</v>
      </c>
      <c r="H172" s="10">
        <f t="shared" si="11"/>
        <v>-2.21938285972898E-2</v>
      </c>
      <c r="I172" s="12">
        <f t="shared" si="11"/>
        <v>4.57055798895456E-3</v>
      </c>
      <c r="K172" s="27">
        <v>28.121683000000001</v>
      </c>
      <c r="L172" s="28">
        <v>9245.09</v>
      </c>
      <c r="M172" s="29">
        <v>105500</v>
      </c>
      <c r="N172" s="10">
        <f t="shared" si="12"/>
        <v>-9.2016354176156501E-3</v>
      </c>
      <c r="O172" s="12">
        <f t="shared" si="13"/>
        <v>4.57055798895456E-3</v>
      </c>
    </row>
    <row r="173" spans="5:15" ht="30" customHeight="1" x14ac:dyDescent="0.3">
      <c r="E173" s="27">
        <v>44552</v>
      </c>
      <c r="F173" s="28">
        <v>28.121683000000001</v>
      </c>
      <c r="G173" s="29">
        <v>105244</v>
      </c>
      <c r="H173" s="10">
        <f t="shared" si="11"/>
        <v>0</v>
      </c>
      <c r="I173" s="12">
        <f t="shared" si="11"/>
        <v>-2.4265402843601791E-3</v>
      </c>
      <c r="K173" s="27">
        <v>28.121683000000001</v>
      </c>
      <c r="L173" s="28">
        <v>9300.1</v>
      </c>
      <c r="M173" s="29">
        <v>105244</v>
      </c>
      <c r="N173" s="10">
        <f t="shared" si="12"/>
        <v>5.9501854497900908E-3</v>
      </c>
      <c r="O173" s="12">
        <f t="shared" si="13"/>
        <v>-2.4265402843601791E-3</v>
      </c>
    </row>
    <row r="174" spans="5:15" ht="30" customHeight="1" x14ac:dyDescent="0.3">
      <c r="E174" s="27">
        <v>44553</v>
      </c>
      <c r="F174" s="28">
        <v>28.121683000000001</v>
      </c>
      <c r="G174" s="29">
        <v>104891</v>
      </c>
      <c r="H174" s="10">
        <f t="shared" si="11"/>
        <v>0</v>
      </c>
      <c r="I174" s="12">
        <f t="shared" si="11"/>
        <v>-3.3541104481015216E-3</v>
      </c>
      <c r="K174" s="27">
        <v>28.121683000000001</v>
      </c>
      <c r="L174" s="28">
        <v>9282.11</v>
      </c>
      <c r="M174" s="29">
        <v>104891</v>
      </c>
      <c r="N174" s="10">
        <f t="shared" si="12"/>
        <v>-1.9343878022817229E-3</v>
      </c>
      <c r="O174" s="12">
        <f t="shared" si="13"/>
        <v>-3.3541104481015216E-3</v>
      </c>
    </row>
    <row r="175" spans="5:15" ht="30" customHeight="1" x14ac:dyDescent="0.3">
      <c r="E175" s="27">
        <v>44557</v>
      </c>
      <c r="F175" s="28">
        <v>28.539877000000001</v>
      </c>
      <c r="G175" s="29">
        <v>105531</v>
      </c>
      <c r="H175" s="10">
        <f t="shared" si="11"/>
        <v>1.4870873837814047E-2</v>
      </c>
      <c r="I175" s="12">
        <f t="shared" si="11"/>
        <v>6.1015721081885133E-3</v>
      </c>
      <c r="K175" s="27">
        <v>28.539877000000001</v>
      </c>
      <c r="L175" s="28">
        <v>9342.81</v>
      </c>
      <c r="M175" s="29">
        <v>105531</v>
      </c>
      <c r="N175" s="10">
        <f t="shared" si="12"/>
        <v>6.5394613940148449E-3</v>
      </c>
      <c r="O175" s="12">
        <f t="shared" si="13"/>
        <v>6.1015721081885133E-3</v>
      </c>
    </row>
    <row r="176" spans="5:15" ht="30" customHeight="1" x14ac:dyDescent="0.3">
      <c r="E176" s="27">
        <v>44558</v>
      </c>
      <c r="F176" s="28">
        <v>28.466508999999999</v>
      </c>
      <c r="G176" s="29">
        <v>104864</v>
      </c>
      <c r="H176" s="10">
        <f t="shared" si="11"/>
        <v>-2.5707188576882256E-3</v>
      </c>
      <c r="I176" s="12">
        <f t="shared" si="11"/>
        <v>-6.3204176971695114E-3</v>
      </c>
      <c r="K176" s="27">
        <v>28.466508999999999</v>
      </c>
      <c r="L176" s="28">
        <v>9289.43</v>
      </c>
      <c r="M176" s="29">
        <v>104864</v>
      </c>
      <c r="N176" s="10">
        <f t="shared" si="12"/>
        <v>-5.7134844870011525E-3</v>
      </c>
      <c r="O176" s="12">
        <f t="shared" si="13"/>
        <v>-6.3204176971695114E-3</v>
      </c>
    </row>
    <row r="177" spans="5:15" ht="30" customHeight="1" x14ac:dyDescent="0.3">
      <c r="E177" s="27">
        <v>44559</v>
      </c>
      <c r="F177" s="28">
        <v>28.547212999999999</v>
      </c>
      <c r="G177" s="29">
        <v>104107</v>
      </c>
      <c r="H177" s="10">
        <f t="shared" si="11"/>
        <v>2.8350508311363321E-3</v>
      </c>
      <c r="I177" s="12">
        <f t="shared" si="11"/>
        <v>-7.2188739700945748E-3</v>
      </c>
      <c r="K177" s="27">
        <v>28.547212999999999</v>
      </c>
      <c r="L177" s="28">
        <v>9210.1200000000008</v>
      </c>
      <c r="M177" s="29">
        <v>104107</v>
      </c>
      <c r="N177" s="10">
        <f t="shared" si="12"/>
        <v>-8.5376605453725274E-3</v>
      </c>
      <c r="O177" s="12">
        <f t="shared" si="13"/>
        <v>-7.2188739700945748E-3</v>
      </c>
    </row>
    <row r="178" spans="5:15" ht="30" customHeight="1" x14ac:dyDescent="0.3">
      <c r="E178" s="27">
        <v>44560</v>
      </c>
      <c r="F178" s="28">
        <v>30.293358000000001</v>
      </c>
      <c r="G178" s="29">
        <v>104822</v>
      </c>
      <c r="H178" s="10">
        <f t="shared" si="11"/>
        <v>6.1166916714426867E-2</v>
      </c>
      <c r="I178" s="12">
        <f t="shared" si="11"/>
        <v>6.8679339525681282E-3</v>
      </c>
      <c r="K178" s="27">
        <v>30.293358000000001</v>
      </c>
      <c r="L178" s="28">
        <v>9205.7099999999991</v>
      </c>
      <c r="M178" s="29">
        <v>104822</v>
      </c>
      <c r="N178" s="10">
        <f t="shared" si="12"/>
        <v>-4.7882112285202449E-4</v>
      </c>
      <c r="O178" s="12">
        <f t="shared" si="13"/>
        <v>6.8679339525681282E-3</v>
      </c>
    </row>
    <row r="179" spans="5:15" ht="30" customHeight="1" x14ac:dyDescent="0.3">
      <c r="E179" s="27">
        <v>44564</v>
      </c>
      <c r="F179" s="28">
        <v>30.293358000000001</v>
      </c>
      <c r="G179" s="29">
        <v>103922</v>
      </c>
      <c r="H179" s="10">
        <f t="shared" si="11"/>
        <v>0</v>
      </c>
      <c r="I179" s="12">
        <f t="shared" si="11"/>
        <v>-8.585983858350299E-3</v>
      </c>
      <c r="K179" s="27">
        <v>30.293358000000001</v>
      </c>
      <c r="L179" s="28">
        <v>9211.82</v>
      </c>
      <c r="M179" s="29">
        <v>103922</v>
      </c>
      <c r="N179" s="10">
        <f t="shared" si="12"/>
        <v>6.6371849645507908E-4</v>
      </c>
      <c r="O179" s="12">
        <f t="shared" si="13"/>
        <v>-8.585983858350299E-3</v>
      </c>
    </row>
    <row r="180" spans="5:15" ht="30" customHeight="1" x14ac:dyDescent="0.3">
      <c r="E180" s="27">
        <v>44565</v>
      </c>
      <c r="F180" s="28">
        <v>28.693949</v>
      </c>
      <c r="G180" s="29">
        <v>103514</v>
      </c>
      <c r="H180" s="10">
        <f t="shared" si="11"/>
        <v>-5.2797349174693697E-2</v>
      </c>
      <c r="I180" s="12">
        <f t="shared" si="11"/>
        <v>-3.9260214391563242E-3</v>
      </c>
      <c r="K180" s="27">
        <v>28.693949</v>
      </c>
      <c r="L180" s="28">
        <v>9230.41</v>
      </c>
      <c r="M180" s="29">
        <v>103514</v>
      </c>
      <c r="N180" s="10">
        <f t="shared" si="12"/>
        <v>2.0180594062846335E-3</v>
      </c>
      <c r="O180" s="12">
        <f t="shared" si="13"/>
        <v>-3.9260214391563242E-3</v>
      </c>
    </row>
    <row r="181" spans="5:15" ht="30" customHeight="1" x14ac:dyDescent="0.3">
      <c r="E181" s="27">
        <v>44566</v>
      </c>
      <c r="F181" s="28">
        <v>29.567018999999998</v>
      </c>
      <c r="G181" s="29">
        <v>101006</v>
      </c>
      <c r="H181" s="10">
        <f t="shared" si="11"/>
        <v>3.0426972599693292E-2</v>
      </c>
      <c r="I181" s="12">
        <f t="shared" si="11"/>
        <v>-2.4228606758506133E-2</v>
      </c>
      <c r="K181" s="27">
        <v>29.567018999999998</v>
      </c>
      <c r="L181" s="28">
        <v>9057.6</v>
      </c>
      <c r="M181" s="29">
        <v>101006</v>
      </c>
      <c r="N181" s="10">
        <f t="shared" si="12"/>
        <v>-1.8721811923847365E-2</v>
      </c>
      <c r="O181" s="12">
        <f t="shared" si="13"/>
        <v>-2.4228606758506133E-2</v>
      </c>
    </row>
    <row r="182" spans="5:15" ht="30" customHeight="1" x14ac:dyDescent="0.3">
      <c r="E182" s="27">
        <v>44567</v>
      </c>
      <c r="F182" s="28">
        <v>28.818674000000001</v>
      </c>
      <c r="G182" s="29">
        <v>101561</v>
      </c>
      <c r="H182" s="10">
        <f t="shared" si="11"/>
        <v>-2.5310126800405452E-2</v>
      </c>
      <c r="I182" s="12">
        <f t="shared" si="11"/>
        <v>5.4947230857573803E-3</v>
      </c>
      <c r="K182" s="27">
        <v>28.818674000000001</v>
      </c>
      <c r="L182" s="28">
        <v>9175.44</v>
      </c>
      <c r="M182" s="29">
        <v>101561</v>
      </c>
      <c r="N182" s="10">
        <f t="shared" si="12"/>
        <v>1.3010068892421955E-2</v>
      </c>
      <c r="O182" s="12">
        <f t="shared" si="13"/>
        <v>5.4947230857573803E-3</v>
      </c>
    </row>
    <row r="183" spans="5:15" ht="30" customHeight="1" x14ac:dyDescent="0.3">
      <c r="E183" s="27">
        <v>44568</v>
      </c>
      <c r="F183" s="28">
        <v>28.635252000000001</v>
      </c>
      <c r="G183" s="29">
        <v>102719</v>
      </c>
      <c r="H183" s="10">
        <f t="shared" si="11"/>
        <v>-6.3646925601087423E-3</v>
      </c>
      <c r="I183" s="12">
        <f t="shared" si="11"/>
        <v>1.1402014552830408E-2</v>
      </c>
      <c r="K183" s="27">
        <v>28.635252000000001</v>
      </c>
      <c r="L183" s="28">
        <v>9333.4</v>
      </c>
      <c r="M183" s="29">
        <v>102719</v>
      </c>
      <c r="N183" s="10">
        <f t="shared" si="12"/>
        <v>1.7215523179269887E-2</v>
      </c>
      <c r="O183" s="12">
        <f t="shared" si="13"/>
        <v>1.1402014552830408E-2</v>
      </c>
    </row>
    <row r="184" spans="5:15" ht="30" customHeight="1" x14ac:dyDescent="0.3">
      <c r="E184" s="27">
        <v>44571</v>
      </c>
      <c r="F184" s="28">
        <v>29.178170999999999</v>
      </c>
      <c r="G184" s="29">
        <v>101945</v>
      </c>
      <c r="H184" s="10">
        <f t="shared" si="11"/>
        <v>1.8959812192328451E-2</v>
      </c>
      <c r="I184" s="12">
        <f t="shared" si="11"/>
        <v>-7.5351200848917665E-3</v>
      </c>
      <c r="K184" s="27">
        <v>29.178170999999999</v>
      </c>
      <c r="L184" s="28">
        <v>9311.92</v>
      </c>
      <c r="M184" s="29">
        <v>101945</v>
      </c>
      <c r="N184" s="10">
        <f t="shared" si="12"/>
        <v>-2.301412132770464E-3</v>
      </c>
      <c r="O184" s="12">
        <f t="shared" si="13"/>
        <v>-7.5351200848917665E-3</v>
      </c>
    </row>
    <row r="185" spans="5:15" ht="30" customHeight="1" x14ac:dyDescent="0.3">
      <c r="E185" s="27">
        <v>44572</v>
      </c>
      <c r="F185" s="28">
        <v>28.686609000000001</v>
      </c>
      <c r="G185" s="29">
        <v>103779</v>
      </c>
      <c r="H185" s="10">
        <f t="shared" si="11"/>
        <v>-1.6846909287083101E-2</v>
      </c>
      <c r="I185" s="12">
        <f t="shared" si="11"/>
        <v>1.7990092697042437E-2</v>
      </c>
      <c r="K185" s="27">
        <v>28.686609000000001</v>
      </c>
      <c r="L185" s="28">
        <v>9428.67</v>
      </c>
      <c r="M185" s="29">
        <v>103779</v>
      </c>
      <c r="N185" s="10">
        <f t="shared" si="12"/>
        <v>1.2537693622797441E-2</v>
      </c>
      <c r="O185" s="12">
        <f t="shared" si="13"/>
        <v>1.7990092697042437E-2</v>
      </c>
    </row>
    <row r="186" spans="5:15" ht="30" customHeight="1" x14ac:dyDescent="0.3">
      <c r="E186" s="27">
        <v>44573</v>
      </c>
      <c r="F186" s="28">
        <v>28.686609000000001</v>
      </c>
      <c r="G186" s="29">
        <v>105686</v>
      </c>
      <c r="H186" s="10">
        <f t="shared" si="11"/>
        <v>0</v>
      </c>
      <c r="I186" s="12">
        <f t="shared" si="11"/>
        <v>1.8375586583027292E-2</v>
      </c>
      <c r="K186" s="27">
        <v>28.686609000000001</v>
      </c>
      <c r="L186" s="28">
        <v>9461.86</v>
      </c>
      <c r="M186" s="29">
        <v>105686</v>
      </c>
      <c r="N186" s="10">
        <f t="shared" si="12"/>
        <v>3.5201147139523048E-3</v>
      </c>
      <c r="O186" s="12">
        <f t="shared" si="13"/>
        <v>1.8375586583027292E-2</v>
      </c>
    </row>
    <row r="187" spans="5:15" ht="30" customHeight="1" x14ac:dyDescent="0.3">
      <c r="E187" s="27">
        <v>44574</v>
      </c>
      <c r="F187" s="28">
        <v>28.539877000000001</v>
      </c>
      <c r="G187" s="29">
        <v>105530</v>
      </c>
      <c r="H187" s="10">
        <f t="shared" si="11"/>
        <v>-5.1149998244826023E-3</v>
      </c>
      <c r="I187" s="12">
        <f t="shared" si="11"/>
        <v>-1.476070624302217E-3</v>
      </c>
      <c r="K187" s="27">
        <v>28.539877000000001</v>
      </c>
      <c r="L187" s="28">
        <v>9526.69</v>
      </c>
      <c r="M187" s="29">
        <v>105530</v>
      </c>
      <c r="N187" s="10">
        <f t="shared" si="12"/>
        <v>6.8517183724976505E-3</v>
      </c>
      <c r="O187" s="12">
        <f t="shared" si="13"/>
        <v>-1.476070624302217E-3</v>
      </c>
    </row>
    <row r="188" spans="5:15" ht="30" customHeight="1" x14ac:dyDescent="0.3">
      <c r="E188" s="27">
        <v>44575</v>
      </c>
      <c r="F188" s="28">
        <v>28.620581000000001</v>
      </c>
      <c r="G188" s="29">
        <v>106928</v>
      </c>
      <c r="H188" s="10">
        <f t="shared" si="11"/>
        <v>2.8277627125021798E-3</v>
      </c>
      <c r="I188" s="12">
        <f t="shared" si="11"/>
        <v>1.3247417795887451E-2</v>
      </c>
      <c r="K188" s="27">
        <v>28.620581000000001</v>
      </c>
      <c r="L188" s="28">
        <v>9714.4699999999993</v>
      </c>
      <c r="M188" s="29">
        <v>106928</v>
      </c>
      <c r="N188" s="10">
        <f t="shared" si="12"/>
        <v>1.9710938426672708E-2</v>
      </c>
      <c r="O188" s="12">
        <f t="shared" si="13"/>
        <v>1.3247417795887451E-2</v>
      </c>
    </row>
    <row r="189" spans="5:15" ht="30" customHeight="1" x14ac:dyDescent="0.3">
      <c r="E189" s="27">
        <v>44578</v>
      </c>
      <c r="F189" s="28">
        <v>28.980080000000001</v>
      </c>
      <c r="G189" s="29">
        <v>106692</v>
      </c>
      <c r="H189" s="10">
        <f t="shared" si="11"/>
        <v>1.2560856119587571E-2</v>
      </c>
      <c r="I189" s="12">
        <f t="shared" si="11"/>
        <v>-2.2070926230735033E-3</v>
      </c>
      <c r="K189" s="27">
        <v>28.980080000000001</v>
      </c>
      <c r="L189" s="28">
        <v>9736.08</v>
      </c>
      <c r="M189" s="29">
        <v>106692</v>
      </c>
      <c r="N189" s="10">
        <f t="shared" si="12"/>
        <v>2.2245166231404934E-3</v>
      </c>
      <c r="O189" s="12">
        <f t="shared" si="13"/>
        <v>-2.2070926230735033E-3</v>
      </c>
    </row>
    <row r="190" spans="5:15" ht="30" customHeight="1" x14ac:dyDescent="0.3">
      <c r="E190" s="27">
        <v>44579</v>
      </c>
      <c r="F190" s="28">
        <v>28.980080000000001</v>
      </c>
      <c r="G190" s="29">
        <v>106522</v>
      </c>
      <c r="H190" s="10">
        <f t="shared" si="11"/>
        <v>0</v>
      </c>
      <c r="I190" s="12">
        <f t="shared" si="11"/>
        <v>-1.5933715742511012E-3</v>
      </c>
      <c r="K190" s="27">
        <v>28.980080000000001</v>
      </c>
      <c r="L190" s="28">
        <v>9722.19</v>
      </c>
      <c r="M190" s="29">
        <v>106522</v>
      </c>
      <c r="N190" s="10">
        <f t="shared" si="12"/>
        <v>-1.426652204994161E-3</v>
      </c>
      <c r="O190" s="12">
        <f t="shared" si="13"/>
        <v>-1.5933715742511012E-3</v>
      </c>
    </row>
    <row r="191" spans="5:15" ht="30" customHeight="1" x14ac:dyDescent="0.3">
      <c r="E191" s="27">
        <v>44580</v>
      </c>
      <c r="F191" s="28">
        <v>29.016763999999998</v>
      </c>
      <c r="G191" s="29">
        <v>108013</v>
      </c>
      <c r="H191" s="10">
        <f t="shared" si="11"/>
        <v>1.2658350149481468E-3</v>
      </c>
      <c r="I191" s="12">
        <f t="shared" si="11"/>
        <v>1.3997108578509554E-2</v>
      </c>
      <c r="K191" s="27">
        <v>29.016763999999998</v>
      </c>
      <c r="L191" s="28">
        <v>9763.2199999999993</v>
      </c>
      <c r="M191" s="29">
        <v>108013</v>
      </c>
      <c r="N191" s="10">
        <f t="shared" si="12"/>
        <v>4.2202425585180503E-3</v>
      </c>
      <c r="O191" s="12">
        <f t="shared" si="13"/>
        <v>1.3997108578509554E-2</v>
      </c>
    </row>
    <row r="192" spans="5:15" ht="30" customHeight="1" x14ac:dyDescent="0.3">
      <c r="E192" s="27">
        <v>44581</v>
      </c>
      <c r="F192" s="28">
        <v>29.346916</v>
      </c>
      <c r="G192" s="29">
        <v>109102</v>
      </c>
      <c r="H192" s="10">
        <f t="shared" si="11"/>
        <v>1.1377974470206276E-2</v>
      </c>
      <c r="I192" s="12">
        <f t="shared" si="11"/>
        <v>1.0082119744845519E-2</v>
      </c>
      <c r="K192" s="27">
        <v>29.346916</v>
      </c>
      <c r="L192" s="28">
        <v>9974.59</v>
      </c>
      <c r="M192" s="29">
        <v>109102</v>
      </c>
      <c r="N192" s="10">
        <f t="shared" si="12"/>
        <v>2.1649619695141675E-2</v>
      </c>
      <c r="O192" s="12">
        <f t="shared" si="13"/>
        <v>1.0082119744845519E-2</v>
      </c>
    </row>
    <row r="193" spans="5:15" ht="30" customHeight="1" x14ac:dyDescent="0.3">
      <c r="E193" s="27">
        <v>44582</v>
      </c>
      <c r="F193" s="28">
        <v>29.346916</v>
      </c>
      <c r="G193" s="29">
        <v>108942</v>
      </c>
      <c r="H193" s="10">
        <f t="shared" si="11"/>
        <v>0</v>
      </c>
      <c r="I193" s="12">
        <f t="shared" si="11"/>
        <v>-1.466517570713699E-3</v>
      </c>
      <c r="K193" s="27">
        <v>29.346916</v>
      </c>
      <c r="L193" s="28">
        <v>9998.24</v>
      </c>
      <c r="M193" s="29">
        <v>108942</v>
      </c>
      <c r="N193" s="10">
        <f t="shared" si="12"/>
        <v>2.3710247739505697E-3</v>
      </c>
      <c r="O193" s="12">
        <f t="shared" si="13"/>
        <v>-1.466517570713699E-3</v>
      </c>
    </row>
    <row r="194" spans="5:15" ht="30" customHeight="1" x14ac:dyDescent="0.3">
      <c r="E194" s="27">
        <v>44585</v>
      </c>
      <c r="F194" s="28">
        <v>28.980080000000001</v>
      </c>
      <c r="G194" s="29">
        <v>107752</v>
      </c>
      <c r="H194" s="10">
        <f t="shared" si="11"/>
        <v>-1.2499984666191177E-2</v>
      </c>
      <c r="I194" s="12">
        <f t="shared" si="11"/>
        <v>-1.0923243560793772E-2</v>
      </c>
      <c r="K194" s="27">
        <v>28.980080000000001</v>
      </c>
      <c r="L194" s="28">
        <v>9925.43</v>
      </c>
      <c r="M194" s="29">
        <v>107752</v>
      </c>
      <c r="N194" s="10">
        <f t="shared" si="12"/>
        <v>-7.2822816815758529E-3</v>
      </c>
      <c r="O194" s="12">
        <f t="shared" si="13"/>
        <v>-1.0923243560793772E-2</v>
      </c>
    </row>
    <row r="195" spans="5:15" ht="30" customHeight="1" x14ac:dyDescent="0.3">
      <c r="E195" s="27">
        <v>44586</v>
      </c>
      <c r="F195" s="28">
        <v>29.053447999999999</v>
      </c>
      <c r="G195" s="29">
        <v>109845</v>
      </c>
      <c r="H195" s="10">
        <f t="shared" si="11"/>
        <v>2.5316700298962935E-3</v>
      </c>
      <c r="I195" s="12">
        <f t="shared" si="11"/>
        <v>1.9424233424901516E-2</v>
      </c>
      <c r="K195" s="27">
        <v>29.053447999999999</v>
      </c>
      <c r="L195" s="28">
        <v>10233.459999999999</v>
      </c>
      <c r="M195" s="29">
        <v>109845</v>
      </c>
      <c r="N195" s="10">
        <f t="shared" si="12"/>
        <v>3.1034423697512192E-2</v>
      </c>
      <c r="O195" s="12">
        <f t="shared" si="13"/>
        <v>1.9424233424901516E-2</v>
      </c>
    </row>
    <row r="196" spans="5:15" ht="30" customHeight="1" x14ac:dyDescent="0.3">
      <c r="E196" s="27">
        <v>44587</v>
      </c>
      <c r="F196" s="28">
        <v>29.383600000000001</v>
      </c>
      <c r="G196" s="29">
        <v>111573</v>
      </c>
      <c r="H196" s="10">
        <f t="shared" si="11"/>
        <v>1.1363608202372477E-2</v>
      </c>
      <c r="I196" s="12">
        <f t="shared" si="11"/>
        <v>1.5731257681278255E-2</v>
      </c>
      <c r="K196" s="27">
        <v>29.383600000000001</v>
      </c>
      <c r="L196" s="28">
        <v>10356.26</v>
      </c>
      <c r="M196" s="29">
        <v>111573</v>
      </c>
      <c r="N196" s="10">
        <f t="shared" si="12"/>
        <v>1.1999851467636713E-2</v>
      </c>
      <c r="O196" s="12">
        <f t="shared" si="13"/>
        <v>1.5731257681278255E-2</v>
      </c>
    </row>
    <row r="197" spans="5:15" ht="30" customHeight="1" x14ac:dyDescent="0.3">
      <c r="E197" s="27">
        <v>44588</v>
      </c>
      <c r="F197" s="28">
        <v>30.249338000000002</v>
      </c>
      <c r="G197" s="29">
        <v>112315</v>
      </c>
      <c r="H197" s="10">
        <f t="shared" si="11"/>
        <v>2.9463306061884964E-2</v>
      </c>
      <c r="I197" s="12">
        <f t="shared" si="11"/>
        <v>6.6503544764413558E-3</v>
      </c>
      <c r="K197" s="27">
        <v>30.249338000000002</v>
      </c>
      <c r="L197" s="28">
        <v>10567.28</v>
      </c>
      <c r="M197" s="29">
        <v>112315</v>
      </c>
      <c r="N197" s="10">
        <f t="shared" si="12"/>
        <v>2.0376081712896399E-2</v>
      </c>
      <c r="O197" s="12">
        <f t="shared" si="13"/>
        <v>6.6503544764413558E-3</v>
      </c>
    </row>
    <row r="198" spans="5:15" ht="30" customHeight="1" x14ac:dyDescent="0.3">
      <c r="E198" s="27">
        <v>44589</v>
      </c>
      <c r="F198" s="28">
        <v>29.346916</v>
      </c>
      <c r="G198" s="29">
        <v>111478</v>
      </c>
      <c r="H198" s="10">
        <f t="shared" si="11"/>
        <v>-2.9832785100949999E-2</v>
      </c>
      <c r="I198" s="12">
        <f t="shared" si="11"/>
        <v>-7.4522548190357751E-3</v>
      </c>
      <c r="K198" s="27">
        <v>29.346916</v>
      </c>
      <c r="L198" s="28">
        <v>10654.21</v>
      </c>
      <c r="M198" s="29">
        <v>111478</v>
      </c>
      <c r="N198" s="10">
        <f t="shared" si="12"/>
        <v>8.2263363893071428E-3</v>
      </c>
      <c r="O198" s="12">
        <f t="shared" si="13"/>
        <v>-7.4522548190357751E-3</v>
      </c>
    </row>
    <row r="199" spans="5:15" ht="30" customHeight="1" x14ac:dyDescent="0.3">
      <c r="E199" s="27">
        <v>44592</v>
      </c>
      <c r="F199" s="28">
        <v>29.713754999999999</v>
      </c>
      <c r="G199" s="29">
        <v>112388</v>
      </c>
      <c r="H199" s="10">
        <f t="shared" si="11"/>
        <v>1.250008689158344E-2</v>
      </c>
      <c r="I199" s="12">
        <f t="shared" si="11"/>
        <v>8.1630456233516835E-3</v>
      </c>
      <c r="K199" s="27">
        <v>29.713754999999999</v>
      </c>
      <c r="L199" s="28">
        <v>10781.53</v>
      </c>
      <c r="M199" s="29">
        <v>112388</v>
      </c>
      <c r="N199" s="10">
        <f t="shared" si="12"/>
        <v>1.1950205599476682E-2</v>
      </c>
      <c r="O199" s="12">
        <f t="shared" si="13"/>
        <v>8.1630456233516835E-3</v>
      </c>
    </row>
    <row r="200" spans="5:15" ht="30" customHeight="1" x14ac:dyDescent="0.3">
      <c r="E200" s="27">
        <v>44593</v>
      </c>
      <c r="F200" s="28">
        <v>29.713754999999999</v>
      </c>
      <c r="G200" s="29">
        <v>113147</v>
      </c>
      <c r="H200" s="10">
        <f t="shared" si="11"/>
        <v>0</v>
      </c>
      <c r="I200" s="12">
        <f t="shared" si="11"/>
        <v>6.7533900416414383E-3</v>
      </c>
      <c r="K200" s="27">
        <v>29.713754999999999</v>
      </c>
      <c r="L200" s="28">
        <v>10775.34</v>
      </c>
      <c r="M200" s="29">
        <v>113147</v>
      </c>
      <c r="N200" s="10">
        <f t="shared" si="12"/>
        <v>-5.7413001679729181E-4</v>
      </c>
      <c r="O200" s="12">
        <f t="shared" si="13"/>
        <v>6.7533900416414383E-3</v>
      </c>
    </row>
    <row r="201" spans="5:15" ht="30" customHeight="1" x14ac:dyDescent="0.3">
      <c r="E201" s="27">
        <v>44594</v>
      </c>
      <c r="F201" s="28">
        <v>28.987418999999999</v>
      </c>
      <c r="G201" s="29">
        <v>112161</v>
      </c>
      <c r="H201" s="10">
        <f t="shared" si="11"/>
        <v>-2.4444436591740115E-2</v>
      </c>
      <c r="I201" s="12">
        <f t="shared" si="11"/>
        <v>-8.7143273794267895E-3</v>
      </c>
      <c r="K201" s="27">
        <v>28.987418999999999</v>
      </c>
      <c r="L201" s="28">
        <v>10572.77</v>
      </c>
      <c r="M201" s="29">
        <v>112161</v>
      </c>
      <c r="N201" s="10">
        <f t="shared" si="12"/>
        <v>-1.8799406793660323E-2</v>
      </c>
      <c r="O201" s="12">
        <f t="shared" si="13"/>
        <v>-8.7143273794267895E-3</v>
      </c>
    </row>
    <row r="202" spans="5:15" ht="30" customHeight="1" x14ac:dyDescent="0.3">
      <c r="E202" s="27">
        <v>44595</v>
      </c>
      <c r="F202" s="28">
        <v>28.987418999999999</v>
      </c>
      <c r="G202" s="29">
        <v>111696</v>
      </c>
      <c r="H202" s="10">
        <f t="shared" si="11"/>
        <v>0</v>
      </c>
      <c r="I202" s="12">
        <f t="shared" si="11"/>
        <v>-4.1458260892823784E-3</v>
      </c>
      <c r="K202" s="27">
        <v>28.987418999999999</v>
      </c>
      <c r="L202" s="28">
        <v>10601.08</v>
      </c>
      <c r="M202" s="29">
        <v>111696</v>
      </c>
      <c r="N202" s="10">
        <f t="shared" si="12"/>
        <v>2.6776332030300498E-3</v>
      </c>
      <c r="O202" s="12">
        <f t="shared" si="13"/>
        <v>-4.1458260892823784E-3</v>
      </c>
    </row>
    <row r="203" spans="5:15" ht="30" customHeight="1" x14ac:dyDescent="0.3">
      <c r="E203" s="27">
        <v>44596</v>
      </c>
      <c r="F203" s="28">
        <v>28.246407999999999</v>
      </c>
      <c r="G203" s="29">
        <v>112245</v>
      </c>
      <c r="H203" s="10">
        <f t="shared" si="11"/>
        <v>-2.5563193466793366E-2</v>
      </c>
      <c r="I203" s="12">
        <f t="shared" si="11"/>
        <v>4.9151267726685877E-3</v>
      </c>
      <c r="K203" s="27">
        <v>28.246407999999999</v>
      </c>
      <c r="L203" s="28">
        <v>10628.44</v>
      </c>
      <c r="M203" s="29">
        <v>112245</v>
      </c>
      <c r="N203" s="10">
        <f t="shared" si="12"/>
        <v>2.5808691189954658E-3</v>
      </c>
      <c r="O203" s="12">
        <f t="shared" si="13"/>
        <v>4.9151267726685877E-3</v>
      </c>
    </row>
    <row r="204" spans="5:15" ht="30" customHeight="1" x14ac:dyDescent="0.3">
      <c r="E204" s="27">
        <v>44599</v>
      </c>
      <c r="F204" s="28">
        <v>28.928723999999999</v>
      </c>
      <c r="G204" s="29">
        <v>111996</v>
      </c>
      <c r="H204" s="10">
        <f t="shared" si="11"/>
        <v>2.4155850188101846E-2</v>
      </c>
      <c r="I204" s="12">
        <f t="shared" si="11"/>
        <v>-2.2183616196712608E-3</v>
      </c>
      <c r="K204" s="27">
        <v>28.928723999999999</v>
      </c>
      <c r="L204" s="28">
        <v>10541.37</v>
      </c>
      <c r="M204" s="29">
        <v>111996</v>
      </c>
      <c r="N204" s="10">
        <f t="shared" si="12"/>
        <v>-8.1921711935147856E-3</v>
      </c>
      <c r="O204" s="12">
        <f t="shared" si="13"/>
        <v>-2.2183616196712608E-3</v>
      </c>
    </row>
    <row r="205" spans="5:15" ht="30" customHeight="1" x14ac:dyDescent="0.3">
      <c r="E205" s="27">
        <v>44600</v>
      </c>
      <c r="F205" s="28">
        <v>28.833345000000001</v>
      </c>
      <c r="G205" s="29">
        <v>112234</v>
      </c>
      <c r="H205" s="10">
        <f t="shared" si="11"/>
        <v>-3.2970344630477433E-3</v>
      </c>
      <c r="I205" s="12">
        <f t="shared" si="11"/>
        <v>2.1250758955677629E-3</v>
      </c>
      <c r="K205" s="27">
        <v>28.833345000000001</v>
      </c>
      <c r="L205" s="28">
        <v>10593.26</v>
      </c>
      <c r="M205" s="29">
        <v>112234</v>
      </c>
      <c r="N205" s="10">
        <f t="shared" si="12"/>
        <v>4.9225100722201098E-3</v>
      </c>
      <c r="O205" s="12">
        <f t="shared" si="13"/>
        <v>2.1250758955677629E-3</v>
      </c>
    </row>
    <row r="206" spans="5:15" ht="30" customHeight="1" x14ac:dyDescent="0.3">
      <c r="E206" s="27">
        <v>44601</v>
      </c>
      <c r="F206" s="28">
        <v>28.833345000000001</v>
      </c>
      <c r="G206" s="29">
        <v>112461</v>
      </c>
      <c r="H206" s="10">
        <f t="shared" si="11"/>
        <v>0</v>
      </c>
      <c r="I206" s="12">
        <f t="shared" si="11"/>
        <v>2.0225600085534978E-3</v>
      </c>
      <c r="K206" s="27">
        <v>28.833345000000001</v>
      </c>
      <c r="L206" s="28">
        <v>10395.69</v>
      </c>
      <c r="M206" s="29">
        <v>112461</v>
      </c>
      <c r="N206" s="10">
        <f t="shared" si="12"/>
        <v>-1.8650538172385045E-2</v>
      </c>
      <c r="O206" s="12">
        <f t="shared" si="13"/>
        <v>2.0225600085534978E-3</v>
      </c>
    </row>
    <row r="207" spans="5:15" ht="30" customHeight="1" x14ac:dyDescent="0.3">
      <c r="E207" s="27">
        <v>44602</v>
      </c>
      <c r="F207" s="28">
        <v>29.346916</v>
      </c>
      <c r="G207" s="29">
        <v>113359</v>
      </c>
      <c r="H207" s="10">
        <f t="shared" si="11"/>
        <v>1.7811703775611143E-2</v>
      </c>
      <c r="I207" s="12">
        <f t="shared" si="11"/>
        <v>7.9849903522108967E-3</v>
      </c>
      <c r="K207" s="27">
        <v>29.346916</v>
      </c>
      <c r="L207" s="28">
        <v>10464.799999999999</v>
      </c>
      <c r="M207" s="29">
        <v>113359</v>
      </c>
      <c r="N207" s="10">
        <f t="shared" si="12"/>
        <v>6.6479473704967873E-3</v>
      </c>
      <c r="O207" s="12">
        <f t="shared" si="13"/>
        <v>7.9849903522108967E-3</v>
      </c>
    </row>
    <row r="208" spans="5:15" ht="30" customHeight="1" x14ac:dyDescent="0.3">
      <c r="E208" s="27">
        <v>44603</v>
      </c>
      <c r="F208" s="28">
        <v>30.219988000000001</v>
      </c>
      <c r="G208" s="29">
        <v>113572</v>
      </c>
      <c r="H208" s="10">
        <f t="shared" si="11"/>
        <v>2.9750042559838263E-2</v>
      </c>
      <c r="I208" s="12">
        <f t="shared" si="11"/>
        <v>1.8789862295891524E-3</v>
      </c>
      <c r="K208" s="27">
        <v>30.219988000000001</v>
      </c>
      <c r="L208" s="28">
        <v>10644.8</v>
      </c>
      <c r="M208" s="29">
        <v>113572</v>
      </c>
      <c r="N208" s="10">
        <f t="shared" si="12"/>
        <v>1.7200519837932804E-2</v>
      </c>
      <c r="O208" s="12">
        <f t="shared" si="13"/>
        <v>1.8789862295891524E-3</v>
      </c>
    </row>
    <row r="209" spans="5:15" ht="30" customHeight="1" x14ac:dyDescent="0.3">
      <c r="E209" s="27">
        <v>44606</v>
      </c>
      <c r="F209" s="28">
        <v>30.183306000000002</v>
      </c>
      <c r="G209" s="29">
        <v>113807</v>
      </c>
      <c r="H209" s="10">
        <f t="shared" si="11"/>
        <v>-1.213832381402602E-3</v>
      </c>
      <c r="I209" s="12">
        <f t="shared" si="11"/>
        <v>2.0691719790089103E-3</v>
      </c>
      <c r="K209" s="27">
        <v>30.183306000000002</v>
      </c>
      <c r="L209" s="28">
        <v>10713.75</v>
      </c>
      <c r="M209" s="29">
        <v>113807</v>
      </c>
      <c r="N209" s="10">
        <f t="shared" si="12"/>
        <v>6.4773410491507644E-3</v>
      </c>
      <c r="O209" s="12">
        <f t="shared" si="13"/>
        <v>2.0691719790089103E-3</v>
      </c>
    </row>
    <row r="210" spans="5:15" ht="30" customHeight="1" x14ac:dyDescent="0.3">
      <c r="E210" s="27">
        <v>44607</v>
      </c>
      <c r="F210" s="28">
        <v>30.403406</v>
      </c>
      <c r="G210" s="29">
        <v>114660</v>
      </c>
      <c r="H210" s="10">
        <f t="shared" si="11"/>
        <v>7.2921104136174364E-3</v>
      </c>
      <c r="I210" s="12">
        <f t="shared" si="11"/>
        <v>7.4951452898328608E-3</v>
      </c>
      <c r="K210" s="27">
        <v>30.403406</v>
      </c>
      <c r="L210" s="28">
        <v>10944.34</v>
      </c>
      <c r="M210" s="29">
        <v>114660</v>
      </c>
      <c r="N210" s="10">
        <f t="shared" si="12"/>
        <v>2.1522809473807136E-2</v>
      </c>
      <c r="O210" s="12">
        <f t="shared" si="13"/>
        <v>7.4951452898328608E-3</v>
      </c>
    </row>
    <row r="211" spans="5:15" ht="30" customHeight="1" x14ac:dyDescent="0.3">
      <c r="E211" s="27">
        <v>44608</v>
      </c>
      <c r="F211" s="28">
        <v>30.080593</v>
      </c>
      <c r="G211" s="29">
        <v>115181</v>
      </c>
      <c r="H211" s="10">
        <f t="shared" si="11"/>
        <v>-1.0617659087274633E-2</v>
      </c>
      <c r="I211" s="12">
        <f t="shared" si="11"/>
        <v>4.5438688295831309E-3</v>
      </c>
      <c r="K211" s="27">
        <v>30.080593</v>
      </c>
      <c r="L211" s="28">
        <v>10970.88</v>
      </c>
      <c r="M211" s="29">
        <v>115181</v>
      </c>
      <c r="N211" s="10">
        <f t="shared" si="12"/>
        <v>2.4249977613999274E-3</v>
      </c>
      <c r="O211" s="12">
        <f t="shared" si="13"/>
        <v>4.5438688295831309E-3</v>
      </c>
    </row>
    <row r="212" spans="5:15" ht="30" customHeight="1" x14ac:dyDescent="0.3">
      <c r="E212" s="27">
        <v>44609</v>
      </c>
      <c r="F212" s="28">
        <v>29.346916</v>
      </c>
      <c r="G212" s="29">
        <v>113528</v>
      </c>
      <c r="H212" s="10">
        <f t="shared" si="11"/>
        <v>-2.4390376878540954E-2</v>
      </c>
      <c r="I212" s="12">
        <f t="shared" si="11"/>
        <v>-1.4351325305388962E-2</v>
      </c>
      <c r="K212" s="27">
        <v>29.346916</v>
      </c>
      <c r="L212" s="28">
        <v>10837.87</v>
      </c>
      <c r="M212" s="29">
        <v>113528</v>
      </c>
      <c r="N212" s="10">
        <f t="shared" si="12"/>
        <v>-1.2123913487340876E-2</v>
      </c>
      <c r="O212" s="12">
        <f t="shared" si="13"/>
        <v>-1.4351325305388962E-2</v>
      </c>
    </row>
    <row r="213" spans="5:15" ht="30" customHeight="1" x14ac:dyDescent="0.3">
      <c r="E213" s="27">
        <v>44610</v>
      </c>
      <c r="F213" s="28">
        <v>29.860489000000001</v>
      </c>
      <c r="G213" s="29">
        <v>112768</v>
      </c>
      <c r="H213" s="10">
        <f t="shared" si="11"/>
        <v>1.7500067128007668E-2</v>
      </c>
      <c r="I213" s="12">
        <f t="shared" si="11"/>
        <v>-6.6943837643577142E-3</v>
      </c>
      <c r="K213" s="27">
        <v>29.860489000000001</v>
      </c>
      <c r="L213" s="28">
        <v>10877.9</v>
      </c>
      <c r="M213" s="29">
        <v>112768</v>
      </c>
      <c r="N213" s="10">
        <f t="shared" si="12"/>
        <v>3.6935301862819347E-3</v>
      </c>
      <c r="O213" s="12">
        <f t="shared" si="13"/>
        <v>-6.6943837643577142E-3</v>
      </c>
    </row>
    <row r="214" spans="5:15" ht="30" customHeight="1" x14ac:dyDescent="0.3">
      <c r="E214" s="27">
        <v>44613</v>
      </c>
      <c r="F214" s="28">
        <v>30.190639000000001</v>
      </c>
      <c r="G214" s="29">
        <v>111725</v>
      </c>
      <c r="H214" s="10">
        <f t="shared" si="11"/>
        <v>1.1056416390234025E-2</v>
      </c>
      <c r="I214" s="12">
        <f t="shared" si="11"/>
        <v>-9.2490777525539025E-3</v>
      </c>
      <c r="K214" s="27">
        <v>30.190639000000001</v>
      </c>
      <c r="L214" s="28">
        <v>10657.88</v>
      </c>
      <c r="M214" s="29">
        <v>111725</v>
      </c>
      <c r="N214" s="10">
        <f t="shared" si="12"/>
        <v>-2.0226330449811147E-2</v>
      </c>
      <c r="O214" s="12">
        <f t="shared" si="13"/>
        <v>-9.2490777525539025E-3</v>
      </c>
    </row>
    <row r="215" spans="5:15" ht="30" customHeight="1" x14ac:dyDescent="0.3">
      <c r="E215" s="27">
        <v>44614</v>
      </c>
      <c r="F215" s="28">
        <v>30.792249999999999</v>
      </c>
      <c r="G215" s="29">
        <v>112892</v>
      </c>
      <c r="H215" s="10">
        <f t="shared" si="11"/>
        <v>1.992707077183753E-2</v>
      </c>
      <c r="I215" s="12">
        <f t="shared" si="11"/>
        <v>1.0445289773998612E-2</v>
      </c>
      <c r="K215" s="27">
        <v>30.792249999999999</v>
      </c>
      <c r="L215" s="28">
        <v>10727.28</v>
      </c>
      <c r="M215" s="29">
        <v>112892</v>
      </c>
      <c r="N215" s="10">
        <f t="shared" si="12"/>
        <v>6.5116139419847396E-3</v>
      </c>
      <c r="O215" s="12">
        <f t="shared" si="13"/>
        <v>1.0445289773998612E-2</v>
      </c>
    </row>
    <row r="216" spans="5:15" ht="30" customHeight="1" x14ac:dyDescent="0.3">
      <c r="E216" s="27">
        <v>44615</v>
      </c>
      <c r="F216" s="28">
        <v>30.792249999999999</v>
      </c>
      <c r="G216" s="29">
        <v>112008</v>
      </c>
      <c r="H216" s="10">
        <f t="shared" ref="H216:I279" si="14">F216/F215-1</f>
        <v>0</v>
      </c>
      <c r="I216" s="12">
        <f t="shared" si="14"/>
        <v>-7.8304928604330248E-3</v>
      </c>
      <c r="K216" s="27">
        <v>30.792249999999999</v>
      </c>
      <c r="L216" s="28">
        <v>10683.07</v>
      </c>
      <c r="M216" s="29">
        <v>112008</v>
      </c>
      <c r="N216" s="10">
        <f t="shared" ref="N216:N279" si="15">L216/L215-1</f>
        <v>-4.1212683923604887E-3</v>
      </c>
      <c r="O216" s="12">
        <f t="shared" ref="O216:O279" si="16">M216/M215-1</f>
        <v>-7.8304928604330248E-3</v>
      </c>
    </row>
    <row r="217" spans="5:15" ht="30" customHeight="1" x14ac:dyDescent="0.3">
      <c r="E217" s="27">
        <v>44616</v>
      </c>
      <c r="F217" s="28">
        <v>29.706416999999998</v>
      </c>
      <c r="G217" s="29">
        <v>111592</v>
      </c>
      <c r="H217" s="10">
        <f t="shared" si="14"/>
        <v>-3.5263191225064827E-2</v>
      </c>
      <c r="I217" s="12">
        <f t="shared" si="14"/>
        <v>-3.71402042711233E-3</v>
      </c>
      <c r="K217" s="27">
        <v>29.706416999999998</v>
      </c>
      <c r="L217" s="28">
        <v>10571.37</v>
      </c>
      <c r="M217" s="29">
        <v>111592</v>
      </c>
      <c r="N217" s="10">
        <f t="shared" si="15"/>
        <v>-1.0455795946296198E-2</v>
      </c>
      <c r="O217" s="12">
        <f t="shared" si="16"/>
        <v>-3.71402042711233E-3</v>
      </c>
    </row>
    <row r="218" spans="5:15" ht="30" customHeight="1" x14ac:dyDescent="0.3">
      <c r="E218" s="27">
        <v>44617</v>
      </c>
      <c r="F218" s="28">
        <v>30.293358000000001</v>
      </c>
      <c r="G218" s="29">
        <v>113142</v>
      </c>
      <c r="H218" s="10">
        <f t="shared" si="14"/>
        <v>1.9758054295137661E-2</v>
      </c>
      <c r="I218" s="12">
        <f t="shared" si="14"/>
        <v>1.3889884579539657E-2</v>
      </c>
      <c r="K218" s="27">
        <v>30.293358000000001</v>
      </c>
      <c r="L218" s="28">
        <v>10639.97</v>
      </c>
      <c r="M218" s="29">
        <v>113142</v>
      </c>
      <c r="N218" s="10">
        <f t="shared" si="15"/>
        <v>6.4892251430039849E-3</v>
      </c>
      <c r="O218" s="12">
        <f t="shared" si="16"/>
        <v>1.3889884579539657E-2</v>
      </c>
    </row>
    <row r="219" spans="5:15" ht="30" customHeight="1" x14ac:dyDescent="0.3">
      <c r="E219" s="27">
        <v>44622</v>
      </c>
      <c r="F219" s="28">
        <v>30.293358000000001</v>
      </c>
      <c r="G219" s="29">
        <v>115174</v>
      </c>
      <c r="H219" s="10">
        <f t="shared" si="14"/>
        <v>0</v>
      </c>
      <c r="I219" s="12">
        <f t="shared" si="14"/>
        <v>1.7959732018171914E-2</v>
      </c>
      <c r="K219" s="27">
        <v>30.293358000000001</v>
      </c>
      <c r="L219" s="28">
        <v>10514.62</v>
      </c>
      <c r="M219" s="29">
        <v>115174</v>
      </c>
      <c r="N219" s="10">
        <f t="shared" si="15"/>
        <v>-1.1781048254835169E-2</v>
      </c>
      <c r="O219" s="12">
        <f t="shared" si="16"/>
        <v>1.7959732018171914E-2</v>
      </c>
    </row>
    <row r="220" spans="5:15" ht="30" customHeight="1" x14ac:dyDescent="0.3">
      <c r="E220" s="27">
        <v>44623</v>
      </c>
      <c r="F220" s="28">
        <v>29.442292999999999</v>
      </c>
      <c r="G220" s="29">
        <v>115166</v>
      </c>
      <c r="H220" s="10">
        <f t="shared" si="14"/>
        <v>-2.8094112247311842E-2</v>
      </c>
      <c r="I220" s="12">
        <f t="shared" si="14"/>
        <v>-6.946012120789824E-5</v>
      </c>
      <c r="K220" s="27">
        <v>29.442292999999999</v>
      </c>
      <c r="L220" s="28">
        <v>10623.25</v>
      </c>
      <c r="M220" s="29">
        <v>115166</v>
      </c>
      <c r="N220" s="10">
        <f t="shared" si="15"/>
        <v>1.0331329139807055E-2</v>
      </c>
      <c r="O220" s="12">
        <f t="shared" si="16"/>
        <v>-6.946012120789824E-5</v>
      </c>
    </row>
    <row r="221" spans="5:15" ht="30" customHeight="1" x14ac:dyDescent="0.3">
      <c r="E221" s="27">
        <v>44624</v>
      </c>
      <c r="F221" s="28">
        <v>29.075457</v>
      </c>
      <c r="G221" s="29">
        <v>114474</v>
      </c>
      <c r="H221" s="10">
        <f t="shared" si="14"/>
        <v>-1.2459491521261579E-2</v>
      </c>
      <c r="I221" s="12">
        <f t="shared" si="14"/>
        <v>-6.0087178507545191E-3</v>
      </c>
      <c r="K221" s="27">
        <v>29.075457</v>
      </c>
      <c r="L221" s="28">
        <v>10390.31</v>
      </c>
      <c r="M221" s="29">
        <v>114474</v>
      </c>
      <c r="N221" s="10">
        <f t="shared" si="15"/>
        <v>-2.1927376273739307E-2</v>
      </c>
      <c r="O221" s="12">
        <f t="shared" si="16"/>
        <v>-6.0087178507545191E-3</v>
      </c>
    </row>
    <row r="222" spans="5:15" ht="30" customHeight="1" x14ac:dyDescent="0.3">
      <c r="E222" s="27">
        <v>44627</v>
      </c>
      <c r="F222" s="28">
        <v>29.346916</v>
      </c>
      <c r="G222" s="29">
        <v>111593</v>
      </c>
      <c r="H222" s="10">
        <f t="shared" si="14"/>
        <v>9.336362279705579E-3</v>
      </c>
      <c r="I222" s="12">
        <f t="shared" si="14"/>
        <v>-2.5167286894840712E-2</v>
      </c>
      <c r="K222" s="27">
        <v>29.346916</v>
      </c>
      <c r="L222" s="28">
        <v>10045.1</v>
      </c>
      <c r="M222" s="29">
        <v>111593</v>
      </c>
      <c r="N222" s="10">
        <f t="shared" si="15"/>
        <v>-3.3224225263731255E-2</v>
      </c>
      <c r="O222" s="12">
        <f t="shared" si="16"/>
        <v>-2.5167286894840712E-2</v>
      </c>
    </row>
    <row r="223" spans="5:15" ht="30" customHeight="1" x14ac:dyDescent="0.3">
      <c r="E223" s="27">
        <v>44628</v>
      </c>
      <c r="F223" s="28">
        <v>29.346916</v>
      </c>
      <c r="G223" s="29">
        <v>111203</v>
      </c>
      <c r="H223" s="10">
        <f t="shared" si="14"/>
        <v>0</v>
      </c>
      <c r="I223" s="12">
        <f t="shared" si="14"/>
        <v>-3.494842866488046E-3</v>
      </c>
      <c r="K223" s="27">
        <v>29.346916</v>
      </c>
      <c r="L223" s="28">
        <v>10037.06</v>
      </c>
      <c r="M223" s="29">
        <v>111203</v>
      </c>
      <c r="N223" s="10">
        <f t="shared" si="15"/>
        <v>-8.0039024001765657E-4</v>
      </c>
      <c r="O223" s="12">
        <f t="shared" si="16"/>
        <v>-3.494842866488046E-3</v>
      </c>
    </row>
    <row r="224" spans="5:15" ht="30" customHeight="1" x14ac:dyDescent="0.3">
      <c r="E224" s="27">
        <v>44629</v>
      </c>
      <c r="F224" s="28">
        <v>29.933857</v>
      </c>
      <c r="G224" s="29">
        <v>113900</v>
      </c>
      <c r="H224" s="10">
        <f t="shared" si="14"/>
        <v>2.0000091321350499E-2</v>
      </c>
      <c r="I224" s="12">
        <f t="shared" si="14"/>
        <v>2.4252942816290979E-2</v>
      </c>
      <c r="K224" s="27">
        <v>29.933857</v>
      </c>
      <c r="L224" s="28">
        <v>10530.88</v>
      </c>
      <c r="M224" s="29">
        <v>113900</v>
      </c>
      <c r="N224" s="10">
        <f t="shared" si="15"/>
        <v>4.9199666037664347E-2</v>
      </c>
      <c r="O224" s="12">
        <f t="shared" si="16"/>
        <v>2.4252942816290979E-2</v>
      </c>
    </row>
    <row r="225" spans="5:15" ht="30" customHeight="1" x14ac:dyDescent="0.3">
      <c r="E225" s="27">
        <v>44630</v>
      </c>
      <c r="F225" s="28">
        <v>29.970541000000001</v>
      </c>
      <c r="G225" s="29">
        <v>113663</v>
      </c>
      <c r="H225" s="10">
        <f t="shared" si="14"/>
        <v>1.2255019458402572E-3</v>
      </c>
      <c r="I225" s="12">
        <f t="shared" si="14"/>
        <v>-2.0807726075504629E-3</v>
      </c>
      <c r="K225" s="27">
        <v>29.970541000000001</v>
      </c>
      <c r="L225" s="28">
        <v>10382.52</v>
      </c>
      <c r="M225" s="29">
        <v>113663</v>
      </c>
      <c r="N225" s="10">
        <f t="shared" si="15"/>
        <v>-1.408809140356726E-2</v>
      </c>
      <c r="O225" s="12">
        <f t="shared" si="16"/>
        <v>-2.0807726075504629E-3</v>
      </c>
    </row>
    <row r="226" spans="5:15" ht="30" customHeight="1" x14ac:dyDescent="0.3">
      <c r="E226" s="27">
        <v>44631</v>
      </c>
      <c r="F226" s="28">
        <v>30.219988000000001</v>
      </c>
      <c r="G226" s="29">
        <v>111713</v>
      </c>
      <c r="H226" s="10">
        <f t="shared" si="14"/>
        <v>8.3230729802308279E-3</v>
      </c>
      <c r="I226" s="12">
        <f t="shared" si="14"/>
        <v>-1.7155978638607072E-2</v>
      </c>
      <c r="K226" s="27">
        <v>30.219988000000001</v>
      </c>
      <c r="L226" s="28">
        <v>10274.49</v>
      </c>
      <c r="M226" s="29">
        <v>111713</v>
      </c>
      <c r="N226" s="10">
        <f t="shared" si="15"/>
        <v>-1.0404988384322911E-2</v>
      </c>
      <c r="O226" s="12">
        <f t="shared" si="16"/>
        <v>-1.7155978638607072E-2</v>
      </c>
    </row>
    <row r="227" spans="5:15" ht="30" customHeight="1" x14ac:dyDescent="0.3">
      <c r="E227" s="27">
        <v>44634</v>
      </c>
      <c r="F227" s="28">
        <v>30.146622000000001</v>
      </c>
      <c r="G227" s="29">
        <v>109928</v>
      </c>
      <c r="H227" s="10">
        <f t="shared" si="14"/>
        <v>-2.4277309441684825E-3</v>
      </c>
      <c r="I227" s="12">
        <f t="shared" si="14"/>
        <v>-1.5978444764709554E-2</v>
      </c>
      <c r="K227" s="27">
        <v>30.146622000000001</v>
      </c>
      <c r="L227" s="28">
        <v>10310.620000000001</v>
      </c>
      <c r="M227" s="29">
        <v>109928</v>
      </c>
      <c r="N227" s="10">
        <f t="shared" si="15"/>
        <v>3.5164762435897501E-3</v>
      </c>
      <c r="O227" s="12">
        <f t="shared" si="16"/>
        <v>-1.5978444764709554E-2</v>
      </c>
    </row>
    <row r="228" spans="5:15" ht="30" customHeight="1" x14ac:dyDescent="0.3">
      <c r="E228" s="27">
        <v>44635</v>
      </c>
      <c r="F228" s="28">
        <v>29.713754999999999</v>
      </c>
      <c r="G228" s="29">
        <v>108959</v>
      </c>
      <c r="H228" s="10">
        <f t="shared" si="14"/>
        <v>-1.4358723176348009E-2</v>
      </c>
      <c r="I228" s="12">
        <f t="shared" si="14"/>
        <v>-8.8148606360526349E-3</v>
      </c>
      <c r="K228" s="27">
        <v>29.713754999999999</v>
      </c>
      <c r="L228" s="28">
        <v>10285.65</v>
      </c>
      <c r="M228" s="29">
        <v>108959</v>
      </c>
      <c r="N228" s="10">
        <f t="shared" si="15"/>
        <v>-2.4217748302236553E-3</v>
      </c>
      <c r="O228" s="12">
        <f t="shared" si="16"/>
        <v>-8.8148606360526349E-3</v>
      </c>
    </row>
    <row r="229" spans="5:15" ht="30" customHeight="1" x14ac:dyDescent="0.3">
      <c r="E229" s="27">
        <v>44636</v>
      </c>
      <c r="F229" s="28">
        <v>29.713754999999999</v>
      </c>
      <c r="G229" s="29">
        <v>111112</v>
      </c>
      <c r="H229" s="10">
        <f t="shared" si="14"/>
        <v>0</v>
      </c>
      <c r="I229" s="12">
        <f t="shared" si="14"/>
        <v>1.9759726135518907E-2</v>
      </c>
      <c r="K229" s="27">
        <v>29.713754999999999</v>
      </c>
      <c r="L229" s="28">
        <v>10495.79</v>
      </c>
      <c r="M229" s="29">
        <v>111112</v>
      </c>
      <c r="N229" s="10">
        <f t="shared" si="15"/>
        <v>2.0430405467812163E-2</v>
      </c>
      <c r="O229" s="12">
        <f t="shared" si="16"/>
        <v>1.9759726135518907E-2</v>
      </c>
    </row>
    <row r="230" spans="5:15" ht="30" customHeight="1" x14ac:dyDescent="0.3">
      <c r="E230" s="27">
        <v>44637</v>
      </c>
      <c r="F230" s="28">
        <v>29.713754999999999</v>
      </c>
      <c r="G230" s="29">
        <v>113076</v>
      </c>
      <c r="H230" s="10">
        <f t="shared" si="14"/>
        <v>0</v>
      </c>
      <c r="I230" s="12">
        <f t="shared" si="14"/>
        <v>1.7675858593131144E-2</v>
      </c>
      <c r="K230" s="27">
        <v>29.713754999999999</v>
      </c>
      <c r="L230" s="28">
        <v>10686.6</v>
      </c>
      <c r="M230" s="29">
        <v>113076</v>
      </c>
      <c r="N230" s="10">
        <f t="shared" si="15"/>
        <v>1.8179670134406134E-2</v>
      </c>
      <c r="O230" s="12">
        <f t="shared" si="16"/>
        <v>1.7675858593131144E-2</v>
      </c>
    </row>
    <row r="231" spans="5:15" ht="30" customHeight="1" x14ac:dyDescent="0.3">
      <c r="E231" s="27">
        <v>44638</v>
      </c>
      <c r="F231" s="28">
        <v>29.530334</v>
      </c>
      <c r="G231" s="29">
        <v>115311</v>
      </c>
      <c r="H231" s="10">
        <f t="shared" si="14"/>
        <v>-6.1729323675179248E-3</v>
      </c>
      <c r="I231" s="12">
        <f t="shared" si="14"/>
        <v>1.9765467473203957E-2</v>
      </c>
      <c r="K231" s="27">
        <v>29.530334</v>
      </c>
      <c r="L231" s="28">
        <v>10797.77</v>
      </c>
      <c r="M231" s="29">
        <v>115311</v>
      </c>
      <c r="N231" s="10">
        <f t="shared" si="15"/>
        <v>1.040274736586011E-2</v>
      </c>
      <c r="O231" s="12">
        <f t="shared" si="16"/>
        <v>1.9765467473203957E-2</v>
      </c>
    </row>
    <row r="232" spans="5:15" ht="30" customHeight="1" x14ac:dyDescent="0.3">
      <c r="E232" s="27">
        <v>44641</v>
      </c>
      <c r="F232" s="28">
        <v>32.017487000000003</v>
      </c>
      <c r="G232" s="29">
        <v>116155</v>
      </c>
      <c r="H232" s="10">
        <f t="shared" si="14"/>
        <v>8.4223666417047705E-2</v>
      </c>
      <c r="I232" s="12">
        <f t="shared" si="14"/>
        <v>7.319336403291965E-3</v>
      </c>
      <c r="K232" s="27">
        <v>32.017487000000003</v>
      </c>
      <c r="L232" s="28">
        <v>10887.27</v>
      </c>
      <c r="M232" s="29">
        <v>116155</v>
      </c>
      <c r="N232" s="10">
        <f t="shared" si="15"/>
        <v>8.2887485101090785E-3</v>
      </c>
      <c r="O232" s="12">
        <f t="shared" si="16"/>
        <v>7.319336403291965E-3</v>
      </c>
    </row>
    <row r="233" spans="5:15" ht="30" customHeight="1" x14ac:dyDescent="0.3">
      <c r="E233" s="27">
        <v>44642</v>
      </c>
      <c r="F233" s="28">
        <v>31.291150999999999</v>
      </c>
      <c r="G233" s="29">
        <v>117272</v>
      </c>
      <c r="H233" s="10">
        <f t="shared" si="14"/>
        <v>-2.268560302687106E-2</v>
      </c>
      <c r="I233" s="12">
        <f t="shared" si="14"/>
        <v>9.6164607636348709E-3</v>
      </c>
      <c r="K233" s="27">
        <v>31.291150999999999</v>
      </c>
      <c r="L233" s="28">
        <v>11145.45</v>
      </c>
      <c r="M233" s="29">
        <v>117272</v>
      </c>
      <c r="N233" s="10">
        <f t="shared" si="15"/>
        <v>2.371393379607567E-2</v>
      </c>
      <c r="O233" s="12">
        <f t="shared" si="16"/>
        <v>9.6164607636348709E-3</v>
      </c>
    </row>
    <row r="234" spans="5:15" ht="30" customHeight="1" x14ac:dyDescent="0.3">
      <c r="E234" s="27">
        <v>44643</v>
      </c>
      <c r="F234" s="28">
        <v>30.381395000000001</v>
      </c>
      <c r="G234" s="29">
        <v>117457</v>
      </c>
      <c r="H234" s="10">
        <f t="shared" si="14"/>
        <v>-2.9073906549490602E-2</v>
      </c>
      <c r="I234" s="12">
        <f t="shared" si="14"/>
        <v>1.5775291629716026E-3</v>
      </c>
      <c r="K234" s="27">
        <v>30.381395000000001</v>
      </c>
      <c r="L234" s="28">
        <v>11142.34</v>
      </c>
      <c r="M234" s="29">
        <v>117457</v>
      </c>
      <c r="N234" s="10">
        <f t="shared" si="15"/>
        <v>-2.7903763419157013E-4</v>
      </c>
      <c r="O234" s="12">
        <f t="shared" si="16"/>
        <v>1.5775291629716026E-3</v>
      </c>
    </row>
    <row r="235" spans="5:15" ht="30" customHeight="1" x14ac:dyDescent="0.3">
      <c r="E235" s="27">
        <v>44644</v>
      </c>
      <c r="F235" s="28">
        <v>30.814260000000001</v>
      </c>
      <c r="G235" s="29">
        <v>119053</v>
      </c>
      <c r="H235" s="10">
        <f t="shared" si="14"/>
        <v>1.4247699949261783E-2</v>
      </c>
      <c r="I235" s="12">
        <f t="shared" si="14"/>
        <v>1.3587951335382265E-2</v>
      </c>
      <c r="K235" s="27">
        <v>30.814260000000001</v>
      </c>
      <c r="L235" s="28">
        <v>11279.98</v>
      </c>
      <c r="M235" s="29">
        <v>119053</v>
      </c>
      <c r="N235" s="10">
        <f t="shared" si="15"/>
        <v>1.2352880992681836E-2</v>
      </c>
      <c r="O235" s="12">
        <f t="shared" si="16"/>
        <v>1.3587951335382265E-2</v>
      </c>
    </row>
    <row r="236" spans="5:15" ht="30" customHeight="1" x14ac:dyDescent="0.3">
      <c r="E236" s="27">
        <v>44645</v>
      </c>
      <c r="F236" s="28">
        <v>31.327835</v>
      </c>
      <c r="G236" s="29">
        <v>119081</v>
      </c>
      <c r="H236" s="10">
        <f t="shared" si="14"/>
        <v>1.6666796476696222E-2</v>
      </c>
      <c r="I236" s="12">
        <f t="shared" si="14"/>
        <v>2.3518936944055824E-4</v>
      </c>
      <c r="K236" s="27">
        <v>31.327835</v>
      </c>
      <c r="L236" s="28">
        <v>11397.25</v>
      </c>
      <c r="M236" s="29">
        <v>119081</v>
      </c>
      <c r="N236" s="10">
        <f t="shared" si="15"/>
        <v>1.0396295028891833E-2</v>
      </c>
      <c r="O236" s="12">
        <f t="shared" si="16"/>
        <v>2.3518936944055824E-4</v>
      </c>
    </row>
    <row r="237" spans="5:15" ht="30" customHeight="1" x14ac:dyDescent="0.3">
      <c r="E237" s="27">
        <v>44648</v>
      </c>
      <c r="F237" s="28">
        <v>30.550138</v>
      </c>
      <c r="G237" s="29">
        <v>118738</v>
      </c>
      <c r="H237" s="10">
        <f t="shared" si="14"/>
        <v>-2.482447318814085E-2</v>
      </c>
      <c r="I237" s="12">
        <f t="shared" si="14"/>
        <v>-2.8803923379884244E-3</v>
      </c>
      <c r="K237" s="27">
        <v>30.550138</v>
      </c>
      <c r="L237" s="28">
        <v>11355.78</v>
      </c>
      <c r="M237" s="29">
        <v>118738</v>
      </c>
      <c r="N237" s="10">
        <f t="shared" si="15"/>
        <v>-3.6385970299852577E-3</v>
      </c>
      <c r="O237" s="12">
        <f t="shared" si="16"/>
        <v>-2.8803923379884244E-3</v>
      </c>
    </row>
    <row r="238" spans="5:15" ht="30" customHeight="1" x14ac:dyDescent="0.3">
      <c r="E238" s="27">
        <v>44649</v>
      </c>
      <c r="F238" s="28">
        <v>31.768038000000001</v>
      </c>
      <c r="G238" s="29">
        <v>120014</v>
      </c>
      <c r="H238" s="10">
        <f t="shared" si="14"/>
        <v>3.9865613700337477E-2</v>
      </c>
      <c r="I238" s="12">
        <f t="shared" si="14"/>
        <v>1.0746349104751696E-2</v>
      </c>
      <c r="K238" s="27">
        <v>31.768038000000001</v>
      </c>
      <c r="L238" s="28">
        <v>11520.87</v>
      </c>
      <c r="M238" s="29">
        <v>120014</v>
      </c>
      <c r="N238" s="10">
        <f t="shared" si="15"/>
        <v>1.4537970971610914E-2</v>
      </c>
      <c r="O238" s="12">
        <f t="shared" si="16"/>
        <v>1.0746349104751696E-2</v>
      </c>
    </row>
    <row r="239" spans="5:15" ht="30" customHeight="1" x14ac:dyDescent="0.3">
      <c r="E239" s="27">
        <v>44650</v>
      </c>
      <c r="F239" s="28">
        <v>31.173760999999999</v>
      </c>
      <c r="G239" s="29">
        <v>120260</v>
      </c>
      <c r="H239" s="10">
        <f t="shared" si="14"/>
        <v>-1.8706758031452941E-2</v>
      </c>
      <c r="I239" s="12">
        <f t="shared" si="14"/>
        <v>2.0497608612328744E-3</v>
      </c>
      <c r="K239" s="27">
        <v>31.173760999999999</v>
      </c>
      <c r="L239" s="28">
        <v>11499.46</v>
      </c>
      <c r="M239" s="29">
        <v>120260</v>
      </c>
      <c r="N239" s="10">
        <f t="shared" si="15"/>
        <v>-1.8583665990503651E-3</v>
      </c>
      <c r="O239" s="12">
        <f t="shared" si="16"/>
        <v>2.0497608612328744E-3</v>
      </c>
    </row>
    <row r="240" spans="5:15" ht="30" customHeight="1" x14ac:dyDescent="0.3">
      <c r="E240" s="27">
        <v>44651</v>
      </c>
      <c r="F240" s="28">
        <v>34.431271000000002</v>
      </c>
      <c r="G240" s="29">
        <v>119999</v>
      </c>
      <c r="H240" s="10">
        <f t="shared" si="14"/>
        <v>0.10449525163165285</v>
      </c>
      <c r="I240" s="12">
        <f t="shared" si="14"/>
        <v>-2.1702976883418712E-3</v>
      </c>
      <c r="K240" s="27">
        <v>34.431271000000002</v>
      </c>
      <c r="L240" s="28">
        <v>11441.15</v>
      </c>
      <c r="M240" s="29">
        <v>119999</v>
      </c>
      <c r="N240" s="10">
        <f t="shared" si="15"/>
        <v>-5.0706728837701665E-3</v>
      </c>
      <c r="O240" s="12">
        <f t="shared" si="16"/>
        <v>-2.1702976883418712E-3</v>
      </c>
    </row>
    <row r="241" spans="5:15" ht="30" customHeight="1" x14ac:dyDescent="0.3">
      <c r="E241" s="27">
        <v>44652</v>
      </c>
      <c r="F241" s="28">
        <v>33.75629</v>
      </c>
      <c r="G241" s="29">
        <v>121570</v>
      </c>
      <c r="H241" s="10">
        <f t="shared" si="14"/>
        <v>-1.960372011826117E-2</v>
      </c>
      <c r="I241" s="12">
        <f t="shared" si="14"/>
        <v>1.3091775764798141E-2</v>
      </c>
      <c r="K241" s="27">
        <v>33.75629</v>
      </c>
      <c r="L241" s="28">
        <v>11531.59</v>
      </c>
      <c r="M241" s="29">
        <v>121570</v>
      </c>
      <c r="N241" s="10">
        <f t="shared" si="15"/>
        <v>7.9047997797425662E-3</v>
      </c>
      <c r="O241" s="12">
        <f t="shared" si="16"/>
        <v>1.3091775764798141E-2</v>
      </c>
    </row>
    <row r="242" spans="5:15" ht="30" customHeight="1" x14ac:dyDescent="0.3">
      <c r="E242" s="27">
        <v>44655</v>
      </c>
      <c r="F242" s="28">
        <v>35.502434000000001</v>
      </c>
      <c r="G242" s="29">
        <v>121280</v>
      </c>
      <c r="H242" s="10">
        <f t="shared" si="14"/>
        <v>5.1727959441040472E-2</v>
      </c>
      <c r="I242" s="12">
        <f t="shared" si="14"/>
        <v>-2.3854569383894297E-3</v>
      </c>
      <c r="K242" s="27">
        <v>35.502434000000001</v>
      </c>
      <c r="L242" s="28">
        <v>11476.79</v>
      </c>
      <c r="M242" s="29">
        <v>121280</v>
      </c>
      <c r="N242" s="10">
        <f t="shared" si="15"/>
        <v>-4.7521634050464723E-3</v>
      </c>
      <c r="O242" s="12">
        <f t="shared" si="16"/>
        <v>-2.3854569383894297E-3</v>
      </c>
    </row>
    <row r="243" spans="5:15" ht="30" customHeight="1" x14ac:dyDescent="0.3">
      <c r="E243" s="27">
        <v>44656</v>
      </c>
      <c r="F243" s="28">
        <v>35.502434000000001</v>
      </c>
      <c r="G243" s="29">
        <v>118885</v>
      </c>
      <c r="H243" s="10">
        <f t="shared" si="14"/>
        <v>0</v>
      </c>
      <c r="I243" s="12">
        <f t="shared" si="14"/>
        <v>-1.9747691292876013E-2</v>
      </c>
      <c r="K243" s="27">
        <v>35.502434000000001</v>
      </c>
      <c r="L243" s="28">
        <v>11181.05</v>
      </c>
      <c r="M243" s="29">
        <v>118885</v>
      </c>
      <c r="N243" s="10">
        <f t="shared" si="15"/>
        <v>-2.5768529353591196E-2</v>
      </c>
      <c r="O243" s="12">
        <f t="shared" si="16"/>
        <v>-1.9747691292876013E-2</v>
      </c>
    </row>
    <row r="244" spans="5:15" ht="30" customHeight="1" x14ac:dyDescent="0.3">
      <c r="E244" s="27">
        <v>44657</v>
      </c>
      <c r="F244" s="28">
        <v>33.455486000000001</v>
      </c>
      <c r="G244" s="29">
        <v>118228</v>
      </c>
      <c r="H244" s="10">
        <f t="shared" si="14"/>
        <v>-5.7656553914021802E-2</v>
      </c>
      <c r="I244" s="12">
        <f t="shared" si="14"/>
        <v>-5.5263489927240839E-3</v>
      </c>
      <c r="K244" s="27">
        <v>33.455486000000001</v>
      </c>
      <c r="L244" s="28">
        <v>11127.96</v>
      </c>
      <c r="M244" s="29">
        <v>118228</v>
      </c>
      <c r="N244" s="10">
        <f t="shared" si="15"/>
        <v>-4.7482123771918072E-3</v>
      </c>
      <c r="O244" s="12">
        <f t="shared" si="16"/>
        <v>-5.5263489927240839E-3</v>
      </c>
    </row>
    <row r="245" spans="5:15" ht="30" customHeight="1" x14ac:dyDescent="0.3">
      <c r="E245" s="27">
        <v>44658</v>
      </c>
      <c r="F245" s="28">
        <v>33.741619</v>
      </c>
      <c r="G245" s="29">
        <v>118862</v>
      </c>
      <c r="H245" s="10">
        <f t="shared" si="14"/>
        <v>8.552648136691321E-3</v>
      </c>
      <c r="I245" s="12">
        <f t="shared" si="14"/>
        <v>5.3625198768481042E-3</v>
      </c>
      <c r="K245" s="27">
        <v>33.741619</v>
      </c>
      <c r="L245" s="28">
        <v>11180.11</v>
      </c>
      <c r="M245" s="29">
        <v>118862</v>
      </c>
      <c r="N245" s="10">
        <f t="shared" si="15"/>
        <v>4.6863935528167477E-3</v>
      </c>
      <c r="O245" s="12">
        <f t="shared" si="16"/>
        <v>5.3625198768481042E-3</v>
      </c>
    </row>
    <row r="246" spans="5:15" ht="30" customHeight="1" x14ac:dyDescent="0.3">
      <c r="E246" s="27">
        <v>44659</v>
      </c>
      <c r="F246" s="28">
        <v>33.748955000000002</v>
      </c>
      <c r="G246" s="29">
        <v>118322</v>
      </c>
      <c r="H246" s="10">
        <f t="shared" si="14"/>
        <v>2.1741695322918808E-4</v>
      </c>
      <c r="I246" s="12">
        <f t="shared" si="14"/>
        <v>-4.5430835759115995E-3</v>
      </c>
      <c r="K246" s="27">
        <v>33.748955000000002</v>
      </c>
      <c r="L246" s="28">
        <v>11169.77</v>
      </c>
      <c r="M246" s="29">
        <v>118322</v>
      </c>
      <c r="N246" s="10">
        <f t="shared" si="15"/>
        <v>-9.2485673217890252E-4</v>
      </c>
      <c r="O246" s="12">
        <f t="shared" si="16"/>
        <v>-4.5430835759115995E-3</v>
      </c>
    </row>
    <row r="247" spans="5:15" ht="30" customHeight="1" x14ac:dyDescent="0.3">
      <c r="E247" s="27">
        <v>44662</v>
      </c>
      <c r="F247" s="28">
        <v>33.015284999999999</v>
      </c>
      <c r="G247" s="29">
        <v>116953</v>
      </c>
      <c r="H247" s="10">
        <f t="shared" si="14"/>
        <v>-2.1739043475568431E-2</v>
      </c>
      <c r="I247" s="12">
        <f t="shared" si="14"/>
        <v>-1.1570122208887645E-2</v>
      </c>
      <c r="K247" s="27">
        <v>33.015284999999999</v>
      </c>
      <c r="L247" s="28">
        <v>11027.54</v>
      </c>
      <c r="M247" s="29">
        <v>116953</v>
      </c>
      <c r="N247" s="10">
        <f t="shared" si="15"/>
        <v>-1.2733476159312085E-2</v>
      </c>
      <c r="O247" s="12">
        <f t="shared" si="16"/>
        <v>-1.1570122208887645E-2</v>
      </c>
    </row>
    <row r="248" spans="5:15" ht="30" customHeight="1" x14ac:dyDescent="0.3">
      <c r="E248" s="27">
        <v>44663</v>
      </c>
      <c r="F248" s="28">
        <v>33.015284999999999</v>
      </c>
      <c r="G248" s="29">
        <v>116147</v>
      </c>
      <c r="H248" s="10">
        <f t="shared" si="14"/>
        <v>0</v>
      </c>
      <c r="I248" s="12">
        <f t="shared" si="14"/>
        <v>-6.891657332432688E-3</v>
      </c>
      <c r="K248" s="27">
        <v>33.015284999999999</v>
      </c>
      <c r="L248" s="28">
        <v>10840.21</v>
      </c>
      <c r="M248" s="29">
        <v>116147</v>
      </c>
      <c r="N248" s="10">
        <f t="shared" si="15"/>
        <v>-1.6987469553499834E-2</v>
      </c>
      <c r="O248" s="12">
        <f t="shared" si="16"/>
        <v>-6.891657332432688E-3</v>
      </c>
    </row>
    <row r="249" spans="5:15" ht="30" customHeight="1" x14ac:dyDescent="0.3">
      <c r="E249" s="27">
        <v>44664</v>
      </c>
      <c r="F249" s="28">
        <v>33.697597999999999</v>
      </c>
      <c r="G249" s="29">
        <v>116782</v>
      </c>
      <c r="H249" s="10">
        <f t="shared" si="14"/>
        <v>2.0666579131453755E-2</v>
      </c>
      <c r="I249" s="12">
        <f t="shared" si="14"/>
        <v>5.4672096567280892E-3</v>
      </c>
      <c r="K249" s="27">
        <v>33.697597999999999</v>
      </c>
      <c r="L249" s="28">
        <v>10907.53</v>
      </c>
      <c r="M249" s="29">
        <v>116782</v>
      </c>
      <c r="N249" s="10">
        <f t="shared" si="15"/>
        <v>6.2102117947901991E-3</v>
      </c>
      <c r="O249" s="12">
        <f t="shared" si="16"/>
        <v>5.4672096567280892E-3</v>
      </c>
    </row>
    <row r="250" spans="5:15" ht="30" customHeight="1" x14ac:dyDescent="0.3">
      <c r="E250" s="27">
        <v>44665</v>
      </c>
      <c r="F250" s="28">
        <v>33.382117999999998</v>
      </c>
      <c r="G250" s="29">
        <v>116182</v>
      </c>
      <c r="H250" s="10">
        <f t="shared" si="14"/>
        <v>-9.3620916244534502E-3</v>
      </c>
      <c r="I250" s="12">
        <f t="shared" si="14"/>
        <v>-5.1377780822386976E-3</v>
      </c>
      <c r="K250" s="27">
        <v>33.382117999999998</v>
      </c>
      <c r="L250" s="28">
        <v>10917.69</v>
      </c>
      <c r="M250" s="29">
        <v>116182</v>
      </c>
      <c r="N250" s="10">
        <f t="shared" si="15"/>
        <v>9.3146661068077563E-4</v>
      </c>
      <c r="O250" s="12">
        <f t="shared" si="16"/>
        <v>-5.1377780822386976E-3</v>
      </c>
    </row>
    <row r="251" spans="5:15" ht="30" customHeight="1" x14ac:dyDescent="0.3">
      <c r="E251" s="27">
        <v>44669</v>
      </c>
      <c r="F251" s="28">
        <v>33.066642999999999</v>
      </c>
      <c r="G251" s="29">
        <v>115687</v>
      </c>
      <c r="H251" s="10">
        <f t="shared" si="14"/>
        <v>-9.45041893387355E-3</v>
      </c>
      <c r="I251" s="12">
        <f t="shared" si="14"/>
        <v>-4.2605567127438349E-3</v>
      </c>
      <c r="K251" s="27">
        <v>33.066642999999999</v>
      </c>
      <c r="L251" s="28">
        <v>11052.59</v>
      </c>
      <c r="M251" s="29">
        <v>115687</v>
      </c>
      <c r="N251" s="10">
        <f t="shared" si="15"/>
        <v>1.235609364251955E-2</v>
      </c>
      <c r="O251" s="12">
        <f t="shared" si="16"/>
        <v>-4.2605567127438349E-3</v>
      </c>
    </row>
    <row r="252" spans="5:15" ht="30" customHeight="1" x14ac:dyDescent="0.3">
      <c r="E252" s="27">
        <v>44670</v>
      </c>
      <c r="F252" s="28">
        <v>34.467953000000001</v>
      </c>
      <c r="G252" s="29">
        <v>115057</v>
      </c>
      <c r="H252" s="10">
        <f t="shared" si="14"/>
        <v>4.2378356944186901E-2</v>
      </c>
      <c r="I252" s="12">
        <f t="shared" si="14"/>
        <v>-5.445728560685259E-3</v>
      </c>
      <c r="K252" s="27">
        <v>34.467953000000001</v>
      </c>
      <c r="L252" s="28">
        <v>10960.35</v>
      </c>
      <c r="M252" s="29">
        <v>115057</v>
      </c>
      <c r="N252" s="10">
        <f t="shared" si="15"/>
        <v>-8.3455552047076997E-3</v>
      </c>
      <c r="O252" s="12">
        <f t="shared" si="16"/>
        <v>-5.445728560685259E-3</v>
      </c>
    </row>
    <row r="253" spans="5:15" ht="30" customHeight="1" x14ac:dyDescent="0.3">
      <c r="E253" s="27">
        <v>44671</v>
      </c>
      <c r="F253" s="28">
        <v>33.242722000000001</v>
      </c>
      <c r="G253" s="29">
        <v>114344</v>
      </c>
      <c r="H253" s="10">
        <f t="shared" si="14"/>
        <v>-3.5546961550051992E-2</v>
      </c>
      <c r="I253" s="12">
        <f t="shared" si="14"/>
        <v>-6.1969284789278323E-3</v>
      </c>
      <c r="K253" s="27">
        <v>33.242722000000001</v>
      </c>
      <c r="L253" s="28">
        <v>10991.17</v>
      </c>
      <c r="M253" s="29">
        <v>114344</v>
      </c>
      <c r="N253" s="10">
        <f t="shared" si="15"/>
        <v>2.8119539978193053E-3</v>
      </c>
      <c r="O253" s="12">
        <f t="shared" si="16"/>
        <v>-6.1969284789278323E-3</v>
      </c>
    </row>
    <row r="254" spans="5:15" ht="30" customHeight="1" x14ac:dyDescent="0.3">
      <c r="E254" s="27">
        <v>44673</v>
      </c>
      <c r="F254" s="28">
        <v>33.015284999999999</v>
      </c>
      <c r="G254" s="29">
        <v>111078</v>
      </c>
      <c r="H254" s="10">
        <f t="shared" si="14"/>
        <v>-6.841708088766052E-3</v>
      </c>
      <c r="I254" s="12">
        <f t="shared" si="14"/>
        <v>-2.8562932904218852E-2</v>
      </c>
      <c r="K254" s="27">
        <v>33.015284999999999</v>
      </c>
      <c r="L254" s="28">
        <v>10762.85</v>
      </c>
      <c r="M254" s="29">
        <v>111078</v>
      </c>
      <c r="N254" s="10">
        <f t="shared" si="15"/>
        <v>-2.0773038721082493E-2</v>
      </c>
      <c r="O254" s="12">
        <f t="shared" si="16"/>
        <v>-2.8562932904218852E-2</v>
      </c>
    </row>
    <row r="255" spans="5:15" ht="30" customHeight="1" x14ac:dyDescent="0.3">
      <c r="E255" s="27">
        <v>44676</v>
      </c>
      <c r="F255" s="28">
        <v>33.000610000000002</v>
      </c>
      <c r="G255" s="29">
        <v>110685</v>
      </c>
      <c r="H255" s="10">
        <f t="shared" si="14"/>
        <v>-4.4449108950583849E-4</v>
      </c>
      <c r="I255" s="12">
        <f t="shared" si="14"/>
        <v>-3.5380543401933862E-3</v>
      </c>
      <c r="K255" s="27">
        <v>33.000610000000002</v>
      </c>
      <c r="L255" s="28">
        <v>10716.07</v>
      </c>
      <c r="M255" s="29">
        <v>110685</v>
      </c>
      <c r="N255" s="10">
        <f t="shared" si="15"/>
        <v>-4.3464324040566327E-3</v>
      </c>
      <c r="O255" s="12">
        <f t="shared" si="16"/>
        <v>-3.5380543401933862E-3</v>
      </c>
    </row>
    <row r="256" spans="5:15" ht="30" customHeight="1" x14ac:dyDescent="0.3">
      <c r="E256" s="27">
        <v>44677</v>
      </c>
      <c r="F256" s="28">
        <v>33.015284999999999</v>
      </c>
      <c r="G256" s="29">
        <v>108213</v>
      </c>
      <c r="H256" s="10">
        <f t="shared" si="14"/>
        <v>4.4468874969272321E-4</v>
      </c>
      <c r="I256" s="12">
        <f t="shared" si="14"/>
        <v>-2.2333649546008916E-2</v>
      </c>
      <c r="K256" s="27">
        <v>33.015284999999999</v>
      </c>
      <c r="L256" s="28">
        <v>10335.370000000001</v>
      </c>
      <c r="M256" s="29">
        <v>108213</v>
      </c>
      <c r="N256" s="10">
        <f t="shared" si="15"/>
        <v>-3.552608372285726E-2</v>
      </c>
      <c r="O256" s="12">
        <f t="shared" si="16"/>
        <v>-2.2333649546008916E-2</v>
      </c>
    </row>
    <row r="257" spans="5:15" ht="30" customHeight="1" x14ac:dyDescent="0.3">
      <c r="E257" s="27">
        <v>44678</v>
      </c>
      <c r="F257" s="28">
        <v>33.132671000000002</v>
      </c>
      <c r="G257" s="29">
        <v>109349</v>
      </c>
      <c r="H257" s="10">
        <f t="shared" si="14"/>
        <v>3.5555046700339599E-3</v>
      </c>
      <c r="I257" s="12">
        <f t="shared" si="14"/>
        <v>1.0497814495485702E-2</v>
      </c>
      <c r="K257" s="27">
        <v>33.132671000000002</v>
      </c>
      <c r="L257" s="28">
        <v>10306.49</v>
      </c>
      <c r="M257" s="29">
        <v>109349</v>
      </c>
      <c r="N257" s="10">
        <f t="shared" si="15"/>
        <v>-2.794287964533515E-3</v>
      </c>
      <c r="O257" s="12">
        <f t="shared" si="16"/>
        <v>1.0497814495485702E-2</v>
      </c>
    </row>
    <row r="258" spans="5:15" ht="30" customHeight="1" x14ac:dyDescent="0.3">
      <c r="E258" s="27">
        <v>44679</v>
      </c>
      <c r="F258" s="28">
        <v>33.051963999999998</v>
      </c>
      <c r="G258" s="29">
        <v>109919</v>
      </c>
      <c r="H258" s="10">
        <f t="shared" si="14"/>
        <v>-2.4358736426653982E-3</v>
      </c>
      <c r="I258" s="12">
        <f t="shared" si="14"/>
        <v>5.2126676970067898E-3</v>
      </c>
      <c r="K258" s="27">
        <v>33.051963999999998</v>
      </c>
      <c r="L258" s="28">
        <v>10293.92</v>
      </c>
      <c r="M258" s="29">
        <v>109919</v>
      </c>
      <c r="N258" s="10">
        <f t="shared" si="15"/>
        <v>-1.2196198705863859E-3</v>
      </c>
      <c r="O258" s="12">
        <f t="shared" si="16"/>
        <v>5.2126676970067898E-3</v>
      </c>
    </row>
    <row r="259" spans="5:15" ht="30" customHeight="1" x14ac:dyDescent="0.3">
      <c r="E259" s="27">
        <v>44680</v>
      </c>
      <c r="F259" s="28">
        <v>34.438606</v>
      </c>
      <c r="G259" s="29">
        <v>107876</v>
      </c>
      <c r="H259" s="10">
        <f t="shared" si="14"/>
        <v>4.1953391937616935E-2</v>
      </c>
      <c r="I259" s="12">
        <f t="shared" si="14"/>
        <v>-1.8586413631856202E-2</v>
      </c>
      <c r="K259" s="27">
        <v>34.438606</v>
      </c>
      <c r="L259" s="28">
        <v>10072.709999999999</v>
      </c>
      <c r="M259" s="29">
        <v>107876</v>
      </c>
      <c r="N259" s="10">
        <f t="shared" si="15"/>
        <v>-2.1489384024744762E-2</v>
      </c>
      <c r="O259" s="12">
        <f t="shared" si="16"/>
        <v>-1.8586413631856202E-2</v>
      </c>
    </row>
    <row r="260" spans="5:15" ht="30" customHeight="1" x14ac:dyDescent="0.3">
      <c r="E260" s="27">
        <v>44683</v>
      </c>
      <c r="F260" s="28">
        <v>34.378399000000002</v>
      </c>
      <c r="G260" s="29">
        <v>106639</v>
      </c>
      <c r="H260" s="10">
        <f t="shared" si="14"/>
        <v>-1.7482414938629898E-3</v>
      </c>
      <c r="I260" s="12">
        <f t="shared" si="14"/>
        <v>-1.1466869368534249E-2</v>
      </c>
      <c r="K260" s="27">
        <v>34.378399000000002</v>
      </c>
      <c r="L260" s="28">
        <v>9946.17</v>
      </c>
      <c r="M260" s="29">
        <v>106639</v>
      </c>
      <c r="N260" s="10">
        <f t="shared" si="15"/>
        <v>-1.2562656921523474E-2</v>
      </c>
      <c r="O260" s="12">
        <f t="shared" si="16"/>
        <v>-1.1466869368534249E-2</v>
      </c>
    </row>
    <row r="261" spans="5:15" ht="30" customHeight="1" x14ac:dyDescent="0.3">
      <c r="E261" s="27">
        <v>44684</v>
      </c>
      <c r="F261" s="28">
        <v>33.974457000000001</v>
      </c>
      <c r="G261" s="29">
        <v>106528</v>
      </c>
      <c r="H261" s="10">
        <f t="shared" si="14"/>
        <v>-1.1749878172046313E-2</v>
      </c>
      <c r="I261" s="12">
        <f t="shared" si="14"/>
        <v>-1.0408949821359981E-3</v>
      </c>
      <c r="K261" s="27">
        <v>33.974457000000001</v>
      </c>
      <c r="L261" s="28">
        <v>9948.94</v>
      </c>
      <c r="M261" s="29">
        <v>106528</v>
      </c>
      <c r="N261" s="10">
        <f t="shared" si="15"/>
        <v>2.7849916098365846E-4</v>
      </c>
      <c r="O261" s="12">
        <f t="shared" si="16"/>
        <v>-1.0408949821359981E-3</v>
      </c>
    </row>
    <row r="262" spans="5:15" ht="30" customHeight="1" x14ac:dyDescent="0.3">
      <c r="E262" s="27">
        <v>44685</v>
      </c>
      <c r="F262" s="28">
        <v>34.206508999999997</v>
      </c>
      <c r="G262" s="29">
        <v>108344</v>
      </c>
      <c r="H262" s="10">
        <f t="shared" si="14"/>
        <v>6.8301901042890911E-3</v>
      </c>
      <c r="I262" s="12">
        <f t="shared" si="14"/>
        <v>1.7047161309702519E-2</v>
      </c>
      <c r="K262" s="27">
        <v>34.206508999999997</v>
      </c>
      <c r="L262" s="28">
        <v>10078.75</v>
      </c>
      <c r="M262" s="29">
        <v>108344</v>
      </c>
      <c r="N262" s="10">
        <f t="shared" si="15"/>
        <v>1.3047621153610356E-2</v>
      </c>
      <c r="O262" s="12">
        <f t="shared" si="16"/>
        <v>1.7047161309702519E-2</v>
      </c>
    </row>
    <row r="263" spans="5:15" ht="30" customHeight="1" x14ac:dyDescent="0.3">
      <c r="E263" s="27">
        <v>44686</v>
      </c>
      <c r="F263" s="28">
        <v>34.673557000000002</v>
      </c>
      <c r="G263" s="29">
        <v>105304</v>
      </c>
      <c r="H263" s="10">
        <f t="shared" si="14"/>
        <v>1.3653775660065426E-2</v>
      </c>
      <c r="I263" s="12">
        <f t="shared" si="14"/>
        <v>-2.8058775751310661E-2</v>
      </c>
      <c r="K263" s="27">
        <v>34.673557000000002</v>
      </c>
      <c r="L263" s="28">
        <v>9745.1</v>
      </c>
      <c r="M263" s="29">
        <v>105304</v>
      </c>
      <c r="N263" s="10">
        <f t="shared" si="15"/>
        <v>-3.3104303609078456E-2</v>
      </c>
      <c r="O263" s="12">
        <f t="shared" si="16"/>
        <v>-2.8058775751310661E-2</v>
      </c>
    </row>
    <row r="264" spans="5:15" ht="30" customHeight="1" x14ac:dyDescent="0.3">
      <c r="E264" s="27">
        <v>44687</v>
      </c>
      <c r="F264" s="28">
        <v>34.682223999999998</v>
      </c>
      <c r="G264" s="29">
        <v>105135</v>
      </c>
      <c r="H264" s="10">
        <f t="shared" si="14"/>
        <v>2.4995993344423262E-4</v>
      </c>
      <c r="I264" s="12">
        <f t="shared" si="14"/>
        <v>-1.604877307604613E-3</v>
      </c>
      <c r="K264" s="27">
        <v>34.682223999999998</v>
      </c>
      <c r="L264" s="28">
        <v>9766.3799999999992</v>
      </c>
      <c r="M264" s="29">
        <v>105135</v>
      </c>
      <c r="N264" s="10">
        <f t="shared" si="15"/>
        <v>2.1836615324624109E-3</v>
      </c>
      <c r="O264" s="12">
        <f t="shared" si="16"/>
        <v>-1.604877307604613E-3</v>
      </c>
    </row>
    <row r="265" spans="5:15" ht="30" customHeight="1" x14ac:dyDescent="0.3">
      <c r="E265" s="27">
        <v>44690</v>
      </c>
      <c r="F265" s="28">
        <v>34.500145000000003</v>
      </c>
      <c r="G265" s="29">
        <v>103250</v>
      </c>
      <c r="H265" s="10">
        <f t="shared" si="14"/>
        <v>-5.2499228423181776E-3</v>
      </c>
      <c r="I265" s="12">
        <f t="shared" si="14"/>
        <v>-1.7929328958006363E-2</v>
      </c>
      <c r="K265" s="27">
        <v>34.500145000000003</v>
      </c>
      <c r="L265" s="28">
        <v>9762.44</v>
      </c>
      <c r="M265" s="29">
        <v>103250</v>
      </c>
      <c r="N265" s="10">
        <f t="shared" si="15"/>
        <v>-4.0342481042088263E-4</v>
      </c>
      <c r="O265" s="12">
        <f t="shared" si="16"/>
        <v>-1.7929328958006363E-2</v>
      </c>
    </row>
    <row r="266" spans="5:15" ht="30" customHeight="1" x14ac:dyDescent="0.3">
      <c r="E266" s="27">
        <v>44691</v>
      </c>
      <c r="F266" s="28">
        <v>33.815170000000002</v>
      </c>
      <c r="G266" s="29">
        <v>103110</v>
      </c>
      <c r="H266" s="10">
        <f t="shared" si="14"/>
        <v>-1.9854264380627984E-2</v>
      </c>
      <c r="I266" s="12">
        <f t="shared" si="14"/>
        <v>-1.3559322033898091E-3</v>
      </c>
      <c r="K266" s="27">
        <v>33.815170000000002</v>
      </c>
      <c r="L266" s="28">
        <v>9751.77</v>
      </c>
      <c r="M266" s="29">
        <v>103110</v>
      </c>
      <c r="N266" s="10">
        <f t="shared" si="15"/>
        <v>-1.0929644638021374E-3</v>
      </c>
      <c r="O266" s="12">
        <f t="shared" si="16"/>
        <v>-1.3559322033898091E-3</v>
      </c>
    </row>
    <row r="267" spans="5:15" ht="30" customHeight="1" x14ac:dyDescent="0.3">
      <c r="E267" s="27">
        <v>44692</v>
      </c>
      <c r="F267" s="28">
        <v>34.222687000000001</v>
      </c>
      <c r="G267" s="29">
        <v>104397</v>
      </c>
      <c r="H267" s="10">
        <f t="shared" si="14"/>
        <v>1.2051307150015678E-2</v>
      </c>
      <c r="I267" s="12">
        <f t="shared" si="14"/>
        <v>1.2481815536805385E-2</v>
      </c>
      <c r="K267" s="27">
        <v>34.222687000000001</v>
      </c>
      <c r="L267" s="28">
        <v>9827.82</v>
      </c>
      <c r="M267" s="29">
        <v>104397</v>
      </c>
      <c r="N267" s="10">
        <f t="shared" si="15"/>
        <v>7.7985842570116315E-3</v>
      </c>
      <c r="O267" s="12">
        <f t="shared" si="16"/>
        <v>1.2481815536805385E-2</v>
      </c>
    </row>
    <row r="268" spans="5:15" ht="30" customHeight="1" x14ac:dyDescent="0.3">
      <c r="E268" s="27">
        <v>44693</v>
      </c>
      <c r="F268" s="28">
        <v>34.59552</v>
      </c>
      <c r="G268" s="29">
        <v>105688</v>
      </c>
      <c r="H268" s="10">
        <f t="shared" si="14"/>
        <v>1.0894322821583202E-2</v>
      </c>
      <c r="I268" s="12">
        <f t="shared" si="14"/>
        <v>1.2366255735318132E-2</v>
      </c>
      <c r="K268" s="27">
        <v>34.59552</v>
      </c>
      <c r="L268" s="28">
        <v>10065.16</v>
      </c>
      <c r="M268" s="29">
        <v>105688</v>
      </c>
      <c r="N268" s="10">
        <f t="shared" si="15"/>
        <v>2.4149811453608283E-2</v>
      </c>
      <c r="O268" s="12">
        <f t="shared" si="16"/>
        <v>1.2366255735318132E-2</v>
      </c>
    </row>
    <row r="269" spans="5:15" ht="30" customHeight="1" x14ac:dyDescent="0.3">
      <c r="E269" s="27">
        <v>44694</v>
      </c>
      <c r="F269" s="28">
        <v>33.823836999999997</v>
      </c>
      <c r="G269" s="29">
        <v>106924</v>
      </c>
      <c r="H269" s="10">
        <f t="shared" si="14"/>
        <v>-2.2305865036860384E-2</v>
      </c>
      <c r="I269" s="12">
        <f t="shared" si="14"/>
        <v>1.1694799788055432E-2</v>
      </c>
      <c r="K269" s="27">
        <v>33.823836999999997</v>
      </c>
      <c r="L269" s="28">
        <v>10106.290000000001</v>
      </c>
      <c r="M269" s="29">
        <v>106924</v>
      </c>
      <c r="N269" s="10">
        <f t="shared" si="15"/>
        <v>4.0863731922791136E-3</v>
      </c>
      <c r="O269" s="12">
        <f t="shared" si="16"/>
        <v>1.1694799788055432E-2</v>
      </c>
    </row>
    <row r="270" spans="5:15" ht="30" customHeight="1" x14ac:dyDescent="0.3">
      <c r="E270" s="27">
        <v>44697</v>
      </c>
      <c r="F270" s="28">
        <v>33.806499000000002</v>
      </c>
      <c r="G270" s="29">
        <v>108233</v>
      </c>
      <c r="H270" s="10">
        <f t="shared" si="14"/>
        <v>-5.1259707761708295E-4</v>
      </c>
      <c r="I270" s="12">
        <f t="shared" si="14"/>
        <v>1.2242340353896264E-2</v>
      </c>
      <c r="K270" s="27">
        <v>33.806499000000002</v>
      </c>
      <c r="L270" s="28">
        <v>10225.56</v>
      </c>
      <c r="M270" s="29">
        <v>108233</v>
      </c>
      <c r="N270" s="10">
        <f t="shared" si="15"/>
        <v>1.1801561205941891E-2</v>
      </c>
      <c r="O270" s="12">
        <f t="shared" si="16"/>
        <v>1.2242340353896264E-2</v>
      </c>
    </row>
    <row r="271" spans="5:15" ht="30" customHeight="1" x14ac:dyDescent="0.3">
      <c r="E271" s="27">
        <v>44698</v>
      </c>
      <c r="F271" s="28">
        <v>35.540610999999998</v>
      </c>
      <c r="G271" s="29">
        <v>108789</v>
      </c>
      <c r="H271" s="10">
        <f t="shared" si="14"/>
        <v>5.1295225808504874E-2</v>
      </c>
      <c r="I271" s="12">
        <f t="shared" si="14"/>
        <v>5.137065405190544E-3</v>
      </c>
      <c r="K271" s="27">
        <v>35.540610999999998</v>
      </c>
      <c r="L271" s="28">
        <v>10386.94</v>
      </c>
      <c r="M271" s="29">
        <v>108789</v>
      </c>
      <c r="N271" s="10">
        <f t="shared" si="15"/>
        <v>1.5782020740184421E-2</v>
      </c>
      <c r="O271" s="12">
        <f t="shared" si="16"/>
        <v>5.137065405190544E-3</v>
      </c>
    </row>
    <row r="272" spans="5:15" ht="30" customHeight="1" x14ac:dyDescent="0.3">
      <c r="E272" s="27">
        <v>44699</v>
      </c>
      <c r="F272" s="28">
        <v>35.029049000000001</v>
      </c>
      <c r="G272" s="29">
        <v>106247</v>
      </c>
      <c r="H272" s="10">
        <f t="shared" si="14"/>
        <v>-1.4393731160108558E-2</v>
      </c>
      <c r="I272" s="12">
        <f t="shared" si="14"/>
        <v>-2.3366332993225436E-2</v>
      </c>
      <c r="K272" s="27">
        <v>35.029049000000001</v>
      </c>
      <c r="L272" s="28">
        <v>10173.24</v>
      </c>
      <c r="M272" s="29">
        <v>106247</v>
      </c>
      <c r="N272" s="10">
        <f t="shared" si="15"/>
        <v>-2.0573913009991451E-2</v>
      </c>
      <c r="O272" s="12">
        <f t="shared" si="16"/>
        <v>-2.3366332993225436E-2</v>
      </c>
    </row>
    <row r="273" spans="5:15" ht="30" customHeight="1" x14ac:dyDescent="0.3">
      <c r="E273" s="27">
        <v>44700</v>
      </c>
      <c r="F273" s="28">
        <v>34.760261999999997</v>
      </c>
      <c r="G273" s="29">
        <v>107005</v>
      </c>
      <c r="H273" s="10">
        <f t="shared" si="14"/>
        <v>-7.6732599848772232E-3</v>
      </c>
      <c r="I273" s="12">
        <f t="shared" si="14"/>
        <v>7.1343190866566264E-3</v>
      </c>
      <c r="K273" s="27">
        <v>34.760261999999997</v>
      </c>
      <c r="L273" s="28">
        <v>10219.98</v>
      </c>
      <c r="M273" s="29">
        <v>107005</v>
      </c>
      <c r="N273" s="10">
        <f t="shared" si="15"/>
        <v>4.5944065017633484E-3</v>
      </c>
      <c r="O273" s="12">
        <f t="shared" si="16"/>
        <v>7.1343190866566264E-3</v>
      </c>
    </row>
    <row r="274" spans="5:15" ht="30" customHeight="1" x14ac:dyDescent="0.3">
      <c r="E274" s="27">
        <v>44701</v>
      </c>
      <c r="F274" s="28">
        <v>34.855637000000002</v>
      </c>
      <c r="G274" s="29">
        <v>108488</v>
      </c>
      <c r="H274" s="10">
        <f t="shared" si="14"/>
        <v>2.74379404850289E-3</v>
      </c>
      <c r="I274" s="12">
        <f t="shared" si="14"/>
        <v>1.3859165459557898E-2</v>
      </c>
      <c r="K274" s="27">
        <v>34.855637000000002</v>
      </c>
      <c r="L274" s="28">
        <v>10378.08</v>
      </c>
      <c r="M274" s="29">
        <v>108488</v>
      </c>
      <c r="N274" s="10">
        <f t="shared" si="15"/>
        <v>1.5469697592363163E-2</v>
      </c>
      <c r="O274" s="12">
        <f t="shared" si="16"/>
        <v>1.3859165459557898E-2</v>
      </c>
    </row>
    <row r="275" spans="5:15" ht="30" customHeight="1" x14ac:dyDescent="0.3">
      <c r="E275" s="27">
        <v>44704</v>
      </c>
      <c r="F275" s="28">
        <v>35.332515999999998</v>
      </c>
      <c r="G275" s="29">
        <v>110346</v>
      </c>
      <c r="H275" s="10">
        <f t="shared" si="14"/>
        <v>1.3681545972032971E-2</v>
      </c>
      <c r="I275" s="12">
        <f t="shared" si="14"/>
        <v>1.7126318118132922E-2</v>
      </c>
      <c r="K275" s="27">
        <v>35.332515999999998</v>
      </c>
      <c r="L275" s="28">
        <v>10531.45</v>
      </c>
      <c r="M275" s="29">
        <v>110346</v>
      </c>
      <c r="N275" s="10">
        <f t="shared" si="15"/>
        <v>1.4778263416739934E-2</v>
      </c>
      <c r="O275" s="12">
        <f t="shared" si="16"/>
        <v>1.7126318118132922E-2</v>
      </c>
    </row>
    <row r="276" spans="5:15" ht="30" customHeight="1" x14ac:dyDescent="0.3">
      <c r="E276" s="27">
        <v>44705</v>
      </c>
      <c r="F276" s="28">
        <v>35.419220000000003</v>
      </c>
      <c r="G276" s="29">
        <v>110581</v>
      </c>
      <c r="H276" s="10">
        <f t="shared" si="14"/>
        <v>2.453943557260585E-3</v>
      </c>
      <c r="I276" s="12">
        <f t="shared" si="14"/>
        <v>2.1296648723108103E-3</v>
      </c>
      <c r="K276" s="27">
        <v>35.419220000000003</v>
      </c>
      <c r="L276" s="28">
        <v>10596.68</v>
      </c>
      <c r="M276" s="29">
        <v>110581</v>
      </c>
      <c r="N276" s="10">
        <f t="shared" si="15"/>
        <v>6.1938289599248186E-3</v>
      </c>
      <c r="O276" s="12">
        <f t="shared" si="16"/>
        <v>2.1296648723108103E-3</v>
      </c>
    </row>
    <row r="277" spans="5:15" ht="30" customHeight="1" x14ac:dyDescent="0.3">
      <c r="E277" s="27">
        <v>44706</v>
      </c>
      <c r="F277" s="28">
        <v>35.219794999999998</v>
      </c>
      <c r="G277" s="29">
        <v>110580</v>
      </c>
      <c r="H277" s="10">
        <f t="shared" si="14"/>
        <v>-5.6304176094224001E-3</v>
      </c>
      <c r="I277" s="12">
        <f t="shared" si="14"/>
        <v>-9.043144844067541E-6</v>
      </c>
      <c r="K277" s="27">
        <v>35.219794999999998</v>
      </c>
      <c r="L277" s="28">
        <v>10480.66</v>
      </c>
      <c r="M277" s="29">
        <v>110580</v>
      </c>
      <c r="N277" s="10">
        <f t="shared" si="15"/>
        <v>-1.0948712238172731E-2</v>
      </c>
      <c r="O277" s="12">
        <f t="shared" si="16"/>
        <v>-9.043144844067541E-6</v>
      </c>
    </row>
    <row r="278" spans="5:15" ht="30" customHeight="1" x14ac:dyDescent="0.3">
      <c r="E278" s="27">
        <v>44707</v>
      </c>
      <c r="F278" s="28">
        <v>34.612858000000003</v>
      </c>
      <c r="G278" s="29">
        <v>111890</v>
      </c>
      <c r="H278" s="10">
        <f t="shared" si="14"/>
        <v>-1.7232837385907418E-2</v>
      </c>
      <c r="I278" s="12">
        <f t="shared" si="14"/>
        <v>1.1846626876469424E-2</v>
      </c>
      <c r="K278" s="27">
        <v>34.612858000000003</v>
      </c>
      <c r="L278" s="28">
        <v>10613.27</v>
      </c>
      <c r="M278" s="29">
        <v>111890</v>
      </c>
      <c r="N278" s="10">
        <f t="shared" si="15"/>
        <v>1.265282911572374E-2</v>
      </c>
      <c r="O278" s="12">
        <f t="shared" si="16"/>
        <v>1.1846626876469424E-2</v>
      </c>
    </row>
    <row r="279" spans="5:15" ht="30" customHeight="1" x14ac:dyDescent="0.3">
      <c r="E279" s="27">
        <v>44708</v>
      </c>
      <c r="F279" s="28">
        <v>34.682223999999998</v>
      </c>
      <c r="G279" s="29">
        <v>111942</v>
      </c>
      <c r="H279" s="10">
        <f t="shared" si="14"/>
        <v>2.0040529447176159E-3</v>
      </c>
      <c r="I279" s="12">
        <f t="shared" si="14"/>
        <v>4.6474215747616121E-4</v>
      </c>
      <c r="K279" s="27">
        <v>34.682223999999998</v>
      </c>
      <c r="L279" s="28">
        <v>10694.77</v>
      </c>
      <c r="M279" s="29">
        <v>111942</v>
      </c>
      <c r="N279" s="10">
        <f t="shared" si="15"/>
        <v>7.679065924074191E-3</v>
      </c>
      <c r="O279" s="12">
        <f t="shared" si="16"/>
        <v>4.6474215747616121E-4</v>
      </c>
    </row>
    <row r="280" spans="5:15" ht="30" customHeight="1" x14ac:dyDescent="0.3">
      <c r="E280" s="27">
        <v>44711</v>
      </c>
      <c r="F280" s="28">
        <v>34.482799999999997</v>
      </c>
      <c r="G280" s="29">
        <v>111032</v>
      </c>
      <c r="H280" s="10">
        <f t="shared" ref="H280:I343" si="17">F280/F279-1</f>
        <v>-5.7500349458557976E-3</v>
      </c>
      <c r="I280" s="12">
        <f t="shared" si="17"/>
        <v>-8.1292097693448362E-3</v>
      </c>
      <c r="K280" s="27">
        <v>34.482799999999997</v>
      </c>
      <c r="L280" s="28">
        <v>10623.58</v>
      </c>
      <c r="M280" s="29">
        <v>111032</v>
      </c>
      <c r="N280" s="10">
        <f t="shared" ref="N280:N343" si="18">L280/L279-1</f>
        <v>-6.6565246377435772E-3</v>
      </c>
      <c r="O280" s="12">
        <f t="shared" ref="O280:O343" si="19">M280/M279-1</f>
        <v>-8.1292097693448362E-3</v>
      </c>
    </row>
    <row r="281" spans="5:15" ht="30" customHeight="1" x14ac:dyDescent="0.3">
      <c r="E281" s="27">
        <v>44712</v>
      </c>
      <c r="F281" s="28">
        <v>34.326732999999997</v>
      </c>
      <c r="G281" s="29">
        <v>111351</v>
      </c>
      <c r="H281" s="10">
        <f t="shared" si="17"/>
        <v>-4.5259375688748715E-3</v>
      </c>
      <c r="I281" s="12">
        <f t="shared" si="17"/>
        <v>2.8730456084731237E-3</v>
      </c>
      <c r="K281" s="27">
        <v>34.326732999999997</v>
      </c>
      <c r="L281" s="28">
        <v>10702.03</v>
      </c>
      <c r="M281" s="29">
        <v>111351</v>
      </c>
      <c r="N281" s="10">
        <f t="shared" si="18"/>
        <v>7.3845163306531791E-3</v>
      </c>
      <c r="O281" s="12">
        <f t="shared" si="19"/>
        <v>2.8730456084731237E-3</v>
      </c>
    </row>
    <row r="282" spans="5:15" ht="30" customHeight="1" x14ac:dyDescent="0.3">
      <c r="E282" s="27">
        <v>44713</v>
      </c>
      <c r="F282" s="28">
        <v>34.59552</v>
      </c>
      <c r="G282" s="29">
        <v>111360</v>
      </c>
      <c r="H282" s="10">
        <f t="shared" si="17"/>
        <v>7.8302528819158557E-3</v>
      </c>
      <c r="I282" s="12">
        <f t="shared" si="17"/>
        <v>8.0825497750458553E-5</v>
      </c>
      <c r="K282" s="27">
        <v>34.59552</v>
      </c>
      <c r="L282" s="28">
        <v>10555.64</v>
      </c>
      <c r="M282" s="29">
        <v>111360</v>
      </c>
      <c r="N282" s="10">
        <f t="shared" si="18"/>
        <v>-1.3678713290843025E-2</v>
      </c>
      <c r="O282" s="12">
        <f t="shared" si="19"/>
        <v>8.0825497750458553E-5</v>
      </c>
    </row>
    <row r="283" spans="5:15" ht="30" customHeight="1" x14ac:dyDescent="0.3">
      <c r="E283" s="27">
        <v>44714</v>
      </c>
      <c r="F283" s="28">
        <v>35.861420000000003</v>
      </c>
      <c r="G283" s="29">
        <v>112393</v>
      </c>
      <c r="H283" s="10">
        <f t="shared" si="17"/>
        <v>3.6591443053898276E-2</v>
      </c>
      <c r="I283" s="12">
        <f t="shared" si="17"/>
        <v>9.2762212643677788E-3</v>
      </c>
      <c r="K283" s="27">
        <v>35.861420000000003</v>
      </c>
      <c r="L283" s="28">
        <v>10623.72</v>
      </c>
      <c r="M283" s="29">
        <v>112393</v>
      </c>
      <c r="N283" s="10">
        <f t="shared" si="18"/>
        <v>6.449632613465317E-3</v>
      </c>
      <c r="O283" s="12">
        <f t="shared" si="19"/>
        <v>9.2762212643677788E-3</v>
      </c>
    </row>
    <row r="284" spans="5:15" ht="30" customHeight="1" x14ac:dyDescent="0.3">
      <c r="E284" s="27">
        <v>44715</v>
      </c>
      <c r="F284" s="28">
        <v>36.320960999999997</v>
      </c>
      <c r="G284" s="29">
        <v>111102</v>
      </c>
      <c r="H284" s="10">
        <f t="shared" si="17"/>
        <v>1.2814355929017696E-2</v>
      </c>
      <c r="I284" s="12">
        <f t="shared" si="17"/>
        <v>-1.1486480474762639E-2</v>
      </c>
      <c r="K284" s="27">
        <v>36.320960999999997</v>
      </c>
      <c r="L284" s="28">
        <v>10469.02</v>
      </c>
      <c r="M284" s="29">
        <v>111102</v>
      </c>
      <c r="N284" s="10">
        <f t="shared" si="18"/>
        <v>-1.4561754263101689E-2</v>
      </c>
      <c r="O284" s="12">
        <f t="shared" si="19"/>
        <v>-1.1486480474762639E-2</v>
      </c>
    </row>
    <row r="285" spans="5:15" ht="30" customHeight="1" x14ac:dyDescent="0.3">
      <c r="E285" s="27">
        <v>44718</v>
      </c>
      <c r="F285" s="28">
        <v>38.280506000000003</v>
      </c>
      <c r="G285" s="29">
        <v>110186</v>
      </c>
      <c r="H285" s="10">
        <f t="shared" si="17"/>
        <v>5.3950802678376375E-2</v>
      </c>
      <c r="I285" s="12">
        <f t="shared" si="17"/>
        <v>-8.2446760634371508E-3</v>
      </c>
      <c r="K285" s="27">
        <v>38.280506000000003</v>
      </c>
      <c r="L285" s="28">
        <v>10361.49</v>
      </c>
      <c r="M285" s="29">
        <v>110186</v>
      </c>
      <c r="N285" s="10">
        <f t="shared" si="18"/>
        <v>-1.0271257481598184E-2</v>
      </c>
      <c r="O285" s="12">
        <f t="shared" si="19"/>
        <v>-8.2446760634371508E-3</v>
      </c>
    </row>
    <row r="286" spans="5:15" ht="30" customHeight="1" x14ac:dyDescent="0.3">
      <c r="E286" s="27">
        <v>44719</v>
      </c>
      <c r="F286" s="28">
        <v>38.141776999999998</v>
      </c>
      <c r="G286" s="29">
        <v>110070</v>
      </c>
      <c r="H286" s="10">
        <f t="shared" si="17"/>
        <v>-3.6240116575262382E-3</v>
      </c>
      <c r="I286" s="12">
        <f t="shared" si="17"/>
        <v>-1.0527653240883783E-3</v>
      </c>
      <c r="K286" s="27">
        <v>38.141776999999998</v>
      </c>
      <c r="L286" s="28">
        <v>10241.83</v>
      </c>
      <c r="M286" s="29">
        <v>110070</v>
      </c>
      <c r="N286" s="10">
        <f t="shared" si="18"/>
        <v>-1.1548532112659493E-2</v>
      </c>
      <c r="O286" s="12">
        <f t="shared" si="19"/>
        <v>-1.0527653240883783E-3</v>
      </c>
    </row>
    <row r="287" spans="5:15" ht="30" customHeight="1" x14ac:dyDescent="0.3">
      <c r="E287" s="27">
        <v>44720</v>
      </c>
      <c r="F287" s="28">
        <v>37.274723000000002</v>
      </c>
      <c r="G287" s="29">
        <v>108368</v>
      </c>
      <c r="H287" s="10">
        <f t="shared" si="17"/>
        <v>-2.2732396552997414E-2</v>
      </c>
      <c r="I287" s="12">
        <f t="shared" si="17"/>
        <v>-1.5462887253565927E-2</v>
      </c>
      <c r="K287" s="27">
        <v>37.274723000000002</v>
      </c>
      <c r="L287" s="28">
        <v>10104.120000000001</v>
      </c>
      <c r="M287" s="29">
        <v>108368</v>
      </c>
      <c r="N287" s="10">
        <f t="shared" si="18"/>
        <v>-1.3445839268958704E-2</v>
      </c>
      <c r="O287" s="12">
        <f t="shared" si="19"/>
        <v>-1.5462887253565927E-2</v>
      </c>
    </row>
    <row r="288" spans="5:15" ht="30" customHeight="1" x14ac:dyDescent="0.3">
      <c r="E288" s="27">
        <v>44721</v>
      </c>
      <c r="F288" s="28">
        <v>36.242924000000002</v>
      </c>
      <c r="G288" s="29">
        <v>107094</v>
      </c>
      <c r="H288" s="10">
        <f t="shared" si="17"/>
        <v>-2.7680930050103858E-2</v>
      </c>
      <c r="I288" s="12">
        <f t="shared" si="17"/>
        <v>-1.1756238003838737E-2</v>
      </c>
      <c r="K288" s="27">
        <v>36.242924000000002</v>
      </c>
      <c r="L288" s="28">
        <v>10084.200000000001</v>
      </c>
      <c r="M288" s="29">
        <v>107094</v>
      </c>
      <c r="N288" s="10">
        <f t="shared" si="18"/>
        <v>-1.9714730228856947E-3</v>
      </c>
      <c r="O288" s="12">
        <f t="shared" si="19"/>
        <v>-1.1756238003838737E-2</v>
      </c>
    </row>
    <row r="289" spans="5:15" ht="30" customHeight="1" x14ac:dyDescent="0.3">
      <c r="E289" s="27">
        <v>44722</v>
      </c>
      <c r="F289" s="28">
        <v>35.549281999999998</v>
      </c>
      <c r="G289" s="29">
        <v>105481</v>
      </c>
      <c r="H289" s="10">
        <f t="shared" si="17"/>
        <v>-1.9138687595956827E-2</v>
      </c>
      <c r="I289" s="12">
        <f t="shared" si="17"/>
        <v>-1.5061534726501957E-2</v>
      </c>
      <c r="K289" s="27">
        <v>35.549281999999998</v>
      </c>
      <c r="L289" s="28">
        <v>9874.3700000000008</v>
      </c>
      <c r="M289" s="29">
        <v>105481</v>
      </c>
      <c r="N289" s="10">
        <f t="shared" si="18"/>
        <v>-2.0807798337994066E-2</v>
      </c>
      <c r="O289" s="12">
        <f t="shared" si="19"/>
        <v>-1.5061534726501957E-2</v>
      </c>
    </row>
    <row r="290" spans="5:15" ht="30" customHeight="1" x14ac:dyDescent="0.3">
      <c r="E290" s="27">
        <v>44725</v>
      </c>
      <c r="F290" s="28">
        <v>34.274704</v>
      </c>
      <c r="G290" s="29">
        <v>102598</v>
      </c>
      <c r="H290" s="10">
        <f t="shared" si="17"/>
        <v>-3.5853832434646571E-2</v>
      </c>
      <c r="I290" s="12">
        <f t="shared" si="17"/>
        <v>-2.7331936557294711E-2</v>
      </c>
      <c r="K290" s="27">
        <v>34.274704</v>
      </c>
      <c r="L290" s="28">
        <v>9710.58</v>
      </c>
      <c r="M290" s="29">
        <v>102598</v>
      </c>
      <c r="N290" s="10">
        <f t="shared" si="18"/>
        <v>-1.6587387347243521E-2</v>
      </c>
      <c r="O290" s="12">
        <f t="shared" si="19"/>
        <v>-2.7331936557294711E-2</v>
      </c>
    </row>
    <row r="291" spans="5:15" ht="30" customHeight="1" x14ac:dyDescent="0.3">
      <c r="E291" s="27">
        <v>44726</v>
      </c>
      <c r="F291" s="28">
        <v>34.682223999999998</v>
      </c>
      <c r="G291" s="29">
        <v>102063</v>
      </c>
      <c r="H291" s="10">
        <f t="shared" si="17"/>
        <v>1.1889818216956671E-2</v>
      </c>
      <c r="I291" s="12">
        <f t="shared" si="17"/>
        <v>-5.2145265989590461E-3</v>
      </c>
      <c r="K291" s="27">
        <v>34.682223999999998</v>
      </c>
      <c r="L291" s="28">
        <v>9655.07</v>
      </c>
      <c r="M291" s="29">
        <v>102063</v>
      </c>
      <c r="N291" s="10">
        <f t="shared" si="18"/>
        <v>-5.7164453616570521E-3</v>
      </c>
      <c r="O291" s="12">
        <f t="shared" si="19"/>
        <v>-5.2145265989590461E-3</v>
      </c>
    </row>
    <row r="292" spans="5:15" ht="30" customHeight="1" x14ac:dyDescent="0.3">
      <c r="E292" s="27">
        <v>44727</v>
      </c>
      <c r="F292" s="28">
        <v>34.647540999999997</v>
      </c>
      <c r="G292" s="29">
        <v>102807</v>
      </c>
      <c r="H292" s="10">
        <f t="shared" si="17"/>
        <v>-1.0000223745744163E-3</v>
      </c>
      <c r="I292" s="12">
        <f t="shared" si="17"/>
        <v>7.2896152376473733E-3</v>
      </c>
      <c r="K292" s="27">
        <v>34.647540999999997</v>
      </c>
      <c r="L292" s="28">
        <v>9771.3799999999992</v>
      </c>
      <c r="M292" s="29">
        <v>102807</v>
      </c>
      <c r="N292" s="10">
        <f t="shared" si="18"/>
        <v>1.2046520636308067E-2</v>
      </c>
      <c r="O292" s="12">
        <f t="shared" si="19"/>
        <v>7.2896152376473733E-3</v>
      </c>
    </row>
    <row r="293" spans="5:15" ht="30" customHeight="1" x14ac:dyDescent="0.3">
      <c r="E293" s="27">
        <v>44729</v>
      </c>
      <c r="F293" s="28">
        <v>35.410553</v>
      </c>
      <c r="G293" s="29">
        <v>99825</v>
      </c>
      <c r="H293" s="10">
        <f t="shared" si="17"/>
        <v>2.2022111179549553E-2</v>
      </c>
      <c r="I293" s="12">
        <f t="shared" si="17"/>
        <v>-2.9005806997577932E-2</v>
      </c>
      <c r="K293" s="27">
        <v>35.410553</v>
      </c>
      <c r="L293" s="28">
        <v>9630.27</v>
      </c>
      <c r="M293" s="29">
        <v>99825</v>
      </c>
      <c r="N293" s="10">
        <f t="shared" si="18"/>
        <v>-1.4441153654857208E-2</v>
      </c>
      <c r="O293" s="12">
        <f t="shared" si="19"/>
        <v>-2.9005806997577932E-2</v>
      </c>
    </row>
    <row r="294" spans="5:15" ht="30" customHeight="1" x14ac:dyDescent="0.3">
      <c r="E294" s="27">
        <v>44732</v>
      </c>
      <c r="F294" s="28">
        <v>35.956795</v>
      </c>
      <c r="G294" s="29">
        <v>99853</v>
      </c>
      <c r="H294" s="10">
        <f t="shared" si="17"/>
        <v>1.5425966377876188E-2</v>
      </c>
      <c r="I294" s="12">
        <f t="shared" si="17"/>
        <v>2.8049085900327952E-4</v>
      </c>
      <c r="K294" s="27">
        <v>35.956795</v>
      </c>
      <c r="L294" s="28">
        <v>9823.73</v>
      </c>
      <c r="M294" s="29">
        <v>99853</v>
      </c>
      <c r="N294" s="10">
        <f t="shared" si="18"/>
        <v>2.0088741021798917E-2</v>
      </c>
      <c r="O294" s="12">
        <f t="shared" si="19"/>
        <v>2.8049085900327952E-4</v>
      </c>
    </row>
    <row r="295" spans="5:15" ht="30" customHeight="1" x14ac:dyDescent="0.3">
      <c r="E295" s="27">
        <v>44733</v>
      </c>
      <c r="F295" s="28">
        <v>35.956795</v>
      </c>
      <c r="G295" s="29">
        <v>99685</v>
      </c>
      <c r="H295" s="10">
        <f t="shared" si="17"/>
        <v>0</v>
      </c>
      <c r="I295" s="12">
        <f t="shared" si="17"/>
        <v>-1.6824732356564009E-3</v>
      </c>
      <c r="K295" s="27">
        <v>35.956795</v>
      </c>
      <c r="L295" s="28">
        <v>9742.5</v>
      </c>
      <c r="M295" s="29">
        <v>99685</v>
      </c>
      <c r="N295" s="10">
        <f t="shared" si="18"/>
        <v>-8.2687533146778014E-3</v>
      </c>
      <c r="O295" s="12">
        <f t="shared" si="19"/>
        <v>-1.6824732356564009E-3</v>
      </c>
    </row>
    <row r="296" spans="5:15" ht="30" customHeight="1" x14ac:dyDescent="0.3">
      <c r="E296" s="27">
        <v>44734</v>
      </c>
      <c r="F296" s="28">
        <v>33.988582999999998</v>
      </c>
      <c r="G296" s="29">
        <v>99522</v>
      </c>
      <c r="H296" s="10">
        <f t="shared" si="17"/>
        <v>-5.4738249056958566E-2</v>
      </c>
      <c r="I296" s="12">
        <f t="shared" si="17"/>
        <v>-1.635150724783041E-3</v>
      </c>
      <c r="K296" s="27">
        <v>33.988582999999998</v>
      </c>
      <c r="L296" s="28">
        <v>9754.66</v>
      </c>
      <c r="M296" s="29">
        <v>99522</v>
      </c>
      <c r="N296" s="10">
        <f t="shared" si="18"/>
        <v>1.2481395945598273E-3</v>
      </c>
      <c r="O296" s="12">
        <f t="shared" si="19"/>
        <v>-1.635150724783041E-3</v>
      </c>
    </row>
    <row r="297" spans="5:15" ht="30" customHeight="1" x14ac:dyDescent="0.3">
      <c r="E297" s="27">
        <v>44735</v>
      </c>
      <c r="F297" s="28">
        <v>33.728465999999997</v>
      </c>
      <c r="G297" s="29">
        <v>98080</v>
      </c>
      <c r="H297" s="10">
        <f t="shared" si="17"/>
        <v>-7.6530698558395782E-3</v>
      </c>
      <c r="I297" s="12">
        <f t="shared" si="17"/>
        <v>-1.4489258656377513E-2</v>
      </c>
      <c r="K297" s="27">
        <v>33.728465999999997</v>
      </c>
      <c r="L297" s="28">
        <v>9601.43</v>
      </c>
      <c r="M297" s="29">
        <v>98080</v>
      </c>
      <c r="N297" s="10">
        <f t="shared" si="18"/>
        <v>-1.5708389631212127E-2</v>
      </c>
      <c r="O297" s="12">
        <f t="shared" si="19"/>
        <v>-1.4489258656377513E-2</v>
      </c>
    </row>
    <row r="298" spans="5:15" ht="30" customHeight="1" x14ac:dyDescent="0.3">
      <c r="E298" s="27">
        <v>44736</v>
      </c>
      <c r="F298" s="28">
        <v>34.387424000000003</v>
      </c>
      <c r="G298" s="29">
        <v>98672</v>
      </c>
      <c r="H298" s="10">
        <f t="shared" si="17"/>
        <v>1.9537147049616843E-2</v>
      </c>
      <c r="I298" s="12">
        <f t="shared" si="17"/>
        <v>6.0358890701468493E-3</v>
      </c>
      <c r="K298" s="27">
        <v>34.387424000000003</v>
      </c>
      <c r="L298" s="28">
        <v>9560.92</v>
      </c>
      <c r="M298" s="29">
        <v>98672</v>
      </c>
      <c r="N298" s="10">
        <f t="shared" si="18"/>
        <v>-4.219163187150321E-3</v>
      </c>
      <c r="O298" s="12">
        <f t="shared" si="19"/>
        <v>6.0358890701468493E-3</v>
      </c>
    </row>
    <row r="299" spans="5:15" ht="30" customHeight="1" x14ac:dyDescent="0.3">
      <c r="E299" s="27">
        <v>44739</v>
      </c>
      <c r="F299" s="28">
        <v>33.667769999999997</v>
      </c>
      <c r="G299" s="29">
        <v>100764</v>
      </c>
      <c r="H299" s="10">
        <f t="shared" si="17"/>
        <v>-2.0927825242158415E-2</v>
      </c>
      <c r="I299" s="12">
        <f t="shared" si="17"/>
        <v>2.1201556672612254E-2</v>
      </c>
      <c r="K299" s="27">
        <v>33.667769999999997</v>
      </c>
      <c r="L299" s="28">
        <v>9659.9500000000007</v>
      </c>
      <c r="M299" s="29">
        <v>100764</v>
      </c>
      <c r="N299" s="10">
        <f t="shared" si="18"/>
        <v>1.0357789836124676E-2</v>
      </c>
      <c r="O299" s="12">
        <f t="shared" si="19"/>
        <v>2.1201556672612254E-2</v>
      </c>
    </row>
    <row r="300" spans="5:15" ht="30" customHeight="1" x14ac:dyDescent="0.3">
      <c r="E300" s="27">
        <v>44740</v>
      </c>
      <c r="F300" s="28">
        <v>33.754474999999999</v>
      </c>
      <c r="G300" s="29">
        <v>100591</v>
      </c>
      <c r="H300" s="10">
        <f t="shared" si="17"/>
        <v>2.5753116407769561E-3</v>
      </c>
      <c r="I300" s="12">
        <f t="shared" si="17"/>
        <v>-1.716883013774706E-3</v>
      </c>
      <c r="K300" s="27">
        <v>33.754474999999999</v>
      </c>
      <c r="L300" s="28">
        <v>9534.39</v>
      </c>
      <c r="M300" s="29">
        <v>100591</v>
      </c>
      <c r="N300" s="10">
        <f t="shared" si="18"/>
        <v>-1.2997996884042018E-2</v>
      </c>
      <c r="O300" s="12">
        <f t="shared" si="19"/>
        <v>-1.716883013774706E-3</v>
      </c>
    </row>
    <row r="301" spans="5:15" ht="30" customHeight="1" x14ac:dyDescent="0.3">
      <c r="E301" s="27">
        <v>44741</v>
      </c>
      <c r="F301" s="28">
        <v>33.303604</v>
      </c>
      <c r="G301" s="29">
        <v>99622</v>
      </c>
      <c r="H301" s="10">
        <f t="shared" si="17"/>
        <v>-1.3357369652468254E-2</v>
      </c>
      <c r="I301" s="12">
        <f t="shared" si="17"/>
        <v>-9.6330685647821879E-3</v>
      </c>
      <c r="K301" s="27">
        <v>33.303604</v>
      </c>
      <c r="L301" s="28">
        <v>9420.7199999999993</v>
      </c>
      <c r="M301" s="29">
        <v>99622</v>
      </c>
      <c r="N301" s="10">
        <f t="shared" si="18"/>
        <v>-1.1922105137297745E-2</v>
      </c>
      <c r="O301" s="12">
        <f t="shared" si="19"/>
        <v>-9.6330685647821879E-3</v>
      </c>
    </row>
    <row r="302" spans="5:15" ht="30" customHeight="1" x14ac:dyDescent="0.3">
      <c r="E302" s="27">
        <v>44742</v>
      </c>
      <c r="F302" s="28">
        <v>32.991467</v>
      </c>
      <c r="G302" s="29">
        <v>98542</v>
      </c>
      <c r="H302" s="10">
        <f t="shared" si="17"/>
        <v>-9.3724691177566877E-3</v>
      </c>
      <c r="I302" s="12">
        <f t="shared" si="17"/>
        <v>-1.0840978900242937E-2</v>
      </c>
      <c r="K302" s="27">
        <v>32.991467</v>
      </c>
      <c r="L302" s="28">
        <v>9328.5400000000009</v>
      </c>
      <c r="M302" s="29">
        <v>98542</v>
      </c>
      <c r="N302" s="10">
        <f t="shared" si="18"/>
        <v>-9.7848147487663573E-3</v>
      </c>
      <c r="O302" s="12">
        <f t="shared" si="19"/>
        <v>-1.0840978900242937E-2</v>
      </c>
    </row>
    <row r="303" spans="5:15" ht="30" customHeight="1" x14ac:dyDescent="0.3">
      <c r="E303" s="27">
        <v>44743</v>
      </c>
      <c r="F303" s="28">
        <v>33.737133</v>
      </c>
      <c r="G303" s="29">
        <v>98954</v>
      </c>
      <c r="H303" s="10">
        <f t="shared" si="17"/>
        <v>2.2601783667273612E-2</v>
      </c>
      <c r="I303" s="12">
        <f t="shared" si="17"/>
        <v>4.1809583730794131E-3</v>
      </c>
      <c r="K303" s="27">
        <v>33.737133</v>
      </c>
      <c r="L303" s="28">
        <v>9399.52</v>
      </c>
      <c r="M303" s="29">
        <v>98954</v>
      </c>
      <c r="N303" s="10">
        <f t="shared" si="18"/>
        <v>7.6089077176062503E-3</v>
      </c>
      <c r="O303" s="12">
        <f t="shared" si="19"/>
        <v>4.1809583730794131E-3</v>
      </c>
    </row>
    <row r="304" spans="5:15" ht="30" customHeight="1" x14ac:dyDescent="0.3">
      <c r="E304" s="27">
        <v>44746</v>
      </c>
      <c r="F304" s="28">
        <v>32.956783000000001</v>
      </c>
      <c r="G304" s="29">
        <v>98609</v>
      </c>
      <c r="H304" s="10">
        <f t="shared" si="17"/>
        <v>-2.3130299779770769E-2</v>
      </c>
      <c r="I304" s="12">
        <f t="shared" si="17"/>
        <v>-3.4864684600925955E-3</v>
      </c>
      <c r="K304" s="27">
        <v>32.956783000000001</v>
      </c>
      <c r="L304" s="28">
        <v>9302.0300000000007</v>
      </c>
      <c r="M304" s="29">
        <v>98609</v>
      </c>
      <c r="N304" s="10">
        <f t="shared" si="18"/>
        <v>-1.0371806219892088E-2</v>
      </c>
      <c r="O304" s="12">
        <f t="shared" si="19"/>
        <v>-3.4864684600925955E-3</v>
      </c>
    </row>
    <row r="305" spans="5:15" ht="30" customHeight="1" x14ac:dyDescent="0.3">
      <c r="E305" s="27">
        <v>44747</v>
      </c>
      <c r="F305" s="28">
        <v>32.341175</v>
      </c>
      <c r="G305" s="29">
        <v>98295</v>
      </c>
      <c r="H305" s="10">
        <f t="shared" si="17"/>
        <v>-1.8679250338238473E-2</v>
      </c>
      <c r="I305" s="12">
        <f t="shared" si="17"/>
        <v>-3.184293522903614E-3</v>
      </c>
      <c r="K305" s="27">
        <v>32.341175</v>
      </c>
      <c r="L305" s="28">
        <v>9353.2099999999991</v>
      </c>
      <c r="M305" s="29">
        <v>98295</v>
      </c>
      <c r="N305" s="10">
        <f t="shared" si="18"/>
        <v>5.5020248268387029E-3</v>
      </c>
      <c r="O305" s="12">
        <f t="shared" si="19"/>
        <v>-3.184293522903614E-3</v>
      </c>
    </row>
    <row r="306" spans="5:15" ht="30" customHeight="1" x14ac:dyDescent="0.3">
      <c r="E306" s="27">
        <v>44748</v>
      </c>
      <c r="F306" s="28">
        <v>32.948112000000002</v>
      </c>
      <c r="G306" s="29">
        <v>98719</v>
      </c>
      <c r="H306" s="10">
        <f t="shared" si="17"/>
        <v>1.8766696015219075E-2</v>
      </c>
      <c r="I306" s="12">
        <f t="shared" si="17"/>
        <v>4.3135459585941227E-3</v>
      </c>
      <c r="K306" s="27">
        <v>32.948112000000002</v>
      </c>
      <c r="L306" s="28">
        <v>9308.5</v>
      </c>
      <c r="M306" s="29">
        <v>98719</v>
      </c>
      <c r="N306" s="10">
        <f t="shared" si="18"/>
        <v>-4.7801770728979065E-3</v>
      </c>
      <c r="O306" s="12">
        <f t="shared" si="19"/>
        <v>4.3135459585941227E-3</v>
      </c>
    </row>
    <row r="307" spans="5:15" ht="30" customHeight="1" x14ac:dyDescent="0.3">
      <c r="E307" s="27">
        <v>44749</v>
      </c>
      <c r="F307" s="28">
        <v>33.815170000000002</v>
      </c>
      <c r="G307" s="29">
        <v>100730</v>
      </c>
      <c r="H307" s="10">
        <f t="shared" si="17"/>
        <v>2.6315862954453983E-2</v>
      </c>
      <c r="I307" s="12">
        <f t="shared" si="17"/>
        <v>2.0370951893759148E-2</v>
      </c>
      <c r="K307" s="27">
        <v>33.815170000000002</v>
      </c>
      <c r="L307" s="28">
        <v>9441.25</v>
      </c>
      <c r="M307" s="29">
        <v>100730</v>
      </c>
      <c r="N307" s="10">
        <f t="shared" si="18"/>
        <v>1.4261159155610548E-2</v>
      </c>
      <c r="O307" s="12">
        <f t="shared" si="19"/>
        <v>2.0370951893759148E-2</v>
      </c>
    </row>
    <row r="308" spans="5:15" ht="30" customHeight="1" x14ac:dyDescent="0.3">
      <c r="E308" s="27">
        <v>44750</v>
      </c>
      <c r="F308" s="28">
        <v>34.248694999999998</v>
      </c>
      <c r="G308" s="29">
        <v>100289</v>
      </c>
      <c r="H308" s="10">
        <f t="shared" si="17"/>
        <v>1.2820429410823397E-2</v>
      </c>
      <c r="I308" s="12">
        <f t="shared" si="17"/>
        <v>-4.3780403057679385E-3</v>
      </c>
      <c r="K308" s="27">
        <v>34.248694999999998</v>
      </c>
      <c r="L308" s="28">
        <v>9461.34</v>
      </c>
      <c r="M308" s="29">
        <v>100289</v>
      </c>
      <c r="N308" s="10">
        <f t="shared" si="18"/>
        <v>2.1278962001853863E-3</v>
      </c>
      <c r="O308" s="12">
        <f t="shared" si="19"/>
        <v>-4.3780403057679385E-3</v>
      </c>
    </row>
    <row r="309" spans="5:15" ht="30" customHeight="1" x14ac:dyDescent="0.3">
      <c r="E309" s="27">
        <v>44753</v>
      </c>
      <c r="F309" s="28">
        <v>33.815170000000002</v>
      </c>
      <c r="G309" s="29">
        <v>98212</v>
      </c>
      <c r="H309" s="10">
        <f t="shared" si="17"/>
        <v>-1.2658146536678183E-2</v>
      </c>
      <c r="I309" s="12">
        <f t="shared" si="17"/>
        <v>-2.0710147673224433E-2</v>
      </c>
      <c r="K309" s="27">
        <v>33.815170000000002</v>
      </c>
      <c r="L309" s="28">
        <v>9217.74</v>
      </c>
      <c r="M309" s="29">
        <v>98212</v>
      </c>
      <c r="N309" s="10">
        <f t="shared" si="18"/>
        <v>-2.5746881519953857E-2</v>
      </c>
      <c r="O309" s="12">
        <f t="shared" si="19"/>
        <v>-2.0710147673224433E-2</v>
      </c>
    </row>
    <row r="310" spans="5:15" ht="30" customHeight="1" x14ac:dyDescent="0.3">
      <c r="E310" s="27">
        <v>44754</v>
      </c>
      <c r="F310" s="28">
        <v>34.326732999999997</v>
      </c>
      <c r="G310" s="29">
        <v>98271</v>
      </c>
      <c r="H310" s="10">
        <f t="shared" si="17"/>
        <v>1.5128210208613435E-2</v>
      </c>
      <c r="I310" s="12">
        <f t="shared" si="17"/>
        <v>6.0074125361464503E-4</v>
      </c>
      <c r="K310" s="27">
        <v>34.326732999999997</v>
      </c>
      <c r="L310" s="28">
        <v>9204.75</v>
      </c>
      <c r="M310" s="29">
        <v>98271</v>
      </c>
      <c r="N310" s="10">
        <f t="shared" si="18"/>
        <v>-1.4092391410475136E-3</v>
      </c>
      <c r="O310" s="12">
        <f t="shared" si="19"/>
        <v>6.0074125361464503E-4</v>
      </c>
    </row>
    <row r="311" spans="5:15" ht="30" customHeight="1" x14ac:dyDescent="0.3">
      <c r="E311" s="27">
        <v>44755</v>
      </c>
      <c r="F311" s="28">
        <v>33.815170000000002</v>
      </c>
      <c r="G311" s="29">
        <v>97881</v>
      </c>
      <c r="H311" s="10">
        <f t="shared" si="17"/>
        <v>-1.4902758150622586E-2</v>
      </c>
      <c r="I311" s="12">
        <f t="shared" si="17"/>
        <v>-3.9686173947552916E-3</v>
      </c>
      <c r="K311" s="27">
        <v>33.815170000000002</v>
      </c>
      <c r="L311" s="28">
        <v>9087.67</v>
      </c>
      <c r="M311" s="29">
        <v>97881</v>
      </c>
      <c r="N311" s="10">
        <f t="shared" si="18"/>
        <v>-1.2719519813139901E-2</v>
      </c>
      <c r="O311" s="12">
        <f t="shared" si="19"/>
        <v>-3.9686173947552916E-3</v>
      </c>
    </row>
    <row r="312" spans="5:15" ht="30" customHeight="1" x14ac:dyDescent="0.3">
      <c r="E312" s="27">
        <v>44756</v>
      </c>
      <c r="F312" s="28">
        <v>33.381641000000002</v>
      </c>
      <c r="G312" s="29">
        <v>96121</v>
      </c>
      <c r="H312" s="10">
        <f t="shared" si="17"/>
        <v>-1.2820547700928331E-2</v>
      </c>
      <c r="I312" s="12">
        <f t="shared" si="17"/>
        <v>-1.7981017766471541E-2</v>
      </c>
      <c r="K312" s="27">
        <v>33.381641000000002</v>
      </c>
      <c r="L312" s="28">
        <v>8997.0400000000009</v>
      </c>
      <c r="M312" s="29">
        <v>96121</v>
      </c>
      <c r="N312" s="10">
        <f t="shared" si="18"/>
        <v>-9.9728533276405296E-3</v>
      </c>
      <c r="O312" s="12">
        <f t="shared" si="19"/>
        <v>-1.7981017766471541E-2</v>
      </c>
    </row>
    <row r="313" spans="5:15" ht="30" customHeight="1" x14ac:dyDescent="0.3">
      <c r="E313" s="27">
        <v>44757</v>
      </c>
      <c r="F313" s="28">
        <v>34.59552</v>
      </c>
      <c r="G313" s="29">
        <v>96551</v>
      </c>
      <c r="H313" s="10">
        <f t="shared" si="17"/>
        <v>3.6363670677543869E-2</v>
      </c>
      <c r="I313" s="12">
        <f t="shared" si="17"/>
        <v>4.4735281572185759E-3</v>
      </c>
      <c r="K313" s="27">
        <v>34.59552</v>
      </c>
      <c r="L313" s="28">
        <v>9091.89</v>
      </c>
      <c r="M313" s="29">
        <v>96551</v>
      </c>
      <c r="N313" s="10">
        <f t="shared" si="18"/>
        <v>1.0542356152690058E-2</v>
      </c>
      <c r="O313" s="12">
        <f t="shared" si="19"/>
        <v>4.4735281572185759E-3</v>
      </c>
    </row>
    <row r="314" spans="5:15" ht="30" customHeight="1" x14ac:dyDescent="0.3">
      <c r="E314" s="27">
        <v>44760</v>
      </c>
      <c r="F314" s="28">
        <v>34.59552</v>
      </c>
      <c r="G314" s="29">
        <v>96916</v>
      </c>
      <c r="H314" s="10">
        <f t="shared" si="17"/>
        <v>0</v>
      </c>
      <c r="I314" s="12">
        <f t="shared" si="17"/>
        <v>3.7803854957483285E-3</v>
      </c>
      <c r="K314" s="27">
        <v>34.59552</v>
      </c>
      <c r="L314" s="28">
        <v>9182.93</v>
      </c>
      <c r="M314" s="29">
        <v>96916</v>
      </c>
      <c r="N314" s="10">
        <f t="shared" si="18"/>
        <v>1.0013319562819367E-2</v>
      </c>
      <c r="O314" s="12">
        <f t="shared" si="19"/>
        <v>3.7803854957483285E-3</v>
      </c>
    </row>
    <row r="315" spans="5:15" ht="30" customHeight="1" x14ac:dyDescent="0.3">
      <c r="E315" s="27">
        <v>44761</v>
      </c>
      <c r="F315" s="28">
        <v>33.953896</v>
      </c>
      <c r="G315" s="29">
        <v>98245</v>
      </c>
      <c r="H315" s="10">
        <f t="shared" si="17"/>
        <v>-1.8546447632525886E-2</v>
      </c>
      <c r="I315" s="12">
        <f t="shared" si="17"/>
        <v>1.3712906021709603E-2</v>
      </c>
      <c r="K315" s="27">
        <v>33.953896</v>
      </c>
      <c r="L315" s="28">
        <v>9412.57</v>
      </c>
      <c r="M315" s="29">
        <v>98245</v>
      </c>
      <c r="N315" s="10">
        <f t="shared" si="18"/>
        <v>2.5007268921792836E-2</v>
      </c>
      <c r="O315" s="12">
        <f t="shared" si="19"/>
        <v>1.3712906021709603E-2</v>
      </c>
    </row>
    <row r="316" spans="5:15" ht="30" customHeight="1" x14ac:dyDescent="0.3">
      <c r="E316" s="27">
        <v>44762</v>
      </c>
      <c r="F316" s="28">
        <v>33.901874999999997</v>
      </c>
      <c r="G316" s="29">
        <v>98287</v>
      </c>
      <c r="H316" s="10">
        <f t="shared" si="17"/>
        <v>-1.5321069487873595E-3</v>
      </c>
      <c r="I316" s="12">
        <f t="shared" si="17"/>
        <v>4.2750267189162194E-4</v>
      </c>
      <c r="K316" s="27">
        <v>33.901874999999997</v>
      </c>
      <c r="L316" s="28">
        <v>9401.5400000000009</v>
      </c>
      <c r="M316" s="29">
        <v>98287</v>
      </c>
      <c r="N316" s="10">
        <f t="shared" si="18"/>
        <v>-1.1718372346765094E-3</v>
      </c>
      <c r="O316" s="12">
        <f t="shared" si="19"/>
        <v>4.2750267189162194E-4</v>
      </c>
    </row>
    <row r="317" spans="5:15" ht="30" customHeight="1" x14ac:dyDescent="0.3">
      <c r="E317" s="27">
        <v>44763</v>
      </c>
      <c r="F317" s="28">
        <v>34.951011999999999</v>
      </c>
      <c r="G317" s="29">
        <v>99033</v>
      </c>
      <c r="H317" s="10">
        <f t="shared" si="17"/>
        <v>3.0946282469627384E-2</v>
      </c>
      <c r="I317" s="12">
        <f t="shared" si="17"/>
        <v>7.5900169910567694E-3</v>
      </c>
      <c r="K317" s="27">
        <v>34.951011999999999</v>
      </c>
      <c r="L317" s="28">
        <v>9546.91</v>
      </c>
      <c r="M317" s="29">
        <v>99033</v>
      </c>
      <c r="N317" s="10">
        <f t="shared" si="18"/>
        <v>1.5462360421803156E-2</v>
      </c>
      <c r="O317" s="12">
        <f t="shared" si="19"/>
        <v>7.5900169910567694E-3</v>
      </c>
    </row>
    <row r="318" spans="5:15" ht="30" customHeight="1" x14ac:dyDescent="0.3">
      <c r="E318" s="27">
        <v>44764</v>
      </c>
      <c r="F318" s="28">
        <v>33.815170000000002</v>
      </c>
      <c r="G318" s="29">
        <v>98925</v>
      </c>
      <c r="H318" s="10">
        <f t="shared" si="17"/>
        <v>-3.2498114789923593E-2</v>
      </c>
      <c r="I318" s="12">
        <f t="shared" si="17"/>
        <v>-1.0905455757171945E-3</v>
      </c>
      <c r="K318" s="27">
        <v>33.815170000000002</v>
      </c>
      <c r="L318" s="28">
        <v>9434.98</v>
      </c>
      <c r="M318" s="29">
        <v>98925</v>
      </c>
      <c r="N318" s="10">
        <f t="shared" si="18"/>
        <v>-1.1724212336766571E-2</v>
      </c>
      <c r="O318" s="12">
        <f t="shared" si="19"/>
        <v>-1.0905455757171945E-3</v>
      </c>
    </row>
    <row r="319" spans="5:15" ht="30" customHeight="1" x14ac:dyDescent="0.3">
      <c r="E319" s="27">
        <v>44767</v>
      </c>
      <c r="F319" s="28">
        <v>33.641758000000003</v>
      </c>
      <c r="G319" s="29">
        <v>100270</v>
      </c>
      <c r="H319" s="10">
        <f t="shared" si="17"/>
        <v>-5.128230909381748E-3</v>
      </c>
      <c r="I319" s="12">
        <f t="shared" si="17"/>
        <v>1.3596158706090433E-2</v>
      </c>
      <c r="K319" s="27">
        <v>33.641758000000003</v>
      </c>
      <c r="L319" s="28">
        <v>9525.6299999999992</v>
      </c>
      <c r="M319" s="29">
        <v>100270</v>
      </c>
      <c r="N319" s="10">
        <f t="shared" si="18"/>
        <v>9.6078635036851434E-3</v>
      </c>
      <c r="O319" s="12">
        <f t="shared" si="19"/>
        <v>1.3596158706090433E-2</v>
      </c>
    </row>
    <row r="320" spans="5:15" ht="30" customHeight="1" x14ac:dyDescent="0.3">
      <c r="E320" s="27">
        <v>44768</v>
      </c>
      <c r="F320" s="28">
        <v>35.523269999999997</v>
      </c>
      <c r="G320" s="29">
        <v>99772</v>
      </c>
      <c r="H320" s="10">
        <f t="shared" si="17"/>
        <v>5.5927873923829807E-2</v>
      </c>
      <c r="I320" s="12">
        <f t="shared" si="17"/>
        <v>-4.9665902064426337E-3</v>
      </c>
      <c r="K320" s="27">
        <v>35.523269999999997</v>
      </c>
      <c r="L320" s="28">
        <v>9474.77</v>
      </c>
      <c r="M320" s="29">
        <v>99772</v>
      </c>
      <c r="N320" s="10">
        <f t="shared" si="18"/>
        <v>-5.3392793967431684E-3</v>
      </c>
      <c r="O320" s="12">
        <f t="shared" si="19"/>
        <v>-4.9665902064426337E-3</v>
      </c>
    </row>
    <row r="321" spans="5:15" ht="30" customHeight="1" x14ac:dyDescent="0.3">
      <c r="E321" s="27">
        <v>44769</v>
      </c>
      <c r="F321" s="28">
        <v>34.274704</v>
      </c>
      <c r="G321" s="29">
        <v>101438</v>
      </c>
      <c r="H321" s="10">
        <f t="shared" si="17"/>
        <v>-3.5147834081715956E-2</v>
      </c>
      <c r="I321" s="12">
        <f t="shared" si="17"/>
        <v>1.6698071603255427E-2</v>
      </c>
      <c r="K321" s="27">
        <v>34.274704</v>
      </c>
      <c r="L321" s="28">
        <v>9560.08</v>
      </c>
      <c r="M321" s="29">
        <v>101438</v>
      </c>
      <c r="N321" s="10">
        <f t="shared" si="18"/>
        <v>9.0039124960288319E-3</v>
      </c>
      <c r="O321" s="12">
        <f t="shared" si="19"/>
        <v>1.6698071603255427E-2</v>
      </c>
    </row>
    <row r="322" spans="5:15" ht="30" customHeight="1" x14ac:dyDescent="0.3">
      <c r="E322" s="27">
        <v>44770</v>
      </c>
      <c r="F322" s="28">
        <v>34.846966000000002</v>
      </c>
      <c r="G322" s="29">
        <v>102597</v>
      </c>
      <c r="H322" s="10">
        <f t="shared" si="17"/>
        <v>1.6696336750275043E-2</v>
      </c>
      <c r="I322" s="12">
        <f t="shared" si="17"/>
        <v>1.1425698456199784E-2</v>
      </c>
      <c r="K322" s="27">
        <v>34.846966000000002</v>
      </c>
      <c r="L322" s="28">
        <v>9696.76</v>
      </c>
      <c r="M322" s="29">
        <v>102597</v>
      </c>
      <c r="N322" s="10">
        <f t="shared" si="18"/>
        <v>1.4296951489945808E-2</v>
      </c>
      <c r="O322" s="12">
        <f t="shared" si="19"/>
        <v>1.1425698456199784E-2</v>
      </c>
    </row>
    <row r="323" spans="5:15" ht="30" customHeight="1" x14ac:dyDescent="0.3">
      <c r="E323" s="27">
        <v>44771</v>
      </c>
      <c r="F323" s="28">
        <v>34.803612000000001</v>
      </c>
      <c r="G323" s="29">
        <v>103165</v>
      </c>
      <c r="H323" s="10">
        <f t="shared" si="17"/>
        <v>-1.2441255287476416E-3</v>
      </c>
      <c r="I323" s="12">
        <f t="shared" si="17"/>
        <v>5.5362242560699215E-3</v>
      </c>
      <c r="K323" s="27">
        <v>34.803612000000001</v>
      </c>
      <c r="L323" s="28">
        <v>9664.7999999999993</v>
      </c>
      <c r="M323" s="29">
        <v>103165</v>
      </c>
      <c r="N323" s="10">
        <f t="shared" si="18"/>
        <v>-3.2959462748383128E-3</v>
      </c>
      <c r="O323" s="12">
        <f t="shared" si="19"/>
        <v>5.5362242560699215E-3</v>
      </c>
    </row>
    <row r="324" spans="5:15" ht="30" customHeight="1" x14ac:dyDescent="0.3">
      <c r="E324" s="27">
        <v>44774</v>
      </c>
      <c r="F324" s="28">
        <v>33.806499000000002</v>
      </c>
      <c r="G324" s="29">
        <v>102225</v>
      </c>
      <c r="H324" s="10">
        <f t="shared" si="17"/>
        <v>-2.8649698772644561E-2</v>
      </c>
      <c r="I324" s="12">
        <f t="shared" si="17"/>
        <v>-9.1116173120728838E-3</v>
      </c>
      <c r="K324" s="27">
        <v>33.806499000000002</v>
      </c>
      <c r="L324" s="28">
        <v>9582.0400000000009</v>
      </c>
      <c r="M324" s="29">
        <v>102225</v>
      </c>
      <c r="N324" s="10">
        <f t="shared" si="18"/>
        <v>-8.5630328615179385E-3</v>
      </c>
      <c r="O324" s="12">
        <f t="shared" si="19"/>
        <v>-9.1116173120728838E-3</v>
      </c>
    </row>
    <row r="325" spans="5:15" ht="30" customHeight="1" x14ac:dyDescent="0.3">
      <c r="E325" s="27">
        <v>44775</v>
      </c>
      <c r="F325" s="28">
        <v>33.494357999999998</v>
      </c>
      <c r="G325" s="29">
        <v>103362</v>
      </c>
      <c r="H325" s="10">
        <f t="shared" si="17"/>
        <v>-9.2331654928244911E-3</v>
      </c>
      <c r="I325" s="12">
        <f t="shared" si="17"/>
        <v>1.1122523844460774E-2</v>
      </c>
      <c r="K325" s="27">
        <v>33.494357999999998</v>
      </c>
      <c r="L325" s="28">
        <v>9672.66</v>
      </c>
      <c r="M325" s="29">
        <v>103362</v>
      </c>
      <c r="N325" s="10">
        <f t="shared" si="18"/>
        <v>9.4572763211173694E-3</v>
      </c>
      <c r="O325" s="12">
        <f t="shared" si="19"/>
        <v>1.1122523844460774E-2</v>
      </c>
    </row>
    <row r="326" spans="5:15" ht="30" customHeight="1" x14ac:dyDescent="0.3">
      <c r="E326" s="27">
        <v>44776</v>
      </c>
      <c r="F326" s="28">
        <v>33.667769999999997</v>
      </c>
      <c r="G326" s="29">
        <v>103775</v>
      </c>
      <c r="H326" s="10">
        <f t="shared" si="17"/>
        <v>5.1773495703366645E-3</v>
      </c>
      <c r="I326" s="12">
        <f t="shared" si="17"/>
        <v>3.9956657185427069E-3</v>
      </c>
      <c r="K326" s="27">
        <v>33.667769999999997</v>
      </c>
      <c r="L326" s="28">
        <v>9823.2800000000007</v>
      </c>
      <c r="M326" s="29">
        <v>103775</v>
      </c>
      <c r="N326" s="10">
        <f t="shared" si="18"/>
        <v>1.5571724840943491E-2</v>
      </c>
      <c r="O326" s="12">
        <f t="shared" si="19"/>
        <v>3.9956657185427069E-3</v>
      </c>
    </row>
    <row r="327" spans="5:15" ht="30" customHeight="1" x14ac:dyDescent="0.3">
      <c r="E327" s="27">
        <v>44777</v>
      </c>
      <c r="F327" s="28">
        <v>34.682223999999998</v>
      </c>
      <c r="G327" s="29">
        <v>105892</v>
      </c>
      <c r="H327" s="10">
        <f t="shared" si="17"/>
        <v>3.0131309558072861E-2</v>
      </c>
      <c r="I327" s="12">
        <f t="shared" si="17"/>
        <v>2.039990363767763E-2</v>
      </c>
      <c r="K327" s="27">
        <v>34.682223999999998</v>
      </c>
      <c r="L327" s="28">
        <v>10118.25</v>
      </c>
      <c r="M327" s="29">
        <v>105892</v>
      </c>
      <c r="N327" s="10">
        <f t="shared" si="18"/>
        <v>3.0027648606168134E-2</v>
      </c>
      <c r="O327" s="12">
        <f t="shared" si="19"/>
        <v>2.039990363767763E-2</v>
      </c>
    </row>
    <row r="328" spans="5:15" ht="30" customHeight="1" x14ac:dyDescent="0.3">
      <c r="E328" s="27">
        <v>44778</v>
      </c>
      <c r="F328" s="28">
        <v>34.205345000000001</v>
      </c>
      <c r="G328" s="29">
        <v>106472</v>
      </c>
      <c r="H328" s="10">
        <f t="shared" si="17"/>
        <v>-1.3749954443521228E-2</v>
      </c>
      <c r="I328" s="12">
        <f t="shared" si="17"/>
        <v>5.477278736826241E-3</v>
      </c>
      <c r="K328" s="27">
        <v>34.205345000000001</v>
      </c>
      <c r="L328" s="28">
        <v>10264.379999999999</v>
      </c>
      <c r="M328" s="29">
        <v>106472</v>
      </c>
      <c r="N328" s="10">
        <f t="shared" si="18"/>
        <v>1.4442220739752321E-2</v>
      </c>
      <c r="O328" s="12">
        <f t="shared" si="19"/>
        <v>5.477278736826241E-3</v>
      </c>
    </row>
    <row r="329" spans="5:15" ht="30" customHeight="1" x14ac:dyDescent="0.3">
      <c r="E329" s="27">
        <v>44781</v>
      </c>
      <c r="F329" s="28">
        <v>34.248694999999998</v>
      </c>
      <c r="G329" s="29">
        <v>108402</v>
      </c>
      <c r="H329" s="10">
        <f t="shared" si="17"/>
        <v>1.2673457905481023E-3</v>
      </c>
      <c r="I329" s="12">
        <f t="shared" si="17"/>
        <v>1.8126831467428106E-2</v>
      </c>
      <c r="K329" s="27">
        <v>34.248694999999998</v>
      </c>
      <c r="L329" s="28">
        <v>10447.120000000001</v>
      </c>
      <c r="M329" s="29">
        <v>108402</v>
      </c>
      <c r="N329" s="10">
        <f t="shared" si="18"/>
        <v>1.7803315933354158E-2</v>
      </c>
      <c r="O329" s="12">
        <f t="shared" si="19"/>
        <v>1.8126831467428106E-2</v>
      </c>
    </row>
    <row r="330" spans="5:15" ht="30" customHeight="1" x14ac:dyDescent="0.3">
      <c r="E330" s="27">
        <v>44782</v>
      </c>
      <c r="F330" s="28">
        <v>34.760261999999997</v>
      </c>
      <c r="G330" s="29">
        <v>108651</v>
      </c>
      <c r="H330" s="10">
        <f t="shared" si="17"/>
        <v>1.4936831899726277E-2</v>
      </c>
      <c r="I330" s="12">
        <f t="shared" si="17"/>
        <v>2.2970055903026587E-3</v>
      </c>
      <c r="K330" s="27">
        <v>34.760261999999997</v>
      </c>
      <c r="L330" s="28">
        <v>10533.13</v>
      </c>
      <c r="M330" s="29">
        <v>108651</v>
      </c>
      <c r="N330" s="10">
        <f t="shared" si="18"/>
        <v>8.2328909785662763E-3</v>
      </c>
      <c r="O330" s="12">
        <f t="shared" si="19"/>
        <v>2.2970055903026587E-3</v>
      </c>
    </row>
    <row r="331" spans="5:15" ht="30" customHeight="1" x14ac:dyDescent="0.3">
      <c r="E331" s="27">
        <v>44783</v>
      </c>
      <c r="F331" s="28">
        <v>37.109977999999998</v>
      </c>
      <c r="G331" s="29">
        <v>110236</v>
      </c>
      <c r="H331" s="10">
        <f t="shared" si="17"/>
        <v>6.7597764366678303E-2</v>
      </c>
      <c r="I331" s="12">
        <f t="shared" si="17"/>
        <v>1.4587992747420619E-2</v>
      </c>
      <c r="K331" s="27">
        <v>37.109977999999998</v>
      </c>
      <c r="L331" s="28">
        <v>10712.05</v>
      </c>
      <c r="M331" s="29">
        <v>110236</v>
      </c>
      <c r="N331" s="10">
        <f t="shared" si="18"/>
        <v>1.6986403851466658E-2</v>
      </c>
      <c r="O331" s="12">
        <f t="shared" si="19"/>
        <v>1.4587992747420619E-2</v>
      </c>
    </row>
    <row r="332" spans="5:15" ht="30" customHeight="1" x14ac:dyDescent="0.3">
      <c r="E332" s="27">
        <v>44784</v>
      </c>
      <c r="F332" s="28">
        <v>37.283389999999997</v>
      </c>
      <c r="G332" s="29">
        <v>109718</v>
      </c>
      <c r="H332" s="10">
        <f t="shared" si="17"/>
        <v>4.6729211211065103E-3</v>
      </c>
      <c r="I332" s="12">
        <f t="shared" si="17"/>
        <v>-4.6990093980188163E-3</v>
      </c>
      <c r="K332" s="27">
        <v>37.283389999999997</v>
      </c>
      <c r="L332" s="28">
        <v>10761.2</v>
      </c>
      <c r="M332" s="29">
        <v>109718</v>
      </c>
      <c r="N332" s="10">
        <f t="shared" si="18"/>
        <v>4.5882907566714426E-3</v>
      </c>
      <c r="O332" s="12">
        <f t="shared" si="19"/>
        <v>-4.6990093980188163E-3</v>
      </c>
    </row>
    <row r="333" spans="5:15" ht="30" customHeight="1" x14ac:dyDescent="0.3">
      <c r="E333" s="27">
        <v>44785</v>
      </c>
      <c r="F333" s="28">
        <v>37.318072999999998</v>
      </c>
      <c r="G333" s="29">
        <v>112764</v>
      </c>
      <c r="H333" s="10">
        <f t="shared" si="17"/>
        <v>9.3025339165775378E-4</v>
      </c>
      <c r="I333" s="12">
        <f t="shared" si="17"/>
        <v>2.7762080971217129E-2</v>
      </c>
      <c r="K333" s="27">
        <v>37.318072999999998</v>
      </c>
      <c r="L333" s="28">
        <v>11067.54</v>
      </c>
      <c r="M333" s="29">
        <v>112764</v>
      </c>
      <c r="N333" s="10">
        <f t="shared" si="18"/>
        <v>2.846708545515364E-2</v>
      </c>
      <c r="O333" s="12">
        <f t="shared" si="19"/>
        <v>2.7762080971217129E-2</v>
      </c>
    </row>
    <row r="334" spans="5:15" ht="30" customHeight="1" x14ac:dyDescent="0.3">
      <c r="E334" s="27">
        <v>44788</v>
      </c>
      <c r="F334" s="28">
        <v>39.199581000000002</v>
      </c>
      <c r="G334" s="29">
        <v>113032</v>
      </c>
      <c r="H334" s="10">
        <f t="shared" si="17"/>
        <v>5.0418144581045432E-2</v>
      </c>
      <c r="I334" s="12">
        <f t="shared" si="17"/>
        <v>2.3766450285551688E-3</v>
      </c>
      <c r="K334" s="27">
        <v>39.199581000000002</v>
      </c>
      <c r="L334" s="28">
        <v>11070.69</v>
      </c>
      <c r="M334" s="29">
        <v>113032</v>
      </c>
      <c r="N334" s="10">
        <f t="shared" si="18"/>
        <v>2.8461609354923922E-4</v>
      </c>
      <c r="O334" s="12">
        <f t="shared" si="19"/>
        <v>2.3766450285551688E-3</v>
      </c>
    </row>
    <row r="335" spans="5:15" ht="30" customHeight="1" x14ac:dyDescent="0.3">
      <c r="E335" s="27">
        <v>44789</v>
      </c>
      <c r="F335" s="28">
        <v>43.335438000000003</v>
      </c>
      <c r="G335" s="29">
        <v>113512</v>
      </c>
      <c r="H335" s="10">
        <f t="shared" si="17"/>
        <v>0.10550768387039655</v>
      </c>
      <c r="I335" s="12">
        <f t="shared" si="17"/>
        <v>4.2465850378654579E-3</v>
      </c>
      <c r="K335" s="27">
        <v>43.335438000000003</v>
      </c>
      <c r="L335" s="28">
        <v>11126.6</v>
      </c>
      <c r="M335" s="29">
        <v>113512</v>
      </c>
      <c r="N335" s="10">
        <f t="shared" si="18"/>
        <v>5.050272385912713E-3</v>
      </c>
      <c r="O335" s="12">
        <f t="shared" si="19"/>
        <v>4.2465850378654579E-3</v>
      </c>
    </row>
    <row r="336" spans="5:15" ht="30" customHeight="1" x14ac:dyDescent="0.3">
      <c r="E336" s="27">
        <v>44790</v>
      </c>
      <c r="F336" s="28">
        <v>43.786307999999998</v>
      </c>
      <c r="G336" s="29">
        <v>113708</v>
      </c>
      <c r="H336" s="10">
        <f t="shared" si="17"/>
        <v>1.0404186984333652E-2</v>
      </c>
      <c r="I336" s="12">
        <f t="shared" si="17"/>
        <v>1.7266896891958705E-3</v>
      </c>
      <c r="K336" s="27">
        <v>43.786307999999998</v>
      </c>
      <c r="L336" s="28">
        <v>11091.79</v>
      </c>
      <c r="M336" s="29">
        <v>113708</v>
      </c>
      <c r="N336" s="10">
        <f t="shared" si="18"/>
        <v>-3.128538816889237E-3</v>
      </c>
      <c r="O336" s="12">
        <f t="shared" si="19"/>
        <v>1.7266896891958705E-3</v>
      </c>
    </row>
    <row r="337" spans="5:15" ht="30" customHeight="1" x14ac:dyDescent="0.3">
      <c r="E337" s="27">
        <v>44791</v>
      </c>
      <c r="F337" s="28">
        <v>44.523304000000003</v>
      </c>
      <c r="G337" s="29">
        <v>113813</v>
      </c>
      <c r="H337" s="10">
        <f t="shared" si="17"/>
        <v>1.6831654315317079E-2</v>
      </c>
      <c r="I337" s="12">
        <f t="shared" si="17"/>
        <v>9.2341787737004744E-4</v>
      </c>
      <c r="K337" s="27">
        <v>44.523304000000003</v>
      </c>
      <c r="L337" s="28">
        <v>11046.05</v>
      </c>
      <c r="M337" s="29">
        <v>113813</v>
      </c>
      <c r="N337" s="10">
        <f t="shared" si="18"/>
        <v>-4.123770825087858E-3</v>
      </c>
      <c r="O337" s="12">
        <f t="shared" si="19"/>
        <v>9.2341787737004744E-4</v>
      </c>
    </row>
    <row r="338" spans="5:15" ht="30" customHeight="1" x14ac:dyDescent="0.3">
      <c r="E338" s="27">
        <v>44792</v>
      </c>
      <c r="F338" s="28">
        <v>43.699604000000001</v>
      </c>
      <c r="G338" s="29">
        <v>111496</v>
      </c>
      <c r="H338" s="10">
        <f t="shared" si="17"/>
        <v>-1.8500423957754863E-2</v>
      </c>
      <c r="I338" s="12">
        <f t="shared" si="17"/>
        <v>-2.0357955593824917E-2</v>
      </c>
      <c r="K338" s="27">
        <v>43.699604000000001</v>
      </c>
      <c r="L338" s="28">
        <v>10880.26</v>
      </c>
      <c r="M338" s="29">
        <v>111496</v>
      </c>
      <c r="N338" s="10">
        <f t="shared" si="18"/>
        <v>-1.5008985112325179E-2</v>
      </c>
      <c r="O338" s="12">
        <f t="shared" si="19"/>
        <v>-2.0357955593824917E-2</v>
      </c>
    </row>
    <row r="339" spans="5:15" ht="30" customHeight="1" x14ac:dyDescent="0.3">
      <c r="E339" s="27">
        <v>44795</v>
      </c>
      <c r="F339" s="28">
        <v>44.037754</v>
      </c>
      <c r="G339" s="29">
        <v>110501</v>
      </c>
      <c r="H339" s="10">
        <f t="shared" si="17"/>
        <v>7.738056390625303E-3</v>
      </c>
      <c r="I339" s="12">
        <f t="shared" si="17"/>
        <v>-8.9240869627610353E-3</v>
      </c>
      <c r="K339" s="27">
        <v>44.037754</v>
      </c>
      <c r="L339" s="28">
        <v>10775.41</v>
      </c>
      <c r="M339" s="29">
        <v>110501</v>
      </c>
      <c r="N339" s="10">
        <f t="shared" si="18"/>
        <v>-9.6367182401891904E-3</v>
      </c>
      <c r="O339" s="12">
        <f t="shared" si="19"/>
        <v>-8.9240869627610353E-3</v>
      </c>
    </row>
    <row r="340" spans="5:15" ht="30" customHeight="1" x14ac:dyDescent="0.3">
      <c r="E340" s="27">
        <v>44796</v>
      </c>
      <c r="F340" s="28">
        <v>44.88747</v>
      </c>
      <c r="G340" s="29">
        <v>112857</v>
      </c>
      <c r="H340" s="10">
        <f t="shared" si="17"/>
        <v>1.9295171138836942E-2</v>
      </c>
      <c r="I340" s="12">
        <f t="shared" si="17"/>
        <v>2.1321074017429664E-2</v>
      </c>
      <c r="K340" s="27">
        <v>44.88747</v>
      </c>
      <c r="L340" s="28">
        <v>10860.76</v>
      </c>
      <c r="M340" s="29">
        <v>112857</v>
      </c>
      <c r="N340" s="10">
        <f t="shared" si="18"/>
        <v>7.9208122939173897E-3</v>
      </c>
      <c r="O340" s="12">
        <f t="shared" si="19"/>
        <v>2.1321074017429664E-2</v>
      </c>
    </row>
    <row r="341" spans="5:15" ht="30" customHeight="1" x14ac:dyDescent="0.3">
      <c r="E341" s="27">
        <v>44797</v>
      </c>
      <c r="F341" s="28">
        <v>43.352778999999998</v>
      </c>
      <c r="G341" s="29">
        <v>112898</v>
      </c>
      <c r="H341" s="10">
        <f t="shared" si="17"/>
        <v>-3.4189741591584499E-2</v>
      </c>
      <c r="I341" s="12">
        <f t="shared" si="17"/>
        <v>3.632915991031993E-4</v>
      </c>
      <c r="K341" s="27">
        <v>43.352778999999998</v>
      </c>
      <c r="L341" s="28">
        <v>10859.89</v>
      </c>
      <c r="M341" s="29">
        <v>112898</v>
      </c>
      <c r="N341" s="10">
        <f t="shared" si="18"/>
        <v>-8.0104891370447184E-5</v>
      </c>
      <c r="O341" s="12">
        <f t="shared" si="19"/>
        <v>3.632915991031993E-4</v>
      </c>
    </row>
    <row r="342" spans="5:15" ht="30" customHeight="1" x14ac:dyDescent="0.3">
      <c r="E342" s="27">
        <v>44798</v>
      </c>
      <c r="F342" s="28">
        <v>43.482838000000001</v>
      </c>
      <c r="G342" s="29">
        <v>113532</v>
      </c>
      <c r="H342" s="10">
        <f t="shared" si="17"/>
        <v>3.0000152931373147E-3</v>
      </c>
      <c r="I342" s="12">
        <f t="shared" si="17"/>
        <v>5.6156884975819832E-3</v>
      </c>
      <c r="K342" s="27">
        <v>43.482838000000001</v>
      </c>
      <c r="L342" s="28">
        <v>10984.07</v>
      </c>
      <c r="M342" s="29">
        <v>113532</v>
      </c>
      <c r="N342" s="10">
        <f t="shared" si="18"/>
        <v>1.1434738289246127E-2</v>
      </c>
      <c r="O342" s="12">
        <f t="shared" si="19"/>
        <v>5.6156884975819832E-3</v>
      </c>
    </row>
    <row r="343" spans="5:15" ht="30" customHeight="1" x14ac:dyDescent="0.3">
      <c r="E343" s="27">
        <v>44799</v>
      </c>
      <c r="F343" s="28">
        <v>43.569541999999998</v>
      </c>
      <c r="G343" s="29">
        <v>112299</v>
      </c>
      <c r="H343" s="10">
        <f t="shared" si="17"/>
        <v>1.9939820855299217E-3</v>
      </c>
      <c r="I343" s="12">
        <f t="shared" si="17"/>
        <v>-1.0860374167635523E-2</v>
      </c>
      <c r="K343" s="27">
        <v>43.569541999999998</v>
      </c>
      <c r="L343" s="28">
        <v>10886.56</v>
      </c>
      <c r="M343" s="29">
        <v>112299</v>
      </c>
      <c r="N343" s="10">
        <f t="shared" si="18"/>
        <v>-8.8774015460572064E-3</v>
      </c>
      <c r="O343" s="12">
        <f t="shared" si="19"/>
        <v>-1.0860374167635523E-2</v>
      </c>
    </row>
    <row r="344" spans="5:15" ht="30" customHeight="1" x14ac:dyDescent="0.3">
      <c r="E344" s="27">
        <v>44802</v>
      </c>
      <c r="F344" s="28">
        <v>43.621571000000003</v>
      </c>
      <c r="G344" s="29">
        <v>112323</v>
      </c>
      <c r="H344" s="10">
        <f t="shared" ref="H344:I407" si="20">F344/F343-1</f>
        <v>1.194159901887426E-3</v>
      </c>
      <c r="I344" s="12">
        <f t="shared" si="20"/>
        <v>2.1371517110568838E-4</v>
      </c>
      <c r="K344" s="27">
        <v>43.621571000000003</v>
      </c>
      <c r="L344" s="28">
        <v>10905.2</v>
      </c>
      <c r="M344" s="29">
        <v>112323</v>
      </c>
      <c r="N344" s="10">
        <f t="shared" ref="N344:N407" si="21">L344/L343-1</f>
        <v>1.7122029364649016E-3</v>
      </c>
      <c r="O344" s="12">
        <f t="shared" ref="O344:O407" si="22">M344/M343-1</f>
        <v>2.1371517110568838E-4</v>
      </c>
    </row>
    <row r="345" spans="5:15" ht="30" customHeight="1" x14ac:dyDescent="0.3">
      <c r="E345" s="27">
        <v>44803</v>
      </c>
      <c r="F345" s="28">
        <v>43.621571000000003</v>
      </c>
      <c r="G345" s="29">
        <v>110431</v>
      </c>
      <c r="H345" s="10">
        <f t="shared" si="20"/>
        <v>0</v>
      </c>
      <c r="I345" s="12">
        <f t="shared" si="20"/>
        <v>-1.6844279444103161E-2</v>
      </c>
      <c r="K345" s="27">
        <v>43.621571000000003</v>
      </c>
      <c r="L345" s="28">
        <v>10854.19</v>
      </c>
      <c r="M345" s="29">
        <v>110431</v>
      </c>
      <c r="N345" s="10">
        <f t="shared" si="21"/>
        <v>-4.677585005318563E-3</v>
      </c>
      <c r="O345" s="12">
        <f t="shared" si="22"/>
        <v>-1.6844279444103161E-2</v>
      </c>
    </row>
    <row r="346" spans="5:15" ht="30" customHeight="1" x14ac:dyDescent="0.3">
      <c r="E346" s="27">
        <v>44804</v>
      </c>
      <c r="F346" s="28">
        <v>43.621571000000003</v>
      </c>
      <c r="G346" s="29">
        <v>109523</v>
      </c>
      <c r="H346" s="10">
        <f t="shared" si="20"/>
        <v>0</v>
      </c>
      <c r="I346" s="12">
        <f t="shared" si="20"/>
        <v>-8.2223288750441492E-3</v>
      </c>
      <c r="K346" s="27">
        <v>43.621571000000003</v>
      </c>
      <c r="L346" s="28">
        <v>10630.55</v>
      </c>
      <c r="M346" s="29">
        <v>109523</v>
      </c>
      <c r="N346" s="10">
        <f t="shared" si="21"/>
        <v>-2.0604024805167542E-2</v>
      </c>
      <c r="O346" s="12">
        <f t="shared" si="22"/>
        <v>-8.2223288750441492E-3</v>
      </c>
    </row>
    <row r="347" spans="5:15" ht="30" customHeight="1" x14ac:dyDescent="0.3">
      <c r="E347" s="27">
        <v>44805</v>
      </c>
      <c r="F347" s="28">
        <v>43.621571000000003</v>
      </c>
      <c r="G347" s="29">
        <v>110405</v>
      </c>
      <c r="H347" s="10">
        <f t="shared" si="20"/>
        <v>0</v>
      </c>
      <c r="I347" s="12">
        <f t="shared" si="20"/>
        <v>8.0531030011961047E-3</v>
      </c>
      <c r="K347" s="27">
        <v>43.621571000000003</v>
      </c>
      <c r="L347" s="28">
        <v>10757.59</v>
      </c>
      <c r="M347" s="29">
        <v>110405</v>
      </c>
      <c r="N347" s="10">
        <f t="shared" si="21"/>
        <v>1.1950463522583554E-2</v>
      </c>
      <c r="O347" s="12">
        <f t="shared" si="22"/>
        <v>8.0531030011961047E-3</v>
      </c>
    </row>
    <row r="348" spans="5:15" ht="30" customHeight="1" x14ac:dyDescent="0.3">
      <c r="E348" s="27">
        <v>44806</v>
      </c>
      <c r="F348" s="28">
        <v>43.621571000000003</v>
      </c>
      <c r="G348" s="29">
        <v>110864</v>
      </c>
      <c r="H348" s="10">
        <f t="shared" si="20"/>
        <v>0</v>
      </c>
      <c r="I348" s="12">
        <f t="shared" si="20"/>
        <v>4.1574204066845422E-3</v>
      </c>
      <c r="K348" s="27">
        <v>43.621571000000003</v>
      </c>
      <c r="L348" s="28">
        <v>10910.1</v>
      </c>
      <c r="M348" s="29">
        <v>110864</v>
      </c>
      <c r="N348" s="10">
        <f t="shared" si="21"/>
        <v>1.4176967145987263E-2</v>
      </c>
      <c r="O348" s="12">
        <f t="shared" si="22"/>
        <v>4.1574204066845422E-3</v>
      </c>
    </row>
    <row r="349" spans="5:15" ht="30" customHeight="1" x14ac:dyDescent="0.3">
      <c r="E349" s="27">
        <v>44809</v>
      </c>
      <c r="F349" s="28">
        <v>43.621571000000003</v>
      </c>
      <c r="G349" s="29">
        <v>112203</v>
      </c>
      <c r="H349" s="10">
        <f t="shared" si="20"/>
        <v>0</v>
      </c>
      <c r="I349" s="12">
        <f t="shared" si="20"/>
        <v>1.2077861163227066E-2</v>
      </c>
      <c r="K349" s="27">
        <v>43.621571000000003</v>
      </c>
      <c r="L349" s="28">
        <v>10990.06</v>
      </c>
      <c r="M349" s="29">
        <v>112203</v>
      </c>
      <c r="N349" s="10">
        <f t="shared" si="21"/>
        <v>7.3289887352085969E-3</v>
      </c>
      <c r="O349" s="12">
        <f t="shared" si="22"/>
        <v>1.2077861163227066E-2</v>
      </c>
    </row>
    <row r="350" spans="5:15" ht="30" customHeight="1" x14ac:dyDescent="0.3">
      <c r="E350" s="27">
        <v>44810</v>
      </c>
      <c r="F350" s="28">
        <v>43.621571000000003</v>
      </c>
      <c r="G350" s="29">
        <v>109764</v>
      </c>
      <c r="H350" s="10">
        <f t="shared" si="20"/>
        <v>0</v>
      </c>
      <c r="I350" s="12">
        <f t="shared" si="20"/>
        <v>-2.1737386700890315E-2</v>
      </c>
      <c r="K350" s="27">
        <v>43.621571000000003</v>
      </c>
      <c r="L350" s="28">
        <v>10764.42</v>
      </c>
      <c r="M350" s="29">
        <v>109764</v>
      </c>
      <c r="N350" s="10">
        <f t="shared" si="21"/>
        <v>-2.0531280084003178E-2</v>
      </c>
      <c r="O350" s="12">
        <f t="shared" si="22"/>
        <v>-2.1737386700890315E-2</v>
      </c>
    </row>
    <row r="351" spans="5:15" ht="30" customHeight="1" x14ac:dyDescent="0.3">
      <c r="E351" s="27">
        <v>44812</v>
      </c>
      <c r="F351" s="28">
        <v>43.621571000000003</v>
      </c>
      <c r="G351" s="29">
        <v>109916</v>
      </c>
      <c r="H351" s="10">
        <f t="shared" si="20"/>
        <v>0</v>
      </c>
      <c r="I351" s="12">
        <f t="shared" si="20"/>
        <v>1.3847891840677029E-3</v>
      </c>
      <c r="K351" s="27">
        <v>43.621571000000003</v>
      </c>
      <c r="L351" s="28">
        <v>10822.6</v>
      </c>
      <c r="M351" s="29">
        <v>109916</v>
      </c>
      <c r="N351" s="10">
        <f t="shared" si="21"/>
        <v>5.4048429920052765E-3</v>
      </c>
      <c r="O351" s="12">
        <f t="shared" si="22"/>
        <v>1.3847891840677029E-3</v>
      </c>
    </row>
    <row r="352" spans="5:15" ht="30" customHeight="1" x14ac:dyDescent="0.3">
      <c r="E352" s="27">
        <v>44813</v>
      </c>
      <c r="F352" s="28">
        <v>43.621571000000003</v>
      </c>
      <c r="G352" s="29">
        <v>112300</v>
      </c>
      <c r="H352" s="10">
        <f t="shared" si="20"/>
        <v>0</v>
      </c>
      <c r="I352" s="12">
        <f t="shared" si="20"/>
        <v>2.1689290003275241E-2</v>
      </c>
      <c r="K352" s="27">
        <v>43.621571000000003</v>
      </c>
      <c r="L352" s="28">
        <v>10927.05</v>
      </c>
      <c r="M352" s="29">
        <v>112300</v>
      </c>
      <c r="N352" s="10">
        <f t="shared" si="21"/>
        <v>9.6511004749320062E-3</v>
      </c>
      <c r="O352" s="12">
        <f t="shared" si="22"/>
        <v>2.1689290003275241E-2</v>
      </c>
    </row>
    <row r="353" spans="5:15" ht="30" customHeight="1" x14ac:dyDescent="0.3">
      <c r="E353" s="27">
        <v>44816</v>
      </c>
      <c r="F353" s="28">
        <v>43.621571000000003</v>
      </c>
      <c r="G353" s="29">
        <v>113407</v>
      </c>
      <c r="H353" s="10">
        <f t="shared" si="20"/>
        <v>0</v>
      </c>
      <c r="I353" s="12">
        <f t="shared" si="20"/>
        <v>9.8575244879786084E-3</v>
      </c>
      <c r="K353" s="27">
        <v>43.621571000000003</v>
      </c>
      <c r="L353" s="28">
        <v>11077.48</v>
      </c>
      <c r="M353" s="29">
        <v>113407</v>
      </c>
      <c r="N353" s="10">
        <f t="shared" si="21"/>
        <v>1.3766753149294653E-2</v>
      </c>
      <c r="O353" s="12">
        <f t="shared" si="22"/>
        <v>9.8575244879786084E-3</v>
      </c>
    </row>
    <row r="354" spans="5:15" ht="30" customHeight="1" x14ac:dyDescent="0.3">
      <c r="E354" s="27">
        <v>44817</v>
      </c>
      <c r="F354" s="28">
        <v>43.621571000000003</v>
      </c>
      <c r="G354" s="29">
        <v>110794</v>
      </c>
      <c r="H354" s="10">
        <f t="shared" si="20"/>
        <v>0</v>
      </c>
      <c r="I354" s="12">
        <f t="shared" si="20"/>
        <v>-2.3040905764194486E-2</v>
      </c>
      <c r="K354" s="27">
        <v>43.621571000000003</v>
      </c>
      <c r="L354" s="28">
        <v>10910.15</v>
      </c>
      <c r="M354" s="29">
        <v>110794</v>
      </c>
      <c r="N354" s="10">
        <f t="shared" si="21"/>
        <v>-1.5105421088550841E-2</v>
      </c>
      <c r="O354" s="12">
        <f t="shared" si="22"/>
        <v>-2.3040905764194486E-2</v>
      </c>
    </row>
    <row r="355" spans="5:15" ht="30" customHeight="1" x14ac:dyDescent="0.3">
      <c r="E355" s="27">
        <v>44818</v>
      </c>
      <c r="F355" s="28">
        <v>43.621571000000003</v>
      </c>
      <c r="G355" s="29">
        <v>110547</v>
      </c>
      <c r="H355" s="10">
        <f t="shared" si="20"/>
        <v>0</v>
      </c>
      <c r="I355" s="12">
        <f t="shared" si="20"/>
        <v>-2.2293626008628165E-3</v>
      </c>
      <c r="K355" s="27">
        <v>43.621571000000003</v>
      </c>
      <c r="L355" s="28">
        <v>10876.91</v>
      </c>
      <c r="M355" s="29">
        <v>110547</v>
      </c>
      <c r="N355" s="10">
        <f t="shared" si="21"/>
        <v>-3.046704215799001E-3</v>
      </c>
      <c r="O355" s="12">
        <f t="shared" si="22"/>
        <v>-2.2293626008628165E-3</v>
      </c>
    </row>
    <row r="356" spans="5:15" ht="30" customHeight="1" x14ac:dyDescent="0.3">
      <c r="E356" s="27">
        <v>44819</v>
      </c>
      <c r="F356" s="28">
        <v>43.621571000000003</v>
      </c>
      <c r="G356" s="29">
        <v>109954</v>
      </c>
      <c r="H356" s="10">
        <f t="shared" si="20"/>
        <v>0</v>
      </c>
      <c r="I356" s="12">
        <f t="shared" si="20"/>
        <v>-5.3642342171202895E-3</v>
      </c>
      <c r="K356" s="27">
        <v>43.621571000000003</v>
      </c>
      <c r="L356" s="28">
        <v>10822.73</v>
      </c>
      <c r="M356" s="29">
        <v>109954</v>
      </c>
      <c r="N356" s="10">
        <f t="shared" si="21"/>
        <v>-4.9811941075177391E-3</v>
      </c>
      <c r="O356" s="12">
        <f t="shared" si="22"/>
        <v>-5.3642342171202895E-3</v>
      </c>
    </row>
    <row r="357" spans="5:15" ht="30" customHeight="1" x14ac:dyDescent="0.3">
      <c r="E357" s="27">
        <v>44820</v>
      </c>
      <c r="F357" s="28">
        <v>43.621571000000003</v>
      </c>
      <c r="G357" s="29">
        <v>109280</v>
      </c>
      <c r="H357" s="10">
        <f t="shared" si="20"/>
        <v>0</v>
      </c>
      <c r="I357" s="12">
        <f t="shared" si="20"/>
        <v>-6.1298361132837709E-3</v>
      </c>
      <c r="K357" s="27">
        <v>43.621571000000003</v>
      </c>
      <c r="L357" s="28">
        <v>10754.2</v>
      </c>
      <c r="M357" s="29">
        <v>109280</v>
      </c>
      <c r="N357" s="10">
        <f t="shared" si="21"/>
        <v>-6.3320437634496463E-3</v>
      </c>
      <c r="O357" s="12">
        <f t="shared" si="22"/>
        <v>-6.1298361132837709E-3</v>
      </c>
    </row>
    <row r="358" spans="5:15" ht="30" customHeight="1" x14ac:dyDescent="0.3">
      <c r="E358" s="27">
        <v>44823</v>
      </c>
      <c r="F358" s="28">
        <v>43.621571000000003</v>
      </c>
      <c r="G358" s="29">
        <v>111824</v>
      </c>
      <c r="H358" s="10">
        <f t="shared" si="20"/>
        <v>0</v>
      </c>
      <c r="I358" s="12">
        <f t="shared" si="20"/>
        <v>2.3279648609077608E-2</v>
      </c>
      <c r="K358" s="27">
        <v>43.621571000000003</v>
      </c>
      <c r="L358" s="28">
        <v>11098.24</v>
      </c>
      <c r="M358" s="29">
        <v>111824</v>
      </c>
      <c r="N358" s="10">
        <f t="shared" si="21"/>
        <v>3.199122203418181E-2</v>
      </c>
      <c r="O358" s="12">
        <f t="shared" si="22"/>
        <v>2.3279648609077608E-2</v>
      </c>
    </row>
    <row r="359" spans="5:15" ht="30" customHeight="1" x14ac:dyDescent="0.3">
      <c r="E359" s="27">
        <v>44824</v>
      </c>
      <c r="F359" s="28">
        <v>43.621571000000003</v>
      </c>
      <c r="G359" s="29">
        <v>112517</v>
      </c>
      <c r="H359" s="10">
        <f t="shared" si="20"/>
        <v>0</v>
      </c>
      <c r="I359" s="12">
        <f t="shared" si="20"/>
        <v>6.1972385176707334E-3</v>
      </c>
      <c r="K359" s="27">
        <v>43.621571000000003</v>
      </c>
      <c r="L359" s="28">
        <v>11391.65</v>
      </c>
      <c r="M359" s="29">
        <v>112517</v>
      </c>
      <c r="N359" s="10">
        <f t="shared" si="21"/>
        <v>2.6437525229225489E-2</v>
      </c>
      <c r="O359" s="12">
        <f t="shared" si="22"/>
        <v>6.1972385176707334E-3</v>
      </c>
    </row>
    <row r="360" spans="5:15" ht="30" customHeight="1" x14ac:dyDescent="0.3">
      <c r="E360" s="27">
        <v>44825</v>
      </c>
      <c r="F360" s="28">
        <v>43.621571000000003</v>
      </c>
      <c r="G360" s="29">
        <v>111936</v>
      </c>
      <c r="H360" s="10">
        <f t="shared" si="20"/>
        <v>0</v>
      </c>
      <c r="I360" s="12">
        <f t="shared" si="20"/>
        <v>-5.1636641574162034E-3</v>
      </c>
      <c r="K360" s="27">
        <v>43.621571000000003</v>
      </c>
      <c r="L360" s="28">
        <v>11238.21</v>
      </c>
      <c r="M360" s="29">
        <v>111936</v>
      </c>
      <c r="N360" s="10">
        <f t="shared" si="21"/>
        <v>-1.346951495174098E-2</v>
      </c>
      <c r="O360" s="12">
        <f t="shared" si="22"/>
        <v>-5.1636641574162034E-3</v>
      </c>
    </row>
    <row r="361" spans="5:15" ht="30" customHeight="1" x14ac:dyDescent="0.3">
      <c r="E361" s="27">
        <v>44826</v>
      </c>
      <c r="F361" s="28">
        <v>43.621571000000003</v>
      </c>
      <c r="G361" s="29">
        <v>114070</v>
      </c>
      <c r="H361" s="10">
        <f t="shared" si="20"/>
        <v>0</v>
      </c>
      <c r="I361" s="12">
        <f t="shared" si="20"/>
        <v>1.906446540880502E-2</v>
      </c>
      <c r="K361" s="27">
        <v>43.621571000000003</v>
      </c>
      <c r="L361" s="28">
        <v>11397.1</v>
      </c>
      <c r="M361" s="29">
        <v>114070</v>
      </c>
      <c r="N361" s="10">
        <f t="shared" si="21"/>
        <v>1.413837257000905E-2</v>
      </c>
      <c r="O361" s="12">
        <f t="shared" si="22"/>
        <v>1.906446540880502E-2</v>
      </c>
    </row>
    <row r="362" spans="5:15" ht="30" customHeight="1" x14ac:dyDescent="0.3">
      <c r="E362" s="27">
        <v>44827</v>
      </c>
      <c r="F362" s="28">
        <v>43.621571000000003</v>
      </c>
      <c r="G362" s="29">
        <v>111716</v>
      </c>
      <c r="H362" s="10">
        <f t="shared" si="20"/>
        <v>0</v>
      </c>
      <c r="I362" s="12">
        <f t="shared" si="20"/>
        <v>-2.0636451301832226E-2</v>
      </c>
      <c r="K362" s="27">
        <v>43.621571000000003</v>
      </c>
      <c r="L362" s="28">
        <v>11236.56</v>
      </c>
      <c r="M362" s="29">
        <v>111716</v>
      </c>
      <c r="N362" s="10">
        <f t="shared" si="21"/>
        <v>-1.4086039431083441E-2</v>
      </c>
      <c r="O362" s="12">
        <f t="shared" si="22"/>
        <v>-2.0636451301832226E-2</v>
      </c>
    </row>
    <row r="363" spans="5:15" ht="30" customHeight="1" x14ac:dyDescent="0.3">
      <c r="E363" s="27">
        <v>44830</v>
      </c>
      <c r="F363" s="28">
        <v>43.621571000000003</v>
      </c>
      <c r="G363" s="29">
        <v>109114</v>
      </c>
      <c r="H363" s="10">
        <f t="shared" si="20"/>
        <v>0</v>
      </c>
      <c r="I363" s="12">
        <f t="shared" si="20"/>
        <v>-2.3291202692541813E-2</v>
      </c>
      <c r="K363" s="27">
        <v>43.621571000000003</v>
      </c>
      <c r="L363" s="28">
        <v>10890.55</v>
      </c>
      <c r="M363" s="29">
        <v>109114</v>
      </c>
      <c r="N363" s="10">
        <f t="shared" si="21"/>
        <v>-3.079323209238416E-2</v>
      </c>
      <c r="O363" s="12">
        <f t="shared" si="22"/>
        <v>-2.3291202692541813E-2</v>
      </c>
    </row>
    <row r="364" spans="5:15" ht="30" customHeight="1" x14ac:dyDescent="0.3">
      <c r="E364" s="27">
        <v>44831</v>
      </c>
      <c r="F364" s="28">
        <v>43.621571000000003</v>
      </c>
      <c r="G364" s="29">
        <v>108376</v>
      </c>
      <c r="H364" s="10">
        <f t="shared" si="20"/>
        <v>0</v>
      </c>
      <c r="I364" s="12">
        <f t="shared" si="20"/>
        <v>-6.7635683780266076E-3</v>
      </c>
      <c r="K364" s="27">
        <v>43.621571000000003</v>
      </c>
      <c r="L364" s="28">
        <v>10836.1</v>
      </c>
      <c r="M364" s="29">
        <v>108376</v>
      </c>
      <c r="N364" s="10">
        <f t="shared" si="21"/>
        <v>-4.9997474875005388E-3</v>
      </c>
      <c r="O364" s="12">
        <f t="shared" si="22"/>
        <v>-6.7635683780266076E-3</v>
      </c>
    </row>
    <row r="365" spans="5:15" ht="30" customHeight="1" x14ac:dyDescent="0.3">
      <c r="E365" s="27">
        <v>44832</v>
      </c>
      <c r="F365" s="28">
        <v>43.621571000000003</v>
      </c>
      <c r="G365" s="29">
        <v>108451</v>
      </c>
      <c r="H365" s="10">
        <f t="shared" si="20"/>
        <v>0</v>
      </c>
      <c r="I365" s="12">
        <f t="shared" si="20"/>
        <v>6.9203513693061325E-4</v>
      </c>
      <c r="K365" s="27">
        <v>43.621571000000003</v>
      </c>
      <c r="L365" s="28">
        <v>10847.91</v>
      </c>
      <c r="M365" s="29">
        <v>108451</v>
      </c>
      <c r="N365" s="10">
        <f t="shared" si="21"/>
        <v>1.0898755087160872E-3</v>
      </c>
      <c r="O365" s="12">
        <f t="shared" si="22"/>
        <v>6.9203513693061325E-4</v>
      </c>
    </row>
    <row r="366" spans="5:15" ht="30" customHeight="1" x14ac:dyDescent="0.3">
      <c r="E366" s="27">
        <v>44833</v>
      </c>
      <c r="F366" s="28">
        <v>43.621571000000003</v>
      </c>
      <c r="G366" s="29">
        <v>107664</v>
      </c>
      <c r="H366" s="10">
        <f t="shared" si="20"/>
        <v>0</v>
      </c>
      <c r="I366" s="12">
        <f t="shared" si="20"/>
        <v>-7.2567334556620233E-3</v>
      </c>
      <c r="K366" s="27">
        <v>43.621571000000003</v>
      </c>
      <c r="L366" s="28">
        <v>10833.01</v>
      </c>
      <c r="M366" s="29">
        <v>107664</v>
      </c>
      <c r="N366" s="10">
        <f t="shared" si="21"/>
        <v>-1.3735364692368801E-3</v>
      </c>
      <c r="O366" s="12">
        <f t="shared" si="22"/>
        <v>-7.2567334556620233E-3</v>
      </c>
    </row>
    <row r="367" spans="5:15" ht="30" customHeight="1" x14ac:dyDescent="0.3">
      <c r="E367" s="27">
        <v>44834</v>
      </c>
      <c r="F367" s="28">
        <v>43.621571000000003</v>
      </c>
      <c r="G367" s="29">
        <v>110037</v>
      </c>
      <c r="H367" s="10">
        <f t="shared" si="20"/>
        <v>0</v>
      </c>
      <c r="I367" s="12">
        <f t="shared" si="20"/>
        <v>2.2040793580026641E-2</v>
      </c>
      <c r="K367" s="27">
        <v>43.621571000000003</v>
      </c>
      <c r="L367" s="28">
        <v>10959.09</v>
      </c>
      <c r="M367" s="29">
        <v>110037</v>
      </c>
      <c r="N367" s="10">
        <f t="shared" si="21"/>
        <v>1.1638501210651464E-2</v>
      </c>
      <c r="O367" s="12">
        <f t="shared" si="22"/>
        <v>2.2040793580026641E-2</v>
      </c>
    </row>
    <row r="368" spans="5:15" ht="30" customHeight="1" x14ac:dyDescent="0.3">
      <c r="E368" s="27">
        <v>44837</v>
      </c>
      <c r="F368" s="28">
        <v>43.621571000000003</v>
      </c>
      <c r="G368" s="29">
        <v>116134</v>
      </c>
      <c r="H368" s="10">
        <f t="shared" si="20"/>
        <v>0</v>
      </c>
      <c r="I368" s="12">
        <f t="shared" si="20"/>
        <v>5.5408635277224949E-2</v>
      </c>
      <c r="K368" s="27">
        <v>43.621571000000003</v>
      </c>
      <c r="L368" s="28">
        <v>11658.69</v>
      </c>
      <c r="M368" s="29">
        <v>116134</v>
      </c>
      <c r="N368" s="10">
        <f t="shared" si="21"/>
        <v>6.3837417157811549E-2</v>
      </c>
      <c r="O368" s="12">
        <f t="shared" si="22"/>
        <v>5.5408635277224949E-2</v>
      </c>
    </row>
    <row r="369" spans="5:15" ht="30" customHeight="1" x14ac:dyDescent="0.3">
      <c r="E369" s="27">
        <v>44838</v>
      </c>
      <c r="F369" s="28">
        <v>43.621571000000003</v>
      </c>
      <c r="G369" s="29">
        <v>116230</v>
      </c>
      <c r="H369" s="10">
        <f t="shared" si="20"/>
        <v>0</v>
      </c>
      <c r="I369" s="12">
        <f t="shared" si="20"/>
        <v>8.2663130521631878E-4</v>
      </c>
      <c r="K369" s="27">
        <v>43.621571000000003</v>
      </c>
      <c r="L369" s="28">
        <v>11640.93</v>
      </c>
      <c r="M369" s="29">
        <v>116230</v>
      </c>
      <c r="N369" s="10">
        <f t="shared" si="21"/>
        <v>-1.5233272348780247E-3</v>
      </c>
      <c r="O369" s="12">
        <f t="shared" si="22"/>
        <v>8.2663130521631878E-4</v>
      </c>
    </row>
    <row r="370" spans="5:15" ht="30" customHeight="1" x14ac:dyDescent="0.3">
      <c r="E370" s="27">
        <v>44839</v>
      </c>
      <c r="F370" s="28">
        <v>43.621571000000003</v>
      </c>
      <c r="G370" s="29">
        <v>117198</v>
      </c>
      <c r="H370" s="10">
        <f t="shared" si="20"/>
        <v>0</v>
      </c>
      <c r="I370" s="12">
        <f t="shared" si="20"/>
        <v>8.3283145487396126E-3</v>
      </c>
      <c r="K370" s="27">
        <v>43.621571000000003</v>
      </c>
      <c r="L370" s="28">
        <v>11744.96</v>
      </c>
      <c r="M370" s="29">
        <v>117198</v>
      </c>
      <c r="N370" s="10">
        <f t="shared" si="21"/>
        <v>8.9365712189661828E-3</v>
      </c>
      <c r="O370" s="12">
        <f t="shared" si="22"/>
        <v>8.3283145487396126E-3</v>
      </c>
    </row>
    <row r="371" spans="5:15" ht="30" customHeight="1" x14ac:dyDescent="0.3">
      <c r="E371" s="27">
        <v>44840</v>
      </c>
      <c r="F371" s="28">
        <v>43.621571000000003</v>
      </c>
      <c r="G371" s="29">
        <v>117561</v>
      </c>
      <c r="H371" s="10">
        <f t="shared" si="20"/>
        <v>0</v>
      </c>
      <c r="I371" s="12">
        <f t="shared" si="20"/>
        <v>3.0973224799057952E-3</v>
      </c>
      <c r="K371" s="27">
        <v>43.621571000000003</v>
      </c>
      <c r="L371" s="28">
        <v>11709.31</v>
      </c>
      <c r="M371" s="29">
        <v>117561</v>
      </c>
      <c r="N371" s="10">
        <f t="shared" si="21"/>
        <v>-3.0353445222460751E-3</v>
      </c>
      <c r="O371" s="12">
        <f t="shared" si="22"/>
        <v>3.0973224799057952E-3</v>
      </c>
    </row>
    <row r="372" spans="5:15" ht="30" customHeight="1" x14ac:dyDescent="0.3">
      <c r="E372" s="27">
        <v>44841</v>
      </c>
      <c r="F372" s="28">
        <v>43.621571000000003</v>
      </c>
      <c r="G372" s="29">
        <v>116375</v>
      </c>
      <c r="H372" s="10">
        <f t="shared" si="20"/>
        <v>0</v>
      </c>
      <c r="I372" s="12">
        <f t="shared" si="20"/>
        <v>-1.0088379649713763E-2</v>
      </c>
      <c r="K372" s="27">
        <v>43.621571000000003</v>
      </c>
      <c r="L372" s="28">
        <v>11624.14</v>
      </c>
      <c r="M372" s="29">
        <v>116375</v>
      </c>
      <c r="N372" s="10">
        <f t="shared" si="21"/>
        <v>-7.2736993042288312E-3</v>
      </c>
      <c r="O372" s="12">
        <f t="shared" si="22"/>
        <v>-1.0088379649713763E-2</v>
      </c>
    </row>
    <row r="373" spans="5:15" ht="30" customHeight="1" x14ac:dyDescent="0.3">
      <c r="E373" s="27">
        <v>44844</v>
      </c>
      <c r="F373" s="28">
        <v>43.621571000000003</v>
      </c>
      <c r="G373" s="29">
        <v>115941</v>
      </c>
      <c r="H373" s="10">
        <f t="shared" si="20"/>
        <v>0</v>
      </c>
      <c r="I373" s="12">
        <f t="shared" si="20"/>
        <v>-3.7293233082706934E-3</v>
      </c>
      <c r="K373" s="27">
        <v>43.621571000000003</v>
      </c>
      <c r="L373" s="28">
        <v>11547.18</v>
      </c>
      <c r="M373" s="29">
        <v>115941</v>
      </c>
      <c r="N373" s="10">
        <f t="shared" si="21"/>
        <v>-6.6207048435410476E-3</v>
      </c>
      <c r="O373" s="12">
        <f t="shared" si="22"/>
        <v>-3.7293233082706934E-3</v>
      </c>
    </row>
    <row r="374" spans="5:15" ht="30" customHeight="1" x14ac:dyDescent="0.3">
      <c r="E374" s="27">
        <v>44845</v>
      </c>
      <c r="F374" s="28">
        <v>43.621571000000003</v>
      </c>
      <c r="G374" s="29">
        <v>114827</v>
      </c>
      <c r="H374" s="10">
        <f t="shared" si="20"/>
        <v>0</v>
      </c>
      <c r="I374" s="12">
        <f t="shared" si="20"/>
        <v>-9.6083352739755323E-3</v>
      </c>
      <c r="K374" s="27">
        <v>43.621571000000003</v>
      </c>
      <c r="L374" s="28">
        <v>11376.07</v>
      </c>
      <c r="M374" s="29">
        <v>114827</v>
      </c>
      <c r="N374" s="10">
        <f t="shared" si="21"/>
        <v>-1.4818336598199755E-2</v>
      </c>
      <c r="O374" s="12">
        <f t="shared" si="22"/>
        <v>-9.6083352739755323E-3</v>
      </c>
    </row>
    <row r="375" spans="5:15" ht="30" customHeight="1" x14ac:dyDescent="0.3">
      <c r="E375" s="27">
        <v>44847</v>
      </c>
      <c r="F375" s="28">
        <v>43.621571000000003</v>
      </c>
      <c r="G375" s="29">
        <v>114300</v>
      </c>
      <c r="H375" s="10">
        <f t="shared" si="20"/>
        <v>0</v>
      </c>
      <c r="I375" s="12">
        <f t="shared" si="20"/>
        <v>-4.5895129194353235E-3</v>
      </c>
      <c r="K375" s="27">
        <v>43.621571000000003</v>
      </c>
      <c r="L375" s="28">
        <v>11277.44</v>
      </c>
      <c r="M375" s="29">
        <v>114300</v>
      </c>
      <c r="N375" s="10">
        <f t="shared" si="21"/>
        <v>-8.6699536834776714E-3</v>
      </c>
      <c r="O375" s="12">
        <f t="shared" si="22"/>
        <v>-4.5895129194353235E-3</v>
      </c>
    </row>
    <row r="376" spans="5:15" ht="30" customHeight="1" x14ac:dyDescent="0.3">
      <c r="E376" s="27">
        <v>44848</v>
      </c>
      <c r="F376" s="28">
        <v>43.621571000000003</v>
      </c>
      <c r="G376" s="29">
        <v>112072</v>
      </c>
      <c r="H376" s="10">
        <f t="shared" si="20"/>
        <v>0</v>
      </c>
      <c r="I376" s="12">
        <f t="shared" si="20"/>
        <v>-1.9492563429571286E-2</v>
      </c>
      <c r="K376" s="27">
        <v>43.621571000000003</v>
      </c>
      <c r="L376" s="28">
        <v>11218.27</v>
      </c>
      <c r="M376" s="29">
        <v>112072</v>
      </c>
      <c r="N376" s="10">
        <f t="shared" si="21"/>
        <v>-5.2467581295045917E-3</v>
      </c>
      <c r="O376" s="12">
        <f t="shared" si="22"/>
        <v>-1.9492563429571286E-2</v>
      </c>
    </row>
    <row r="377" spans="5:15" ht="30" customHeight="1" x14ac:dyDescent="0.3">
      <c r="E377" s="27">
        <v>44851</v>
      </c>
      <c r="F377" s="28">
        <v>43.621571000000003</v>
      </c>
      <c r="G377" s="29">
        <v>113624</v>
      </c>
      <c r="H377" s="10">
        <f t="shared" si="20"/>
        <v>0</v>
      </c>
      <c r="I377" s="12">
        <f t="shared" si="20"/>
        <v>1.3848240416874935E-2</v>
      </c>
      <c r="K377" s="27">
        <v>43.621571000000003</v>
      </c>
      <c r="L377" s="28">
        <v>11348.16</v>
      </c>
      <c r="M377" s="29">
        <v>113624</v>
      </c>
      <c r="N377" s="10">
        <f t="shared" si="21"/>
        <v>1.15784341079328E-2</v>
      </c>
      <c r="O377" s="12">
        <f t="shared" si="22"/>
        <v>1.3848240416874935E-2</v>
      </c>
    </row>
    <row r="378" spans="5:15" ht="30" customHeight="1" x14ac:dyDescent="0.3">
      <c r="E378" s="27">
        <v>44852</v>
      </c>
      <c r="F378" s="28">
        <v>43.621571000000003</v>
      </c>
      <c r="G378" s="29">
        <v>115743</v>
      </c>
      <c r="H378" s="10">
        <f t="shared" si="20"/>
        <v>0</v>
      </c>
      <c r="I378" s="12">
        <f t="shared" si="20"/>
        <v>1.8649229036119097E-2</v>
      </c>
      <c r="K378" s="27">
        <v>43.621571000000003</v>
      </c>
      <c r="L378" s="28">
        <v>11542.76</v>
      </c>
      <c r="M378" s="29">
        <v>115743</v>
      </c>
      <c r="N378" s="10">
        <f t="shared" si="21"/>
        <v>1.714815441446027E-2</v>
      </c>
      <c r="O378" s="12">
        <f t="shared" si="22"/>
        <v>1.8649229036119097E-2</v>
      </c>
    </row>
    <row r="379" spans="5:15" ht="30" customHeight="1" x14ac:dyDescent="0.3">
      <c r="E379" s="27">
        <v>44853</v>
      </c>
      <c r="F379" s="28">
        <v>43.621571000000003</v>
      </c>
      <c r="G379" s="29">
        <v>116274</v>
      </c>
      <c r="H379" s="10">
        <f t="shared" si="20"/>
        <v>0</v>
      </c>
      <c r="I379" s="12">
        <f t="shared" si="20"/>
        <v>4.5877504471112385E-3</v>
      </c>
      <c r="K379" s="27">
        <v>43.621571000000003</v>
      </c>
      <c r="L379" s="28">
        <v>11609.31</v>
      </c>
      <c r="M379" s="29">
        <v>116274</v>
      </c>
      <c r="N379" s="10">
        <f t="shared" si="21"/>
        <v>5.7655188187226702E-3</v>
      </c>
      <c r="O379" s="12">
        <f t="shared" si="22"/>
        <v>4.5877504471112385E-3</v>
      </c>
    </row>
    <row r="380" spans="5:15" ht="30" customHeight="1" x14ac:dyDescent="0.3">
      <c r="E380" s="27">
        <v>44854</v>
      </c>
      <c r="F380" s="28">
        <v>43.621571000000003</v>
      </c>
      <c r="G380" s="29">
        <v>117171</v>
      </c>
      <c r="H380" s="10">
        <f t="shared" si="20"/>
        <v>0</v>
      </c>
      <c r="I380" s="12">
        <f t="shared" si="20"/>
        <v>7.7145363537849398E-3</v>
      </c>
      <c r="K380" s="27">
        <v>43.621571000000003</v>
      </c>
      <c r="L380" s="28">
        <v>11736.41</v>
      </c>
      <c r="M380" s="29">
        <v>117171</v>
      </c>
      <c r="N380" s="10">
        <f t="shared" si="21"/>
        <v>1.094810974984739E-2</v>
      </c>
      <c r="O380" s="12">
        <f t="shared" si="22"/>
        <v>7.7145363537849398E-3</v>
      </c>
    </row>
    <row r="381" spans="5:15" ht="30" customHeight="1" x14ac:dyDescent="0.3">
      <c r="E381" s="27">
        <v>44855</v>
      </c>
      <c r="F381" s="28">
        <v>43.621571000000003</v>
      </c>
      <c r="G381" s="29">
        <v>119929</v>
      </c>
      <c r="H381" s="10">
        <f t="shared" si="20"/>
        <v>0</v>
      </c>
      <c r="I381" s="12">
        <f t="shared" si="20"/>
        <v>2.353824751858391E-2</v>
      </c>
      <c r="K381" s="27">
        <v>43.621571000000003</v>
      </c>
      <c r="L381" s="28">
        <v>12062.83</v>
      </c>
      <c r="M381" s="29">
        <v>119929</v>
      </c>
      <c r="N381" s="10">
        <f t="shared" si="21"/>
        <v>2.7812593459158208E-2</v>
      </c>
      <c r="O381" s="12">
        <f t="shared" si="22"/>
        <v>2.353824751858391E-2</v>
      </c>
    </row>
    <row r="382" spans="5:15" ht="30" customHeight="1" x14ac:dyDescent="0.3">
      <c r="E382" s="27">
        <v>44858</v>
      </c>
      <c r="F382" s="28">
        <v>43.621571000000003</v>
      </c>
      <c r="G382" s="29">
        <v>116013</v>
      </c>
      <c r="H382" s="10">
        <f t="shared" si="20"/>
        <v>0</v>
      </c>
      <c r="I382" s="12">
        <f t="shared" si="20"/>
        <v>-3.265265281958496E-2</v>
      </c>
      <c r="K382" s="27">
        <v>43.621571000000003</v>
      </c>
      <c r="L382" s="28">
        <v>11515.11</v>
      </c>
      <c r="M382" s="29">
        <v>116013</v>
      </c>
      <c r="N382" s="10">
        <f t="shared" si="21"/>
        <v>-4.5405597194024927E-2</v>
      </c>
      <c r="O382" s="12">
        <f t="shared" si="22"/>
        <v>-3.265265281958496E-2</v>
      </c>
    </row>
    <row r="383" spans="5:15" ht="30" customHeight="1" x14ac:dyDescent="0.3">
      <c r="E383" s="27">
        <v>44859</v>
      </c>
      <c r="F383" s="28">
        <v>43.621571000000003</v>
      </c>
      <c r="G383" s="29">
        <v>114626</v>
      </c>
      <c r="H383" s="10">
        <f t="shared" si="20"/>
        <v>0</v>
      </c>
      <c r="I383" s="12">
        <f t="shared" si="20"/>
        <v>-1.1955556704852044E-2</v>
      </c>
      <c r="K383" s="27">
        <v>43.621571000000003</v>
      </c>
      <c r="L383" s="28">
        <v>11394.41</v>
      </c>
      <c r="M383" s="29">
        <v>114626</v>
      </c>
      <c r="N383" s="10">
        <f t="shared" si="21"/>
        <v>-1.0481879895198665E-2</v>
      </c>
      <c r="O383" s="12">
        <f t="shared" si="22"/>
        <v>-1.1955556704852044E-2</v>
      </c>
    </row>
    <row r="384" spans="5:15" ht="30" customHeight="1" x14ac:dyDescent="0.3">
      <c r="E384" s="27">
        <v>44860</v>
      </c>
      <c r="F384" s="28">
        <v>43.621571000000003</v>
      </c>
      <c r="G384" s="29">
        <v>112764</v>
      </c>
      <c r="H384" s="10">
        <f t="shared" si="20"/>
        <v>0</v>
      </c>
      <c r="I384" s="12">
        <f t="shared" si="20"/>
        <v>-1.624413309371342E-2</v>
      </c>
      <c r="K384" s="27">
        <v>43.621571000000003</v>
      </c>
      <c r="L384" s="28">
        <v>10995.49</v>
      </c>
      <c r="M384" s="29">
        <v>112764</v>
      </c>
      <c r="N384" s="10">
        <f t="shared" si="21"/>
        <v>-3.501014971376315E-2</v>
      </c>
      <c r="O384" s="12">
        <f t="shared" si="22"/>
        <v>-1.624413309371342E-2</v>
      </c>
    </row>
    <row r="385" spans="5:15" ht="30" customHeight="1" x14ac:dyDescent="0.3">
      <c r="E385" s="27">
        <v>44861</v>
      </c>
      <c r="F385" s="28">
        <v>43.621571000000003</v>
      </c>
      <c r="G385" s="29">
        <v>114641</v>
      </c>
      <c r="H385" s="10">
        <f t="shared" si="20"/>
        <v>0</v>
      </c>
      <c r="I385" s="12">
        <f t="shared" si="20"/>
        <v>1.66453832783513E-2</v>
      </c>
      <c r="K385" s="27">
        <v>43.621571000000003</v>
      </c>
      <c r="L385" s="28">
        <v>11301.59</v>
      </c>
      <c r="M385" s="29">
        <v>114641</v>
      </c>
      <c r="N385" s="10">
        <f t="shared" si="21"/>
        <v>2.7838686588774086E-2</v>
      </c>
      <c r="O385" s="12">
        <f t="shared" si="22"/>
        <v>1.66453832783513E-2</v>
      </c>
    </row>
    <row r="386" spans="5:15" ht="30" customHeight="1" x14ac:dyDescent="0.3">
      <c r="E386" s="27">
        <v>44862</v>
      </c>
      <c r="F386" s="28">
        <v>43.621571000000003</v>
      </c>
      <c r="G386" s="29">
        <v>114539</v>
      </c>
      <c r="H386" s="10">
        <f t="shared" si="20"/>
        <v>0</v>
      </c>
      <c r="I386" s="12">
        <f t="shared" si="20"/>
        <v>-8.8973403930525663E-4</v>
      </c>
      <c r="K386" s="27">
        <v>43.621571000000003</v>
      </c>
      <c r="L386" s="28">
        <v>11400.44</v>
      </c>
      <c r="M386" s="29">
        <v>114539</v>
      </c>
      <c r="N386" s="10">
        <f t="shared" si="21"/>
        <v>8.7465569004008259E-3</v>
      </c>
      <c r="O386" s="12">
        <f t="shared" si="22"/>
        <v>-8.8973403930525663E-4</v>
      </c>
    </row>
    <row r="387" spans="5:15" ht="30" customHeight="1" x14ac:dyDescent="0.3">
      <c r="E387" s="27">
        <v>44865</v>
      </c>
      <c r="F387" s="28">
        <v>43.621571000000003</v>
      </c>
      <c r="G387" s="29">
        <v>116037</v>
      </c>
      <c r="H387" s="10">
        <f t="shared" si="20"/>
        <v>0</v>
      </c>
      <c r="I387" s="12">
        <f t="shared" si="20"/>
        <v>1.3078514741703628E-2</v>
      </c>
      <c r="K387" s="27">
        <v>43.621571000000003</v>
      </c>
      <c r="L387" s="28">
        <v>11714.45</v>
      </c>
      <c r="M387" s="29">
        <v>116037</v>
      </c>
      <c r="N387" s="10">
        <f t="shared" si="21"/>
        <v>2.7543673752942865E-2</v>
      </c>
      <c r="O387" s="12">
        <f t="shared" si="22"/>
        <v>1.3078514741703628E-2</v>
      </c>
    </row>
    <row r="388" spans="5:15" ht="30" customHeight="1" x14ac:dyDescent="0.3">
      <c r="E388" s="27">
        <v>44866</v>
      </c>
      <c r="F388" s="28">
        <v>43.621571000000003</v>
      </c>
      <c r="G388" s="29">
        <v>116929</v>
      </c>
      <c r="H388" s="10">
        <f t="shared" si="20"/>
        <v>0</v>
      </c>
      <c r="I388" s="12">
        <f t="shared" si="20"/>
        <v>7.6872032196626527E-3</v>
      </c>
      <c r="K388" s="27">
        <v>43.621571000000003</v>
      </c>
      <c r="L388" s="28">
        <v>11776.88</v>
      </c>
      <c r="M388" s="29">
        <v>116929</v>
      </c>
      <c r="N388" s="10">
        <f t="shared" si="21"/>
        <v>5.329315503501908E-3</v>
      </c>
      <c r="O388" s="12">
        <f t="shared" si="22"/>
        <v>7.6872032196626527E-3</v>
      </c>
    </row>
    <row r="389" spans="5:15" ht="30" customHeight="1" x14ac:dyDescent="0.3">
      <c r="E389" s="27">
        <v>44868</v>
      </c>
      <c r="F389" s="28">
        <v>43.621571000000003</v>
      </c>
      <c r="G389" s="29">
        <v>116896</v>
      </c>
      <c r="H389" s="10">
        <f t="shared" si="20"/>
        <v>0</v>
      </c>
      <c r="I389" s="12">
        <f t="shared" si="20"/>
        <v>-2.8222254530529955E-4</v>
      </c>
      <c r="K389" s="27">
        <v>43.621571000000003</v>
      </c>
      <c r="L389" s="28">
        <v>11788.83</v>
      </c>
      <c r="M389" s="29">
        <v>116896</v>
      </c>
      <c r="N389" s="10">
        <f t="shared" si="21"/>
        <v>1.0146999884519392E-3</v>
      </c>
      <c r="O389" s="12">
        <f t="shared" si="22"/>
        <v>-2.8222254530529955E-4</v>
      </c>
    </row>
    <row r="390" spans="5:15" ht="30" customHeight="1" x14ac:dyDescent="0.3">
      <c r="E390" s="27">
        <v>44869</v>
      </c>
      <c r="F390" s="28">
        <v>43.621571000000003</v>
      </c>
      <c r="G390" s="29">
        <v>118155</v>
      </c>
      <c r="H390" s="10">
        <f t="shared" si="20"/>
        <v>0</v>
      </c>
      <c r="I390" s="12">
        <f t="shared" si="20"/>
        <v>1.0770257322748389E-2</v>
      </c>
      <c r="K390" s="27">
        <v>43.621571000000003</v>
      </c>
      <c r="L390" s="28">
        <v>11851.63</v>
      </c>
      <c r="M390" s="29">
        <v>118155</v>
      </c>
      <c r="N390" s="10">
        <f t="shared" si="21"/>
        <v>5.3270765631534545E-3</v>
      </c>
      <c r="O390" s="12">
        <f t="shared" si="22"/>
        <v>1.0770257322748389E-2</v>
      </c>
    </row>
    <row r="391" spans="5:15" ht="30" customHeight="1" x14ac:dyDescent="0.3">
      <c r="E391" s="27">
        <v>44872</v>
      </c>
      <c r="F391" s="28">
        <v>43.621571000000003</v>
      </c>
      <c r="G391" s="29">
        <v>115342</v>
      </c>
      <c r="H391" s="10">
        <f t="shared" si="20"/>
        <v>0</v>
      </c>
      <c r="I391" s="12">
        <f t="shared" si="20"/>
        <v>-2.3807710211163347E-2</v>
      </c>
      <c r="K391" s="27">
        <v>43.621571000000003</v>
      </c>
      <c r="L391" s="28">
        <v>11598.28</v>
      </c>
      <c r="M391" s="29">
        <v>115342</v>
      </c>
      <c r="N391" s="10">
        <f t="shared" si="21"/>
        <v>-2.1376806397094605E-2</v>
      </c>
      <c r="O391" s="12">
        <f t="shared" si="22"/>
        <v>-2.3807710211163347E-2</v>
      </c>
    </row>
    <row r="392" spans="5:15" ht="30" customHeight="1" x14ac:dyDescent="0.3">
      <c r="E392" s="27">
        <v>44873</v>
      </c>
      <c r="F392" s="28">
        <v>42.529076000000003</v>
      </c>
      <c r="G392" s="29">
        <v>116160</v>
      </c>
      <c r="H392" s="10">
        <f t="shared" si="20"/>
        <v>-2.5044833896514129E-2</v>
      </c>
      <c r="I392" s="12">
        <f t="shared" si="20"/>
        <v>7.0919526278372391E-3</v>
      </c>
      <c r="K392" s="27">
        <v>42.529076000000003</v>
      </c>
      <c r="L392" s="28">
        <v>11585.4</v>
      </c>
      <c r="M392" s="29">
        <v>116160</v>
      </c>
      <c r="N392" s="10">
        <f t="shared" si="21"/>
        <v>-1.1105094893381073E-3</v>
      </c>
      <c r="O392" s="12">
        <f t="shared" si="22"/>
        <v>7.0919526278372391E-3</v>
      </c>
    </row>
    <row r="393" spans="5:15" ht="30" customHeight="1" x14ac:dyDescent="0.3">
      <c r="E393" s="27">
        <v>44874</v>
      </c>
      <c r="F393" s="28">
        <v>42.624454</v>
      </c>
      <c r="G393" s="29">
        <v>113580</v>
      </c>
      <c r="H393" s="10">
        <f t="shared" si="20"/>
        <v>2.242653943386852E-3</v>
      </c>
      <c r="I393" s="12">
        <f t="shared" si="20"/>
        <v>-2.2210743801652888E-2</v>
      </c>
      <c r="K393" s="27">
        <v>42.624454</v>
      </c>
      <c r="L393" s="28">
        <v>10990.71</v>
      </c>
      <c r="M393" s="29">
        <v>113580</v>
      </c>
      <c r="N393" s="10">
        <f t="shared" si="21"/>
        <v>-5.1330985550779529E-2</v>
      </c>
      <c r="O393" s="12">
        <f t="shared" si="22"/>
        <v>-2.2210743801652888E-2</v>
      </c>
    </row>
    <row r="394" spans="5:15" ht="30" customHeight="1" x14ac:dyDescent="0.3">
      <c r="E394" s="27">
        <v>44875</v>
      </c>
      <c r="F394" s="28">
        <v>42.485725000000002</v>
      </c>
      <c r="G394" s="29">
        <v>109775</v>
      </c>
      <c r="H394" s="10">
        <f t="shared" si="20"/>
        <v>-3.2546809866467186E-3</v>
      </c>
      <c r="I394" s="12">
        <f t="shared" si="20"/>
        <v>-3.3500616305687569E-2</v>
      </c>
      <c r="K394" s="27">
        <v>42.485725000000002</v>
      </c>
      <c r="L394" s="28">
        <v>10440.23</v>
      </c>
      <c r="M394" s="29">
        <v>109775</v>
      </c>
      <c r="N394" s="10">
        <f t="shared" si="21"/>
        <v>-5.008593621340196E-2</v>
      </c>
      <c r="O394" s="12">
        <f t="shared" si="22"/>
        <v>-3.3500616305687569E-2</v>
      </c>
    </row>
    <row r="395" spans="5:15" ht="30" customHeight="1" x14ac:dyDescent="0.3">
      <c r="E395" s="27">
        <v>44876</v>
      </c>
      <c r="F395" s="28">
        <v>42.24295</v>
      </c>
      <c r="G395" s="29">
        <v>112253</v>
      </c>
      <c r="H395" s="10">
        <f t="shared" si="20"/>
        <v>-5.7142722643900301E-3</v>
      </c>
      <c r="I395" s="12">
        <f t="shared" si="20"/>
        <v>2.2573445684354265E-2</v>
      </c>
      <c r="K395" s="27">
        <v>42.24295</v>
      </c>
      <c r="L395" s="28">
        <v>10233.99</v>
      </c>
      <c r="M395" s="29">
        <v>112253</v>
      </c>
      <c r="N395" s="10">
        <f t="shared" si="21"/>
        <v>-1.9754354070743663E-2</v>
      </c>
      <c r="O395" s="12">
        <f t="shared" si="22"/>
        <v>2.2573445684354265E-2</v>
      </c>
    </row>
    <row r="396" spans="5:15" ht="30" customHeight="1" x14ac:dyDescent="0.3">
      <c r="E396" s="27">
        <v>44879</v>
      </c>
      <c r="F396" s="28">
        <v>46.821002999999997</v>
      </c>
      <c r="G396" s="29">
        <v>113161</v>
      </c>
      <c r="H396" s="10">
        <f t="shared" si="20"/>
        <v>0.10837436779391574</v>
      </c>
      <c r="I396" s="12">
        <f t="shared" si="20"/>
        <v>8.0888706760620099E-3</v>
      </c>
      <c r="K396" s="27">
        <v>46.821002999999997</v>
      </c>
      <c r="L396" s="28">
        <v>10293.6</v>
      </c>
      <c r="M396" s="29">
        <v>113161</v>
      </c>
      <c r="N396" s="10">
        <f t="shared" si="21"/>
        <v>5.8247076653388241E-3</v>
      </c>
      <c r="O396" s="12">
        <f t="shared" si="22"/>
        <v>8.0888706760620099E-3</v>
      </c>
    </row>
    <row r="397" spans="5:15" ht="30" customHeight="1" x14ac:dyDescent="0.3">
      <c r="E397" s="27">
        <v>44881</v>
      </c>
      <c r="F397" s="28">
        <v>45.086891000000001</v>
      </c>
      <c r="G397" s="29">
        <v>110243</v>
      </c>
      <c r="H397" s="10">
        <f t="shared" si="20"/>
        <v>-3.7037053648765195E-2</v>
      </c>
      <c r="I397" s="12">
        <f t="shared" si="20"/>
        <v>-2.5786269120986915E-2</v>
      </c>
      <c r="K397" s="27">
        <v>45.086891000000001</v>
      </c>
      <c r="L397" s="28">
        <v>10099.15</v>
      </c>
      <c r="M397" s="29">
        <v>110243</v>
      </c>
      <c r="N397" s="10">
        <f t="shared" si="21"/>
        <v>-1.8890378487603998E-2</v>
      </c>
      <c r="O397" s="12">
        <f t="shared" si="22"/>
        <v>-2.5786269120986915E-2</v>
      </c>
    </row>
    <row r="398" spans="5:15" ht="30" customHeight="1" x14ac:dyDescent="0.3">
      <c r="E398" s="27">
        <v>44882</v>
      </c>
      <c r="F398" s="28">
        <v>44.818103999999998</v>
      </c>
      <c r="G398" s="29">
        <v>109703</v>
      </c>
      <c r="H398" s="10">
        <f t="shared" si="20"/>
        <v>-5.9615332536457899E-3</v>
      </c>
      <c r="I398" s="12">
        <f t="shared" si="20"/>
        <v>-4.8982701849550336E-3</v>
      </c>
      <c r="K398" s="27">
        <v>44.818103999999998</v>
      </c>
      <c r="L398" s="28">
        <v>10006.56</v>
      </c>
      <c r="M398" s="29">
        <v>109703</v>
      </c>
      <c r="N398" s="10">
        <f t="shared" si="21"/>
        <v>-9.168098305302963E-3</v>
      </c>
      <c r="O398" s="12">
        <f t="shared" si="22"/>
        <v>-4.8982701849550336E-3</v>
      </c>
    </row>
    <row r="399" spans="5:15" ht="30" customHeight="1" x14ac:dyDescent="0.3">
      <c r="E399" s="27">
        <v>44883</v>
      </c>
      <c r="F399" s="28">
        <v>44.167811999999998</v>
      </c>
      <c r="G399" s="29">
        <v>108880</v>
      </c>
      <c r="H399" s="10">
        <f t="shared" si="20"/>
        <v>-1.4509583002440318E-2</v>
      </c>
      <c r="I399" s="12">
        <f t="shared" si="20"/>
        <v>-7.5020737810269633E-3</v>
      </c>
      <c r="K399" s="27">
        <v>44.167811999999998</v>
      </c>
      <c r="L399" s="28">
        <v>10069.969999999999</v>
      </c>
      <c r="M399" s="29">
        <v>108880</v>
      </c>
      <c r="N399" s="10">
        <f t="shared" si="21"/>
        <v>6.3368430309715951E-3</v>
      </c>
      <c r="O399" s="12">
        <f t="shared" si="22"/>
        <v>-7.5020737810269633E-3</v>
      </c>
    </row>
    <row r="400" spans="5:15" ht="30" customHeight="1" x14ac:dyDescent="0.3">
      <c r="E400" s="27">
        <v>44886</v>
      </c>
      <c r="F400" s="28">
        <v>45.086891000000001</v>
      </c>
      <c r="G400" s="29">
        <v>109748</v>
      </c>
      <c r="H400" s="10">
        <f t="shared" si="20"/>
        <v>2.0808796233782179E-2</v>
      </c>
      <c r="I400" s="12">
        <f t="shared" si="20"/>
        <v>7.9720793534165946E-3</v>
      </c>
      <c r="K400" s="27">
        <v>45.086891000000001</v>
      </c>
      <c r="L400" s="28">
        <v>10143.540000000001</v>
      </c>
      <c r="M400" s="29">
        <v>109748</v>
      </c>
      <c r="N400" s="10">
        <f t="shared" si="21"/>
        <v>7.3058807523758151E-3</v>
      </c>
      <c r="O400" s="12">
        <f t="shared" si="22"/>
        <v>7.9720793534165946E-3</v>
      </c>
    </row>
    <row r="401" spans="5:15" ht="30" customHeight="1" x14ac:dyDescent="0.3">
      <c r="E401" s="27">
        <v>44887</v>
      </c>
      <c r="F401" s="28">
        <v>45.216949</v>
      </c>
      <c r="G401" s="29">
        <v>109037</v>
      </c>
      <c r="H401" s="10">
        <f t="shared" si="20"/>
        <v>2.8846078564166433E-3</v>
      </c>
      <c r="I401" s="12">
        <f t="shared" si="20"/>
        <v>-6.4784779677078408E-3</v>
      </c>
      <c r="K401" s="27">
        <v>45.216949</v>
      </c>
      <c r="L401" s="28">
        <v>10036.4</v>
      </c>
      <c r="M401" s="29">
        <v>109037</v>
      </c>
      <c r="N401" s="10">
        <f t="shared" si="21"/>
        <v>-1.0562387489969072E-2</v>
      </c>
      <c r="O401" s="12">
        <f t="shared" si="22"/>
        <v>-6.4784779677078408E-3</v>
      </c>
    </row>
    <row r="402" spans="5:15" ht="30" customHeight="1" x14ac:dyDescent="0.3">
      <c r="E402" s="27">
        <v>44888</v>
      </c>
      <c r="F402" s="28">
        <v>44.991512</v>
      </c>
      <c r="G402" s="29">
        <v>108683</v>
      </c>
      <c r="H402" s="10">
        <f t="shared" si="20"/>
        <v>-4.9856747300663917E-3</v>
      </c>
      <c r="I402" s="12">
        <f t="shared" si="20"/>
        <v>-3.2466043636564246E-3</v>
      </c>
      <c r="K402" s="27">
        <v>44.991512</v>
      </c>
      <c r="L402" s="28">
        <v>10026.26</v>
      </c>
      <c r="M402" s="29">
        <v>108683</v>
      </c>
      <c r="N402" s="10">
        <f t="shared" si="21"/>
        <v>-1.0103224263680044E-3</v>
      </c>
      <c r="O402" s="12">
        <f t="shared" si="22"/>
        <v>-3.2466043636564246E-3</v>
      </c>
    </row>
    <row r="403" spans="5:15" ht="30" customHeight="1" x14ac:dyDescent="0.3">
      <c r="E403" s="27">
        <v>44889</v>
      </c>
      <c r="F403" s="28">
        <v>44.939495000000001</v>
      </c>
      <c r="G403" s="29">
        <v>111831</v>
      </c>
      <c r="H403" s="10">
        <f t="shared" si="20"/>
        <v>-1.1561514091813496E-3</v>
      </c>
      <c r="I403" s="12">
        <f t="shared" si="20"/>
        <v>2.8964971522685179E-2</v>
      </c>
      <c r="K403" s="27">
        <v>44.939495000000001</v>
      </c>
      <c r="L403" s="28">
        <v>10362.99</v>
      </c>
      <c r="M403" s="29">
        <v>111831</v>
      </c>
      <c r="N403" s="10">
        <f t="shared" si="21"/>
        <v>3.3584806298659675E-2</v>
      </c>
      <c r="O403" s="12">
        <f t="shared" si="22"/>
        <v>2.8964971522685179E-2</v>
      </c>
    </row>
    <row r="404" spans="5:15" ht="30" customHeight="1" x14ac:dyDescent="0.3">
      <c r="E404" s="27">
        <v>44890</v>
      </c>
      <c r="F404" s="28">
        <v>45.034866000000001</v>
      </c>
      <c r="G404" s="29">
        <v>108977</v>
      </c>
      <c r="H404" s="10">
        <f t="shared" si="20"/>
        <v>2.1222089834342928E-3</v>
      </c>
      <c r="I404" s="12">
        <f t="shared" si="20"/>
        <v>-2.5520651697650942E-2</v>
      </c>
      <c r="K404" s="27">
        <v>45.034866000000001</v>
      </c>
      <c r="L404" s="28">
        <v>10037.370000000001</v>
      </c>
      <c r="M404" s="29">
        <v>108977</v>
      </c>
      <c r="N404" s="10">
        <f t="shared" si="21"/>
        <v>-3.1421433389398179E-2</v>
      </c>
      <c r="O404" s="12">
        <f t="shared" si="22"/>
        <v>-2.5520651697650942E-2</v>
      </c>
    </row>
    <row r="405" spans="5:15" ht="30" customHeight="1" x14ac:dyDescent="0.3">
      <c r="E405" s="27">
        <v>44893</v>
      </c>
      <c r="F405" s="28">
        <v>43.500179000000003</v>
      </c>
      <c r="G405" s="29">
        <v>108782</v>
      </c>
      <c r="H405" s="10">
        <f t="shared" si="20"/>
        <v>-3.4077752113218174E-2</v>
      </c>
      <c r="I405" s="12">
        <f t="shared" si="20"/>
        <v>-1.7893683988364772E-3</v>
      </c>
      <c r="K405" s="27">
        <v>43.500179000000003</v>
      </c>
      <c r="L405" s="28">
        <v>10000.15</v>
      </c>
      <c r="M405" s="29">
        <v>108782</v>
      </c>
      <c r="N405" s="10">
        <f t="shared" si="21"/>
        <v>-3.7081426708391874E-3</v>
      </c>
      <c r="O405" s="12">
        <f t="shared" si="22"/>
        <v>-1.7893683988364772E-3</v>
      </c>
    </row>
    <row r="406" spans="5:15" ht="30" customHeight="1" x14ac:dyDescent="0.3">
      <c r="E406" s="27">
        <v>44894</v>
      </c>
      <c r="F406" s="28">
        <v>44.107117000000002</v>
      </c>
      <c r="G406" s="29">
        <v>110910</v>
      </c>
      <c r="H406" s="10">
        <f t="shared" si="20"/>
        <v>1.3952540287248016E-2</v>
      </c>
      <c r="I406" s="12">
        <f t="shared" si="20"/>
        <v>1.9562059899615791E-2</v>
      </c>
      <c r="K406" s="27">
        <v>44.107117000000002</v>
      </c>
      <c r="L406" s="28">
        <v>10156.719999999999</v>
      </c>
      <c r="M406" s="29">
        <v>110910</v>
      </c>
      <c r="N406" s="10">
        <f t="shared" si="21"/>
        <v>1.5656765148522656E-2</v>
      </c>
      <c r="O406" s="12">
        <f t="shared" si="22"/>
        <v>1.9562059899615791E-2</v>
      </c>
    </row>
    <row r="407" spans="5:15" ht="30" customHeight="1" x14ac:dyDescent="0.3">
      <c r="E407" s="27">
        <v>44895</v>
      </c>
      <c r="F407" s="28">
        <v>44.211165999999999</v>
      </c>
      <c r="G407" s="29">
        <v>112486</v>
      </c>
      <c r="H407" s="10">
        <f t="shared" si="20"/>
        <v>2.3590070509482697E-3</v>
      </c>
      <c r="I407" s="12">
        <f t="shared" si="20"/>
        <v>1.4209719592462422E-2</v>
      </c>
      <c r="K407" s="27">
        <v>44.211165999999999</v>
      </c>
      <c r="L407" s="28">
        <v>10252.01</v>
      </c>
      <c r="M407" s="29">
        <v>112486</v>
      </c>
      <c r="N407" s="10">
        <f t="shared" si="21"/>
        <v>9.3819658314890919E-3</v>
      </c>
      <c r="O407" s="12">
        <f t="shared" si="22"/>
        <v>1.4209719592462422E-2</v>
      </c>
    </row>
    <row r="408" spans="5:15" ht="30" customHeight="1" x14ac:dyDescent="0.3">
      <c r="E408" s="27">
        <v>44896</v>
      </c>
      <c r="F408" s="28">
        <v>43.742953999999997</v>
      </c>
      <c r="G408" s="29">
        <v>110926</v>
      </c>
      <c r="H408" s="10">
        <f t="shared" ref="H408:I471" si="23">F408/F407-1</f>
        <v>-1.0590356291440117E-2</v>
      </c>
      <c r="I408" s="12">
        <f t="shared" si="23"/>
        <v>-1.3868392511068084E-2</v>
      </c>
      <c r="K408" s="27">
        <v>43.742953999999997</v>
      </c>
      <c r="L408" s="28">
        <v>10154.379999999999</v>
      </c>
      <c r="M408" s="29">
        <v>110926</v>
      </c>
      <c r="N408" s="10">
        <f t="shared" ref="N408:N471" si="24">L408/L407-1</f>
        <v>-9.5230106096269029E-3</v>
      </c>
      <c r="O408" s="12">
        <f t="shared" ref="O408:O471" si="25">M408/M407-1</f>
        <v>-1.3868392511068084E-2</v>
      </c>
    </row>
    <row r="409" spans="5:15" ht="30" customHeight="1" x14ac:dyDescent="0.3">
      <c r="E409" s="27">
        <v>44897</v>
      </c>
      <c r="F409" s="28">
        <v>43.977061999999997</v>
      </c>
      <c r="G409" s="29">
        <v>111924</v>
      </c>
      <c r="H409" s="10">
        <f t="shared" si="23"/>
        <v>5.3519019314516303E-3</v>
      </c>
      <c r="I409" s="12">
        <f t="shared" si="23"/>
        <v>8.9969889836467587E-3</v>
      </c>
      <c r="K409" s="27">
        <v>43.977061999999997</v>
      </c>
      <c r="L409" s="28">
        <v>10285.219999999999</v>
      </c>
      <c r="M409" s="29">
        <v>111924</v>
      </c>
      <c r="N409" s="10">
        <f t="shared" si="24"/>
        <v>1.2885080132908122E-2</v>
      </c>
      <c r="O409" s="12">
        <f t="shared" si="25"/>
        <v>8.9969889836467587E-3</v>
      </c>
    </row>
    <row r="410" spans="5:15" ht="30" customHeight="1" x14ac:dyDescent="0.3">
      <c r="E410" s="27">
        <v>44900</v>
      </c>
      <c r="F410" s="28">
        <v>44.219833000000001</v>
      </c>
      <c r="G410" s="29">
        <v>109401</v>
      </c>
      <c r="H410" s="10">
        <f t="shared" si="23"/>
        <v>5.5204006124829341E-3</v>
      </c>
      <c r="I410" s="12">
        <f t="shared" si="23"/>
        <v>-2.2542082127157692E-2</v>
      </c>
      <c r="K410" s="27">
        <v>44.219833000000001</v>
      </c>
      <c r="L410" s="28">
        <v>9956.4699999999993</v>
      </c>
      <c r="M410" s="29">
        <v>109401</v>
      </c>
      <c r="N410" s="10">
        <f t="shared" si="24"/>
        <v>-3.1963341571692228E-2</v>
      </c>
      <c r="O410" s="12">
        <f t="shared" si="25"/>
        <v>-2.2542082127157692E-2</v>
      </c>
    </row>
    <row r="411" spans="5:15" ht="30" customHeight="1" x14ac:dyDescent="0.3">
      <c r="E411" s="27">
        <v>44901</v>
      </c>
      <c r="F411" s="28">
        <v>45.078220000000002</v>
      </c>
      <c r="G411" s="29">
        <v>109533</v>
      </c>
      <c r="H411" s="10">
        <f t="shared" si="23"/>
        <v>1.9411810080784297E-2</v>
      </c>
      <c r="I411" s="12">
        <f t="shared" si="23"/>
        <v>1.2065703238544057E-3</v>
      </c>
      <c r="K411" s="27">
        <v>45.078220000000002</v>
      </c>
      <c r="L411" s="28">
        <v>10072.450000000001</v>
      </c>
      <c r="M411" s="29">
        <v>109533</v>
      </c>
      <c r="N411" s="10">
        <f t="shared" si="24"/>
        <v>1.164870682079111E-2</v>
      </c>
      <c r="O411" s="12">
        <f t="shared" si="25"/>
        <v>1.2065703238544057E-3</v>
      </c>
    </row>
    <row r="412" spans="5:15" ht="30" customHeight="1" x14ac:dyDescent="0.3">
      <c r="E412" s="27">
        <v>44902</v>
      </c>
      <c r="F412" s="28">
        <v>45.000186999999997</v>
      </c>
      <c r="G412" s="29">
        <v>109361</v>
      </c>
      <c r="H412" s="10">
        <f t="shared" si="23"/>
        <v>-1.7310577036983021E-3</v>
      </c>
      <c r="I412" s="12">
        <f t="shared" si="23"/>
        <v>-1.5703030137036444E-3</v>
      </c>
      <c r="K412" s="27">
        <v>45.000186999999997</v>
      </c>
      <c r="L412" s="28">
        <v>10016.1</v>
      </c>
      <c r="M412" s="29">
        <v>109361</v>
      </c>
      <c r="N412" s="10">
        <f t="shared" si="24"/>
        <v>-5.594468078769399E-3</v>
      </c>
      <c r="O412" s="12">
        <f t="shared" si="25"/>
        <v>-1.5703030137036444E-3</v>
      </c>
    </row>
    <row r="413" spans="5:15" ht="30" customHeight="1" x14ac:dyDescent="0.3">
      <c r="E413" s="27">
        <v>44903</v>
      </c>
      <c r="F413" s="28">
        <v>45.078220000000002</v>
      </c>
      <c r="G413" s="29">
        <v>107245</v>
      </c>
      <c r="H413" s="10">
        <f t="shared" si="23"/>
        <v>1.7340594606862769E-3</v>
      </c>
      <c r="I413" s="12">
        <f t="shared" si="23"/>
        <v>-1.9348762355867244E-2</v>
      </c>
      <c r="K413" s="27">
        <v>45.078220000000002</v>
      </c>
      <c r="L413" s="28">
        <v>9738.7800000000007</v>
      </c>
      <c r="M413" s="29">
        <v>107245</v>
      </c>
      <c r="N413" s="10">
        <f t="shared" si="24"/>
        <v>-2.7687423248569765E-2</v>
      </c>
      <c r="O413" s="12">
        <f t="shared" si="25"/>
        <v>-1.9348762355867244E-2</v>
      </c>
    </row>
    <row r="414" spans="5:15" ht="30" customHeight="1" x14ac:dyDescent="0.3">
      <c r="E414" s="27">
        <v>44904</v>
      </c>
      <c r="F414" s="28">
        <v>44.644694999999999</v>
      </c>
      <c r="G414" s="29">
        <v>107689</v>
      </c>
      <c r="H414" s="10">
        <f t="shared" si="23"/>
        <v>-9.6171721066182769E-3</v>
      </c>
      <c r="I414" s="12">
        <f t="shared" si="23"/>
        <v>4.1400531493309689E-3</v>
      </c>
      <c r="K414" s="27">
        <v>44.644694999999999</v>
      </c>
      <c r="L414" s="28">
        <v>9663.42</v>
      </c>
      <c r="M414" s="29">
        <v>107689</v>
      </c>
      <c r="N414" s="10">
        <f t="shared" si="24"/>
        <v>-7.7381355775569816E-3</v>
      </c>
      <c r="O414" s="12">
        <f t="shared" si="25"/>
        <v>4.1400531493309689E-3</v>
      </c>
    </row>
    <row r="415" spans="5:15" ht="30" customHeight="1" x14ac:dyDescent="0.3">
      <c r="E415" s="27">
        <v>44907</v>
      </c>
      <c r="F415" s="28">
        <v>42.104221000000003</v>
      </c>
      <c r="G415" s="29">
        <v>105264</v>
      </c>
      <c r="H415" s="10">
        <f t="shared" si="23"/>
        <v>-5.690427496480821E-2</v>
      </c>
      <c r="I415" s="12">
        <f t="shared" si="23"/>
        <v>-2.2518548783998393E-2</v>
      </c>
      <c r="K415" s="27">
        <v>42.104221000000003</v>
      </c>
      <c r="L415" s="28">
        <v>9480.35</v>
      </c>
      <c r="M415" s="29">
        <v>105264</v>
      </c>
      <c r="N415" s="10">
        <f t="shared" si="24"/>
        <v>-1.8944638647600875E-2</v>
      </c>
      <c r="O415" s="12">
        <f t="shared" si="25"/>
        <v>-2.2518548783998393E-2</v>
      </c>
    </row>
    <row r="416" spans="5:15" ht="30" customHeight="1" x14ac:dyDescent="0.3">
      <c r="E416" s="27">
        <v>44908</v>
      </c>
      <c r="F416" s="28">
        <v>40.916350999999999</v>
      </c>
      <c r="G416" s="29">
        <v>103892</v>
      </c>
      <c r="H416" s="10">
        <f t="shared" si="23"/>
        <v>-2.8212610797383131E-2</v>
      </c>
      <c r="I416" s="12">
        <f t="shared" si="23"/>
        <v>-1.3033895728834177E-2</v>
      </c>
      <c r="K416" s="27">
        <v>40.916350999999999</v>
      </c>
      <c r="L416" s="28">
        <v>9198.91</v>
      </c>
      <c r="M416" s="29">
        <v>103892</v>
      </c>
      <c r="N416" s="10">
        <f t="shared" si="24"/>
        <v>-2.9686667686319668E-2</v>
      </c>
      <c r="O416" s="12">
        <f t="shared" si="25"/>
        <v>-1.3033895728834177E-2</v>
      </c>
    </row>
    <row r="417" spans="5:15" ht="30" customHeight="1" x14ac:dyDescent="0.3">
      <c r="E417" s="27">
        <v>44909</v>
      </c>
      <c r="F417" s="28">
        <v>40.318085000000004</v>
      </c>
      <c r="G417" s="29">
        <v>103803</v>
      </c>
      <c r="H417" s="10">
        <f t="shared" si="23"/>
        <v>-1.4621685105790427E-2</v>
      </c>
      <c r="I417" s="12">
        <f t="shared" si="23"/>
        <v>-8.566588380241047E-4</v>
      </c>
      <c r="K417" s="27">
        <v>40.318085000000004</v>
      </c>
      <c r="L417" s="28">
        <v>9328.4</v>
      </c>
      <c r="M417" s="29">
        <v>103803</v>
      </c>
      <c r="N417" s="10">
        <f t="shared" si="24"/>
        <v>1.4076667779117313E-2</v>
      </c>
      <c r="O417" s="12">
        <f t="shared" si="25"/>
        <v>-8.566588380241047E-4</v>
      </c>
    </row>
    <row r="418" spans="5:15" ht="30" customHeight="1" x14ac:dyDescent="0.3">
      <c r="E418" s="27">
        <v>44910</v>
      </c>
      <c r="F418" s="28">
        <v>40.586872</v>
      </c>
      <c r="G418" s="29">
        <v>103738</v>
      </c>
      <c r="H418" s="10">
        <f t="shared" si="23"/>
        <v>6.6666608793546356E-3</v>
      </c>
      <c r="I418" s="12">
        <f t="shared" si="23"/>
        <v>-6.261861410556957E-4</v>
      </c>
      <c r="K418" s="27">
        <v>40.586872</v>
      </c>
      <c r="L418" s="28">
        <v>9333.9699999999993</v>
      </c>
      <c r="M418" s="29">
        <v>103738</v>
      </c>
      <c r="N418" s="10">
        <f t="shared" si="24"/>
        <v>5.9710132498613788E-4</v>
      </c>
      <c r="O418" s="12">
        <f t="shared" si="25"/>
        <v>-6.261861410556957E-4</v>
      </c>
    </row>
    <row r="419" spans="5:15" ht="30" customHeight="1" x14ac:dyDescent="0.3">
      <c r="E419" s="27">
        <v>44911</v>
      </c>
      <c r="F419" s="28">
        <v>41.497280000000003</v>
      </c>
      <c r="G419" s="29">
        <v>102825</v>
      </c>
      <c r="H419" s="10">
        <f t="shared" si="23"/>
        <v>2.2431095453722127E-2</v>
      </c>
      <c r="I419" s="12">
        <f t="shared" si="23"/>
        <v>-8.8010179490639606E-3</v>
      </c>
      <c r="K419" s="27">
        <v>41.497280000000003</v>
      </c>
      <c r="L419" s="28">
        <v>9341.2800000000007</v>
      </c>
      <c r="M419" s="29">
        <v>102825</v>
      </c>
      <c r="N419" s="10">
        <f t="shared" si="24"/>
        <v>7.8316086295560083E-4</v>
      </c>
      <c r="O419" s="12">
        <f t="shared" si="25"/>
        <v>-8.8010179490639606E-3</v>
      </c>
    </row>
    <row r="420" spans="5:15" ht="30" customHeight="1" x14ac:dyDescent="0.3">
      <c r="E420" s="27">
        <v>44914</v>
      </c>
      <c r="F420" s="28">
        <v>43.127346000000003</v>
      </c>
      <c r="G420" s="29">
        <v>104530</v>
      </c>
      <c r="H420" s="10">
        <f t="shared" si="23"/>
        <v>3.9281273375026071E-2</v>
      </c>
      <c r="I420" s="12">
        <f t="shared" si="23"/>
        <v>1.6581570629710773E-2</v>
      </c>
      <c r="K420" s="27">
        <v>43.127346000000003</v>
      </c>
      <c r="L420" s="28">
        <v>9685.7800000000007</v>
      </c>
      <c r="M420" s="29">
        <v>104530</v>
      </c>
      <c r="N420" s="10">
        <f t="shared" si="24"/>
        <v>3.6879314183923428E-2</v>
      </c>
      <c r="O420" s="12">
        <f t="shared" si="25"/>
        <v>1.6581570629710773E-2</v>
      </c>
    </row>
    <row r="421" spans="5:15" ht="30" customHeight="1" x14ac:dyDescent="0.3">
      <c r="E421" s="27">
        <v>44915</v>
      </c>
      <c r="F421" s="28">
        <v>42.399020999999998</v>
      </c>
      <c r="G421" s="29">
        <v>106979</v>
      </c>
      <c r="H421" s="10">
        <f t="shared" si="23"/>
        <v>-1.6887776957107525E-2</v>
      </c>
      <c r="I421" s="12">
        <f t="shared" si="23"/>
        <v>2.3428680761503839E-2</v>
      </c>
      <c r="K421" s="27">
        <v>42.399020999999998</v>
      </c>
      <c r="L421" s="28">
        <v>9937.4</v>
      </c>
      <c r="M421" s="29">
        <v>106979</v>
      </c>
      <c r="N421" s="10">
        <f t="shared" si="24"/>
        <v>2.5978289822812251E-2</v>
      </c>
      <c r="O421" s="12">
        <f t="shared" si="25"/>
        <v>2.3428680761503839E-2</v>
      </c>
    </row>
    <row r="422" spans="5:15" ht="30" customHeight="1" x14ac:dyDescent="0.3">
      <c r="E422" s="27">
        <v>44916</v>
      </c>
      <c r="F422" s="28">
        <v>42.615783999999998</v>
      </c>
      <c r="G422" s="29">
        <v>107313</v>
      </c>
      <c r="H422" s="10">
        <f t="shared" si="23"/>
        <v>5.1124529502697413E-3</v>
      </c>
      <c r="I422" s="12">
        <f t="shared" si="23"/>
        <v>3.1221080772863008E-3</v>
      </c>
      <c r="K422" s="27">
        <v>42.615783999999998</v>
      </c>
      <c r="L422" s="28">
        <v>10016.51</v>
      </c>
      <c r="M422" s="29">
        <v>107313</v>
      </c>
      <c r="N422" s="10">
        <f t="shared" si="24"/>
        <v>7.960834826010954E-3</v>
      </c>
      <c r="O422" s="12">
        <f t="shared" si="25"/>
        <v>3.1221080772863008E-3</v>
      </c>
    </row>
    <row r="423" spans="5:15" ht="30" customHeight="1" x14ac:dyDescent="0.3">
      <c r="E423" s="27">
        <v>44917</v>
      </c>
      <c r="F423" s="28">
        <v>42.130229999999997</v>
      </c>
      <c r="G423" s="29">
        <v>107317</v>
      </c>
      <c r="H423" s="10">
        <f t="shared" si="23"/>
        <v>-1.1393759645487278E-2</v>
      </c>
      <c r="I423" s="12">
        <f t="shared" si="23"/>
        <v>3.7274141995835564E-5</v>
      </c>
      <c r="K423" s="27">
        <v>42.130229999999997</v>
      </c>
      <c r="L423" s="28">
        <v>10020.09</v>
      </c>
      <c r="M423" s="29">
        <v>107317</v>
      </c>
      <c r="N423" s="10">
        <f t="shared" si="24"/>
        <v>3.5740991622823515E-4</v>
      </c>
      <c r="O423" s="12">
        <f t="shared" si="25"/>
        <v>3.7274141995835564E-5</v>
      </c>
    </row>
    <row r="424" spans="5:15" ht="30" customHeight="1" x14ac:dyDescent="0.3">
      <c r="E424" s="27">
        <v>44918</v>
      </c>
      <c r="F424" s="28">
        <v>41.618668</v>
      </c>
      <c r="G424" s="29">
        <v>109698</v>
      </c>
      <c r="H424" s="10">
        <f t="shared" si="23"/>
        <v>-1.2142397513614234E-2</v>
      </c>
      <c r="I424" s="12">
        <f t="shared" si="23"/>
        <v>2.2186606036322276E-2</v>
      </c>
      <c r="K424" s="27">
        <v>41.618668</v>
      </c>
      <c r="L424" s="28">
        <v>10338.09</v>
      </c>
      <c r="M424" s="29">
        <v>109698</v>
      </c>
      <c r="N424" s="10">
        <f t="shared" si="24"/>
        <v>3.1736241890042871E-2</v>
      </c>
      <c r="O424" s="12">
        <f t="shared" si="25"/>
        <v>2.2186606036322276E-2</v>
      </c>
    </row>
    <row r="425" spans="5:15" ht="30" customHeight="1" x14ac:dyDescent="0.3">
      <c r="E425" s="27">
        <v>44921</v>
      </c>
      <c r="F425" s="28">
        <v>43.517521000000002</v>
      </c>
      <c r="G425" s="29">
        <v>108738</v>
      </c>
      <c r="H425" s="10">
        <f t="shared" si="23"/>
        <v>4.5625030575221714E-2</v>
      </c>
      <c r="I425" s="12">
        <f t="shared" si="23"/>
        <v>-8.7512990209483998E-3</v>
      </c>
      <c r="K425" s="27">
        <v>43.517521000000002</v>
      </c>
      <c r="L425" s="28">
        <v>10211.32</v>
      </c>
      <c r="M425" s="29">
        <v>108738</v>
      </c>
      <c r="N425" s="10">
        <f t="shared" si="24"/>
        <v>-1.2262419847379968E-2</v>
      </c>
      <c r="O425" s="12">
        <f t="shared" si="25"/>
        <v>-8.7512990209483998E-3</v>
      </c>
    </row>
    <row r="426" spans="5:15" ht="30" customHeight="1" x14ac:dyDescent="0.3">
      <c r="E426" s="27">
        <v>44922</v>
      </c>
      <c r="F426" s="28">
        <v>43.344112000000003</v>
      </c>
      <c r="G426" s="29">
        <v>108347</v>
      </c>
      <c r="H426" s="10">
        <f t="shared" si="23"/>
        <v>-3.9848087854085223E-3</v>
      </c>
      <c r="I426" s="12">
        <f t="shared" si="23"/>
        <v>-3.5957990766797288E-3</v>
      </c>
      <c r="K426" s="27">
        <v>43.344112000000003</v>
      </c>
      <c r="L426" s="28">
        <v>10050.49</v>
      </c>
      <c r="M426" s="29">
        <v>108347</v>
      </c>
      <c r="N426" s="10">
        <f t="shared" si="24"/>
        <v>-1.5750167461209719E-2</v>
      </c>
      <c r="O426" s="12">
        <f t="shared" si="25"/>
        <v>-3.5957990766797288E-3</v>
      </c>
    </row>
    <row r="427" spans="5:15" ht="30" customHeight="1" x14ac:dyDescent="0.3">
      <c r="E427" s="27">
        <v>44923</v>
      </c>
      <c r="F427" s="28">
        <v>43.465499999999999</v>
      </c>
      <c r="G427" s="29">
        <v>110237</v>
      </c>
      <c r="H427" s="10">
        <f t="shared" si="23"/>
        <v>2.8005649302491609E-3</v>
      </c>
      <c r="I427" s="12">
        <f t="shared" si="23"/>
        <v>1.744395322436243E-2</v>
      </c>
      <c r="K427" s="27">
        <v>43.465499999999999</v>
      </c>
      <c r="L427" s="28">
        <v>10313.870000000001</v>
      </c>
      <c r="M427" s="29">
        <v>110237</v>
      </c>
      <c r="N427" s="10">
        <f t="shared" si="24"/>
        <v>2.6205687483893847E-2</v>
      </c>
      <c r="O427" s="12">
        <f t="shared" si="25"/>
        <v>1.744395322436243E-2</v>
      </c>
    </row>
    <row r="428" spans="5:15" ht="30" customHeight="1" x14ac:dyDescent="0.3">
      <c r="E428" s="27">
        <v>44924</v>
      </c>
      <c r="F428" s="28">
        <v>43.309424999999997</v>
      </c>
      <c r="G428" s="29">
        <v>110031</v>
      </c>
      <c r="H428" s="10">
        <f t="shared" si="23"/>
        <v>-3.590778893605262E-3</v>
      </c>
      <c r="I428" s="12">
        <f t="shared" si="23"/>
        <v>-1.8687010713281937E-3</v>
      </c>
      <c r="K428" s="27">
        <v>43.309424999999997</v>
      </c>
      <c r="L428" s="28">
        <v>10253.49</v>
      </c>
      <c r="M428" s="29">
        <v>110031</v>
      </c>
      <c r="N428" s="10">
        <f t="shared" si="24"/>
        <v>-5.8542525744459395E-3</v>
      </c>
      <c r="O428" s="12">
        <f t="shared" si="25"/>
        <v>-1.8687010713281937E-3</v>
      </c>
    </row>
    <row r="429" spans="5:15" ht="30" customHeight="1" x14ac:dyDescent="0.3">
      <c r="E429" s="27">
        <v>44928</v>
      </c>
      <c r="F429" s="28">
        <v>42.763184000000003</v>
      </c>
      <c r="G429" s="29">
        <v>106376</v>
      </c>
      <c r="H429" s="10">
        <f t="shared" si="23"/>
        <v>-1.2612520253963089E-2</v>
      </c>
      <c r="I429" s="12">
        <f t="shared" si="23"/>
        <v>-3.3217911315901905E-2</v>
      </c>
      <c r="K429" s="27">
        <v>42.763184000000003</v>
      </c>
      <c r="L429" s="28">
        <v>9901.8700000000008</v>
      </c>
      <c r="M429" s="29">
        <v>106376</v>
      </c>
      <c r="N429" s="10">
        <f t="shared" si="24"/>
        <v>-3.4292713992991608E-2</v>
      </c>
      <c r="O429" s="12">
        <f t="shared" si="25"/>
        <v>-3.3217911315901905E-2</v>
      </c>
    </row>
    <row r="430" spans="5:15" ht="30" customHeight="1" x14ac:dyDescent="0.3">
      <c r="E430" s="27">
        <v>44929</v>
      </c>
      <c r="F430" s="28">
        <v>43.526192000000002</v>
      </c>
      <c r="G430" s="29">
        <v>104166</v>
      </c>
      <c r="H430" s="10">
        <f t="shared" si="23"/>
        <v>1.7842637723140431E-2</v>
      </c>
      <c r="I430" s="12">
        <f t="shared" si="23"/>
        <v>-2.0775362863803881E-2</v>
      </c>
      <c r="K430" s="27">
        <v>43.526192000000002</v>
      </c>
      <c r="L430" s="28">
        <v>9593.4699999999993</v>
      </c>
      <c r="M430" s="29">
        <v>104166</v>
      </c>
      <c r="N430" s="10">
        <f t="shared" si="24"/>
        <v>-3.1145632087676511E-2</v>
      </c>
      <c r="O430" s="12">
        <f t="shared" si="25"/>
        <v>-2.0775362863803881E-2</v>
      </c>
    </row>
    <row r="431" spans="5:15" ht="30" customHeight="1" x14ac:dyDescent="0.3">
      <c r="E431" s="27">
        <v>44930</v>
      </c>
      <c r="F431" s="28">
        <v>41.800747000000001</v>
      </c>
      <c r="G431" s="29">
        <v>105334</v>
      </c>
      <c r="H431" s="10">
        <f t="shared" si="23"/>
        <v>-3.9641533539161888E-2</v>
      </c>
      <c r="I431" s="12">
        <f t="shared" si="23"/>
        <v>1.1212871762379173E-2</v>
      </c>
      <c r="K431" s="27">
        <v>41.800747000000001</v>
      </c>
      <c r="L431" s="28">
        <v>9663.91</v>
      </c>
      <c r="M431" s="29">
        <v>105334</v>
      </c>
      <c r="N431" s="10">
        <f t="shared" si="24"/>
        <v>7.3424944258959624E-3</v>
      </c>
      <c r="O431" s="12">
        <f t="shared" si="25"/>
        <v>1.1212871762379173E-2</v>
      </c>
    </row>
    <row r="432" spans="5:15" ht="30" customHeight="1" x14ac:dyDescent="0.3">
      <c r="E432" s="27">
        <v>44931</v>
      </c>
      <c r="F432" s="28">
        <v>43.456825000000002</v>
      </c>
      <c r="G432" s="29">
        <v>107518</v>
      </c>
      <c r="H432" s="10">
        <f t="shared" si="23"/>
        <v>3.9618382896362991E-2</v>
      </c>
      <c r="I432" s="12">
        <f t="shared" si="23"/>
        <v>2.0734045987050642E-2</v>
      </c>
      <c r="K432" s="27">
        <v>43.456825000000002</v>
      </c>
      <c r="L432" s="28">
        <v>9956.59</v>
      </c>
      <c r="M432" s="29">
        <v>107518</v>
      </c>
      <c r="N432" s="10">
        <f t="shared" si="24"/>
        <v>3.0285878076265149E-2</v>
      </c>
      <c r="O432" s="12">
        <f t="shared" si="25"/>
        <v>2.0734045987050642E-2</v>
      </c>
    </row>
    <row r="433" spans="5:15" ht="30" customHeight="1" x14ac:dyDescent="0.3">
      <c r="E433" s="27">
        <v>44932</v>
      </c>
      <c r="F433" s="28">
        <v>41.878784000000003</v>
      </c>
      <c r="G433" s="29">
        <v>108836</v>
      </c>
      <c r="H433" s="10">
        <f t="shared" si="23"/>
        <v>-3.6312846140968635E-2</v>
      </c>
      <c r="I433" s="12">
        <f t="shared" si="23"/>
        <v>1.2258412544876141E-2</v>
      </c>
      <c r="K433" s="27">
        <v>41.878784000000003</v>
      </c>
      <c r="L433" s="28">
        <v>10154.6</v>
      </c>
      <c r="M433" s="29">
        <v>108836</v>
      </c>
      <c r="N433" s="10">
        <f t="shared" si="24"/>
        <v>1.9887330903451961E-2</v>
      </c>
      <c r="O433" s="12">
        <f t="shared" si="25"/>
        <v>1.2258412544876141E-2</v>
      </c>
    </row>
    <row r="434" spans="5:15" ht="30" customHeight="1" x14ac:dyDescent="0.3">
      <c r="E434" s="27">
        <v>44935</v>
      </c>
      <c r="F434" s="28">
        <v>41.887455000000003</v>
      </c>
      <c r="G434" s="29">
        <v>109227</v>
      </c>
      <c r="H434" s="10">
        <f t="shared" si="23"/>
        <v>2.0704994681786104E-4</v>
      </c>
      <c r="I434" s="12">
        <f t="shared" si="23"/>
        <v>3.5925612848690669E-3</v>
      </c>
      <c r="K434" s="27">
        <v>41.887455000000003</v>
      </c>
      <c r="L434" s="28">
        <v>10138.36</v>
      </c>
      <c r="M434" s="29">
        <v>109227</v>
      </c>
      <c r="N434" s="10">
        <f t="shared" si="24"/>
        <v>-1.5992752053256565E-3</v>
      </c>
      <c r="O434" s="12">
        <f t="shared" si="25"/>
        <v>3.5925612848690669E-3</v>
      </c>
    </row>
    <row r="435" spans="5:15" ht="30" customHeight="1" x14ac:dyDescent="0.3">
      <c r="E435" s="27">
        <v>44936</v>
      </c>
      <c r="F435" s="28">
        <v>43.335438000000003</v>
      </c>
      <c r="G435" s="29">
        <v>110912</v>
      </c>
      <c r="H435" s="10">
        <f t="shared" si="23"/>
        <v>3.4568416725246243E-2</v>
      </c>
      <c r="I435" s="12">
        <f t="shared" si="23"/>
        <v>1.542658866397506E-2</v>
      </c>
      <c r="K435" s="27">
        <v>43.335438000000003</v>
      </c>
      <c r="L435" s="28">
        <v>10410.620000000001</v>
      </c>
      <c r="M435" s="29">
        <v>110912</v>
      </c>
      <c r="N435" s="10">
        <f t="shared" si="24"/>
        <v>2.6854441941300156E-2</v>
      </c>
      <c r="O435" s="12">
        <f t="shared" si="25"/>
        <v>1.542658866397506E-2</v>
      </c>
    </row>
    <row r="436" spans="5:15" ht="30" customHeight="1" x14ac:dyDescent="0.3">
      <c r="E436" s="27">
        <v>44937</v>
      </c>
      <c r="F436" s="28">
        <v>43.396129999999999</v>
      </c>
      <c r="G436" s="29">
        <v>111763</v>
      </c>
      <c r="H436" s="10">
        <f t="shared" si="23"/>
        <v>1.4005165933708152E-3</v>
      </c>
      <c r="I436" s="12">
        <f t="shared" si="23"/>
        <v>7.6727495672244128E-3</v>
      </c>
      <c r="K436" s="27">
        <v>43.396129999999999</v>
      </c>
      <c r="L436" s="28">
        <v>10615.24</v>
      </c>
      <c r="M436" s="29">
        <v>111763</v>
      </c>
      <c r="N436" s="10">
        <f t="shared" si="24"/>
        <v>1.9654929293356105E-2</v>
      </c>
      <c r="O436" s="12">
        <f t="shared" si="25"/>
        <v>7.6727495672244128E-3</v>
      </c>
    </row>
    <row r="437" spans="5:15" ht="30" customHeight="1" x14ac:dyDescent="0.3">
      <c r="E437" s="27">
        <v>44938</v>
      </c>
      <c r="F437" s="28">
        <v>43.352778999999998</v>
      </c>
      <c r="G437" s="29">
        <v>111877</v>
      </c>
      <c r="H437" s="10">
        <f t="shared" si="23"/>
        <v>-9.9896004551558448E-4</v>
      </c>
      <c r="I437" s="12">
        <f t="shared" si="23"/>
        <v>1.0200155686586054E-3</v>
      </c>
      <c r="K437" s="27">
        <v>43.352778999999998</v>
      </c>
      <c r="L437" s="28">
        <v>10462.24</v>
      </c>
      <c r="M437" s="29">
        <v>111877</v>
      </c>
      <c r="N437" s="10">
        <f t="shared" si="24"/>
        <v>-1.4413239832542613E-2</v>
      </c>
      <c r="O437" s="12">
        <f t="shared" si="25"/>
        <v>1.0200155686586054E-3</v>
      </c>
    </row>
    <row r="438" spans="5:15" ht="30" customHeight="1" x14ac:dyDescent="0.3">
      <c r="E438" s="27">
        <v>44939</v>
      </c>
      <c r="F438" s="28">
        <v>43.344112000000003</v>
      </c>
      <c r="G438" s="29">
        <v>110916</v>
      </c>
      <c r="H438" s="10">
        <f t="shared" si="23"/>
        <v>-1.9991797988305748E-4</v>
      </c>
      <c r="I438" s="12">
        <f t="shared" si="23"/>
        <v>-8.5897905735763391E-3</v>
      </c>
      <c r="K438" s="27">
        <v>43.344112000000003</v>
      </c>
      <c r="L438" s="28">
        <v>10380.14</v>
      </c>
      <c r="M438" s="29">
        <v>110916</v>
      </c>
      <c r="N438" s="10">
        <f t="shared" si="24"/>
        <v>-7.8472678890945113E-3</v>
      </c>
      <c r="O438" s="12">
        <f t="shared" si="25"/>
        <v>-8.5897905735763391E-3</v>
      </c>
    </row>
    <row r="439" spans="5:15" ht="30" customHeight="1" x14ac:dyDescent="0.3">
      <c r="E439" s="27">
        <v>44942</v>
      </c>
      <c r="F439" s="28">
        <v>43.309424999999997</v>
      </c>
      <c r="G439" s="29">
        <v>109213</v>
      </c>
      <c r="H439" s="10">
        <f t="shared" si="23"/>
        <v>-8.002701727977124E-4</v>
      </c>
      <c r="I439" s="12">
        <f t="shared" si="23"/>
        <v>-1.5353961556493156E-2</v>
      </c>
      <c r="K439" s="27">
        <v>43.309424999999997</v>
      </c>
      <c r="L439" s="28">
        <v>10200.33</v>
      </c>
      <c r="M439" s="29">
        <v>109213</v>
      </c>
      <c r="N439" s="10">
        <f t="shared" si="24"/>
        <v>-1.7322502393994688E-2</v>
      </c>
      <c r="O439" s="12">
        <f t="shared" si="25"/>
        <v>-1.5353961556493156E-2</v>
      </c>
    </row>
    <row r="440" spans="5:15" ht="30" customHeight="1" x14ac:dyDescent="0.3">
      <c r="E440" s="27">
        <v>44943</v>
      </c>
      <c r="F440" s="28">
        <v>42.485725000000002</v>
      </c>
      <c r="G440" s="29">
        <v>111439</v>
      </c>
      <c r="H440" s="10">
        <f t="shared" si="23"/>
        <v>-1.9018954881067973E-2</v>
      </c>
      <c r="I440" s="12">
        <f t="shared" si="23"/>
        <v>2.0382188933551815E-2</v>
      </c>
      <c r="K440" s="27">
        <v>42.485725000000002</v>
      </c>
      <c r="L440" s="28">
        <v>10392.02</v>
      </c>
      <c r="M440" s="29">
        <v>111439</v>
      </c>
      <c r="N440" s="10">
        <f t="shared" si="24"/>
        <v>1.8792529261308255E-2</v>
      </c>
      <c r="O440" s="12">
        <f t="shared" si="25"/>
        <v>2.0382188933551815E-2</v>
      </c>
    </row>
    <row r="441" spans="5:15" ht="30" customHeight="1" x14ac:dyDescent="0.3">
      <c r="E441" s="27">
        <v>44944</v>
      </c>
      <c r="F441" s="28">
        <v>43.656246000000003</v>
      </c>
      <c r="G441" s="29">
        <v>112452</v>
      </c>
      <c r="H441" s="10">
        <f t="shared" si="23"/>
        <v>2.7550924457567794E-2</v>
      </c>
      <c r="I441" s="12">
        <f t="shared" si="23"/>
        <v>9.0901748938880811E-3</v>
      </c>
      <c r="K441" s="27">
        <v>43.656246000000003</v>
      </c>
      <c r="L441" s="28">
        <v>10529.65</v>
      </c>
      <c r="M441" s="29">
        <v>112452</v>
      </c>
      <c r="N441" s="10">
        <f t="shared" si="24"/>
        <v>1.3243815927990843E-2</v>
      </c>
      <c r="O441" s="12">
        <f t="shared" si="25"/>
        <v>9.0901748938880811E-3</v>
      </c>
    </row>
    <row r="442" spans="5:15" ht="30" customHeight="1" x14ac:dyDescent="0.3">
      <c r="E442" s="27">
        <v>44945</v>
      </c>
      <c r="F442" s="28">
        <v>44.349894999999997</v>
      </c>
      <c r="G442" s="29">
        <v>113006</v>
      </c>
      <c r="H442" s="10">
        <f t="shared" si="23"/>
        <v>1.5888883345581251E-2</v>
      </c>
      <c r="I442" s="12">
        <f t="shared" si="23"/>
        <v>4.9265464375911616E-3</v>
      </c>
      <c r="K442" s="27">
        <v>44.349894999999997</v>
      </c>
      <c r="L442" s="28">
        <v>10535.11</v>
      </c>
      <c r="M442" s="29">
        <v>113006</v>
      </c>
      <c r="N442" s="10">
        <f t="shared" si="24"/>
        <v>5.1853575380000905E-4</v>
      </c>
      <c r="O442" s="12">
        <f t="shared" si="25"/>
        <v>4.9265464375911616E-3</v>
      </c>
    </row>
    <row r="443" spans="5:15" ht="30" customHeight="1" x14ac:dyDescent="0.3">
      <c r="E443" s="27">
        <v>44946</v>
      </c>
      <c r="F443" s="28">
        <v>45.000186999999997</v>
      </c>
      <c r="G443" s="29">
        <v>112301</v>
      </c>
      <c r="H443" s="10">
        <f t="shared" si="23"/>
        <v>1.4662763012178504E-2</v>
      </c>
      <c r="I443" s="12">
        <f t="shared" si="23"/>
        <v>-6.238606799638946E-3</v>
      </c>
      <c r="K443" s="27">
        <v>45.000186999999997</v>
      </c>
      <c r="L443" s="28">
        <v>10427.23</v>
      </c>
      <c r="M443" s="29">
        <v>112301</v>
      </c>
      <c r="N443" s="10">
        <f t="shared" si="24"/>
        <v>-1.0240044954442862E-2</v>
      </c>
      <c r="O443" s="12">
        <f t="shared" si="25"/>
        <v>-6.238606799638946E-3</v>
      </c>
    </row>
    <row r="444" spans="5:15" ht="30" customHeight="1" x14ac:dyDescent="0.3">
      <c r="E444" s="27">
        <v>44949</v>
      </c>
      <c r="F444" s="28">
        <v>45.078220000000002</v>
      </c>
      <c r="G444" s="29">
        <v>111709</v>
      </c>
      <c r="H444" s="10">
        <f t="shared" si="23"/>
        <v>1.7340594606862769E-3</v>
      </c>
      <c r="I444" s="12">
        <f t="shared" si="23"/>
        <v>-5.271547003143362E-3</v>
      </c>
      <c r="K444" s="27">
        <v>45.078220000000002</v>
      </c>
      <c r="L444" s="28">
        <v>10214.9</v>
      </c>
      <c r="M444" s="29">
        <v>111709</v>
      </c>
      <c r="N444" s="10">
        <f t="shared" si="24"/>
        <v>-2.0363030258275683E-2</v>
      </c>
      <c r="O444" s="12">
        <f t="shared" si="25"/>
        <v>-5.271547003143362E-3</v>
      </c>
    </row>
    <row r="445" spans="5:15" ht="30" customHeight="1" x14ac:dyDescent="0.3">
      <c r="E445" s="27">
        <v>44950</v>
      </c>
      <c r="F445" s="28">
        <v>44.991512</v>
      </c>
      <c r="G445" s="29">
        <v>113028</v>
      </c>
      <c r="H445" s="10">
        <f t="shared" si="23"/>
        <v>-1.9235009723099772E-3</v>
      </c>
      <c r="I445" s="12">
        <f t="shared" si="23"/>
        <v>1.1807464036022175E-2</v>
      </c>
      <c r="K445" s="27">
        <v>44.991512</v>
      </c>
      <c r="L445" s="28">
        <v>10322.69</v>
      </c>
      <c r="M445" s="29">
        <v>113028</v>
      </c>
      <c r="N445" s="10">
        <f t="shared" si="24"/>
        <v>1.055223252307913E-2</v>
      </c>
      <c r="O445" s="12">
        <f t="shared" si="25"/>
        <v>1.1807464036022175E-2</v>
      </c>
    </row>
    <row r="446" spans="5:15" ht="30" customHeight="1" x14ac:dyDescent="0.3">
      <c r="E446" s="27">
        <v>44951</v>
      </c>
      <c r="F446" s="28">
        <v>45.078220000000002</v>
      </c>
      <c r="G446" s="29">
        <v>114195</v>
      </c>
      <c r="H446" s="10">
        <f t="shared" si="23"/>
        <v>1.9272079586922786E-3</v>
      </c>
      <c r="I446" s="12">
        <f t="shared" si="23"/>
        <v>1.0324875252149868E-2</v>
      </c>
      <c r="K446" s="27">
        <v>45.078220000000002</v>
      </c>
      <c r="L446" s="28">
        <v>10442.27</v>
      </c>
      <c r="M446" s="29">
        <v>114195</v>
      </c>
      <c r="N446" s="10">
        <f t="shared" si="24"/>
        <v>1.158418977998954E-2</v>
      </c>
      <c r="O446" s="12">
        <f t="shared" si="25"/>
        <v>1.0324875252149868E-2</v>
      </c>
    </row>
    <row r="447" spans="5:15" ht="30" customHeight="1" x14ac:dyDescent="0.3">
      <c r="E447" s="27">
        <v>44952</v>
      </c>
      <c r="F447" s="28">
        <v>45.780532999999998</v>
      </c>
      <c r="G447" s="29">
        <v>114109</v>
      </c>
      <c r="H447" s="10">
        <f t="shared" si="23"/>
        <v>1.5579874271876681E-2</v>
      </c>
      <c r="I447" s="12">
        <f t="shared" si="23"/>
        <v>-7.5309777135601497E-4</v>
      </c>
      <c r="K447" s="27">
        <v>45.780532999999998</v>
      </c>
      <c r="L447" s="28">
        <v>10445.89</v>
      </c>
      <c r="M447" s="29">
        <v>114109</v>
      </c>
      <c r="N447" s="10">
        <f t="shared" si="24"/>
        <v>3.4666791799087271E-4</v>
      </c>
      <c r="O447" s="12">
        <f t="shared" si="25"/>
        <v>-7.5309777135601497E-4</v>
      </c>
    </row>
    <row r="448" spans="5:15" ht="30" customHeight="1" x14ac:dyDescent="0.3">
      <c r="E448" s="27">
        <v>44953</v>
      </c>
      <c r="F448" s="28">
        <v>45.520415999999997</v>
      </c>
      <c r="G448" s="29">
        <v>112502</v>
      </c>
      <c r="H448" s="10">
        <f t="shared" si="23"/>
        <v>-5.681825504303295E-3</v>
      </c>
      <c r="I448" s="12">
        <f t="shared" si="23"/>
        <v>-1.4083025878765087E-2</v>
      </c>
      <c r="K448" s="27">
        <v>45.520415999999997</v>
      </c>
      <c r="L448" s="28">
        <v>10234.540000000001</v>
      </c>
      <c r="M448" s="29">
        <v>112502</v>
      </c>
      <c r="N448" s="10">
        <f t="shared" si="24"/>
        <v>-2.0232837986997598E-2</v>
      </c>
      <c r="O448" s="12">
        <f t="shared" si="25"/>
        <v>-1.4083025878765087E-2</v>
      </c>
    </row>
    <row r="449" spans="5:15" ht="30" customHeight="1" x14ac:dyDescent="0.3">
      <c r="E449" s="27">
        <v>44956</v>
      </c>
      <c r="F449" s="28">
        <v>46.716957000000001</v>
      </c>
      <c r="G449" s="29">
        <v>111888</v>
      </c>
      <c r="H449" s="10">
        <f t="shared" si="23"/>
        <v>2.6285809866060994E-2</v>
      </c>
      <c r="I449" s="12">
        <f t="shared" si="23"/>
        <v>-5.4576807523422088E-3</v>
      </c>
      <c r="K449" s="27">
        <v>46.716957000000001</v>
      </c>
      <c r="L449" s="28">
        <v>10304.48</v>
      </c>
      <c r="M449" s="29">
        <v>111888</v>
      </c>
      <c r="N449" s="10">
        <f t="shared" si="24"/>
        <v>6.8337218868652627E-3</v>
      </c>
      <c r="O449" s="12">
        <f t="shared" si="25"/>
        <v>-5.4576807523422088E-3</v>
      </c>
    </row>
    <row r="450" spans="5:15" ht="30" customHeight="1" x14ac:dyDescent="0.3">
      <c r="E450" s="27">
        <v>44957</v>
      </c>
      <c r="F450" s="28">
        <v>46.812331999999998</v>
      </c>
      <c r="G450" s="29">
        <v>113532</v>
      </c>
      <c r="H450" s="10">
        <f t="shared" si="23"/>
        <v>2.0415499237247392E-3</v>
      </c>
      <c r="I450" s="12">
        <f t="shared" si="23"/>
        <v>1.4693264693264707E-2</v>
      </c>
      <c r="K450" s="27">
        <v>46.812331999999998</v>
      </c>
      <c r="L450" s="28">
        <v>10403.469999999999</v>
      </c>
      <c r="M450" s="29">
        <v>113532</v>
      </c>
      <c r="N450" s="10">
        <f t="shared" si="24"/>
        <v>9.606501249941779E-3</v>
      </c>
      <c r="O450" s="12">
        <f t="shared" si="25"/>
        <v>1.4693264693264707E-2</v>
      </c>
    </row>
    <row r="451" spans="5:15" ht="30" customHeight="1" x14ac:dyDescent="0.3">
      <c r="E451" s="27">
        <v>44958</v>
      </c>
      <c r="F451" s="28">
        <v>47.792102999999997</v>
      </c>
      <c r="G451" s="29">
        <v>112303</v>
      </c>
      <c r="H451" s="10">
        <f t="shared" si="23"/>
        <v>2.0929762695863996E-2</v>
      </c>
      <c r="I451" s="12">
        <f t="shared" si="23"/>
        <v>-1.0825141810238526E-2</v>
      </c>
      <c r="K451" s="27">
        <v>47.792102999999997</v>
      </c>
      <c r="L451" s="28">
        <v>10238.49</v>
      </c>
      <c r="M451" s="29">
        <v>112303</v>
      </c>
      <c r="N451" s="10">
        <f t="shared" si="24"/>
        <v>-1.5858170398914906E-2</v>
      </c>
      <c r="O451" s="12">
        <f t="shared" si="25"/>
        <v>-1.0825141810238526E-2</v>
      </c>
    </row>
    <row r="452" spans="5:15" ht="30" customHeight="1" x14ac:dyDescent="0.3">
      <c r="E452" s="27">
        <v>44959</v>
      </c>
      <c r="F452" s="28">
        <v>51.069575999999998</v>
      </c>
      <c r="G452" s="29">
        <v>109935</v>
      </c>
      <c r="H452" s="10">
        <f t="shared" si="23"/>
        <v>6.8577710422158988E-2</v>
      </c>
      <c r="I452" s="12">
        <f t="shared" si="23"/>
        <v>-2.1085812489425981E-2</v>
      </c>
      <c r="K452" s="27">
        <v>51.069575999999998</v>
      </c>
      <c r="L452" s="28">
        <v>10251.209999999999</v>
      </c>
      <c r="M452" s="29">
        <v>109935</v>
      </c>
      <c r="N452" s="10">
        <f t="shared" si="24"/>
        <v>1.2423707011481877E-3</v>
      </c>
      <c r="O452" s="12">
        <f t="shared" si="25"/>
        <v>-2.1085812489425981E-2</v>
      </c>
    </row>
    <row r="453" spans="5:15" ht="30" customHeight="1" x14ac:dyDescent="0.3">
      <c r="E453" s="27">
        <v>44960</v>
      </c>
      <c r="F453" s="28">
        <v>50.982868000000003</v>
      </c>
      <c r="G453" s="29">
        <v>108490</v>
      </c>
      <c r="H453" s="10">
        <f t="shared" si="23"/>
        <v>-1.6978406086628484E-3</v>
      </c>
      <c r="I453" s="12">
        <f t="shared" si="23"/>
        <v>-1.3144130622640637E-2</v>
      </c>
      <c r="K453" s="27">
        <v>50.982868000000003</v>
      </c>
      <c r="L453" s="28">
        <v>10030.370000000001</v>
      </c>
      <c r="M453" s="29">
        <v>108490</v>
      </c>
      <c r="N453" s="10">
        <f t="shared" si="24"/>
        <v>-2.1542822749704538E-2</v>
      </c>
      <c r="O453" s="12">
        <f t="shared" si="25"/>
        <v>-1.3144130622640637E-2</v>
      </c>
    </row>
    <row r="454" spans="5:15" ht="30" customHeight="1" x14ac:dyDescent="0.3">
      <c r="E454" s="27">
        <v>44963</v>
      </c>
      <c r="F454" s="28">
        <v>51.451079999999997</v>
      </c>
      <c r="G454" s="29">
        <v>108456</v>
      </c>
      <c r="H454" s="10">
        <f t="shared" si="23"/>
        <v>9.1837124580749219E-3</v>
      </c>
      <c r="I454" s="12">
        <f t="shared" si="23"/>
        <v>-3.1339293944143698E-4</v>
      </c>
      <c r="K454" s="27">
        <v>51.451079999999997</v>
      </c>
      <c r="L454" s="28">
        <v>10053.09</v>
      </c>
      <c r="M454" s="29">
        <v>108456</v>
      </c>
      <c r="N454" s="10">
        <f t="shared" si="24"/>
        <v>2.2651208280450863E-3</v>
      </c>
      <c r="O454" s="12">
        <f t="shared" si="25"/>
        <v>-3.1339293944143698E-4</v>
      </c>
    </row>
    <row r="455" spans="5:15" ht="30" customHeight="1" x14ac:dyDescent="0.3">
      <c r="E455" s="27">
        <v>44964</v>
      </c>
      <c r="F455" s="28">
        <v>52.890391999999999</v>
      </c>
      <c r="G455" s="29">
        <v>107920</v>
      </c>
      <c r="H455" s="10">
        <f t="shared" si="23"/>
        <v>2.7974378769114239E-2</v>
      </c>
      <c r="I455" s="12">
        <f t="shared" si="23"/>
        <v>-4.9420963339972257E-3</v>
      </c>
      <c r="K455" s="27">
        <v>52.890391999999999</v>
      </c>
      <c r="L455" s="28">
        <v>9927.32</v>
      </c>
      <c r="M455" s="29">
        <v>107920</v>
      </c>
      <c r="N455" s="10">
        <f t="shared" si="24"/>
        <v>-1.2510581323752268E-2</v>
      </c>
      <c r="O455" s="12">
        <f t="shared" si="25"/>
        <v>-4.9420963339972257E-3</v>
      </c>
    </row>
    <row r="456" spans="5:15" ht="30" customHeight="1" x14ac:dyDescent="0.3">
      <c r="E456" s="27">
        <v>44965</v>
      </c>
      <c r="F456" s="28">
        <v>53.766117000000001</v>
      </c>
      <c r="G456" s="29">
        <v>109882</v>
      </c>
      <c r="H456" s="10">
        <f t="shared" si="23"/>
        <v>1.6557355067438495E-2</v>
      </c>
      <c r="I456" s="12">
        <f t="shared" si="23"/>
        <v>1.8180133432172063E-2</v>
      </c>
      <c r="K456" s="27">
        <v>53.766117000000001</v>
      </c>
      <c r="L456" s="28">
        <v>10383.540000000001</v>
      </c>
      <c r="M456" s="29">
        <v>109882</v>
      </c>
      <c r="N456" s="10">
        <f t="shared" si="24"/>
        <v>4.5956008268092541E-2</v>
      </c>
      <c r="O456" s="12">
        <f t="shared" si="25"/>
        <v>1.8180133432172063E-2</v>
      </c>
    </row>
    <row r="457" spans="5:15" ht="30" customHeight="1" x14ac:dyDescent="0.3">
      <c r="E457" s="27">
        <v>44966</v>
      </c>
      <c r="F457" s="28">
        <v>54.537799999999997</v>
      </c>
      <c r="G457" s="29">
        <v>107783</v>
      </c>
      <c r="H457" s="10">
        <f t="shared" si="23"/>
        <v>1.4352589382640391E-2</v>
      </c>
      <c r="I457" s="12">
        <f t="shared" si="23"/>
        <v>-1.9102309750459567E-2</v>
      </c>
      <c r="K457" s="27">
        <v>54.537799999999997</v>
      </c>
      <c r="L457" s="28">
        <v>10121.209999999999</v>
      </c>
      <c r="M457" s="29">
        <v>107783</v>
      </c>
      <c r="N457" s="10">
        <f t="shared" si="24"/>
        <v>-2.5264023637410871E-2</v>
      </c>
      <c r="O457" s="12">
        <f t="shared" si="25"/>
        <v>-1.9102309750459567E-2</v>
      </c>
    </row>
    <row r="458" spans="5:15" ht="30" customHeight="1" x14ac:dyDescent="0.3">
      <c r="E458" s="27">
        <v>44967</v>
      </c>
      <c r="F458" s="28">
        <v>54.797916000000001</v>
      </c>
      <c r="G458" s="29">
        <v>108150</v>
      </c>
      <c r="H458" s="10">
        <f t="shared" si="23"/>
        <v>4.7694626479248825E-3</v>
      </c>
      <c r="I458" s="12">
        <f t="shared" si="23"/>
        <v>3.4049896551404668E-3</v>
      </c>
      <c r="K458" s="27">
        <v>54.797916000000001</v>
      </c>
      <c r="L458" s="28">
        <v>10030.9</v>
      </c>
      <c r="M458" s="29">
        <v>108150</v>
      </c>
      <c r="N458" s="10">
        <f t="shared" si="24"/>
        <v>-8.9228461814347959E-3</v>
      </c>
      <c r="O458" s="12">
        <f t="shared" si="25"/>
        <v>3.4049896551404668E-3</v>
      </c>
    </row>
    <row r="459" spans="5:15" ht="30" customHeight="1" x14ac:dyDescent="0.3">
      <c r="E459" s="27">
        <v>44970</v>
      </c>
      <c r="F459" s="28">
        <v>53.670741999999997</v>
      </c>
      <c r="G459" s="29">
        <v>108846</v>
      </c>
      <c r="H459" s="10">
        <f t="shared" si="23"/>
        <v>-2.0569650860445154E-2</v>
      </c>
      <c r="I459" s="12">
        <f t="shared" si="23"/>
        <v>6.4355062413314901E-3</v>
      </c>
      <c r="K459" s="27">
        <v>53.670741999999997</v>
      </c>
      <c r="L459" s="28">
        <v>10243.35</v>
      </c>
      <c r="M459" s="29">
        <v>108846</v>
      </c>
      <c r="N459" s="10">
        <f t="shared" si="24"/>
        <v>2.1179555174510867E-2</v>
      </c>
      <c r="O459" s="12">
        <f t="shared" si="25"/>
        <v>6.4355062413314901E-3</v>
      </c>
    </row>
    <row r="460" spans="5:15" ht="30" customHeight="1" x14ac:dyDescent="0.3">
      <c r="E460" s="27">
        <v>44971</v>
      </c>
      <c r="F460" s="28">
        <v>54.104270999999997</v>
      </c>
      <c r="G460" s="29">
        <v>107659</v>
      </c>
      <c r="H460" s="10">
        <f t="shared" si="23"/>
        <v>8.0775667308643495E-3</v>
      </c>
      <c r="I460" s="12">
        <f t="shared" si="23"/>
        <v>-1.090531576723075E-2</v>
      </c>
      <c r="K460" s="27">
        <v>54.104270999999997</v>
      </c>
      <c r="L460" s="28">
        <v>10166.17</v>
      </c>
      <c r="M460" s="29">
        <v>107659</v>
      </c>
      <c r="N460" s="10">
        <f t="shared" si="24"/>
        <v>-7.5346444278483471E-3</v>
      </c>
      <c r="O460" s="12">
        <f t="shared" si="25"/>
        <v>-1.090531576723075E-2</v>
      </c>
    </row>
    <row r="461" spans="5:15" ht="30" customHeight="1" x14ac:dyDescent="0.3">
      <c r="E461" s="27">
        <v>44972</v>
      </c>
      <c r="F461" s="28">
        <v>52.205418000000002</v>
      </c>
      <c r="G461" s="29">
        <v>109442</v>
      </c>
      <c r="H461" s="10">
        <f t="shared" si="23"/>
        <v>-3.5096175678995811E-2</v>
      </c>
      <c r="I461" s="12">
        <f t="shared" si="23"/>
        <v>1.6561550822504323E-2</v>
      </c>
      <c r="K461" s="27">
        <v>52.205418000000002</v>
      </c>
      <c r="L461" s="28">
        <v>10342.27</v>
      </c>
      <c r="M461" s="29">
        <v>109442</v>
      </c>
      <c r="N461" s="10">
        <f t="shared" si="24"/>
        <v>1.7322157705409236E-2</v>
      </c>
      <c r="O461" s="12">
        <f t="shared" si="25"/>
        <v>1.6561550822504323E-2</v>
      </c>
    </row>
    <row r="462" spans="5:15" ht="30" customHeight="1" x14ac:dyDescent="0.3">
      <c r="E462" s="27">
        <v>44973</v>
      </c>
      <c r="F462" s="28">
        <v>52.890391999999999</v>
      </c>
      <c r="G462" s="29">
        <v>109905</v>
      </c>
      <c r="H462" s="10">
        <f t="shared" si="23"/>
        <v>1.312074543680497E-2</v>
      </c>
      <c r="I462" s="12">
        <f t="shared" si="23"/>
        <v>4.2305513422635777E-3</v>
      </c>
      <c r="K462" s="27">
        <v>52.890391999999999</v>
      </c>
      <c r="L462" s="28">
        <v>10392.76</v>
      </c>
      <c r="M462" s="29">
        <v>109905</v>
      </c>
      <c r="N462" s="10">
        <f t="shared" si="24"/>
        <v>4.8819069701331319E-3</v>
      </c>
      <c r="O462" s="12">
        <f t="shared" si="25"/>
        <v>4.2305513422635777E-3</v>
      </c>
    </row>
    <row r="463" spans="5:15" ht="30" customHeight="1" x14ac:dyDescent="0.3">
      <c r="E463" s="27">
        <v>44974</v>
      </c>
      <c r="F463" s="28">
        <v>54.130282999999999</v>
      </c>
      <c r="G463" s="29">
        <v>109303</v>
      </c>
      <c r="H463" s="10">
        <f t="shared" si="23"/>
        <v>2.3442650982809843E-2</v>
      </c>
      <c r="I463" s="12">
        <f t="shared" si="23"/>
        <v>-5.4774578044675115E-3</v>
      </c>
      <c r="K463" s="27">
        <v>54.130282999999999</v>
      </c>
      <c r="L463" s="28">
        <v>10319.75</v>
      </c>
      <c r="M463" s="29">
        <v>109303</v>
      </c>
      <c r="N463" s="10">
        <f t="shared" si="24"/>
        <v>-7.0250828461352333E-3</v>
      </c>
      <c r="O463" s="12">
        <f t="shared" si="25"/>
        <v>-5.4774578044675115E-3</v>
      </c>
    </row>
    <row r="464" spans="5:15" ht="30" customHeight="1" x14ac:dyDescent="0.3">
      <c r="E464" s="27">
        <v>44979</v>
      </c>
      <c r="F464" s="28">
        <v>53.818142000000002</v>
      </c>
      <c r="G464" s="29">
        <v>107152</v>
      </c>
      <c r="H464" s="10">
        <f t="shared" si="23"/>
        <v>-5.7664764102562938E-3</v>
      </c>
      <c r="I464" s="12">
        <f t="shared" si="23"/>
        <v>-1.9679240277028054E-2</v>
      </c>
      <c r="K464" s="27">
        <v>53.818142000000002</v>
      </c>
      <c r="L464" s="28">
        <v>10150.56</v>
      </c>
      <c r="M464" s="29">
        <v>107152</v>
      </c>
      <c r="N464" s="10">
        <f t="shared" si="24"/>
        <v>-1.6394777005256933E-2</v>
      </c>
      <c r="O464" s="12">
        <f t="shared" si="25"/>
        <v>-1.9679240277028054E-2</v>
      </c>
    </row>
    <row r="465" spans="5:15" ht="30" customHeight="1" x14ac:dyDescent="0.3">
      <c r="E465" s="27">
        <v>44980</v>
      </c>
      <c r="F465" s="28">
        <v>54.182307999999999</v>
      </c>
      <c r="G465" s="29">
        <v>107720</v>
      </c>
      <c r="H465" s="10">
        <f t="shared" si="23"/>
        <v>6.7666029793447269E-3</v>
      </c>
      <c r="I465" s="12">
        <f t="shared" si="23"/>
        <v>5.3008809914887323E-3</v>
      </c>
      <c r="K465" s="27">
        <v>54.182307999999999</v>
      </c>
      <c r="L465" s="28">
        <v>10149.27</v>
      </c>
      <c r="M465" s="29">
        <v>107720</v>
      </c>
      <c r="N465" s="10">
        <f t="shared" si="24"/>
        <v>-1.2708658438542741E-4</v>
      </c>
      <c r="O465" s="12">
        <f t="shared" si="25"/>
        <v>5.3008809914887323E-3</v>
      </c>
    </row>
    <row r="466" spans="5:15" ht="30" customHeight="1" x14ac:dyDescent="0.3">
      <c r="E466" s="27">
        <v>44981</v>
      </c>
      <c r="F466" s="28">
        <v>54.182307999999999</v>
      </c>
      <c r="G466" s="29">
        <v>105873</v>
      </c>
      <c r="H466" s="10">
        <f t="shared" si="23"/>
        <v>0</v>
      </c>
      <c r="I466" s="12">
        <f t="shared" si="23"/>
        <v>-1.7146305235796522E-2</v>
      </c>
      <c r="K466" s="27">
        <v>54.182307999999999</v>
      </c>
      <c r="L466" s="28">
        <v>9881.94</v>
      </c>
      <c r="M466" s="29">
        <v>105873</v>
      </c>
      <c r="N466" s="10">
        <f t="shared" si="24"/>
        <v>-2.6339825425868102E-2</v>
      </c>
      <c r="O466" s="12">
        <f t="shared" si="25"/>
        <v>-1.7146305235796522E-2</v>
      </c>
    </row>
    <row r="467" spans="5:15" ht="30" customHeight="1" x14ac:dyDescent="0.3">
      <c r="E467" s="27">
        <v>44984</v>
      </c>
      <c r="F467" s="28">
        <v>53.757446000000002</v>
      </c>
      <c r="G467" s="29">
        <v>105711</v>
      </c>
      <c r="H467" s="10">
        <f t="shared" si="23"/>
        <v>-7.8413418638423327E-3</v>
      </c>
      <c r="I467" s="12">
        <f t="shared" si="23"/>
        <v>-1.5301351619393389E-3</v>
      </c>
      <c r="K467" s="27">
        <v>53.757446000000002</v>
      </c>
      <c r="L467" s="28">
        <v>9820.64</v>
      </c>
      <c r="M467" s="29">
        <v>105711</v>
      </c>
      <c r="N467" s="10">
        <f t="shared" si="24"/>
        <v>-6.2032353970982168E-3</v>
      </c>
      <c r="O467" s="12">
        <f t="shared" si="25"/>
        <v>-1.5301351619393389E-3</v>
      </c>
    </row>
    <row r="468" spans="5:15" ht="30" customHeight="1" x14ac:dyDescent="0.3">
      <c r="E468" s="27">
        <v>44985</v>
      </c>
      <c r="F468" s="28">
        <v>53.271895999999998</v>
      </c>
      <c r="G468" s="29">
        <v>104932</v>
      </c>
      <c r="H468" s="10">
        <f t="shared" si="23"/>
        <v>-9.0322371341823304E-3</v>
      </c>
      <c r="I468" s="12">
        <f t="shared" si="23"/>
        <v>-7.3691479600042076E-3</v>
      </c>
      <c r="K468" s="27">
        <v>53.271895999999998</v>
      </c>
      <c r="L468" s="28">
        <v>9824.32</v>
      </c>
      <c r="M468" s="29">
        <v>104932</v>
      </c>
      <c r="N468" s="10">
        <f t="shared" si="24"/>
        <v>3.7472099578028661E-4</v>
      </c>
      <c r="O468" s="12">
        <f t="shared" si="25"/>
        <v>-7.3691479600042076E-3</v>
      </c>
    </row>
    <row r="469" spans="5:15" ht="30" customHeight="1" x14ac:dyDescent="0.3">
      <c r="E469" s="27">
        <v>44986</v>
      </c>
      <c r="F469" s="28">
        <v>52.881725000000003</v>
      </c>
      <c r="G469" s="29">
        <v>104385</v>
      </c>
      <c r="H469" s="10">
        <f t="shared" si="23"/>
        <v>-7.3241432968706999E-3</v>
      </c>
      <c r="I469" s="12">
        <f t="shared" si="23"/>
        <v>-5.2128997827164403E-3</v>
      </c>
      <c r="K469" s="27">
        <v>52.881725000000003</v>
      </c>
      <c r="L469" s="28">
        <v>9687.0300000000007</v>
      </c>
      <c r="M469" s="29">
        <v>104385</v>
      </c>
      <c r="N469" s="10">
        <f t="shared" si="24"/>
        <v>-1.3974504087814643E-2</v>
      </c>
      <c r="O469" s="12">
        <f t="shared" si="25"/>
        <v>-5.2128997827164403E-3</v>
      </c>
    </row>
    <row r="470" spans="5:15" ht="30" customHeight="1" x14ac:dyDescent="0.3">
      <c r="E470" s="27">
        <v>44987</v>
      </c>
      <c r="F470" s="28">
        <v>52.500216999999999</v>
      </c>
      <c r="G470" s="29">
        <v>103326</v>
      </c>
      <c r="H470" s="10">
        <f t="shared" si="23"/>
        <v>-7.2143637523170989E-3</v>
      </c>
      <c r="I470" s="12">
        <f t="shared" si="23"/>
        <v>-1.0145135795372906E-2</v>
      </c>
      <c r="K470" s="27">
        <v>52.500216999999999</v>
      </c>
      <c r="L470" s="28">
        <v>9521.6200000000008</v>
      </c>
      <c r="M470" s="29">
        <v>103326</v>
      </c>
      <c r="N470" s="10">
        <f t="shared" si="24"/>
        <v>-1.7075409077911385E-2</v>
      </c>
      <c r="O470" s="12">
        <f t="shared" si="25"/>
        <v>-1.0145135795372906E-2</v>
      </c>
    </row>
    <row r="471" spans="5:15" ht="30" customHeight="1" x14ac:dyDescent="0.3">
      <c r="E471" s="27">
        <v>44988</v>
      </c>
      <c r="F471" s="28">
        <v>52.456862999999998</v>
      </c>
      <c r="G471" s="29">
        <v>103866</v>
      </c>
      <c r="H471" s="10">
        <f t="shared" si="23"/>
        <v>-8.2578706293734427E-4</v>
      </c>
      <c r="I471" s="12">
        <f t="shared" si="23"/>
        <v>5.2261773416177881E-3</v>
      </c>
      <c r="K471" s="27">
        <v>52.456862999999998</v>
      </c>
      <c r="L471" s="28">
        <v>9533.07</v>
      </c>
      <c r="M471" s="29">
        <v>103866</v>
      </c>
      <c r="N471" s="10">
        <f t="shared" si="24"/>
        <v>1.2025264608332975E-3</v>
      </c>
      <c r="O471" s="12">
        <f t="shared" si="25"/>
        <v>5.2261773416177881E-3</v>
      </c>
    </row>
    <row r="472" spans="5:15" ht="30" customHeight="1" x14ac:dyDescent="0.3">
      <c r="E472" s="27">
        <v>44991</v>
      </c>
      <c r="F472" s="28">
        <v>52.742992000000001</v>
      </c>
      <c r="G472" s="29">
        <v>104700</v>
      </c>
      <c r="H472" s="10">
        <f t="shared" ref="H472:I535" si="26">F472/F471-1</f>
        <v>5.4545579669909028E-3</v>
      </c>
      <c r="I472" s="12">
        <f t="shared" si="26"/>
        <v>8.0295765698110699E-3</v>
      </c>
      <c r="K472" s="27">
        <v>52.742992000000001</v>
      </c>
      <c r="L472" s="28">
        <v>9778.19</v>
      </c>
      <c r="M472" s="29">
        <v>104700</v>
      </c>
      <c r="N472" s="10">
        <f t="shared" ref="N472:N535" si="27">L472/L471-1</f>
        <v>2.5712598354989513E-2</v>
      </c>
      <c r="O472" s="12">
        <f t="shared" ref="O472:O535" si="28">M472/M471-1</f>
        <v>8.0295765698110699E-3</v>
      </c>
    </row>
    <row r="473" spans="5:15" ht="30" customHeight="1" x14ac:dyDescent="0.3">
      <c r="E473" s="27">
        <v>44992</v>
      </c>
      <c r="F473" s="28">
        <v>52.734321999999999</v>
      </c>
      <c r="G473" s="29">
        <v>104228</v>
      </c>
      <c r="H473" s="10">
        <f t="shared" si="26"/>
        <v>-1.6438202823232384E-4</v>
      </c>
      <c r="I473" s="12">
        <f t="shared" si="26"/>
        <v>-4.5081184336198676E-3</v>
      </c>
      <c r="K473" s="27">
        <v>52.734321999999999</v>
      </c>
      <c r="L473" s="28">
        <v>9861.15</v>
      </c>
      <c r="M473" s="29">
        <v>104228</v>
      </c>
      <c r="N473" s="10">
        <f t="shared" si="27"/>
        <v>8.4841877689019185E-3</v>
      </c>
      <c r="O473" s="12">
        <f t="shared" si="28"/>
        <v>-4.5081184336198676E-3</v>
      </c>
    </row>
    <row r="474" spans="5:15" ht="30" customHeight="1" x14ac:dyDescent="0.3">
      <c r="E474" s="27">
        <v>44993</v>
      </c>
      <c r="F474" s="28">
        <v>51.381714000000002</v>
      </c>
      <c r="G474" s="29">
        <v>106540</v>
      </c>
      <c r="H474" s="10">
        <f t="shared" si="26"/>
        <v>-2.5649481186085898E-2</v>
      </c>
      <c r="I474" s="12">
        <f t="shared" si="26"/>
        <v>2.218213915646472E-2</v>
      </c>
      <c r="K474" s="27">
        <v>51.381714000000002</v>
      </c>
      <c r="L474" s="28">
        <v>10120.26</v>
      </c>
      <c r="M474" s="29">
        <v>106540</v>
      </c>
      <c r="N474" s="10">
        <f t="shared" si="27"/>
        <v>2.6275840038940679E-2</v>
      </c>
      <c r="O474" s="12">
        <f t="shared" si="28"/>
        <v>2.218213915646472E-2</v>
      </c>
    </row>
    <row r="475" spans="5:15" ht="30" customHeight="1" x14ac:dyDescent="0.3">
      <c r="E475" s="27">
        <v>44994</v>
      </c>
      <c r="F475" s="28">
        <v>50.029110000000003</v>
      </c>
      <c r="G475" s="29">
        <v>105071</v>
      </c>
      <c r="H475" s="10">
        <f t="shared" si="26"/>
        <v>-2.6324618131656763E-2</v>
      </c>
      <c r="I475" s="12">
        <f t="shared" si="26"/>
        <v>-1.3788248545147375E-2</v>
      </c>
      <c r="K475" s="27">
        <v>50.029110000000003</v>
      </c>
      <c r="L475" s="28">
        <v>10013</v>
      </c>
      <c r="M475" s="29">
        <v>105071</v>
      </c>
      <c r="N475" s="10">
        <f t="shared" si="27"/>
        <v>-1.0598541934693451E-2</v>
      </c>
      <c r="O475" s="12">
        <f t="shared" si="28"/>
        <v>-1.3788248545147375E-2</v>
      </c>
    </row>
    <row r="476" spans="5:15" ht="30" customHeight="1" x14ac:dyDescent="0.3">
      <c r="E476" s="27">
        <v>44995</v>
      </c>
      <c r="F476" s="28">
        <v>51.147613999999997</v>
      </c>
      <c r="G476" s="29">
        <v>103618</v>
      </c>
      <c r="H476" s="10">
        <f t="shared" si="26"/>
        <v>2.2357063717503456E-2</v>
      </c>
      <c r="I476" s="12">
        <f t="shared" si="26"/>
        <v>-1.3828744372852642E-2</v>
      </c>
      <c r="K476" s="27">
        <v>51.147613999999997</v>
      </c>
      <c r="L476" s="28">
        <v>9777.57</v>
      </c>
      <c r="M476" s="29">
        <v>103618</v>
      </c>
      <c r="N476" s="10">
        <f t="shared" si="27"/>
        <v>-2.3512433836013202E-2</v>
      </c>
      <c r="O476" s="12">
        <f t="shared" si="28"/>
        <v>-1.3828744372852642E-2</v>
      </c>
    </row>
    <row r="477" spans="5:15" ht="30" customHeight="1" x14ac:dyDescent="0.3">
      <c r="E477" s="27">
        <v>44998</v>
      </c>
      <c r="F477" s="28">
        <v>49.803673000000003</v>
      </c>
      <c r="G477" s="29">
        <v>103121</v>
      </c>
      <c r="H477" s="10">
        <f t="shared" si="26"/>
        <v>-2.6275732040990096E-2</v>
      </c>
      <c r="I477" s="12">
        <f t="shared" si="26"/>
        <v>-4.7964639348375693E-3</v>
      </c>
      <c r="K477" s="27">
        <v>49.803673000000003</v>
      </c>
      <c r="L477" s="28">
        <v>9686.8799999999992</v>
      </c>
      <c r="M477" s="29">
        <v>103121</v>
      </c>
      <c r="N477" s="10">
        <f t="shared" si="27"/>
        <v>-9.2753107367168353E-3</v>
      </c>
      <c r="O477" s="12">
        <f t="shared" si="28"/>
        <v>-4.7964639348375693E-3</v>
      </c>
    </row>
    <row r="478" spans="5:15" ht="30" customHeight="1" x14ac:dyDescent="0.3">
      <c r="E478" s="27">
        <v>44999</v>
      </c>
      <c r="F478" s="28">
        <v>50.636051000000002</v>
      </c>
      <c r="G478" s="29">
        <v>102932</v>
      </c>
      <c r="H478" s="10">
        <f t="shared" si="26"/>
        <v>1.671318498938823E-2</v>
      </c>
      <c r="I478" s="12">
        <f t="shared" si="26"/>
        <v>-1.8327983630880285E-3</v>
      </c>
      <c r="K478" s="27">
        <v>50.636051000000002</v>
      </c>
      <c r="L478" s="28">
        <v>9666.69</v>
      </c>
      <c r="M478" s="29">
        <v>102932</v>
      </c>
      <c r="N478" s="10">
        <f t="shared" si="27"/>
        <v>-2.0842624250531072E-3</v>
      </c>
      <c r="O478" s="12">
        <f t="shared" si="28"/>
        <v>-1.8327983630880285E-3</v>
      </c>
    </row>
    <row r="479" spans="5:15" ht="30" customHeight="1" x14ac:dyDescent="0.3">
      <c r="E479" s="27">
        <v>45000</v>
      </c>
      <c r="F479" s="28">
        <v>51.355701000000003</v>
      </c>
      <c r="G479" s="29">
        <v>102675</v>
      </c>
      <c r="H479" s="10">
        <f t="shared" si="26"/>
        <v>1.4212206240174607E-2</v>
      </c>
      <c r="I479" s="12">
        <f t="shared" si="26"/>
        <v>-2.4967939999223088E-3</v>
      </c>
      <c r="K479" s="27">
        <v>51.355701000000003</v>
      </c>
      <c r="L479" s="28">
        <v>9704.74</v>
      </c>
      <c r="M479" s="29">
        <v>102675</v>
      </c>
      <c r="N479" s="10">
        <f t="shared" si="27"/>
        <v>3.9361973953855323E-3</v>
      </c>
      <c r="O479" s="12">
        <f t="shared" si="28"/>
        <v>-2.4967939999223088E-3</v>
      </c>
    </row>
    <row r="480" spans="5:15" ht="30" customHeight="1" x14ac:dyDescent="0.3">
      <c r="E480" s="27">
        <v>45001</v>
      </c>
      <c r="F480" s="28">
        <v>52.274783999999997</v>
      </c>
      <c r="G480" s="29">
        <v>103435</v>
      </c>
      <c r="H480" s="10">
        <f t="shared" si="26"/>
        <v>1.7896416212875632E-2</v>
      </c>
      <c r="I480" s="12">
        <f t="shared" si="26"/>
        <v>7.4019965911857888E-3</v>
      </c>
      <c r="K480" s="27">
        <v>52.274783999999997</v>
      </c>
      <c r="L480" s="28">
        <v>9879.68</v>
      </c>
      <c r="M480" s="29">
        <v>103435</v>
      </c>
      <c r="N480" s="10">
        <f t="shared" si="27"/>
        <v>1.8026242846279183E-2</v>
      </c>
      <c r="O480" s="12">
        <f t="shared" si="28"/>
        <v>7.4019965911857888E-3</v>
      </c>
    </row>
    <row r="481" spans="5:15" ht="30" customHeight="1" x14ac:dyDescent="0.3">
      <c r="E481" s="27">
        <v>45002</v>
      </c>
      <c r="F481" s="28">
        <v>51.945301000000001</v>
      </c>
      <c r="G481" s="29">
        <v>101982</v>
      </c>
      <c r="H481" s="10">
        <f t="shared" si="26"/>
        <v>-6.3029050488280225E-3</v>
      </c>
      <c r="I481" s="12">
        <f t="shared" si="26"/>
        <v>-1.4047469425242931E-2</v>
      </c>
      <c r="K481" s="27">
        <v>51.945301000000001</v>
      </c>
      <c r="L481" s="28">
        <v>9578.2999999999993</v>
      </c>
      <c r="M481" s="29">
        <v>101982</v>
      </c>
      <c r="N481" s="10">
        <f t="shared" si="27"/>
        <v>-3.0505036600375846E-2</v>
      </c>
      <c r="O481" s="12">
        <f t="shared" si="28"/>
        <v>-1.4047469425242931E-2</v>
      </c>
    </row>
    <row r="482" spans="5:15" ht="30" customHeight="1" x14ac:dyDescent="0.3">
      <c r="E482" s="27">
        <v>45005</v>
      </c>
      <c r="F482" s="28">
        <v>50.896163999999999</v>
      </c>
      <c r="G482" s="29">
        <v>100923</v>
      </c>
      <c r="H482" s="10">
        <f t="shared" si="26"/>
        <v>-2.019695679499478E-2</v>
      </c>
      <c r="I482" s="12">
        <f t="shared" si="26"/>
        <v>-1.0384185444490157E-2</v>
      </c>
      <c r="K482" s="27">
        <v>50.896163999999999</v>
      </c>
      <c r="L482" s="28">
        <v>9515.69</v>
      </c>
      <c r="M482" s="29">
        <v>100923</v>
      </c>
      <c r="N482" s="10">
        <f t="shared" si="27"/>
        <v>-6.5366505538559938E-3</v>
      </c>
      <c r="O482" s="12">
        <f t="shared" si="28"/>
        <v>-1.0384185444490157E-2</v>
      </c>
    </row>
    <row r="483" spans="5:15" ht="30" customHeight="1" x14ac:dyDescent="0.3">
      <c r="E483" s="27">
        <v>45006</v>
      </c>
      <c r="F483" s="28">
        <v>51.598475999999998</v>
      </c>
      <c r="G483" s="29">
        <v>100998</v>
      </c>
      <c r="H483" s="10">
        <f t="shared" si="26"/>
        <v>1.3798918126717741E-2</v>
      </c>
      <c r="I483" s="12">
        <f t="shared" si="26"/>
        <v>7.4314081032067492E-4</v>
      </c>
      <c r="K483" s="27">
        <v>51.598475999999998</v>
      </c>
      <c r="L483" s="28">
        <v>9586.51</v>
      </c>
      <c r="M483" s="29">
        <v>100998</v>
      </c>
      <c r="N483" s="10">
        <f t="shared" si="27"/>
        <v>7.4424450565329092E-3</v>
      </c>
      <c r="O483" s="12">
        <f t="shared" si="28"/>
        <v>7.4314081032067492E-4</v>
      </c>
    </row>
    <row r="484" spans="5:15" ht="30" customHeight="1" x14ac:dyDescent="0.3">
      <c r="E484" s="27">
        <v>45007</v>
      </c>
      <c r="F484" s="28">
        <v>50.479976999999998</v>
      </c>
      <c r="G484" s="29">
        <v>100221</v>
      </c>
      <c r="H484" s="10">
        <f t="shared" si="26"/>
        <v>-2.1676977436310363E-2</v>
      </c>
      <c r="I484" s="12">
        <f t="shared" si="26"/>
        <v>-7.6932216479533855E-3</v>
      </c>
      <c r="K484" s="27">
        <v>50.479976999999998</v>
      </c>
      <c r="L484" s="28">
        <v>9526.92</v>
      </c>
      <c r="M484" s="29">
        <v>100221</v>
      </c>
      <c r="N484" s="10">
        <f t="shared" si="27"/>
        <v>-6.2160264788749808E-3</v>
      </c>
      <c r="O484" s="12">
        <f t="shared" si="28"/>
        <v>-7.6932216479533855E-3</v>
      </c>
    </row>
    <row r="485" spans="5:15" ht="30" customHeight="1" x14ac:dyDescent="0.3">
      <c r="E485" s="27">
        <v>45008</v>
      </c>
      <c r="F485" s="28">
        <v>50.627377000000003</v>
      </c>
      <c r="G485" s="29">
        <v>97926</v>
      </c>
      <c r="H485" s="10">
        <f t="shared" si="26"/>
        <v>2.9199696346930981E-3</v>
      </c>
      <c r="I485" s="12">
        <f t="shared" si="26"/>
        <v>-2.2899392342922154E-2</v>
      </c>
      <c r="K485" s="27">
        <v>50.627377000000003</v>
      </c>
      <c r="L485" s="28">
        <v>9275.9699999999993</v>
      </c>
      <c r="M485" s="29">
        <v>97926</v>
      </c>
      <c r="N485" s="10">
        <f t="shared" si="27"/>
        <v>-2.6341146981396002E-2</v>
      </c>
      <c r="O485" s="12">
        <f t="shared" si="28"/>
        <v>-2.2899392342922154E-2</v>
      </c>
    </row>
    <row r="486" spans="5:15" ht="30" customHeight="1" x14ac:dyDescent="0.3">
      <c r="E486" s="27">
        <v>45009</v>
      </c>
      <c r="F486" s="28">
        <v>51.971313000000002</v>
      </c>
      <c r="G486" s="29">
        <v>98829</v>
      </c>
      <c r="H486" s="10">
        <f t="shared" si="26"/>
        <v>2.6545637551003365E-2</v>
      </c>
      <c r="I486" s="12">
        <f t="shared" si="26"/>
        <v>9.2212486979963426E-3</v>
      </c>
      <c r="K486" s="27">
        <v>51.971313000000002</v>
      </c>
      <c r="L486" s="28">
        <v>9396.23</v>
      </c>
      <c r="M486" s="29">
        <v>98829</v>
      </c>
      <c r="N486" s="10">
        <f t="shared" si="27"/>
        <v>1.2964681860764937E-2</v>
      </c>
      <c r="O486" s="12">
        <f t="shared" si="28"/>
        <v>9.2212486979963426E-3</v>
      </c>
    </row>
    <row r="487" spans="5:15" ht="30" customHeight="1" x14ac:dyDescent="0.3">
      <c r="E487" s="27">
        <v>45012</v>
      </c>
      <c r="F487" s="28">
        <v>53.245883999999997</v>
      </c>
      <c r="G487" s="29">
        <v>99670</v>
      </c>
      <c r="H487" s="10">
        <f t="shared" si="26"/>
        <v>2.4524510281277667E-2</v>
      </c>
      <c r="I487" s="12">
        <f t="shared" si="26"/>
        <v>8.5096479778201672E-3</v>
      </c>
      <c r="K487" s="27">
        <v>53.245883999999997</v>
      </c>
      <c r="L487" s="28">
        <v>9479.07</v>
      </c>
      <c r="M487" s="29">
        <v>99670</v>
      </c>
      <c r="N487" s="10">
        <f t="shared" si="27"/>
        <v>8.8163018572342544E-3</v>
      </c>
      <c r="O487" s="12">
        <f t="shared" si="28"/>
        <v>8.5096479778201672E-3</v>
      </c>
    </row>
    <row r="488" spans="5:15" ht="30" customHeight="1" x14ac:dyDescent="0.3">
      <c r="E488" s="27">
        <v>45013</v>
      </c>
      <c r="F488" s="28">
        <v>55.058033000000002</v>
      </c>
      <c r="G488" s="29">
        <v>101185</v>
      </c>
      <c r="H488" s="10">
        <f t="shared" si="26"/>
        <v>3.4033597789455472E-2</v>
      </c>
      <c r="I488" s="12">
        <f t="shared" si="26"/>
        <v>1.5200160529748263E-2</v>
      </c>
      <c r="K488" s="27">
        <v>55.058033000000002</v>
      </c>
      <c r="L488" s="28">
        <v>9528.52</v>
      </c>
      <c r="M488" s="29">
        <v>101185</v>
      </c>
      <c r="N488" s="10">
        <f t="shared" si="27"/>
        <v>5.2167564961542734E-3</v>
      </c>
      <c r="O488" s="12">
        <f t="shared" si="28"/>
        <v>1.5200160529748263E-2</v>
      </c>
    </row>
    <row r="489" spans="5:15" ht="30" customHeight="1" x14ac:dyDescent="0.3">
      <c r="E489" s="27">
        <v>45014</v>
      </c>
      <c r="F489" s="28">
        <v>57.130294999999997</v>
      </c>
      <c r="G489" s="29">
        <v>101793</v>
      </c>
      <c r="H489" s="10">
        <f t="shared" si="26"/>
        <v>3.7637777579158982E-2</v>
      </c>
      <c r="I489" s="12">
        <f t="shared" si="26"/>
        <v>6.0087957701240313E-3</v>
      </c>
      <c r="K489" s="27">
        <v>57.130294999999997</v>
      </c>
      <c r="L489" s="28">
        <v>9553.18</v>
      </c>
      <c r="M489" s="29">
        <v>101793</v>
      </c>
      <c r="N489" s="10">
        <f t="shared" si="27"/>
        <v>2.5880199653252056E-3</v>
      </c>
      <c r="O489" s="12">
        <f t="shared" si="28"/>
        <v>6.0087957701240313E-3</v>
      </c>
    </row>
    <row r="490" spans="5:15" ht="30" customHeight="1" x14ac:dyDescent="0.3">
      <c r="E490" s="27">
        <v>45015</v>
      </c>
      <c r="F490" s="28">
        <v>59.133189999999999</v>
      </c>
      <c r="G490" s="29">
        <v>103713</v>
      </c>
      <c r="H490" s="10">
        <f t="shared" si="26"/>
        <v>3.5058369644336729E-2</v>
      </c>
      <c r="I490" s="12">
        <f t="shared" si="26"/>
        <v>1.8861807786390017E-2</v>
      </c>
      <c r="K490" s="27">
        <v>59.133189999999999</v>
      </c>
      <c r="L490" s="28">
        <v>9776.74</v>
      </c>
      <c r="M490" s="29">
        <v>103713</v>
      </c>
      <c r="N490" s="10">
        <f t="shared" si="27"/>
        <v>2.3401631707975712E-2</v>
      </c>
      <c r="O490" s="12">
        <f t="shared" si="28"/>
        <v>1.8861807786390017E-2</v>
      </c>
    </row>
    <row r="491" spans="5:15" ht="30" customHeight="1" x14ac:dyDescent="0.3">
      <c r="E491" s="27">
        <v>45016</v>
      </c>
      <c r="F491" s="28">
        <v>60.693893000000003</v>
      </c>
      <c r="G491" s="29">
        <v>101882</v>
      </c>
      <c r="H491" s="10">
        <f t="shared" si="26"/>
        <v>2.6393012113840042E-2</v>
      </c>
      <c r="I491" s="12">
        <f t="shared" si="26"/>
        <v>-1.7654488829751291E-2</v>
      </c>
      <c r="K491" s="27">
        <v>60.693893000000003</v>
      </c>
      <c r="L491" s="28">
        <v>9697.2000000000007</v>
      </c>
      <c r="M491" s="29">
        <v>101882</v>
      </c>
      <c r="N491" s="10">
        <f t="shared" si="27"/>
        <v>-8.1356362141162819E-3</v>
      </c>
      <c r="O491" s="12">
        <f t="shared" si="28"/>
        <v>-1.7654488829751291E-2</v>
      </c>
    </row>
    <row r="492" spans="5:15" ht="30" customHeight="1" x14ac:dyDescent="0.3">
      <c r="E492" s="27">
        <v>45019</v>
      </c>
      <c r="F492" s="28">
        <v>58.907761000000001</v>
      </c>
      <c r="G492" s="29">
        <v>101506</v>
      </c>
      <c r="H492" s="10">
        <f t="shared" si="26"/>
        <v>-2.9428529160256733E-2</v>
      </c>
      <c r="I492" s="12">
        <f t="shared" si="26"/>
        <v>-3.6905439626234715E-3</v>
      </c>
      <c r="K492" s="27">
        <v>58.907761000000001</v>
      </c>
      <c r="L492" s="28">
        <v>9569.84</v>
      </c>
      <c r="M492" s="29">
        <v>101506</v>
      </c>
      <c r="N492" s="10">
        <f t="shared" si="27"/>
        <v>-1.3133688074908334E-2</v>
      </c>
      <c r="O492" s="12">
        <f t="shared" si="28"/>
        <v>-3.6905439626234715E-3</v>
      </c>
    </row>
    <row r="493" spans="5:15" ht="30" customHeight="1" x14ac:dyDescent="0.3">
      <c r="E493" s="27">
        <v>45020</v>
      </c>
      <c r="F493" s="28">
        <v>59.081169000000003</v>
      </c>
      <c r="G493" s="29">
        <v>101869</v>
      </c>
      <c r="H493" s="10">
        <f t="shared" si="26"/>
        <v>2.9437207773013174E-3</v>
      </c>
      <c r="I493" s="12">
        <f t="shared" si="26"/>
        <v>3.5761432821705963E-3</v>
      </c>
      <c r="K493" s="27">
        <v>59.081169000000003</v>
      </c>
      <c r="L493" s="28">
        <v>9755.64</v>
      </c>
      <c r="M493" s="29">
        <v>101869</v>
      </c>
      <c r="N493" s="10">
        <f t="shared" si="27"/>
        <v>1.941516263594778E-2</v>
      </c>
      <c r="O493" s="12">
        <f t="shared" si="28"/>
        <v>3.5761432821705963E-3</v>
      </c>
    </row>
    <row r="494" spans="5:15" ht="30" customHeight="1" x14ac:dyDescent="0.3">
      <c r="E494" s="27">
        <v>45021</v>
      </c>
      <c r="F494" s="28">
        <v>58.959781999999997</v>
      </c>
      <c r="G494" s="29">
        <v>100978</v>
      </c>
      <c r="H494" s="10">
        <f t="shared" si="26"/>
        <v>-2.0545801996573188E-3</v>
      </c>
      <c r="I494" s="12">
        <f t="shared" si="26"/>
        <v>-8.7465274028408757E-3</v>
      </c>
      <c r="K494" s="27">
        <v>58.959781999999997</v>
      </c>
      <c r="L494" s="28">
        <v>9751.73</v>
      </c>
      <c r="M494" s="29">
        <v>100978</v>
      </c>
      <c r="N494" s="10">
        <f t="shared" si="27"/>
        <v>-4.0079379722912645E-4</v>
      </c>
      <c r="O494" s="12">
        <f t="shared" si="28"/>
        <v>-8.7465274028408757E-3</v>
      </c>
    </row>
    <row r="495" spans="5:15" ht="30" customHeight="1" x14ac:dyDescent="0.3">
      <c r="E495" s="27">
        <v>45022</v>
      </c>
      <c r="F495" s="28">
        <v>58.734344</v>
      </c>
      <c r="G495" s="29">
        <v>100822</v>
      </c>
      <c r="H495" s="10">
        <f t="shared" si="26"/>
        <v>-3.823589442715325E-3</v>
      </c>
      <c r="I495" s="12">
        <f t="shared" si="26"/>
        <v>-1.5448909663491328E-3</v>
      </c>
      <c r="K495" s="27">
        <v>58.734344</v>
      </c>
      <c r="L495" s="28">
        <v>9722.73</v>
      </c>
      <c r="M495" s="29">
        <v>100822</v>
      </c>
      <c r="N495" s="10">
        <f t="shared" si="27"/>
        <v>-2.9738313099316738E-3</v>
      </c>
      <c r="O495" s="12">
        <f t="shared" si="28"/>
        <v>-1.5448909663491328E-3</v>
      </c>
    </row>
    <row r="496" spans="5:15" ht="30" customHeight="1" x14ac:dyDescent="0.3">
      <c r="E496" s="27">
        <v>45026</v>
      </c>
      <c r="F496" s="28">
        <v>58.829720000000002</v>
      </c>
      <c r="G496" s="29">
        <v>101847</v>
      </c>
      <c r="H496" s="10">
        <f t="shared" si="26"/>
        <v>1.6238540095041554E-3</v>
      </c>
      <c r="I496" s="12">
        <f t="shared" si="26"/>
        <v>1.0166431929539144E-2</v>
      </c>
      <c r="K496" s="27">
        <v>58.829720000000002</v>
      </c>
      <c r="L496" s="28">
        <v>9822.52</v>
      </c>
      <c r="M496" s="29">
        <v>101847</v>
      </c>
      <c r="N496" s="10">
        <f t="shared" si="27"/>
        <v>1.0263578233685511E-2</v>
      </c>
      <c r="O496" s="12">
        <f t="shared" si="28"/>
        <v>1.0166431929539144E-2</v>
      </c>
    </row>
    <row r="497" spans="5:15" ht="30" customHeight="1" x14ac:dyDescent="0.3">
      <c r="E497" s="27">
        <v>45027</v>
      </c>
      <c r="F497" s="28">
        <v>59.124523000000003</v>
      </c>
      <c r="G497" s="29">
        <v>106214</v>
      </c>
      <c r="H497" s="10">
        <f t="shared" si="26"/>
        <v>5.0111236293493011E-3</v>
      </c>
      <c r="I497" s="12">
        <f t="shared" si="26"/>
        <v>4.2878042554027163E-2</v>
      </c>
      <c r="K497" s="27">
        <v>59.124523000000003</v>
      </c>
      <c r="L497" s="28">
        <v>10231.66</v>
      </c>
      <c r="M497" s="29">
        <v>106214</v>
      </c>
      <c r="N497" s="10">
        <f t="shared" si="27"/>
        <v>4.1653262095673993E-2</v>
      </c>
      <c r="O497" s="12">
        <f t="shared" si="28"/>
        <v>4.2878042554027163E-2</v>
      </c>
    </row>
    <row r="498" spans="5:15" ht="30" customHeight="1" x14ac:dyDescent="0.3">
      <c r="E498" s="27">
        <v>45028</v>
      </c>
      <c r="F498" s="28">
        <v>58.942444000000002</v>
      </c>
      <c r="G498" s="29">
        <v>106890</v>
      </c>
      <c r="H498" s="10">
        <f t="shared" si="26"/>
        <v>-3.0795850987246354E-3</v>
      </c>
      <c r="I498" s="12">
        <f t="shared" si="26"/>
        <v>6.36450938670996E-3</v>
      </c>
      <c r="K498" s="27">
        <v>58.942444000000002</v>
      </c>
      <c r="L498" s="28">
        <v>10423.82</v>
      </c>
      <c r="M498" s="29">
        <v>106890</v>
      </c>
      <c r="N498" s="10">
        <f t="shared" si="27"/>
        <v>1.8780921179945453E-2</v>
      </c>
      <c r="O498" s="12">
        <f t="shared" si="28"/>
        <v>6.36450938670996E-3</v>
      </c>
    </row>
    <row r="499" spans="5:15" ht="30" customHeight="1" x14ac:dyDescent="0.3">
      <c r="E499" s="27">
        <v>45029</v>
      </c>
      <c r="F499" s="28">
        <v>59.115851999999997</v>
      </c>
      <c r="G499" s="29">
        <v>106458</v>
      </c>
      <c r="H499" s="10">
        <f t="shared" si="26"/>
        <v>2.9419886287713748E-3</v>
      </c>
      <c r="I499" s="12">
        <f t="shared" si="26"/>
        <v>-4.041538029750158E-3</v>
      </c>
      <c r="K499" s="27">
        <v>59.115851999999997</v>
      </c>
      <c r="L499" s="28">
        <v>10404.040000000001</v>
      </c>
      <c r="M499" s="29">
        <v>106458</v>
      </c>
      <c r="N499" s="10">
        <f t="shared" si="27"/>
        <v>-1.8975768959939021E-3</v>
      </c>
      <c r="O499" s="12">
        <f t="shared" si="28"/>
        <v>-4.041538029750158E-3</v>
      </c>
    </row>
    <row r="500" spans="5:15" ht="30" customHeight="1" x14ac:dyDescent="0.3">
      <c r="E500" s="27">
        <v>45030</v>
      </c>
      <c r="F500" s="28">
        <v>60.390427000000003</v>
      </c>
      <c r="G500" s="29">
        <v>106279</v>
      </c>
      <c r="H500" s="10">
        <f t="shared" si="26"/>
        <v>2.1560629795202901E-2</v>
      </c>
      <c r="I500" s="12">
        <f t="shared" si="26"/>
        <v>-1.6814142666591314E-3</v>
      </c>
      <c r="K500" s="27">
        <v>60.390427000000003</v>
      </c>
      <c r="L500" s="28">
        <v>10505.73</v>
      </c>
      <c r="M500" s="29">
        <v>106279</v>
      </c>
      <c r="N500" s="10">
        <f t="shared" si="27"/>
        <v>9.774087758216865E-3</v>
      </c>
      <c r="O500" s="12">
        <f t="shared" si="28"/>
        <v>-1.6814142666591314E-3</v>
      </c>
    </row>
    <row r="501" spans="5:15" ht="30" customHeight="1" x14ac:dyDescent="0.3">
      <c r="E501" s="27">
        <v>45033</v>
      </c>
      <c r="F501" s="28">
        <v>60.693893000000003</v>
      </c>
      <c r="G501" s="29">
        <v>106016</v>
      </c>
      <c r="H501" s="10">
        <f t="shared" si="26"/>
        <v>5.0250679631724804E-3</v>
      </c>
      <c r="I501" s="12">
        <f t="shared" si="26"/>
        <v>-2.4746186923099156E-3</v>
      </c>
      <c r="K501" s="27">
        <v>60.693893000000003</v>
      </c>
      <c r="L501" s="28">
        <v>10490.72</v>
      </c>
      <c r="M501" s="29">
        <v>106016</v>
      </c>
      <c r="N501" s="10">
        <f t="shared" si="27"/>
        <v>-1.4287441234450693E-3</v>
      </c>
      <c r="O501" s="12">
        <f t="shared" si="28"/>
        <v>-2.4746186923099156E-3</v>
      </c>
    </row>
    <row r="502" spans="5:15" ht="30" customHeight="1" x14ac:dyDescent="0.3">
      <c r="E502" s="27">
        <v>45034</v>
      </c>
      <c r="F502" s="28">
        <v>61.136088999999998</v>
      </c>
      <c r="G502" s="29">
        <v>106163</v>
      </c>
      <c r="H502" s="10">
        <f t="shared" si="26"/>
        <v>7.2856753479300096E-3</v>
      </c>
      <c r="I502" s="12">
        <f t="shared" si="26"/>
        <v>1.386583157259258E-3</v>
      </c>
      <c r="K502" s="27">
        <v>61.136088999999998</v>
      </c>
      <c r="L502" s="28">
        <v>10467.1</v>
      </c>
      <c r="M502" s="29">
        <v>106163</v>
      </c>
      <c r="N502" s="10">
        <f t="shared" si="27"/>
        <v>-2.2515137187913981E-3</v>
      </c>
      <c r="O502" s="12">
        <f t="shared" si="28"/>
        <v>1.386583157259258E-3</v>
      </c>
    </row>
    <row r="503" spans="5:15" ht="30" customHeight="1" x14ac:dyDescent="0.3">
      <c r="E503" s="27">
        <v>45035</v>
      </c>
      <c r="F503" s="28">
        <v>60.875973000000002</v>
      </c>
      <c r="G503" s="29">
        <v>103913</v>
      </c>
      <c r="H503" s="10">
        <f t="shared" si="26"/>
        <v>-4.2547046148142531E-3</v>
      </c>
      <c r="I503" s="12">
        <f t="shared" si="26"/>
        <v>-2.1193824590488242E-2</v>
      </c>
      <c r="K503" s="27">
        <v>60.875973000000002</v>
      </c>
      <c r="L503" s="28">
        <v>10292.93</v>
      </c>
      <c r="M503" s="29">
        <v>103913</v>
      </c>
      <c r="N503" s="10">
        <f t="shared" si="27"/>
        <v>-1.6639756952737672E-2</v>
      </c>
      <c r="O503" s="12">
        <f t="shared" si="28"/>
        <v>-2.1193824590488242E-2</v>
      </c>
    </row>
    <row r="504" spans="5:15" ht="30" customHeight="1" x14ac:dyDescent="0.3">
      <c r="E504" s="27">
        <v>45036</v>
      </c>
      <c r="F504" s="28">
        <v>61.691009999999999</v>
      </c>
      <c r="G504" s="29">
        <v>104367</v>
      </c>
      <c r="H504" s="10">
        <f t="shared" si="26"/>
        <v>1.3388484156138247E-2</v>
      </c>
      <c r="I504" s="12">
        <f t="shared" si="26"/>
        <v>4.3690394849538183E-3</v>
      </c>
      <c r="K504" s="27">
        <v>61.691009999999999</v>
      </c>
      <c r="L504" s="28">
        <v>10353.1</v>
      </c>
      <c r="M504" s="29">
        <v>104367</v>
      </c>
      <c r="N504" s="10">
        <f t="shared" si="27"/>
        <v>5.8457601479851018E-3</v>
      </c>
      <c r="O504" s="12">
        <f t="shared" si="28"/>
        <v>4.3690394849538183E-3</v>
      </c>
    </row>
    <row r="505" spans="5:15" ht="30" customHeight="1" x14ac:dyDescent="0.3">
      <c r="E505" s="27">
        <v>45040</v>
      </c>
      <c r="F505" s="28">
        <v>66.225707999999997</v>
      </c>
      <c r="G505" s="29">
        <v>103947</v>
      </c>
      <c r="H505" s="10">
        <f t="shared" si="26"/>
        <v>7.3506626005960918E-2</v>
      </c>
      <c r="I505" s="12">
        <f t="shared" si="26"/>
        <v>-4.0242605421253463E-3</v>
      </c>
      <c r="K505" s="27">
        <v>66.225707999999997</v>
      </c>
      <c r="L505" s="28">
        <v>10321.18</v>
      </c>
      <c r="M505" s="29">
        <v>103947</v>
      </c>
      <c r="N505" s="10">
        <f t="shared" si="27"/>
        <v>-3.0831345200954541E-3</v>
      </c>
      <c r="O505" s="12">
        <f t="shared" si="28"/>
        <v>-4.0242605421253463E-3</v>
      </c>
    </row>
    <row r="506" spans="5:15" ht="30" customHeight="1" x14ac:dyDescent="0.3">
      <c r="E506" s="27">
        <v>45041</v>
      </c>
      <c r="F506" s="28">
        <v>67.702499000000003</v>
      </c>
      <c r="G506" s="29">
        <v>103220</v>
      </c>
      <c r="H506" s="10">
        <f t="shared" si="26"/>
        <v>2.2299361450390354E-2</v>
      </c>
      <c r="I506" s="12">
        <f t="shared" si="26"/>
        <v>-6.9939488393123694E-3</v>
      </c>
      <c r="K506" s="27">
        <v>67.702499000000003</v>
      </c>
      <c r="L506" s="28">
        <v>10388.049999999999</v>
      </c>
      <c r="M506" s="29">
        <v>103220</v>
      </c>
      <c r="N506" s="10">
        <f t="shared" si="27"/>
        <v>6.4789103571489814E-3</v>
      </c>
      <c r="O506" s="12">
        <f t="shared" si="28"/>
        <v>-6.9939488393123694E-3</v>
      </c>
    </row>
    <row r="507" spans="5:15" ht="30" customHeight="1" x14ac:dyDescent="0.3">
      <c r="E507" s="27">
        <v>45042</v>
      </c>
      <c r="F507" s="28">
        <v>62.362983999999997</v>
      </c>
      <c r="G507" s="29">
        <v>102312</v>
      </c>
      <c r="H507" s="10">
        <f t="shared" si="26"/>
        <v>-7.8867325118973874E-2</v>
      </c>
      <c r="I507" s="12">
        <f t="shared" si="26"/>
        <v>-8.7967448168959628E-3</v>
      </c>
      <c r="K507" s="27">
        <v>62.362983999999997</v>
      </c>
      <c r="L507" s="28">
        <v>10227.719999999999</v>
      </c>
      <c r="M507" s="29">
        <v>102312</v>
      </c>
      <c r="N507" s="10">
        <f t="shared" si="27"/>
        <v>-1.5434080505965952E-2</v>
      </c>
      <c r="O507" s="12">
        <f t="shared" si="28"/>
        <v>-8.7967448168959628E-3</v>
      </c>
    </row>
    <row r="508" spans="5:15" ht="30" customHeight="1" x14ac:dyDescent="0.3">
      <c r="E508" s="27">
        <v>45043</v>
      </c>
      <c r="F508" s="28">
        <v>62.550002999999997</v>
      </c>
      <c r="G508" s="29">
        <v>102923</v>
      </c>
      <c r="H508" s="10">
        <f t="shared" si="26"/>
        <v>2.9988783089660576E-3</v>
      </c>
      <c r="I508" s="12">
        <f t="shared" si="26"/>
        <v>5.9719290014856874E-3</v>
      </c>
      <c r="K508" s="27">
        <v>62.550002999999997</v>
      </c>
      <c r="L508" s="28">
        <v>10370.92</v>
      </c>
      <c r="M508" s="29">
        <v>102923</v>
      </c>
      <c r="N508" s="10">
        <f t="shared" si="27"/>
        <v>1.400116546014174E-2</v>
      </c>
      <c r="O508" s="12">
        <f t="shared" si="28"/>
        <v>5.9719290014856874E-3</v>
      </c>
    </row>
    <row r="509" spans="5:15" ht="30" customHeight="1" x14ac:dyDescent="0.3">
      <c r="E509" s="27">
        <v>45044</v>
      </c>
      <c r="F509" s="28">
        <v>64.513748000000007</v>
      </c>
      <c r="G509" s="29">
        <v>104432</v>
      </c>
      <c r="H509" s="10">
        <f t="shared" si="26"/>
        <v>3.1394802650928977E-2</v>
      </c>
      <c r="I509" s="12">
        <f t="shared" si="26"/>
        <v>1.4661445935310935E-2</v>
      </c>
      <c r="K509" s="27">
        <v>64.513748000000007</v>
      </c>
      <c r="L509" s="28">
        <v>10460.719999999999</v>
      </c>
      <c r="M509" s="29">
        <v>104432</v>
      </c>
      <c r="N509" s="10">
        <f t="shared" si="27"/>
        <v>8.6588267964653465E-3</v>
      </c>
      <c r="O509" s="12">
        <f t="shared" si="28"/>
        <v>1.4661445935310935E-2</v>
      </c>
    </row>
    <row r="510" spans="5:15" ht="30" customHeight="1" x14ac:dyDescent="0.3">
      <c r="E510" s="27">
        <v>45048</v>
      </c>
      <c r="F510" s="28">
        <v>64.298676</v>
      </c>
      <c r="G510" s="29">
        <v>101927</v>
      </c>
      <c r="H510" s="10">
        <f t="shared" si="26"/>
        <v>-3.3337390349729157E-3</v>
      </c>
      <c r="I510" s="12">
        <f t="shared" si="26"/>
        <v>-2.3986900566876024E-2</v>
      </c>
      <c r="K510" s="27">
        <v>64.298676</v>
      </c>
      <c r="L510" s="28">
        <v>10192.06</v>
      </c>
      <c r="M510" s="29">
        <v>101927</v>
      </c>
      <c r="N510" s="10">
        <f t="shared" si="27"/>
        <v>-2.5682744591194462E-2</v>
      </c>
      <c r="O510" s="12">
        <f t="shared" si="28"/>
        <v>-2.3986900566876024E-2</v>
      </c>
    </row>
    <row r="511" spans="5:15" ht="30" customHeight="1" x14ac:dyDescent="0.3">
      <c r="E511" s="27">
        <v>45049</v>
      </c>
      <c r="F511" s="28">
        <v>64.887794</v>
      </c>
      <c r="G511" s="29">
        <v>101797</v>
      </c>
      <c r="H511" s="10">
        <f t="shared" si="26"/>
        <v>9.1622104318291875E-3</v>
      </c>
      <c r="I511" s="12">
        <f t="shared" si="26"/>
        <v>-1.2754226063751428E-3</v>
      </c>
      <c r="K511" s="27">
        <v>64.887794</v>
      </c>
      <c r="L511" s="28">
        <v>10210.06</v>
      </c>
      <c r="M511" s="29">
        <v>101797</v>
      </c>
      <c r="N511" s="10">
        <f t="shared" si="27"/>
        <v>1.7660806549411046E-3</v>
      </c>
      <c r="O511" s="12">
        <f t="shared" si="28"/>
        <v>-1.2754226063751428E-3</v>
      </c>
    </row>
    <row r="512" spans="5:15" ht="30" customHeight="1" x14ac:dyDescent="0.3">
      <c r="E512" s="27">
        <v>45050</v>
      </c>
      <c r="F512" s="28">
        <v>65.420815000000005</v>
      </c>
      <c r="G512" s="29">
        <v>102174</v>
      </c>
      <c r="H512" s="10">
        <f t="shared" si="26"/>
        <v>8.2145033317053695E-3</v>
      </c>
      <c r="I512" s="12">
        <f t="shared" si="26"/>
        <v>3.7034490210909876E-3</v>
      </c>
      <c r="K512" s="27">
        <v>65.420815000000005</v>
      </c>
      <c r="L512" s="28">
        <v>10366.15</v>
      </c>
      <c r="M512" s="29">
        <v>102174</v>
      </c>
      <c r="N512" s="10">
        <f t="shared" si="27"/>
        <v>1.5287863146739689E-2</v>
      </c>
      <c r="O512" s="12">
        <f t="shared" si="28"/>
        <v>3.7034490210909876E-3</v>
      </c>
    </row>
    <row r="513" spans="5:15" ht="30" customHeight="1" x14ac:dyDescent="0.3">
      <c r="E513" s="27">
        <v>45051</v>
      </c>
      <c r="F513" s="28">
        <v>65.074821</v>
      </c>
      <c r="G513" s="29">
        <v>105148</v>
      </c>
      <c r="H513" s="10">
        <f t="shared" si="26"/>
        <v>-5.2887448742423571E-3</v>
      </c>
      <c r="I513" s="12">
        <f t="shared" si="26"/>
        <v>2.9107209270460288E-2</v>
      </c>
      <c r="K513" s="27">
        <v>65.074821</v>
      </c>
      <c r="L513" s="28">
        <v>10746.54</v>
      </c>
      <c r="M513" s="29">
        <v>105148</v>
      </c>
      <c r="N513" s="10">
        <f t="shared" si="27"/>
        <v>3.669539800215138E-2</v>
      </c>
      <c r="O513" s="12">
        <f t="shared" si="28"/>
        <v>2.9107209270460288E-2</v>
      </c>
    </row>
    <row r="514" spans="5:15" ht="30" customHeight="1" x14ac:dyDescent="0.3">
      <c r="E514" s="27">
        <v>45054</v>
      </c>
      <c r="F514" s="28">
        <v>64.242560999999995</v>
      </c>
      <c r="G514" s="29">
        <v>106042</v>
      </c>
      <c r="H514" s="10">
        <f t="shared" si="26"/>
        <v>-1.2789278360058831E-2</v>
      </c>
      <c r="I514" s="12">
        <f t="shared" si="26"/>
        <v>8.5023015178604666E-3</v>
      </c>
      <c r="K514" s="27">
        <v>64.242560999999995</v>
      </c>
      <c r="L514" s="28">
        <v>10860.47</v>
      </c>
      <c r="M514" s="29">
        <v>106042</v>
      </c>
      <c r="N514" s="10">
        <f t="shared" si="27"/>
        <v>1.0601551755262451E-2</v>
      </c>
      <c r="O514" s="12">
        <f t="shared" si="28"/>
        <v>8.5023015178604666E-3</v>
      </c>
    </row>
    <row r="515" spans="5:15" ht="30" customHeight="1" x14ac:dyDescent="0.3">
      <c r="E515" s="27">
        <v>45055</v>
      </c>
      <c r="F515" s="28">
        <v>64.177109000000002</v>
      </c>
      <c r="G515" s="29">
        <v>107114</v>
      </c>
      <c r="H515" s="10">
        <f t="shared" si="26"/>
        <v>-1.0188261330364989E-3</v>
      </c>
      <c r="I515" s="12">
        <f t="shared" si="26"/>
        <v>1.0109202014296326E-2</v>
      </c>
      <c r="K515" s="27">
        <v>64.177109000000002</v>
      </c>
      <c r="L515" s="28">
        <v>10901.74</v>
      </c>
      <c r="M515" s="29">
        <v>107114</v>
      </c>
      <c r="N515" s="10">
        <f t="shared" si="27"/>
        <v>3.8000197044880668E-3</v>
      </c>
      <c r="O515" s="12">
        <f t="shared" si="28"/>
        <v>1.0109202014296326E-2</v>
      </c>
    </row>
    <row r="516" spans="5:15" ht="30" customHeight="1" x14ac:dyDescent="0.3">
      <c r="E516" s="27">
        <v>45056</v>
      </c>
      <c r="F516" s="28">
        <v>63.849815</v>
      </c>
      <c r="G516" s="29">
        <v>107448</v>
      </c>
      <c r="H516" s="10">
        <f t="shared" si="26"/>
        <v>-5.0998557756785079E-3</v>
      </c>
      <c r="I516" s="12">
        <f t="shared" si="26"/>
        <v>3.1181731613048047E-3</v>
      </c>
      <c r="K516" s="27">
        <v>63.849815</v>
      </c>
      <c r="L516" s="28">
        <v>10985.11</v>
      </c>
      <c r="M516" s="29">
        <v>107448</v>
      </c>
      <c r="N516" s="10">
        <f t="shared" si="27"/>
        <v>7.6474030751054745E-3</v>
      </c>
      <c r="O516" s="12">
        <f t="shared" si="28"/>
        <v>3.1181731613048047E-3</v>
      </c>
    </row>
    <row r="517" spans="5:15" ht="30" customHeight="1" x14ac:dyDescent="0.3">
      <c r="E517" s="27">
        <v>45057</v>
      </c>
      <c r="F517" s="28">
        <v>62.568710000000003</v>
      </c>
      <c r="G517" s="29">
        <v>108256</v>
      </c>
      <c r="H517" s="10">
        <f t="shared" si="26"/>
        <v>-2.0064349442516005E-2</v>
      </c>
      <c r="I517" s="12">
        <f t="shared" si="26"/>
        <v>7.5199166108257387E-3</v>
      </c>
      <c r="K517" s="27">
        <v>62.568710000000003</v>
      </c>
      <c r="L517" s="28">
        <v>11135.86</v>
      </c>
      <c r="M517" s="29">
        <v>108256</v>
      </c>
      <c r="N517" s="10">
        <f t="shared" si="27"/>
        <v>1.3723121570926367E-2</v>
      </c>
      <c r="O517" s="12">
        <f t="shared" si="28"/>
        <v>7.5199166108257387E-3</v>
      </c>
    </row>
    <row r="518" spans="5:15" ht="30" customHeight="1" x14ac:dyDescent="0.3">
      <c r="E518" s="27">
        <v>45058</v>
      </c>
      <c r="F518" s="28">
        <v>65.140281999999999</v>
      </c>
      <c r="G518" s="29">
        <v>108464</v>
      </c>
      <c r="H518" s="10">
        <f t="shared" si="26"/>
        <v>4.1099968338806914E-2</v>
      </c>
      <c r="I518" s="12">
        <f t="shared" si="26"/>
        <v>1.9213715637007578E-3</v>
      </c>
      <c r="K518" s="27">
        <v>65.140281999999999</v>
      </c>
      <c r="L518" s="28">
        <v>11112.58</v>
      </c>
      <c r="M518" s="29">
        <v>108464</v>
      </c>
      <c r="N518" s="10">
        <f t="shared" si="27"/>
        <v>-2.0905435233561365E-3</v>
      </c>
      <c r="O518" s="12">
        <f t="shared" si="28"/>
        <v>1.9213715637007578E-3</v>
      </c>
    </row>
    <row r="519" spans="5:15" ht="30" customHeight="1" x14ac:dyDescent="0.3">
      <c r="E519" s="27">
        <v>45061</v>
      </c>
      <c r="F519" s="28">
        <v>62.512599999999999</v>
      </c>
      <c r="G519" s="29">
        <v>109029</v>
      </c>
      <c r="H519" s="10">
        <f t="shared" si="26"/>
        <v>-4.0338818306006052E-2</v>
      </c>
      <c r="I519" s="12">
        <f t="shared" si="26"/>
        <v>5.2091016374096188E-3</v>
      </c>
      <c r="K519" s="27">
        <v>62.512599999999999</v>
      </c>
      <c r="L519" s="28">
        <v>11165.01</v>
      </c>
      <c r="M519" s="29">
        <v>109029</v>
      </c>
      <c r="N519" s="10">
        <f t="shared" si="27"/>
        <v>4.718076270317173E-3</v>
      </c>
      <c r="O519" s="12">
        <f t="shared" si="28"/>
        <v>5.2091016374096188E-3</v>
      </c>
    </row>
    <row r="520" spans="5:15" ht="30" customHeight="1" x14ac:dyDescent="0.3">
      <c r="E520" s="27">
        <v>45062</v>
      </c>
      <c r="F520" s="28">
        <v>62.503245999999997</v>
      </c>
      <c r="G520" s="29">
        <v>108194</v>
      </c>
      <c r="H520" s="10">
        <f t="shared" si="26"/>
        <v>-1.4963383381916273E-4</v>
      </c>
      <c r="I520" s="12">
        <f t="shared" si="26"/>
        <v>-7.658512872721901E-3</v>
      </c>
      <c r="K520" s="27">
        <v>62.503245999999997</v>
      </c>
      <c r="L520" s="28">
        <v>11056.94</v>
      </c>
      <c r="M520" s="29">
        <v>108194</v>
      </c>
      <c r="N520" s="10">
        <f t="shared" si="27"/>
        <v>-9.6793464582656252E-3</v>
      </c>
      <c r="O520" s="12">
        <f t="shared" si="28"/>
        <v>-7.658512872721901E-3</v>
      </c>
    </row>
    <row r="521" spans="5:15" ht="30" customHeight="1" x14ac:dyDescent="0.3">
      <c r="E521" s="27">
        <v>45063</v>
      </c>
      <c r="F521" s="28">
        <v>63.092373000000002</v>
      </c>
      <c r="G521" s="29">
        <v>109460</v>
      </c>
      <c r="H521" s="10">
        <f t="shared" si="26"/>
        <v>9.4255424750260275E-3</v>
      </c>
      <c r="I521" s="12">
        <f t="shared" si="26"/>
        <v>1.1701203393903459E-2</v>
      </c>
      <c r="K521" s="27">
        <v>63.092373000000002</v>
      </c>
      <c r="L521" s="28">
        <v>11181.16</v>
      </c>
      <c r="M521" s="29">
        <v>109460</v>
      </c>
      <c r="N521" s="10">
        <f t="shared" si="27"/>
        <v>1.1234573037386397E-2</v>
      </c>
      <c r="O521" s="12">
        <f t="shared" si="28"/>
        <v>1.1701203393903459E-2</v>
      </c>
    </row>
    <row r="522" spans="5:15" ht="30" customHeight="1" x14ac:dyDescent="0.3">
      <c r="E522" s="27">
        <v>45064</v>
      </c>
      <c r="F522" s="28">
        <v>62.699627</v>
      </c>
      <c r="G522" s="29">
        <v>110108</v>
      </c>
      <c r="H522" s="10">
        <f t="shared" si="26"/>
        <v>-6.2249362533883801E-3</v>
      </c>
      <c r="I522" s="12">
        <f t="shared" si="26"/>
        <v>5.9199707655763767E-3</v>
      </c>
      <c r="K522" s="27">
        <v>62.699627</v>
      </c>
      <c r="L522" s="28">
        <v>11197.73</v>
      </c>
      <c r="M522" s="29">
        <v>110108</v>
      </c>
      <c r="N522" s="10">
        <f t="shared" si="27"/>
        <v>1.4819571493476236E-3</v>
      </c>
      <c r="O522" s="12">
        <f t="shared" si="28"/>
        <v>5.9199707655763767E-3</v>
      </c>
    </row>
    <row r="523" spans="5:15" ht="30" customHeight="1" x14ac:dyDescent="0.3">
      <c r="E523" s="27">
        <v>45065</v>
      </c>
      <c r="F523" s="28">
        <v>63.391609000000003</v>
      </c>
      <c r="G523" s="29">
        <v>110745</v>
      </c>
      <c r="H523" s="10">
        <f t="shared" si="26"/>
        <v>1.1036461189793068E-2</v>
      </c>
      <c r="I523" s="12">
        <f t="shared" si="26"/>
        <v>5.7852290478439539E-3</v>
      </c>
      <c r="K523" s="27">
        <v>63.391609000000003</v>
      </c>
      <c r="L523" s="28">
        <v>11263.88</v>
      </c>
      <c r="M523" s="29">
        <v>110745</v>
      </c>
      <c r="N523" s="10">
        <f t="shared" si="27"/>
        <v>5.9074473129820948E-3</v>
      </c>
      <c r="O523" s="12">
        <f t="shared" si="28"/>
        <v>5.7852290478439539E-3</v>
      </c>
    </row>
    <row r="524" spans="5:15" ht="30" customHeight="1" x14ac:dyDescent="0.3">
      <c r="E524" s="27">
        <v>45068</v>
      </c>
      <c r="F524" s="28">
        <v>62.316223000000001</v>
      </c>
      <c r="G524" s="29">
        <v>110213</v>
      </c>
      <c r="H524" s="10">
        <f t="shared" si="26"/>
        <v>-1.6964169500729986E-2</v>
      </c>
      <c r="I524" s="12">
        <f t="shared" si="26"/>
        <v>-4.8038286152873866E-3</v>
      </c>
      <c r="K524" s="27">
        <v>62.316223000000001</v>
      </c>
      <c r="L524" s="28">
        <v>11130.32</v>
      </c>
      <c r="M524" s="29">
        <v>110213</v>
      </c>
      <c r="N524" s="10">
        <f t="shared" si="27"/>
        <v>-1.1857370639601905E-2</v>
      </c>
      <c r="O524" s="12">
        <f t="shared" si="28"/>
        <v>-4.8038286152873866E-3</v>
      </c>
    </row>
    <row r="525" spans="5:15" ht="30" customHeight="1" x14ac:dyDescent="0.3">
      <c r="E525" s="27">
        <v>45069</v>
      </c>
      <c r="F525" s="28">
        <v>63.204582000000002</v>
      </c>
      <c r="G525" s="29">
        <v>109929</v>
      </c>
      <c r="H525" s="10">
        <f t="shared" si="26"/>
        <v>1.4255661804150055E-2</v>
      </c>
      <c r="I525" s="12">
        <f t="shared" si="26"/>
        <v>-2.5768285048043404E-3</v>
      </c>
      <c r="K525" s="27">
        <v>63.204582000000002</v>
      </c>
      <c r="L525" s="28">
        <v>11180.05</v>
      </c>
      <c r="M525" s="29">
        <v>109929</v>
      </c>
      <c r="N525" s="10">
        <f t="shared" si="27"/>
        <v>4.4679757634999984E-3</v>
      </c>
      <c r="O525" s="12">
        <f t="shared" si="28"/>
        <v>-2.5768285048043404E-3</v>
      </c>
    </row>
    <row r="526" spans="5:15" ht="30" customHeight="1" x14ac:dyDescent="0.3">
      <c r="E526" s="27">
        <v>45070</v>
      </c>
      <c r="F526" s="28">
        <v>63.578631999999999</v>
      </c>
      <c r="G526" s="29">
        <v>108800</v>
      </c>
      <c r="H526" s="10">
        <f t="shared" si="26"/>
        <v>5.9180835971670565E-3</v>
      </c>
      <c r="I526" s="12">
        <f t="shared" si="26"/>
        <v>-1.0270265353091501E-2</v>
      </c>
      <c r="K526" s="27">
        <v>63.578631999999999</v>
      </c>
      <c r="L526" s="28">
        <v>11054.21</v>
      </c>
      <c r="M526" s="29">
        <v>108800</v>
      </c>
      <c r="N526" s="10">
        <f t="shared" si="27"/>
        <v>-1.1255763614652858E-2</v>
      </c>
      <c r="O526" s="12">
        <f t="shared" si="28"/>
        <v>-1.0270265353091501E-2</v>
      </c>
    </row>
    <row r="527" spans="5:15" ht="30" customHeight="1" x14ac:dyDescent="0.3">
      <c r="E527" s="27">
        <v>45071</v>
      </c>
      <c r="F527" s="28">
        <v>63.803066000000001</v>
      </c>
      <c r="G527" s="29">
        <v>110054</v>
      </c>
      <c r="H527" s="10">
        <f t="shared" si="26"/>
        <v>3.5300224767340627E-3</v>
      </c>
      <c r="I527" s="12">
        <f t="shared" si="26"/>
        <v>1.1525735294117601E-2</v>
      </c>
      <c r="K527" s="27">
        <v>63.803066000000001</v>
      </c>
      <c r="L527" s="28">
        <v>11302.77</v>
      </c>
      <c r="M527" s="29">
        <v>110054</v>
      </c>
      <c r="N527" s="10">
        <f t="shared" si="27"/>
        <v>2.2485550753966299E-2</v>
      </c>
      <c r="O527" s="12">
        <f t="shared" si="28"/>
        <v>1.1525735294117601E-2</v>
      </c>
    </row>
    <row r="528" spans="5:15" ht="30" customHeight="1" x14ac:dyDescent="0.3">
      <c r="E528" s="27">
        <v>45072</v>
      </c>
      <c r="F528" s="28">
        <v>62.942753000000003</v>
      </c>
      <c r="G528" s="29">
        <v>110906</v>
      </c>
      <c r="H528" s="10">
        <f t="shared" si="26"/>
        <v>-1.3483881793392105E-2</v>
      </c>
      <c r="I528" s="12">
        <f t="shared" si="26"/>
        <v>7.7416540970796088E-3</v>
      </c>
      <c r="K528" s="27">
        <v>62.942753000000003</v>
      </c>
      <c r="L528" s="28">
        <v>11343.87</v>
      </c>
      <c r="M528" s="29">
        <v>110906</v>
      </c>
      <c r="N528" s="10">
        <f t="shared" si="27"/>
        <v>3.6362767710924615E-3</v>
      </c>
      <c r="O528" s="12">
        <f t="shared" si="28"/>
        <v>7.7416540970796088E-3</v>
      </c>
    </row>
    <row r="529" spans="5:15" ht="30" customHeight="1" x14ac:dyDescent="0.3">
      <c r="E529" s="27">
        <v>45075</v>
      </c>
      <c r="F529" s="28">
        <v>64.298676</v>
      </c>
      <c r="G529" s="29">
        <v>110333</v>
      </c>
      <c r="H529" s="10">
        <f t="shared" si="26"/>
        <v>2.1542162288325617E-2</v>
      </c>
      <c r="I529" s="12">
        <f t="shared" si="26"/>
        <v>-5.1665374280922549E-3</v>
      </c>
      <c r="K529" s="27">
        <v>64.298676</v>
      </c>
      <c r="L529" s="28">
        <v>11326.72</v>
      </c>
      <c r="M529" s="29">
        <v>110333</v>
      </c>
      <c r="N529" s="10">
        <f t="shared" si="27"/>
        <v>-1.5118297371180534E-3</v>
      </c>
      <c r="O529" s="12">
        <f t="shared" si="28"/>
        <v>-5.1665374280922549E-3</v>
      </c>
    </row>
    <row r="530" spans="5:15" ht="30" customHeight="1" x14ac:dyDescent="0.3">
      <c r="E530" s="27">
        <v>45076</v>
      </c>
      <c r="F530" s="28">
        <v>63.316799000000003</v>
      </c>
      <c r="G530" s="29">
        <v>108967</v>
      </c>
      <c r="H530" s="10">
        <f t="shared" si="26"/>
        <v>-1.5270563269452087E-2</v>
      </c>
      <c r="I530" s="12">
        <f t="shared" si="26"/>
        <v>-1.2380702056501658E-2</v>
      </c>
      <c r="K530" s="27">
        <v>63.316799000000003</v>
      </c>
      <c r="L530" s="28">
        <v>11182.8</v>
      </c>
      <c r="M530" s="29">
        <v>108967</v>
      </c>
      <c r="N530" s="10">
        <f t="shared" si="27"/>
        <v>-1.270623799299353E-2</v>
      </c>
      <c r="O530" s="12">
        <f t="shared" si="28"/>
        <v>-1.2380702056501658E-2</v>
      </c>
    </row>
    <row r="531" spans="5:15" ht="30" customHeight="1" x14ac:dyDescent="0.3">
      <c r="E531" s="27">
        <v>45077</v>
      </c>
      <c r="F531" s="28">
        <v>64.289321999999999</v>
      </c>
      <c r="G531" s="29">
        <v>108335</v>
      </c>
      <c r="H531" s="10">
        <f t="shared" si="26"/>
        <v>1.5359636231768281E-2</v>
      </c>
      <c r="I531" s="12">
        <f t="shared" si="26"/>
        <v>-5.7999210770233178E-3</v>
      </c>
      <c r="K531" s="27">
        <v>64.289321999999999</v>
      </c>
      <c r="L531" s="28">
        <v>11088.63</v>
      </c>
      <c r="M531" s="29">
        <v>108335</v>
      </c>
      <c r="N531" s="10">
        <f t="shared" si="27"/>
        <v>-8.4209679150123451E-3</v>
      </c>
      <c r="O531" s="12">
        <f t="shared" si="28"/>
        <v>-5.7999210770233178E-3</v>
      </c>
    </row>
    <row r="532" spans="5:15" ht="30" customHeight="1" x14ac:dyDescent="0.3">
      <c r="E532" s="27">
        <v>45078</v>
      </c>
      <c r="F532" s="28">
        <v>63.587986000000001</v>
      </c>
      <c r="G532" s="29">
        <v>110565</v>
      </c>
      <c r="H532" s="10">
        <f t="shared" si="26"/>
        <v>-1.0909058894725931E-2</v>
      </c>
      <c r="I532" s="12">
        <f t="shared" si="26"/>
        <v>2.0584298703096859E-2</v>
      </c>
      <c r="K532" s="27">
        <v>63.587986000000001</v>
      </c>
      <c r="L532" s="28">
        <v>11345.53</v>
      </c>
      <c r="M532" s="29">
        <v>110565</v>
      </c>
      <c r="N532" s="10">
        <f t="shared" si="27"/>
        <v>2.3167875562625895E-2</v>
      </c>
      <c r="O532" s="12">
        <f t="shared" si="28"/>
        <v>2.0584298703096859E-2</v>
      </c>
    </row>
    <row r="533" spans="5:15" ht="30" customHeight="1" x14ac:dyDescent="0.3">
      <c r="E533" s="27">
        <v>45079</v>
      </c>
      <c r="F533" s="28">
        <v>63.587986000000001</v>
      </c>
      <c r="G533" s="29">
        <v>112558</v>
      </c>
      <c r="H533" s="10">
        <f t="shared" si="26"/>
        <v>0</v>
      </c>
      <c r="I533" s="12">
        <f t="shared" si="26"/>
        <v>1.8025595803373484E-2</v>
      </c>
      <c r="K533" s="27">
        <v>63.587986000000001</v>
      </c>
      <c r="L533" s="28">
        <v>11537.69</v>
      </c>
      <c r="M533" s="29">
        <v>112558</v>
      </c>
      <c r="N533" s="10">
        <f t="shared" si="27"/>
        <v>1.6937066844827875E-2</v>
      </c>
      <c r="O533" s="12">
        <f t="shared" si="28"/>
        <v>1.8025595803373484E-2</v>
      </c>
    </row>
    <row r="534" spans="5:15" ht="30" customHeight="1" x14ac:dyDescent="0.3">
      <c r="E534" s="27">
        <v>45082</v>
      </c>
      <c r="F534" s="28">
        <v>63.718899</v>
      </c>
      <c r="G534" s="29">
        <v>112696</v>
      </c>
      <c r="H534" s="10">
        <f t="shared" si="26"/>
        <v>2.058769403390226E-3</v>
      </c>
      <c r="I534" s="12">
        <f t="shared" si="26"/>
        <v>1.2260345777288517E-3</v>
      </c>
      <c r="K534" s="27">
        <v>63.718899</v>
      </c>
      <c r="L534" s="28">
        <v>11603.59</v>
      </c>
      <c r="M534" s="29">
        <v>112696</v>
      </c>
      <c r="N534" s="10">
        <f t="shared" si="27"/>
        <v>5.7117152566934504E-3</v>
      </c>
      <c r="O534" s="12">
        <f t="shared" si="28"/>
        <v>1.2260345777288517E-3</v>
      </c>
    </row>
    <row r="535" spans="5:15" ht="30" customHeight="1" x14ac:dyDescent="0.3">
      <c r="E535" s="27">
        <v>45083</v>
      </c>
      <c r="F535" s="28">
        <v>63.597340000000003</v>
      </c>
      <c r="G535" s="29">
        <v>114610</v>
      </c>
      <c r="H535" s="10">
        <f t="shared" si="26"/>
        <v>-1.9077385502219713E-3</v>
      </c>
      <c r="I535" s="12">
        <f t="shared" si="26"/>
        <v>1.6983743877333701E-2</v>
      </c>
      <c r="K535" s="27">
        <v>63.597340000000003</v>
      </c>
      <c r="L535" s="28">
        <v>11680.99</v>
      </c>
      <c r="M535" s="29">
        <v>114610</v>
      </c>
      <c r="N535" s="10">
        <f t="shared" si="27"/>
        <v>6.6703494349593662E-3</v>
      </c>
      <c r="O535" s="12">
        <f t="shared" si="28"/>
        <v>1.6983743877333701E-2</v>
      </c>
    </row>
    <row r="536" spans="5:15" ht="30" customHeight="1" x14ac:dyDescent="0.3">
      <c r="E536" s="27">
        <v>45084</v>
      </c>
      <c r="F536" s="28">
        <v>63.578631999999999</v>
      </c>
      <c r="G536" s="29">
        <v>115488</v>
      </c>
      <c r="H536" s="10">
        <f t="shared" ref="H536:I599" si="29">F536/F535-1</f>
        <v>-2.9416324645026304E-4</v>
      </c>
      <c r="I536" s="12">
        <f t="shared" si="29"/>
        <v>7.6607625861617734E-3</v>
      </c>
      <c r="K536" s="27">
        <v>63.578631999999999</v>
      </c>
      <c r="L536" s="28">
        <v>11768.69</v>
      </c>
      <c r="M536" s="29">
        <v>115488</v>
      </c>
      <c r="N536" s="10">
        <f t="shared" ref="N536:N599" si="30">L536/L535-1</f>
        <v>7.5079252700327448E-3</v>
      </c>
      <c r="O536" s="12">
        <f t="shared" ref="O536:O599" si="31">M536/M535-1</f>
        <v>7.6607625861617734E-3</v>
      </c>
    </row>
    <row r="537" spans="5:15" ht="30" customHeight="1" x14ac:dyDescent="0.3">
      <c r="E537" s="27">
        <v>45086</v>
      </c>
      <c r="F537" s="28">
        <v>64.177109000000002</v>
      </c>
      <c r="G537" s="29">
        <v>117019</v>
      </c>
      <c r="H537" s="10">
        <f t="shared" si="29"/>
        <v>9.4131783143744929E-3</v>
      </c>
      <c r="I537" s="12">
        <f t="shared" si="29"/>
        <v>1.3256788584095291E-2</v>
      </c>
      <c r="K537" s="27">
        <v>64.177109000000002</v>
      </c>
      <c r="L537" s="28">
        <v>11947.21</v>
      </c>
      <c r="M537" s="29">
        <v>117019</v>
      </c>
      <c r="N537" s="10">
        <f t="shared" si="30"/>
        <v>1.5169062996815974E-2</v>
      </c>
      <c r="O537" s="12">
        <f t="shared" si="31"/>
        <v>1.3256788584095291E-2</v>
      </c>
    </row>
    <row r="538" spans="5:15" ht="30" customHeight="1" x14ac:dyDescent="0.3">
      <c r="E538" s="27">
        <v>45089</v>
      </c>
      <c r="F538" s="28">
        <v>63.503825999999997</v>
      </c>
      <c r="G538" s="29">
        <v>117336</v>
      </c>
      <c r="H538" s="10">
        <f t="shared" si="29"/>
        <v>-1.0491014794698938E-2</v>
      </c>
      <c r="I538" s="12">
        <f t="shared" si="29"/>
        <v>2.7089617925293297E-3</v>
      </c>
      <c r="K538" s="27">
        <v>63.503825999999997</v>
      </c>
      <c r="L538" s="28">
        <v>11992.19</v>
      </c>
      <c r="M538" s="29">
        <v>117336</v>
      </c>
      <c r="N538" s="10">
        <f t="shared" si="30"/>
        <v>3.7648957371638758E-3</v>
      </c>
      <c r="O538" s="12">
        <f t="shared" si="31"/>
        <v>2.7089617925293297E-3</v>
      </c>
    </row>
    <row r="539" spans="5:15" ht="30" customHeight="1" x14ac:dyDescent="0.3">
      <c r="E539" s="27">
        <v>45090</v>
      </c>
      <c r="F539" s="28">
        <v>63.578631999999999</v>
      </c>
      <c r="G539" s="29">
        <v>116743</v>
      </c>
      <c r="H539" s="10">
        <f t="shared" si="29"/>
        <v>1.1779762687054163E-3</v>
      </c>
      <c r="I539" s="12">
        <f t="shared" si="29"/>
        <v>-5.0538624122179465E-3</v>
      </c>
      <c r="K539" s="27">
        <v>63.578631999999999</v>
      </c>
      <c r="L539" s="28">
        <v>11944.23</v>
      </c>
      <c r="M539" s="29">
        <v>116743</v>
      </c>
      <c r="N539" s="10">
        <f t="shared" si="30"/>
        <v>-3.999269524582294E-3</v>
      </c>
      <c r="O539" s="12">
        <f t="shared" si="31"/>
        <v>-5.0538624122179465E-3</v>
      </c>
    </row>
    <row r="540" spans="5:15" ht="30" customHeight="1" x14ac:dyDescent="0.3">
      <c r="E540" s="27">
        <v>45091</v>
      </c>
      <c r="F540" s="28">
        <v>63.578631999999999</v>
      </c>
      <c r="G540" s="29">
        <v>119069</v>
      </c>
      <c r="H540" s="10">
        <f t="shared" si="29"/>
        <v>0</v>
      </c>
      <c r="I540" s="12">
        <f t="shared" si="29"/>
        <v>1.9924106798694607E-2</v>
      </c>
      <c r="K540" s="27">
        <v>63.578631999999999</v>
      </c>
      <c r="L540" s="28">
        <v>12100.6</v>
      </c>
      <c r="M540" s="29">
        <v>119069</v>
      </c>
      <c r="N540" s="10">
        <f t="shared" si="30"/>
        <v>1.3091676901734184E-2</v>
      </c>
      <c r="O540" s="12">
        <f t="shared" si="31"/>
        <v>1.9924106798694607E-2</v>
      </c>
    </row>
    <row r="541" spans="5:15" ht="30" customHeight="1" x14ac:dyDescent="0.3">
      <c r="E541" s="27">
        <v>45092</v>
      </c>
      <c r="F541" s="28">
        <v>63.129779999999997</v>
      </c>
      <c r="G541" s="29">
        <v>119221</v>
      </c>
      <c r="H541" s="10">
        <f t="shared" si="29"/>
        <v>-7.0597932965906773E-3</v>
      </c>
      <c r="I541" s="12">
        <f t="shared" si="29"/>
        <v>1.2765707278972194E-3</v>
      </c>
      <c r="K541" s="27">
        <v>63.129779999999997</v>
      </c>
      <c r="L541" s="28">
        <v>12132.87</v>
      </c>
      <c r="M541" s="29">
        <v>119221</v>
      </c>
      <c r="N541" s="10">
        <f t="shared" si="30"/>
        <v>2.6668099102524767E-3</v>
      </c>
      <c r="O541" s="12">
        <f t="shared" si="31"/>
        <v>1.2765707278972194E-3</v>
      </c>
    </row>
    <row r="542" spans="5:15" ht="30" customHeight="1" x14ac:dyDescent="0.3">
      <c r="E542" s="27">
        <v>45093</v>
      </c>
      <c r="F542" s="28">
        <v>63.400962999999997</v>
      </c>
      <c r="G542" s="29">
        <v>118758</v>
      </c>
      <c r="H542" s="10">
        <f t="shared" si="29"/>
        <v>4.2956430388321198E-3</v>
      </c>
      <c r="I542" s="12">
        <f t="shared" si="29"/>
        <v>-3.8835440065089211E-3</v>
      </c>
      <c r="K542" s="27">
        <v>63.400962999999997</v>
      </c>
      <c r="L542" s="28">
        <v>12141.96</v>
      </c>
      <c r="M542" s="29">
        <v>118758</v>
      </c>
      <c r="N542" s="10">
        <f t="shared" si="30"/>
        <v>7.4920443390547042E-4</v>
      </c>
      <c r="O542" s="12">
        <f t="shared" si="31"/>
        <v>-3.8835440065089211E-3</v>
      </c>
    </row>
    <row r="543" spans="5:15" ht="30" customHeight="1" x14ac:dyDescent="0.3">
      <c r="E543" s="27">
        <v>45096</v>
      </c>
      <c r="F543" s="28">
        <v>63.251342999999999</v>
      </c>
      <c r="G543" s="29">
        <v>119858</v>
      </c>
      <c r="H543" s="10">
        <f t="shared" si="29"/>
        <v>-2.3599010633323925E-3</v>
      </c>
      <c r="I543" s="12">
        <f t="shared" si="29"/>
        <v>9.2625338924534617E-3</v>
      </c>
      <c r="K543" s="27">
        <v>63.251342999999999</v>
      </c>
      <c r="L543" s="28">
        <v>12308.16</v>
      </c>
      <c r="M543" s="29">
        <v>119858</v>
      </c>
      <c r="N543" s="10">
        <f t="shared" si="30"/>
        <v>1.3688070130357888E-2</v>
      </c>
      <c r="O543" s="12">
        <f t="shared" si="31"/>
        <v>9.2625338924534617E-3</v>
      </c>
    </row>
    <row r="544" spans="5:15" ht="30" customHeight="1" x14ac:dyDescent="0.3">
      <c r="E544" s="27">
        <v>45097</v>
      </c>
      <c r="F544" s="28">
        <v>63.447716</v>
      </c>
      <c r="G544" s="29">
        <v>119622</v>
      </c>
      <c r="H544" s="10">
        <f t="shared" si="29"/>
        <v>3.1046455408860751E-3</v>
      </c>
      <c r="I544" s="12">
        <f t="shared" si="29"/>
        <v>-1.9689966460311181E-3</v>
      </c>
      <c r="K544" s="27">
        <v>63.447716</v>
      </c>
      <c r="L544" s="28">
        <v>12333.18</v>
      </c>
      <c r="M544" s="29">
        <v>119622</v>
      </c>
      <c r="N544" s="10">
        <f t="shared" si="30"/>
        <v>2.032797753685367E-3</v>
      </c>
      <c r="O544" s="12">
        <f t="shared" si="31"/>
        <v>-1.9689966460311181E-3</v>
      </c>
    </row>
    <row r="545" spans="5:15" ht="30" customHeight="1" x14ac:dyDescent="0.3">
      <c r="E545" s="27">
        <v>45098</v>
      </c>
      <c r="F545" s="28">
        <v>63.587986000000001</v>
      </c>
      <c r="G545" s="29">
        <v>120420</v>
      </c>
      <c r="H545" s="10">
        <f t="shared" si="29"/>
        <v>2.2107966817908054E-3</v>
      </c>
      <c r="I545" s="12">
        <f t="shared" si="29"/>
        <v>6.6710136931333874E-3</v>
      </c>
      <c r="K545" s="27">
        <v>63.587986000000001</v>
      </c>
      <c r="L545" s="28">
        <v>12431.77</v>
      </c>
      <c r="M545" s="29">
        <v>120420</v>
      </c>
      <c r="N545" s="10">
        <f t="shared" si="30"/>
        <v>7.9938831671961808E-3</v>
      </c>
      <c r="O545" s="12">
        <f t="shared" si="31"/>
        <v>6.6710136931333874E-3</v>
      </c>
    </row>
    <row r="546" spans="5:15" ht="30" customHeight="1" x14ac:dyDescent="0.3">
      <c r="E546" s="27">
        <v>45099</v>
      </c>
      <c r="F546" s="28">
        <v>63.831116000000002</v>
      </c>
      <c r="G546" s="29">
        <v>118934</v>
      </c>
      <c r="H546" s="10">
        <f t="shared" si="29"/>
        <v>3.8235210028509936E-3</v>
      </c>
      <c r="I546" s="12">
        <f t="shared" si="29"/>
        <v>-1.2340142833416334E-2</v>
      </c>
      <c r="K546" s="27">
        <v>63.831116000000002</v>
      </c>
      <c r="L546" s="28">
        <v>12199.32</v>
      </c>
      <c r="M546" s="29">
        <v>118934</v>
      </c>
      <c r="N546" s="10">
        <f t="shared" si="30"/>
        <v>-1.8698061498885532E-2</v>
      </c>
      <c r="O546" s="12">
        <f t="shared" si="31"/>
        <v>-1.2340142833416334E-2</v>
      </c>
    </row>
    <row r="547" spans="5:15" ht="30" customHeight="1" x14ac:dyDescent="0.3">
      <c r="E547" s="27">
        <v>45100</v>
      </c>
      <c r="F547" s="28">
        <v>64.532454999999999</v>
      </c>
      <c r="G547" s="29">
        <v>118977</v>
      </c>
      <c r="H547" s="10">
        <f t="shared" si="29"/>
        <v>1.0987415604640116E-2</v>
      </c>
      <c r="I547" s="12">
        <f t="shared" si="29"/>
        <v>3.6154505860386266E-4</v>
      </c>
      <c r="K547" s="27">
        <v>64.532454999999999</v>
      </c>
      <c r="L547" s="28">
        <v>12213.42</v>
      </c>
      <c r="M547" s="29">
        <v>118977</v>
      </c>
      <c r="N547" s="10">
        <f t="shared" si="30"/>
        <v>1.1558021266759866E-3</v>
      </c>
      <c r="O547" s="12">
        <f t="shared" si="31"/>
        <v>3.6154505860386266E-4</v>
      </c>
    </row>
    <row r="548" spans="5:15" ht="30" customHeight="1" x14ac:dyDescent="0.3">
      <c r="E548" s="27">
        <v>45103</v>
      </c>
      <c r="F548" s="28">
        <v>65.205742000000001</v>
      </c>
      <c r="G548" s="29">
        <v>118243</v>
      </c>
      <c r="H548" s="10">
        <f t="shared" si="29"/>
        <v>1.0433308325245028E-2</v>
      </c>
      <c r="I548" s="12">
        <f t="shared" si="29"/>
        <v>-6.1692596047975279E-3</v>
      </c>
      <c r="K548" s="27">
        <v>65.205742000000001</v>
      </c>
      <c r="L548" s="28">
        <v>12130.25</v>
      </c>
      <c r="M548" s="29">
        <v>118243</v>
      </c>
      <c r="N548" s="10">
        <f t="shared" si="30"/>
        <v>-6.8097224200920348E-3</v>
      </c>
      <c r="O548" s="12">
        <f t="shared" si="31"/>
        <v>-6.1692596047975279E-3</v>
      </c>
    </row>
    <row r="549" spans="5:15" ht="30" customHeight="1" x14ac:dyDescent="0.3">
      <c r="E549" s="27">
        <v>45104</v>
      </c>
      <c r="F549" s="28">
        <v>65.224441999999996</v>
      </c>
      <c r="G549" s="29">
        <v>117523</v>
      </c>
      <c r="H549" s="10">
        <f t="shared" si="29"/>
        <v>2.8678455955599702E-4</v>
      </c>
      <c r="I549" s="12">
        <f t="shared" si="29"/>
        <v>-6.0891553834053758E-3</v>
      </c>
      <c r="K549" s="27">
        <v>65.224441999999996</v>
      </c>
      <c r="L549" s="28">
        <v>12060.01</v>
      </c>
      <c r="M549" s="29">
        <v>117523</v>
      </c>
      <c r="N549" s="10">
        <f t="shared" si="30"/>
        <v>-5.7904824715071523E-3</v>
      </c>
      <c r="O549" s="12">
        <f t="shared" si="31"/>
        <v>-6.0891553834053758E-3</v>
      </c>
    </row>
    <row r="550" spans="5:15" ht="30" customHeight="1" x14ac:dyDescent="0.3">
      <c r="E550" s="27">
        <v>45105</v>
      </c>
      <c r="F550" s="28">
        <v>65.645240999999999</v>
      </c>
      <c r="G550" s="29">
        <v>116681</v>
      </c>
      <c r="H550" s="10">
        <f t="shared" si="29"/>
        <v>6.4515538515454995E-3</v>
      </c>
      <c r="I550" s="12">
        <f t="shared" si="29"/>
        <v>-7.1645550232720678E-3</v>
      </c>
      <c r="K550" s="27">
        <v>65.645240999999999</v>
      </c>
      <c r="L550" s="28">
        <v>11977.54</v>
      </c>
      <c r="M550" s="29">
        <v>116681</v>
      </c>
      <c r="N550" s="10">
        <f t="shared" si="30"/>
        <v>-6.8383027874768798E-3</v>
      </c>
      <c r="O550" s="12">
        <f t="shared" si="31"/>
        <v>-7.1645550232720678E-3</v>
      </c>
    </row>
    <row r="551" spans="5:15" ht="30" customHeight="1" x14ac:dyDescent="0.3">
      <c r="E551" s="27">
        <v>45106</v>
      </c>
      <c r="F551" s="28">
        <v>65.720055000000002</v>
      </c>
      <c r="G551" s="29">
        <v>118383</v>
      </c>
      <c r="H551" s="10">
        <f t="shared" si="29"/>
        <v>1.1396713434261851E-3</v>
      </c>
      <c r="I551" s="12">
        <f t="shared" si="29"/>
        <v>1.4586779338538358E-2</v>
      </c>
      <c r="K551" s="27">
        <v>65.720055000000002</v>
      </c>
      <c r="L551" s="28">
        <v>12195.46</v>
      </c>
      <c r="M551" s="29">
        <v>118383</v>
      </c>
      <c r="N551" s="10">
        <f t="shared" si="30"/>
        <v>1.8194053202911231E-2</v>
      </c>
      <c r="O551" s="12">
        <f t="shared" si="31"/>
        <v>1.4586779338538358E-2</v>
      </c>
    </row>
    <row r="552" spans="5:15" ht="30" customHeight="1" x14ac:dyDescent="0.3">
      <c r="E552" s="27">
        <v>45107</v>
      </c>
      <c r="F552" s="28">
        <v>66.337233999999995</v>
      </c>
      <c r="G552" s="29">
        <v>118087</v>
      </c>
      <c r="H552" s="10">
        <f t="shared" si="29"/>
        <v>9.3910298766486378E-3</v>
      </c>
      <c r="I552" s="12">
        <f t="shared" si="29"/>
        <v>-2.5003590042489421E-3</v>
      </c>
      <c r="K552" s="27">
        <v>66.337233999999995</v>
      </c>
      <c r="L552" s="28">
        <v>12223.63</v>
      </c>
      <c r="M552" s="29">
        <v>118087</v>
      </c>
      <c r="N552" s="10">
        <f t="shared" si="30"/>
        <v>2.3098759702380178E-3</v>
      </c>
      <c r="O552" s="12">
        <f t="shared" si="31"/>
        <v>-2.5003590042489421E-3</v>
      </c>
    </row>
    <row r="553" spans="5:15" ht="30" customHeight="1" x14ac:dyDescent="0.3">
      <c r="E553" s="27">
        <v>45110</v>
      </c>
      <c r="F553" s="28">
        <v>65.935135000000002</v>
      </c>
      <c r="G553" s="29">
        <v>119673</v>
      </c>
      <c r="H553" s="10">
        <f t="shared" si="29"/>
        <v>-6.0614375329546277E-3</v>
      </c>
      <c r="I553" s="12">
        <f t="shared" si="29"/>
        <v>1.3430775614589274E-2</v>
      </c>
      <c r="K553" s="27">
        <v>65.935135000000002</v>
      </c>
      <c r="L553" s="28">
        <v>12446.87</v>
      </c>
      <c r="M553" s="29">
        <v>119673</v>
      </c>
      <c r="N553" s="10">
        <f t="shared" si="30"/>
        <v>1.8262987345003312E-2</v>
      </c>
      <c r="O553" s="12">
        <f t="shared" si="31"/>
        <v>1.3430775614589274E-2</v>
      </c>
    </row>
    <row r="554" spans="5:15" ht="30" customHeight="1" x14ac:dyDescent="0.3">
      <c r="E554" s="27">
        <v>45111</v>
      </c>
      <c r="F554" s="28">
        <v>65.738754</v>
      </c>
      <c r="G554" s="29">
        <v>119076</v>
      </c>
      <c r="H554" s="10">
        <f t="shared" si="29"/>
        <v>-2.9783968744433453E-3</v>
      </c>
      <c r="I554" s="12">
        <f t="shared" si="29"/>
        <v>-4.9885939184277639E-3</v>
      </c>
      <c r="K554" s="27">
        <v>65.738754</v>
      </c>
      <c r="L554" s="28">
        <v>12351.38</v>
      </c>
      <c r="M554" s="29">
        <v>119076</v>
      </c>
      <c r="N554" s="10">
        <f t="shared" si="30"/>
        <v>-7.6718082538020926E-3</v>
      </c>
      <c r="O554" s="12">
        <f t="shared" si="31"/>
        <v>-4.9885939184277639E-3</v>
      </c>
    </row>
    <row r="555" spans="5:15" ht="30" customHeight="1" x14ac:dyDescent="0.3">
      <c r="E555" s="27">
        <v>45112</v>
      </c>
      <c r="F555" s="28">
        <v>65.392760999999993</v>
      </c>
      <c r="G555" s="29">
        <v>119549</v>
      </c>
      <c r="H555" s="10">
        <f t="shared" si="29"/>
        <v>-5.2631511695522271E-3</v>
      </c>
      <c r="I555" s="12">
        <f t="shared" si="29"/>
        <v>3.9722530148813551E-3</v>
      </c>
      <c r="K555" s="27">
        <v>65.392760999999993</v>
      </c>
      <c r="L555" s="28">
        <v>12379.88</v>
      </c>
      <c r="M555" s="29">
        <v>119549</v>
      </c>
      <c r="N555" s="10">
        <f t="shared" si="30"/>
        <v>2.3074344729090424E-3</v>
      </c>
      <c r="O555" s="12">
        <f t="shared" si="31"/>
        <v>3.9722530148813551E-3</v>
      </c>
    </row>
    <row r="556" spans="5:15" ht="30" customHeight="1" x14ac:dyDescent="0.3">
      <c r="E556" s="27">
        <v>45113</v>
      </c>
      <c r="F556" s="28">
        <v>65.495627999999996</v>
      </c>
      <c r="G556" s="29">
        <v>117426</v>
      </c>
      <c r="H556" s="10">
        <f t="shared" si="29"/>
        <v>1.573064027683424E-3</v>
      </c>
      <c r="I556" s="12">
        <f t="shared" si="29"/>
        <v>-1.7758408685978111E-2</v>
      </c>
      <c r="K556" s="27">
        <v>65.495627999999996</v>
      </c>
      <c r="L556" s="28">
        <v>12109.47</v>
      </c>
      <c r="M556" s="29">
        <v>117426</v>
      </c>
      <c r="N556" s="10">
        <f t="shared" si="30"/>
        <v>-2.1842699606135052E-2</v>
      </c>
      <c r="O556" s="12">
        <f t="shared" si="31"/>
        <v>-1.7758408685978111E-2</v>
      </c>
    </row>
    <row r="557" spans="5:15" ht="30" customHeight="1" x14ac:dyDescent="0.3">
      <c r="E557" s="27">
        <v>45114</v>
      </c>
      <c r="F557" s="28">
        <v>65.607840999999993</v>
      </c>
      <c r="G557" s="29">
        <v>118898</v>
      </c>
      <c r="H557" s="10">
        <f t="shared" si="29"/>
        <v>1.7132899313523353E-3</v>
      </c>
      <c r="I557" s="12">
        <f t="shared" si="29"/>
        <v>1.2535554306541963E-2</v>
      </c>
      <c r="K557" s="27">
        <v>65.607840999999993</v>
      </c>
      <c r="L557" s="28">
        <v>12305.4</v>
      </c>
      <c r="M557" s="29">
        <v>118898</v>
      </c>
      <c r="N557" s="10">
        <f t="shared" si="30"/>
        <v>1.6179898872535237E-2</v>
      </c>
      <c r="O557" s="12">
        <f t="shared" si="31"/>
        <v>1.2535554306541963E-2</v>
      </c>
    </row>
    <row r="558" spans="5:15" ht="30" customHeight="1" x14ac:dyDescent="0.3">
      <c r="E558" s="27">
        <v>45117</v>
      </c>
      <c r="F558" s="28">
        <v>65.701355000000007</v>
      </c>
      <c r="G558" s="29">
        <v>117942</v>
      </c>
      <c r="H558" s="10">
        <f t="shared" si="29"/>
        <v>1.42534792449589E-3</v>
      </c>
      <c r="I558" s="12">
        <f t="shared" si="29"/>
        <v>-8.0405053070699006E-3</v>
      </c>
      <c r="K558" s="27">
        <v>65.701355000000007</v>
      </c>
      <c r="L558" s="28">
        <v>12194.21</v>
      </c>
      <c r="M558" s="29">
        <v>117942</v>
      </c>
      <c r="N558" s="10">
        <f t="shared" si="30"/>
        <v>-9.0358704308678428E-3</v>
      </c>
      <c r="O558" s="12">
        <f t="shared" si="31"/>
        <v>-8.0405053070699006E-3</v>
      </c>
    </row>
    <row r="559" spans="5:15" ht="30" customHeight="1" x14ac:dyDescent="0.3">
      <c r="E559" s="27">
        <v>45118</v>
      </c>
      <c r="F559" s="28">
        <v>65.729408000000006</v>
      </c>
      <c r="G559" s="29">
        <v>117220</v>
      </c>
      <c r="H559" s="10">
        <f t="shared" si="29"/>
        <v>4.2697749536513285E-4</v>
      </c>
      <c r="I559" s="12">
        <f t="shared" si="29"/>
        <v>-6.1216530158891835E-3</v>
      </c>
      <c r="K559" s="27">
        <v>65.729408000000006</v>
      </c>
      <c r="L559" s="28">
        <v>12086.05</v>
      </c>
      <c r="M559" s="29">
        <v>117220</v>
      </c>
      <c r="N559" s="10">
        <f t="shared" si="30"/>
        <v>-8.8697832823938505E-3</v>
      </c>
      <c r="O559" s="12">
        <f t="shared" si="31"/>
        <v>-6.1216530158891835E-3</v>
      </c>
    </row>
    <row r="560" spans="5:15" ht="30" customHeight="1" x14ac:dyDescent="0.3">
      <c r="E560" s="27">
        <v>45119</v>
      </c>
      <c r="F560" s="28">
        <v>65.598488000000003</v>
      </c>
      <c r="G560" s="29">
        <v>117666</v>
      </c>
      <c r="H560" s="10">
        <f t="shared" si="29"/>
        <v>-1.9918025125070793E-3</v>
      </c>
      <c r="I560" s="12">
        <f t="shared" si="29"/>
        <v>3.8048114656201726E-3</v>
      </c>
      <c r="K560" s="27">
        <v>65.598488000000003</v>
      </c>
      <c r="L560" s="28">
        <v>12058.47</v>
      </c>
      <c r="M560" s="29">
        <v>117666</v>
      </c>
      <c r="N560" s="10">
        <f t="shared" si="30"/>
        <v>-2.2819697088792834E-3</v>
      </c>
      <c r="O560" s="12">
        <f t="shared" si="31"/>
        <v>3.8048114656201726E-3</v>
      </c>
    </row>
    <row r="561" spans="5:15" ht="30" customHeight="1" x14ac:dyDescent="0.3">
      <c r="E561" s="27">
        <v>45120</v>
      </c>
      <c r="F561" s="28">
        <v>66.309180999999995</v>
      </c>
      <c r="G561" s="29">
        <v>119264</v>
      </c>
      <c r="H561" s="10">
        <f t="shared" si="29"/>
        <v>1.0833984466227298E-2</v>
      </c>
      <c r="I561" s="12">
        <f t="shared" si="29"/>
        <v>1.3580813489028287E-2</v>
      </c>
      <c r="K561" s="27">
        <v>66.309180999999995</v>
      </c>
      <c r="L561" s="28">
        <v>12243.3</v>
      </c>
      <c r="M561" s="29">
        <v>119264</v>
      </c>
      <c r="N561" s="10">
        <f t="shared" si="30"/>
        <v>1.5327815220338881E-2</v>
      </c>
      <c r="O561" s="12">
        <f t="shared" si="31"/>
        <v>1.3580813489028287E-2</v>
      </c>
    </row>
    <row r="562" spans="5:15" ht="30" customHeight="1" x14ac:dyDescent="0.3">
      <c r="E562" s="27">
        <v>45121</v>
      </c>
      <c r="F562" s="28">
        <v>65.551727</v>
      </c>
      <c r="G562" s="29">
        <v>117711</v>
      </c>
      <c r="H562" s="10">
        <f t="shared" si="29"/>
        <v>-1.1423063723257187E-2</v>
      </c>
      <c r="I562" s="12">
        <f t="shared" si="29"/>
        <v>-1.3021532063321684E-2</v>
      </c>
      <c r="K562" s="27">
        <v>65.551727</v>
      </c>
      <c r="L562" s="28">
        <v>12123.55</v>
      </c>
      <c r="M562" s="29">
        <v>117711</v>
      </c>
      <c r="N562" s="10">
        <f t="shared" si="30"/>
        <v>-9.7808597355287796E-3</v>
      </c>
      <c r="O562" s="12">
        <f t="shared" si="31"/>
        <v>-1.3021532063321684E-2</v>
      </c>
    </row>
    <row r="563" spans="5:15" ht="30" customHeight="1" x14ac:dyDescent="0.3">
      <c r="E563" s="27">
        <v>45124</v>
      </c>
      <c r="F563" s="28">
        <v>65.177681000000007</v>
      </c>
      <c r="G563" s="29">
        <v>118219</v>
      </c>
      <c r="H563" s="10">
        <f t="shared" si="29"/>
        <v>-5.7061196877390419E-3</v>
      </c>
      <c r="I563" s="12">
        <f t="shared" si="29"/>
        <v>4.3156544418108123E-3</v>
      </c>
      <c r="K563" s="27">
        <v>65.177681000000007</v>
      </c>
      <c r="L563" s="28">
        <v>12294.47</v>
      </c>
      <c r="M563" s="29">
        <v>118219</v>
      </c>
      <c r="N563" s="10">
        <f t="shared" si="30"/>
        <v>1.4098180813375549E-2</v>
      </c>
      <c r="O563" s="12">
        <f t="shared" si="31"/>
        <v>4.3156544418108123E-3</v>
      </c>
    </row>
    <row r="564" spans="5:15" ht="30" customHeight="1" x14ac:dyDescent="0.3">
      <c r="E564" s="27">
        <v>45125</v>
      </c>
      <c r="F564" s="28">
        <v>65.439521999999997</v>
      </c>
      <c r="G564" s="29">
        <v>117841</v>
      </c>
      <c r="H564" s="10">
        <f t="shared" si="29"/>
        <v>4.0173414577298061E-3</v>
      </c>
      <c r="I564" s="12">
        <f t="shared" si="29"/>
        <v>-3.1974555697477092E-3</v>
      </c>
      <c r="K564" s="27">
        <v>65.439521999999997</v>
      </c>
      <c r="L564" s="28">
        <v>12268.65</v>
      </c>
      <c r="M564" s="29">
        <v>117841</v>
      </c>
      <c r="N564" s="10">
        <f t="shared" si="30"/>
        <v>-2.100131197196764E-3</v>
      </c>
      <c r="O564" s="12">
        <f t="shared" si="31"/>
        <v>-3.1974555697477092E-3</v>
      </c>
    </row>
    <row r="565" spans="5:15" ht="30" customHeight="1" x14ac:dyDescent="0.3">
      <c r="E565" s="27">
        <v>45126</v>
      </c>
      <c r="F565" s="28">
        <v>64.915847999999997</v>
      </c>
      <c r="G565" s="29">
        <v>117552</v>
      </c>
      <c r="H565" s="10">
        <f t="shared" si="29"/>
        <v>-8.0024117535577588E-3</v>
      </c>
      <c r="I565" s="12">
        <f t="shared" si="29"/>
        <v>-2.4524571244304294E-3</v>
      </c>
      <c r="K565" s="27">
        <v>64.915847999999997</v>
      </c>
      <c r="L565" s="28">
        <v>12165.53</v>
      </c>
      <c r="M565" s="29">
        <v>117552</v>
      </c>
      <c r="N565" s="10">
        <f t="shared" si="30"/>
        <v>-8.4051627522179206E-3</v>
      </c>
      <c r="O565" s="12">
        <f t="shared" si="31"/>
        <v>-2.4524571244304294E-3</v>
      </c>
    </row>
    <row r="566" spans="5:15" ht="30" customHeight="1" x14ac:dyDescent="0.3">
      <c r="E566" s="27">
        <v>45127</v>
      </c>
      <c r="F566" s="28">
        <v>65.177681000000007</v>
      </c>
      <c r="G566" s="29">
        <v>118083</v>
      </c>
      <c r="H566" s="10">
        <f t="shared" si="29"/>
        <v>4.03342185409028E-3</v>
      </c>
      <c r="I566" s="12">
        <f t="shared" si="29"/>
        <v>4.5171498570846236E-3</v>
      </c>
      <c r="K566" s="27">
        <v>65.177681000000007</v>
      </c>
      <c r="L566" s="28">
        <v>12265.73</v>
      </c>
      <c r="M566" s="29">
        <v>118083</v>
      </c>
      <c r="N566" s="10">
        <f t="shared" si="30"/>
        <v>8.2363859198899547E-3</v>
      </c>
      <c r="O566" s="12">
        <f t="shared" si="31"/>
        <v>4.5171498570846236E-3</v>
      </c>
    </row>
    <row r="567" spans="5:15" ht="30" customHeight="1" x14ac:dyDescent="0.3">
      <c r="E567" s="27">
        <v>45128</v>
      </c>
      <c r="F567" s="28">
        <v>65.645240999999999</v>
      </c>
      <c r="G567" s="29">
        <v>120217</v>
      </c>
      <c r="H567" s="10">
        <f t="shared" si="29"/>
        <v>7.1736212891648776E-3</v>
      </c>
      <c r="I567" s="12">
        <f t="shared" si="29"/>
        <v>1.8072034077724952E-2</v>
      </c>
      <c r="K567" s="27">
        <v>65.645240999999999</v>
      </c>
      <c r="L567" s="28">
        <v>12550.66</v>
      </c>
      <c r="M567" s="29">
        <v>120217</v>
      </c>
      <c r="N567" s="10">
        <f t="shared" si="30"/>
        <v>2.3229762924832142E-2</v>
      </c>
      <c r="O567" s="12">
        <f t="shared" si="31"/>
        <v>1.8072034077724952E-2</v>
      </c>
    </row>
    <row r="568" spans="5:15" ht="30" customHeight="1" x14ac:dyDescent="0.3">
      <c r="E568" s="27">
        <v>45131</v>
      </c>
      <c r="F568" s="28">
        <v>65.261848000000001</v>
      </c>
      <c r="G568" s="29">
        <v>121342</v>
      </c>
      <c r="H568" s="10">
        <f t="shared" si="29"/>
        <v>-5.8403776749025305E-3</v>
      </c>
      <c r="I568" s="12">
        <f t="shared" si="29"/>
        <v>9.3580774765631425E-3</v>
      </c>
      <c r="K568" s="27">
        <v>65.261848000000001</v>
      </c>
      <c r="L568" s="28">
        <v>12375.08</v>
      </c>
      <c r="M568" s="29">
        <v>121342</v>
      </c>
      <c r="N568" s="10">
        <f t="shared" si="30"/>
        <v>-1.3989702533571902E-2</v>
      </c>
      <c r="O568" s="12">
        <f t="shared" si="31"/>
        <v>9.3580774765631425E-3</v>
      </c>
    </row>
    <row r="569" spans="5:15" ht="30" customHeight="1" x14ac:dyDescent="0.3">
      <c r="E569" s="27">
        <v>45132</v>
      </c>
      <c r="F569" s="28">
        <v>64.055542000000003</v>
      </c>
      <c r="G569" s="29">
        <v>122008</v>
      </c>
      <c r="H569" s="10">
        <f t="shared" si="29"/>
        <v>-1.8484091961355364E-2</v>
      </c>
      <c r="I569" s="12">
        <f t="shared" si="29"/>
        <v>5.4886189448006828E-3</v>
      </c>
      <c r="K569" s="27">
        <v>64.055542000000003</v>
      </c>
      <c r="L569" s="28">
        <v>12345.46</v>
      </c>
      <c r="M569" s="29">
        <v>122008</v>
      </c>
      <c r="N569" s="10">
        <f t="shared" si="30"/>
        <v>-2.3935198802755853E-3</v>
      </c>
      <c r="O569" s="12">
        <f t="shared" si="31"/>
        <v>5.4886189448006828E-3</v>
      </c>
    </row>
    <row r="570" spans="5:15" ht="30" customHeight="1" x14ac:dyDescent="0.3">
      <c r="E570" s="27">
        <v>45133</v>
      </c>
      <c r="F570" s="28">
        <v>64.242560999999995</v>
      </c>
      <c r="G570" s="29">
        <v>122560</v>
      </c>
      <c r="H570" s="10">
        <f t="shared" si="29"/>
        <v>2.9196380853353521E-3</v>
      </c>
      <c r="I570" s="12">
        <f t="shared" si="29"/>
        <v>4.5242934889515585E-3</v>
      </c>
      <c r="K570" s="27">
        <v>64.242560999999995</v>
      </c>
      <c r="L570" s="28">
        <v>12393.81</v>
      </c>
      <c r="M570" s="29">
        <v>122560</v>
      </c>
      <c r="N570" s="10">
        <f t="shared" si="30"/>
        <v>3.9164194772816074E-3</v>
      </c>
      <c r="O570" s="12">
        <f t="shared" si="31"/>
        <v>4.5242934889515585E-3</v>
      </c>
    </row>
    <row r="571" spans="5:15" ht="30" customHeight="1" x14ac:dyDescent="0.3">
      <c r="E571" s="27">
        <v>45134</v>
      </c>
      <c r="F571" s="28">
        <v>64.850395000000006</v>
      </c>
      <c r="G571" s="29">
        <v>119990</v>
      </c>
      <c r="H571" s="10">
        <f t="shared" si="29"/>
        <v>9.4615468396412883E-3</v>
      </c>
      <c r="I571" s="12">
        <f t="shared" si="29"/>
        <v>-2.0969321148825104E-2</v>
      </c>
      <c r="K571" s="27">
        <v>64.850395000000006</v>
      </c>
      <c r="L571" s="28">
        <v>12154.67</v>
      </c>
      <c r="M571" s="29">
        <v>119990</v>
      </c>
      <c r="N571" s="10">
        <f t="shared" si="30"/>
        <v>-1.9295115868324553E-2</v>
      </c>
      <c r="O571" s="12">
        <f t="shared" si="31"/>
        <v>-2.0969321148825104E-2</v>
      </c>
    </row>
    <row r="572" spans="5:15" ht="30" customHeight="1" x14ac:dyDescent="0.3">
      <c r="E572" s="27">
        <v>45135</v>
      </c>
      <c r="F572" s="28">
        <v>64.616614999999996</v>
      </c>
      <c r="G572" s="29">
        <v>120187</v>
      </c>
      <c r="H572" s="10">
        <f t="shared" si="29"/>
        <v>-3.6049125067011412E-3</v>
      </c>
      <c r="I572" s="12">
        <f t="shared" si="29"/>
        <v>1.6418034836236384E-3</v>
      </c>
      <c r="K572" s="27">
        <v>64.616614999999996</v>
      </c>
      <c r="L572" s="28">
        <v>12288.75</v>
      </c>
      <c r="M572" s="29">
        <v>120187</v>
      </c>
      <c r="N572" s="10">
        <f t="shared" si="30"/>
        <v>1.1031150989701866E-2</v>
      </c>
      <c r="O572" s="12">
        <f t="shared" si="31"/>
        <v>1.6418034836236384E-3</v>
      </c>
    </row>
    <row r="573" spans="5:15" ht="30" customHeight="1" x14ac:dyDescent="0.3">
      <c r="E573" s="27">
        <v>45138</v>
      </c>
      <c r="F573" s="28">
        <v>65.439521999999997</v>
      </c>
      <c r="G573" s="29">
        <v>121943</v>
      </c>
      <c r="H573" s="10">
        <f t="shared" si="29"/>
        <v>1.2735222976319571E-2</v>
      </c>
      <c r="I573" s="12">
        <f t="shared" si="29"/>
        <v>1.4610565202559433E-2</v>
      </c>
      <c r="K573" s="27">
        <v>65.439521999999997</v>
      </c>
      <c r="L573" s="28">
        <v>12378.19</v>
      </c>
      <c r="M573" s="29">
        <v>121943</v>
      </c>
      <c r="N573" s="10">
        <f t="shared" si="30"/>
        <v>7.2782016071610833E-3</v>
      </c>
      <c r="O573" s="12">
        <f t="shared" si="31"/>
        <v>1.4610565202559433E-2</v>
      </c>
    </row>
    <row r="574" spans="5:15" ht="30" customHeight="1" x14ac:dyDescent="0.3">
      <c r="E574" s="27">
        <v>45139</v>
      </c>
      <c r="F574" s="28">
        <v>65.420815000000005</v>
      </c>
      <c r="G574" s="29">
        <v>121248</v>
      </c>
      <c r="H574" s="10">
        <f t="shared" si="29"/>
        <v>-2.8586700251254094E-4</v>
      </c>
      <c r="I574" s="12">
        <f t="shared" si="29"/>
        <v>-5.699384138490915E-3</v>
      </c>
      <c r="K574" s="27">
        <v>65.420815000000005</v>
      </c>
      <c r="L574" s="28">
        <v>12318.07</v>
      </c>
      <c r="M574" s="29">
        <v>121248</v>
      </c>
      <c r="N574" s="10">
        <f t="shared" si="30"/>
        <v>-4.8569298096087232E-3</v>
      </c>
      <c r="O574" s="12">
        <f t="shared" si="31"/>
        <v>-5.699384138490915E-3</v>
      </c>
    </row>
    <row r="575" spans="5:15" ht="30" customHeight="1" x14ac:dyDescent="0.3">
      <c r="E575" s="27">
        <v>45140</v>
      </c>
      <c r="F575" s="28">
        <v>65.243140999999994</v>
      </c>
      <c r="G575" s="29">
        <v>120859</v>
      </c>
      <c r="H575" s="10">
        <f t="shared" si="29"/>
        <v>-2.7158634449908625E-3</v>
      </c>
      <c r="I575" s="12">
        <f t="shared" si="29"/>
        <v>-3.2083003430984913E-3</v>
      </c>
      <c r="K575" s="27">
        <v>65.243140999999994</v>
      </c>
      <c r="L575" s="28">
        <v>12309</v>
      </c>
      <c r="M575" s="29">
        <v>120859</v>
      </c>
      <c r="N575" s="10">
        <f t="shared" si="30"/>
        <v>-7.3631664700712918E-4</v>
      </c>
      <c r="O575" s="12">
        <f t="shared" si="31"/>
        <v>-3.2083003430984913E-3</v>
      </c>
    </row>
    <row r="576" spans="5:15" ht="30" customHeight="1" x14ac:dyDescent="0.3">
      <c r="E576" s="27">
        <v>45141</v>
      </c>
      <c r="F576" s="28">
        <v>65.598488000000003</v>
      </c>
      <c r="G576" s="29">
        <v>120586</v>
      </c>
      <c r="H576" s="10">
        <f t="shared" si="29"/>
        <v>5.446503564259908E-3</v>
      </c>
      <c r="I576" s="12">
        <f t="shared" si="29"/>
        <v>-2.2588305380649709E-3</v>
      </c>
      <c r="K576" s="27">
        <v>65.598488000000003</v>
      </c>
      <c r="L576" s="28">
        <v>12288.37</v>
      </c>
      <c r="M576" s="29">
        <v>120586</v>
      </c>
      <c r="N576" s="10">
        <f t="shared" si="30"/>
        <v>-1.6760094239985923E-3</v>
      </c>
      <c r="O576" s="12">
        <f t="shared" si="31"/>
        <v>-2.2588305380649709E-3</v>
      </c>
    </row>
    <row r="577" spans="5:15" ht="30" customHeight="1" x14ac:dyDescent="0.3">
      <c r="E577" s="27">
        <v>45142</v>
      </c>
      <c r="F577" s="28">
        <v>65.458220999999995</v>
      </c>
      <c r="G577" s="29">
        <v>119508</v>
      </c>
      <c r="H577" s="10">
        <f t="shared" si="29"/>
        <v>-2.1382657478326017E-3</v>
      </c>
      <c r="I577" s="12">
        <f t="shared" si="29"/>
        <v>-8.9396779062246301E-3</v>
      </c>
      <c r="K577" s="27">
        <v>65.458220999999995</v>
      </c>
      <c r="L577" s="28">
        <v>12023.97</v>
      </c>
      <c r="M577" s="29">
        <v>119508</v>
      </c>
      <c r="N577" s="10">
        <f t="shared" si="30"/>
        <v>-2.1516279213598E-2</v>
      </c>
      <c r="O577" s="12">
        <f t="shared" si="31"/>
        <v>-8.9396779062246301E-3</v>
      </c>
    </row>
    <row r="578" spans="5:15" ht="30" customHeight="1" x14ac:dyDescent="0.3">
      <c r="E578" s="27">
        <v>45145</v>
      </c>
      <c r="F578" s="28">
        <v>65.439521999999997</v>
      </c>
      <c r="G578" s="29">
        <v>119380</v>
      </c>
      <c r="H578" s="10">
        <f t="shared" si="29"/>
        <v>-2.8566312549183071E-4</v>
      </c>
      <c r="I578" s="12">
        <f t="shared" si="29"/>
        <v>-1.0710580044850371E-3</v>
      </c>
      <c r="K578" s="27">
        <v>65.439521999999997</v>
      </c>
      <c r="L578" s="28">
        <v>11998.01</v>
      </c>
      <c r="M578" s="29">
        <v>119380</v>
      </c>
      <c r="N578" s="10">
        <f t="shared" si="30"/>
        <v>-2.1590206895060193E-3</v>
      </c>
      <c r="O578" s="12">
        <f t="shared" si="31"/>
        <v>-1.0710580044850371E-3</v>
      </c>
    </row>
    <row r="579" spans="5:15" ht="30" customHeight="1" x14ac:dyDescent="0.3">
      <c r="E579" s="27">
        <v>45146</v>
      </c>
      <c r="F579" s="28">
        <v>65.458220999999995</v>
      </c>
      <c r="G579" s="29">
        <v>119090</v>
      </c>
      <c r="H579" s="10">
        <f t="shared" si="29"/>
        <v>2.8574475223086537E-4</v>
      </c>
      <c r="I579" s="12">
        <f t="shared" si="29"/>
        <v>-2.4292176243927432E-3</v>
      </c>
      <c r="K579" s="27">
        <v>65.458220999999995</v>
      </c>
      <c r="L579" s="28">
        <v>11941.33</v>
      </c>
      <c r="M579" s="29">
        <v>119090</v>
      </c>
      <c r="N579" s="10">
        <f t="shared" si="30"/>
        <v>-4.7241167493609071E-3</v>
      </c>
      <c r="O579" s="12">
        <f t="shared" si="31"/>
        <v>-2.4292176243927432E-3</v>
      </c>
    </row>
    <row r="580" spans="5:15" ht="30" customHeight="1" x14ac:dyDescent="0.3">
      <c r="E580" s="27">
        <v>45147</v>
      </c>
      <c r="F580" s="28">
        <v>65.729408000000006</v>
      </c>
      <c r="G580" s="29">
        <v>118409</v>
      </c>
      <c r="H580" s="10">
        <f t="shared" si="29"/>
        <v>4.1429020810084261E-3</v>
      </c>
      <c r="I580" s="12">
        <f t="shared" si="29"/>
        <v>-5.7183642623226394E-3</v>
      </c>
      <c r="K580" s="27">
        <v>65.729408000000006</v>
      </c>
      <c r="L580" s="28">
        <v>11860.62</v>
      </c>
      <c r="M580" s="29">
        <v>118409</v>
      </c>
      <c r="N580" s="10">
        <f t="shared" si="30"/>
        <v>-6.7588786173733428E-3</v>
      </c>
      <c r="O580" s="12">
        <f t="shared" si="31"/>
        <v>-5.7183642623226394E-3</v>
      </c>
    </row>
    <row r="581" spans="5:15" ht="30" customHeight="1" x14ac:dyDescent="0.3">
      <c r="E581" s="27">
        <v>45148</v>
      </c>
      <c r="F581" s="28">
        <v>64.794289000000006</v>
      </c>
      <c r="G581" s="29">
        <v>118350</v>
      </c>
      <c r="H581" s="10">
        <f t="shared" si="29"/>
        <v>-1.4226797843668426E-2</v>
      </c>
      <c r="I581" s="12">
        <f t="shared" si="29"/>
        <v>-4.9827293533433181E-4</v>
      </c>
      <c r="K581" s="27">
        <v>64.794289000000006</v>
      </c>
      <c r="L581" s="28">
        <v>11894.7</v>
      </c>
      <c r="M581" s="29">
        <v>118350</v>
      </c>
      <c r="N581" s="10">
        <f t="shared" si="30"/>
        <v>2.8733742418187713E-3</v>
      </c>
      <c r="O581" s="12">
        <f t="shared" si="31"/>
        <v>-4.9827293533433181E-4</v>
      </c>
    </row>
    <row r="582" spans="5:15" ht="30" customHeight="1" x14ac:dyDescent="0.3">
      <c r="E582" s="27">
        <v>45149</v>
      </c>
      <c r="F582" s="28">
        <v>65.037422000000007</v>
      </c>
      <c r="G582" s="29">
        <v>118065</v>
      </c>
      <c r="H582" s="10">
        <f t="shared" si="29"/>
        <v>3.7523831768568883E-3</v>
      </c>
      <c r="I582" s="12">
        <f t="shared" si="29"/>
        <v>-2.4081115335867764E-3</v>
      </c>
      <c r="K582" s="27">
        <v>65.037422000000007</v>
      </c>
      <c r="L582" s="28">
        <v>11892.19</v>
      </c>
      <c r="M582" s="29">
        <v>118065</v>
      </c>
      <c r="N582" s="10">
        <f t="shared" si="30"/>
        <v>-2.1101835271175595E-4</v>
      </c>
      <c r="O582" s="12">
        <f t="shared" si="31"/>
        <v>-2.4081115335867764E-3</v>
      </c>
    </row>
    <row r="583" spans="5:15" ht="30" customHeight="1" x14ac:dyDescent="0.3">
      <c r="E583" s="27">
        <v>45152</v>
      </c>
      <c r="F583" s="28">
        <v>64.756882000000004</v>
      </c>
      <c r="G583" s="29">
        <v>116810</v>
      </c>
      <c r="H583" s="10">
        <f t="shared" si="29"/>
        <v>-4.3135166089455224E-3</v>
      </c>
      <c r="I583" s="12">
        <f t="shared" si="29"/>
        <v>-1.0629737856265642E-2</v>
      </c>
      <c r="K583" s="27">
        <v>64.756882000000004</v>
      </c>
      <c r="L583" s="28">
        <v>11820.71</v>
      </c>
      <c r="M583" s="29">
        <v>116810</v>
      </c>
      <c r="N583" s="10">
        <f t="shared" si="30"/>
        <v>-6.0106675053124281E-3</v>
      </c>
      <c r="O583" s="12">
        <f t="shared" si="31"/>
        <v>-1.0629737856265642E-2</v>
      </c>
    </row>
    <row r="584" spans="5:15" ht="30" customHeight="1" x14ac:dyDescent="0.3">
      <c r="E584" s="27">
        <v>45153</v>
      </c>
      <c r="F584" s="28">
        <v>64.523101999999994</v>
      </c>
      <c r="G584" s="29">
        <v>116171</v>
      </c>
      <c r="H584" s="10">
        <f t="shared" si="29"/>
        <v>-3.610118226507697E-3</v>
      </c>
      <c r="I584" s="12">
        <f t="shared" si="29"/>
        <v>-5.4704220529063763E-3</v>
      </c>
      <c r="K584" s="27">
        <v>64.523101999999994</v>
      </c>
      <c r="L584" s="28">
        <v>11742.88</v>
      </c>
      <c r="M584" s="29">
        <v>116171</v>
      </c>
      <c r="N584" s="10">
        <f t="shared" si="30"/>
        <v>-6.5842068708225066E-3</v>
      </c>
      <c r="O584" s="12">
        <f t="shared" si="31"/>
        <v>-5.4704220529063763E-3</v>
      </c>
    </row>
    <row r="585" spans="5:15" ht="30" customHeight="1" x14ac:dyDescent="0.3">
      <c r="E585" s="27">
        <v>45154</v>
      </c>
      <c r="F585" s="28">
        <v>64.738181999999995</v>
      </c>
      <c r="G585" s="29">
        <v>115592</v>
      </c>
      <c r="H585" s="10">
        <f t="shared" si="29"/>
        <v>3.3333797249859298E-3</v>
      </c>
      <c r="I585" s="12">
        <f t="shared" si="29"/>
        <v>-4.9840321594890602E-3</v>
      </c>
      <c r="K585" s="27">
        <v>64.738181999999995</v>
      </c>
      <c r="L585" s="28">
        <v>11684.64</v>
      </c>
      <c r="M585" s="29">
        <v>115592</v>
      </c>
      <c r="N585" s="10">
        <f t="shared" si="30"/>
        <v>-4.9596010518714317E-3</v>
      </c>
      <c r="O585" s="12">
        <f t="shared" si="31"/>
        <v>-4.9840321594890602E-3</v>
      </c>
    </row>
    <row r="586" spans="5:15" ht="30" customHeight="1" x14ac:dyDescent="0.3">
      <c r="E586" s="27">
        <v>45155</v>
      </c>
      <c r="F586" s="28">
        <v>64.205162000000001</v>
      </c>
      <c r="G586" s="29">
        <v>114982</v>
      </c>
      <c r="H586" s="10">
        <f t="shared" si="29"/>
        <v>-8.2334718636367654E-3</v>
      </c>
      <c r="I586" s="12">
        <f t="shared" si="29"/>
        <v>-5.2771818118900748E-3</v>
      </c>
      <c r="K586" s="27">
        <v>64.205162000000001</v>
      </c>
      <c r="L586" s="28">
        <v>11533.6</v>
      </c>
      <c r="M586" s="29">
        <v>114982</v>
      </c>
      <c r="N586" s="10">
        <f t="shared" si="30"/>
        <v>-1.292637171534583E-2</v>
      </c>
      <c r="O586" s="12">
        <f t="shared" si="31"/>
        <v>-5.2771818118900748E-3</v>
      </c>
    </row>
    <row r="587" spans="5:15" ht="30" customHeight="1" x14ac:dyDescent="0.3">
      <c r="E587" s="27">
        <v>45156</v>
      </c>
      <c r="F587" s="28">
        <v>64.149055000000004</v>
      </c>
      <c r="G587" s="29">
        <v>115409</v>
      </c>
      <c r="H587" s="10">
        <f t="shared" si="29"/>
        <v>-8.7387054642118489E-4</v>
      </c>
      <c r="I587" s="12">
        <f t="shared" si="29"/>
        <v>3.7136247412639101E-3</v>
      </c>
      <c r="K587" s="27">
        <v>64.149055000000004</v>
      </c>
      <c r="L587" s="28">
        <v>11631.23</v>
      </c>
      <c r="M587" s="29">
        <v>115409</v>
      </c>
      <c r="N587" s="10">
        <f t="shared" si="30"/>
        <v>8.4648331830476931E-3</v>
      </c>
      <c r="O587" s="12">
        <f t="shared" si="31"/>
        <v>3.7136247412639101E-3</v>
      </c>
    </row>
    <row r="588" spans="5:15" ht="30" customHeight="1" x14ac:dyDescent="0.3">
      <c r="E588" s="27">
        <v>45159</v>
      </c>
      <c r="F588" s="28">
        <v>64.953254999999999</v>
      </c>
      <c r="G588" s="29">
        <v>114429</v>
      </c>
      <c r="H588" s="10">
        <f t="shared" si="29"/>
        <v>1.2536427855406318E-2</v>
      </c>
      <c r="I588" s="12">
        <f t="shared" si="29"/>
        <v>-8.4915387881361326E-3</v>
      </c>
      <c r="K588" s="27">
        <v>64.953254999999999</v>
      </c>
      <c r="L588" s="28">
        <v>11533.38</v>
      </c>
      <c r="M588" s="29">
        <v>114429</v>
      </c>
      <c r="N588" s="10">
        <f t="shared" si="30"/>
        <v>-8.4126958197886514E-3</v>
      </c>
      <c r="O588" s="12">
        <f t="shared" si="31"/>
        <v>-8.4915387881361326E-3</v>
      </c>
    </row>
    <row r="589" spans="5:15" ht="30" customHeight="1" x14ac:dyDescent="0.3">
      <c r="E589" s="27">
        <v>45160</v>
      </c>
      <c r="F589" s="28">
        <v>64.971962000000005</v>
      </c>
      <c r="G589" s="29">
        <v>116156</v>
      </c>
      <c r="H589" s="10">
        <f t="shared" si="29"/>
        <v>2.8800712142929008E-4</v>
      </c>
      <c r="I589" s="12">
        <f t="shared" si="29"/>
        <v>1.5092327993777799E-2</v>
      </c>
      <c r="K589" s="27">
        <v>64.971962000000005</v>
      </c>
      <c r="L589" s="28">
        <v>11739.83</v>
      </c>
      <c r="M589" s="29">
        <v>116156</v>
      </c>
      <c r="N589" s="10">
        <f t="shared" si="30"/>
        <v>1.7900216588718987E-2</v>
      </c>
      <c r="O589" s="12">
        <f t="shared" si="31"/>
        <v>1.5092327993777799E-2</v>
      </c>
    </row>
    <row r="590" spans="5:15" ht="30" customHeight="1" x14ac:dyDescent="0.3">
      <c r="E590" s="27">
        <v>45161</v>
      </c>
      <c r="F590" s="28">
        <v>65.364707999999993</v>
      </c>
      <c r="G590" s="29">
        <v>118135</v>
      </c>
      <c r="H590" s="10">
        <f t="shared" si="29"/>
        <v>6.0448536247064144E-3</v>
      </c>
      <c r="I590" s="12">
        <f t="shared" si="29"/>
        <v>1.7037432418471665E-2</v>
      </c>
      <c r="K590" s="27">
        <v>65.364707999999993</v>
      </c>
      <c r="L590" s="28">
        <v>11926.07</v>
      </c>
      <c r="M590" s="29">
        <v>118135</v>
      </c>
      <c r="N590" s="10">
        <f t="shared" si="30"/>
        <v>1.5863943515366019E-2</v>
      </c>
      <c r="O590" s="12">
        <f t="shared" si="31"/>
        <v>1.7037432418471665E-2</v>
      </c>
    </row>
    <row r="591" spans="5:15" ht="30" customHeight="1" x14ac:dyDescent="0.3">
      <c r="E591" s="27">
        <v>45162</v>
      </c>
      <c r="F591" s="28">
        <v>65.224441999999996</v>
      </c>
      <c r="G591" s="29">
        <v>117026</v>
      </c>
      <c r="H591" s="10">
        <f t="shared" si="29"/>
        <v>-2.1458980586281928E-3</v>
      </c>
      <c r="I591" s="12">
        <f t="shared" si="29"/>
        <v>-9.3875650738561855E-3</v>
      </c>
      <c r="K591" s="27">
        <v>65.224441999999996</v>
      </c>
      <c r="L591" s="28">
        <v>11732.11</v>
      </c>
      <c r="M591" s="29">
        <v>117026</v>
      </c>
      <c r="N591" s="10">
        <f t="shared" si="30"/>
        <v>-1.6263530232507373E-2</v>
      </c>
      <c r="O591" s="12">
        <f t="shared" si="31"/>
        <v>-9.3875650738561855E-3</v>
      </c>
    </row>
    <row r="592" spans="5:15" ht="30" customHeight="1" x14ac:dyDescent="0.3">
      <c r="E592" s="27">
        <v>45163</v>
      </c>
      <c r="F592" s="28">
        <v>65.551727</v>
      </c>
      <c r="G592" s="29">
        <v>115837</v>
      </c>
      <c r="H592" s="10">
        <f t="shared" si="29"/>
        <v>5.0178275193217825E-3</v>
      </c>
      <c r="I592" s="12">
        <f t="shared" si="29"/>
        <v>-1.0160135354536637E-2</v>
      </c>
      <c r="K592" s="27">
        <v>65.551727</v>
      </c>
      <c r="L592" s="28">
        <v>11592.48</v>
      </c>
      <c r="M592" s="29">
        <v>115837</v>
      </c>
      <c r="N592" s="10">
        <f t="shared" si="30"/>
        <v>-1.190152496013086E-2</v>
      </c>
      <c r="O592" s="12">
        <f t="shared" si="31"/>
        <v>-1.0160135354536637E-2</v>
      </c>
    </row>
    <row r="593" spans="5:15" ht="30" customHeight="1" x14ac:dyDescent="0.3">
      <c r="E593" s="27">
        <v>45166</v>
      </c>
      <c r="F593" s="28">
        <v>65.738754</v>
      </c>
      <c r="G593" s="29">
        <v>117121</v>
      </c>
      <c r="H593" s="10">
        <f t="shared" si="29"/>
        <v>2.8531208643824968E-3</v>
      </c>
      <c r="I593" s="12">
        <f t="shared" si="29"/>
        <v>1.1084541208767451E-2</v>
      </c>
      <c r="K593" s="27">
        <v>65.738754</v>
      </c>
      <c r="L593" s="28">
        <v>11828.89</v>
      </c>
      <c r="M593" s="29">
        <v>117121</v>
      </c>
      <c r="N593" s="10">
        <f t="shared" si="30"/>
        <v>2.0393392958193646E-2</v>
      </c>
      <c r="O593" s="12">
        <f t="shared" si="31"/>
        <v>1.1084541208767451E-2</v>
      </c>
    </row>
    <row r="594" spans="5:15" ht="30" customHeight="1" x14ac:dyDescent="0.3">
      <c r="E594" s="27">
        <v>45167</v>
      </c>
      <c r="F594" s="28">
        <v>67.001166999999995</v>
      </c>
      <c r="G594" s="29">
        <v>118404</v>
      </c>
      <c r="H594" s="10">
        <f t="shared" si="29"/>
        <v>1.9203482317294851E-2</v>
      </c>
      <c r="I594" s="12">
        <f t="shared" si="29"/>
        <v>1.0954482970602974E-2</v>
      </c>
      <c r="K594" s="27">
        <v>67.001166999999995</v>
      </c>
      <c r="L594" s="28">
        <v>11962.81</v>
      </c>
      <c r="M594" s="29">
        <v>118404</v>
      </c>
      <c r="N594" s="10">
        <f t="shared" si="30"/>
        <v>1.1321434217411719E-2</v>
      </c>
      <c r="O594" s="12">
        <f t="shared" si="31"/>
        <v>1.0954482970602974E-2</v>
      </c>
    </row>
    <row r="595" spans="5:15" ht="30" customHeight="1" x14ac:dyDescent="0.3">
      <c r="E595" s="27">
        <v>45168</v>
      </c>
      <c r="F595" s="28">
        <v>67.319098999999994</v>
      </c>
      <c r="G595" s="29">
        <v>117535</v>
      </c>
      <c r="H595" s="10">
        <f t="shared" si="29"/>
        <v>4.7451710803783076E-3</v>
      </c>
      <c r="I595" s="12">
        <f t="shared" si="29"/>
        <v>-7.3392790784094775E-3</v>
      </c>
      <c r="K595" s="27">
        <v>67.319098999999994</v>
      </c>
      <c r="L595" s="28">
        <v>11755.63</v>
      </c>
      <c r="M595" s="29">
        <v>117535</v>
      </c>
      <c r="N595" s="10">
        <f t="shared" si="30"/>
        <v>-1.7318673455484102E-2</v>
      </c>
      <c r="O595" s="12">
        <f t="shared" si="31"/>
        <v>-7.3392790784094775E-3</v>
      </c>
    </row>
    <row r="596" spans="5:15" ht="30" customHeight="1" x14ac:dyDescent="0.3">
      <c r="E596" s="27">
        <v>45169</v>
      </c>
      <c r="F596" s="28">
        <v>68.385131999999999</v>
      </c>
      <c r="G596" s="29">
        <v>115742</v>
      </c>
      <c r="H596" s="10">
        <f t="shared" si="29"/>
        <v>1.5835520912126366E-2</v>
      </c>
      <c r="I596" s="12">
        <f t="shared" si="29"/>
        <v>-1.5255030416471693E-2</v>
      </c>
      <c r="K596" s="27">
        <v>68.385131999999999</v>
      </c>
      <c r="L596" s="28">
        <v>11574.73</v>
      </c>
      <c r="M596" s="29">
        <v>115742</v>
      </c>
      <c r="N596" s="10">
        <f t="shared" si="30"/>
        <v>-1.5388371359084885E-2</v>
      </c>
      <c r="O596" s="12">
        <f t="shared" si="31"/>
        <v>-1.5255030416471693E-2</v>
      </c>
    </row>
    <row r="597" spans="5:15" ht="30" customHeight="1" x14ac:dyDescent="0.3">
      <c r="E597" s="27">
        <v>45170</v>
      </c>
      <c r="F597" s="28">
        <v>68.216812000000004</v>
      </c>
      <c r="G597" s="29">
        <v>117893</v>
      </c>
      <c r="H597" s="10">
        <f t="shared" si="29"/>
        <v>-2.4613537340250069E-3</v>
      </c>
      <c r="I597" s="12">
        <f t="shared" si="29"/>
        <v>1.8584437801316689E-2</v>
      </c>
      <c r="K597" s="27">
        <v>68.216812000000004</v>
      </c>
      <c r="L597" s="28">
        <v>11645.63</v>
      </c>
      <c r="M597" s="29">
        <v>117893</v>
      </c>
      <c r="N597" s="10">
        <f t="shared" si="30"/>
        <v>6.1254128606023084E-3</v>
      </c>
      <c r="O597" s="12">
        <f t="shared" si="31"/>
        <v>1.8584437801316689E-2</v>
      </c>
    </row>
    <row r="598" spans="5:15" ht="30" customHeight="1" x14ac:dyDescent="0.3">
      <c r="E598" s="27">
        <v>45173</v>
      </c>
      <c r="F598" s="28">
        <v>70.040298000000007</v>
      </c>
      <c r="G598" s="29">
        <v>117777</v>
      </c>
      <c r="H598" s="10">
        <f t="shared" si="29"/>
        <v>2.673074197603964E-2</v>
      </c>
      <c r="I598" s="12">
        <f t="shared" si="29"/>
        <v>-9.8394306701843348E-4</v>
      </c>
      <c r="K598" s="27">
        <v>70.040298000000007</v>
      </c>
      <c r="L598" s="28">
        <v>11601.56</v>
      </c>
      <c r="M598" s="29">
        <v>117777</v>
      </c>
      <c r="N598" s="10">
        <f t="shared" si="30"/>
        <v>-3.7842521186058908E-3</v>
      </c>
      <c r="O598" s="12">
        <f t="shared" si="31"/>
        <v>-9.8394306701843348E-4</v>
      </c>
    </row>
    <row r="599" spans="5:15" ht="30" customHeight="1" x14ac:dyDescent="0.3">
      <c r="E599" s="27">
        <v>45174</v>
      </c>
      <c r="F599" s="28">
        <v>70.021591000000001</v>
      </c>
      <c r="G599" s="29">
        <v>117331</v>
      </c>
      <c r="H599" s="10">
        <f t="shared" si="29"/>
        <v>-2.6708909776496093E-4</v>
      </c>
      <c r="I599" s="12">
        <f t="shared" si="29"/>
        <v>-3.7868174601153326E-3</v>
      </c>
      <c r="K599" s="27">
        <v>70.021591000000001</v>
      </c>
      <c r="L599" s="28">
        <v>11437.68</v>
      </c>
      <c r="M599" s="29">
        <v>117331</v>
      </c>
      <c r="N599" s="10">
        <f t="shared" si="30"/>
        <v>-1.4125686545602423E-2</v>
      </c>
      <c r="O599" s="12">
        <f t="shared" si="31"/>
        <v>-3.7868174601153326E-3</v>
      </c>
    </row>
    <row r="600" spans="5:15" ht="30" customHeight="1" x14ac:dyDescent="0.3">
      <c r="E600" s="27">
        <v>45175</v>
      </c>
      <c r="F600" s="28">
        <v>70.283432000000005</v>
      </c>
      <c r="G600" s="29">
        <v>115985</v>
      </c>
      <c r="H600" s="10">
        <f t="shared" ref="H600:I663" si="32">F600/F599-1</f>
        <v>3.7394323130990337E-3</v>
      </c>
      <c r="I600" s="12">
        <f t="shared" si="32"/>
        <v>-1.1471819041855902E-2</v>
      </c>
      <c r="K600" s="27">
        <v>70.283432000000005</v>
      </c>
      <c r="L600" s="28">
        <v>11298.49</v>
      </c>
      <c r="M600" s="29">
        <v>115985</v>
      </c>
      <c r="N600" s="10">
        <f t="shared" ref="N600:N663" si="33">L600/L599-1</f>
        <v>-1.2169425967503922E-2</v>
      </c>
      <c r="O600" s="12">
        <f t="shared" ref="O600:O663" si="34">M600/M599-1</f>
        <v>-1.1471819041855902E-2</v>
      </c>
    </row>
    <row r="601" spans="5:15" ht="30" customHeight="1" x14ac:dyDescent="0.3">
      <c r="E601" s="27">
        <v>45177</v>
      </c>
      <c r="F601" s="28">
        <v>71.068923999999996</v>
      </c>
      <c r="G601" s="29">
        <v>115313</v>
      </c>
      <c r="H601" s="10">
        <f t="shared" si="32"/>
        <v>1.1176062090991756E-2</v>
      </c>
      <c r="I601" s="12">
        <f t="shared" si="32"/>
        <v>-5.7938526533602985E-3</v>
      </c>
      <c r="K601" s="27">
        <v>71.068923999999996</v>
      </c>
      <c r="L601" s="28">
        <v>11285.6</v>
      </c>
      <c r="M601" s="29">
        <v>115313</v>
      </c>
      <c r="N601" s="10">
        <f t="shared" si="33"/>
        <v>-1.1408604158608115E-3</v>
      </c>
      <c r="O601" s="12">
        <f t="shared" si="34"/>
        <v>-5.7938526533602985E-3</v>
      </c>
    </row>
    <row r="602" spans="5:15" ht="30" customHeight="1" x14ac:dyDescent="0.3">
      <c r="E602" s="27">
        <v>45180</v>
      </c>
      <c r="F602" s="28">
        <v>72.462249999999997</v>
      </c>
      <c r="G602" s="29">
        <v>116883</v>
      </c>
      <c r="H602" s="10">
        <f t="shared" si="32"/>
        <v>1.9605277828604883E-2</v>
      </c>
      <c r="I602" s="12">
        <f t="shared" si="32"/>
        <v>1.3615117116023256E-2</v>
      </c>
      <c r="K602" s="27">
        <v>72.462249999999997</v>
      </c>
      <c r="L602" s="28">
        <v>11521.45</v>
      </c>
      <c r="M602" s="29">
        <v>116883</v>
      </c>
      <c r="N602" s="10">
        <f t="shared" si="33"/>
        <v>2.089831289430788E-2</v>
      </c>
      <c r="O602" s="12">
        <f t="shared" si="34"/>
        <v>1.3615117116023256E-2</v>
      </c>
    </row>
    <row r="603" spans="5:15" ht="30" customHeight="1" x14ac:dyDescent="0.3">
      <c r="E603" s="27">
        <v>45181</v>
      </c>
      <c r="F603" s="28">
        <v>72.939155999999997</v>
      </c>
      <c r="G603" s="29">
        <v>117968</v>
      </c>
      <c r="H603" s="10">
        <f t="shared" si="32"/>
        <v>6.5814406811821602E-3</v>
      </c>
      <c r="I603" s="12">
        <f t="shared" si="32"/>
        <v>9.2827870605647345E-3</v>
      </c>
      <c r="K603" s="27">
        <v>72.939155999999997</v>
      </c>
      <c r="L603" s="28">
        <v>11639.93</v>
      </c>
      <c r="M603" s="29">
        <v>117968</v>
      </c>
      <c r="N603" s="10">
        <f t="shared" si="33"/>
        <v>1.0283427867152195E-2</v>
      </c>
      <c r="O603" s="12">
        <f t="shared" si="34"/>
        <v>9.2827870605647345E-3</v>
      </c>
    </row>
    <row r="604" spans="5:15" ht="30" customHeight="1" x14ac:dyDescent="0.3">
      <c r="E604" s="27">
        <v>45182</v>
      </c>
      <c r="F604" s="28">
        <v>73.266448999999994</v>
      </c>
      <c r="G604" s="29">
        <v>118176</v>
      </c>
      <c r="H604" s="10">
        <f t="shared" si="32"/>
        <v>4.4872057472120641E-3</v>
      </c>
      <c r="I604" s="12">
        <f t="shared" si="32"/>
        <v>1.7631900176318105E-3</v>
      </c>
      <c r="K604" s="27">
        <v>73.266448999999994</v>
      </c>
      <c r="L604" s="28">
        <v>11708.21</v>
      </c>
      <c r="M604" s="29">
        <v>118176</v>
      </c>
      <c r="N604" s="10">
        <f t="shared" si="33"/>
        <v>5.8660146581637207E-3</v>
      </c>
      <c r="O604" s="12">
        <f t="shared" si="34"/>
        <v>1.7631900176318105E-3</v>
      </c>
    </row>
    <row r="605" spans="5:15" ht="30" customHeight="1" x14ac:dyDescent="0.3">
      <c r="E605" s="27">
        <v>45183</v>
      </c>
      <c r="F605" s="28">
        <v>73.509583000000006</v>
      </c>
      <c r="G605" s="29">
        <v>119392</v>
      </c>
      <c r="H605" s="10">
        <f t="shared" si="32"/>
        <v>3.3184902956060469E-3</v>
      </c>
      <c r="I605" s="12">
        <f t="shared" si="32"/>
        <v>1.0289737340915206E-2</v>
      </c>
      <c r="K605" s="27">
        <v>73.509583000000006</v>
      </c>
      <c r="L605" s="28">
        <v>11751.68</v>
      </c>
      <c r="M605" s="29">
        <v>119392</v>
      </c>
      <c r="N605" s="10">
        <f t="shared" si="33"/>
        <v>3.7127793232272222E-3</v>
      </c>
      <c r="O605" s="12">
        <f t="shared" si="34"/>
        <v>1.0289737340915206E-2</v>
      </c>
    </row>
    <row r="606" spans="5:15" ht="30" customHeight="1" x14ac:dyDescent="0.3">
      <c r="E606" s="27">
        <v>45184</v>
      </c>
      <c r="F606" s="28">
        <v>73.874274999999997</v>
      </c>
      <c r="G606" s="29">
        <v>118758</v>
      </c>
      <c r="H606" s="10">
        <f t="shared" si="32"/>
        <v>4.9611490790253399E-3</v>
      </c>
      <c r="I606" s="12">
        <f t="shared" si="32"/>
        <v>-5.3102385419458997E-3</v>
      </c>
      <c r="K606" s="27">
        <v>73.874274999999997</v>
      </c>
      <c r="L606" s="28">
        <v>11692.51</v>
      </c>
      <c r="M606" s="29">
        <v>118758</v>
      </c>
      <c r="N606" s="10">
        <f t="shared" si="33"/>
        <v>-5.0350247794358483E-3</v>
      </c>
      <c r="O606" s="12">
        <f t="shared" si="34"/>
        <v>-5.3102385419458997E-3</v>
      </c>
    </row>
    <row r="607" spans="5:15" ht="30" customHeight="1" x14ac:dyDescent="0.3">
      <c r="E607" s="27">
        <v>45187</v>
      </c>
      <c r="F607" s="28">
        <v>75.622947999999994</v>
      </c>
      <c r="G607" s="29">
        <v>118288</v>
      </c>
      <c r="H607" s="10">
        <f t="shared" si="32"/>
        <v>2.3670932811184819E-2</v>
      </c>
      <c r="I607" s="12">
        <f t="shared" si="32"/>
        <v>-3.9576281176847417E-3</v>
      </c>
      <c r="K607" s="27">
        <v>75.622947999999994</v>
      </c>
      <c r="L607" s="28">
        <v>11652.74</v>
      </c>
      <c r="M607" s="29">
        <v>118288</v>
      </c>
      <c r="N607" s="10">
        <f t="shared" si="33"/>
        <v>-3.4013227271133539E-3</v>
      </c>
      <c r="O607" s="12">
        <f t="shared" si="34"/>
        <v>-3.9576281176847417E-3</v>
      </c>
    </row>
    <row r="608" spans="5:15" ht="30" customHeight="1" x14ac:dyDescent="0.3">
      <c r="E608" s="27">
        <v>45188</v>
      </c>
      <c r="F608" s="28">
        <v>77.147186000000005</v>
      </c>
      <c r="G608" s="29">
        <v>117846</v>
      </c>
      <c r="H608" s="10">
        <f t="shared" si="32"/>
        <v>2.015576012720377E-2</v>
      </c>
      <c r="I608" s="12">
        <f t="shared" si="32"/>
        <v>-3.7366427701880367E-3</v>
      </c>
      <c r="K608" s="27">
        <v>77.147186000000005</v>
      </c>
      <c r="L608" s="28">
        <v>11554.51</v>
      </c>
      <c r="M608" s="29">
        <v>117846</v>
      </c>
      <c r="N608" s="10">
        <f t="shared" si="33"/>
        <v>-8.4297770309814668E-3</v>
      </c>
      <c r="O608" s="12">
        <f t="shared" si="34"/>
        <v>-3.7366427701880367E-3</v>
      </c>
    </row>
    <row r="609" spans="5:15" ht="30" customHeight="1" x14ac:dyDescent="0.3">
      <c r="E609" s="27">
        <v>45189</v>
      </c>
      <c r="F609" s="28">
        <v>78.549865999999994</v>
      </c>
      <c r="G609" s="29">
        <v>118695</v>
      </c>
      <c r="H609" s="10">
        <f t="shared" si="32"/>
        <v>1.8181868616698349E-2</v>
      </c>
      <c r="I609" s="12">
        <f t="shared" si="32"/>
        <v>7.204317499108992E-3</v>
      </c>
      <c r="K609" s="27">
        <v>78.549865999999994</v>
      </c>
      <c r="L609" s="28">
        <v>11658.96</v>
      </c>
      <c r="M609" s="29">
        <v>118695</v>
      </c>
      <c r="N609" s="10">
        <f t="shared" si="33"/>
        <v>9.0397602321516946E-3</v>
      </c>
      <c r="O609" s="12">
        <f t="shared" si="34"/>
        <v>7.204317499108992E-3</v>
      </c>
    </row>
    <row r="610" spans="5:15" ht="30" customHeight="1" x14ac:dyDescent="0.3">
      <c r="E610" s="27">
        <v>45190</v>
      </c>
      <c r="F610" s="28">
        <v>78.213218999999995</v>
      </c>
      <c r="G610" s="29">
        <v>116145</v>
      </c>
      <c r="H610" s="10">
        <f t="shared" si="32"/>
        <v>-4.285774338558368E-3</v>
      </c>
      <c r="I610" s="12">
        <f t="shared" si="32"/>
        <v>-2.1483634525464423E-2</v>
      </c>
      <c r="K610" s="27">
        <v>78.213218999999995</v>
      </c>
      <c r="L610" s="28">
        <v>11349.89</v>
      </c>
      <c r="M610" s="29">
        <v>116145</v>
      </c>
      <c r="N610" s="10">
        <f t="shared" si="33"/>
        <v>-2.6509225522688085E-2</v>
      </c>
      <c r="O610" s="12">
        <f t="shared" si="34"/>
        <v>-2.1483634525464423E-2</v>
      </c>
    </row>
    <row r="611" spans="5:15" ht="30" customHeight="1" x14ac:dyDescent="0.3">
      <c r="E611" s="27">
        <v>45191</v>
      </c>
      <c r="F611" s="28">
        <v>79.279251000000002</v>
      </c>
      <c r="G611" s="29">
        <v>116009</v>
      </c>
      <c r="H611" s="10">
        <f t="shared" si="32"/>
        <v>1.3629818765035218E-2</v>
      </c>
      <c r="I611" s="12">
        <f t="shared" si="32"/>
        <v>-1.1709501054716354E-3</v>
      </c>
      <c r="K611" s="27">
        <v>79.279251000000002</v>
      </c>
      <c r="L611" s="28">
        <v>11299.45</v>
      </c>
      <c r="M611" s="29">
        <v>116009</v>
      </c>
      <c r="N611" s="10">
        <f t="shared" si="33"/>
        <v>-4.4440959339693276E-3</v>
      </c>
      <c r="O611" s="12">
        <f t="shared" si="34"/>
        <v>-1.1709501054716354E-3</v>
      </c>
    </row>
    <row r="612" spans="5:15" ht="30" customHeight="1" x14ac:dyDescent="0.3">
      <c r="E612" s="27">
        <v>45194</v>
      </c>
      <c r="F612" s="28">
        <v>78.568565000000007</v>
      </c>
      <c r="G612" s="29">
        <v>115925</v>
      </c>
      <c r="H612" s="10">
        <f t="shared" si="32"/>
        <v>-8.9643379703473469E-3</v>
      </c>
      <c r="I612" s="12">
        <f t="shared" si="32"/>
        <v>-7.2408175227789418E-4</v>
      </c>
      <c r="K612" s="27">
        <v>78.568565000000007</v>
      </c>
      <c r="L612" s="28">
        <v>11304.34</v>
      </c>
      <c r="M612" s="29">
        <v>115925</v>
      </c>
      <c r="N612" s="10">
        <f t="shared" si="33"/>
        <v>4.3276442658712888E-4</v>
      </c>
      <c r="O612" s="12">
        <f t="shared" si="34"/>
        <v>-7.2408175227789418E-4</v>
      </c>
    </row>
    <row r="613" spans="5:15" ht="30" customHeight="1" x14ac:dyDescent="0.3">
      <c r="E613" s="27">
        <v>45195</v>
      </c>
      <c r="F613" s="28">
        <v>78.465705999999997</v>
      </c>
      <c r="G613" s="29">
        <v>114193</v>
      </c>
      <c r="H613" s="10">
        <f t="shared" si="32"/>
        <v>-1.3091622584682217E-3</v>
      </c>
      <c r="I613" s="12">
        <f t="shared" si="32"/>
        <v>-1.4940694414492084E-2</v>
      </c>
      <c r="K613" s="27">
        <v>78.465705999999997</v>
      </c>
      <c r="L613" s="28">
        <v>11133.26</v>
      </c>
      <c r="M613" s="29">
        <v>114193</v>
      </c>
      <c r="N613" s="10">
        <f t="shared" si="33"/>
        <v>-1.5134010477391824E-2</v>
      </c>
      <c r="O613" s="12">
        <f t="shared" si="34"/>
        <v>-1.4940694414492084E-2</v>
      </c>
    </row>
    <row r="614" spans="5:15" ht="30" customHeight="1" x14ac:dyDescent="0.3">
      <c r="E614" s="27">
        <v>45196</v>
      </c>
      <c r="F614" s="28">
        <v>78.549865999999994</v>
      </c>
      <c r="G614" s="29">
        <v>114327</v>
      </c>
      <c r="H614" s="10">
        <f t="shared" si="32"/>
        <v>1.0725704806631153E-3</v>
      </c>
      <c r="I614" s="12">
        <f t="shared" si="32"/>
        <v>1.17345196290497E-3</v>
      </c>
      <c r="K614" s="27">
        <v>78.549865999999994</v>
      </c>
      <c r="L614" s="28">
        <v>11106.31</v>
      </c>
      <c r="M614" s="29">
        <v>114327</v>
      </c>
      <c r="N614" s="10">
        <f t="shared" si="33"/>
        <v>-2.4206746271981938E-3</v>
      </c>
      <c r="O614" s="12">
        <f t="shared" si="34"/>
        <v>1.17345196290497E-3</v>
      </c>
    </row>
    <row r="615" spans="5:15" ht="30" customHeight="1" x14ac:dyDescent="0.3">
      <c r="E615" s="27">
        <v>45197</v>
      </c>
      <c r="F615" s="28">
        <v>81.355216999999996</v>
      </c>
      <c r="G615" s="29">
        <v>115731</v>
      </c>
      <c r="H615" s="10">
        <f t="shared" si="32"/>
        <v>3.571426843681702E-2</v>
      </c>
      <c r="I615" s="12">
        <f t="shared" si="32"/>
        <v>1.2280563646382747E-2</v>
      </c>
      <c r="K615" s="27">
        <v>81.355216999999996</v>
      </c>
      <c r="L615" s="28">
        <v>11354.48</v>
      </c>
      <c r="M615" s="29">
        <v>115731</v>
      </c>
      <c r="N615" s="10">
        <f t="shared" si="33"/>
        <v>2.2344955255165777E-2</v>
      </c>
      <c r="O615" s="12">
        <f t="shared" si="34"/>
        <v>1.2280563646382747E-2</v>
      </c>
    </row>
    <row r="616" spans="5:15" ht="30" customHeight="1" x14ac:dyDescent="0.3">
      <c r="E616" s="27">
        <v>45198</v>
      </c>
      <c r="F616" s="28">
        <v>83.075828999999999</v>
      </c>
      <c r="G616" s="29">
        <v>116565</v>
      </c>
      <c r="H616" s="10">
        <f t="shared" si="32"/>
        <v>2.1149375091704448E-2</v>
      </c>
      <c r="I616" s="12">
        <f t="shared" si="32"/>
        <v>7.2063664878037059E-3</v>
      </c>
      <c r="K616" s="27">
        <v>83.075828999999999</v>
      </c>
      <c r="L616" s="28">
        <v>11366.16</v>
      </c>
      <c r="M616" s="29">
        <v>116565</v>
      </c>
      <c r="N616" s="10">
        <f t="shared" si="33"/>
        <v>1.0286688602207938E-3</v>
      </c>
      <c r="O616" s="12">
        <f t="shared" si="34"/>
        <v>7.2063664878037059E-3</v>
      </c>
    </row>
    <row r="617" spans="5:15" ht="30" customHeight="1" x14ac:dyDescent="0.3">
      <c r="E617" s="27">
        <v>45201</v>
      </c>
      <c r="F617" s="28">
        <v>84.113808000000006</v>
      </c>
      <c r="G617" s="29">
        <v>115057</v>
      </c>
      <c r="H617" s="10">
        <f t="shared" si="32"/>
        <v>1.249435621039674E-2</v>
      </c>
      <c r="I617" s="12">
        <f t="shared" si="32"/>
        <v>-1.2936987946639222E-2</v>
      </c>
      <c r="K617" s="27">
        <v>84.113808000000006</v>
      </c>
      <c r="L617" s="28">
        <v>11238</v>
      </c>
      <c r="M617" s="29">
        <v>115057</v>
      </c>
      <c r="N617" s="10">
        <f t="shared" si="33"/>
        <v>-1.1275575920099645E-2</v>
      </c>
      <c r="O617" s="12">
        <f t="shared" si="34"/>
        <v>-1.2936987946639222E-2</v>
      </c>
    </row>
    <row r="618" spans="5:15" ht="30" customHeight="1" x14ac:dyDescent="0.3">
      <c r="E618" s="27">
        <v>45202</v>
      </c>
      <c r="F618" s="28">
        <v>84.141869</v>
      </c>
      <c r="G618" s="29">
        <v>113419</v>
      </c>
      <c r="H618" s="10">
        <f t="shared" si="32"/>
        <v>3.3360753326006076E-4</v>
      </c>
      <c r="I618" s="12">
        <f t="shared" si="32"/>
        <v>-1.4236421947382616E-2</v>
      </c>
      <c r="K618" s="27">
        <v>84.141869</v>
      </c>
      <c r="L618" s="28">
        <v>11049.81</v>
      </c>
      <c r="M618" s="29">
        <v>113419</v>
      </c>
      <c r="N618" s="10">
        <f t="shared" si="33"/>
        <v>-1.6745862253069954E-2</v>
      </c>
      <c r="O618" s="12">
        <f t="shared" si="34"/>
        <v>-1.4236421947382616E-2</v>
      </c>
    </row>
    <row r="619" spans="5:15" ht="30" customHeight="1" x14ac:dyDescent="0.3">
      <c r="E619" s="27">
        <v>45203</v>
      </c>
      <c r="F619" s="28">
        <v>84.160567999999998</v>
      </c>
      <c r="G619" s="29">
        <v>113607</v>
      </c>
      <c r="H619" s="10">
        <f t="shared" si="32"/>
        <v>2.2223181184632956E-4</v>
      </c>
      <c r="I619" s="12">
        <f t="shared" si="32"/>
        <v>1.6575706010457658E-3</v>
      </c>
      <c r="K619" s="27">
        <v>84.160567999999998</v>
      </c>
      <c r="L619" s="28">
        <v>11281.25</v>
      </c>
      <c r="M619" s="29">
        <v>113607</v>
      </c>
      <c r="N619" s="10">
        <f t="shared" si="33"/>
        <v>2.0945156523053399E-2</v>
      </c>
      <c r="O619" s="12">
        <f t="shared" si="34"/>
        <v>1.6575706010457658E-3</v>
      </c>
    </row>
    <row r="620" spans="5:15" ht="30" customHeight="1" x14ac:dyDescent="0.3">
      <c r="E620" s="27">
        <v>45204</v>
      </c>
      <c r="F620" s="28">
        <v>84.160567999999998</v>
      </c>
      <c r="G620" s="29">
        <v>113284</v>
      </c>
      <c r="H620" s="10">
        <f t="shared" si="32"/>
        <v>0</v>
      </c>
      <c r="I620" s="12">
        <f t="shared" si="32"/>
        <v>-2.8431346659977264E-3</v>
      </c>
      <c r="K620" s="27">
        <v>84.160567999999998</v>
      </c>
      <c r="L620" s="28">
        <v>11320.2</v>
      </c>
      <c r="M620" s="29">
        <v>113284</v>
      </c>
      <c r="N620" s="10">
        <f t="shared" si="33"/>
        <v>3.4526315789473738E-3</v>
      </c>
      <c r="O620" s="12">
        <f t="shared" si="34"/>
        <v>-2.8431346659977264E-3</v>
      </c>
    </row>
    <row r="621" spans="5:15" ht="30" customHeight="1" x14ac:dyDescent="0.3">
      <c r="E621" s="27">
        <v>45205</v>
      </c>
      <c r="F621" s="28">
        <v>84.160567999999998</v>
      </c>
      <c r="G621" s="29">
        <v>114170</v>
      </c>
      <c r="H621" s="10">
        <f t="shared" si="32"/>
        <v>0</v>
      </c>
      <c r="I621" s="12">
        <f t="shared" si="32"/>
        <v>7.8210515165424432E-3</v>
      </c>
      <c r="K621" s="27">
        <v>84.160567999999998</v>
      </c>
      <c r="L621" s="28">
        <v>11449.11</v>
      </c>
      <c r="M621" s="29">
        <v>114170</v>
      </c>
      <c r="N621" s="10">
        <f t="shared" si="33"/>
        <v>1.1387607992791704E-2</v>
      </c>
      <c r="O621" s="12">
        <f t="shared" si="34"/>
        <v>7.8210515165424432E-3</v>
      </c>
    </row>
    <row r="622" spans="5:15" ht="30" customHeight="1" x14ac:dyDescent="0.3">
      <c r="E622" s="27">
        <v>45208</v>
      </c>
      <c r="F622" s="28">
        <v>83.225448999999998</v>
      </c>
      <c r="G622" s="29">
        <v>115156</v>
      </c>
      <c r="H622" s="10">
        <f t="shared" si="32"/>
        <v>-1.111112985834406E-2</v>
      </c>
      <c r="I622" s="12">
        <f t="shared" si="32"/>
        <v>8.6362441972496207E-3</v>
      </c>
      <c r="K622" s="27">
        <v>83.225448999999998</v>
      </c>
      <c r="L622" s="28">
        <v>11372.35</v>
      </c>
      <c r="M622" s="29">
        <v>115156</v>
      </c>
      <c r="N622" s="10">
        <f t="shared" si="33"/>
        <v>-6.7044512630239916E-3</v>
      </c>
      <c r="O622" s="12">
        <f t="shared" si="34"/>
        <v>8.6362441972496207E-3</v>
      </c>
    </row>
    <row r="623" spans="5:15" ht="30" customHeight="1" x14ac:dyDescent="0.3">
      <c r="E623" s="27">
        <v>45209</v>
      </c>
      <c r="F623" s="28">
        <v>83.225448999999998</v>
      </c>
      <c r="G623" s="29">
        <v>116737</v>
      </c>
      <c r="H623" s="10">
        <f t="shared" si="32"/>
        <v>0</v>
      </c>
      <c r="I623" s="12">
        <f t="shared" si="32"/>
        <v>1.3729202125811968E-2</v>
      </c>
      <c r="K623" s="27">
        <v>83.225448999999998</v>
      </c>
      <c r="L623" s="28">
        <v>11460.87</v>
      </c>
      <c r="M623" s="29">
        <v>116737</v>
      </c>
      <c r="N623" s="10">
        <f t="shared" si="33"/>
        <v>7.7837913887630616E-3</v>
      </c>
      <c r="O623" s="12">
        <f t="shared" si="34"/>
        <v>1.3729202125811968E-2</v>
      </c>
    </row>
    <row r="624" spans="5:15" ht="30" customHeight="1" x14ac:dyDescent="0.3">
      <c r="E624" s="27">
        <v>45210</v>
      </c>
      <c r="F624" s="28">
        <v>83.225448999999998</v>
      </c>
      <c r="G624" s="29">
        <v>117051</v>
      </c>
      <c r="H624" s="10">
        <f t="shared" si="32"/>
        <v>0</v>
      </c>
      <c r="I624" s="12">
        <f t="shared" si="32"/>
        <v>2.6898070020644482E-3</v>
      </c>
      <c r="K624" s="27">
        <v>83.225448999999998</v>
      </c>
      <c r="L624" s="28">
        <v>11574.7</v>
      </c>
      <c r="M624" s="29">
        <v>117051</v>
      </c>
      <c r="N624" s="10">
        <f t="shared" si="33"/>
        <v>9.9320557688902245E-3</v>
      </c>
      <c r="O624" s="12">
        <f t="shared" si="34"/>
        <v>2.6898070020644482E-3</v>
      </c>
    </row>
    <row r="625" spans="5:15" ht="30" customHeight="1" x14ac:dyDescent="0.3">
      <c r="E625" s="27">
        <v>45212</v>
      </c>
      <c r="F625" s="28">
        <v>83.244147999999996</v>
      </c>
      <c r="G625" s="29">
        <v>115754</v>
      </c>
      <c r="H625" s="10">
        <f t="shared" si="32"/>
        <v>2.2467887196375713E-4</v>
      </c>
      <c r="I625" s="12">
        <f t="shared" si="32"/>
        <v>-1.1080640062878566E-2</v>
      </c>
      <c r="K625" s="27">
        <v>83.244147999999996</v>
      </c>
      <c r="L625" s="28">
        <v>11383.66</v>
      </c>
      <c r="M625" s="29">
        <v>115754</v>
      </c>
      <c r="N625" s="10">
        <f t="shared" si="33"/>
        <v>-1.650496341157881E-2</v>
      </c>
      <c r="O625" s="12">
        <f t="shared" si="34"/>
        <v>-1.1080640062878566E-2</v>
      </c>
    </row>
    <row r="626" spans="5:15" ht="30" customHeight="1" x14ac:dyDescent="0.3">
      <c r="E626" s="27">
        <v>45215</v>
      </c>
      <c r="F626" s="28">
        <v>83.216094999999996</v>
      </c>
      <c r="G626" s="29">
        <v>116534</v>
      </c>
      <c r="H626" s="10">
        <f t="shared" si="32"/>
        <v>-3.3699666191544519E-4</v>
      </c>
      <c r="I626" s="12">
        <f t="shared" si="32"/>
        <v>6.7384280456830314E-3</v>
      </c>
      <c r="K626" s="27">
        <v>83.216094999999996</v>
      </c>
      <c r="L626" s="28">
        <v>11479.76</v>
      </c>
      <c r="M626" s="29">
        <v>116534</v>
      </c>
      <c r="N626" s="10">
        <f t="shared" si="33"/>
        <v>8.4419246534066517E-3</v>
      </c>
      <c r="O626" s="12">
        <f t="shared" si="34"/>
        <v>6.7384280456830314E-3</v>
      </c>
    </row>
    <row r="627" spans="5:15" ht="30" customHeight="1" x14ac:dyDescent="0.3">
      <c r="E627" s="27">
        <v>45216</v>
      </c>
      <c r="F627" s="28">
        <v>82.972969000000006</v>
      </c>
      <c r="G627" s="29">
        <v>115908</v>
      </c>
      <c r="H627" s="10">
        <f t="shared" si="32"/>
        <v>-2.921622313567962E-3</v>
      </c>
      <c r="I627" s="12">
        <f t="shared" si="32"/>
        <v>-5.3718228156589554E-3</v>
      </c>
      <c r="K627" s="27">
        <v>82.972969000000006</v>
      </c>
      <c r="L627" s="28">
        <v>11280.41</v>
      </c>
      <c r="M627" s="29">
        <v>115908</v>
      </c>
      <c r="N627" s="10">
        <f t="shared" si="33"/>
        <v>-1.7365345616981553E-2</v>
      </c>
      <c r="O627" s="12">
        <f t="shared" si="34"/>
        <v>-5.3718228156589554E-3</v>
      </c>
    </row>
    <row r="628" spans="5:15" ht="30" customHeight="1" x14ac:dyDescent="0.3">
      <c r="E628" s="27">
        <v>45217</v>
      </c>
      <c r="F628" s="28">
        <v>83.169349999999994</v>
      </c>
      <c r="G628" s="29">
        <v>114060</v>
      </c>
      <c r="H628" s="10">
        <f t="shared" si="32"/>
        <v>2.3668069537199354E-3</v>
      </c>
      <c r="I628" s="12">
        <f t="shared" si="32"/>
        <v>-1.5943679469924477E-2</v>
      </c>
      <c r="K628" s="27">
        <v>83.169349999999994</v>
      </c>
      <c r="L628" s="28">
        <v>11142.69</v>
      </c>
      <c r="M628" s="29">
        <v>114060</v>
      </c>
      <c r="N628" s="10">
        <f t="shared" si="33"/>
        <v>-1.2208776099450258E-2</v>
      </c>
      <c r="O628" s="12">
        <f t="shared" si="34"/>
        <v>-1.5943679469924477E-2</v>
      </c>
    </row>
    <row r="629" spans="5:15" ht="30" customHeight="1" x14ac:dyDescent="0.3">
      <c r="E629" s="27">
        <v>45218</v>
      </c>
      <c r="F629" s="28">
        <v>82.748535000000004</v>
      </c>
      <c r="G629" s="29">
        <v>114004</v>
      </c>
      <c r="H629" s="10">
        <f t="shared" si="32"/>
        <v>-5.0597365495821389E-3</v>
      </c>
      <c r="I629" s="12">
        <f t="shared" si="32"/>
        <v>-4.9096966508854756E-4</v>
      </c>
      <c r="K629" s="27">
        <v>82.748535000000004</v>
      </c>
      <c r="L629" s="28">
        <v>11192.42</v>
      </c>
      <c r="M629" s="29">
        <v>114004</v>
      </c>
      <c r="N629" s="10">
        <f t="shared" si="33"/>
        <v>4.4630156631835227E-3</v>
      </c>
      <c r="O629" s="12">
        <f t="shared" si="34"/>
        <v>-4.9096966508854756E-4</v>
      </c>
    </row>
    <row r="630" spans="5:15" ht="30" customHeight="1" x14ac:dyDescent="0.3">
      <c r="E630" s="27">
        <v>45219</v>
      </c>
      <c r="F630" s="28">
        <v>81.252350000000007</v>
      </c>
      <c r="G630" s="29">
        <v>113155</v>
      </c>
      <c r="H630" s="10">
        <f t="shared" si="32"/>
        <v>-1.8081105605072034E-2</v>
      </c>
      <c r="I630" s="12">
        <f t="shared" si="32"/>
        <v>-7.4471071190485016E-3</v>
      </c>
      <c r="K630" s="27">
        <v>81.252350000000007</v>
      </c>
      <c r="L630" s="28">
        <v>11145.6</v>
      </c>
      <c r="M630" s="29">
        <v>113155</v>
      </c>
      <c r="N630" s="10">
        <f t="shared" si="33"/>
        <v>-4.1831882649149277E-3</v>
      </c>
      <c r="O630" s="12">
        <f t="shared" si="34"/>
        <v>-7.4471071190485016E-3</v>
      </c>
    </row>
    <row r="631" spans="5:15" ht="30" customHeight="1" x14ac:dyDescent="0.3">
      <c r="E631" s="27">
        <v>45222</v>
      </c>
      <c r="F631" s="28">
        <v>77.521232999999995</v>
      </c>
      <c r="G631" s="29">
        <v>112785</v>
      </c>
      <c r="H631" s="10">
        <f t="shared" si="32"/>
        <v>-4.5920111849072853E-2</v>
      </c>
      <c r="I631" s="12">
        <f t="shared" si="32"/>
        <v>-3.2698510892139598E-3</v>
      </c>
      <c r="K631" s="27">
        <v>77.521232999999995</v>
      </c>
      <c r="L631" s="28">
        <v>11206.11</v>
      </c>
      <c r="M631" s="29">
        <v>112785</v>
      </c>
      <c r="N631" s="10">
        <f t="shared" si="33"/>
        <v>5.4290482342809199E-3</v>
      </c>
      <c r="O631" s="12">
        <f t="shared" si="34"/>
        <v>-3.2698510892139598E-3</v>
      </c>
    </row>
    <row r="632" spans="5:15" ht="30" customHeight="1" x14ac:dyDescent="0.3">
      <c r="E632" s="27">
        <v>45223</v>
      </c>
      <c r="F632" s="28">
        <v>74.042595000000006</v>
      </c>
      <c r="G632" s="29">
        <v>113762</v>
      </c>
      <c r="H632" s="10">
        <f t="shared" si="32"/>
        <v>-4.4873357470978203E-2</v>
      </c>
      <c r="I632" s="12">
        <f t="shared" si="32"/>
        <v>8.6624994458484039E-3</v>
      </c>
      <c r="K632" s="27">
        <v>74.042595000000006</v>
      </c>
      <c r="L632" s="28">
        <v>11265.73</v>
      </c>
      <c r="M632" s="29">
        <v>113762</v>
      </c>
      <c r="N632" s="10">
        <f t="shared" si="33"/>
        <v>5.3203118655804627E-3</v>
      </c>
      <c r="O632" s="12">
        <f t="shared" si="34"/>
        <v>8.6624994458484039E-3</v>
      </c>
    </row>
    <row r="633" spans="5:15" ht="30" customHeight="1" x14ac:dyDescent="0.3">
      <c r="E633" s="27">
        <v>45224</v>
      </c>
      <c r="F633" s="28">
        <v>72.004043999999993</v>
      </c>
      <c r="G633" s="29">
        <v>112830</v>
      </c>
      <c r="H633" s="10">
        <f t="shared" si="32"/>
        <v>-2.753213876418048E-2</v>
      </c>
      <c r="I633" s="12">
        <f t="shared" si="32"/>
        <v>-8.1925423252052765E-3</v>
      </c>
      <c r="K633" s="27">
        <v>72.004043999999993</v>
      </c>
      <c r="L633" s="28">
        <v>11229.84</v>
      </c>
      <c r="M633" s="29">
        <v>112830</v>
      </c>
      <c r="N633" s="10">
        <f t="shared" si="33"/>
        <v>-3.1857678108742071E-3</v>
      </c>
      <c r="O633" s="12">
        <f t="shared" si="34"/>
        <v>-8.1925423252052765E-3</v>
      </c>
    </row>
    <row r="634" spans="5:15" ht="30" customHeight="1" x14ac:dyDescent="0.3">
      <c r="E634" s="27">
        <v>45225</v>
      </c>
      <c r="F634" s="28">
        <v>72.939155999999997</v>
      </c>
      <c r="G634" s="29">
        <v>114777</v>
      </c>
      <c r="H634" s="10">
        <f t="shared" si="32"/>
        <v>1.2986937233692153E-2</v>
      </c>
      <c r="I634" s="12">
        <f t="shared" si="32"/>
        <v>1.7256048923158795E-2</v>
      </c>
      <c r="K634" s="27">
        <v>72.939155999999997</v>
      </c>
      <c r="L634" s="28">
        <v>11451.51</v>
      </c>
      <c r="M634" s="29">
        <v>114777</v>
      </c>
      <c r="N634" s="10">
        <f t="shared" si="33"/>
        <v>1.9739372956337764E-2</v>
      </c>
      <c r="O634" s="12">
        <f t="shared" si="34"/>
        <v>1.7256048923158795E-2</v>
      </c>
    </row>
    <row r="635" spans="5:15" ht="30" customHeight="1" x14ac:dyDescent="0.3">
      <c r="E635" s="27">
        <v>45226</v>
      </c>
      <c r="F635" s="28">
        <v>75.735161000000005</v>
      </c>
      <c r="G635" s="29">
        <v>113301</v>
      </c>
      <c r="H635" s="10">
        <f t="shared" si="32"/>
        <v>3.8333388447763239E-2</v>
      </c>
      <c r="I635" s="12">
        <f t="shared" si="32"/>
        <v>-1.285971928173768E-2</v>
      </c>
      <c r="K635" s="27">
        <v>75.735161000000005</v>
      </c>
      <c r="L635" s="28">
        <v>11203.05</v>
      </c>
      <c r="M635" s="29">
        <v>113301</v>
      </c>
      <c r="N635" s="10">
        <f t="shared" si="33"/>
        <v>-2.1696702006984259E-2</v>
      </c>
      <c r="O635" s="12">
        <f t="shared" si="34"/>
        <v>-1.285971928173768E-2</v>
      </c>
    </row>
    <row r="636" spans="5:15" ht="30" customHeight="1" x14ac:dyDescent="0.3">
      <c r="E636" s="27">
        <v>45229</v>
      </c>
      <c r="F636" s="28">
        <v>75.744513999999995</v>
      </c>
      <c r="G636" s="29">
        <v>112532</v>
      </c>
      <c r="H636" s="10">
        <f t="shared" si="32"/>
        <v>1.2349613939544035E-4</v>
      </c>
      <c r="I636" s="12">
        <f t="shared" si="32"/>
        <v>-6.7872304745765222E-3</v>
      </c>
      <c r="K636" s="27">
        <v>75.744513999999995</v>
      </c>
      <c r="L636" s="28">
        <v>11088.07</v>
      </c>
      <c r="M636" s="29">
        <v>112532</v>
      </c>
      <c r="N636" s="10">
        <f t="shared" si="33"/>
        <v>-1.026327651844805E-2</v>
      </c>
      <c r="O636" s="12">
        <f t="shared" si="34"/>
        <v>-6.7872304745765222E-3</v>
      </c>
    </row>
    <row r="637" spans="5:15" ht="30" customHeight="1" x14ac:dyDescent="0.3">
      <c r="E637" s="27">
        <v>45230</v>
      </c>
      <c r="F637" s="28">
        <v>74.351189000000005</v>
      </c>
      <c r="G637" s="29">
        <v>113144</v>
      </c>
      <c r="H637" s="10">
        <f t="shared" si="32"/>
        <v>-1.8395061588222572E-2</v>
      </c>
      <c r="I637" s="12">
        <f t="shared" si="32"/>
        <v>5.4384530622400007E-3</v>
      </c>
      <c r="K637" s="27">
        <v>74.351189000000005</v>
      </c>
      <c r="L637" s="28">
        <v>11043.08</v>
      </c>
      <c r="M637" s="29">
        <v>113144</v>
      </c>
      <c r="N637" s="10">
        <f t="shared" si="33"/>
        <v>-4.0575140669205645E-3</v>
      </c>
      <c r="O637" s="12">
        <f t="shared" si="34"/>
        <v>5.4384530622400007E-3</v>
      </c>
    </row>
    <row r="638" spans="5:15" ht="30" customHeight="1" x14ac:dyDescent="0.3">
      <c r="E638" s="27">
        <v>45231</v>
      </c>
      <c r="F638" s="28">
        <v>73.855575999999999</v>
      </c>
      <c r="G638" s="29">
        <v>115053</v>
      </c>
      <c r="H638" s="10">
        <f t="shared" si="32"/>
        <v>-6.6658382557944762E-3</v>
      </c>
      <c r="I638" s="12">
        <f t="shared" si="32"/>
        <v>1.6872304320158404E-2</v>
      </c>
      <c r="K638" s="27">
        <v>73.855575999999999</v>
      </c>
      <c r="L638" s="28">
        <v>11192.88</v>
      </c>
      <c r="M638" s="29">
        <v>115053</v>
      </c>
      <c r="N638" s="10">
        <f t="shared" si="33"/>
        <v>1.3565056125645958E-2</v>
      </c>
      <c r="O638" s="12">
        <f t="shared" si="34"/>
        <v>1.6872304320158404E-2</v>
      </c>
    </row>
    <row r="639" spans="5:15" ht="30" customHeight="1" x14ac:dyDescent="0.3">
      <c r="E639" s="27">
        <v>45233</v>
      </c>
      <c r="F639" s="28">
        <v>74.790694999999999</v>
      </c>
      <c r="G639" s="29">
        <v>118160</v>
      </c>
      <c r="H639" s="10">
        <f t="shared" si="32"/>
        <v>1.2661454295610719E-2</v>
      </c>
      <c r="I639" s="12">
        <f t="shared" si="32"/>
        <v>2.7004945546834858E-2</v>
      </c>
      <c r="K639" s="27">
        <v>74.790694999999999</v>
      </c>
      <c r="L639" s="28">
        <v>11647.38</v>
      </c>
      <c r="M639" s="29">
        <v>118160</v>
      </c>
      <c r="N639" s="10">
        <f t="shared" si="33"/>
        <v>4.0606171065891816E-2</v>
      </c>
      <c r="O639" s="12">
        <f t="shared" si="34"/>
        <v>2.7004945546834858E-2</v>
      </c>
    </row>
    <row r="640" spans="5:15" ht="30" customHeight="1" x14ac:dyDescent="0.3">
      <c r="E640" s="27">
        <v>45236</v>
      </c>
      <c r="F640" s="28">
        <v>75.146034</v>
      </c>
      <c r="G640" s="29">
        <v>118487</v>
      </c>
      <c r="H640" s="10">
        <f t="shared" si="32"/>
        <v>4.75111242113746E-3</v>
      </c>
      <c r="I640" s="12">
        <f t="shared" si="32"/>
        <v>2.7674339878132059E-3</v>
      </c>
      <c r="K640" s="27">
        <v>75.146034</v>
      </c>
      <c r="L640" s="28">
        <v>11710.49</v>
      </c>
      <c r="M640" s="29">
        <v>118487</v>
      </c>
      <c r="N640" s="10">
        <f t="shared" si="33"/>
        <v>5.4183859374383747E-3</v>
      </c>
      <c r="O640" s="12">
        <f t="shared" si="34"/>
        <v>2.7674339878132059E-3</v>
      </c>
    </row>
    <row r="641" spans="5:15" ht="30" customHeight="1" x14ac:dyDescent="0.3">
      <c r="E641" s="27">
        <v>45237</v>
      </c>
      <c r="F641" s="28">
        <v>75.669701000000003</v>
      </c>
      <c r="G641" s="29">
        <v>119268</v>
      </c>
      <c r="H641" s="10">
        <f t="shared" si="32"/>
        <v>6.9686578535868016E-3</v>
      </c>
      <c r="I641" s="12">
        <f t="shared" si="32"/>
        <v>6.5914404111844238E-3</v>
      </c>
      <c r="K641" s="27">
        <v>75.669701000000003</v>
      </c>
      <c r="L641" s="28">
        <v>11949.88</v>
      </c>
      <c r="M641" s="29">
        <v>119268</v>
      </c>
      <c r="N641" s="10">
        <f t="shared" si="33"/>
        <v>2.0442355529102452E-2</v>
      </c>
      <c r="O641" s="12">
        <f t="shared" si="34"/>
        <v>6.5914404111844238E-3</v>
      </c>
    </row>
    <row r="642" spans="5:15" ht="30" customHeight="1" x14ac:dyDescent="0.3">
      <c r="E642" s="27">
        <v>45238</v>
      </c>
      <c r="F642" s="28">
        <v>77.614745999999997</v>
      </c>
      <c r="G642" s="29">
        <v>119099</v>
      </c>
      <c r="H642" s="10">
        <f t="shared" si="32"/>
        <v>2.5704409747832724E-2</v>
      </c>
      <c r="I642" s="12">
        <f t="shared" si="32"/>
        <v>-1.4169768923768533E-3</v>
      </c>
      <c r="K642" s="27">
        <v>77.614745999999997</v>
      </c>
      <c r="L642" s="28">
        <v>12034.67</v>
      </c>
      <c r="M642" s="29">
        <v>119099</v>
      </c>
      <c r="N642" s="10">
        <f t="shared" si="33"/>
        <v>7.0954687411086681E-3</v>
      </c>
      <c r="O642" s="12">
        <f t="shared" si="34"/>
        <v>-1.4169768923768533E-3</v>
      </c>
    </row>
    <row r="643" spans="5:15" ht="30" customHeight="1" x14ac:dyDescent="0.3">
      <c r="E643" s="27">
        <v>45239</v>
      </c>
      <c r="F643" s="28">
        <v>77.895286999999996</v>
      </c>
      <c r="G643" s="29">
        <v>119012</v>
      </c>
      <c r="H643" s="10">
        <f t="shared" si="32"/>
        <v>3.6145322178855466E-3</v>
      </c>
      <c r="I643" s="12">
        <f t="shared" si="32"/>
        <v>-7.3048472279368948E-4</v>
      </c>
      <c r="K643" s="27">
        <v>77.895286999999996</v>
      </c>
      <c r="L643" s="28">
        <v>11918.87</v>
      </c>
      <c r="M643" s="29">
        <v>119012</v>
      </c>
      <c r="N643" s="10">
        <f t="shared" si="33"/>
        <v>-9.6221998609018478E-3</v>
      </c>
      <c r="O643" s="12">
        <f t="shared" si="34"/>
        <v>-7.3048472279368948E-4</v>
      </c>
    </row>
    <row r="644" spans="5:15" ht="30" customHeight="1" x14ac:dyDescent="0.3">
      <c r="E644" s="27">
        <v>45240</v>
      </c>
      <c r="F644" s="28">
        <v>78.549865999999994</v>
      </c>
      <c r="G644" s="29">
        <v>120636</v>
      </c>
      <c r="H644" s="10">
        <f t="shared" si="32"/>
        <v>8.4033197027697515E-3</v>
      </c>
      <c r="I644" s="12">
        <f t="shared" si="32"/>
        <v>1.3645682788290259E-2</v>
      </c>
      <c r="K644" s="27">
        <v>78.549865999999994</v>
      </c>
      <c r="L644" s="28">
        <v>12095.44</v>
      </c>
      <c r="M644" s="29">
        <v>120636</v>
      </c>
      <c r="N644" s="10">
        <f t="shared" si="33"/>
        <v>1.4814323841102262E-2</v>
      </c>
      <c r="O644" s="12">
        <f t="shared" si="34"/>
        <v>1.3645682788290259E-2</v>
      </c>
    </row>
    <row r="645" spans="5:15" ht="30" customHeight="1" x14ac:dyDescent="0.3">
      <c r="E645" s="27">
        <v>45243</v>
      </c>
      <c r="F645" s="28">
        <v>78.175811999999993</v>
      </c>
      <c r="G645" s="29">
        <v>120376</v>
      </c>
      <c r="H645" s="10">
        <f t="shared" si="32"/>
        <v>-4.7619941197608595E-3</v>
      </c>
      <c r="I645" s="12">
        <f t="shared" si="32"/>
        <v>-2.1552438741337943E-3</v>
      </c>
      <c r="K645" s="27">
        <v>78.175811999999993</v>
      </c>
      <c r="L645" s="28">
        <v>11944.33</v>
      </c>
      <c r="M645" s="29">
        <v>120376</v>
      </c>
      <c r="N645" s="10">
        <f t="shared" si="33"/>
        <v>-1.249313790982387E-2</v>
      </c>
      <c r="O645" s="12">
        <f t="shared" si="34"/>
        <v>-2.1552438741337943E-3</v>
      </c>
    </row>
    <row r="646" spans="5:15" ht="30" customHeight="1" x14ac:dyDescent="0.3">
      <c r="E646" s="27">
        <v>45244</v>
      </c>
      <c r="F646" s="28">
        <v>78.222572</v>
      </c>
      <c r="G646" s="29">
        <v>123328</v>
      </c>
      <c r="H646" s="10">
        <f t="shared" si="32"/>
        <v>5.9813897423932616E-4</v>
      </c>
      <c r="I646" s="12">
        <f t="shared" si="32"/>
        <v>2.4523160762942808E-2</v>
      </c>
      <c r="K646" s="27">
        <v>78.222572</v>
      </c>
      <c r="L646" s="28">
        <v>12139.37</v>
      </c>
      <c r="M646" s="29">
        <v>123328</v>
      </c>
      <c r="N646" s="10">
        <f t="shared" si="33"/>
        <v>1.6329086687993488E-2</v>
      </c>
      <c r="O646" s="12">
        <f t="shared" si="34"/>
        <v>2.4523160762942808E-2</v>
      </c>
    </row>
    <row r="647" spans="5:15" ht="30" customHeight="1" x14ac:dyDescent="0.3">
      <c r="E647" s="27">
        <v>45246</v>
      </c>
      <c r="F647" s="28">
        <v>77.418373000000003</v>
      </c>
      <c r="G647" s="29">
        <v>124576</v>
      </c>
      <c r="H647" s="10">
        <f t="shared" si="32"/>
        <v>-1.0280907152989016E-2</v>
      </c>
      <c r="I647" s="12">
        <f t="shared" si="32"/>
        <v>1.0119356512714006E-2</v>
      </c>
      <c r="K647" s="27">
        <v>77.418373000000003</v>
      </c>
      <c r="L647" s="28">
        <v>12332.73</v>
      </c>
      <c r="M647" s="29">
        <v>124576</v>
      </c>
      <c r="N647" s="10">
        <f t="shared" si="33"/>
        <v>1.5928338950044196E-2</v>
      </c>
      <c r="O647" s="12">
        <f t="shared" si="34"/>
        <v>1.0119356512714006E-2</v>
      </c>
    </row>
    <row r="648" spans="5:15" ht="30" customHeight="1" x14ac:dyDescent="0.3">
      <c r="E648" s="27">
        <v>45247</v>
      </c>
      <c r="F648" s="28">
        <v>77.895286999999996</v>
      </c>
      <c r="G648" s="29">
        <v>125062</v>
      </c>
      <c r="H648" s="10">
        <f t="shared" si="32"/>
        <v>6.1602172910555364E-3</v>
      </c>
      <c r="I648" s="12">
        <f t="shared" si="32"/>
        <v>3.9012329822758485E-3</v>
      </c>
      <c r="K648" s="27">
        <v>77.895286999999996</v>
      </c>
      <c r="L648" s="28">
        <v>12267.84</v>
      </c>
      <c r="M648" s="29">
        <v>125062</v>
      </c>
      <c r="N648" s="10">
        <f t="shared" si="33"/>
        <v>-5.2616087435628511E-3</v>
      </c>
      <c r="O648" s="12">
        <f t="shared" si="34"/>
        <v>3.9012329822758485E-3</v>
      </c>
    </row>
    <row r="649" spans="5:15" ht="30" customHeight="1" x14ac:dyDescent="0.3">
      <c r="E649" s="27">
        <v>45250</v>
      </c>
      <c r="F649" s="28">
        <v>77.895286999999996</v>
      </c>
      <c r="G649" s="29">
        <v>126095</v>
      </c>
      <c r="H649" s="10">
        <f t="shared" si="32"/>
        <v>0</v>
      </c>
      <c r="I649" s="12">
        <f t="shared" si="32"/>
        <v>8.2599030880683433E-3</v>
      </c>
      <c r="K649" s="27">
        <v>77.895286999999996</v>
      </c>
      <c r="L649" s="28">
        <v>12371.54</v>
      </c>
      <c r="M649" s="29">
        <v>126095</v>
      </c>
      <c r="N649" s="10">
        <f t="shared" si="33"/>
        <v>8.4529958004018191E-3</v>
      </c>
      <c r="O649" s="12">
        <f t="shared" si="34"/>
        <v>8.2599030880683433E-3</v>
      </c>
    </row>
    <row r="650" spans="5:15" ht="30" customHeight="1" x14ac:dyDescent="0.3">
      <c r="E650" s="27">
        <v>45251</v>
      </c>
      <c r="F650" s="28">
        <v>75.651000999999994</v>
      </c>
      <c r="G650" s="29">
        <v>125607</v>
      </c>
      <c r="H650" s="10">
        <f t="shared" si="32"/>
        <v>-2.8811576238238934E-2</v>
      </c>
      <c r="I650" s="12">
        <f t="shared" si="32"/>
        <v>-3.8700979420278614E-3</v>
      </c>
      <c r="K650" s="27">
        <v>75.651000999999994</v>
      </c>
      <c r="L650" s="28">
        <v>12308.05</v>
      </c>
      <c r="M650" s="29">
        <v>125607</v>
      </c>
      <c r="N650" s="10">
        <f t="shared" si="33"/>
        <v>-5.1319399201718019E-3</v>
      </c>
      <c r="O650" s="12">
        <f t="shared" si="34"/>
        <v>-3.8700979420278614E-3</v>
      </c>
    </row>
    <row r="651" spans="5:15" ht="30" customHeight="1" x14ac:dyDescent="0.3">
      <c r="E651" s="27">
        <v>45252</v>
      </c>
      <c r="F651" s="28">
        <v>76.062447000000006</v>
      </c>
      <c r="G651" s="29">
        <v>126035</v>
      </c>
      <c r="H651" s="10">
        <f t="shared" si="32"/>
        <v>5.4387383453129434E-3</v>
      </c>
      <c r="I651" s="12">
        <f t="shared" si="32"/>
        <v>3.4074534062591422E-3</v>
      </c>
      <c r="K651" s="27">
        <v>76.062447000000006</v>
      </c>
      <c r="L651" s="28">
        <v>12434.64</v>
      </c>
      <c r="M651" s="29">
        <v>126035</v>
      </c>
      <c r="N651" s="10">
        <f t="shared" si="33"/>
        <v>1.0285138588159715E-2</v>
      </c>
      <c r="O651" s="12">
        <f t="shared" si="34"/>
        <v>3.4074534062591422E-3</v>
      </c>
    </row>
    <row r="652" spans="5:15" ht="30" customHeight="1" x14ac:dyDescent="0.3">
      <c r="E652" s="27">
        <v>45253</v>
      </c>
      <c r="F652" s="28">
        <v>74.238968</v>
      </c>
      <c r="G652" s="29">
        <v>126576</v>
      </c>
      <c r="H652" s="10">
        <f t="shared" si="32"/>
        <v>-2.3973446449862545E-2</v>
      </c>
      <c r="I652" s="12">
        <f t="shared" si="32"/>
        <v>4.2924584440831026E-3</v>
      </c>
      <c r="K652" s="27">
        <v>74.238968</v>
      </c>
      <c r="L652" s="28">
        <v>12548.8</v>
      </c>
      <c r="M652" s="29">
        <v>126576</v>
      </c>
      <c r="N652" s="10">
        <f t="shared" si="33"/>
        <v>9.1808045910457547E-3</v>
      </c>
      <c r="O652" s="12">
        <f t="shared" si="34"/>
        <v>4.2924584440831026E-3</v>
      </c>
    </row>
    <row r="653" spans="5:15" ht="30" customHeight="1" x14ac:dyDescent="0.3">
      <c r="E653" s="27">
        <v>45254</v>
      </c>
      <c r="F653" s="28">
        <v>74.528853999999995</v>
      </c>
      <c r="G653" s="29">
        <v>125542</v>
      </c>
      <c r="H653" s="10">
        <f t="shared" si="32"/>
        <v>3.9047687193065617E-3</v>
      </c>
      <c r="I653" s="12">
        <f t="shared" si="32"/>
        <v>-8.1690051826570631E-3</v>
      </c>
      <c r="K653" s="27">
        <v>74.528853999999995</v>
      </c>
      <c r="L653" s="28">
        <v>12472.78</v>
      </c>
      <c r="M653" s="29">
        <v>125542</v>
      </c>
      <c r="N653" s="10">
        <f t="shared" si="33"/>
        <v>-6.0579497641207736E-3</v>
      </c>
      <c r="O653" s="12">
        <f t="shared" si="34"/>
        <v>-8.1690051826570631E-3</v>
      </c>
    </row>
    <row r="654" spans="5:15" ht="30" customHeight="1" x14ac:dyDescent="0.3">
      <c r="E654" s="27">
        <v>45257</v>
      </c>
      <c r="F654" s="28">
        <v>74.790694999999999</v>
      </c>
      <c r="G654" s="29">
        <v>125683</v>
      </c>
      <c r="H654" s="10">
        <f t="shared" si="32"/>
        <v>3.5132835934925666E-3</v>
      </c>
      <c r="I654" s="12">
        <f t="shared" si="32"/>
        <v>1.1231301078522549E-3</v>
      </c>
      <c r="K654" s="27">
        <v>74.790694999999999</v>
      </c>
      <c r="L654" s="28">
        <v>12500.4</v>
      </c>
      <c r="M654" s="29">
        <v>125683</v>
      </c>
      <c r="N654" s="10">
        <f t="shared" si="33"/>
        <v>2.2144221256206187E-3</v>
      </c>
      <c r="O654" s="12">
        <f t="shared" si="34"/>
        <v>1.1231301078522549E-3</v>
      </c>
    </row>
    <row r="655" spans="5:15" ht="30" customHeight="1" x14ac:dyDescent="0.3">
      <c r="E655" s="27">
        <v>45258</v>
      </c>
      <c r="F655" s="28">
        <v>75.435920999999993</v>
      </c>
      <c r="G655" s="29">
        <v>126538</v>
      </c>
      <c r="H655" s="10">
        <f t="shared" si="32"/>
        <v>8.6270892388418119E-3</v>
      </c>
      <c r="I655" s="12">
        <f t="shared" si="32"/>
        <v>6.802829340483596E-3</v>
      </c>
      <c r="K655" s="27">
        <v>75.435920999999993</v>
      </c>
      <c r="L655" s="28">
        <v>12632.49</v>
      </c>
      <c r="M655" s="29">
        <v>126538</v>
      </c>
      <c r="N655" s="10">
        <f t="shared" si="33"/>
        <v>1.056686186042044E-2</v>
      </c>
      <c r="O655" s="12">
        <f t="shared" si="34"/>
        <v>6.802829340483596E-3</v>
      </c>
    </row>
    <row r="656" spans="5:15" ht="30" customHeight="1" x14ac:dyDescent="0.3">
      <c r="E656" s="27">
        <v>45259</v>
      </c>
      <c r="F656" s="28">
        <v>75.146034</v>
      </c>
      <c r="G656" s="29">
        <v>126101</v>
      </c>
      <c r="H656" s="10">
        <f t="shared" si="32"/>
        <v>-3.8428244284309798E-3</v>
      </c>
      <c r="I656" s="12">
        <f t="shared" si="32"/>
        <v>-3.4535080371114191E-3</v>
      </c>
      <c r="K656" s="27">
        <v>75.146034</v>
      </c>
      <c r="L656" s="28">
        <v>12662.31</v>
      </c>
      <c r="M656" s="29">
        <v>126101</v>
      </c>
      <c r="N656" s="10">
        <f t="shared" si="33"/>
        <v>2.360579743186042E-3</v>
      </c>
      <c r="O656" s="12">
        <f t="shared" si="34"/>
        <v>-3.4535080371114191E-3</v>
      </c>
    </row>
    <row r="657" spans="5:15" ht="30" customHeight="1" x14ac:dyDescent="0.3">
      <c r="E657" s="27">
        <v>45260</v>
      </c>
      <c r="F657" s="28">
        <v>75.922188000000006</v>
      </c>
      <c r="G657" s="29">
        <v>127331</v>
      </c>
      <c r="H657" s="10">
        <f t="shared" si="32"/>
        <v>1.0328608958924068E-2</v>
      </c>
      <c r="I657" s="12">
        <f t="shared" si="32"/>
        <v>9.7540860104201599E-3</v>
      </c>
      <c r="K657" s="27">
        <v>75.922188000000006</v>
      </c>
      <c r="L657" s="28">
        <v>12851.27</v>
      </c>
      <c r="M657" s="29">
        <v>127331</v>
      </c>
      <c r="N657" s="10">
        <f t="shared" si="33"/>
        <v>1.4923027472870443E-2</v>
      </c>
      <c r="O657" s="12">
        <f t="shared" si="34"/>
        <v>9.7540860104201599E-3</v>
      </c>
    </row>
    <row r="658" spans="5:15" ht="30" customHeight="1" x14ac:dyDescent="0.3">
      <c r="E658" s="27">
        <v>45261</v>
      </c>
      <c r="F658" s="28">
        <v>76.081153999999998</v>
      </c>
      <c r="G658" s="29">
        <v>128103</v>
      </c>
      <c r="H658" s="10">
        <f t="shared" si="32"/>
        <v>2.0938016169922413E-3</v>
      </c>
      <c r="I658" s="12">
        <f t="shared" si="32"/>
        <v>6.0629383260950576E-3</v>
      </c>
      <c r="K658" s="27">
        <v>76.081153999999998</v>
      </c>
      <c r="L658" s="28">
        <v>12894.96</v>
      </c>
      <c r="M658" s="29">
        <v>128103</v>
      </c>
      <c r="N658" s="10">
        <f t="shared" si="33"/>
        <v>3.3996640020790281E-3</v>
      </c>
      <c r="O658" s="12">
        <f t="shared" si="34"/>
        <v>6.0629383260950576E-3</v>
      </c>
    </row>
    <row r="659" spans="5:15" ht="30" customHeight="1" x14ac:dyDescent="0.3">
      <c r="E659" s="27">
        <v>45264</v>
      </c>
      <c r="F659" s="28">
        <v>76.548714000000004</v>
      </c>
      <c r="G659" s="29">
        <v>126803</v>
      </c>
      <c r="H659" s="10">
        <f t="shared" si="32"/>
        <v>6.1455429553554097E-3</v>
      </c>
      <c r="I659" s="12">
        <f t="shared" si="32"/>
        <v>-1.0148083963685495E-2</v>
      </c>
      <c r="K659" s="27">
        <v>76.548714000000004</v>
      </c>
      <c r="L659" s="28">
        <v>12869.7</v>
      </c>
      <c r="M659" s="29">
        <v>126803</v>
      </c>
      <c r="N659" s="10">
        <f t="shared" si="33"/>
        <v>-1.958904874462486E-3</v>
      </c>
      <c r="O659" s="12">
        <f t="shared" si="34"/>
        <v>-1.0148083963685495E-2</v>
      </c>
    </row>
    <row r="660" spans="5:15" ht="30" customHeight="1" x14ac:dyDescent="0.3">
      <c r="E660" s="27">
        <v>45265</v>
      </c>
      <c r="F660" s="28">
        <v>76.399094000000005</v>
      </c>
      <c r="G660" s="29">
        <v>126903</v>
      </c>
      <c r="H660" s="10">
        <f t="shared" si="32"/>
        <v>-1.9545723524500014E-3</v>
      </c>
      <c r="I660" s="12">
        <f t="shared" si="32"/>
        <v>7.8862487480590993E-4</v>
      </c>
      <c r="K660" s="27">
        <v>76.399094000000005</v>
      </c>
      <c r="L660" s="28">
        <v>12924.76</v>
      </c>
      <c r="M660" s="29">
        <v>126903</v>
      </c>
      <c r="N660" s="10">
        <f t="shared" si="33"/>
        <v>4.2782660046465359E-3</v>
      </c>
      <c r="O660" s="12">
        <f t="shared" si="34"/>
        <v>7.8862487480590993E-4</v>
      </c>
    </row>
    <row r="661" spans="5:15" ht="30" customHeight="1" x14ac:dyDescent="0.3">
      <c r="E661" s="27">
        <v>45266</v>
      </c>
      <c r="F661" s="28">
        <v>76.165313999999995</v>
      </c>
      <c r="G661" s="29">
        <v>125623</v>
      </c>
      <c r="H661" s="10">
        <f t="shared" si="32"/>
        <v>-3.059983931223198E-3</v>
      </c>
      <c r="I661" s="12">
        <f t="shared" si="32"/>
        <v>-1.0086443976895731E-2</v>
      </c>
      <c r="K661" s="27">
        <v>76.165313999999995</v>
      </c>
      <c r="L661" s="28">
        <v>12749.46</v>
      </c>
      <c r="M661" s="29">
        <v>125623</v>
      </c>
      <c r="N661" s="10">
        <f t="shared" si="33"/>
        <v>-1.3563114518180708E-2</v>
      </c>
      <c r="O661" s="12">
        <f t="shared" si="34"/>
        <v>-1.0086443976895731E-2</v>
      </c>
    </row>
    <row r="662" spans="5:15" ht="30" customHeight="1" x14ac:dyDescent="0.3">
      <c r="E662" s="27">
        <v>45267</v>
      </c>
      <c r="F662" s="28">
        <v>75.744513999999995</v>
      </c>
      <c r="G662" s="29">
        <v>126010</v>
      </c>
      <c r="H662" s="10">
        <f t="shared" si="32"/>
        <v>-5.5248245940402452E-3</v>
      </c>
      <c r="I662" s="12">
        <f t="shared" si="32"/>
        <v>3.0806460600367735E-3</v>
      </c>
      <c r="K662" s="27">
        <v>75.744513999999995</v>
      </c>
      <c r="L662" s="28">
        <v>12832.22</v>
      </c>
      <c r="M662" s="29">
        <v>126010</v>
      </c>
      <c r="N662" s="10">
        <f t="shared" si="33"/>
        <v>6.4912553159113262E-3</v>
      </c>
      <c r="O662" s="12">
        <f t="shared" si="34"/>
        <v>3.0806460600367735E-3</v>
      </c>
    </row>
    <row r="663" spans="5:15" ht="30" customHeight="1" x14ac:dyDescent="0.3">
      <c r="E663" s="27">
        <v>45268</v>
      </c>
      <c r="F663" s="28">
        <v>75.725814999999997</v>
      </c>
      <c r="G663" s="29">
        <v>127094</v>
      </c>
      <c r="H663" s="10">
        <f t="shared" si="32"/>
        <v>-2.468693640307329E-4</v>
      </c>
      <c r="I663" s="12">
        <f t="shared" si="32"/>
        <v>8.6024918657250371E-3</v>
      </c>
      <c r="K663" s="27">
        <v>75.725814999999997</v>
      </c>
      <c r="L663" s="28">
        <v>12990.82</v>
      </c>
      <c r="M663" s="29">
        <v>127094</v>
      </c>
      <c r="N663" s="10">
        <f t="shared" si="33"/>
        <v>1.2359513786390774E-2</v>
      </c>
      <c r="O663" s="12">
        <f t="shared" si="34"/>
        <v>8.6024918657250371E-3</v>
      </c>
    </row>
    <row r="664" spans="5:15" ht="30" customHeight="1" x14ac:dyDescent="0.3">
      <c r="E664" s="27">
        <v>45271</v>
      </c>
      <c r="F664" s="28">
        <v>77.05368</v>
      </c>
      <c r="G664" s="29">
        <v>126916</v>
      </c>
      <c r="H664" s="10">
        <f t="shared" ref="H664:I727" si="35">F664/F663-1</f>
        <v>1.7535169479522938E-2</v>
      </c>
      <c r="I664" s="12">
        <f t="shared" si="35"/>
        <v>-1.4005381843360531E-3</v>
      </c>
      <c r="K664" s="27">
        <v>77.05368</v>
      </c>
      <c r="L664" s="28">
        <v>13000.7</v>
      </c>
      <c r="M664" s="29">
        <v>126916</v>
      </c>
      <c r="N664" s="10">
        <f t="shared" ref="N664:N727" si="36">L664/L663-1</f>
        <v>7.6053705616740963E-4</v>
      </c>
      <c r="O664" s="12">
        <f t="shared" ref="O664:O727" si="37">M664/M663-1</f>
        <v>-1.4005381843360531E-3</v>
      </c>
    </row>
    <row r="665" spans="5:15" ht="30" customHeight="1" x14ac:dyDescent="0.3">
      <c r="E665" s="27">
        <v>45272</v>
      </c>
      <c r="F665" s="28">
        <v>78.764945999999995</v>
      </c>
      <c r="G665" s="29">
        <v>126403</v>
      </c>
      <c r="H665" s="10">
        <f t="shared" si="35"/>
        <v>2.2208751094042523E-2</v>
      </c>
      <c r="I665" s="12">
        <f t="shared" si="35"/>
        <v>-4.0420435563679469E-3</v>
      </c>
      <c r="K665" s="27">
        <v>78.764945999999995</v>
      </c>
      <c r="L665" s="28">
        <v>12899.16</v>
      </c>
      <c r="M665" s="29">
        <v>126403</v>
      </c>
      <c r="N665" s="10">
        <f t="shared" si="36"/>
        <v>-7.8103486735330296E-3</v>
      </c>
      <c r="O665" s="12">
        <f t="shared" si="37"/>
        <v>-4.0420435563679469E-3</v>
      </c>
    </row>
    <row r="666" spans="5:15" ht="30" customHeight="1" x14ac:dyDescent="0.3">
      <c r="E666" s="27">
        <v>45273</v>
      </c>
      <c r="F666" s="28">
        <v>81.336517000000001</v>
      </c>
      <c r="G666" s="29">
        <v>129465</v>
      </c>
      <c r="H666" s="10">
        <f t="shared" si="35"/>
        <v>3.2648673433991915E-2</v>
      </c>
      <c r="I666" s="12">
        <f t="shared" si="35"/>
        <v>2.4224108605017225E-2</v>
      </c>
      <c r="K666" s="27">
        <v>81.336517000000001</v>
      </c>
      <c r="L666" s="28">
        <v>13284.85</v>
      </c>
      <c r="M666" s="29">
        <v>129465</v>
      </c>
      <c r="N666" s="10">
        <f t="shared" si="36"/>
        <v>2.9900396614973346E-2</v>
      </c>
      <c r="O666" s="12">
        <f t="shared" si="37"/>
        <v>2.4224108605017225E-2</v>
      </c>
    </row>
    <row r="667" spans="5:15" ht="30" customHeight="1" x14ac:dyDescent="0.3">
      <c r="E667" s="27">
        <v>45274</v>
      </c>
      <c r="F667" s="28">
        <v>81.78537</v>
      </c>
      <c r="G667" s="29">
        <v>130842</v>
      </c>
      <c r="H667" s="10">
        <f t="shared" si="35"/>
        <v>5.518468414377864E-3</v>
      </c>
      <c r="I667" s="12">
        <f t="shared" si="35"/>
        <v>1.0636079249217945E-2</v>
      </c>
      <c r="K667" s="27">
        <v>81.78537</v>
      </c>
      <c r="L667" s="28">
        <v>13481.3</v>
      </c>
      <c r="M667" s="29">
        <v>130842</v>
      </c>
      <c r="N667" s="10">
        <f t="shared" si="36"/>
        <v>1.4787521123685865E-2</v>
      </c>
      <c r="O667" s="12">
        <f t="shared" si="37"/>
        <v>1.0636079249217945E-2</v>
      </c>
    </row>
    <row r="668" spans="5:15" ht="30" customHeight="1" x14ac:dyDescent="0.3">
      <c r="E668" s="27">
        <v>45275</v>
      </c>
      <c r="F668" s="28">
        <v>81.542236000000003</v>
      </c>
      <c r="G668" s="29">
        <v>130197</v>
      </c>
      <c r="H668" s="10">
        <f t="shared" si="35"/>
        <v>-2.9728299816947912E-3</v>
      </c>
      <c r="I668" s="12">
        <f t="shared" si="35"/>
        <v>-4.9296097583344523E-3</v>
      </c>
      <c r="K668" s="27">
        <v>81.542236000000003</v>
      </c>
      <c r="L668" s="28">
        <v>13516.17</v>
      </c>
      <c r="M668" s="29">
        <v>130197</v>
      </c>
      <c r="N668" s="10">
        <f t="shared" si="36"/>
        <v>2.5865458078968562E-3</v>
      </c>
      <c r="O668" s="12">
        <f t="shared" si="37"/>
        <v>-4.9296097583344523E-3</v>
      </c>
    </row>
    <row r="669" spans="5:15" ht="30" customHeight="1" x14ac:dyDescent="0.3">
      <c r="E669" s="27">
        <v>45278</v>
      </c>
      <c r="F669" s="28">
        <v>82.271636999999998</v>
      </c>
      <c r="G669" s="29">
        <v>131084</v>
      </c>
      <c r="H669" s="10">
        <f t="shared" si="35"/>
        <v>8.9450698899156134E-3</v>
      </c>
      <c r="I669" s="12">
        <f t="shared" si="35"/>
        <v>6.8127529820196653E-3</v>
      </c>
      <c r="K669" s="27">
        <v>82.271636999999998</v>
      </c>
      <c r="L669" s="28">
        <v>13586.74</v>
      </c>
      <c r="M669" s="29">
        <v>131084</v>
      </c>
      <c r="N669" s="10">
        <f t="shared" si="36"/>
        <v>5.2211536256201452E-3</v>
      </c>
      <c r="O669" s="12">
        <f t="shared" si="37"/>
        <v>6.8127529820196653E-3</v>
      </c>
    </row>
    <row r="670" spans="5:15" ht="30" customHeight="1" x14ac:dyDescent="0.3">
      <c r="E670" s="27">
        <v>45279</v>
      </c>
      <c r="F670" s="28">
        <v>82.851401999999993</v>
      </c>
      <c r="G670" s="29">
        <v>131851</v>
      </c>
      <c r="H670" s="10">
        <f t="shared" si="35"/>
        <v>7.0469607891721076E-3</v>
      </c>
      <c r="I670" s="12">
        <f t="shared" si="35"/>
        <v>5.8512099112020266E-3</v>
      </c>
      <c r="K670" s="27">
        <v>82.851401999999993</v>
      </c>
      <c r="L670" s="28">
        <v>13609.44</v>
      </c>
      <c r="M670" s="29">
        <v>131851</v>
      </c>
      <c r="N670" s="10">
        <f t="shared" si="36"/>
        <v>1.6707466250183156E-3</v>
      </c>
      <c r="O670" s="12">
        <f t="shared" si="37"/>
        <v>5.8512099112020266E-3</v>
      </c>
    </row>
    <row r="671" spans="5:15" ht="30" customHeight="1" x14ac:dyDescent="0.3">
      <c r="E671" s="27">
        <v>45280</v>
      </c>
      <c r="F671" s="28">
        <v>84.908669000000003</v>
      </c>
      <c r="G671" s="29">
        <v>130804</v>
      </c>
      <c r="H671" s="10">
        <f t="shared" si="35"/>
        <v>2.4830804915045412E-2</v>
      </c>
      <c r="I671" s="12">
        <f t="shared" si="35"/>
        <v>-7.9407816398814335E-3</v>
      </c>
      <c r="K671" s="27">
        <v>84.908669000000003</v>
      </c>
      <c r="L671" s="28">
        <v>13423.45</v>
      </c>
      <c r="M671" s="29">
        <v>130804</v>
      </c>
      <c r="N671" s="10">
        <f t="shared" si="36"/>
        <v>-1.3666249309302936E-2</v>
      </c>
      <c r="O671" s="12">
        <f t="shared" si="37"/>
        <v>-7.9407816398814335E-3</v>
      </c>
    </row>
    <row r="672" spans="5:15" ht="30" customHeight="1" x14ac:dyDescent="0.3">
      <c r="E672" s="27">
        <v>45281</v>
      </c>
      <c r="F672" s="28">
        <v>84.628128000000004</v>
      </c>
      <c r="G672" s="29">
        <v>132182</v>
      </c>
      <c r="H672" s="10">
        <f t="shared" si="35"/>
        <v>-3.3040324775318597E-3</v>
      </c>
      <c r="I672" s="12">
        <f t="shared" si="35"/>
        <v>1.0534846029173428E-2</v>
      </c>
      <c r="K672" s="27">
        <v>84.628128000000004</v>
      </c>
      <c r="L672" s="28">
        <v>13502.46</v>
      </c>
      <c r="M672" s="29">
        <v>132182</v>
      </c>
      <c r="N672" s="10">
        <f t="shared" si="36"/>
        <v>5.8859682123446611E-3</v>
      </c>
      <c r="O672" s="12">
        <f t="shared" si="37"/>
        <v>1.0534846029173428E-2</v>
      </c>
    </row>
    <row r="673" spans="5:15" ht="30" customHeight="1" x14ac:dyDescent="0.3">
      <c r="E673" s="27">
        <v>45282</v>
      </c>
      <c r="F673" s="28">
        <v>86.171074000000004</v>
      </c>
      <c r="G673" s="29">
        <v>132753</v>
      </c>
      <c r="H673" s="10">
        <f t="shared" si="35"/>
        <v>1.8232070547513413E-2</v>
      </c>
      <c r="I673" s="12">
        <f t="shared" si="35"/>
        <v>4.3198014858301104E-3</v>
      </c>
      <c r="K673" s="27">
        <v>86.171074000000004</v>
      </c>
      <c r="L673" s="28">
        <v>13604.01</v>
      </c>
      <c r="M673" s="29">
        <v>132753</v>
      </c>
      <c r="N673" s="10">
        <f t="shared" si="36"/>
        <v>7.5208517559024468E-3</v>
      </c>
      <c r="O673" s="12">
        <f t="shared" si="37"/>
        <v>4.3198014858301104E-3</v>
      </c>
    </row>
    <row r="674" spans="5:15" ht="30" customHeight="1" x14ac:dyDescent="0.3">
      <c r="E674" s="27">
        <v>45286</v>
      </c>
      <c r="F674" s="28">
        <v>87.901038999999997</v>
      </c>
      <c r="G674" s="29">
        <v>133533</v>
      </c>
      <c r="H674" s="10">
        <f t="shared" si="35"/>
        <v>2.0075936386727555E-2</v>
      </c>
      <c r="I674" s="12">
        <f t="shared" si="35"/>
        <v>5.8755734333686416E-3</v>
      </c>
      <c r="K674" s="27">
        <v>87.901038999999997</v>
      </c>
      <c r="L674" s="28">
        <v>13710.67</v>
      </c>
      <c r="M674" s="29">
        <v>133533</v>
      </c>
      <c r="N674" s="10">
        <f t="shared" si="36"/>
        <v>7.8403353128966291E-3</v>
      </c>
      <c r="O674" s="12">
        <f t="shared" si="37"/>
        <v>5.8755734333686416E-3</v>
      </c>
    </row>
    <row r="675" spans="5:15" ht="30" customHeight="1" x14ac:dyDescent="0.3">
      <c r="E675" s="27">
        <v>45287</v>
      </c>
      <c r="F675" s="28">
        <v>88.826804999999993</v>
      </c>
      <c r="G675" s="29">
        <v>134194</v>
      </c>
      <c r="H675" s="10">
        <f t="shared" si="35"/>
        <v>1.0531911915170777E-2</v>
      </c>
      <c r="I675" s="12">
        <f t="shared" si="35"/>
        <v>4.9500872443515309E-3</v>
      </c>
      <c r="K675" s="27">
        <v>88.826804999999993</v>
      </c>
      <c r="L675" s="28">
        <v>13756.28</v>
      </c>
      <c r="M675" s="29">
        <v>134194</v>
      </c>
      <c r="N675" s="10">
        <f t="shared" si="36"/>
        <v>3.3266062125338891E-3</v>
      </c>
      <c r="O675" s="12">
        <f t="shared" si="37"/>
        <v>4.9500872443515309E-3</v>
      </c>
    </row>
    <row r="676" spans="5:15" ht="30" customHeight="1" x14ac:dyDescent="0.3">
      <c r="E676" s="27">
        <v>45288</v>
      </c>
      <c r="F676" s="28">
        <v>88.836158999999995</v>
      </c>
      <c r="G676" s="29">
        <v>134185</v>
      </c>
      <c r="H676" s="10">
        <f t="shared" si="35"/>
        <v>1.0530605035263818E-4</v>
      </c>
      <c r="I676" s="12">
        <f t="shared" si="35"/>
        <v>-6.7067081985783261E-5</v>
      </c>
      <c r="K676" s="27">
        <v>88.836158999999995</v>
      </c>
      <c r="L676" s="28">
        <v>13803.59</v>
      </c>
      <c r="M676" s="29">
        <v>134185</v>
      </c>
      <c r="N676" s="10">
        <f t="shared" si="36"/>
        <v>3.4391565161511206E-3</v>
      </c>
      <c r="O676" s="12">
        <f t="shared" si="37"/>
        <v>-6.7067081985783261E-5</v>
      </c>
    </row>
    <row r="677" spans="5:15" ht="30" customHeight="1" x14ac:dyDescent="0.3">
      <c r="E677" s="27">
        <v>45293</v>
      </c>
      <c r="F677" s="28">
        <v>88.742644999999996</v>
      </c>
      <c r="G677" s="29">
        <v>132697</v>
      </c>
      <c r="H677" s="10">
        <f t="shared" si="35"/>
        <v>-1.0526569479438752E-3</v>
      </c>
      <c r="I677" s="12">
        <f t="shared" si="35"/>
        <v>-1.108916793978465E-2</v>
      </c>
      <c r="K677" s="27">
        <v>88.742644999999996</v>
      </c>
      <c r="L677" s="28">
        <v>13606.07</v>
      </c>
      <c r="M677" s="29">
        <v>132697</v>
      </c>
      <c r="N677" s="10">
        <f t="shared" si="36"/>
        <v>-1.4309320980991247E-2</v>
      </c>
      <c r="O677" s="12">
        <f t="shared" si="37"/>
        <v>-1.108916793978465E-2</v>
      </c>
    </row>
    <row r="678" spans="5:15" ht="30" customHeight="1" x14ac:dyDescent="0.3">
      <c r="E678" s="27">
        <v>45294</v>
      </c>
      <c r="F678" s="28">
        <v>88.826804999999993</v>
      </c>
      <c r="G678" s="29">
        <v>132834</v>
      </c>
      <c r="H678" s="10">
        <f t="shared" si="35"/>
        <v>9.4836028382960791E-4</v>
      </c>
      <c r="I678" s="12">
        <f t="shared" si="35"/>
        <v>1.0324272590940264E-3</v>
      </c>
      <c r="K678" s="27">
        <v>88.826804999999993</v>
      </c>
      <c r="L678" s="28">
        <v>13556.05</v>
      </c>
      <c r="M678" s="29">
        <v>132834</v>
      </c>
      <c r="N678" s="10">
        <f t="shared" si="36"/>
        <v>-3.676300357120077E-3</v>
      </c>
      <c r="O678" s="12">
        <f t="shared" si="37"/>
        <v>1.0324272590940264E-3</v>
      </c>
    </row>
    <row r="679" spans="5:15" ht="30" customHeight="1" x14ac:dyDescent="0.3">
      <c r="E679" s="27">
        <v>45295</v>
      </c>
      <c r="F679" s="28">
        <v>88.321838</v>
      </c>
      <c r="G679" s="29">
        <v>131226</v>
      </c>
      <c r="H679" s="10">
        <f t="shared" si="35"/>
        <v>-5.6848492974613807E-3</v>
      </c>
      <c r="I679" s="12">
        <f t="shared" si="35"/>
        <v>-1.2105334477618634E-2</v>
      </c>
      <c r="K679" s="27">
        <v>88.321838</v>
      </c>
      <c r="L679" s="28">
        <v>13376.35</v>
      </c>
      <c r="M679" s="29">
        <v>131226</v>
      </c>
      <c r="N679" s="10">
        <f t="shared" si="36"/>
        <v>-1.3256073856322326E-2</v>
      </c>
      <c r="O679" s="12">
        <f t="shared" si="37"/>
        <v>-1.2105334477618634E-2</v>
      </c>
    </row>
    <row r="680" spans="5:15" ht="30" customHeight="1" x14ac:dyDescent="0.3">
      <c r="E680" s="27">
        <v>45296</v>
      </c>
      <c r="F680" s="28">
        <v>88.387298999999999</v>
      </c>
      <c r="G680" s="29">
        <v>132023</v>
      </c>
      <c r="H680" s="10">
        <f t="shared" si="35"/>
        <v>7.4116437658378054E-4</v>
      </c>
      <c r="I680" s="12">
        <f t="shared" si="35"/>
        <v>6.0734915336899675E-3</v>
      </c>
      <c r="K680" s="27">
        <v>88.387298999999999</v>
      </c>
      <c r="L680" s="28">
        <v>13610.03</v>
      </c>
      <c r="M680" s="29">
        <v>132023</v>
      </c>
      <c r="N680" s="10">
        <f t="shared" si="36"/>
        <v>1.7469638578536006E-2</v>
      </c>
      <c r="O680" s="12">
        <f t="shared" si="37"/>
        <v>6.0734915336899675E-3</v>
      </c>
    </row>
    <row r="681" spans="5:15" ht="30" customHeight="1" x14ac:dyDescent="0.3">
      <c r="E681" s="27">
        <v>45299</v>
      </c>
      <c r="F681" s="28">
        <v>87.714020000000005</v>
      </c>
      <c r="G681" s="29">
        <v>132427</v>
      </c>
      <c r="H681" s="10">
        <f t="shared" si="35"/>
        <v>-7.6173727177701878E-3</v>
      </c>
      <c r="I681" s="12">
        <f t="shared" si="35"/>
        <v>3.0600728660914456E-3</v>
      </c>
      <c r="K681" s="27">
        <v>87.714020000000005</v>
      </c>
      <c r="L681" s="28">
        <v>13686.21</v>
      </c>
      <c r="M681" s="29">
        <v>132427</v>
      </c>
      <c r="N681" s="10">
        <f t="shared" si="36"/>
        <v>5.5973425481059547E-3</v>
      </c>
      <c r="O681" s="12">
        <f t="shared" si="37"/>
        <v>3.0600728660914456E-3</v>
      </c>
    </row>
    <row r="682" spans="5:15" ht="30" customHeight="1" x14ac:dyDescent="0.3">
      <c r="E682" s="27">
        <v>45300</v>
      </c>
      <c r="F682" s="28">
        <v>87.022025999999997</v>
      </c>
      <c r="G682" s="29">
        <v>131447</v>
      </c>
      <c r="H682" s="10">
        <f t="shared" si="35"/>
        <v>-7.8892063093221054E-3</v>
      </c>
      <c r="I682" s="12">
        <f t="shared" si="35"/>
        <v>-7.4003035634726544E-3</v>
      </c>
      <c r="K682" s="27">
        <v>87.022025999999997</v>
      </c>
      <c r="L682" s="28">
        <v>13508.62</v>
      </c>
      <c r="M682" s="29">
        <v>131447</v>
      </c>
      <c r="N682" s="10">
        <f t="shared" si="36"/>
        <v>-1.2975834800138086E-2</v>
      </c>
      <c r="O682" s="12">
        <f t="shared" si="37"/>
        <v>-7.4003035634726544E-3</v>
      </c>
    </row>
    <row r="683" spans="5:15" ht="30" customHeight="1" x14ac:dyDescent="0.3">
      <c r="E683" s="27">
        <v>45301</v>
      </c>
      <c r="F683" s="28">
        <v>86.086905999999999</v>
      </c>
      <c r="G683" s="29">
        <v>130841</v>
      </c>
      <c r="H683" s="10">
        <f t="shared" si="35"/>
        <v>-1.0745785210746539E-2</v>
      </c>
      <c r="I683" s="12">
        <f t="shared" si="35"/>
        <v>-4.610223131756519E-3</v>
      </c>
      <c r="K683" s="27">
        <v>86.086905999999999</v>
      </c>
      <c r="L683" s="28">
        <v>13418.69</v>
      </c>
      <c r="M683" s="29">
        <v>130841</v>
      </c>
      <c r="N683" s="10">
        <f t="shared" si="36"/>
        <v>-6.6572307163870192E-3</v>
      </c>
      <c r="O683" s="12">
        <f t="shared" si="37"/>
        <v>-4.610223131756519E-3</v>
      </c>
    </row>
    <row r="684" spans="5:15" ht="30" customHeight="1" x14ac:dyDescent="0.3">
      <c r="E684" s="27">
        <v>45302</v>
      </c>
      <c r="F684" s="28">
        <v>86.956565999999995</v>
      </c>
      <c r="G684" s="29">
        <v>130649</v>
      </c>
      <c r="H684" s="10">
        <f t="shared" si="35"/>
        <v>1.0102117039727299E-2</v>
      </c>
      <c r="I684" s="12">
        <f t="shared" si="35"/>
        <v>-1.4674299340420305E-3</v>
      </c>
      <c r="K684" s="27">
        <v>86.956565999999995</v>
      </c>
      <c r="L684" s="28">
        <v>13421.9</v>
      </c>
      <c r="M684" s="29">
        <v>130649</v>
      </c>
      <c r="N684" s="10">
        <f t="shared" si="36"/>
        <v>2.3921858243980409E-4</v>
      </c>
      <c r="O684" s="12">
        <f t="shared" si="37"/>
        <v>-1.4674299340420305E-3</v>
      </c>
    </row>
    <row r="685" spans="5:15" ht="30" customHeight="1" x14ac:dyDescent="0.3">
      <c r="E685" s="27">
        <v>45303</v>
      </c>
      <c r="F685" s="28">
        <v>85.666106999999997</v>
      </c>
      <c r="G685" s="29">
        <v>130988</v>
      </c>
      <c r="H685" s="10">
        <f t="shared" si="35"/>
        <v>-1.4840270946302025E-2</v>
      </c>
      <c r="I685" s="12">
        <f t="shared" si="35"/>
        <v>2.5947385743481099E-3</v>
      </c>
      <c r="K685" s="27">
        <v>85.666106999999997</v>
      </c>
      <c r="L685" s="28">
        <v>13474.12</v>
      </c>
      <c r="M685" s="29">
        <v>130988</v>
      </c>
      <c r="N685" s="10">
        <f t="shared" si="36"/>
        <v>3.8906563154248452E-3</v>
      </c>
      <c r="O685" s="12">
        <f t="shared" si="37"/>
        <v>2.5947385743481099E-3</v>
      </c>
    </row>
    <row r="686" spans="5:15" ht="30" customHeight="1" x14ac:dyDescent="0.3">
      <c r="E686" s="27">
        <v>45306</v>
      </c>
      <c r="F686" s="28">
        <v>85.600646999999995</v>
      </c>
      <c r="G686" s="29">
        <v>131521</v>
      </c>
      <c r="H686" s="10">
        <f t="shared" si="35"/>
        <v>-7.6412950573323535E-4</v>
      </c>
      <c r="I686" s="12">
        <f t="shared" si="35"/>
        <v>4.0690750297738276E-3</v>
      </c>
      <c r="K686" s="27">
        <v>85.600646999999995</v>
      </c>
      <c r="L686" s="28">
        <v>13556.77</v>
      </c>
      <c r="M686" s="29">
        <v>131521</v>
      </c>
      <c r="N686" s="10">
        <f t="shared" si="36"/>
        <v>6.1339812915426339E-3</v>
      </c>
      <c r="O686" s="12">
        <f t="shared" si="37"/>
        <v>4.0690750297738276E-3</v>
      </c>
    </row>
    <row r="687" spans="5:15" ht="30" customHeight="1" x14ac:dyDescent="0.3">
      <c r="E687" s="27">
        <v>45307</v>
      </c>
      <c r="F687" s="28">
        <v>86.236525999999998</v>
      </c>
      <c r="G687" s="29">
        <v>129294</v>
      </c>
      <c r="H687" s="10">
        <f t="shared" si="35"/>
        <v>7.428436843473829E-3</v>
      </c>
      <c r="I687" s="12">
        <f t="shared" si="35"/>
        <v>-1.6932657142205376E-2</v>
      </c>
      <c r="K687" s="27">
        <v>86.236525999999998</v>
      </c>
      <c r="L687" s="28">
        <v>13405.32</v>
      </c>
      <c r="M687" s="29">
        <v>129294</v>
      </c>
      <c r="N687" s="10">
        <f t="shared" si="36"/>
        <v>-1.1171540123495527E-2</v>
      </c>
      <c r="O687" s="12">
        <f t="shared" si="37"/>
        <v>-1.6932657142205376E-2</v>
      </c>
    </row>
    <row r="688" spans="5:15" ht="30" customHeight="1" x14ac:dyDescent="0.3">
      <c r="E688" s="27">
        <v>45308</v>
      </c>
      <c r="F688" s="28">
        <v>87.283859000000007</v>
      </c>
      <c r="G688" s="29">
        <v>128524</v>
      </c>
      <c r="H688" s="10">
        <f t="shared" si="35"/>
        <v>1.2144888582362512E-2</v>
      </c>
      <c r="I688" s="12">
        <f t="shared" si="35"/>
        <v>-5.9554194316828735E-3</v>
      </c>
      <c r="K688" s="27">
        <v>87.283859000000007</v>
      </c>
      <c r="L688" s="28">
        <v>13349.7</v>
      </c>
      <c r="M688" s="29">
        <v>128524</v>
      </c>
      <c r="N688" s="10">
        <f t="shared" si="36"/>
        <v>-4.1490990144210649E-3</v>
      </c>
      <c r="O688" s="12">
        <f t="shared" si="37"/>
        <v>-5.9554194316828735E-3</v>
      </c>
    </row>
    <row r="689" spans="5:15" ht="30" customHeight="1" x14ac:dyDescent="0.3">
      <c r="E689" s="27">
        <v>45309</v>
      </c>
      <c r="F689" s="28">
        <v>86.965919</v>
      </c>
      <c r="G689" s="29">
        <v>127316</v>
      </c>
      <c r="H689" s="10">
        <f t="shared" si="35"/>
        <v>-3.6425978828457106E-3</v>
      </c>
      <c r="I689" s="12">
        <f t="shared" si="35"/>
        <v>-9.3990227506146606E-3</v>
      </c>
      <c r="K689" s="27">
        <v>86.965919</v>
      </c>
      <c r="L689" s="28">
        <v>13310.12</v>
      </c>
      <c r="M689" s="29">
        <v>127316</v>
      </c>
      <c r="N689" s="10">
        <f t="shared" si="36"/>
        <v>-2.9648606335722638E-3</v>
      </c>
      <c r="O689" s="12">
        <f t="shared" si="37"/>
        <v>-9.3990227506146606E-3</v>
      </c>
    </row>
    <row r="690" spans="5:15" ht="30" customHeight="1" x14ac:dyDescent="0.3">
      <c r="E690" s="27">
        <v>45310</v>
      </c>
      <c r="F690" s="28">
        <v>85.722213999999994</v>
      </c>
      <c r="G690" s="29">
        <v>127636</v>
      </c>
      <c r="H690" s="10">
        <f t="shared" si="35"/>
        <v>-1.4301062005680709E-2</v>
      </c>
      <c r="I690" s="12">
        <f t="shared" si="35"/>
        <v>2.5134311476955329E-3</v>
      </c>
      <c r="K690" s="27">
        <v>85.722213999999994</v>
      </c>
      <c r="L690" s="28">
        <v>13344.89</v>
      </c>
      <c r="M690" s="29">
        <v>127636</v>
      </c>
      <c r="N690" s="10">
        <f t="shared" si="36"/>
        <v>2.6122980108367333E-3</v>
      </c>
      <c r="O690" s="12">
        <f t="shared" si="37"/>
        <v>2.5134311476955329E-3</v>
      </c>
    </row>
    <row r="691" spans="5:15" ht="30" customHeight="1" x14ac:dyDescent="0.3">
      <c r="E691" s="27">
        <v>45313</v>
      </c>
      <c r="F691" s="28">
        <v>86.030799999999999</v>
      </c>
      <c r="G691" s="29">
        <v>126602</v>
      </c>
      <c r="H691" s="10">
        <f t="shared" si="35"/>
        <v>3.5998370270744484E-3</v>
      </c>
      <c r="I691" s="12">
        <f t="shared" si="35"/>
        <v>-8.1011626813751736E-3</v>
      </c>
      <c r="K691" s="27">
        <v>86.030799999999999</v>
      </c>
      <c r="L691" s="28">
        <v>13208.32</v>
      </c>
      <c r="M691" s="29">
        <v>126602</v>
      </c>
      <c r="N691" s="10">
        <f t="shared" si="36"/>
        <v>-1.0233879784696587E-2</v>
      </c>
      <c r="O691" s="12">
        <f t="shared" si="37"/>
        <v>-8.1011626813751736E-3</v>
      </c>
    </row>
    <row r="692" spans="5:15" ht="30" customHeight="1" x14ac:dyDescent="0.3">
      <c r="E692" s="27">
        <v>45314</v>
      </c>
      <c r="F692" s="28">
        <v>86.133667000000003</v>
      </c>
      <c r="G692" s="29">
        <v>128263</v>
      </c>
      <c r="H692" s="10">
        <f t="shared" si="35"/>
        <v>1.1956996796496089E-3</v>
      </c>
      <c r="I692" s="12">
        <f t="shared" si="35"/>
        <v>1.3119855926446711E-2</v>
      </c>
      <c r="K692" s="27">
        <v>86.133667000000003</v>
      </c>
      <c r="L692" s="28">
        <v>13333.44</v>
      </c>
      <c r="M692" s="29">
        <v>128263</v>
      </c>
      <c r="N692" s="10">
        <f t="shared" si="36"/>
        <v>9.4728171334432787E-3</v>
      </c>
      <c r="O692" s="12">
        <f t="shared" si="37"/>
        <v>1.3119855926446711E-2</v>
      </c>
    </row>
    <row r="693" spans="5:15" ht="30" customHeight="1" x14ac:dyDescent="0.3">
      <c r="E693" s="27">
        <v>45315</v>
      </c>
      <c r="F693" s="28">
        <v>86.133667000000003</v>
      </c>
      <c r="G693" s="29">
        <v>127816</v>
      </c>
      <c r="H693" s="10">
        <f t="shared" si="35"/>
        <v>0</v>
      </c>
      <c r="I693" s="12">
        <f t="shared" si="35"/>
        <v>-3.4850268588758615E-3</v>
      </c>
      <c r="K693" s="27">
        <v>86.133667000000003</v>
      </c>
      <c r="L693" s="28">
        <v>13300.37</v>
      </c>
      <c r="M693" s="29">
        <v>127816</v>
      </c>
      <c r="N693" s="10">
        <f t="shared" si="36"/>
        <v>-2.4802301581586805E-3</v>
      </c>
      <c r="O693" s="12">
        <f t="shared" si="37"/>
        <v>-3.4850268588758615E-3</v>
      </c>
    </row>
    <row r="694" spans="5:15" ht="30" customHeight="1" x14ac:dyDescent="0.3">
      <c r="E694" s="27">
        <v>45316</v>
      </c>
      <c r="F694" s="28">
        <v>85.179839999999999</v>
      </c>
      <c r="G694" s="29">
        <v>128169</v>
      </c>
      <c r="H694" s="10">
        <f t="shared" si="35"/>
        <v>-1.1073799981138666E-2</v>
      </c>
      <c r="I694" s="12">
        <f t="shared" si="35"/>
        <v>2.7617825624335346E-3</v>
      </c>
      <c r="K694" s="27">
        <v>85.179839999999999</v>
      </c>
      <c r="L694" s="28">
        <v>13229.03</v>
      </c>
      <c r="M694" s="29">
        <v>128169</v>
      </c>
      <c r="N694" s="10">
        <f t="shared" si="36"/>
        <v>-5.3637605570371338E-3</v>
      </c>
      <c r="O694" s="12">
        <f t="shared" si="37"/>
        <v>2.7617825624335346E-3</v>
      </c>
    </row>
    <row r="695" spans="5:15" ht="30" customHeight="1" x14ac:dyDescent="0.3">
      <c r="E695" s="27">
        <v>45317</v>
      </c>
      <c r="F695" s="28">
        <v>85.394919999999999</v>
      </c>
      <c r="G695" s="29">
        <v>128967</v>
      </c>
      <c r="H695" s="10">
        <f t="shared" si="35"/>
        <v>2.5250106128398286E-3</v>
      </c>
      <c r="I695" s="12">
        <f t="shared" si="35"/>
        <v>6.2261545303465837E-3</v>
      </c>
      <c r="K695" s="27">
        <v>85.394919999999999</v>
      </c>
      <c r="L695" s="28">
        <v>13267.74</v>
      </c>
      <c r="M695" s="29">
        <v>128967</v>
      </c>
      <c r="N695" s="10">
        <f t="shared" si="36"/>
        <v>2.9261404653251333E-3</v>
      </c>
      <c r="O695" s="12">
        <f t="shared" si="37"/>
        <v>6.2261545303465837E-3</v>
      </c>
    </row>
    <row r="696" spans="5:15" ht="30" customHeight="1" x14ac:dyDescent="0.3">
      <c r="E696" s="27">
        <v>45320</v>
      </c>
      <c r="F696" s="28">
        <v>84.908669000000003</v>
      </c>
      <c r="G696" s="29">
        <v>128503</v>
      </c>
      <c r="H696" s="10">
        <f t="shared" si="35"/>
        <v>-5.6941443355178478E-3</v>
      </c>
      <c r="I696" s="12">
        <f t="shared" si="35"/>
        <v>-3.5978195972613536E-3</v>
      </c>
      <c r="K696" s="27">
        <v>84.908669000000003</v>
      </c>
      <c r="L696" s="28">
        <v>13199.25</v>
      </c>
      <c r="M696" s="29">
        <v>128503</v>
      </c>
      <c r="N696" s="10">
        <f t="shared" si="36"/>
        <v>-5.1621451731794776E-3</v>
      </c>
      <c r="O696" s="12">
        <f t="shared" si="37"/>
        <v>-3.5978195972613536E-3</v>
      </c>
    </row>
    <row r="697" spans="5:15" ht="30" customHeight="1" x14ac:dyDescent="0.3">
      <c r="E697" s="27">
        <v>45321</v>
      </c>
      <c r="F697" s="28">
        <v>84.338241999999994</v>
      </c>
      <c r="G697" s="29">
        <v>127402</v>
      </c>
      <c r="H697" s="10">
        <f t="shared" si="35"/>
        <v>-6.7181243884533171E-3</v>
      </c>
      <c r="I697" s="12">
        <f t="shared" si="35"/>
        <v>-8.5678933565753734E-3</v>
      </c>
      <c r="K697" s="27">
        <v>84.338241999999994</v>
      </c>
      <c r="L697" s="28">
        <v>13074.79</v>
      </c>
      <c r="M697" s="29">
        <v>127402</v>
      </c>
      <c r="N697" s="10">
        <f t="shared" si="36"/>
        <v>-9.4293236358126142E-3</v>
      </c>
      <c r="O697" s="12">
        <f t="shared" si="37"/>
        <v>-8.5678933565753734E-3</v>
      </c>
    </row>
    <row r="698" spans="5:15" ht="30" customHeight="1" x14ac:dyDescent="0.3">
      <c r="E698" s="27">
        <v>45322</v>
      </c>
      <c r="F698" s="28">
        <v>84.525261</v>
      </c>
      <c r="G698" s="29">
        <v>127752</v>
      </c>
      <c r="H698" s="10">
        <f t="shared" si="35"/>
        <v>2.2174875307456876E-3</v>
      </c>
      <c r="I698" s="12">
        <f t="shared" si="35"/>
        <v>2.7472096199432361E-3</v>
      </c>
      <c r="K698" s="27">
        <v>84.525261</v>
      </c>
      <c r="L698" s="28">
        <v>13167.85</v>
      </c>
      <c r="M698" s="29">
        <v>127752</v>
      </c>
      <c r="N698" s="10">
        <f t="shared" si="36"/>
        <v>7.1175139333021775E-3</v>
      </c>
      <c r="O698" s="12">
        <f t="shared" si="37"/>
        <v>2.7472096199432361E-3</v>
      </c>
    </row>
    <row r="699" spans="5:15" ht="30" customHeight="1" x14ac:dyDescent="0.3">
      <c r="E699" s="27">
        <v>45323</v>
      </c>
      <c r="F699" s="28">
        <v>84.525261</v>
      </c>
      <c r="G699" s="29">
        <v>128481</v>
      </c>
      <c r="H699" s="10">
        <f t="shared" si="35"/>
        <v>0</v>
      </c>
      <c r="I699" s="12">
        <f t="shared" si="35"/>
        <v>5.7063685891414195E-3</v>
      </c>
      <c r="K699" s="27">
        <v>84.525261</v>
      </c>
      <c r="L699" s="28">
        <v>13288.16</v>
      </c>
      <c r="M699" s="29">
        <v>128481</v>
      </c>
      <c r="N699" s="10">
        <f t="shared" si="36"/>
        <v>9.1366472127187848E-3</v>
      </c>
      <c r="O699" s="12">
        <f t="shared" si="37"/>
        <v>5.7063685891414195E-3</v>
      </c>
    </row>
    <row r="700" spans="5:15" ht="30" customHeight="1" x14ac:dyDescent="0.3">
      <c r="E700" s="27">
        <v>45324</v>
      </c>
      <c r="F700" s="28">
        <v>84.861908</v>
      </c>
      <c r="G700" s="29">
        <v>127182</v>
      </c>
      <c r="H700" s="10">
        <f t="shared" si="35"/>
        <v>3.9827975213231337E-3</v>
      </c>
      <c r="I700" s="12">
        <f t="shared" si="35"/>
        <v>-1.0110444345856617E-2</v>
      </c>
      <c r="K700" s="27">
        <v>84.861908</v>
      </c>
      <c r="L700" s="28">
        <v>13263.29</v>
      </c>
      <c r="M700" s="29">
        <v>127182</v>
      </c>
      <c r="N700" s="10">
        <f t="shared" si="36"/>
        <v>-1.8715909501390016E-3</v>
      </c>
      <c r="O700" s="12">
        <f t="shared" si="37"/>
        <v>-1.0110444345856617E-2</v>
      </c>
    </row>
    <row r="701" spans="5:15" ht="30" customHeight="1" x14ac:dyDescent="0.3">
      <c r="E701" s="27">
        <v>45327</v>
      </c>
      <c r="F701" s="28">
        <v>84.160567999999998</v>
      </c>
      <c r="G701" s="29">
        <v>127593</v>
      </c>
      <c r="H701" s="10">
        <f t="shared" si="35"/>
        <v>-8.2644854037455806E-3</v>
      </c>
      <c r="I701" s="12">
        <f t="shared" si="35"/>
        <v>3.231589375854993E-3</v>
      </c>
      <c r="K701" s="27">
        <v>84.160567999999998</v>
      </c>
      <c r="L701" s="28">
        <v>13401.43</v>
      </c>
      <c r="M701" s="29">
        <v>127593</v>
      </c>
      <c r="N701" s="10">
        <f t="shared" si="36"/>
        <v>1.0415213721482353E-2</v>
      </c>
      <c r="O701" s="12">
        <f t="shared" si="37"/>
        <v>3.231589375854993E-3</v>
      </c>
    </row>
    <row r="702" spans="5:15" ht="30" customHeight="1" x14ac:dyDescent="0.3">
      <c r="E702" s="27">
        <v>45328</v>
      </c>
      <c r="F702" s="28">
        <v>84.160567999999998</v>
      </c>
      <c r="G702" s="29">
        <v>130416</v>
      </c>
      <c r="H702" s="10">
        <f t="shared" si="35"/>
        <v>0</v>
      </c>
      <c r="I702" s="12">
        <f t="shared" si="35"/>
        <v>2.2125038207425174E-2</v>
      </c>
      <c r="K702" s="27">
        <v>84.160567999999998</v>
      </c>
      <c r="L702" s="28">
        <v>13816.15</v>
      </c>
      <c r="M702" s="29">
        <v>130416</v>
      </c>
      <c r="N702" s="10">
        <f t="shared" si="36"/>
        <v>3.0945951290272777E-2</v>
      </c>
      <c r="O702" s="12">
        <f t="shared" si="37"/>
        <v>2.2125038207425174E-2</v>
      </c>
    </row>
    <row r="703" spans="5:15" ht="30" customHeight="1" x14ac:dyDescent="0.3">
      <c r="E703" s="27">
        <v>45329</v>
      </c>
      <c r="F703" s="28">
        <v>84.160567999999998</v>
      </c>
      <c r="G703" s="29">
        <v>129608</v>
      </c>
      <c r="H703" s="10">
        <f t="shared" si="35"/>
        <v>0</v>
      </c>
      <c r="I703" s="12">
        <f t="shared" si="35"/>
        <v>-6.1955588271377371E-3</v>
      </c>
      <c r="K703" s="27">
        <v>84.160567999999998</v>
      </c>
      <c r="L703" s="28">
        <v>13439.43</v>
      </c>
      <c r="M703" s="29">
        <v>129608</v>
      </c>
      <c r="N703" s="10">
        <f t="shared" si="36"/>
        <v>-2.7266640851467239E-2</v>
      </c>
      <c r="O703" s="12">
        <f t="shared" si="37"/>
        <v>-6.1955588271377371E-3</v>
      </c>
    </row>
    <row r="704" spans="5:15" ht="30" customHeight="1" x14ac:dyDescent="0.3">
      <c r="E704" s="27">
        <v>45330</v>
      </c>
      <c r="F704" s="28">
        <v>83.599502999999999</v>
      </c>
      <c r="G704" s="29">
        <v>128217</v>
      </c>
      <c r="H704" s="10">
        <f t="shared" si="35"/>
        <v>-6.6666018698923191E-3</v>
      </c>
      <c r="I704" s="12">
        <f t="shared" si="35"/>
        <v>-1.0732362199864176E-2</v>
      </c>
      <c r="K704" s="27">
        <v>83.599502999999999</v>
      </c>
      <c r="L704" s="28">
        <v>13140.03</v>
      </c>
      <c r="M704" s="29">
        <v>128217</v>
      </c>
      <c r="N704" s="10">
        <f t="shared" si="36"/>
        <v>-2.2277730528750039E-2</v>
      </c>
      <c r="O704" s="12">
        <f t="shared" si="37"/>
        <v>-1.0732362199864176E-2</v>
      </c>
    </row>
    <row r="705" spans="5:15" ht="30" customHeight="1" x14ac:dyDescent="0.3">
      <c r="E705" s="27">
        <v>45331</v>
      </c>
      <c r="F705" s="28">
        <v>83.693008000000006</v>
      </c>
      <c r="G705" s="29">
        <v>128026</v>
      </c>
      <c r="H705" s="10">
        <f t="shared" si="35"/>
        <v>1.1184875106255987E-3</v>
      </c>
      <c r="I705" s="12">
        <f t="shared" si="35"/>
        <v>-1.489662057293506E-3</v>
      </c>
      <c r="K705" s="27">
        <v>83.693008000000006</v>
      </c>
      <c r="L705" s="28">
        <v>13142.38</v>
      </c>
      <c r="M705" s="29">
        <v>128026</v>
      </c>
      <c r="N705" s="10">
        <f t="shared" si="36"/>
        <v>1.7884281847146966E-4</v>
      </c>
      <c r="O705" s="12">
        <f t="shared" si="37"/>
        <v>-1.489662057293506E-3</v>
      </c>
    </row>
    <row r="706" spans="5:15" ht="30" customHeight="1" x14ac:dyDescent="0.3">
      <c r="E706" s="27">
        <v>45336</v>
      </c>
      <c r="F706" s="28">
        <v>83.131943000000007</v>
      </c>
      <c r="G706" s="29">
        <v>127018</v>
      </c>
      <c r="H706" s="10">
        <f t="shared" si="35"/>
        <v>-6.7038455589981671E-3</v>
      </c>
      <c r="I706" s="12">
        <f t="shared" si="35"/>
        <v>-7.8734007154797059E-3</v>
      </c>
      <c r="K706" s="27">
        <v>83.131943000000007</v>
      </c>
      <c r="L706" s="28">
        <v>13064.85</v>
      </c>
      <c r="M706" s="29">
        <v>127018</v>
      </c>
      <c r="N706" s="10">
        <f t="shared" si="36"/>
        <v>-5.8992359070426659E-3</v>
      </c>
      <c r="O706" s="12">
        <f t="shared" si="37"/>
        <v>-7.8734007154797059E-3</v>
      </c>
    </row>
    <row r="707" spans="5:15" ht="30" customHeight="1" x14ac:dyDescent="0.3">
      <c r="E707" s="27">
        <v>45337</v>
      </c>
      <c r="F707" s="28">
        <v>81.934989999999999</v>
      </c>
      <c r="G707" s="29">
        <v>127804</v>
      </c>
      <c r="H707" s="10">
        <f t="shared" si="35"/>
        <v>-1.4398231976846865E-2</v>
      </c>
      <c r="I707" s="12">
        <f t="shared" si="35"/>
        <v>6.1880993245051474E-3</v>
      </c>
      <c r="K707" s="27">
        <v>81.934989999999999</v>
      </c>
      <c r="L707" s="28">
        <v>13063.2</v>
      </c>
      <c r="M707" s="29">
        <v>127804</v>
      </c>
      <c r="N707" s="10">
        <f t="shared" si="36"/>
        <v>-1.2629306880673763E-4</v>
      </c>
      <c r="O707" s="12">
        <f t="shared" si="37"/>
        <v>6.1880993245051474E-3</v>
      </c>
    </row>
    <row r="708" spans="5:15" ht="30" customHeight="1" x14ac:dyDescent="0.3">
      <c r="E708" s="27">
        <v>45338</v>
      </c>
      <c r="F708" s="28">
        <v>82.570869000000002</v>
      </c>
      <c r="G708" s="29">
        <v>128726</v>
      </c>
      <c r="H708" s="10">
        <f t="shared" si="35"/>
        <v>7.7607747312840036E-3</v>
      </c>
      <c r="I708" s="12">
        <f t="shared" si="35"/>
        <v>7.214171700416161E-3</v>
      </c>
      <c r="K708" s="27">
        <v>82.570869000000002</v>
      </c>
      <c r="L708" s="28">
        <v>13050.92</v>
      </c>
      <c r="M708" s="29">
        <v>128726</v>
      </c>
      <c r="N708" s="10">
        <f t="shared" si="36"/>
        <v>-9.4004531814573244E-4</v>
      </c>
      <c r="O708" s="12">
        <f t="shared" si="37"/>
        <v>7.214171700416161E-3</v>
      </c>
    </row>
    <row r="709" spans="5:15" ht="30" customHeight="1" x14ac:dyDescent="0.3">
      <c r="E709" s="27">
        <v>45341</v>
      </c>
      <c r="F709" s="28">
        <v>83.636902000000006</v>
      </c>
      <c r="G709" s="29">
        <v>129036</v>
      </c>
      <c r="H709" s="10">
        <f t="shared" si="35"/>
        <v>1.2910521748293657E-2</v>
      </c>
      <c r="I709" s="12">
        <f t="shared" si="35"/>
        <v>2.4082159004397141E-3</v>
      </c>
      <c r="K709" s="27">
        <v>83.636902000000006</v>
      </c>
      <c r="L709" s="28">
        <v>13169.57</v>
      </c>
      <c r="M709" s="29">
        <v>129036</v>
      </c>
      <c r="N709" s="10">
        <f t="shared" si="36"/>
        <v>9.0913131028309557E-3</v>
      </c>
      <c r="O709" s="12">
        <f t="shared" si="37"/>
        <v>2.4082159004397141E-3</v>
      </c>
    </row>
    <row r="710" spans="5:15" ht="30" customHeight="1" x14ac:dyDescent="0.3">
      <c r="E710" s="27">
        <v>45342</v>
      </c>
      <c r="F710" s="28">
        <v>83.674308999999994</v>
      </c>
      <c r="G710" s="29">
        <v>129916</v>
      </c>
      <c r="H710" s="10">
        <f t="shared" si="35"/>
        <v>4.4725472973627944E-4</v>
      </c>
      <c r="I710" s="12">
        <f t="shared" si="35"/>
        <v>6.8198022257355273E-3</v>
      </c>
      <c r="K710" s="27">
        <v>83.674308999999994</v>
      </c>
      <c r="L710" s="28">
        <v>13378.97</v>
      </c>
      <c r="M710" s="29">
        <v>129916</v>
      </c>
      <c r="N710" s="10">
        <f t="shared" si="36"/>
        <v>1.5900291353476259E-2</v>
      </c>
      <c r="O710" s="12">
        <f t="shared" si="37"/>
        <v>6.8198022257355273E-3</v>
      </c>
    </row>
    <row r="711" spans="5:15" ht="30" customHeight="1" x14ac:dyDescent="0.3">
      <c r="E711" s="27">
        <v>45343</v>
      </c>
      <c r="F711" s="28">
        <v>83.777168000000003</v>
      </c>
      <c r="G711" s="29">
        <v>130032</v>
      </c>
      <c r="H711" s="10">
        <f t="shared" si="35"/>
        <v>1.2292781527483143E-3</v>
      </c>
      <c r="I711" s="12">
        <f t="shared" si="35"/>
        <v>8.9288463314751709E-4</v>
      </c>
      <c r="K711" s="27">
        <v>83.777168000000003</v>
      </c>
      <c r="L711" s="28">
        <v>13347.2</v>
      </c>
      <c r="M711" s="29">
        <v>130032</v>
      </c>
      <c r="N711" s="10">
        <f t="shared" si="36"/>
        <v>-2.3746222616538581E-3</v>
      </c>
      <c r="O711" s="12">
        <f t="shared" si="37"/>
        <v>8.9288463314751709E-4</v>
      </c>
    </row>
    <row r="712" spans="5:15" ht="30" customHeight="1" x14ac:dyDescent="0.3">
      <c r="E712" s="27">
        <v>45344</v>
      </c>
      <c r="F712" s="28">
        <v>85.553894</v>
      </c>
      <c r="G712" s="29">
        <v>130241</v>
      </c>
      <c r="H712" s="10">
        <f t="shared" si="35"/>
        <v>2.1207759135519977E-2</v>
      </c>
      <c r="I712" s="12">
        <f t="shared" si="35"/>
        <v>1.6072966654361309E-3</v>
      </c>
      <c r="K712" s="27">
        <v>85.553894</v>
      </c>
      <c r="L712" s="28">
        <v>13302.12</v>
      </c>
      <c r="M712" s="29">
        <v>130241</v>
      </c>
      <c r="N712" s="10">
        <f t="shared" si="36"/>
        <v>-3.3774874130904076E-3</v>
      </c>
      <c r="O712" s="12">
        <f t="shared" si="37"/>
        <v>1.6072966654361309E-3</v>
      </c>
    </row>
    <row r="713" spans="5:15" ht="30" customHeight="1" x14ac:dyDescent="0.3">
      <c r="E713" s="27">
        <v>45345</v>
      </c>
      <c r="F713" s="28">
        <v>84.600075000000004</v>
      </c>
      <c r="G713" s="29">
        <v>129419</v>
      </c>
      <c r="H713" s="10">
        <f t="shared" si="35"/>
        <v>-1.1148750283651587E-2</v>
      </c>
      <c r="I713" s="12">
        <f t="shared" si="35"/>
        <v>-6.3113766018381146E-3</v>
      </c>
      <c r="K713" s="27">
        <v>84.600075000000004</v>
      </c>
      <c r="L713" s="28">
        <v>13175.44</v>
      </c>
      <c r="M713" s="29">
        <v>129419</v>
      </c>
      <c r="N713" s="10">
        <f t="shared" si="36"/>
        <v>-9.5232940313273451E-3</v>
      </c>
      <c r="O713" s="12">
        <f t="shared" si="37"/>
        <v>-6.3113766018381146E-3</v>
      </c>
    </row>
    <row r="714" spans="5:15" ht="30" customHeight="1" x14ac:dyDescent="0.3">
      <c r="E714" s="27">
        <v>45348</v>
      </c>
      <c r="F714" s="28">
        <v>84.441108999999997</v>
      </c>
      <c r="G714" s="29">
        <v>129609</v>
      </c>
      <c r="H714" s="10">
        <f t="shared" si="35"/>
        <v>-1.8790290670547272E-3</v>
      </c>
      <c r="I714" s="12">
        <f t="shared" si="35"/>
        <v>1.468099738060058E-3</v>
      </c>
      <c r="K714" s="27">
        <v>84.441108999999997</v>
      </c>
      <c r="L714" s="28">
        <v>13207.11</v>
      </c>
      <c r="M714" s="29">
        <v>129609</v>
      </c>
      <c r="N714" s="10">
        <f t="shared" si="36"/>
        <v>2.4037147905497935E-3</v>
      </c>
      <c r="O714" s="12">
        <f t="shared" si="37"/>
        <v>1.468099738060058E-3</v>
      </c>
    </row>
    <row r="715" spans="5:15" ht="30" customHeight="1" x14ac:dyDescent="0.3">
      <c r="E715" s="27">
        <v>45349</v>
      </c>
      <c r="F715" s="28">
        <v>84.609427999999994</v>
      </c>
      <c r="G715" s="29">
        <v>131689</v>
      </c>
      <c r="H715" s="10">
        <f t="shared" si="35"/>
        <v>1.993330049703701E-3</v>
      </c>
      <c r="I715" s="12">
        <f t="shared" si="35"/>
        <v>1.6048268252976339E-2</v>
      </c>
      <c r="K715" s="27">
        <v>84.609427999999994</v>
      </c>
      <c r="L715" s="28">
        <v>13357.49</v>
      </c>
      <c r="M715" s="29">
        <v>131689</v>
      </c>
      <c r="N715" s="10">
        <f t="shared" si="36"/>
        <v>1.1386291171952001E-2</v>
      </c>
      <c r="O715" s="12">
        <f t="shared" si="37"/>
        <v>1.6048268252976339E-2</v>
      </c>
    </row>
    <row r="716" spans="5:15" ht="30" customHeight="1" x14ac:dyDescent="0.3">
      <c r="E716" s="27">
        <v>45350</v>
      </c>
      <c r="F716" s="28">
        <v>85.235954000000007</v>
      </c>
      <c r="G716" s="29">
        <v>130155</v>
      </c>
      <c r="H716" s="10">
        <f t="shared" si="35"/>
        <v>7.4049194612213487E-3</v>
      </c>
      <c r="I716" s="12">
        <f t="shared" si="35"/>
        <v>-1.1648657063232259E-2</v>
      </c>
      <c r="K716" s="27">
        <v>85.235954000000007</v>
      </c>
      <c r="L716" s="28">
        <v>13337.6</v>
      </c>
      <c r="M716" s="29">
        <v>130155</v>
      </c>
      <c r="N716" s="10">
        <f t="shared" si="36"/>
        <v>-1.4890522096591141E-3</v>
      </c>
      <c r="O716" s="12">
        <f t="shared" si="37"/>
        <v>-1.1648657063232259E-2</v>
      </c>
    </row>
    <row r="717" spans="5:15" ht="30" customHeight="1" x14ac:dyDescent="0.3">
      <c r="E717" s="27">
        <v>45351</v>
      </c>
      <c r="F717" s="28">
        <v>85.310767999999996</v>
      </c>
      <c r="G717" s="29">
        <v>129020</v>
      </c>
      <c r="H717" s="10">
        <f t="shared" si="35"/>
        <v>8.777281943719295E-4</v>
      </c>
      <c r="I717" s="12">
        <f t="shared" si="35"/>
        <v>-8.7203718643156236E-3</v>
      </c>
      <c r="K717" s="27">
        <v>85.310767999999996</v>
      </c>
      <c r="L717" s="28">
        <v>13218.47</v>
      </c>
      <c r="M717" s="29">
        <v>129020</v>
      </c>
      <c r="N717" s="10">
        <f t="shared" si="36"/>
        <v>-8.9318917946258347E-3</v>
      </c>
      <c r="O717" s="12">
        <f t="shared" si="37"/>
        <v>-8.7203718643156236E-3</v>
      </c>
    </row>
    <row r="718" spans="5:15" ht="30" customHeight="1" x14ac:dyDescent="0.3">
      <c r="E718" s="27">
        <v>45352</v>
      </c>
      <c r="F718" s="28">
        <v>84.160567999999998</v>
      </c>
      <c r="G718" s="29">
        <v>129180</v>
      </c>
      <c r="H718" s="10">
        <f t="shared" si="35"/>
        <v>-1.3482471521062855E-2</v>
      </c>
      <c r="I718" s="12">
        <f t="shared" si="35"/>
        <v>1.240117811192043E-3</v>
      </c>
      <c r="K718" s="27">
        <v>84.160567999999998</v>
      </c>
      <c r="L718" s="28">
        <v>13151.14</v>
      </c>
      <c r="M718" s="29">
        <v>129180</v>
      </c>
      <c r="N718" s="10">
        <f t="shared" si="36"/>
        <v>-5.093630352075551E-3</v>
      </c>
      <c r="O718" s="12">
        <f t="shared" si="37"/>
        <v>1.240117811192043E-3</v>
      </c>
    </row>
    <row r="719" spans="5:15" ht="30" customHeight="1" x14ac:dyDescent="0.3">
      <c r="E719" s="27">
        <v>45355</v>
      </c>
      <c r="F719" s="28">
        <v>83.225448999999998</v>
      </c>
      <c r="G719" s="29">
        <v>128341</v>
      </c>
      <c r="H719" s="10">
        <f t="shared" si="35"/>
        <v>-1.111112985834406E-2</v>
      </c>
      <c r="I719" s="12">
        <f t="shared" si="35"/>
        <v>-6.4948134386128009E-3</v>
      </c>
      <c r="K719" s="27">
        <v>83.225448999999998</v>
      </c>
      <c r="L719" s="28">
        <v>13082.82</v>
      </c>
      <c r="M719" s="29">
        <v>128341</v>
      </c>
      <c r="N719" s="10">
        <f t="shared" si="36"/>
        <v>-5.1949868984741965E-3</v>
      </c>
      <c r="O719" s="12">
        <f t="shared" si="37"/>
        <v>-6.4948134386128009E-3</v>
      </c>
    </row>
    <row r="720" spans="5:15" ht="30" customHeight="1" x14ac:dyDescent="0.3">
      <c r="E720" s="27">
        <v>45356</v>
      </c>
      <c r="F720" s="28">
        <v>83.870682000000002</v>
      </c>
      <c r="G720" s="29">
        <v>128098</v>
      </c>
      <c r="H720" s="10">
        <f t="shared" si="35"/>
        <v>7.752832910520091E-3</v>
      </c>
      <c r="I720" s="12">
        <f t="shared" si="35"/>
        <v>-1.8933933816940307E-3</v>
      </c>
      <c r="K720" s="27">
        <v>83.870682000000002</v>
      </c>
      <c r="L720" s="28">
        <v>13078.89</v>
      </c>
      <c r="M720" s="29">
        <v>128098</v>
      </c>
      <c r="N720" s="10">
        <f t="shared" si="36"/>
        <v>-3.0039395176273409E-4</v>
      </c>
      <c r="O720" s="12">
        <f t="shared" si="37"/>
        <v>-1.8933933816940307E-3</v>
      </c>
    </row>
    <row r="721" spans="5:15" ht="30" customHeight="1" x14ac:dyDescent="0.3">
      <c r="E721" s="27">
        <v>45357</v>
      </c>
      <c r="F721" s="28">
        <v>84.057700999999994</v>
      </c>
      <c r="G721" s="29">
        <v>128890</v>
      </c>
      <c r="H721" s="10">
        <f t="shared" si="35"/>
        <v>2.2298495200026025E-3</v>
      </c>
      <c r="I721" s="12">
        <f t="shared" si="35"/>
        <v>6.1827663195366256E-3</v>
      </c>
      <c r="K721" s="27">
        <v>84.057700999999994</v>
      </c>
      <c r="L721" s="28">
        <v>13180.11</v>
      </c>
      <c r="M721" s="29">
        <v>128890</v>
      </c>
      <c r="N721" s="10">
        <f t="shared" si="36"/>
        <v>7.7391888761202399E-3</v>
      </c>
      <c r="O721" s="12">
        <f t="shared" si="37"/>
        <v>6.1827663195366256E-3</v>
      </c>
    </row>
    <row r="722" spans="5:15" ht="30" customHeight="1" x14ac:dyDescent="0.3">
      <c r="E722" s="27">
        <v>45358</v>
      </c>
      <c r="F722" s="28">
        <v>84.646827999999999</v>
      </c>
      <c r="G722" s="29">
        <v>128340</v>
      </c>
      <c r="H722" s="10">
        <f t="shared" si="35"/>
        <v>7.0086023409086096E-3</v>
      </c>
      <c r="I722" s="12">
        <f t="shared" si="35"/>
        <v>-4.2672045930638447E-3</v>
      </c>
      <c r="K722" s="27">
        <v>84.646827999999999</v>
      </c>
      <c r="L722" s="28">
        <v>13148.77</v>
      </c>
      <c r="M722" s="29">
        <v>128340</v>
      </c>
      <c r="N722" s="10">
        <f t="shared" si="36"/>
        <v>-2.3778253747502864E-3</v>
      </c>
      <c r="O722" s="12">
        <f t="shared" si="37"/>
        <v>-4.2672045930638447E-3</v>
      </c>
    </row>
    <row r="723" spans="5:15" ht="30" customHeight="1" x14ac:dyDescent="0.3">
      <c r="E723" s="27">
        <v>45359</v>
      </c>
      <c r="F723" s="28">
        <v>85.282707000000002</v>
      </c>
      <c r="G723" s="29">
        <v>127071</v>
      </c>
      <c r="H723" s="10">
        <f t="shared" si="35"/>
        <v>7.5121420970434283E-3</v>
      </c>
      <c r="I723" s="12">
        <f t="shared" si="35"/>
        <v>-9.887798036465667E-3</v>
      </c>
      <c r="K723" s="27">
        <v>85.282707000000002</v>
      </c>
      <c r="L723" s="28">
        <v>13187.3</v>
      </c>
      <c r="M723" s="29">
        <v>127071</v>
      </c>
      <c r="N723" s="10">
        <f t="shared" si="36"/>
        <v>2.9303121128438914E-3</v>
      </c>
      <c r="O723" s="12">
        <f t="shared" si="37"/>
        <v>-9.887798036465667E-3</v>
      </c>
    </row>
    <row r="724" spans="5:15" ht="30" customHeight="1" x14ac:dyDescent="0.3">
      <c r="E724" s="27">
        <v>45362</v>
      </c>
      <c r="F724" s="28">
        <v>82.365143000000003</v>
      </c>
      <c r="G724" s="29">
        <v>126124</v>
      </c>
      <c r="H724" s="10">
        <f t="shared" si="35"/>
        <v>-3.4210499439235709E-2</v>
      </c>
      <c r="I724" s="12">
        <f t="shared" si="35"/>
        <v>-7.4525265402806129E-3</v>
      </c>
      <c r="K724" s="27">
        <v>82.365143000000003</v>
      </c>
      <c r="L724" s="28">
        <v>13197.63</v>
      </c>
      <c r="M724" s="29">
        <v>126124</v>
      </c>
      <c r="N724" s="10">
        <f t="shared" si="36"/>
        <v>7.8332941542247347E-4</v>
      </c>
      <c r="O724" s="12">
        <f t="shared" si="37"/>
        <v>-7.4525265402806129E-3</v>
      </c>
    </row>
    <row r="725" spans="5:15" ht="30" customHeight="1" x14ac:dyDescent="0.3">
      <c r="E725" s="27">
        <v>45363</v>
      </c>
      <c r="F725" s="28">
        <v>82.757889000000006</v>
      </c>
      <c r="G725" s="29">
        <v>127668</v>
      </c>
      <c r="H725" s="10">
        <f t="shared" si="35"/>
        <v>4.7683520685444236E-3</v>
      </c>
      <c r="I725" s="12">
        <f t="shared" si="35"/>
        <v>1.2241920649519455E-2</v>
      </c>
      <c r="K725" s="27">
        <v>82.757889000000006</v>
      </c>
      <c r="L725" s="28">
        <v>13351.31</v>
      </c>
      <c r="M725" s="29">
        <v>127668</v>
      </c>
      <c r="N725" s="10">
        <f t="shared" si="36"/>
        <v>1.1644514962156016E-2</v>
      </c>
      <c r="O725" s="12">
        <f t="shared" si="37"/>
        <v>1.2241920649519455E-2</v>
      </c>
    </row>
    <row r="726" spans="5:15" ht="30" customHeight="1" x14ac:dyDescent="0.3">
      <c r="E726" s="27">
        <v>45364</v>
      </c>
      <c r="F726" s="28">
        <v>83.066483000000005</v>
      </c>
      <c r="G726" s="29">
        <v>128006</v>
      </c>
      <c r="H726" s="10">
        <f t="shared" si="35"/>
        <v>3.7288771346015714E-3</v>
      </c>
      <c r="I726" s="12">
        <f t="shared" si="35"/>
        <v>2.647491932199042E-3</v>
      </c>
      <c r="K726" s="27">
        <v>83.066483000000005</v>
      </c>
      <c r="L726" s="28">
        <v>13397.02</v>
      </c>
      <c r="M726" s="29">
        <v>128006</v>
      </c>
      <c r="N726" s="10">
        <f t="shared" si="36"/>
        <v>3.4236340853444069E-3</v>
      </c>
      <c r="O726" s="12">
        <f t="shared" si="37"/>
        <v>2.647491932199042E-3</v>
      </c>
    </row>
    <row r="727" spans="5:15" ht="30" customHeight="1" x14ac:dyDescent="0.3">
      <c r="E727" s="27">
        <v>45365</v>
      </c>
      <c r="F727" s="28">
        <v>83.225448999999998</v>
      </c>
      <c r="G727" s="29">
        <v>127690</v>
      </c>
      <c r="H727" s="10">
        <f t="shared" si="35"/>
        <v>1.9137201222301226E-3</v>
      </c>
      <c r="I727" s="12">
        <f t="shared" si="35"/>
        <v>-2.4686342827680008E-3</v>
      </c>
      <c r="K727" s="27">
        <v>83.225448999999998</v>
      </c>
      <c r="L727" s="28">
        <v>13349.95</v>
      </c>
      <c r="M727" s="29">
        <v>127690</v>
      </c>
      <c r="N727" s="10">
        <f t="shared" si="36"/>
        <v>-3.5134679204777974E-3</v>
      </c>
      <c r="O727" s="12">
        <f t="shared" si="37"/>
        <v>-2.4686342827680008E-3</v>
      </c>
    </row>
    <row r="728" spans="5:15" ht="30" customHeight="1" x14ac:dyDescent="0.3">
      <c r="E728" s="27">
        <v>45366</v>
      </c>
      <c r="F728" s="28">
        <v>88.761345000000006</v>
      </c>
      <c r="G728" s="29">
        <v>126742</v>
      </c>
      <c r="H728" s="10">
        <f t="shared" ref="H728:I764" si="38">F728/F727-1</f>
        <v>6.6516865532320724E-2</v>
      </c>
      <c r="I728" s="12">
        <f t="shared" si="38"/>
        <v>-7.4242305583835932E-3</v>
      </c>
      <c r="K728" s="27">
        <v>88.761345000000006</v>
      </c>
      <c r="L728" s="28">
        <v>13263.48</v>
      </c>
      <c r="M728" s="29">
        <v>126742</v>
      </c>
      <c r="N728" s="10">
        <f t="shared" ref="N728:N768" si="39">L728/L727-1</f>
        <v>-6.4771778171455185E-3</v>
      </c>
      <c r="O728" s="12">
        <f t="shared" ref="O728:O768" si="40">M728/M727-1</f>
        <v>-7.4242305583835932E-3</v>
      </c>
    </row>
    <row r="729" spans="5:15" ht="30" customHeight="1" x14ac:dyDescent="0.3">
      <c r="E729" s="27">
        <v>45369</v>
      </c>
      <c r="F729" s="28">
        <v>88.798751999999993</v>
      </c>
      <c r="G729" s="29">
        <v>126954</v>
      </c>
      <c r="H729" s="10">
        <f t="shared" si="38"/>
        <v>4.2143345168987878E-4</v>
      </c>
      <c r="I729" s="12">
        <f t="shared" si="38"/>
        <v>1.6726894005143489E-3</v>
      </c>
      <c r="K729" s="27">
        <v>88.798751999999993</v>
      </c>
      <c r="L729" s="28">
        <v>13228.63</v>
      </c>
      <c r="M729" s="29">
        <v>126954</v>
      </c>
      <c r="N729" s="10">
        <f t="shared" si="39"/>
        <v>-2.6275155539873252E-3</v>
      </c>
      <c r="O729" s="12">
        <f t="shared" si="40"/>
        <v>1.6726894005143489E-3</v>
      </c>
    </row>
    <row r="730" spans="5:15" ht="30" customHeight="1" x14ac:dyDescent="0.3">
      <c r="E730" s="27">
        <v>45370</v>
      </c>
      <c r="F730" s="28">
        <v>88.826804999999993</v>
      </c>
      <c r="G730" s="29">
        <v>127529</v>
      </c>
      <c r="H730" s="10">
        <f t="shared" si="38"/>
        <v>3.1591660207119787E-4</v>
      </c>
      <c r="I730" s="12">
        <f t="shared" si="38"/>
        <v>4.5291995525937878E-3</v>
      </c>
      <c r="K730" s="27">
        <v>88.826804999999993</v>
      </c>
      <c r="L730" s="28">
        <v>13217.11</v>
      </c>
      <c r="M730" s="29">
        <v>127529</v>
      </c>
      <c r="N730" s="10">
        <f t="shared" si="39"/>
        <v>-8.7083847684898963E-4</v>
      </c>
      <c r="O730" s="12">
        <f t="shared" si="40"/>
        <v>4.5291995525937878E-3</v>
      </c>
    </row>
    <row r="731" spans="5:15" ht="30" customHeight="1" x14ac:dyDescent="0.3">
      <c r="E731" s="27">
        <v>45371</v>
      </c>
      <c r="F731" s="28">
        <v>89.705817999999994</v>
      </c>
      <c r="G731" s="29">
        <v>129125</v>
      </c>
      <c r="H731" s="10">
        <f t="shared" si="38"/>
        <v>9.895807915189625E-3</v>
      </c>
      <c r="I731" s="12">
        <f t="shared" si="38"/>
        <v>1.2514800555167849E-2</v>
      </c>
      <c r="K731" s="27">
        <v>89.705817999999994</v>
      </c>
      <c r="L731" s="28">
        <v>13406.8</v>
      </c>
      <c r="M731" s="29">
        <v>129125</v>
      </c>
      <c r="N731" s="10">
        <f t="shared" si="39"/>
        <v>1.4351851501576363E-2</v>
      </c>
      <c r="O731" s="12">
        <f t="shared" si="40"/>
        <v>1.2514800555167849E-2</v>
      </c>
    </row>
    <row r="732" spans="5:15" ht="30" customHeight="1" x14ac:dyDescent="0.3">
      <c r="E732" s="27">
        <v>45372</v>
      </c>
      <c r="F732" s="28">
        <v>92.109070000000003</v>
      </c>
      <c r="G732" s="29">
        <v>128159</v>
      </c>
      <c r="H732" s="10">
        <f t="shared" si="38"/>
        <v>2.6790369382730717E-2</v>
      </c>
      <c r="I732" s="12">
        <f t="shared" si="38"/>
        <v>-7.4811229428848325E-3</v>
      </c>
      <c r="K732" s="27">
        <v>92.109070000000003</v>
      </c>
      <c r="L732" s="28">
        <v>13229.29</v>
      </c>
      <c r="M732" s="29">
        <v>128159</v>
      </c>
      <c r="N732" s="10">
        <f t="shared" si="39"/>
        <v>-1.3240295969209503E-2</v>
      </c>
      <c r="O732" s="12">
        <f t="shared" si="40"/>
        <v>-7.4811229428848325E-3</v>
      </c>
    </row>
    <row r="733" spans="5:15" ht="30" customHeight="1" x14ac:dyDescent="0.3">
      <c r="E733" s="27">
        <v>45373</v>
      </c>
      <c r="F733" s="28">
        <v>92.118415999999996</v>
      </c>
      <c r="G733" s="29">
        <v>127027</v>
      </c>
      <c r="H733" s="10">
        <f t="shared" si="38"/>
        <v>1.0146666338073373E-4</v>
      </c>
      <c r="I733" s="12">
        <f t="shared" si="38"/>
        <v>-8.832778033536437E-3</v>
      </c>
      <c r="K733" s="27">
        <v>92.118415999999996</v>
      </c>
      <c r="L733" s="28">
        <v>13036.62</v>
      </c>
      <c r="M733" s="29">
        <v>127027</v>
      </c>
      <c r="N733" s="10">
        <f t="shared" si="39"/>
        <v>-1.4563895719271414E-2</v>
      </c>
      <c r="O733" s="12">
        <f t="shared" si="40"/>
        <v>-8.832778033536437E-3</v>
      </c>
    </row>
    <row r="734" spans="5:15" ht="30" customHeight="1" x14ac:dyDescent="0.3">
      <c r="E734" s="27">
        <v>45376</v>
      </c>
      <c r="F734" s="28">
        <v>92.202575999999993</v>
      </c>
      <c r="G734" s="29">
        <v>126931</v>
      </c>
      <c r="H734" s="10">
        <f t="shared" si="38"/>
        <v>9.1360667773532356E-4</v>
      </c>
      <c r="I734" s="12">
        <f t="shared" si="38"/>
        <v>-7.5574484164786515E-4</v>
      </c>
      <c r="K734" s="27">
        <v>92.202575999999993</v>
      </c>
      <c r="L734" s="28">
        <v>13023.17</v>
      </c>
      <c r="M734" s="29">
        <v>126931</v>
      </c>
      <c r="N734" s="10">
        <f t="shared" si="39"/>
        <v>-1.0317091393321487E-3</v>
      </c>
      <c r="O734" s="12">
        <f t="shared" si="40"/>
        <v>-7.5574484164786515E-4</v>
      </c>
    </row>
    <row r="735" spans="5:15" ht="30" customHeight="1" x14ac:dyDescent="0.3">
      <c r="E735" s="27">
        <v>45377</v>
      </c>
      <c r="F735" s="28">
        <v>92.557922000000005</v>
      </c>
      <c r="G735" s="29">
        <v>126863</v>
      </c>
      <c r="H735" s="10">
        <f t="shared" si="38"/>
        <v>3.8539704140154729E-3</v>
      </c>
      <c r="I735" s="12">
        <f t="shared" si="38"/>
        <v>-5.3572413358438098E-4</v>
      </c>
      <c r="K735" s="27">
        <v>92.557922000000005</v>
      </c>
      <c r="L735" s="28">
        <v>13138.35</v>
      </c>
      <c r="M735" s="29">
        <v>126863</v>
      </c>
      <c r="N735" s="10">
        <f t="shared" si="39"/>
        <v>8.8442368486321143E-3</v>
      </c>
      <c r="O735" s="12">
        <f t="shared" si="40"/>
        <v>-5.3572413358438098E-4</v>
      </c>
    </row>
    <row r="736" spans="5:15" ht="30" customHeight="1" x14ac:dyDescent="0.3">
      <c r="E736" s="27">
        <v>45378</v>
      </c>
      <c r="F736" s="28">
        <v>93.988654999999994</v>
      </c>
      <c r="G736" s="29">
        <v>127691</v>
      </c>
      <c r="H736" s="10">
        <f t="shared" si="38"/>
        <v>1.545770441994132E-2</v>
      </c>
      <c r="I736" s="12">
        <f t="shared" si="38"/>
        <v>6.5267256804584228E-3</v>
      </c>
      <c r="K736" s="27">
        <v>93.988654999999994</v>
      </c>
      <c r="L736" s="28">
        <v>13246.86</v>
      </c>
      <c r="M736" s="29">
        <v>127691</v>
      </c>
      <c r="N736" s="10">
        <f t="shared" si="39"/>
        <v>8.2590279601320038E-3</v>
      </c>
      <c r="O736" s="12">
        <f t="shared" si="40"/>
        <v>6.5267256804584228E-3</v>
      </c>
    </row>
    <row r="737" spans="5:15" ht="30" customHeight="1" x14ac:dyDescent="0.3">
      <c r="E737" s="27">
        <v>45379</v>
      </c>
      <c r="F737" s="28">
        <v>94.446860999999998</v>
      </c>
      <c r="G737" s="29">
        <v>128106</v>
      </c>
      <c r="H737" s="10">
        <f t="shared" si="38"/>
        <v>4.8751203004235855E-3</v>
      </c>
      <c r="I737" s="12">
        <f t="shared" si="38"/>
        <v>3.2500332834732859E-3</v>
      </c>
      <c r="K737" s="27">
        <v>94.446860999999998</v>
      </c>
      <c r="L737" s="28">
        <v>13221.58</v>
      </c>
      <c r="M737" s="29">
        <v>128106</v>
      </c>
      <c r="N737" s="10">
        <f t="shared" si="39"/>
        <v>-1.9083767775911475E-3</v>
      </c>
      <c r="O737" s="12">
        <f t="shared" si="40"/>
        <v>3.2500332834732859E-3</v>
      </c>
    </row>
    <row r="738" spans="5:15" ht="30" customHeight="1" x14ac:dyDescent="0.3">
      <c r="E738" s="27">
        <v>45383</v>
      </c>
      <c r="F738" s="28">
        <v>95.569000000000003</v>
      </c>
      <c r="G738" s="29">
        <v>126990</v>
      </c>
      <c r="H738" s="10">
        <f t="shared" si="38"/>
        <v>1.1881167760567468E-2</v>
      </c>
      <c r="I738" s="12">
        <f t="shared" si="38"/>
        <v>-8.7115357594491627E-3</v>
      </c>
      <c r="K738" s="27">
        <v>95.569000000000003</v>
      </c>
      <c r="L738" s="28">
        <v>13001.65</v>
      </c>
      <c r="M738" s="29">
        <v>126990</v>
      </c>
      <c r="N738" s="10">
        <f t="shared" si="39"/>
        <v>-1.6634169289903356E-2</v>
      </c>
      <c r="O738" s="12">
        <f t="shared" si="40"/>
        <v>-8.7115357594491627E-3</v>
      </c>
    </row>
    <row r="739" spans="5:15" ht="30" customHeight="1" x14ac:dyDescent="0.3">
      <c r="E739" s="27">
        <v>45384</v>
      </c>
      <c r="F739" s="28">
        <v>95.597060999999997</v>
      </c>
      <c r="G739" s="29">
        <v>127549</v>
      </c>
      <c r="H739" s="10">
        <f t="shared" si="38"/>
        <v>2.936203162111628E-4</v>
      </c>
      <c r="I739" s="12">
        <f t="shared" si="38"/>
        <v>4.4019214111348237E-3</v>
      </c>
      <c r="K739" s="27">
        <v>95.597060999999997</v>
      </c>
      <c r="L739" s="28">
        <v>13012.66</v>
      </c>
      <c r="M739" s="29">
        <v>127549</v>
      </c>
      <c r="N739" s="10">
        <f t="shared" si="39"/>
        <v>8.468155964820312E-4</v>
      </c>
      <c r="O739" s="12">
        <f t="shared" si="40"/>
        <v>4.4019214111348237E-3</v>
      </c>
    </row>
    <row r="740" spans="5:15" ht="30" customHeight="1" x14ac:dyDescent="0.3">
      <c r="E740" s="27">
        <v>45385</v>
      </c>
      <c r="F740" s="28">
        <v>93.969948000000002</v>
      </c>
      <c r="G740" s="29">
        <v>127318</v>
      </c>
      <c r="H740" s="10">
        <f t="shared" si="38"/>
        <v>-1.7020533717035491E-2</v>
      </c>
      <c r="I740" s="12">
        <f t="shared" si="38"/>
        <v>-1.8110686873280546E-3</v>
      </c>
      <c r="K740" s="27">
        <v>93.969948000000002</v>
      </c>
      <c r="L740" s="28">
        <v>13036.6</v>
      </c>
      <c r="M740" s="29">
        <v>127318</v>
      </c>
      <c r="N740" s="10">
        <f t="shared" si="39"/>
        <v>1.8397468311628362E-3</v>
      </c>
      <c r="O740" s="12">
        <f t="shared" si="40"/>
        <v>-1.8110686873280546E-3</v>
      </c>
    </row>
    <row r="741" spans="5:15" ht="30" customHeight="1" x14ac:dyDescent="0.3">
      <c r="E741" s="27">
        <v>45386</v>
      </c>
      <c r="F741" s="28">
        <v>94.727394000000004</v>
      </c>
      <c r="G741" s="29">
        <v>127428</v>
      </c>
      <c r="H741" s="10">
        <f t="shared" si="38"/>
        <v>8.0605131334114954E-3</v>
      </c>
      <c r="I741" s="12">
        <f t="shared" si="38"/>
        <v>8.6397838483165401E-4</v>
      </c>
      <c r="K741" s="27">
        <v>94.727394000000004</v>
      </c>
      <c r="L741" s="28">
        <v>13107.99</v>
      </c>
      <c r="M741" s="29">
        <v>127428</v>
      </c>
      <c r="N741" s="10">
        <f t="shared" si="39"/>
        <v>5.4761210745133404E-3</v>
      </c>
      <c r="O741" s="12">
        <f t="shared" si="40"/>
        <v>8.6397838483165401E-4</v>
      </c>
    </row>
    <row r="742" spans="5:15" ht="30" customHeight="1" x14ac:dyDescent="0.3">
      <c r="E742" s="27">
        <v>45387</v>
      </c>
      <c r="F742" s="28">
        <v>95.681213</v>
      </c>
      <c r="G742" s="29">
        <v>126795</v>
      </c>
      <c r="H742" s="10">
        <f t="shared" si="38"/>
        <v>1.0069093635152626E-2</v>
      </c>
      <c r="I742" s="12">
        <f t="shared" si="38"/>
        <v>-4.9675110650720944E-3</v>
      </c>
      <c r="K742" s="27">
        <v>95.681213</v>
      </c>
      <c r="L742" s="28">
        <v>13107.32</v>
      </c>
      <c r="M742" s="29">
        <v>126795</v>
      </c>
      <c r="N742" s="10">
        <f t="shared" si="39"/>
        <v>-5.1113862613583194E-5</v>
      </c>
      <c r="O742" s="12">
        <f t="shared" si="40"/>
        <v>-4.9675110650720944E-3</v>
      </c>
    </row>
    <row r="743" spans="5:15" ht="30" customHeight="1" x14ac:dyDescent="0.3">
      <c r="E743" s="27">
        <v>45390</v>
      </c>
      <c r="F743" s="28">
        <v>99.113090999999997</v>
      </c>
      <c r="G743" s="29">
        <v>128857</v>
      </c>
      <c r="H743" s="10">
        <f t="shared" si="38"/>
        <v>3.5867835412997984E-2</v>
      </c>
      <c r="I743" s="12">
        <f t="shared" si="38"/>
        <v>1.6262470917622895E-2</v>
      </c>
      <c r="K743" s="27">
        <v>99.113090999999997</v>
      </c>
      <c r="L743" s="28">
        <v>13268.06</v>
      </c>
      <c r="M743" s="29">
        <v>128857</v>
      </c>
      <c r="N743" s="10">
        <f t="shared" si="39"/>
        <v>1.2263376494966227E-2</v>
      </c>
      <c r="O743" s="12">
        <f t="shared" si="40"/>
        <v>1.6262470917622895E-2</v>
      </c>
    </row>
    <row r="744" spans="5:15" ht="30" customHeight="1" x14ac:dyDescent="0.3">
      <c r="E744" s="27">
        <v>45391</v>
      </c>
      <c r="F744" s="28">
        <v>99.122444000000002</v>
      </c>
      <c r="G744" s="29">
        <v>129890</v>
      </c>
      <c r="H744" s="10">
        <f t="shared" si="38"/>
        <v>9.436694896347575E-5</v>
      </c>
      <c r="I744" s="12">
        <f t="shared" si="38"/>
        <v>8.0166385993776235E-3</v>
      </c>
      <c r="K744" s="27">
        <v>99.122444000000002</v>
      </c>
      <c r="L744" s="28">
        <v>13390.84</v>
      </c>
      <c r="M744" s="29">
        <v>129890</v>
      </c>
      <c r="N744" s="10">
        <f t="shared" si="39"/>
        <v>9.2538019876304833E-3</v>
      </c>
      <c r="O744" s="12">
        <f t="shared" si="40"/>
        <v>8.0166385993776235E-3</v>
      </c>
    </row>
    <row r="745" spans="5:15" ht="30" customHeight="1" x14ac:dyDescent="0.3">
      <c r="E745" s="27">
        <v>45392</v>
      </c>
      <c r="F745" s="28">
        <v>99.571303999999998</v>
      </c>
      <c r="G745" s="29">
        <v>128054</v>
      </c>
      <c r="H745" s="10">
        <f t="shared" si="38"/>
        <v>4.5283387080325976E-3</v>
      </c>
      <c r="I745" s="12">
        <f t="shared" si="38"/>
        <v>-1.4135037339287115E-2</v>
      </c>
      <c r="K745" s="27">
        <v>99.571303999999998</v>
      </c>
      <c r="L745" s="28">
        <v>13091.51</v>
      </c>
      <c r="M745" s="29">
        <v>128054</v>
      </c>
      <c r="N745" s="10">
        <f t="shared" si="39"/>
        <v>-2.2353340044388492E-2</v>
      </c>
      <c r="O745" s="12">
        <f t="shared" si="40"/>
        <v>-1.4135037339287115E-2</v>
      </c>
    </row>
    <row r="746" spans="5:15" ht="30" customHeight="1" x14ac:dyDescent="0.3">
      <c r="E746" s="27">
        <v>45393</v>
      </c>
      <c r="F746" s="28">
        <v>99.122444000000002</v>
      </c>
      <c r="G746" s="29">
        <v>127396</v>
      </c>
      <c r="H746" s="10">
        <f t="shared" si="38"/>
        <v>-4.5079252954244309E-3</v>
      </c>
      <c r="I746" s="12">
        <f t="shared" si="38"/>
        <v>-5.1384572133631456E-3</v>
      </c>
      <c r="K746" s="27">
        <v>99.122444000000002</v>
      </c>
      <c r="L746" s="28">
        <v>13094.03</v>
      </c>
      <c r="M746" s="29">
        <v>127396</v>
      </c>
      <c r="N746" s="10">
        <f t="shared" si="39"/>
        <v>1.9249116412090039E-4</v>
      </c>
      <c r="O746" s="12">
        <f t="shared" si="40"/>
        <v>-5.1384572133631456E-3</v>
      </c>
    </row>
    <row r="747" spans="5:15" ht="30" customHeight="1" x14ac:dyDescent="0.3">
      <c r="E747" s="27">
        <v>45394</v>
      </c>
      <c r="F747" s="28">
        <v>97.803925000000007</v>
      </c>
      <c r="G747" s="29">
        <v>125946</v>
      </c>
      <c r="H747" s="10">
        <f t="shared" si="38"/>
        <v>-1.3301921812985062E-2</v>
      </c>
      <c r="I747" s="12">
        <f t="shared" si="38"/>
        <v>-1.1381833024584731E-2</v>
      </c>
      <c r="K747" s="27">
        <v>97.803925000000007</v>
      </c>
      <c r="L747" s="28">
        <v>12920.4</v>
      </c>
      <c r="M747" s="29">
        <v>125946</v>
      </c>
      <c r="N747" s="10">
        <f t="shared" si="39"/>
        <v>-1.326024149937044E-2</v>
      </c>
      <c r="O747" s="12">
        <f t="shared" si="40"/>
        <v>-1.1381833024584731E-2</v>
      </c>
    </row>
    <row r="748" spans="5:15" ht="30" customHeight="1" x14ac:dyDescent="0.3">
      <c r="E748" s="27">
        <v>45397</v>
      </c>
      <c r="F748" s="28">
        <v>94.914421000000004</v>
      </c>
      <c r="G748" s="29">
        <v>125334</v>
      </c>
      <c r="H748" s="10">
        <f t="shared" si="38"/>
        <v>-2.9543844993950907E-2</v>
      </c>
      <c r="I748" s="12">
        <f t="shared" si="38"/>
        <v>-4.8592253823066534E-3</v>
      </c>
      <c r="K748" s="27">
        <v>94.914421000000004</v>
      </c>
      <c r="L748" s="28">
        <v>12741.53</v>
      </c>
      <c r="M748" s="29">
        <v>125334</v>
      </c>
      <c r="N748" s="10">
        <f t="shared" si="39"/>
        <v>-1.3843998637812938E-2</v>
      </c>
      <c r="O748" s="12">
        <f t="shared" si="40"/>
        <v>-4.8592253823066534E-3</v>
      </c>
    </row>
    <row r="749" spans="5:15" ht="30" customHeight="1" x14ac:dyDescent="0.3">
      <c r="E749" s="27">
        <v>45398</v>
      </c>
      <c r="F749" s="28">
        <v>94.446860999999998</v>
      </c>
      <c r="G749" s="29">
        <v>124389</v>
      </c>
      <c r="H749" s="10">
        <f t="shared" si="38"/>
        <v>-4.9261218166205545E-3</v>
      </c>
      <c r="I749" s="12">
        <f t="shared" si="38"/>
        <v>-7.5398535114175047E-3</v>
      </c>
      <c r="K749" s="27">
        <v>94.446860999999998</v>
      </c>
      <c r="L749" s="28">
        <v>12617.24</v>
      </c>
      <c r="M749" s="29">
        <v>124389</v>
      </c>
      <c r="N749" s="10">
        <f t="shared" si="39"/>
        <v>-9.7547154855029961E-3</v>
      </c>
      <c r="O749" s="12">
        <f t="shared" si="40"/>
        <v>-7.5398535114175047E-3</v>
      </c>
    </row>
    <row r="750" spans="5:15" ht="30" customHeight="1" x14ac:dyDescent="0.3">
      <c r="E750" s="27">
        <v>45399</v>
      </c>
      <c r="F750" s="28">
        <v>92.744949000000005</v>
      </c>
      <c r="G750" s="29">
        <v>124171</v>
      </c>
      <c r="H750" s="10">
        <f t="shared" si="38"/>
        <v>-1.8019783632618469E-2</v>
      </c>
      <c r="I750" s="12">
        <f t="shared" si="38"/>
        <v>-1.7525665452733374E-3</v>
      </c>
      <c r="K750" s="27">
        <v>92.744949000000005</v>
      </c>
      <c r="L750" s="28">
        <v>12578.11</v>
      </c>
      <c r="M750" s="29">
        <v>124171</v>
      </c>
      <c r="N750" s="10">
        <f t="shared" si="39"/>
        <v>-3.1013121728681314E-3</v>
      </c>
      <c r="O750" s="12">
        <f t="shared" si="40"/>
        <v>-1.7525665452733374E-3</v>
      </c>
    </row>
    <row r="751" spans="5:15" ht="30" customHeight="1" x14ac:dyDescent="0.3">
      <c r="E751" s="27">
        <v>45400</v>
      </c>
      <c r="F751" s="28">
        <v>93.511741999999998</v>
      </c>
      <c r="G751" s="29">
        <v>124196</v>
      </c>
      <c r="H751" s="10">
        <f t="shared" si="38"/>
        <v>8.2677602205591949E-3</v>
      </c>
      <c r="I751" s="12">
        <f t="shared" si="38"/>
        <v>2.0133525541399244E-4</v>
      </c>
      <c r="K751" s="27">
        <v>93.511741999999998</v>
      </c>
      <c r="L751" s="28">
        <v>12533.54</v>
      </c>
      <c r="M751" s="29">
        <v>124196</v>
      </c>
      <c r="N751" s="10">
        <f t="shared" si="39"/>
        <v>-3.5434576418873487E-3</v>
      </c>
      <c r="O751" s="12">
        <f t="shared" si="40"/>
        <v>2.0133525541399244E-4</v>
      </c>
    </row>
    <row r="752" spans="5:15" ht="30" customHeight="1" x14ac:dyDescent="0.3">
      <c r="E752" s="27">
        <v>45401</v>
      </c>
      <c r="F752" s="28">
        <v>92.464409000000003</v>
      </c>
      <c r="G752" s="29">
        <v>125124</v>
      </c>
      <c r="H752" s="10">
        <f t="shared" si="38"/>
        <v>-1.1200015929550222E-2</v>
      </c>
      <c r="I752" s="12">
        <f t="shared" si="38"/>
        <v>7.4720602917968115E-3</v>
      </c>
      <c r="K752" s="27">
        <v>92.464409000000003</v>
      </c>
      <c r="L752" s="28">
        <v>12510.76</v>
      </c>
      <c r="M752" s="29">
        <v>125124</v>
      </c>
      <c r="N752" s="10">
        <f t="shared" si="39"/>
        <v>-1.8175232216915971E-3</v>
      </c>
      <c r="O752" s="12">
        <f t="shared" si="40"/>
        <v>7.4720602917968115E-3</v>
      </c>
    </row>
    <row r="753" spans="5:15" ht="30" customHeight="1" x14ac:dyDescent="0.3">
      <c r="E753" s="27">
        <v>45404</v>
      </c>
      <c r="F753" s="28">
        <v>94.456215</v>
      </c>
      <c r="G753" s="29">
        <v>125573</v>
      </c>
      <c r="H753" s="10">
        <f t="shared" si="38"/>
        <v>2.1541326241538039E-2</v>
      </c>
      <c r="I753" s="12">
        <f t="shared" si="38"/>
        <v>3.5884402672547999E-3</v>
      </c>
      <c r="K753" s="27">
        <v>94.456215</v>
      </c>
      <c r="L753" s="28">
        <v>12516.99</v>
      </c>
      <c r="M753" s="29">
        <v>125573</v>
      </c>
      <c r="N753" s="10">
        <f t="shared" si="39"/>
        <v>4.9797134626516915E-4</v>
      </c>
      <c r="O753" s="12">
        <f t="shared" si="40"/>
        <v>3.5884402672547999E-3</v>
      </c>
    </row>
    <row r="754" spans="5:15" ht="30" customHeight="1" x14ac:dyDescent="0.3">
      <c r="E754" s="27">
        <v>45405</v>
      </c>
      <c r="F754" s="28">
        <v>95.802779999999998</v>
      </c>
      <c r="G754" s="29">
        <v>125148</v>
      </c>
      <c r="H754" s="10">
        <f t="shared" si="38"/>
        <v>1.4255970345625091E-2</v>
      </c>
      <c r="I754" s="12">
        <f t="shared" si="38"/>
        <v>-3.384485518383773E-3</v>
      </c>
      <c r="K754" s="27">
        <v>95.802779999999998</v>
      </c>
      <c r="L754" s="28">
        <v>12528.71</v>
      </c>
      <c r="M754" s="29">
        <v>125148</v>
      </c>
      <c r="N754" s="10">
        <f t="shared" si="39"/>
        <v>9.3632734387405492E-4</v>
      </c>
      <c r="O754" s="12">
        <f t="shared" si="40"/>
        <v>-3.384485518383773E-3</v>
      </c>
    </row>
    <row r="755" spans="5:15" ht="30" customHeight="1" x14ac:dyDescent="0.3">
      <c r="E755" s="27">
        <v>45406</v>
      </c>
      <c r="F755" s="28">
        <v>98.177978999999993</v>
      </c>
      <c r="G755" s="29">
        <v>124741</v>
      </c>
      <c r="H755" s="10">
        <f t="shared" si="38"/>
        <v>2.4792589526107633E-2</v>
      </c>
      <c r="I755" s="12">
        <f t="shared" si="38"/>
        <v>-3.2521494550452612E-3</v>
      </c>
      <c r="K755" s="27">
        <v>98.177978999999993</v>
      </c>
      <c r="L755" s="28">
        <v>12478.3</v>
      </c>
      <c r="M755" s="29">
        <v>124741</v>
      </c>
      <c r="N755" s="10">
        <f t="shared" si="39"/>
        <v>-4.0235586903998311E-3</v>
      </c>
      <c r="O755" s="12">
        <f t="shared" si="40"/>
        <v>-3.2521494550452612E-3</v>
      </c>
    </row>
    <row r="756" spans="5:15" ht="30" customHeight="1" x14ac:dyDescent="0.3">
      <c r="E756" s="27">
        <v>45407</v>
      </c>
      <c r="F756" s="28">
        <v>95.65316</v>
      </c>
      <c r="G756" s="29">
        <v>124646</v>
      </c>
      <c r="H756" s="10">
        <f t="shared" si="38"/>
        <v>-2.571675467061707E-2</v>
      </c>
      <c r="I756" s="12">
        <f t="shared" si="38"/>
        <v>-7.6157798959441969E-4</v>
      </c>
      <c r="K756" s="27">
        <v>95.65316</v>
      </c>
      <c r="L756" s="28">
        <v>12418.03</v>
      </c>
      <c r="M756" s="29">
        <v>124646</v>
      </c>
      <c r="N756" s="10">
        <f t="shared" si="39"/>
        <v>-4.8299848537058931E-3</v>
      </c>
      <c r="O756" s="12">
        <f t="shared" si="40"/>
        <v>-7.6157798959441969E-4</v>
      </c>
    </row>
    <row r="757" spans="5:15" ht="30" customHeight="1" x14ac:dyDescent="0.3">
      <c r="E757" s="27">
        <v>45408</v>
      </c>
      <c r="F757" s="28">
        <v>95.484840000000005</v>
      </c>
      <c r="G757" s="29">
        <v>126526</v>
      </c>
      <c r="H757" s="10">
        <f t="shared" si="38"/>
        <v>-1.7596909500950941E-3</v>
      </c>
      <c r="I757" s="12">
        <f t="shared" si="38"/>
        <v>1.5082714246746898E-2</v>
      </c>
      <c r="K757" s="27">
        <v>95.484840000000005</v>
      </c>
      <c r="L757" s="28">
        <v>12663.15</v>
      </c>
      <c r="M757" s="29">
        <v>126526</v>
      </c>
      <c r="N757" s="10">
        <f t="shared" si="39"/>
        <v>1.9739040733514068E-2</v>
      </c>
      <c r="O757" s="12">
        <f t="shared" si="40"/>
        <v>1.5082714246746898E-2</v>
      </c>
    </row>
    <row r="758" spans="5:15" ht="30" customHeight="1" x14ac:dyDescent="0.3">
      <c r="E758" s="27">
        <v>45411</v>
      </c>
      <c r="F758" s="28">
        <v>102.839996</v>
      </c>
      <c r="G758" s="29">
        <v>127352</v>
      </c>
      <c r="H758" s="10">
        <f t="shared" si="38"/>
        <v>7.7029568253976111E-2</v>
      </c>
      <c r="I758" s="12">
        <f t="shared" si="38"/>
        <v>6.5283024832840653E-3</v>
      </c>
      <c r="K758" s="27">
        <v>102.839996</v>
      </c>
      <c r="L758" s="28">
        <v>12663.57</v>
      </c>
      <c r="M758" s="29">
        <v>127352</v>
      </c>
      <c r="N758" s="10">
        <f t="shared" si="39"/>
        <v>3.3167102972075924E-5</v>
      </c>
      <c r="O758" s="12">
        <f t="shared" si="40"/>
        <v>6.5283024832840653E-3</v>
      </c>
    </row>
    <row r="759" spans="5:15" ht="30" customHeight="1" x14ac:dyDescent="0.3">
      <c r="E759" s="27">
        <v>45412</v>
      </c>
      <c r="F759" s="28">
        <v>101.989998</v>
      </c>
      <c r="G759" s="29">
        <v>125924</v>
      </c>
      <c r="H759" s="10">
        <f t="shared" si="38"/>
        <v>-8.2652473070885524E-3</v>
      </c>
      <c r="I759" s="12">
        <f t="shared" si="38"/>
        <v>-1.1213015892958089E-2</v>
      </c>
      <c r="K759" s="27">
        <v>101.989998</v>
      </c>
      <c r="L759" s="28">
        <v>12514.7</v>
      </c>
      <c r="M759" s="29">
        <v>125924</v>
      </c>
      <c r="N759" s="10">
        <f t="shared" si="39"/>
        <v>-1.1755768712930048E-2</v>
      </c>
      <c r="O759" s="12">
        <f t="shared" si="40"/>
        <v>-1.1213015892958089E-2</v>
      </c>
    </row>
    <row r="760" spans="5:15" ht="30" customHeight="1" x14ac:dyDescent="0.3">
      <c r="E760" s="27">
        <v>45414</v>
      </c>
      <c r="F760" s="28">
        <v>101</v>
      </c>
      <c r="G760" s="29">
        <v>127122</v>
      </c>
      <c r="H760" s="10">
        <f t="shared" si="38"/>
        <v>-9.7068145839163122E-3</v>
      </c>
      <c r="I760" s="12">
        <f t="shared" si="38"/>
        <v>9.5136749150281918E-3</v>
      </c>
      <c r="K760" s="27">
        <v>101</v>
      </c>
      <c r="L760" s="28">
        <v>12657.69</v>
      </c>
      <c r="M760" s="29">
        <v>127122</v>
      </c>
      <c r="N760" s="10">
        <f t="shared" si="39"/>
        <v>1.1425763302356451E-2</v>
      </c>
      <c r="O760" s="12">
        <f t="shared" si="40"/>
        <v>9.5136749150281918E-3</v>
      </c>
    </row>
    <row r="761" spans="5:15" ht="30" customHeight="1" x14ac:dyDescent="0.3">
      <c r="E761" s="27">
        <v>45415</v>
      </c>
      <c r="F761" s="28">
        <v>103</v>
      </c>
      <c r="G761" s="29">
        <v>128509</v>
      </c>
      <c r="H761" s="10">
        <f t="shared" si="38"/>
        <v>1.980198019801982E-2</v>
      </c>
      <c r="I761" s="12">
        <f t="shared" si="38"/>
        <v>1.0910778622110984E-2</v>
      </c>
      <c r="K761" s="27">
        <v>103</v>
      </c>
      <c r="L761" s="28">
        <v>12856.27</v>
      </c>
      <c r="M761" s="29">
        <v>128509</v>
      </c>
      <c r="N761" s="10">
        <f t="shared" si="39"/>
        <v>1.5688486603795848E-2</v>
      </c>
      <c r="O761" s="12">
        <f t="shared" si="40"/>
        <v>1.0910778622110984E-2</v>
      </c>
    </row>
    <row r="762" spans="5:15" ht="30" customHeight="1" x14ac:dyDescent="0.3">
      <c r="E762" s="27">
        <v>45418</v>
      </c>
      <c r="F762" s="28">
        <v>102.510002</v>
      </c>
      <c r="G762" s="29">
        <v>128466</v>
      </c>
      <c r="H762" s="10">
        <f t="shared" si="38"/>
        <v>-4.7572621359223133E-3</v>
      </c>
      <c r="I762" s="12">
        <f t="shared" si="38"/>
        <v>-3.3460691469078263E-4</v>
      </c>
      <c r="K762" s="27">
        <v>102.510002</v>
      </c>
      <c r="L762" s="28">
        <v>12900.07</v>
      </c>
      <c r="M762" s="29">
        <v>128466</v>
      </c>
      <c r="N762" s="10">
        <f t="shared" si="39"/>
        <v>3.406897957183519E-3</v>
      </c>
      <c r="O762" s="12">
        <f t="shared" si="40"/>
        <v>-3.3460691469078263E-4</v>
      </c>
    </row>
    <row r="763" spans="5:15" ht="30" customHeight="1" x14ac:dyDescent="0.3">
      <c r="E763" s="27">
        <v>45419</v>
      </c>
      <c r="F763" s="28">
        <v>101.5</v>
      </c>
      <c r="G763" s="29">
        <v>129210</v>
      </c>
      <c r="H763" s="10">
        <f t="shared" si="38"/>
        <v>-9.8527166158869361E-3</v>
      </c>
      <c r="I763" s="12">
        <f t="shared" si="38"/>
        <v>5.7914156274812001E-3</v>
      </c>
      <c r="K763" s="27">
        <v>101.5</v>
      </c>
      <c r="L763" s="28">
        <v>12932.18</v>
      </c>
      <c r="M763" s="29">
        <v>129210</v>
      </c>
      <c r="N763" s="10">
        <f t="shared" si="39"/>
        <v>2.489133779894237E-3</v>
      </c>
      <c r="O763" s="12">
        <f t="shared" si="40"/>
        <v>5.7914156274812001E-3</v>
      </c>
    </row>
    <row r="764" spans="5:15" ht="30" customHeight="1" x14ac:dyDescent="0.3">
      <c r="E764" s="27">
        <v>45420</v>
      </c>
      <c r="F764" s="28">
        <v>101.410004</v>
      </c>
      <c r="G764" s="29">
        <v>129481</v>
      </c>
      <c r="H764" s="10">
        <f t="shared" si="38"/>
        <v>-8.8666009852211847E-4</v>
      </c>
      <c r="I764" s="12">
        <f t="shared" si="38"/>
        <v>2.0973608853804837E-3</v>
      </c>
      <c r="K764" s="27">
        <v>101.410004</v>
      </c>
      <c r="L764" s="28">
        <v>12945.47</v>
      </c>
      <c r="M764" s="29">
        <v>129481</v>
      </c>
      <c r="N764" s="10">
        <f t="shared" si="39"/>
        <v>1.0276689622321644E-3</v>
      </c>
      <c r="O764" s="12">
        <f t="shared" si="40"/>
        <v>2.0973608853804837E-3</v>
      </c>
    </row>
    <row r="765" spans="5:15" ht="30" customHeight="1" x14ac:dyDescent="0.3">
      <c r="E765" s="27">
        <v>45421</v>
      </c>
      <c r="F765" s="28">
        <v>101.209999</v>
      </c>
      <c r="G765" s="29">
        <v>128188</v>
      </c>
      <c r="H765" s="10">
        <f t="shared" ref="H765:I767" si="41">F765/F764-1</f>
        <v>-1.9722413185192522E-3</v>
      </c>
      <c r="I765" s="12">
        <f t="shared" si="41"/>
        <v>-9.9860211150670786E-3</v>
      </c>
      <c r="K765" s="27">
        <v>101.209999</v>
      </c>
      <c r="L765" s="28">
        <v>12541.11</v>
      </c>
      <c r="M765" s="29">
        <v>128188</v>
      </c>
      <c r="N765" s="10">
        <f t="shared" si="39"/>
        <v>-3.1235636867568251E-2</v>
      </c>
      <c r="O765" s="12">
        <f t="shared" si="40"/>
        <v>-9.9860211150670786E-3</v>
      </c>
    </row>
    <row r="766" spans="5:15" ht="30" customHeight="1" x14ac:dyDescent="0.3">
      <c r="E766" s="27">
        <v>45422</v>
      </c>
      <c r="F766" s="28">
        <v>101.389999</v>
      </c>
      <c r="G766" s="29">
        <v>127600</v>
      </c>
      <c r="H766" s="10">
        <f t="shared" si="41"/>
        <v>1.7784804048857072E-3</v>
      </c>
      <c r="I766" s="12">
        <f t="shared" si="41"/>
        <v>-4.5870128249133613E-3</v>
      </c>
      <c r="K766" s="27">
        <v>101.389999</v>
      </c>
      <c r="L766" s="28">
        <v>12567.6</v>
      </c>
      <c r="M766" s="29">
        <v>127600</v>
      </c>
      <c r="N766" s="10">
        <f t="shared" si="39"/>
        <v>2.1122532216046874E-3</v>
      </c>
      <c r="O766" s="12">
        <f t="shared" si="40"/>
        <v>-4.5870128249133613E-3</v>
      </c>
    </row>
    <row r="767" spans="5:15" ht="30" customHeight="1" x14ac:dyDescent="0.3">
      <c r="E767" s="65">
        <v>45425</v>
      </c>
      <c r="F767" s="66">
        <v>100.989998</v>
      </c>
      <c r="G767" s="67">
        <v>128155</v>
      </c>
      <c r="H767" s="68">
        <f t="shared" si="41"/>
        <v>-3.945172146613829E-3</v>
      </c>
      <c r="I767" s="69">
        <f t="shared" si="41"/>
        <v>4.349529780564243E-3</v>
      </c>
      <c r="K767" s="65">
        <v>100.989998</v>
      </c>
      <c r="L767" s="66">
        <v>12697.46</v>
      </c>
      <c r="M767" s="67">
        <v>128155</v>
      </c>
      <c r="N767" s="68">
        <f t="shared" si="39"/>
        <v>1.0332919570960053E-2</v>
      </c>
      <c r="O767" s="69">
        <f t="shared" si="40"/>
        <v>4.349529780564243E-3</v>
      </c>
    </row>
    <row r="768" spans="5:15" ht="30" customHeight="1" x14ac:dyDescent="0.3">
      <c r="E768" s="387">
        <v>45426</v>
      </c>
      <c r="F768" s="388">
        <v>99.949996999999996</v>
      </c>
      <c r="G768" s="389">
        <v>128515</v>
      </c>
      <c r="H768" s="390">
        <f t="shared" ref="H768" si="42">F768/F767-1</f>
        <v>-1.0298059417725769E-2</v>
      </c>
      <c r="I768" s="391">
        <f t="shared" ref="I768" si="43">G768/G767-1</f>
        <v>2.8090983574577955E-3</v>
      </c>
      <c r="K768" s="387">
        <v>99.949996999999996</v>
      </c>
      <c r="L768" s="388">
        <v>12815.96</v>
      </c>
      <c r="M768" s="389">
        <v>128515</v>
      </c>
      <c r="N768" s="390">
        <f t="shared" si="39"/>
        <v>9.3325751764525844E-3</v>
      </c>
      <c r="O768" s="391">
        <f t="shared" si="40"/>
        <v>2.8090983574577955E-3</v>
      </c>
    </row>
    <row r="769" spans="5:15" ht="30" customHeight="1" thickBot="1" x14ac:dyDescent="0.35">
      <c r="E769" s="392">
        <v>45427</v>
      </c>
      <c r="F769" s="393">
        <v>100.400002</v>
      </c>
      <c r="G769" s="394">
        <v>128028</v>
      </c>
      <c r="H769" s="395">
        <f t="shared" ref="H769" si="44">F769/F768-1</f>
        <v>4.5023012857119404E-3</v>
      </c>
      <c r="I769" s="396">
        <f t="shared" ref="I769" si="45">G769/G768-1</f>
        <v>-3.7894409212931857E-3</v>
      </c>
      <c r="K769" s="392">
        <v>100.400002</v>
      </c>
      <c r="L769" s="393">
        <v>12813.06</v>
      </c>
      <c r="M769" s="394">
        <v>128028</v>
      </c>
      <c r="N769" s="395">
        <v>9.3325751764525844E-3</v>
      </c>
      <c r="O769" s="396">
        <v>2.8090983574577955E-3</v>
      </c>
    </row>
    <row r="770" spans="5:15" ht="30" customHeight="1" thickBot="1" x14ac:dyDescent="0.35">
      <c r="H770" s="384" t="s">
        <v>13</v>
      </c>
      <c r="I770" s="385">
        <f>SLOPE(H23:H769,I23:I769)</f>
        <v>0.19471484550082355</v>
      </c>
      <c r="N770" s="384" t="s">
        <v>13</v>
      </c>
      <c r="O770" s="385">
        <f>SLOPE(N23:N769,O23:O769)</f>
        <v>1.0669481113323229</v>
      </c>
    </row>
    <row r="771" spans="5:15" ht="30" customHeight="1" x14ac:dyDescent="0.3"/>
    <row r="772" spans="5:15" ht="30" hidden="1" customHeight="1" x14ac:dyDescent="0.3"/>
    <row r="773" spans="5:15" ht="30" hidden="1" customHeight="1" x14ac:dyDescent="0.3"/>
  </sheetData>
  <mergeCells count="1">
    <mergeCell ref="K4:N5"/>
  </mergeCells>
  <conditionalFormatting sqref="F14:O14">
    <cfRule type="cellIs" dxfId="16" priority="1" operator="equal">
      <formula>0</formula>
    </cfRule>
  </conditionalFormatting>
  <hyperlinks>
    <hyperlink ref="A13" location="'Projeções - NIM'!A1" display="Projeções - NIM" xr:uid="{0E82764B-0135-43DF-81EE-8269CA0E280A}"/>
    <hyperlink ref="A12" location="'Balanço Patrimonial - Contábil'!A1" display="Balanço Patrimonial" xr:uid="{7623D844-7826-43BE-91EC-1BEAC859A059}"/>
    <hyperlink ref="A11" location="'DRE - Cosif'!A1" display="DRE - Cosif" xr:uid="{B6F917F8-7616-47A5-94FB-DA57F28B7080}"/>
    <hyperlink ref="A10" location="'DRE + DCF'!A1" display="DRE + DCF" xr:uid="{059DDA79-58E9-489D-8FED-A800F7F085FE}"/>
    <hyperlink ref="A9" location="Ke!A1" display="Ke" xr:uid="{A3FBD1E6-4A38-4A29-A0ED-C0B0133B9C96}"/>
    <hyperlink ref="A8" location="Dashboard!A1" display="Dashboard" xr:uid="{41EE4C07-C39E-4D9F-9FC2-AA48BFA3F3A3}"/>
    <hyperlink ref="A15" location="'Painel de Índices'!A1" display="Painel de Índices" xr:uid="{EE0E00F3-6FAF-4019-B286-C2D8EBF5350F}"/>
    <hyperlink ref="A14" location="'Projeções Trimestrais'!A1" display="Projeções Trimestrais" xr:uid="{D24FF883-72EC-44B2-908A-F5246213697A}"/>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6B4C-4D69-4623-964A-74D4E5BB981D}">
  <dimension ref="A1:T33"/>
  <sheetViews>
    <sheetView workbookViewId="0">
      <selection activeCell="I4" sqref="I4:L5"/>
    </sheetView>
  </sheetViews>
  <sheetFormatPr defaultColWidth="0" defaultRowHeight="14.4" customHeight="1" x14ac:dyDescent="0.3"/>
  <cols>
    <col min="1" max="1" width="35.6640625" style="1" customWidth="1"/>
    <col min="2" max="4" width="8.88671875" style="2" customWidth="1"/>
    <col min="5" max="5" width="6.33203125" style="2" customWidth="1"/>
    <col min="6" max="6" width="11.44140625" style="449" customWidth="1"/>
    <col min="7" max="7" width="13.88671875" style="449" bestFit="1" customWidth="1"/>
    <col min="8" max="15" width="12.88671875" style="449" bestFit="1" customWidth="1"/>
    <col min="16" max="16" width="11.44140625" style="449" bestFit="1" customWidth="1"/>
    <col min="17" max="20" width="8.88671875" style="2" customWidth="1"/>
    <col min="21" max="16384" width="8.88671875" style="2" hidden="1"/>
  </cols>
  <sheetData>
    <row r="1" spans="1:16" x14ac:dyDescent="0.3">
      <c r="F1" s="2"/>
      <c r="G1" s="2"/>
      <c r="H1" s="2"/>
      <c r="I1" s="2"/>
      <c r="J1" s="2"/>
      <c r="K1" s="2"/>
      <c r="L1" s="2"/>
      <c r="M1" s="2"/>
      <c r="N1" s="2"/>
      <c r="O1" s="2"/>
      <c r="P1" s="2"/>
    </row>
    <row r="2" spans="1:16" x14ac:dyDescent="0.3">
      <c r="F2" s="2"/>
      <c r="G2" s="2"/>
      <c r="H2" s="2"/>
      <c r="I2" s="2"/>
      <c r="J2" s="2"/>
      <c r="K2" s="2"/>
      <c r="L2" s="2"/>
      <c r="M2" s="2"/>
      <c r="N2" s="2"/>
      <c r="O2" s="2"/>
      <c r="P2" s="2"/>
    </row>
    <row r="3" spans="1:16" x14ac:dyDescent="0.3">
      <c r="F3" s="2"/>
      <c r="G3" s="2"/>
      <c r="H3" s="2"/>
      <c r="I3" s="2"/>
      <c r="J3" s="2"/>
      <c r="K3" s="2"/>
      <c r="L3" s="2"/>
      <c r="M3" s="2"/>
      <c r="N3" s="2"/>
      <c r="O3" s="2"/>
      <c r="P3" s="2"/>
    </row>
    <row r="4" spans="1:16" x14ac:dyDescent="0.3">
      <c r="F4" s="2"/>
      <c r="G4" s="2"/>
      <c r="H4" s="2"/>
      <c r="I4" s="458">
        <f>Dashboard!I4</f>
        <v>0</v>
      </c>
      <c r="J4" s="458"/>
      <c r="K4" s="458"/>
      <c r="L4" s="458"/>
      <c r="M4" s="2"/>
      <c r="N4" s="2"/>
      <c r="O4" s="2"/>
      <c r="P4" s="2"/>
    </row>
    <row r="5" spans="1:16" x14ac:dyDescent="0.3">
      <c r="F5" s="2"/>
      <c r="G5" s="2"/>
      <c r="H5" s="2"/>
      <c r="I5" s="459"/>
      <c r="J5" s="459"/>
      <c r="K5" s="459"/>
      <c r="L5" s="459"/>
      <c r="M5" s="2"/>
      <c r="N5" s="2"/>
      <c r="O5" s="2"/>
      <c r="P5" s="2"/>
    </row>
    <row r="6" spans="1:16" x14ac:dyDescent="0.3">
      <c r="F6" s="2"/>
      <c r="G6" s="2"/>
      <c r="H6" s="2"/>
      <c r="I6" s="2"/>
      <c r="J6" s="2"/>
      <c r="K6" s="2"/>
      <c r="L6" s="2"/>
      <c r="M6" s="2"/>
      <c r="N6" s="2"/>
      <c r="O6" s="2"/>
      <c r="P6" s="2"/>
    </row>
    <row r="7" spans="1:16" ht="30" customHeight="1" x14ac:dyDescent="0.3">
      <c r="A7" s="3" t="s">
        <v>0</v>
      </c>
      <c r="F7" s="2"/>
      <c r="G7" s="2"/>
      <c r="H7" s="2"/>
      <c r="I7" s="2"/>
      <c r="J7" s="2"/>
      <c r="K7" s="2"/>
      <c r="L7" s="2"/>
      <c r="M7" s="2"/>
      <c r="N7" s="2"/>
      <c r="O7" s="2"/>
      <c r="P7" s="2"/>
    </row>
    <row r="8" spans="1:16" ht="30" customHeight="1" thickBot="1" x14ac:dyDescent="0.35">
      <c r="A8" s="5" t="s">
        <v>1</v>
      </c>
      <c r="F8" s="2"/>
      <c r="G8" s="2"/>
      <c r="H8" s="2"/>
      <c r="I8" s="2"/>
      <c r="J8" s="2"/>
      <c r="K8" s="2"/>
      <c r="L8" s="2"/>
      <c r="M8" s="2"/>
      <c r="N8" s="2"/>
      <c r="O8" s="2"/>
      <c r="P8" s="2"/>
    </row>
    <row r="9" spans="1:16" ht="30" customHeight="1" x14ac:dyDescent="0.3">
      <c r="A9" s="4" t="s">
        <v>2</v>
      </c>
      <c r="E9" s="441"/>
      <c r="F9" s="442"/>
      <c r="G9" s="442"/>
      <c r="H9" s="442"/>
      <c r="I9" s="442"/>
      <c r="J9" s="442"/>
      <c r="K9" s="442"/>
      <c r="L9" s="442"/>
      <c r="M9" s="442"/>
      <c r="N9" s="442"/>
      <c r="O9" s="442"/>
      <c r="P9" s="443"/>
    </row>
    <row r="10" spans="1:16" ht="30" customHeight="1" x14ac:dyDescent="0.3">
      <c r="A10" s="4" t="s">
        <v>4</v>
      </c>
      <c r="E10" s="460" t="s">
        <v>16</v>
      </c>
      <c r="F10" s="61">
        <f>Dashboard!I9</f>
        <v>0.13949345999999999</v>
      </c>
      <c r="G10" s="62">
        <f>AVERAGE(SUM('DRE + DCF'!$W$31,'DRE + DCF'!$W$32,-'DRE + DCF'!$W$32*('DRE + DCF'!$V$33+G$21)/'DRE + DCF'!$V$33,-'DRE + DCF'!$V$56*G$19),'DRE + DCF'!$W$31*(1-G$19/$F10))</f>
        <v>1639519.6573096747</v>
      </c>
      <c r="H10" s="62">
        <f>AVERAGE(SUM('DRE + DCF'!$W$31,'DRE + DCF'!$W$32,-'DRE + DCF'!$W$32*('DRE + DCF'!$V$33+H$21)/'DRE + DCF'!$V$33,-'DRE + DCF'!$V$56*H$19),'DRE + DCF'!$W$31*(1-H$19/$F10))</f>
        <v>1593717.3065854635</v>
      </c>
      <c r="I10" s="62">
        <f>AVERAGE(SUM('DRE + DCF'!$W$31,'DRE + DCF'!$W$32,-'DRE + DCF'!$W$32*('DRE + DCF'!$V$33+I$21)/'DRE + DCF'!$V$33,-'DRE + DCF'!$V$56*I$19),'DRE + DCF'!$W$31*(1-I$19/$F10))</f>
        <v>1547914.9558612523</v>
      </c>
      <c r="J10" s="62">
        <f>AVERAGE(SUM('DRE + DCF'!$W$31,'DRE + DCF'!$W$32,-'DRE + DCF'!$W$32*('DRE + DCF'!$V$33+J$21)/'DRE + DCF'!$V$33,-'DRE + DCF'!$V$56*J$19),'DRE + DCF'!$W$31*(1-J$19/$F10))</f>
        <v>1502112.6051370408</v>
      </c>
      <c r="K10" s="62">
        <f>AVERAGE(SUM('DRE + DCF'!$W$31,'DRE + DCF'!$W$32,-'DRE + DCF'!$W$32*('DRE + DCF'!$V$33+K$21)/'DRE + DCF'!$V$33,-'DRE + DCF'!$V$56*K$19),'DRE + DCF'!$W$31*(1-K$19/$F10))</f>
        <v>1456310.2544128296</v>
      </c>
      <c r="L10" s="62">
        <f>AVERAGE(SUM('DRE + DCF'!$W$31,'DRE + DCF'!$W$32,-'DRE + DCF'!$W$32*('DRE + DCF'!$V$33+L$21)/'DRE + DCF'!$V$33,-'DRE + DCF'!$V$56*L$19),'DRE + DCF'!$W$31*(1-L$19/$F10))</f>
        <v>1410507.9036886184</v>
      </c>
      <c r="M10" s="62">
        <f>AVERAGE(SUM('DRE + DCF'!$W$31,'DRE + DCF'!$W$32,-'DRE + DCF'!$W$32*('DRE + DCF'!$V$33+M$21)/'DRE + DCF'!$V$33,-'DRE + DCF'!$V$56*M$19),'DRE + DCF'!$W$31*(1-M$19/$F10))</f>
        <v>1364705.5529644075</v>
      </c>
      <c r="N10" s="62">
        <f>AVERAGE(SUM('DRE + DCF'!$W$31,'DRE + DCF'!$W$32,-'DRE + DCF'!$W$32*('DRE + DCF'!$V$33+N$21)/'DRE + DCF'!$V$33,-'DRE + DCF'!$V$56*N$19),'DRE + DCF'!$W$31*(1-N$19/$F10))</f>
        <v>1318903.2022401961</v>
      </c>
      <c r="O10" s="62">
        <f>AVERAGE(SUM('DRE + DCF'!$W$31,'DRE + DCF'!$W$32,-'DRE + DCF'!$W$32*('DRE + DCF'!$V$33+O$21)/'DRE + DCF'!$V$33,-'DRE + DCF'!$V$56*O$19),'DRE + DCF'!$W$31*(1-O$19/$F10))</f>
        <v>1273100.8515159851</v>
      </c>
      <c r="P10" s="63">
        <f>AVERAGE(SUM('DRE + DCF'!$W$31,'DRE + DCF'!$W$32,-'DRE + DCF'!$W$32*('DRE + DCF'!$V$33+P$21)/'DRE + DCF'!$V$33,-'DRE + DCF'!$V$56*P$19),'DRE + DCF'!$W$31*(1-P$19/$F10))</f>
        <v>1227298.5007917737</v>
      </c>
    </row>
    <row r="11" spans="1:16" ht="30" customHeight="1" x14ac:dyDescent="0.3">
      <c r="A11" s="4" t="s">
        <v>413</v>
      </c>
      <c r="E11" s="460"/>
      <c r="F11" s="61">
        <f>Dashboard!I10</f>
        <v>0.14449345999999999</v>
      </c>
      <c r="G11" s="62">
        <f>AVERAGE(SUM('DRE + DCF'!$W$31,'DRE + DCF'!$W$32,-'DRE + DCF'!$W$32*('DRE + DCF'!$V$33+G$21)/'DRE + DCF'!$V$33,-'DRE + DCF'!$V$56*G$19),'DRE + DCF'!$W$31*(1-G$19/$F11))</f>
        <v>1661524.0987578328</v>
      </c>
      <c r="H11" s="62">
        <f>AVERAGE(SUM('DRE + DCF'!$W$31,'DRE + DCF'!$W$32,-'DRE + DCF'!$W$32*('DRE + DCF'!$V$33+H$21)/'DRE + DCF'!$V$33,-'DRE + DCF'!$V$56*H$19),'DRE + DCF'!$W$31*(1-H$19/$F11))</f>
        <v>1616587.3830237142</v>
      </c>
      <c r="I11" s="62">
        <f>AVERAGE(SUM('DRE + DCF'!$W$31,'DRE + DCF'!$W$32,-'DRE + DCF'!$W$32*('DRE + DCF'!$V$33+I$21)/'DRE + DCF'!$V$33,-'DRE + DCF'!$V$56*I$19),'DRE + DCF'!$W$31*(1-I$19/$F11))</f>
        <v>1571650.6672895956</v>
      </c>
      <c r="J11" s="62">
        <f>AVERAGE(SUM('DRE + DCF'!$W$31,'DRE + DCF'!$W$32,-'DRE + DCF'!$W$32*('DRE + DCF'!$V$33+J$21)/'DRE + DCF'!$V$33,-'DRE + DCF'!$V$56*J$19),'DRE + DCF'!$W$31*(1-J$19/$F11))</f>
        <v>1526713.9515554772</v>
      </c>
      <c r="K11" s="62">
        <f>AVERAGE(SUM('DRE + DCF'!$W$31,'DRE + DCF'!$W$32,-'DRE + DCF'!$W$32*('DRE + DCF'!$V$33+K$21)/'DRE + DCF'!$V$33,-'DRE + DCF'!$V$56*K$19),'DRE + DCF'!$W$31*(1-K$19/$F11))</f>
        <v>1481777.2358213589</v>
      </c>
      <c r="L11" s="62">
        <f>AVERAGE(SUM('DRE + DCF'!$W$31,'DRE + DCF'!$W$32,-'DRE + DCF'!$W$32*('DRE + DCF'!$V$33+L$21)/'DRE + DCF'!$V$33,-'DRE + DCF'!$V$56*L$19),'DRE + DCF'!$W$31*(1-L$19/$F11))</f>
        <v>1436840.5200872403</v>
      </c>
      <c r="M11" s="62">
        <f>AVERAGE(SUM('DRE + DCF'!$W$31,'DRE + DCF'!$W$32,-'DRE + DCF'!$W$32*('DRE + DCF'!$V$33+M$21)/'DRE + DCF'!$V$33,-'DRE + DCF'!$V$56*M$19),'DRE + DCF'!$W$31*(1-M$19/$F11))</f>
        <v>1391903.8043531221</v>
      </c>
      <c r="N11" s="62">
        <f>AVERAGE(SUM('DRE + DCF'!$W$31,'DRE + DCF'!$W$32,-'DRE + DCF'!$W$32*('DRE + DCF'!$V$33+N$21)/'DRE + DCF'!$V$33,-'DRE + DCF'!$V$56*N$19),'DRE + DCF'!$W$31*(1-N$19/$F11))</f>
        <v>1346967.0886190035</v>
      </c>
      <c r="O11" s="62">
        <f>AVERAGE(SUM('DRE + DCF'!$W$31,'DRE + DCF'!$W$32,-'DRE + DCF'!$W$32*('DRE + DCF'!$V$33+O$21)/'DRE + DCF'!$V$33,-'DRE + DCF'!$V$56*O$19),'DRE + DCF'!$W$31*(1-O$19/$F11))</f>
        <v>1302030.3728848852</v>
      </c>
      <c r="P11" s="63">
        <f>AVERAGE(SUM('DRE + DCF'!$W$31,'DRE + DCF'!$W$32,-'DRE + DCF'!$W$32*('DRE + DCF'!$V$33+P$21)/'DRE + DCF'!$V$33,-'DRE + DCF'!$V$56*P$19),'DRE + DCF'!$W$31*(1-P$19/$F11))</f>
        <v>1257093.6571507668</v>
      </c>
    </row>
    <row r="12" spans="1:16" ht="30" customHeight="1" x14ac:dyDescent="0.3">
      <c r="A12" s="4" t="s">
        <v>8</v>
      </c>
      <c r="E12" s="460"/>
      <c r="F12" s="61">
        <f>Dashboard!I11</f>
        <v>0.14949345999999999</v>
      </c>
      <c r="G12" s="62">
        <f>AVERAGE(SUM('DRE + DCF'!$W$31,'DRE + DCF'!$W$32,-'DRE + DCF'!$W$32*('DRE + DCF'!$V$33+G$21)/'DRE + DCF'!$V$33,-'DRE + DCF'!$V$56*G$19),'DRE + DCF'!$W$31*(1-G$19/$F12))</f>
        <v>1682056.6068218709</v>
      </c>
      <c r="H12" s="62">
        <f>AVERAGE(SUM('DRE + DCF'!$W$31,'DRE + DCF'!$W$32,-'DRE + DCF'!$W$32*('DRE + DCF'!$V$33+H$21)/'DRE + DCF'!$V$33,-'DRE + DCF'!$V$56*H$19),'DRE + DCF'!$W$31*(1-H$19/$F12))</f>
        <v>1637927.6215387373</v>
      </c>
      <c r="I12" s="62">
        <f>AVERAGE(SUM('DRE + DCF'!$W$31,'DRE + DCF'!$W$32,-'DRE + DCF'!$W$32*('DRE + DCF'!$V$33+I$21)/'DRE + DCF'!$V$33,-'DRE + DCF'!$V$56*I$19),'DRE + DCF'!$W$31*(1-I$19/$F12))</f>
        <v>1593798.636255604</v>
      </c>
      <c r="J12" s="62">
        <f>AVERAGE(SUM('DRE + DCF'!$W$31,'DRE + DCF'!$W$32,-'DRE + DCF'!$W$32*('DRE + DCF'!$V$33+J$21)/'DRE + DCF'!$V$33,-'DRE + DCF'!$V$56*J$19),'DRE + DCF'!$W$31*(1-J$19/$F12))</f>
        <v>1549669.6509724702</v>
      </c>
      <c r="K12" s="62">
        <f>AVERAGE(SUM('DRE + DCF'!$W$31,'DRE + DCF'!$W$32,-'DRE + DCF'!$W$32*('DRE + DCF'!$V$33+K$21)/'DRE + DCF'!$V$33,-'DRE + DCF'!$V$56*K$19),'DRE + DCF'!$W$31*(1-K$19/$F12))</f>
        <v>1505540.6656893368</v>
      </c>
      <c r="L12" s="62">
        <f>AVERAGE(SUM('DRE + DCF'!$W$31,'DRE + DCF'!$W$32,-'DRE + DCF'!$W$32*('DRE + DCF'!$V$33+L$21)/'DRE + DCF'!$V$33,-'DRE + DCF'!$V$56*L$19),'DRE + DCF'!$W$31*(1-L$19/$F12))</f>
        <v>1461411.6804062035</v>
      </c>
      <c r="M12" s="62">
        <f>AVERAGE(SUM('DRE + DCF'!$W$31,'DRE + DCF'!$W$32,-'DRE + DCF'!$W$32*('DRE + DCF'!$V$33+M$21)/'DRE + DCF'!$V$33,-'DRE + DCF'!$V$56*M$19),'DRE + DCF'!$W$31*(1-M$19/$F12))</f>
        <v>1417282.6951230704</v>
      </c>
      <c r="N12" s="62">
        <f>AVERAGE(SUM('DRE + DCF'!$W$31,'DRE + DCF'!$W$32,-'DRE + DCF'!$W$32*('DRE + DCF'!$V$33+N$21)/'DRE + DCF'!$V$33,-'DRE + DCF'!$V$56*N$19),'DRE + DCF'!$W$31*(1-N$19/$F12))</f>
        <v>1373153.7098399368</v>
      </c>
      <c r="O12" s="62">
        <f>AVERAGE(SUM('DRE + DCF'!$W$31,'DRE + DCF'!$W$32,-'DRE + DCF'!$W$32*('DRE + DCF'!$V$33+O$21)/'DRE + DCF'!$V$33,-'DRE + DCF'!$V$56*O$19),'DRE + DCF'!$W$31*(1-O$19/$F12))</f>
        <v>1329024.7245568032</v>
      </c>
      <c r="P12" s="63">
        <f>AVERAGE(SUM('DRE + DCF'!$W$31,'DRE + DCF'!$W$32,-'DRE + DCF'!$W$32*('DRE + DCF'!$V$33+P$21)/'DRE + DCF'!$V$33,-'DRE + DCF'!$V$56*P$19),'DRE + DCF'!$W$31*(1-P$19/$F12))</f>
        <v>1284895.7392736697</v>
      </c>
    </row>
    <row r="13" spans="1:16" ht="30" customHeight="1" x14ac:dyDescent="0.3">
      <c r="A13" s="4" t="s">
        <v>10</v>
      </c>
      <c r="E13" s="460"/>
      <c r="F13" s="61">
        <f>Dashboard!I12</f>
        <v>0.15449346</v>
      </c>
      <c r="G13" s="62">
        <f>AVERAGE(SUM('DRE + DCF'!$W$31,'DRE + DCF'!$W$32,-'DRE + DCF'!$W$32*('DRE + DCF'!$V$33+G$21)/'DRE + DCF'!$V$33,-'DRE + DCF'!$V$56*G$19),'DRE + DCF'!$W$31*(1-G$19/$F13))</f>
        <v>1701260.0937050749</v>
      </c>
      <c r="H13" s="62">
        <f>AVERAGE(SUM('DRE + DCF'!$W$31,'DRE + DCF'!$W$32,-'DRE + DCF'!$W$32*('DRE + DCF'!$V$33+H$21)/'DRE + DCF'!$V$33,-'DRE + DCF'!$V$56*H$19),'DRE + DCF'!$W$31*(1-H$19/$F13))</f>
        <v>1657886.5563717133</v>
      </c>
      <c r="I13" s="62">
        <f>AVERAGE(SUM('DRE + DCF'!$W$31,'DRE + DCF'!$W$32,-'DRE + DCF'!$W$32*('DRE + DCF'!$V$33+I$21)/'DRE + DCF'!$V$33,-'DRE + DCF'!$V$56*I$19),'DRE + DCF'!$W$31*(1-I$19/$F13))</f>
        <v>1614513.0190383517</v>
      </c>
      <c r="J13" s="62">
        <f>AVERAGE(SUM('DRE + DCF'!$W$31,'DRE + DCF'!$W$32,-'DRE + DCF'!$W$32*('DRE + DCF'!$V$33+J$21)/'DRE + DCF'!$V$33,-'DRE + DCF'!$V$56*J$19),'DRE + DCF'!$W$31*(1-J$19/$F13))</f>
        <v>1571139.4817049904</v>
      </c>
      <c r="K13" s="62">
        <f>AVERAGE(SUM('DRE + DCF'!$W$31,'DRE + DCF'!$W$32,-'DRE + DCF'!$W$32*('DRE + DCF'!$V$33+K$21)/'DRE + DCF'!$V$33,-'DRE + DCF'!$V$56*K$19),'DRE + DCF'!$W$31*(1-K$19/$F13))</f>
        <v>1527765.9443716286</v>
      </c>
      <c r="L13" s="62">
        <f>AVERAGE(SUM('DRE + DCF'!$W$31,'DRE + DCF'!$W$32,-'DRE + DCF'!$W$32*('DRE + DCF'!$V$33+L$21)/'DRE + DCF'!$V$33,-'DRE + DCF'!$V$56*L$19),'DRE + DCF'!$W$31*(1-L$19/$F13))</f>
        <v>1484392.4070382672</v>
      </c>
      <c r="M13" s="62">
        <f>AVERAGE(SUM('DRE + DCF'!$W$31,'DRE + DCF'!$W$32,-'DRE + DCF'!$W$32*('DRE + DCF'!$V$33+M$21)/'DRE + DCF'!$V$33,-'DRE + DCF'!$V$56*M$19),'DRE + DCF'!$W$31*(1-M$19/$F13))</f>
        <v>1441018.8697049059</v>
      </c>
      <c r="N13" s="62">
        <f>AVERAGE(SUM('DRE + DCF'!$W$31,'DRE + DCF'!$W$32,-'DRE + DCF'!$W$32*('DRE + DCF'!$V$33+N$21)/'DRE + DCF'!$V$33,-'DRE + DCF'!$V$56*N$19),'DRE + DCF'!$W$31*(1-N$19/$F13))</f>
        <v>1397645.3323715446</v>
      </c>
      <c r="O13" s="62">
        <f>AVERAGE(SUM('DRE + DCF'!$W$31,'DRE + DCF'!$W$32,-'DRE + DCF'!$W$32*('DRE + DCF'!$V$33+O$21)/'DRE + DCF'!$V$33,-'DRE + DCF'!$V$56*O$19),'DRE + DCF'!$W$31*(1-O$19/$F13))</f>
        <v>1354271.7950381832</v>
      </c>
      <c r="P13" s="63">
        <f>AVERAGE(SUM('DRE + DCF'!$W$31,'DRE + DCF'!$W$32,-'DRE + DCF'!$W$32*('DRE + DCF'!$V$33+P$21)/'DRE + DCF'!$V$33,-'DRE + DCF'!$V$56*P$19),'DRE + DCF'!$W$31*(1-P$19/$F13))</f>
        <v>1310898.2577048214</v>
      </c>
    </row>
    <row r="14" spans="1:16" ht="30" customHeight="1" x14ac:dyDescent="0.3">
      <c r="A14" s="4" t="s">
        <v>419</v>
      </c>
      <c r="E14" s="460"/>
      <c r="F14" s="61">
        <f>Dashboard!I13</f>
        <v>0.15949346</v>
      </c>
      <c r="G14" s="62">
        <f>AVERAGE(SUM('DRE + DCF'!$W$31,'DRE + DCF'!$W$32,-'DRE + DCF'!$W$32*('DRE + DCF'!$V$33+G$21)/'DRE + DCF'!$V$33,-'DRE + DCF'!$V$56*G$19),'DRE + DCF'!$W$31*(1-G$19/$F14))</f>
        <v>1719259.5508504321</v>
      </c>
      <c r="H14" s="62">
        <f>AVERAGE(SUM('DRE + DCF'!$W$31,'DRE + DCF'!$W$32,-'DRE + DCF'!$W$32*('DRE + DCF'!$V$33+H$21)/'DRE + DCF'!$V$33,-'DRE + DCF'!$V$56*H$19),'DRE + DCF'!$W$31*(1-H$19/$F14))</f>
        <v>1676594.096016888</v>
      </c>
      <c r="I14" s="62">
        <f>AVERAGE(SUM('DRE + DCF'!$W$31,'DRE + DCF'!$W$32,-'DRE + DCF'!$W$32*('DRE + DCF'!$V$33+I$21)/'DRE + DCF'!$V$33,-'DRE + DCF'!$V$56*I$19),'DRE + DCF'!$W$31*(1-I$19/$F14))</f>
        <v>1633928.6411833437</v>
      </c>
      <c r="J14" s="62">
        <f>AVERAGE(SUM('DRE + DCF'!$W$31,'DRE + DCF'!$W$32,-'DRE + DCF'!$W$32*('DRE + DCF'!$V$33+J$21)/'DRE + DCF'!$V$33,-'DRE + DCF'!$V$56*J$19),'DRE + DCF'!$W$31*(1-J$19/$F14))</f>
        <v>1591263.1863497996</v>
      </c>
      <c r="K14" s="62">
        <f>AVERAGE(SUM('DRE + DCF'!$W$31,'DRE + DCF'!$W$32,-'DRE + DCF'!$W$32*('DRE + DCF'!$V$33+K$21)/'DRE + DCF'!$V$33,-'DRE + DCF'!$V$56*K$19),'DRE + DCF'!$W$31*(1-K$19/$F14))</f>
        <v>1548597.7315162555</v>
      </c>
      <c r="L14" s="62">
        <f>AVERAGE(SUM('DRE + DCF'!$W$31,'DRE + DCF'!$W$32,-'DRE + DCF'!$W$32*('DRE + DCF'!$V$33+L$21)/'DRE + DCF'!$V$33,-'DRE + DCF'!$V$56*L$19),'DRE + DCF'!$W$31*(1-L$19/$F14))</f>
        <v>1505932.2766827112</v>
      </c>
      <c r="M14" s="62">
        <f>AVERAGE(SUM('DRE + DCF'!$W$31,'DRE + DCF'!$W$32,-'DRE + DCF'!$W$32*('DRE + DCF'!$V$33+M$21)/'DRE + DCF'!$V$33,-'DRE + DCF'!$V$56*M$19),'DRE + DCF'!$W$31*(1-M$19/$F14))</f>
        <v>1463266.8218491673</v>
      </c>
      <c r="N14" s="62">
        <f>AVERAGE(SUM('DRE + DCF'!$W$31,'DRE + DCF'!$W$32,-'DRE + DCF'!$W$32*('DRE + DCF'!$V$33+N$21)/'DRE + DCF'!$V$33,-'DRE + DCF'!$V$56*N$19),'DRE + DCF'!$W$31*(1-N$19/$F14))</f>
        <v>1420601.3670156235</v>
      </c>
      <c r="O14" s="62">
        <f>AVERAGE(SUM('DRE + DCF'!$W$31,'DRE + DCF'!$W$32,-'DRE + DCF'!$W$32*('DRE + DCF'!$V$33+O$21)/'DRE + DCF'!$V$33,-'DRE + DCF'!$V$56*O$19),'DRE + DCF'!$W$31*(1-O$19/$F14))</f>
        <v>1377935.9121820792</v>
      </c>
      <c r="P14" s="63">
        <f>AVERAGE(SUM('DRE + DCF'!$W$31,'DRE + DCF'!$W$32,-'DRE + DCF'!$W$32*('DRE + DCF'!$V$33+P$21)/'DRE + DCF'!$V$33,-'DRE + DCF'!$V$56*P$19),'DRE + DCF'!$W$31*(1-P$19/$F14))</f>
        <v>1335270.4573485351</v>
      </c>
    </row>
    <row r="15" spans="1:16" ht="30" customHeight="1" x14ac:dyDescent="0.3">
      <c r="A15" s="4" t="s">
        <v>12</v>
      </c>
      <c r="E15" s="460"/>
      <c r="F15" s="61">
        <f>Dashboard!I14</f>
        <v>0.16449346000000001</v>
      </c>
      <c r="G15" s="62">
        <f>AVERAGE(SUM('DRE + DCF'!$W$31,'DRE + DCF'!$W$32,-'DRE + DCF'!$W$32*('DRE + DCF'!$V$33+G$21)/'DRE + DCF'!$V$33,-'DRE + DCF'!$V$56*G$19),'DRE + DCF'!$W$31*(1-G$19/$F15))</f>
        <v>1736164.7725687181</v>
      </c>
      <c r="H15" s="62">
        <f>AVERAGE(SUM('DRE + DCF'!$W$31,'DRE + DCF'!$W$32,-'DRE + DCF'!$W$32*('DRE + DCF'!$V$33+H$21)/'DRE + DCF'!$V$33,-'DRE + DCF'!$V$56*H$19),'DRE + DCF'!$W$31*(1-H$19/$F15))</f>
        <v>1694164.3539947444</v>
      </c>
      <c r="I15" s="62">
        <f>AVERAGE(SUM('DRE + DCF'!$W$31,'DRE + DCF'!$W$32,-'DRE + DCF'!$W$32*('DRE + DCF'!$V$33+I$21)/'DRE + DCF'!$V$33,-'DRE + DCF'!$V$56*I$19),'DRE + DCF'!$W$31*(1-I$19/$F15))</f>
        <v>1652163.9354207709</v>
      </c>
      <c r="J15" s="62">
        <f>AVERAGE(SUM('DRE + DCF'!$W$31,'DRE + DCF'!$W$32,-'DRE + DCF'!$W$32*('DRE + DCF'!$V$33+J$21)/'DRE + DCF'!$V$33,-'DRE + DCF'!$V$56*J$19),'DRE + DCF'!$W$31*(1-J$19/$F15))</f>
        <v>1610163.5168467974</v>
      </c>
      <c r="K15" s="62">
        <f>AVERAGE(SUM('DRE + DCF'!$W$31,'DRE + DCF'!$W$32,-'DRE + DCF'!$W$32*('DRE + DCF'!$V$33+K$21)/'DRE + DCF'!$V$33,-'DRE + DCF'!$V$56*K$19),'DRE + DCF'!$W$31*(1-K$19/$F15))</f>
        <v>1568163.098272824</v>
      </c>
      <c r="L15" s="62">
        <f>AVERAGE(SUM('DRE + DCF'!$W$31,'DRE + DCF'!$W$32,-'DRE + DCF'!$W$32*('DRE + DCF'!$V$33+L$21)/'DRE + DCF'!$V$33,-'DRE + DCF'!$V$56*L$19),'DRE + DCF'!$W$31*(1-L$19/$F15))</f>
        <v>1526162.6796988505</v>
      </c>
      <c r="M15" s="62">
        <f>AVERAGE(SUM('DRE + DCF'!$W$31,'DRE + DCF'!$W$32,-'DRE + DCF'!$W$32*('DRE + DCF'!$V$33+M$21)/'DRE + DCF'!$V$33,-'DRE + DCF'!$V$56*M$19),'DRE + DCF'!$W$31*(1-M$19/$F15))</f>
        <v>1484162.2611248773</v>
      </c>
      <c r="N15" s="62">
        <f>AVERAGE(SUM('DRE + DCF'!$W$31,'DRE + DCF'!$W$32,-'DRE + DCF'!$W$32*('DRE + DCF'!$V$33+N$21)/'DRE + DCF'!$V$33,-'DRE + DCF'!$V$56*N$19),'DRE + DCF'!$W$31*(1-N$19/$F15))</f>
        <v>1442161.8425509036</v>
      </c>
      <c r="O15" s="62">
        <f>AVERAGE(SUM('DRE + DCF'!$W$31,'DRE + DCF'!$W$32,-'DRE + DCF'!$W$32*('DRE + DCF'!$V$33+O$21)/'DRE + DCF'!$V$33,-'DRE + DCF'!$V$56*O$19),'DRE + DCF'!$W$31*(1-O$19/$F15))</f>
        <v>1400161.4239769303</v>
      </c>
      <c r="P15" s="63">
        <f>AVERAGE(SUM('DRE + DCF'!$W$31,'DRE + DCF'!$W$32,-'DRE + DCF'!$W$32*('DRE + DCF'!$V$33+P$21)/'DRE + DCF'!$V$33,-'DRE + DCF'!$V$56*P$19),'DRE + DCF'!$W$31*(1-P$19/$F15))</f>
        <v>1358161.0054029566</v>
      </c>
    </row>
    <row r="16" spans="1:16" ht="30" customHeight="1" x14ac:dyDescent="0.3">
      <c r="E16" s="460"/>
      <c r="F16" s="61">
        <f>Dashboard!I15</f>
        <v>0.16949346000000001</v>
      </c>
      <c r="G16" s="62">
        <f>AVERAGE(SUM('DRE + DCF'!$W$31,'DRE + DCF'!$W$32,-'DRE + DCF'!$W$32*('DRE + DCF'!$V$33+G$21)/'DRE + DCF'!$V$33,-'DRE + DCF'!$V$56*G$19),'DRE + DCF'!$W$31*(1-G$19/$F16))</f>
        <v>1752072.597589911</v>
      </c>
      <c r="H16" s="62">
        <f>AVERAGE(SUM('DRE + DCF'!$W$31,'DRE + DCF'!$W$32,-'DRE + DCF'!$W$32*('DRE + DCF'!$V$33+H$21)/'DRE + DCF'!$V$33,-'DRE + DCF'!$V$56*H$19),'DRE + DCF'!$W$31*(1-H$19/$F16))</f>
        <v>1710697.9785840409</v>
      </c>
      <c r="I16" s="62">
        <f>AVERAGE(SUM('DRE + DCF'!$W$31,'DRE + DCF'!$W$32,-'DRE + DCF'!$W$32*('DRE + DCF'!$V$33+I$21)/'DRE + DCF'!$V$33,-'DRE + DCF'!$V$56*I$19),'DRE + DCF'!$W$31*(1-I$19/$F16))</f>
        <v>1669323.359578171</v>
      </c>
      <c r="J16" s="62">
        <f>AVERAGE(SUM('DRE + DCF'!$W$31,'DRE + DCF'!$W$32,-'DRE + DCF'!$W$32*('DRE + DCF'!$V$33+J$21)/'DRE + DCF'!$V$33,-'DRE + DCF'!$V$56*J$19),'DRE + DCF'!$W$31*(1-J$19/$F16))</f>
        <v>1627948.7405723012</v>
      </c>
      <c r="K16" s="62">
        <f>AVERAGE(SUM('DRE + DCF'!$W$31,'DRE + DCF'!$W$32,-'DRE + DCF'!$W$32*('DRE + DCF'!$V$33+K$21)/'DRE + DCF'!$V$33,-'DRE + DCF'!$V$56*K$19),'DRE + DCF'!$W$31*(1-K$19/$F16))</f>
        <v>1586574.1215664311</v>
      </c>
      <c r="L16" s="62">
        <f>AVERAGE(SUM('DRE + DCF'!$W$31,'DRE + DCF'!$W$32,-'DRE + DCF'!$W$32*('DRE + DCF'!$V$33+L$21)/'DRE + DCF'!$V$33,-'DRE + DCF'!$V$56*L$19),'DRE + DCF'!$W$31*(1-L$19/$F16))</f>
        <v>1545199.5025605613</v>
      </c>
      <c r="M16" s="62">
        <f>AVERAGE(SUM('DRE + DCF'!$W$31,'DRE + DCF'!$W$32,-'DRE + DCF'!$W$32*('DRE + DCF'!$V$33+M$21)/'DRE + DCF'!$V$33,-'DRE + DCF'!$V$56*M$19),'DRE + DCF'!$W$31*(1-M$19/$F16))</f>
        <v>1503824.8835546914</v>
      </c>
      <c r="N16" s="62">
        <f>AVERAGE(SUM('DRE + DCF'!$W$31,'DRE + DCF'!$W$32,-'DRE + DCF'!$W$32*('DRE + DCF'!$V$33+N$21)/'DRE + DCF'!$V$33,-'DRE + DCF'!$V$56*N$19),'DRE + DCF'!$W$31*(1-N$19/$F16))</f>
        <v>1462450.2645488216</v>
      </c>
      <c r="O16" s="62">
        <f>AVERAGE(SUM('DRE + DCF'!$W$31,'DRE + DCF'!$W$32,-'DRE + DCF'!$W$32*('DRE + DCF'!$V$33+O$21)/'DRE + DCF'!$V$33,-'DRE + DCF'!$V$56*O$19),'DRE + DCF'!$W$31*(1-O$19/$F16))</f>
        <v>1421075.6455429518</v>
      </c>
      <c r="P16" s="63">
        <f>AVERAGE(SUM('DRE + DCF'!$W$31,'DRE + DCF'!$W$32,-'DRE + DCF'!$W$32*('DRE + DCF'!$V$33+P$21)/'DRE + DCF'!$V$33,-'DRE + DCF'!$V$56*P$19),'DRE + DCF'!$W$31*(1-P$19/$F16))</f>
        <v>1379701.0265370817</v>
      </c>
    </row>
    <row r="17" spans="1:16" ht="30" customHeight="1" x14ac:dyDescent="0.3">
      <c r="A17" s="20"/>
      <c r="E17" s="460"/>
      <c r="F17" s="61">
        <f>Dashboard!I16</f>
        <v>0.17449346000000002</v>
      </c>
      <c r="G17" s="62">
        <f>AVERAGE(SUM('DRE + DCF'!$W$31,'DRE + DCF'!$W$32,-'DRE + DCF'!$W$32*('DRE + DCF'!$V$33+G$21)/'DRE + DCF'!$V$33,-'DRE + DCF'!$V$56*G$19),'DRE + DCF'!$W$31*(1-G$19/$F17))</f>
        <v>1767068.76523316</v>
      </c>
      <c r="H17" s="62">
        <f>AVERAGE(SUM('DRE + DCF'!$W$31,'DRE + DCF'!$W$32,-'DRE + DCF'!$W$32*('DRE + DCF'!$V$33+H$21)/'DRE + DCF'!$V$33,-'DRE + DCF'!$V$56*H$19),'DRE + DCF'!$W$31*(1-H$19/$F17))</f>
        <v>1726284.0820118394</v>
      </c>
      <c r="I17" s="62">
        <f>AVERAGE(SUM('DRE + DCF'!$W$31,'DRE + DCF'!$W$32,-'DRE + DCF'!$W$32*('DRE + DCF'!$V$33+I$21)/'DRE + DCF'!$V$33,-'DRE + DCF'!$V$56*I$19),'DRE + DCF'!$W$31*(1-I$19/$F17))</f>
        <v>1685499.3987905192</v>
      </c>
      <c r="J17" s="62">
        <f>AVERAGE(SUM('DRE + DCF'!$W$31,'DRE + DCF'!$W$32,-'DRE + DCF'!$W$32*('DRE + DCF'!$V$33+J$21)/'DRE + DCF'!$V$33,-'DRE + DCF'!$V$56*J$19),'DRE + DCF'!$W$31*(1-J$19/$F17))</f>
        <v>1644714.7155691986</v>
      </c>
      <c r="K17" s="62">
        <f>AVERAGE(SUM('DRE + DCF'!$W$31,'DRE + DCF'!$W$32,-'DRE + DCF'!$W$32*('DRE + DCF'!$V$33+K$21)/'DRE + DCF'!$V$33,-'DRE + DCF'!$V$56*K$19),'DRE + DCF'!$W$31*(1-K$19/$F17))</f>
        <v>1603930.0323478784</v>
      </c>
      <c r="L17" s="62">
        <f>AVERAGE(SUM('DRE + DCF'!$W$31,'DRE + DCF'!$W$32,-'DRE + DCF'!$W$32*('DRE + DCF'!$V$33+L$21)/'DRE + DCF'!$V$33,-'DRE + DCF'!$V$56*L$19),'DRE + DCF'!$W$31*(1-L$19/$F17))</f>
        <v>1563145.3491265581</v>
      </c>
      <c r="M17" s="62">
        <f>AVERAGE(SUM('DRE + DCF'!$W$31,'DRE + DCF'!$W$32,-'DRE + DCF'!$W$32*('DRE + DCF'!$V$33+M$21)/'DRE + DCF'!$V$33,-'DRE + DCF'!$V$56*M$19),'DRE + DCF'!$W$31*(1-M$19/$F17))</f>
        <v>1522360.6659052379</v>
      </c>
      <c r="N17" s="62">
        <f>AVERAGE(SUM('DRE + DCF'!$W$31,'DRE + DCF'!$W$32,-'DRE + DCF'!$W$32*('DRE + DCF'!$V$33+N$21)/'DRE + DCF'!$V$33,-'DRE + DCF'!$V$56*N$19),'DRE + DCF'!$W$31*(1-N$19/$F17))</f>
        <v>1481575.9826839175</v>
      </c>
      <c r="O17" s="62">
        <f>AVERAGE(SUM('DRE + DCF'!$W$31,'DRE + DCF'!$W$32,-'DRE + DCF'!$W$32*('DRE + DCF'!$V$33+O$21)/'DRE + DCF'!$V$33,-'DRE + DCF'!$V$56*O$19),'DRE + DCF'!$W$31*(1-O$19/$F17))</f>
        <v>1440791.2994625971</v>
      </c>
      <c r="P17" s="63">
        <f>AVERAGE(SUM('DRE + DCF'!$W$31,'DRE + DCF'!$W$32,-'DRE + DCF'!$W$32*('DRE + DCF'!$V$33+P$21)/'DRE + DCF'!$V$33,-'DRE + DCF'!$V$56*P$19),'DRE + DCF'!$W$31*(1-P$19/$F17))</f>
        <v>1400006.6162412767</v>
      </c>
    </row>
    <row r="18" spans="1:16" ht="30" customHeight="1" x14ac:dyDescent="0.3">
      <c r="A18" s="20"/>
      <c r="E18" s="460"/>
      <c r="F18" s="61">
        <f>Dashboard!I17</f>
        <v>0.17949346000000002</v>
      </c>
      <c r="G18" s="62">
        <f>AVERAGE(SUM('DRE + DCF'!$W$31,'DRE + DCF'!$W$32,-'DRE + DCF'!$W$32*('DRE + DCF'!$V$33+G$21)/'DRE + DCF'!$V$33,-'DRE + DCF'!$V$56*G$19),'DRE + DCF'!$W$31*(1-G$19/$F18))</f>
        <v>1781229.4613420563</v>
      </c>
      <c r="H18" s="62">
        <f>AVERAGE(SUM('DRE + DCF'!$W$31,'DRE + DCF'!$W$32,-'DRE + DCF'!$W$32*('DRE + DCF'!$V$33+H$21)/'DRE + DCF'!$V$33,-'DRE + DCF'!$V$56*H$19),'DRE + DCF'!$W$31*(1-H$19/$F18))</f>
        <v>1741001.8472044847</v>
      </c>
      <c r="I18" s="62">
        <f>AVERAGE(SUM('DRE + DCF'!$W$31,'DRE + DCF'!$W$32,-'DRE + DCF'!$W$32*('DRE + DCF'!$V$33+I$21)/'DRE + DCF'!$V$33,-'DRE + DCF'!$V$56*I$19),'DRE + DCF'!$W$31*(1-I$19/$F18))</f>
        <v>1700774.2330669132</v>
      </c>
      <c r="J18" s="62">
        <f>AVERAGE(SUM('DRE + DCF'!$W$31,'DRE + DCF'!$W$32,-'DRE + DCF'!$W$32*('DRE + DCF'!$V$33+J$21)/'DRE + DCF'!$V$33,-'DRE + DCF'!$V$56*J$19),'DRE + DCF'!$W$31*(1-J$19/$F18))</f>
        <v>1660546.6189293417</v>
      </c>
      <c r="K18" s="62">
        <f>AVERAGE(SUM('DRE + DCF'!$W$31,'DRE + DCF'!$W$32,-'DRE + DCF'!$W$32*('DRE + DCF'!$V$33+K$21)/'DRE + DCF'!$V$33,-'DRE + DCF'!$V$56*K$19),'DRE + DCF'!$W$31*(1-K$19/$F18))</f>
        <v>1620319.0047917701</v>
      </c>
      <c r="L18" s="62">
        <f>AVERAGE(SUM('DRE + DCF'!$W$31,'DRE + DCF'!$W$32,-'DRE + DCF'!$W$32*('DRE + DCF'!$V$33+L$21)/'DRE + DCF'!$V$33,-'DRE + DCF'!$V$56*L$19),'DRE + DCF'!$W$31*(1-L$19/$F18))</f>
        <v>1580091.3906541988</v>
      </c>
      <c r="M18" s="62">
        <f>AVERAGE(SUM('DRE + DCF'!$W$31,'DRE + DCF'!$W$32,-'DRE + DCF'!$W$32*('DRE + DCF'!$V$33+M$21)/'DRE + DCF'!$V$33,-'DRE + DCF'!$V$56*M$19),'DRE + DCF'!$W$31*(1-M$19/$F18))</f>
        <v>1539863.7765166275</v>
      </c>
      <c r="N18" s="62">
        <f>AVERAGE(SUM('DRE + DCF'!$W$31,'DRE + DCF'!$W$32,-'DRE + DCF'!$W$32*('DRE + DCF'!$V$33+N$21)/'DRE + DCF'!$V$33,-'DRE + DCF'!$V$56*N$19),'DRE + DCF'!$W$31*(1-N$19/$F18))</f>
        <v>1499636.1623790557</v>
      </c>
      <c r="O18" s="62">
        <f>AVERAGE(SUM('DRE + DCF'!$W$31,'DRE + DCF'!$W$32,-'DRE + DCF'!$W$32*('DRE + DCF'!$V$33+O$21)/'DRE + DCF'!$V$33,-'DRE + DCF'!$V$56*O$19),'DRE + DCF'!$W$31*(1-O$19/$F18))</f>
        <v>1459408.5482414844</v>
      </c>
      <c r="P18" s="63">
        <f>AVERAGE(SUM('DRE + DCF'!$W$31,'DRE + DCF'!$W$32,-'DRE + DCF'!$W$32*('DRE + DCF'!$V$33+P$21)/'DRE + DCF'!$V$33,-'DRE + DCF'!$V$56*P$19),'DRE + DCF'!$W$31*(1-P$19/$F18))</f>
        <v>1419180.9341039129</v>
      </c>
    </row>
    <row r="19" spans="1:16" x14ac:dyDescent="0.3">
      <c r="A19" s="20"/>
      <c r="E19" s="444"/>
      <c r="F19" s="50"/>
      <c r="G19" s="46">
        <f>Dashboard!J18</f>
        <v>6.3549999999999995E-2</v>
      </c>
      <c r="H19" s="46">
        <f>Dashboard!K18</f>
        <v>6.6049999999999998E-2</v>
      </c>
      <c r="I19" s="46">
        <f>Dashboard!L18</f>
        <v>6.855E-2</v>
      </c>
      <c r="J19" s="46">
        <f>Dashboard!M18</f>
        <v>7.1050000000000002E-2</v>
      </c>
      <c r="K19" s="46">
        <f>Dashboard!N18</f>
        <v>7.3550000000000004E-2</v>
      </c>
      <c r="L19" s="46">
        <f>Dashboard!O18</f>
        <v>7.6050000000000006E-2</v>
      </c>
      <c r="M19" s="46">
        <f>Dashboard!P18</f>
        <v>7.8550000000000009E-2</v>
      </c>
      <c r="N19" s="46">
        <f>Dashboard!Q18</f>
        <v>8.1050000000000011E-2</v>
      </c>
      <c r="O19" s="46">
        <f>Dashboard!R18</f>
        <v>8.3550000000000013E-2</v>
      </c>
      <c r="P19" s="59">
        <f>Dashboard!S18</f>
        <v>8.6050000000000015E-2</v>
      </c>
    </row>
    <row r="20" spans="1:16" x14ac:dyDescent="0.3">
      <c r="E20" s="444"/>
      <c r="F20" s="60"/>
      <c r="G20" s="461" t="s">
        <v>30</v>
      </c>
      <c r="H20" s="461"/>
      <c r="I20" s="461"/>
      <c r="J20" s="461"/>
      <c r="K20" s="461"/>
      <c r="L20" s="461"/>
      <c r="M20" s="461"/>
      <c r="N20" s="461"/>
      <c r="O20" s="461"/>
      <c r="P20" s="462"/>
    </row>
    <row r="21" spans="1:16" ht="28.2" thickBot="1" x14ac:dyDescent="0.35">
      <c r="E21" s="445"/>
      <c r="F21" s="446" t="s">
        <v>31</v>
      </c>
      <c r="G21" s="447">
        <f>(1+G19)/(1+Ke!$O$12)-1</f>
        <v>1.0498812351543929E-2</v>
      </c>
      <c r="H21" s="447">
        <f>(1+H19)/(1+Ke!$O$12)-1</f>
        <v>1.2874109263657951E-2</v>
      </c>
      <c r="I21" s="447">
        <f>(1+I19)/(1+Ke!$O$12)-1</f>
        <v>1.5249406175772195E-2</v>
      </c>
      <c r="J21" s="447">
        <f>(1+J19)/(1+Ke!$O$12)-1</f>
        <v>1.7624703087885996E-2</v>
      </c>
      <c r="K21" s="447">
        <f>(1+K19)/(1+Ke!$O$12)-1</f>
        <v>2.0000000000000018E-2</v>
      </c>
      <c r="L21" s="447">
        <f>(1+L19)/(1+Ke!$O$12)-1</f>
        <v>2.237529691211404E-2</v>
      </c>
      <c r="M21" s="447">
        <f>(1+M19)/(1+Ke!$O$12)-1</f>
        <v>2.475059382422784E-2</v>
      </c>
      <c r="N21" s="447">
        <f>(1+N19)/(1+Ke!$O$12)-1</f>
        <v>2.7125890736342084E-2</v>
      </c>
      <c r="O21" s="447">
        <f>(1+O19)/(1+Ke!$O$12)-1</f>
        <v>2.9501187648456106E-2</v>
      </c>
      <c r="P21" s="448">
        <f>(1+P19)/(1+Ke!$O$12)-1</f>
        <v>3.1876484560570129E-2</v>
      </c>
    </row>
    <row r="22" spans="1:16" ht="30" customHeight="1" x14ac:dyDescent="0.3">
      <c r="F22" s="2"/>
      <c r="G22" s="2"/>
      <c r="H22" s="2"/>
      <c r="I22" s="2"/>
      <c r="J22" s="2"/>
      <c r="K22" s="2"/>
      <c r="L22" s="2"/>
      <c r="M22" s="2"/>
      <c r="N22" s="2"/>
      <c r="O22" s="2"/>
      <c r="P22" s="2"/>
    </row>
    <row r="23" spans="1:16" x14ac:dyDescent="0.3">
      <c r="F23" s="2"/>
      <c r="G23" s="2"/>
      <c r="H23" s="2"/>
      <c r="I23" s="2"/>
      <c r="J23" s="2"/>
      <c r="K23" s="2"/>
      <c r="L23" s="2"/>
      <c r="M23" s="2"/>
      <c r="N23" s="2"/>
      <c r="O23" s="2"/>
      <c r="P23" s="2"/>
    </row>
    <row r="24" spans="1:16" x14ac:dyDescent="0.3">
      <c r="F24" s="2"/>
      <c r="G24" s="2"/>
      <c r="H24" s="2"/>
      <c r="I24" s="2"/>
      <c r="J24" s="2"/>
      <c r="K24" s="2"/>
      <c r="L24" s="2"/>
      <c r="M24" s="2"/>
      <c r="N24" s="2"/>
      <c r="O24" s="2"/>
      <c r="P24" s="2"/>
    </row>
    <row r="25" spans="1:16" ht="14.4" customHeight="1" x14ac:dyDescent="0.3">
      <c r="F25" s="2"/>
      <c r="G25" s="2"/>
      <c r="H25" s="2"/>
      <c r="I25" s="2"/>
      <c r="J25" s="2"/>
      <c r="K25" s="2"/>
      <c r="L25" s="2"/>
      <c r="M25" s="2"/>
      <c r="N25" s="2"/>
      <c r="O25" s="2"/>
      <c r="P25" s="2"/>
    </row>
    <row r="26" spans="1:16" ht="14.4" customHeight="1" x14ac:dyDescent="0.3">
      <c r="F26" s="2"/>
      <c r="G26" s="2"/>
      <c r="H26" s="2"/>
      <c r="I26" s="2"/>
      <c r="J26" s="2"/>
      <c r="K26" s="2"/>
      <c r="L26" s="2"/>
      <c r="M26" s="2"/>
      <c r="N26" s="2"/>
      <c r="O26" s="2"/>
      <c r="P26" s="2"/>
    </row>
    <row r="27" spans="1:16" ht="14.4" customHeight="1" x14ac:dyDescent="0.3">
      <c r="F27" s="2"/>
      <c r="G27" s="2"/>
      <c r="H27" s="2"/>
      <c r="I27" s="2"/>
      <c r="J27" s="2"/>
      <c r="K27" s="2"/>
      <c r="L27" s="2"/>
      <c r="M27" s="2"/>
      <c r="N27" s="2"/>
      <c r="O27" s="2"/>
      <c r="P27" s="2"/>
    </row>
    <row r="28" spans="1:16" ht="14.4" customHeight="1" x14ac:dyDescent="0.3">
      <c r="F28" s="2"/>
      <c r="G28" s="2"/>
      <c r="H28" s="2"/>
      <c r="I28" s="2"/>
      <c r="J28" s="2"/>
      <c r="K28" s="2"/>
      <c r="L28" s="2"/>
      <c r="M28" s="2"/>
      <c r="N28" s="2"/>
      <c r="O28" s="2"/>
      <c r="P28" s="2"/>
    </row>
    <row r="29" spans="1:16" ht="14.4" customHeight="1" x14ac:dyDescent="0.3">
      <c r="F29" s="2"/>
      <c r="G29" s="2"/>
      <c r="H29" s="2"/>
      <c r="I29" s="2"/>
      <c r="J29" s="2"/>
      <c r="K29" s="2"/>
      <c r="L29" s="2"/>
      <c r="M29" s="2"/>
      <c r="N29" s="2"/>
      <c r="O29" s="2"/>
      <c r="P29" s="2"/>
    </row>
    <row r="30" spans="1:16" ht="14.4" customHeight="1" x14ac:dyDescent="0.3">
      <c r="F30" s="2"/>
      <c r="G30" s="2"/>
      <c r="H30" s="2"/>
      <c r="I30" s="2"/>
      <c r="J30" s="2"/>
      <c r="K30" s="2"/>
      <c r="L30" s="2"/>
      <c r="M30" s="2"/>
      <c r="N30" s="2"/>
      <c r="O30" s="2"/>
      <c r="P30" s="2"/>
    </row>
    <row r="31" spans="1:16" ht="14.4" customHeight="1" x14ac:dyDescent="0.3">
      <c r="F31" s="2"/>
      <c r="G31" s="2"/>
      <c r="H31" s="2"/>
      <c r="I31" s="2"/>
      <c r="J31" s="2"/>
      <c r="K31" s="2"/>
      <c r="L31" s="2"/>
      <c r="M31" s="2"/>
      <c r="N31" s="2"/>
      <c r="O31" s="2"/>
      <c r="P31" s="2"/>
    </row>
    <row r="32" spans="1:16" ht="14.4" customHeight="1" x14ac:dyDescent="0.3">
      <c r="F32" s="2"/>
      <c r="G32" s="2"/>
      <c r="H32" s="2"/>
      <c r="I32" s="2"/>
      <c r="J32" s="2"/>
      <c r="K32" s="2"/>
      <c r="L32" s="2"/>
      <c r="M32" s="2"/>
      <c r="N32" s="2"/>
      <c r="O32" s="2"/>
      <c r="P32" s="2"/>
    </row>
    <row r="33" spans="6:16" ht="14.4" customHeight="1" x14ac:dyDescent="0.3">
      <c r="F33" s="2"/>
      <c r="G33" s="2"/>
      <c r="H33" s="2"/>
      <c r="I33" s="2"/>
      <c r="J33" s="2"/>
      <c r="K33" s="2"/>
      <c r="L33" s="2"/>
      <c r="M33" s="2"/>
      <c r="N33" s="2"/>
      <c r="O33" s="2"/>
      <c r="P33" s="2"/>
    </row>
  </sheetData>
  <mergeCells count="3">
    <mergeCell ref="I4:L5"/>
    <mergeCell ref="E10:E18"/>
    <mergeCell ref="G20:P20"/>
  </mergeCells>
  <conditionalFormatting sqref="G11:P18">
    <cfRule type="colorScale" priority="4">
      <colorScale>
        <cfvo type="min"/>
        <cfvo type="max"/>
        <color rgb="FFCEF6CE"/>
        <color rgb="FF59BF59"/>
      </colorScale>
    </cfRule>
  </conditionalFormatting>
  <conditionalFormatting sqref="G21:P21">
    <cfRule type="colorScale" priority="1">
      <colorScale>
        <cfvo type="min"/>
        <cfvo type="max"/>
        <color rgb="FFCEF6CE"/>
        <color rgb="FF59BF59"/>
      </colorScale>
    </cfRule>
  </conditionalFormatting>
  <conditionalFormatting sqref="G10:P10">
    <cfRule type="colorScale" priority="2">
      <colorScale>
        <cfvo type="min"/>
        <cfvo type="max"/>
        <color rgb="FFCEF6CE"/>
        <color rgb="FF59BF59"/>
      </colorScale>
    </cfRule>
  </conditionalFormatting>
  <hyperlinks>
    <hyperlink ref="A13" location="'Projeções - NIM'!A1" display="Projeções - NIM" xr:uid="{1A2F222B-D593-4DC5-B616-A103A4C6694F}"/>
    <hyperlink ref="A12" location="'Balanço Patrimonial - Contábil'!A1" display="Balanço Patrimonial" xr:uid="{F7CAEE87-CE1F-40E1-845E-963A78FE6D42}"/>
    <hyperlink ref="A11" location="'DRE - Cosif'!A1" display="DRE - Cosif" xr:uid="{9194DB58-A6B7-4767-87E5-50C5A2663B6D}"/>
    <hyperlink ref="A10" location="'DRE + DCF'!A1" display="DRE + DCF" xr:uid="{FEAF60DB-C0E6-4E73-BA8F-5AD9E202A170}"/>
    <hyperlink ref="A9" location="Ke!A1" display="Ke" xr:uid="{66AF949B-0336-4ACE-8FE1-EC26C9AA5213}"/>
    <hyperlink ref="A8" location="Dashboard!A1" display="Dashboard" xr:uid="{CCE047A8-4BC8-4458-B183-B62C16F3D77D}"/>
    <hyperlink ref="A15" location="'Painel de Índices'!A1" display="Painel de Índices" xr:uid="{2CFCA377-B1FB-4CBB-A622-8B7E93225C0F}"/>
    <hyperlink ref="A14" location="'Projeções Trimestrais'!A1" display="Projeções Trimestrais" xr:uid="{B908EB5B-49E8-4BDB-A731-10D5EA227ECA}"/>
  </hyperlink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7183-8E4C-476B-B781-5ADB812C6F0D}">
  <dimension ref="A1:Z3416"/>
  <sheetViews>
    <sheetView workbookViewId="0">
      <selection activeCell="I4" sqref="I4:K5"/>
    </sheetView>
  </sheetViews>
  <sheetFormatPr defaultColWidth="0" defaultRowHeight="0" customHeight="1" zeroHeight="1" x14ac:dyDescent="0.3"/>
  <cols>
    <col min="1" max="1" width="35.6640625" style="1" customWidth="1"/>
    <col min="2" max="2" width="9.109375" style="341" customWidth="1"/>
    <col min="3" max="3" width="12.109375" style="341" bestFit="1" customWidth="1"/>
    <col min="4" max="4" width="19.5546875" style="341" bestFit="1" customWidth="1"/>
    <col min="5" max="5" width="18.6640625" style="341" bestFit="1" customWidth="1"/>
    <col min="6" max="12" width="21.109375" style="341" customWidth="1"/>
    <col min="13" max="25" width="9.109375" style="341" customWidth="1"/>
    <col min="26" max="26" width="0" style="341" hidden="1" customWidth="1"/>
    <col min="27" max="16384" width="9.109375" style="341" hidden="1"/>
  </cols>
  <sheetData>
    <row r="1" spans="1:24" ht="15" customHeight="1" x14ac:dyDescent="0.3"/>
    <row r="2" spans="1:24" ht="15" customHeight="1" x14ac:dyDescent="0.3"/>
    <row r="3" spans="1:24" ht="15" customHeight="1" x14ac:dyDescent="0.5">
      <c r="Q3" s="342"/>
      <c r="R3" s="342"/>
      <c r="S3" s="342"/>
      <c r="T3" s="342"/>
      <c r="U3" s="343"/>
      <c r="V3" s="343"/>
    </row>
    <row r="4" spans="1:24" ht="15" customHeight="1" x14ac:dyDescent="0.5">
      <c r="E4" s="344"/>
      <c r="I4" s="467">
        <f>Dashboard!I4</f>
        <v>0</v>
      </c>
      <c r="J4" s="467"/>
      <c r="K4" s="467"/>
      <c r="L4" s="345"/>
      <c r="O4" s="279"/>
      <c r="P4" s="279"/>
      <c r="Q4" s="279"/>
      <c r="R4" s="279"/>
      <c r="S4" s="279"/>
      <c r="T4" s="279"/>
      <c r="U4" s="343"/>
      <c r="V4" s="343"/>
    </row>
    <row r="5" spans="1:24" ht="15" customHeight="1" x14ac:dyDescent="0.3">
      <c r="H5" s="345"/>
      <c r="I5" s="468"/>
      <c r="J5" s="468"/>
      <c r="K5" s="468"/>
      <c r="L5" s="345"/>
      <c r="O5" s="279"/>
      <c r="P5" s="279"/>
      <c r="Q5" s="279"/>
      <c r="R5" s="279"/>
      <c r="S5" s="279"/>
      <c r="T5" s="279"/>
    </row>
    <row r="6" spans="1:24" ht="15" customHeight="1" x14ac:dyDescent="0.3">
      <c r="I6" s="341" t="s">
        <v>330</v>
      </c>
    </row>
    <row r="7" spans="1:24" ht="30" customHeight="1" x14ac:dyDescent="0.3">
      <c r="A7" s="3" t="s">
        <v>0</v>
      </c>
    </row>
    <row r="8" spans="1:24" ht="30" customHeight="1" thickBot="1" x14ac:dyDescent="0.35">
      <c r="A8" s="5" t="s">
        <v>1</v>
      </c>
    </row>
    <row r="9" spans="1:24" ht="24.75" customHeight="1" thickBot="1" x14ac:dyDescent="0.35">
      <c r="A9" s="4" t="s">
        <v>2</v>
      </c>
      <c r="C9" s="469"/>
      <c r="D9" s="470"/>
      <c r="E9" s="470"/>
      <c r="F9" s="470"/>
      <c r="G9" s="470"/>
      <c r="H9" s="470"/>
      <c r="I9" s="470"/>
      <c r="J9" s="470"/>
      <c r="K9" s="470"/>
      <c r="L9" s="470"/>
      <c r="M9" s="470"/>
      <c r="N9" s="470"/>
      <c r="O9" s="470"/>
      <c r="P9" s="470"/>
      <c r="Q9" s="470"/>
      <c r="R9" s="470"/>
      <c r="S9" s="470"/>
      <c r="T9" s="470"/>
      <c r="U9" s="470"/>
      <c r="V9" s="470"/>
    </row>
    <row r="10" spans="1:24" ht="24.75" customHeight="1" x14ac:dyDescent="0.3">
      <c r="A10" s="4" t="s">
        <v>4</v>
      </c>
      <c r="C10" s="471" t="s">
        <v>331</v>
      </c>
      <c r="D10" s="463" t="s">
        <v>29</v>
      </c>
      <c r="E10" s="473" t="s">
        <v>332</v>
      </c>
      <c r="F10" s="463" t="s">
        <v>333</v>
      </c>
      <c r="G10" s="463" t="s">
        <v>329</v>
      </c>
      <c r="H10" s="463" t="s">
        <v>303</v>
      </c>
      <c r="I10" s="463" t="s">
        <v>334</v>
      </c>
      <c r="J10" s="463" t="s">
        <v>335</v>
      </c>
      <c r="K10" s="463" t="s">
        <v>336</v>
      </c>
      <c r="L10" s="463" t="s">
        <v>30</v>
      </c>
      <c r="M10" s="465"/>
      <c r="N10" s="465"/>
      <c r="O10" s="465"/>
      <c r="P10" s="465"/>
      <c r="Q10" s="465"/>
      <c r="R10" s="465"/>
      <c r="S10" s="465"/>
      <c r="T10" s="465"/>
      <c r="U10" s="465"/>
      <c r="V10" s="466"/>
    </row>
    <row r="11" spans="1:24" ht="24.75" customHeight="1" x14ac:dyDescent="0.3">
      <c r="A11" s="4" t="s">
        <v>413</v>
      </c>
      <c r="C11" s="472"/>
      <c r="D11" s="464"/>
      <c r="E11" s="474"/>
      <c r="F11" s="464"/>
      <c r="G11" s="464"/>
      <c r="H11" s="464"/>
      <c r="I11" s="464"/>
      <c r="J11" s="464"/>
      <c r="K11" s="464"/>
      <c r="L11" s="464"/>
      <c r="M11" s="346">
        <v>2024</v>
      </c>
      <c r="N11" s="346">
        <v>2025</v>
      </c>
      <c r="O11" s="346">
        <v>2026</v>
      </c>
      <c r="P11" s="346">
        <v>2027</v>
      </c>
      <c r="Q11" s="346">
        <v>2028</v>
      </c>
      <c r="R11" s="346">
        <v>2029</v>
      </c>
      <c r="S11" s="346">
        <v>2030</v>
      </c>
      <c r="T11" s="346">
        <v>2031</v>
      </c>
      <c r="U11" s="346">
        <v>2032</v>
      </c>
      <c r="V11" s="347">
        <v>2033</v>
      </c>
    </row>
    <row r="12" spans="1:24" ht="24.75" customHeight="1" x14ac:dyDescent="0.3">
      <c r="A12" s="4" t="s">
        <v>8</v>
      </c>
      <c r="C12" s="348" t="s">
        <v>32</v>
      </c>
      <c r="D12" s="349">
        <f>MAX(Ke!$F$16:$O$16)</f>
        <v>0.16455275400000002</v>
      </c>
      <c r="E12" s="354" cm="1">
        <f t="array" ref="E12">1000*SUM('DRE + DCF'!$L$36/M12,'DRE + DCF'!$N$36:$V$36/N12:V12,F12/V12)/Dashboard!$F$11</f>
        <v>145.17172853452382</v>
      </c>
      <c r="F12" s="355">
        <f>AVERAGE(SUM(G12:J12)*(1+L12)/(D12-L12),G12*(1+L12)*(1-L12/D12)/(D12-L12))</f>
        <v>18502109.5379529</v>
      </c>
      <c r="G12" s="355">
        <f>'DRE + DCF'!$W$31</f>
        <v>2791623.3540418856</v>
      </c>
      <c r="H12" s="355">
        <f>'DRE + DCF'!$W$32</f>
        <v>81081.931703745853</v>
      </c>
      <c r="I12" s="355">
        <f>-H12*('DRE + DCF'!$V$33+K12)/'DRE + DCF'!$V$33</f>
        <v>-90858.801614444121</v>
      </c>
      <c r="J12" s="355">
        <f>-'DRE + DCF'!$V$56*L12</f>
        <v>-1188924.4255577971</v>
      </c>
      <c r="K12" s="356">
        <f>(1+L12)/(1+Ke!$O$12)-1</f>
        <v>2.0000000000000018E-2</v>
      </c>
      <c r="L12" s="356">
        <f>'DRE + DCF'!$Y$31</f>
        <v>7.3550000000000004E-2</v>
      </c>
      <c r="M12" s="357">
        <f>(1+D12)^((5-Dashboard!$F$9)*3/12)</f>
        <v>1.1210355242477776</v>
      </c>
      <c r="N12" s="357">
        <f>M12*(1+$D12)</f>
        <v>1.3055050070945833</v>
      </c>
      <c r="O12" s="357">
        <f t="shared" ref="O12:V13" si="0">N12*(1+$D12)</f>
        <v>1.5203294513727865</v>
      </c>
      <c r="P12" s="357">
        <f t="shared" si="0"/>
        <v>1.7705038495834877</v>
      </c>
      <c r="Q12" s="357">
        <f t="shared" si="0"/>
        <v>2.0618451340000523</v>
      </c>
      <c r="R12" s="357">
        <f t="shared" si="0"/>
        <v>2.4011274291212601</v>
      </c>
      <c r="S12" s="357">
        <f t="shared" si="0"/>
        <v>2.7962395602881034</v>
      </c>
      <c r="T12" s="357">
        <f t="shared" si="0"/>
        <v>3.2563684807772599</v>
      </c>
      <c r="U12" s="357">
        <f t="shared" si="0"/>
        <v>3.7922128823279544</v>
      </c>
      <c r="V12" s="358">
        <f t="shared" si="0"/>
        <v>4.4162319558692973</v>
      </c>
    </row>
    <row r="13" spans="1:24" ht="24.75" customHeight="1" x14ac:dyDescent="0.3">
      <c r="A13" s="4" t="s">
        <v>10</v>
      </c>
      <c r="C13" s="353">
        <f>ABS(E13-Dashboard!$F$14)</f>
        <v>15394.386292760868</v>
      </c>
      <c r="D13" s="350">
        <f>'DRE + DCF'!Y31+0.0005</f>
        <v>7.4050000000000005E-2</v>
      </c>
      <c r="E13" s="359" cm="1">
        <f t="array" ref="E13">1000*SUM('DRE + DCF'!$L$36/M13,'DRE + DCF'!$N$36:$V$36/N13:V13,F13/V13)/Dashboard!$F$11</f>
        <v>15491.376292760868</v>
      </c>
      <c r="F13" s="359">
        <f>AVERAGE(SUM(G13:J13)*(1+L13)/(D13-L13),G13*(1+L13)*(1-L13/D13)/(D13-L13))</f>
        <v>1730317446.6211081</v>
      </c>
      <c r="G13" s="359">
        <f>'DRE + DCF'!$W$31</f>
        <v>2791623.3540418856</v>
      </c>
      <c r="H13" s="359">
        <f>'DRE + DCF'!$W$32</f>
        <v>81081.931703745853</v>
      </c>
      <c r="I13" s="359">
        <f>-H13*('DRE + DCF'!$V$33+K13)/'DRE + DCF'!$V$33</f>
        <v>-90858.801614444121</v>
      </c>
      <c r="J13" s="359">
        <f>-'DRE + DCF'!$V$56*L13</f>
        <v>-1188924.4255577971</v>
      </c>
      <c r="K13" s="360">
        <f>(1+L13)/(1+Ke!$O$12)-1</f>
        <v>2.0000000000000018E-2</v>
      </c>
      <c r="L13" s="360">
        <f>'DRE + DCF'!$Y$31</f>
        <v>7.3550000000000004E-2</v>
      </c>
      <c r="M13" s="361">
        <f>(1+D13)^((5-Dashboard!$F$9)*3/12)</f>
        <v>1.0550386617376368</v>
      </c>
      <c r="N13" s="361">
        <f>M13*(1+$D13)</f>
        <v>1.1331642746393087</v>
      </c>
      <c r="O13" s="361">
        <f t="shared" si="0"/>
        <v>1.2170750891763495</v>
      </c>
      <c r="P13" s="361">
        <f t="shared" si="0"/>
        <v>1.3071994995298581</v>
      </c>
      <c r="Q13" s="361">
        <f t="shared" si="0"/>
        <v>1.4039976224700441</v>
      </c>
      <c r="R13" s="361">
        <f t="shared" si="0"/>
        <v>1.5079636464139508</v>
      </c>
      <c r="S13" s="361">
        <f t="shared" si="0"/>
        <v>1.6196283544309038</v>
      </c>
      <c r="T13" s="361">
        <f t="shared" si="0"/>
        <v>1.7395618340765122</v>
      </c>
      <c r="U13" s="361">
        <f t="shared" si="0"/>
        <v>1.8683763878898778</v>
      </c>
      <c r="V13" s="362">
        <f t="shared" si="0"/>
        <v>2.0067296594131232</v>
      </c>
      <c r="X13" s="351"/>
    </row>
    <row r="14" spans="1:24" ht="24.75" customHeight="1" x14ac:dyDescent="0.3">
      <c r="A14" s="4" t="s">
        <v>419</v>
      </c>
      <c r="C14" s="353">
        <f>ABS(E14-Dashboard!$F$14)</f>
        <v>12848.835561494752</v>
      </c>
      <c r="D14" s="350">
        <f>D13+0.0001</f>
        <v>7.4150000000000008E-2</v>
      </c>
      <c r="E14" s="359" cm="1">
        <f t="array" ref="E14">1000*SUM('DRE + DCF'!$L$36/M14,'DRE + DCF'!$N$36:$V$36/N14:V14,F14/V14)/Dashboard!$F$11</f>
        <v>12945.825561494752</v>
      </c>
      <c r="F14" s="359">
        <f t="shared" ref="F14:F77" si="1">AVERAGE(SUM(G14:J14)*(1+L14)/(D14-L14),G14*(1+L14)*(1-L14/D14)/(D14-L14))</f>
        <v>1445276576.7033465</v>
      </c>
      <c r="G14" s="359">
        <f>'DRE + DCF'!$W$31</f>
        <v>2791623.3540418856</v>
      </c>
      <c r="H14" s="359">
        <f>'DRE + DCF'!$W$32</f>
        <v>81081.931703745853</v>
      </c>
      <c r="I14" s="359">
        <f>-H14*('DRE + DCF'!$V$33+K14)/'DRE + DCF'!$V$33</f>
        <v>-90858.801614444121</v>
      </c>
      <c r="J14" s="359">
        <f>-'DRE + DCF'!$V$56*L14</f>
        <v>-1188924.4255577971</v>
      </c>
      <c r="K14" s="360">
        <f>(1+L14)/(1+Ke!$O$12)-1</f>
        <v>2.0000000000000018E-2</v>
      </c>
      <c r="L14" s="360">
        <f>'DRE + DCF'!$Y$31</f>
        <v>7.3550000000000004E-2</v>
      </c>
      <c r="M14" s="361">
        <f>(1+D14)^((5-Dashboard!$F$9)*3/12)</f>
        <v>1.0551123333346391</v>
      </c>
      <c r="N14" s="361">
        <f t="shared" ref="N14:V14" si="2">M14*(1+$D14)</f>
        <v>1.1333489128514025</v>
      </c>
      <c r="O14" s="361">
        <f t="shared" si="2"/>
        <v>1.2173867347393339</v>
      </c>
      <c r="P14" s="361">
        <f t="shared" si="2"/>
        <v>1.3076559611202554</v>
      </c>
      <c r="Q14" s="361">
        <f t="shared" si="2"/>
        <v>1.4046186506373222</v>
      </c>
      <c r="R14" s="361">
        <f t="shared" si="2"/>
        <v>1.5087711235820795</v>
      </c>
      <c r="S14" s="361">
        <f t="shared" si="2"/>
        <v>1.6206465023956906</v>
      </c>
      <c r="T14" s="361">
        <f t="shared" si="2"/>
        <v>1.740817440548331</v>
      </c>
      <c r="U14" s="361">
        <f t="shared" si="2"/>
        <v>1.8698990537649895</v>
      </c>
      <c r="V14" s="362">
        <f t="shared" si="2"/>
        <v>2.0085520686016634</v>
      </c>
      <c r="W14" s="351"/>
      <c r="X14" s="351"/>
    </row>
    <row r="15" spans="1:24" ht="24.75" customHeight="1" x14ac:dyDescent="0.3">
      <c r="A15" s="4" t="s">
        <v>12</v>
      </c>
      <c r="C15" s="353">
        <f>ABS(E15-Dashboard!$F$14)</f>
        <v>11030.463340405109</v>
      </c>
      <c r="D15" s="350">
        <f t="shared" ref="D15:D78" si="3">D14+0.0001</f>
        <v>7.425000000000001E-2</v>
      </c>
      <c r="E15" s="359" cm="1">
        <f t="array" ref="E15">1000*SUM('DRE + DCF'!$L$36/M15,'DRE + DCF'!$N$36:$V$36/N15:V15,F15/V15)/Dashboard!$F$11</f>
        <v>11127.453340405109</v>
      </c>
      <c r="F15" s="359">
        <f t="shared" si="1"/>
        <v>1241668231.5328012</v>
      </c>
      <c r="G15" s="359">
        <f>'DRE + DCF'!$W$31</f>
        <v>2791623.3540418856</v>
      </c>
      <c r="H15" s="359">
        <f>'DRE + DCF'!$W$32</f>
        <v>81081.931703745853</v>
      </c>
      <c r="I15" s="359">
        <f>-H15*('DRE + DCF'!$V$33+K15)/'DRE + DCF'!$V$33</f>
        <v>-90858.801614444121</v>
      </c>
      <c r="J15" s="359">
        <f>-'DRE + DCF'!$V$56*L15</f>
        <v>-1188924.4255577971</v>
      </c>
      <c r="K15" s="360">
        <f>(1+L15)/(1+Ke!$O$12)-1</f>
        <v>2.0000000000000018E-2</v>
      </c>
      <c r="L15" s="360">
        <f>'DRE + DCF'!$Y$31</f>
        <v>7.3550000000000004E-2</v>
      </c>
      <c r="M15" s="361">
        <f>(1+D15)^((5-Dashboard!$F$9)*3/12)</f>
        <v>1.0551860032170126</v>
      </c>
      <c r="N15" s="361">
        <f t="shared" ref="N15:V15" si="4">M15*(1+$D15)</f>
        <v>1.1335335639558757</v>
      </c>
      <c r="O15" s="361">
        <f t="shared" si="4"/>
        <v>1.2176984310795993</v>
      </c>
      <c r="P15" s="361">
        <f t="shared" si="4"/>
        <v>1.3081125395872595</v>
      </c>
      <c r="Q15" s="361">
        <f t="shared" si="4"/>
        <v>1.4052398956516134</v>
      </c>
      <c r="R15" s="361">
        <f t="shared" si="4"/>
        <v>1.5095789579037457</v>
      </c>
      <c r="S15" s="361">
        <f t="shared" si="4"/>
        <v>1.6216651955280987</v>
      </c>
      <c r="T15" s="361">
        <f t="shared" si="4"/>
        <v>1.7420738362960599</v>
      </c>
      <c r="U15" s="361">
        <f t="shared" si="4"/>
        <v>1.8714228186410422</v>
      </c>
      <c r="V15" s="362">
        <f t="shared" si="4"/>
        <v>2.0103759629251394</v>
      </c>
      <c r="X15" s="351"/>
    </row>
    <row r="16" spans="1:24" ht="24.75" customHeight="1" x14ac:dyDescent="0.3">
      <c r="C16" s="353">
        <f>ABS(E16-Dashboard!$F$14)</f>
        <v>9666.578160946874</v>
      </c>
      <c r="D16" s="350">
        <f t="shared" si="3"/>
        <v>7.4350000000000013E-2</v>
      </c>
      <c r="E16" s="359" cm="1">
        <f t="array" ref="E16">1000*SUM('DRE + DCF'!$L$36/M16,'DRE + DCF'!$N$36:$V$36/N16:V16,F16/V16)/Dashboard!$F$11</f>
        <v>9763.5681609468738</v>
      </c>
      <c r="F16" s="359">
        <f t="shared" si="1"/>
        <v>1088955241.5989044</v>
      </c>
      <c r="G16" s="359">
        <f>'DRE + DCF'!$W$31</f>
        <v>2791623.3540418856</v>
      </c>
      <c r="H16" s="359">
        <f>'DRE + DCF'!$W$32</f>
        <v>81081.931703745853</v>
      </c>
      <c r="I16" s="359">
        <f>-H16*('DRE + DCF'!$V$33+K16)/'DRE + DCF'!$V$33</f>
        <v>-90858.801614444121</v>
      </c>
      <c r="J16" s="359">
        <f>-'DRE + DCF'!$V$56*L16</f>
        <v>-1188924.4255577971</v>
      </c>
      <c r="K16" s="360">
        <f>(1+L16)/(1+Ke!$O$12)-1</f>
        <v>2.0000000000000018E-2</v>
      </c>
      <c r="L16" s="360">
        <f>'DRE + DCF'!$Y$31</f>
        <v>7.3550000000000004E-2</v>
      </c>
      <c r="M16" s="361">
        <f>(1+D16)^((5-Dashboard!$F$9)*3/12)</f>
        <v>1.0552596713849569</v>
      </c>
      <c r="N16" s="361">
        <f t="shared" ref="N16:V16" si="5">M16*(1+$D16)</f>
        <v>1.1337182279524283</v>
      </c>
      <c r="O16" s="361">
        <f t="shared" si="5"/>
        <v>1.2180101782006911</v>
      </c>
      <c r="P16" s="361">
        <f t="shared" si="5"/>
        <v>1.3085692349499125</v>
      </c>
      <c r="Q16" s="361">
        <f t="shared" si="5"/>
        <v>1.4058613575684384</v>
      </c>
      <c r="R16" s="361">
        <f t="shared" si="5"/>
        <v>1.5103871495036518</v>
      </c>
      <c r="S16" s="361">
        <f t="shared" si="5"/>
        <v>1.6226844340692481</v>
      </c>
      <c r="T16" s="361">
        <f t="shared" si="5"/>
        <v>1.7433310217422966</v>
      </c>
      <c r="U16" s="361">
        <f t="shared" si="5"/>
        <v>1.8729476832088361</v>
      </c>
      <c r="V16" s="362">
        <f t="shared" si="5"/>
        <v>2.0122013434554127</v>
      </c>
      <c r="X16" s="351"/>
    </row>
    <row r="17" spans="1:24" ht="24.75" customHeight="1" x14ac:dyDescent="0.3">
      <c r="A17" s="20"/>
      <c r="C17" s="353">
        <f>ABS(E17-Dashboard!$F$14)</f>
        <v>8605.6847605074836</v>
      </c>
      <c r="D17" s="350">
        <f t="shared" si="3"/>
        <v>7.4450000000000016E-2</v>
      </c>
      <c r="E17" s="359" cm="1">
        <f t="array" ref="E17">1000*SUM('DRE + DCF'!$L$36/M17,'DRE + DCF'!$N$36:$V$36/N17:V17,F17/V17)/Dashboard!$F$11</f>
        <v>8702.6747605074834</v>
      </c>
      <c r="F17" s="359">
        <f t="shared" si="1"/>
        <v>970172512.59888613</v>
      </c>
      <c r="G17" s="359">
        <f>'DRE + DCF'!$W$31</f>
        <v>2791623.3540418856</v>
      </c>
      <c r="H17" s="359">
        <f>'DRE + DCF'!$W$32</f>
        <v>81081.931703745853</v>
      </c>
      <c r="I17" s="359">
        <f>-H17*('DRE + DCF'!$V$33+K17)/'DRE + DCF'!$V$33</f>
        <v>-90858.801614444121</v>
      </c>
      <c r="J17" s="359">
        <f>-'DRE + DCF'!$V$56*L17</f>
        <v>-1188924.4255577971</v>
      </c>
      <c r="K17" s="360">
        <f>(1+L17)/(1+Ke!$O$12)-1</f>
        <v>2.0000000000000018E-2</v>
      </c>
      <c r="L17" s="360">
        <f>'DRE + DCF'!$Y$31</f>
        <v>7.3550000000000004E-2</v>
      </c>
      <c r="M17" s="361">
        <f>(1+D17)^((5-Dashboard!$F$9)*3/12)</f>
        <v>1.0553333378386718</v>
      </c>
      <c r="N17" s="361">
        <f t="shared" ref="N17:V17" si="6">M17*(1+$D17)</f>
        <v>1.133902904840761</v>
      </c>
      <c r="O17" s="361">
        <f t="shared" si="6"/>
        <v>1.2183219761061557</v>
      </c>
      <c r="P17" s="361">
        <f t="shared" si="6"/>
        <v>1.309026047227259</v>
      </c>
      <c r="Q17" s="361">
        <f t="shared" si="6"/>
        <v>1.4064830364433285</v>
      </c>
      <c r="R17" s="361">
        <f t="shared" si="6"/>
        <v>1.5111956985065345</v>
      </c>
      <c r="S17" s="361">
        <f t="shared" si="6"/>
        <v>1.6237042182603461</v>
      </c>
      <c r="T17" s="361">
        <f t="shared" si="6"/>
        <v>1.744588997309829</v>
      </c>
      <c r="U17" s="361">
        <f t="shared" si="6"/>
        <v>1.8744736481595459</v>
      </c>
      <c r="V17" s="362">
        <f t="shared" si="6"/>
        <v>2.0140282112650243</v>
      </c>
      <c r="X17" s="351"/>
    </row>
    <row r="18" spans="1:24" ht="24.75" customHeight="1" x14ac:dyDescent="0.3">
      <c r="A18" s="20"/>
      <c r="C18" s="353">
        <f>ABS(E18-Dashboard!$F$14)</f>
        <v>7756.8859794546925</v>
      </c>
      <c r="D18" s="350">
        <f t="shared" si="3"/>
        <v>7.4550000000000019E-2</v>
      </c>
      <c r="E18" s="359" cm="1">
        <f t="array" ref="E18">1000*SUM('DRE + DCF'!$L$36/M18,'DRE + DCF'!$N$36:$V$36/N18:V18,F18/V18)/Dashboard!$F$11</f>
        <v>7853.8759794546922</v>
      </c>
      <c r="F18" s="359">
        <f t="shared" si="1"/>
        <v>875140987.83466017</v>
      </c>
      <c r="G18" s="359">
        <f>'DRE + DCF'!$W$31</f>
        <v>2791623.3540418856</v>
      </c>
      <c r="H18" s="359">
        <f>'DRE + DCF'!$W$32</f>
        <v>81081.931703745853</v>
      </c>
      <c r="I18" s="359">
        <f>-H18*('DRE + DCF'!$V$33+K18)/'DRE + DCF'!$V$33</f>
        <v>-90858.801614444121</v>
      </c>
      <c r="J18" s="359">
        <f>-'DRE + DCF'!$V$56*L18</f>
        <v>-1188924.4255577971</v>
      </c>
      <c r="K18" s="360">
        <f>(1+L18)/(1+Ke!$O$12)-1</f>
        <v>2.0000000000000018E-2</v>
      </c>
      <c r="L18" s="360">
        <f>'DRE + DCF'!$Y$31</f>
        <v>7.3550000000000004E-2</v>
      </c>
      <c r="M18" s="361">
        <f>(1+D18)^((5-Dashboard!$F$9)*3/12)</f>
        <v>1.0554070025783557</v>
      </c>
      <c r="N18" s="361">
        <f t="shared" ref="N18:V18" si="7">M18*(1+$D18)</f>
        <v>1.1340875946205722</v>
      </c>
      <c r="O18" s="361">
        <f t="shared" si="7"/>
        <v>1.2186338247995359</v>
      </c>
      <c r="P18" s="361">
        <f t="shared" si="7"/>
        <v>1.3094829764383413</v>
      </c>
      <c r="Q18" s="361">
        <f t="shared" si="7"/>
        <v>1.4071049323318199</v>
      </c>
      <c r="R18" s="361">
        <f t="shared" si="7"/>
        <v>1.5120046050371572</v>
      </c>
      <c r="S18" s="361">
        <f t="shared" si="7"/>
        <v>1.6247245483426773</v>
      </c>
      <c r="T18" s="361">
        <f t="shared" si="7"/>
        <v>1.7458477634216241</v>
      </c>
      <c r="U18" s="361">
        <f t="shared" si="7"/>
        <v>1.8760007141847064</v>
      </c>
      <c r="V18" s="362">
        <f t="shared" si="7"/>
        <v>2.0158565674271767</v>
      </c>
      <c r="X18" s="351"/>
    </row>
    <row r="19" spans="1:24" ht="24.75" customHeight="1" x14ac:dyDescent="0.3">
      <c r="A19" s="20"/>
      <c r="C19" s="353">
        <f>ABS(E19-Dashboard!$F$14)</f>
        <v>7062.3381688853451</v>
      </c>
      <c r="D19" s="350">
        <f t="shared" si="3"/>
        <v>7.4650000000000022E-2</v>
      </c>
      <c r="E19" s="359" cm="1">
        <f t="array" ref="E19">1000*SUM('DRE + DCF'!$L$36/M19,'DRE + DCF'!$N$36:$V$36/N19:V19,F19/V19)/Dashboard!$F$11</f>
        <v>7159.3281688853449</v>
      </c>
      <c r="F19" s="359">
        <f t="shared" si="1"/>
        <v>797383085.66595018</v>
      </c>
      <c r="G19" s="359">
        <f>'DRE + DCF'!$W$31</f>
        <v>2791623.3540418856</v>
      </c>
      <c r="H19" s="359">
        <f>'DRE + DCF'!$W$32</f>
        <v>81081.931703745853</v>
      </c>
      <c r="I19" s="359">
        <f>-H19*('DRE + DCF'!$V$33+K19)/'DRE + DCF'!$V$33</f>
        <v>-90858.801614444121</v>
      </c>
      <c r="J19" s="359">
        <f>-'DRE + DCF'!$V$56*L19</f>
        <v>-1188924.4255577971</v>
      </c>
      <c r="K19" s="360">
        <f>(1+L19)/(1+Ke!$O$12)-1</f>
        <v>2.0000000000000018E-2</v>
      </c>
      <c r="L19" s="360">
        <f>'DRE + DCF'!$Y$31</f>
        <v>7.3550000000000004E-2</v>
      </c>
      <c r="M19" s="361">
        <f>(1+D19)^((5-Dashboard!$F$9)*3/12)</f>
        <v>1.0554806656042091</v>
      </c>
      <c r="N19" s="361">
        <f t="shared" ref="N19:V19" si="8">M19*(1+$D19)</f>
        <v>1.1342722972915633</v>
      </c>
      <c r="O19" s="361">
        <f t="shared" si="8"/>
        <v>1.2189457242843786</v>
      </c>
      <c r="P19" s="361">
        <f t="shared" si="8"/>
        <v>1.3099400226022075</v>
      </c>
      <c r="Q19" s="361">
        <f t="shared" si="8"/>
        <v>1.4077270452894626</v>
      </c>
      <c r="R19" s="361">
        <f t="shared" si="8"/>
        <v>1.512813869220321</v>
      </c>
      <c r="S19" s="361">
        <f t="shared" si="8"/>
        <v>1.6257454245576182</v>
      </c>
      <c r="T19" s="361">
        <f t="shared" si="8"/>
        <v>1.7471073205008445</v>
      </c>
      <c r="U19" s="361">
        <f t="shared" si="8"/>
        <v>1.8775288819762328</v>
      </c>
      <c r="V19" s="362">
        <f t="shared" si="8"/>
        <v>2.0176864130157588</v>
      </c>
      <c r="X19" s="351"/>
    </row>
    <row r="20" spans="1:24" ht="24.75" customHeight="1" x14ac:dyDescent="0.3">
      <c r="C20" s="353">
        <f>ABS(E20-Dashboard!$F$14)</f>
        <v>6483.4788944997945</v>
      </c>
      <c r="D20" s="350">
        <f t="shared" si="3"/>
        <v>7.4750000000000025E-2</v>
      </c>
      <c r="E20" s="359" cm="1">
        <f t="array" ref="E20">1000*SUM('DRE + DCF'!$L$36/M20,'DRE + DCF'!$N$36:$V$36/N20:V20,F20/V20)/Dashboard!$F$11</f>
        <v>6580.4688944997943</v>
      </c>
      <c r="F20" s="359">
        <f t="shared" si="1"/>
        <v>732580418.23684609</v>
      </c>
      <c r="G20" s="359">
        <f>'DRE + DCF'!$W$31</f>
        <v>2791623.3540418856</v>
      </c>
      <c r="H20" s="359">
        <f>'DRE + DCF'!$W$32</f>
        <v>81081.931703745853</v>
      </c>
      <c r="I20" s="359">
        <f>-H20*('DRE + DCF'!$V$33+K20)/'DRE + DCF'!$V$33</f>
        <v>-90858.801614444121</v>
      </c>
      <c r="J20" s="359">
        <f>-'DRE + DCF'!$V$56*L20</f>
        <v>-1188924.4255577971</v>
      </c>
      <c r="K20" s="360">
        <f>(1+L20)/(1+Ke!$O$12)-1</f>
        <v>2.0000000000000018E-2</v>
      </c>
      <c r="L20" s="360">
        <f>'DRE + DCF'!$Y$31</f>
        <v>7.3550000000000004E-2</v>
      </c>
      <c r="M20" s="361">
        <f>(1+D20)^((5-Dashboard!$F$9)*3/12)</f>
        <v>1.0555543269164305</v>
      </c>
      <c r="N20" s="361">
        <f t="shared" ref="N20:V20" si="9">M20*(1+$D20)</f>
        <v>1.1344570128534337</v>
      </c>
      <c r="O20" s="361">
        <f t="shared" si="9"/>
        <v>1.2192576745642281</v>
      </c>
      <c r="P20" s="361">
        <f t="shared" si="9"/>
        <v>1.3103971857379042</v>
      </c>
      <c r="Q20" s="361">
        <f t="shared" si="9"/>
        <v>1.4083493753718126</v>
      </c>
      <c r="R20" s="361">
        <f t="shared" si="9"/>
        <v>1.5136234911808557</v>
      </c>
      <c r="S20" s="361">
        <f t="shared" si="9"/>
        <v>1.6267668471466248</v>
      </c>
      <c r="T20" s="361">
        <f t="shared" si="9"/>
        <v>1.7483676689708352</v>
      </c>
      <c r="U20" s="361">
        <f t="shared" si="9"/>
        <v>1.8790581522264054</v>
      </c>
      <c r="V20" s="362">
        <f t="shared" si="9"/>
        <v>2.0195177491053293</v>
      </c>
      <c r="X20" s="351"/>
    </row>
    <row r="21" spans="1:24" ht="24.75" customHeight="1" x14ac:dyDescent="0.3">
      <c r="C21" s="353">
        <f>ABS(E21-Dashboard!$F$14)</f>
        <v>5993.6110848418148</v>
      </c>
      <c r="D21" s="350">
        <f t="shared" si="3"/>
        <v>7.4850000000000028E-2</v>
      </c>
      <c r="E21" s="359" cm="1">
        <f t="array" ref="E21">1000*SUM('DRE + DCF'!$L$36/M21,'DRE + DCF'!$N$36:$V$36/N21:V21,F21/V21)/Dashboard!$F$11</f>
        <v>6090.6010848418146</v>
      </c>
      <c r="F21" s="359">
        <f t="shared" si="1"/>
        <v>677743332.32856166</v>
      </c>
      <c r="G21" s="359">
        <f>'DRE + DCF'!$W$31</f>
        <v>2791623.3540418856</v>
      </c>
      <c r="H21" s="359">
        <f>'DRE + DCF'!$W$32</f>
        <v>81081.931703745853</v>
      </c>
      <c r="I21" s="359">
        <f>-H21*('DRE + DCF'!$V$33+K21)/'DRE + DCF'!$V$33</f>
        <v>-90858.801614444121</v>
      </c>
      <c r="J21" s="359">
        <f>-'DRE + DCF'!$V$56*L21</f>
        <v>-1188924.4255577971</v>
      </c>
      <c r="K21" s="360">
        <f>(1+L21)/(1+Ke!$O$12)-1</f>
        <v>2.0000000000000018E-2</v>
      </c>
      <c r="L21" s="360">
        <f>'DRE + DCF'!$Y$31</f>
        <v>7.3550000000000004E-2</v>
      </c>
      <c r="M21" s="361">
        <f>(1+D21)^((5-Dashboard!$F$9)*3/12)</f>
        <v>1.0556279865152198</v>
      </c>
      <c r="N21" s="361">
        <f t="shared" ref="N21:V21" si="10">M21*(1+$D21)</f>
        <v>1.134641741305884</v>
      </c>
      <c r="O21" s="361">
        <f t="shared" si="10"/>
        <v>1.2195696756426295</v>
      </c>
      <c r="P21" s="361">
        <f t="shared" si="10"/>
        <v>1.3108544658644805</v>
      </c>
      <c r="Q21" s="361">
        <f t="shared" si="10"/>
        <v>1.408971922634437</v>
      </c>
      <c r="R21" s="361">
        <f t="shared" si="10"/>
        <v>1.5144334710436247</v>
      </c>
      <c r="S21" s="361">
        <f t="shared" si="10"/>
        <v>1.6277888163512402</v>
      </c>
      <c r="T21" s="361">
        <f t="shared" si="10"/>
        <v>1.7496288092551306</v>
      </c>
      <c r="U21" s="361">
        <f t="shared" si="10"/>
        <v>1.8805885256278774</v>
      </c>
      <c r="V21" s="362">
        <f t="shared" si="10"/>
        <v>2.0213505767711242</v>
      </c>
      <c r="X21" s="351"/>
    </row>
    <row r="22" spans="1:24" ht="24.75" customHeight="1" x14ac:dyDescent="0.3">
      <c r="C22" s="353">
        <f>ABS(E22-Dashboard!$F$14)</f>
        <v>5573.6654017213723</v>
      </c>
      <c r="D22" s="350">
        <f t="shared" si="3"/>
        <v>7.495000000000003E-2</v>
      </c>
      <c r="E22" s="359" cm="1">
        <f t="array" ref="E22">1000*SUM('DRE + DCF'!$L$36/M22,'DRE + DCF'!$N$36:$V$36/N22:V22,F22/V22)/Dashboard!$F$11</f>
        <v>5670.6554017213721</v>
      </c>
      <c r="F22" s="359">
        <f t="shared" si="1"/>
        <v>630736361.27529109</v>
      </c>
      <c r="G22" s="359">
        <f>'DRE + DCF'!$W$31</f>
        <v>2791623.3540418856</v>
      </c>
      <c r="H22" s="359">
        <f>'DRE + DCF'!$W$32</f>
        <v>81081.931703745853</v>
      </c>
      <c r="I22" s="359">
        <f>-H22*('DRE + DCF'!$V$33+K22)/'DRE + DCF'!$V$33</f>
        <v>-90858.801614444121</v>
      </c>
      <c r="J22" s="359">
        <f>-'DRE + DCF'!$V$56*L22</f>
        <v>-1188924.4255577971</v>
      </c>
      <c r="K22" s="360">
        <f>(1+L22)/(1+Ke!$O$12)-1</f>
        <v>2.0000000000000018E-2</v>
      </c>
      <c r="L22" s="360">
        <f>'DRE + DCF'!$Y$31</f>
        <v>7.3550000000000004E-2</v>
      </c>
      <c r="M22" s="361">
        <f>(1+D22)^((5-Dashboard!$F$9)*3/12)</f>
        <v>1.0557016444007761</v>
      </c>
      <c r="N22" s="361">
        <f t="shared" ref="N22:V22" si="11">M22*(1+$D22)</f>
        <v>1.1348264826486143</v>
      </c>
      <c r="O22" s="361">
        <f t="shared" si="11"/>
        <v>1.219881727523128</v>
      </c>
      <c r="P22" s="361">
        <f t="shared" si="11"/>
        <v>1.3113118630009866</v>
      </c>
      <c r="Q22" s="361">
        <f t="shared" si="11"/>
        <v>1.4095946871329106</v>
      </c>
      <c r="R22" s="361">
        <f t="shared" si="11"/>
        <v>1.5152438089335223</v>
      </c>
      <c r="S22" s="361">
        <f t="shared" si="11"/>
        <v>1.62881133241309</v>
      </c>
      <c r="T22" s="361">
        <f t="shared" si="11"/>
        <v>1.7508907417774511</v>
      </c>
      <c r="U22" s="361">
        <f t="shared" si="11"/>
        <v>1.8821200028736711</v>
      </c>
      <c r="V22" s="362">
        <f t="shared" si="11"/>
        <v>2.0231848970890529</v>
      </c>
      <c r="X22" s="351"/>
    </row>
    <row r="23" spans="1:24" ht="24.75" customHeight="1" x14ac:dyDescent="0.3">
      <c r="C23" s="353">
        <f>ABS(E23-Dashboard!$F$14)</f>
        <v>5209.657662468182</v>
      </c>
      <c r="D23" s="350">
        <f t="shared" si="3"/>
        <v>7.5050000000000033E-2</v>
      </c>
      <c r="E23" s="359" cm="1">
        <f t="array" ref="E23">1000*SUM('DRE + DCF'!$L$36/M23,'DRE + DCF'!$N$36:$V$36/N23:V23,F23/V23)/Dashboard!$F$11</f>
        <v>5306.6476624681818</v>
      </c>
      <c r="F23" s="359">
        <f t="shared" si="1"/>
        <v>589993496.11371887</v>
      </c>
      <c r="G23" s="359">
        <f>'DRE + DCF'!$W$31</f>
        <v>2791623.3540418856</v>
      </c>
      <c r="H23" s="359">
        <f>'DRE + DCF'!$W$32</f>
        <v>81081.931703745853</v>
      </c>
      <c r="I23" s="359">
        <f>-H23*('DRE + DCF'!$V$33+K23)/'DRE + DCF'!$V$33</f>
        <v>-90858.801614444121</v>
      </c>
      <c r="J23" s="359">
        <f>-'DRE + DCF'!$V$56*L23</f>
        <v>-1188924.4255577971</v>
      </c>
      <c r="K23" s="360">
        <f>(1+L23)/(1+Ke!$O$12)-1</f>
        <v>2.0000000000000018E-2</v>
      </c>
      <c r="L23" s="360">
        <f>'DRE + DCF'!$Y$31</f>
        <v>7.3550000000000004E-2</v>
      </c>
      <c r="M23" s="361">
        <f>(1+D23)^((5-Dashboard!$F$9)*3/12)</f>
        <v>1.0557753005732984</v>
      </c>
      <c r="N23" s="361">
        <f t="shared" ref="N23:V23" si="12">M23*(1+$D23)</f>
        <v>1.1350112368813245</v>
      </c>
      <c r="O23" s="361">
        <f t="shared" si="12"/>
        <v>1.2201938302092681</v>
      </c>
      <c r="P23" s="361">
        <f t="shared" si="12"/>
        <v>1.3117693771664738</v>
      </c>
      <c r="Q23" s="361">
        <f t="shared" si="12"/>
        <v>1.4102176689228176</v>
      </c>
      <c r="R23" s="361">
        <f t="shared" si="12"/>
        <v>1.5160545049754752</v>
      </c>
      <c r="S23" s="361">
        <f t="shared" si="12"/>
        <v>1.6298343955738848</v>
      </c>
      <c r="T23" s="361">
        <f t="shared" si="12"/>
        <v>1.7521534669617049</v>
      </c>
      <c r="U23" s="361">
        <f t="shared" si="12"/>
        <v>1.883652584657181</v>
      </c>
      <c r="V23" s="362">
        <f t="shared" si="12"/>
        <v>2.0250207111357024</v>
      </c>
      <c r="X23" s="351"/>
    </row>
    <row r="24" spans="1:24" ht="24.75" customHeight="1" x14ac:dyDescent="0.3">
      <c r="C24" s="353">
        <f>ABS(E24-Dashboard!$F$14)</f>
        <v>4891.0997288401468</v>
      </c>
      <c r="D24" s="350">
        <f t="shared" si="3"/>
        <v>7.5150000000000036E-2</v>
      </c>
      <c r="E24" s="359" cm="1">
        <f t="array" ref="E24">1000*SUM('DRE + DCF'!$L$36/M24,'DRE + DCF'!$N$36:$V$36/N24:V24,F24/V24)/Dashboard!$F$11</f>
        <v>4988.0897288401466</v>
      </c>
      <c r="F24" s="359">
        <f t="shared" si="1"/>
        <v>554340230.05145979</v>
      </c>
      <c r="G24" s="359">
        <f>'DRE + DCF'!$W$31</f>
        <v>2791623.3540418856</v>
      </c>
      <c r="H24" s="359">
        <f>'DRE + DCF'!$W$32</f>
        <v>81081.931703745853</v>
      </c>
      <c r="I24" s="359">
        <f>-H24*('DRE + DCF'!$V$33+K24)/'DRE + DCF'!$V$33</f>
        <v>-90858.801614444121</v>
      </c>
      <c r="J24" s="359">
        <f>-'DRE + DCF'!$V$56*L24</f>
        <v>-1188924.4255577971</v>
      </c>
      <c r="K24" s="360">
        <f>(1+L24)/(1+Ke!$O$12)-1</f>
        <v>2.0000000000000018E-2</v>
      </c>
      <c r="L24" s="360">
        <f>'DRE + DCF'!$Y$31</f>
        <v>7.3550000000000004E-2</v>
      </c>
      <c r="M24" s="361">
        <f>(1+D24)^((5-Dashboard!$F$9)*3/12)</f>
        <v>1.0558489550329859</v>
      </c>
      <c r="N24" s="361">
        <f t="shared" ref="N24:V24" si="13">M24*(1+$D24)</f>
        <v>1.1351960040037148</v>
      </c>
      <c r="O24" s="361">
        <f t="shared" si="13"/>
        <v>1.220505983704594</v>
      </c>
      <c r="P24" s="361">
        <f t="shared" si="13"/>
        <v>1.3122270083799943</v>
      </c>
      <c r="Q24" s="361">
        <f t="shared" si="13"/>
        <v>1.4108408680597508</v>
      </c>
      <c r="R24" s="361">
        <f t="shared" si="13"/>
        <v>1.5168655592944411</v>
      </c>
      <c r="S24" s="361">
        <f t="shared" si="13"/>
        <v>1.6308580060754185</v>
      </c>
      <c r="T24" s="361">
        <f t="shared" si="13"/>
        <v>1.7534169852319863</v>
      </c>
      <c r="U24" s="361">
        <f t="shared" si="13"/>
        <v>1.8851862716721701</v>
      </c>
      <c r="V24" s="362">
        <f t="shared" si="13"/>
        <v>2.0268580199883339</v>
      </c>
      <c r="X24" s="351"/>
    </row>
    <row r="25" spans="1:24" ht="24.75" customHeight="1" x14ac:dyDescent="0.3">
      <c r="C25" s="353">
        <f>ABS(E25-Dashboard!$F$14)</f>
        <v>4609.9712586698879</v>
      </c>
      <c r="D25" s="350">
        <f t="shared" si="3"/>
        <v>7.5250000000000039E-2</v>
      </c>
      <c r="E25" s="359" cm="1">
        <f t="array" ref="E25">1000*SUM('DRE + DCF'!$L$36/M25,'DRE + DCF'!$N$36:$V$36/N25:V25,F25/V25)/Dashboard!$F$11</f>
        <v>4706.9612586698877</v>
      </c>
      <c r="F25" s="359">
        <f t="shared" si="1"/>
        <v>522878410.77016336</v>
      </c>
      <c r="G25" s="359">
        <f>'DRE + DCF'!$W$31</f>
        <v>2791623.3540418856</v>
      </c>
      <c r="H25" s="359">
        <f>'DRE + DCF'!$W$32</f>
        <v>81081.931703745853</v>
      </c>
      <c r="I25" s="359">
        <f>-H25*('DRE + DCF'!$V$33+K25)/'DRE + DCF'!$V$33</f>
        <v>-90858.801614444121</v>
      </c>
      <c r="J25" s="359">
        <f>-'DRE + DCF'!$V$56*L25</f>
        <v>-1188924.4255577971</v>
      </c>
      <c r="K25" s="360">
        <f>(1+L25)/(1+Ke!$O$12)-1</f>
        <v>2.0000000000000018E-2</v>
      </c>
      <c r="L25" s="360">
        <f>'DRE + DCF'!$Y$31</f>
        <v>7.3550000000000004E-2</v>
      </c>
      <c r="M25" s="361">
        <f>(1+D25)^((5-Dashboard!$F$9)*3/12)</f>
        <v>1.0559226077800381</v>
      </c>
      <c r="N25" s="361">
        <f t="shared" ref="N25:V25" si="14">M25*(1+$D25)</f>
        <v>1.1353807840154859</v>
      </c>
      <c r="O25" s="361">
        <f t="shared" si="14"/>
        <v>1.2208181880126512</v>
      </c>
      <c r="P25" s="361">
        <f t="shared" si="14"/>
        <v>1.3126847566606032</v>
      </c>
      <c r="Q25" s="361">
        <f t="shared" si="14"/>
        <v>1.4114642845993137</v>
      </c>
      <c r="R25" s="361">
        <f t="shared" si="14"/>
        <v>1.5176769720154122</v>
      </c>
      <c r="S25" s="361">
        <f t="shared" si="14"/>
        <v>1.631882164159572</v>
      </c>
      <c r="T25" s="361">
        <f t="shared" si="14"/>
        <v>1.7546812970125798</v>
      </c>
      <c r="U25" s="361">
        <f t="shared" si="14"/>
        <v>1.8867210646127766</v>
      </c>
      <c r="V25" s="362">
        <f t="shared" si="14"/>
        <v>2.028696824724888</v>
      </c>
      <c r="X25" s="351"/>
    </row>
    <row r="26" spans="1:24" ht="24.75" customHeight="1" x14ac:dyDescent="0.3">
      <c r="C26" s="353">
        <f>ABS(E26-Dashboard!$F$14)</f>
        <v>4360.0342069624248</v>
      </c>
      <c r="D26" s="350">
        <f t="shared" si="3"/>
        <v>7.5350000000000042E-2</v>
      </c>
      <c r="E26" s="359" cm="1">
        <f t="array" ref="E26">1000*SUM('DRE + DCF'!$L$36/M26,'DRE + DCF'!$N$36:$V$36/N26:V26,F26/V26)/Dashboard!$F$11</f>
        <v>4457.0242069624246</v>
      </c>
      <c r="F26" s="359">
        <f t="shared" si="1"/>
        <v>494909475.29424733</v>
      </c>
      <c r="G26" s="359">
        <f>'DRE + DCF'!$W$31</f>
        <v>2791623.3540418856</v>
      </c>
      <c r="H26" s="359">
        <f>'DRE + DCF'!$W$32</f>
        <v>81081.931703745853</v>
      </c>
      <c r="I26" s="359">
        <f>-H26*('DRE + DCF'!$V$33+K26)/'DRE + DCF'!$V$33</f>
        <v>-90858.801614444121</v>
      </c>
      <c r="J26" s="359">
        <f>-'DRE + DCF'!$V$56*L26</f>
        <v>-1188924.4255577971</v>
      </c>
      <c r="K26" s="360">
        <f>(1+L26)/(1+Ke!$O$12)-1</f>
        <v>2.0000000000000018E-2</v>
      </c>
      <c r="L26" s="360">
        <f>'DRE + DCF'!$Y$31</f>
        <v>7.3550000000000004E-2</v>
      </c>
      <c r="M26" s="361">
        <f>(1+D26)^((5-Dashboard!$F$9)*3/12)</f>
        <v>1.0559962588146539</v>
      </c>
      <c r="N26" s="361">
        <f t="shared" ref="N26:V26" si="15">M26*(1+$D26)</f>
        <v>1.135565576916338</v>
      </c>
      <c r="O26" s="361">
        <f t="shared" si="15"/>
        <v>1.221130443136984</v>
      </c>
      <c r="P26" s="361">
        <f t="shared" si="15"/>
        <v>1.3131426220273559</v>
      </c>
      <c r="Q26" s="361">
        <f t="shared" si="15"/>
        <v>1.4120879185971171</v>
      </c>
      <c r="R26" s="361">
        <f t="shared" si="15"/>
        <v>1.51848874326341</v>
      </c>
      <c r="S26" s="361">
        <f t="shared" si="15"/>
        <v>1.632906870068308</v>
      </c>
      <c r="T26" s="361">
        <f t="shared" si="15"/>
        <v>1.755946402727955</v>
      </c>
      <c r="U26" s="361">
        <f t="shared" si="15"/>
        <v>1.8882569641735065</v>
      </c>
      <c r="V26" s="362">
        <f t="shared" si="15"/>
        <v>2.0305371264239804</v>
      </c>
      <c r="X26" s="351"/>
    </row>
    <row r="27" spans="1:24" ht="24.75" customHeight="1" x14ac:dyDescent="0.3">
      <c r="C27" s="353">
        <f>ABS(E27-Dashboard!$F$14)</f>
        <v>4136.3638003303404</v>
      </c>
      <c r="D27" s="350">
        <f t="shared" si="3"/>
        <v>7.5450000000000045E-2</v>
      </c>
      <c r="E27" s="359" cm="1">
        <f t="array" ref="E27">1000*SUM('DRE + DCF'!$L$36/M27,'DRE + DCF'!$N$36:$V$36/N27:V27,F27/V27)/Dashboard!$F$11</f>
        <v>4233.3538003303402</v>
      </c>
      <c r="F27" s="359">
        <f t="shared" si="1"/>
        <v>469881926.48002785</v>
      </c>
      <c r="G27" s="359">
        <f>'DRE + DCF'!$W$31</f>
        <v>2791623.3540418856</v>
      </c>
      <c r="H27" s="359">
        <f>'DRE + DCF'!$W$32</f>
        <v>81081.931703745853</v>
      </c>
      <c r="I27" s="359">
        <f>-H27*('DRE + DCF'!$V$33+K27)/'DRE + DCF'!$V$33</f>
        <v>-90858.801614444121</v>
      </c>
      <c r="J27" s="359">
        <f>-'DRE + DCF'!$V$56*L27</f>
        <v>-1188924.4255577971</v>
      </c>
      <c r="K27" s="360">
        <f>(1+L27)/(1+Ke!$O$12)-1</f>
        <v>2.0000000000000018E-2</v>
      </c>
      <c r="L27" s="360">
        <f>'DRE + DCF'!$Y$31</f>
        <v>7.3550000000000004E-2</v>
      </c>
      <c r="M27" s="361">
        <f>(1+D27)^((5-Dashboard!$F$9)*3/12)</f>
        <v>1.0560699081370322</v>
      </c>
      <c r="N27" s="361">
        <f t="shared" ref="N27:V27" si="16">M27*(1+$D27)</f>
        <v>1.1357503827059712</v>
      </c>
      <c r="O27" s="361">
        <f t="shared" si="16"/>
        <v>1.2214427490811368</v>
      </c>
      <c r="P27" s="361">
        <f t="shared" si="16"/>
        <v>1.3136006044993087</v>
      </c>
      <c r="Q27" s="361">
        <f t="shared" si="16"/>
        <v>1.4127117701087817</v>
      </c>
      <c r="R27" s="361">
        <f t="shared" si="16"/>
        <v>1.5193008731634894</v>
      </c>
      <c r="S27" s="361">
        <f t="shared" si="16"/>
        <v>1.6339321240436746</v>
      </c>
      <c r="T27" s="361">
        <f t="shared" si="16"/>
        <v>1.75721230280277</v>
      </c>
      <c r="U27" s="361">
        <f t="shared" si="16"/>
        <v>1.8897939710492391</v>
      </c>
      <c r="V27" s="362">
        <f t="shared" si="16"/>
        <v>2.0323789261649043</v>
      </c>
      <c r="X27" s="351"/>
    </row>
    <row r="28" spans="1:24" ht="24.75" customHeight="1" x14ac:dyDescent="0.3">
      <c r="C28" s="353">
        <f>ABS(E28-Dashboard!$F$14)</f>
        <v>3935.0202190983491</v>
      </c>
      <c r="D28" s="350">
        <f t="shared" si="3"/>
        <v>7.5550000000000048E-2</v>
      </c>
      <c r="E28" s="359" cm="1">
        <f t="array" ref="E28">1000*SUM('DRE + DCF'!$L$36/M28,'DRE + DCF'!$N$36:$V$36/N28:V28,F28/V28)/Dashboard!$F$11</f>
        <v>4032.0102190983489</v>
      </c>
      <c r="F28" s="359">
        <f t="shared" si="1"/>
        <v>447354566.55810738</v>
      </c>
      <c r="G28" s="359">
        <f>'DRE + DCF'!$W$31</f>
        <v>2791623.3540418856</v>
      </c>
      <c r="H28" s="359">
        <f>'DRE + DCF'!$W$32</f>
        <v>81081.931703745853</v>
      </c>
      <c r="I28" s="359">
        <f>-H28*('DRE + DCF'!$V$33+K28)/'DRE + DCF'!$V$33</f>
        <v>-90858.801614444121</v>
      </c>
      <c r="J28" s="359">
        <f>-'DRE + DCF'!$V$56*L28</f>
        <v>-1188924.4255577971</v>
      </c>
      <c r="K28" s="360">
        <f>(1+L28)/(1+Ke!$O$12)-1</f>
        <v>2.0000000000000018E-2</v>
      </c>
      <c r="L28" s="360">
        <f>'DRE + DCF'!$Y$31</f>
        <v>7.3550000000000004E-2</v>
      </c>
      <c r="M28" s="361">
        <f>(1+D28)^((5-Dashboard!$F$9)*3/12)</f>
        <v>1.0561435557473722</v>
      </c>
      <c r="N28" s="361">
        <f t="shared" ref="N28:V28" si="17">M28*(1+$D28)</f>
        <v>1.1359352013840862</v>
      </c>
      <c r="O28" s="361">
        <f t="shared" si="17"/>
        <v>1.221755105848654</v>
      </c>
      <c r="P28" s="361">
        <f t="shared" si="17"/>
        <v>1.3140587040955198</v>
      </c>
      <c r="Q28" s="361">
        <f t="shared" si="17"/>
        <v>1.4133358391899364</v>
      </c>
      <c r="R28" s="361">
        <f t="shared" si="17"/>
        <v>1.5201133618407361</v>
      </c>
      <c r="S28" s="361">
        <f t="shared" si="17"/>
        <v>1.6349579263278038</v>
      </c>
      <c r="T28" s="361">
        <f t="shared" si="17"/>
        <v>1.7584789976618693</v>
      </c>
      <c r="U28" s="361">
        <f t="shared" si="17"/>
        <v>1.8913320859352236</v>
      </c>
      <c r="V28" s="362">
        <f t="shared" si="17"/>
        <v>2.0342222250276296</v>
      </c>
      <c r="X28" s="351"/>
    </row>
    <row r="29" spans="1:24" ht="24.75" customHeight="1" x14ac:dyDescent="0.3">
      <c r="C29" s="353">
        <f>ABS(E29-Dashboard!$F$14)</f>
        <v>3752.8140845208081</v>
      </c>
      <c r="D29" s="350">
        <f t="shared" si="3"/>
        <v>7.5650000000000051E-2</v>
      </c>
      <c r="E29" s="359" cm="1">
        <f t="array" ref="E29">1000*SUM('DRE + DCF'!$L$36/M29,'DRE + DCF'!$N$36:$V$36/N29:V29,F29/V29)/Dashboard!$F$11</f>
        <v>3849.8040845208079</v>
      </c>
      <c r="F29" s="359">
        <f t="shared" si="1"/>
        <v>426970235.37793505</v>
      </c>
      <c r="G29" s="359">
        <f>'DRE + DCF'!$W$31</f>
        <v>2791623.3540418856</v>
      </c>
      <c r="H29" s="359">
        <f>'DRE + DCF'!$W$32</f>
        <v>81081.931703745853</v>
      </c>
      <c r="I29" s="359">
        <f>-H29*('DRE + DCF'!$V$33+K29)/'DRE + DCF'!$V$33</f>
        <v>-90858.801614444121</v>
      </c>
      <c r="J29" s="359">
        <f>-'DRE + DCF'!$V$56*L29</f>
        <v>-1188924.4255577971</v>
      </c>
      <c r="K29" s="360">
        <f>(1+L29)/(1+Ke!$O$12)-1</f>
        <v>2.0000000000000018E-2</v>
      </c>
      <c r="L29" s="360">
        <f>'DRE + DCF'!$Y$31</f>
        <v>7.3550000000000004E-2</v>
      </c>
      <c r="M29" s="361">
        <f>(1+D29)^((5-Dashboard!$F$9)*3/12)</f>
        <v>1.0562172016458726</v>
      </c>
      <c r="N29" s="361">
        <f t="shared" ref="N29:V29" si="18">M29*(1+$D29)</f>
        <v>1.1361200329503829</v>
      </c>
      <c r="O29" s="361">
        <f t="shared" si="18"/>
        <v>1.2220675134430794</v>
      </c>
      <c r="P29" s="361">
        <f t="shared" si="18"/>
        <v>1.3145169208350485</v>
      </c>
      <c r="Q29" s="361">
        <f t="shared" si="18"/>
        <v>1.4139601258962198</v>
      </c>
      <c r="R29" s="361">
        <f t="shared" si="18"/>
        <v>1.5209262094202689</v>
      </c>
      <c r="S29" s="361">
        <f t="shared" si="18"/>
        <v>1.6359842771629123</v>
      </c>
      <c r="T29" s="361">
        <f t="shared" si="18"/>
        <v>1.7597464877302866</v>
      </c>
      <c r="U29" s="361">
        <f t="shared" si="18"/>
        <v>1.8928713095270828</v>
      </c>
      <c r="V29" s="362">
        <f t="shared" si="18"/>
        <v>2.0360670240928065</v>
      </c>
      <c r="X29" s="351"/>
    </row>
    <row r="30" spans="1:24" ht="24.75" customHeight="1" x14ac:dyDescent="0.3">
      <c r="C30" s="353">
        <f>ABS(E30-Dashboard!$F$14)</f>
        <v>3587.1359040307589</v>
      </c>
      <c r="D30" s="350">
        <f t="shared" si="3"/>
        <v>7.5750000000000053E-2</v>
      </c>
      <c r="E30" s="359" cm="1">
        <f t="array" ref="E30">1000*SUM('DRE + DCF'!$L$36/M30,'DRE + DCF'!$N$36:$V$36/N30:V30,F30/V30)/Dashboard!$F$11</f>
        <v>3684.1259040307586</v>
      </c>
      <c r="F30" s="359">
        <f t="shared" si="1"/>
        <v>408436710.94930267</v>
      </c>
      <c r="G30" s="359">
        <f>'DRE + DCF'!$W$31</f>
        <v>2791623.3540418856</v>
      </c>
      <c r="H30" s="359">
        <f>'DRE + DCF'!$W$32</f>
        <v>81081.931703745853</v>
      </c>
      <c r="I30" s="359">
        <f>-H30*('DRE + DCF'!$V$33+K30)/'DRE + DCF'!$V$33</f>
        <v>-90858.801614444121</v>
      </c>
      <c r="J30" s="359">
        <f>-'DRE + DCF'!$V$56*L30</f>
        <v>-1188924.4255577971</v>
      </c>
      <c r="K30" s="360">
        <f>(1+L30)/(1+Ke!$O$12)-1</f>
        <v>2.0000000000000018E-2</v>
      </c>
      <c r="L30" s="360">
        <f>'DRE + DCF'!$Y$31</f>
        <v>7.3550000000000004E-2</v>
      </c>
      <c r="M30" s="361">
        <f>(1+D30)^((5-Dashboard!$F$9)*3/12)</f>
        <v>1.0562908458327327</v>
      </c>
      <c r="N30" s="361">
        <f t="shared" ref="N30:V30" si="19">M30*(1+$D30)</f>
        <v>1.1363048774045621</v>
      </c>
      <c r="O30" s="361">
        <f t="shared" si="19"/>
        <v>1.2223799718679575</v>
      </c>
      <c r="P30" s="361">
        <f t="shared" si="19"/>
        <v>1.3149752547369553</v>
      </c>
      <c r="Q30" s="361">
        <f t="shared" si="19"/>
        <v>1.4145846302832796</v>
      </c>
      <c r="R30" s="361">
        <f t="shared" si="19"/>
        <v>1.5217394160272379</v>
      </c>
      <c r="S30" s="361">
        <f t="shared" si="19"/>
        <v>1.6370111767913011</v>
      </c>
      <c r="T30" s="361">
        <f t="shared" si="19"/>
        <v>1.7610147734332422</v>
      </c>
      <c r="U30" s="361">
        <f t="shared" si="19"/>
        <v>1.8944116425208102</v>
      </c>
      <c r="V30" s="362">
        <f t="shared" si="19"/>
        <v>2.0379133244417615</v>
      </c>
      <c r="X30" s="351"/>
    </row>
    <row r="31" spans="1:24" ht="24.75" customHeight="1" x14ac:dyDescent="0.3">
      <c r="C31" s="353">
        <f>ABS(E31-Dashboard!$F$14)</f>
        <v>3435.8300090326597</v>
      </c>
      <c r="D31" s="350">
        <f t="shared" si="3"/>
        <v>7.5850000000000056E-2</v>
      </c>
      <c r="E31" s="359" cm="1">
        <f t="array" ref="E31">1000*SUM('DRE + DCF'!$L$36/M31,'DRE + DCF'!$N$36:$V$36/N31:V31,F31/V31)/Dashboard!$F$11</f>
        <v>3532.8200090326595</v>
      </c>
      <c r="F31" s="359">
        <f t="shared" si="1"/>
        <v>391512592.45127362</v>
      </c>
      <c r="G31" s="359">
        <f>'DRE + DCF'!$W$31</f>
        <v>2791623.3540418856</v>
      </c>
      <c r="H31" s="359">
        <f>'DRE + DCF'!$W$32</f>
        <v>81081.931703745853</v>
      </c>
      <c r="I31" s="359">
        <f>-H31*('DRE + DCF'!$V$33+K31)/'DRE + DCF'!$V$33</f>
        <v>-90858.801614444121</v>
      </c>
      <c r="J31" s="359">
        <f>-'DRE + DCF'!$V$56*L31</f>
        <v>-1188924.4255577971</v>
      </c>
      <c r="K31" s="360">
        <f>(1+L31)/(1+Ke!$O$12)-1</f>
        <v>2.0000000000000018E-2</v>
      </c>
      <c r="L31" s="360">
        <f>'DRE + DCF'!$Y$31</f>
        <v>7.3550000000000004E-2</v>
      </c>
      <c r="M31" s="361">
        <f>(1+D31)^((5-Dashboard!$F$9)*3/12)</f>
        <v>1.0563644883081513</v>
      </c>
      <c r="N31" s="361">
        <f t="shared" ref="N31:V31" si="20">M31*(1+$D31)</f>
        <v>1.1364897347463245</v>
      </c>
      <c r="O31" s="361">
        <f t="shared" si="20"/>
        <v>1.2226924811268332</v>
      </c>
      <c r="P31" s="361">
        <f t="shared" si="20"/>
        <v>1.3154337058203034</v>
      </c>
      <c r="Q31" s="361">
        <f t="shared" si="20"/>
        <v>1.4152093524067733</v>
      </c>
      <c r="R31" s="361">
        <f t="shared" si="20"/>
        <v>1.5225529817868271</v>
      </c>
      <c r="S31" s="361">
        <f t="shared" si="20"/>
        <v>1.6380386254553578</v>
      </c>
      <c r="T31" s="361">
        <f t="shared" si="20"/>
        <v>1.7622838551961466</v>
      </c>
      <c r="U31" s="361">
        <f t="shared" si="20"/>
        <v>1.8959530856127742</v>
      </c>
      <c r="V31" s="362">
        <f t="shared" si="20"/>
        <v>2.039761127156503</v>
      </c>
      <c r="X31" s="351"/>
    </row>
    <row r="32" spans="1:24" ht="24.75" customHeight="1" x14ac:dyDescent="0.3">
      <c r="C32" s="353">
        <f>ABS(E32-Dashboard!$F$14)</f>
        <v>3297.1000082468927</v>
      </c>
      <c r="D32" s="350">
        <f t="shared" si="3"/>
        <v>7.5950000000000059E-2</v>
      </c>
      <c r="E32" s="359" cm="1">
        <f t="array" ref="E32">1000*SUM('DRE + DCF'!$L$36/M32,'DRE + DCF'!$N$36:$V$36/N32:V32,F32/V32)/Dashboard!$F$11</f>
        <v>3394.0900082468925</v>
      </c>
      <c r="F32" s="359">
        <f t="shared" si="1"/>
        <v>375996712.48887742</v>
      </c>
      <c r="G32" s="359">
        <f>'DRE + DCF'!$W$31</f>
        <v>2791623.3540418856</v>
      </c>
      <c r="H32" s="359">
        <f>'DRE + DCF'!$W$32</f>
        <v>81081.931703745853</v>
      </c>
      <c r="I32" s="359">
        <f>-H32*('DRE + DCF'!$V$33+K32)/'DRE + DCF'!$V$33</f>
        <v>-90858.801614444121</v>
      </c>
      <c r="J32" s="359">
        <f>-'DRE + DCF'!$V$56*L32</f>
        <v>-1188924.4255577971</v>
      </c>
      <c r="K32" s="360">
        <f>(1+L32)/(1+Ke!$O$12)-1</f>
        <v>2.0000000000000018E-2</v>
      </c>
      <c r="L32" s="360">
        <f>'DRE + DCF'!$Y$31</f>
        <v>7.3550000000000004E-2</v>
      </c>
      <c r="M32" s="361">
        <f>(1+D32)^((5-Dashboard!$F$9)*3/12)</f>
        <v>1.056438129072327</v>
      </c>
      <c r="N32" s="361">
        <f t="shared" ref="N32:V32" si="21">M32*(1+$D32)</f>
        <v>1.1366746049753702</v>
      </c>
      <c r="O32" s="361">
        <f t="shared" si="21"/>
        <v>1.2230050412232496</v>
      </c>
      <c r="P32" s="361">
        <f t="shared" si="21"/>
        <v>1.3158922741041554</v>
      </c>
      <c r="Q32" s="361">
        <f t="shared" si="21"/>
        <v>1.4158342923223659</v>
      </c>
      <c r="R32" s="361">
        <f t="shared" si="21"/>
        <v>1.5233669068242495</v>
      </c>
      <c r="S32" s="361">
        <f t="shared" si="21"/>
        <v>1.639066623397551</v>
      </c>
      <c r="T32" s="361">
        <f t="shared" si="21"/>
        <v>1.763553733444595</v>
      </c>
      <c r="U32" s="361">
        <f t="shared" si="21"/>
        <v>1.897495639499712</v>
      </c>
      <c r="V32" s="362">
        <f t="shared" si="21"/>
        <v>2.0416104333197151</v>
      </c>
      <c r="X32" s="351"/>
    </row>
    <row r="33" spans="3:24" ht="24.75" customHeight="1" x14ac:dyDescent="0.3">
      <c r="C33" s="353">
        <f>ABS(E33-Dashboard!$F$14)</f>
        <v>3169.4369322515499</v>
      </c>
      <c r="D33" s="350">
        <f t="shared" si="3"/>
        <v>7.6050000000000062E-2</v>
      </c>
      <c r="E33" s="359" cm="1">
        <f t="array" ref="E33">1000*SUM('DRE + DCF'!$L$36/M33,'DRE + DCF'!$N$36:$V$36/N33:V33,F33/V33)/Dashboard!$F$11</f>
        <v>3266.4269322515497</v>
      </c>
      <c r="F33" s="359">
        <f t="shared" si="1"/>
        <v>361720090.40819567</v>
      </c>
      <c r="G33" s="359">
        <f>'DRE + DCF'!$W$31</f>
        <v>2791623.3540418856</v>
      </c>
      <c r="H33" s="359">
        <f>'DRE + DCF'!$W$32</f>
        <v>81081.931703745853</v>
      </c>
      <c r="I33" s="359">
        <f>-H33*('DRE + DCF'!$V$33+K33)/'DRE + DCF'!$V$33</f>
        <v>-90858.801614444121</v>
      </c>
      <c r="J33" s="359">
        <f>-'DRE + DCF'!$V$56*L33</f>
        <v>-1188924.4255577971</v>
      </c>
      <c r="K33" s="360">
        <f>(1+L33)/(1+Ke!$O$12)-1</f>
        <v>2.0000000000000018E-2</v>
      </c>
      <c r="L33" s="360">
        <f>'DRE + DCF'!$Y$31</f>
        <v>7.3550000000000004E-2</v>
      </c>
      <c r="M33" s="361">
        <f>(1+D33)^((5-Dashboard!$F$9)*3/12)</f>
        <v>1.0565117681254588</v>
      </c>
      <c r="N33" s="361">
        <f t="shared" ref="N33:V33" si="22">M33*(1+$D33)</f>
        <v>1.1368594880913998</v>
      </c>
      <c r="O33" s="361">
        <f t="shared" si="22"/>
        <v>1.2233176521607507</v>
      </c>
      <c r="P33" s="361">
        <f t="shared" si="22"/>
        <v>1.3163509596075758</v>
      </c>
      <c r="Q33" s="361">
        <f t="shared" si="22"/>
        <v>1.4164594500857319</v>
      </c>
      <c r="R33" s="361">
        <f t="shared" si="22"/>
        <v>1.5241811912647518</v>
      </c>
      <c r="S33" s="361">
        <f t="shared" si="22"/>
        <v>1.6400951708604361</v>
      </c>
      <c r="T33" s="361">
        <f t="shared" si="22"/>
        <v>1.7648244086043723</v>
      </c>
      <c r="U33" s="361">
        <f t="shared" si="22"/>
        <v>1.8990393048787346</v>
      </c>
      <c r="V33" s="362">
        <f t="shared" si="22"/>
        <v>2.0434612440147624</v>
      </c>
      <c r="X33" s="351"/>
    </row>
    <row r="34" spans="3:24" ht="24.75" customHeight="1" x14ac:dyDescent="0.3">
      <c r="C34" s="353">
        <f>ABS(E34-Dashboard!$F$14)</f>
        <v>3051.5639600529885</v>
      </c>
      <c r="D34" s="350">
        <f t="shared" si="3"/>
        <v>7.6150000000000065E-2</v>
      </c>
      <c r="E34" s="359" cm="1">
        <f t="array" ref="E34">1000*SUM('DRE + DCF'!$L$36/M34,'DRE + DCF'!$N$36:$V$36/N34:V34,F34/V34)/Dashboard!$F$11</f>
        <v>3148.5539600529883</v>
      </c>
      <c r="F34" s="359">
        <f t="shared" si="1"/>
        <v>348539742.53873354</v>
      </c>
      <c r="G34" s="359">
        <f>'DRE + DCF'!$W$31</f>
        <v>2791623.3540418856</v>
      </c>
      <c r="H34" s="359">
        <f>'DRE + DCF'!$W$32</f>
        <v>81081.931703745853</v>
      </c>
      <c r="I34" s="359">
        <f>-H34*('DRE + DCF'!$V$33+K34)/'DRE + DCF'!$V$33</f>
        <v>-90858.801614444121</v>
      </c>
      <c r="J34" s="359">
        <f>-'DRE + DCF'!$V$56*L34</f>
        <v>-1188924.4255577971</v>
      </c>
      <c r="K34" s="360">
        <f>(1+L34)/(1+Ke!$O$12)-1</f>
        <v>2.0000000000000018E-2</v>
      </c>
      <c r="L34" s="360">
        <f>'DRE + DCF'!$Y$31</f>
        <v>7.3550000000000004E-2</v>
      </c>
      <c r="M34" s="361">
        <f>(1+D34)^((5-Dashboard!$F$9)*3/12)</f>
        <v>1.0565854054677457</v>
      </c>
      <c r="N34" s="361">
        <f t="shared" ref="N34:V34" si="23">M34*(1+$D34)</f>
        <v>1.1370443840941147</v>
      </c>
      <c r="O34" s="361">
        <f t="shared" si="23"/>
        <v>1.2236303139428817</v>
      </c>
      <c r="P34" s="361">
        <f t="shared" si="23"/>
        <v>1.3168097623496324</v>
      </c>
      <c r="Q34" s="361">
        <f t="shared" si="23"/>
        <v>1.4170848257525572</v>
      </c>
      <c r="R34" s="361">
        <f t="shared" si="23"/>
        <v>1.5249958352336146</v>
      </c>
      <c r="S34" s="361">
        <f t="shared" si="23"/>
        <v>1.6411242680866547</v>
      </c>
      <c r="T34" s="361">
        <f t="shared" si="23"/>
        <v>1.7660958811014538</v>
      </c>
      <c r="U34" s="361">
        <f t="shared" si="23"/>
        <v>1.9005840824473297</v>
      </c>
      <c r="V34" s="362">
        <f t="shared" si="23"/>
        <v>2.045313560325694</v>
      </c>
      <c r="X34" s="351"/>
    </row>
    <row r="35" spans="3:24" ht="24.75" customHeight="1" x14ac:dyDescent="0.3">
      <c r="C35" s="353">
        <f>ABS(E35-Dashboard!$F$14)</f>
        <v>2942.393428640708</v>
      </c>
      <c r="D35" s="350">
        <f t="shared" si="3"/>
        <v>7.6250000000000068E-2</v>
      </c>
      <c r="E35" s="359" cm="1">
        <f t="array" ref="E35">1000*SUM('DRE + DCF'!$L$36/M35,'DRE + DCF'!$N$36:$V$36/N35:V35,F35/V35)/Dashboard!$F$11</f>
        <v>3039.3834286407077</v>
      </c>
      <c r="F35" s="359">
        <f t="shared" si="1"/>
        <v>336333867.93748385</v>
      </c>
      <c r="G35" s="359">
        <f>'DRE + DCF'!$W$31</f>
        <v>2791623.3540418856</v>
      </c>
      <c r="H35" s="359">
        <f>'DRE + DCF'!$W$32</f>
        <v>81081.931703745853</v>
      </c>
      <c r="I35" s="359">
        <f>-H35*('DRE + DCF'!$V$33+K35)/'DRE + DCF'!$V$33</f>
        <v>-90858.801614444121</v>
      </c>
      <c r="J35" s="359">
        <f>-'DRE + DCF'!$V$56*L35</f>
        <v>-1188924.4255577971</v>
      </c>
      <c r="K35" s="360">
        <f>(1+L35)/(1+Ke!$O$12)-1</f>
        <v>2.0000000000000018E-2</v>
      </c>
      <c r="L35" s="360">
        <f>'DRE + DCF'!$Y$31</f>
        <v>7.3550000000000004E-2</v>
      </c>
      <c r="M35" s="361">
        <f>(1+D35)^((5-Dashboard!$F$9)*3/12)</f>
        <v>1.0566590410993859</v>
      </c>
      <c r="N35" s="361">
        <f t="shared" ref="N35:V35" si="24">M35*(1+$D35)</f>
        <v>1.1372292929832142</v>
      </c>
      <c r="O35" s="361">
        <f t="shared" si="24"/>
        <v>1.2239430265731843</v>
      </c>
      <c r="P35" s="361">
        <f t="shared" si="24"/>
        <v>1.3172686823493898</v>
      </c>
      <c r="Q35" s="361">
        <f t="shared" si="24"/>
        <v>1.417710419378531</v>
      </c>
      <c r="R35" s="361">
        <f t="shared" si="24"/>
        <v>1.5258108388561442</v>
      </c>
      <c r="S35" s="361">
        <f t="shared" si="24"/>
        <v>1.6421539153189255</v>
      </c>
      <c r="T35" s="361">
        <f t="shared" si="24"/>
        <v>1.7673681513619939</v>
      </c>
      <c r="U35" s="361">
        <f t="shared" si="24"/>
        <v>1.9021299729033461</v>
      </c>
      <c r="V35" s="362">
        <f t="shared" si="24"/>
        <v>2.0471673833372264</v>
      </c>
      <c r="X35" s="351"/>
    </row>
    <row r="36" spans="3:24" ht="24.75" customHeight="1" x14ac:dyDescent="0.3">
      <c r="C36" s="353">
        <f>ABS(E36-Dashboard!$F$14)</f>
        <v>2840.9930547803738</v>
      </c>
      <c r="D36" s="350">
        <f t="shared" si="3"/>
        <v>7.6350000000000071E-2</v>
      </c>
      <c r="E36" s="359" cm="1">
        <f t="array" ref="E36">1000*SUM('DRE + DCF'!$L$36/M36,'DRE + DCF'!$N$36:$V$36/N36:V36,F36/V36)/Dashboard!$F$11</f>
        <v>2937.9830547803735</v>
      </c>
      <c r="F36" s="359">
        <f t="shared" si="1"/>
        <v>324998065.7592625</v>
      </c>
      <c r="G36" s="359">
        <f>'DRE + DCF'!$W$31</f>
        <v>2791623.3540418856</v>
      </c>
      <c r="H36" s="359">
        <f>'DRE + DCF'!$W$32</f>
        <v>81081.931703745853</v>
      </c>
      <c r="I36" s="359">
        <f>-H36*('DRE + DCF'!$V$33+K36)/'DRE + DCF'!$V$33</f>
        <v>-90858.801614444121</v>
      </c>
      <c r="J36" s="359">
        <f>-'DRE + DCF'!$V$56*L36</f>
        <v>-1188924.4255577971</v>
      </c>
      <c r="K36" s="360">
        <f>(1+L36)/(1+Ke!$O$12)-1</f>
        <v>2.0000000000000018E-2</v>
      </c>
      <c r="L36" s="360">
        <f>'DRE + DCF'!$Y$31</f>
        <v>7.3550000000000004E-2</v>
      </c>
      <c r="M36" s="361">
        <f>(1+D36)^((5-Dashboard!$F$9)*3/12)</f>
        <v>1.0567326750205783</v>
      </c>
      <c r="N36" s="361">
        <f t="shared" ref="N36:V36" si="25">M36*(1+$D36)</f>
        <v>1.1374142147583997</v>
      </c>
      <c r="O36" s="361">
        <f t="shared" si="25"/>
        <v>1.2242557900552036</v>
      </c>
      <c r="P36" s="361">
        <f t="shared" si="25"/>
        <v>1.3177277196259185</v>
      </c>
      <c r="Q36" s="361">
        <f t="shared" si="25"/>
        <v>1.4183362310193575</v>
      </c>
      <c r="R36" s="361">
        <f t="shared" si="25"/>
        <v>1.5266262022576855</v>
      </c>
      <c r="S36" s="361">
        <f t="shared" si="25"/>
        <v>1.6431841128000599</v>
      </c>
      <c r="T36" s="361">
        <f t="shared" si="25"/>
        <v>1.7686412198123447</v>
      </c>
      <c r="U36" s="361">
        <f t="shared" si="25"/>
        <v>1.9036769769450175</v>
      </c>
      <c r="V36" s="362">
        <f t="shared" si="25"/>
        <v>2.0490227141347699</v>
      </c>
      <c r="X36" s="351"/>
    </row>
    <row r="37" spans="3:24" ht="24.75" customHeight="1" x14ac:dyDescent="0.3">
      <c r="C37" s="353">
        <f>ABS(E37-Dashboard!$F$14)</f>
        <v>2746.5591454014043</v>
      </c>
      <c r="D37" s="350">
        <f t="shared" si="3"/>
        <v>7.6450000000000073E-2</v>
      </c>
      <c r="E37" s="359" cm="1">
        <f t="array" ref="E37">1000*SUM('DRE + DCF'!$L$36/M37,'DRE + DCF'!$N$36:$V$36/N37:V37,F37/V37)/Dashboard!$F$11</f>
        <v>2843.5491454014041</v>
      </c>
      <c r="F37" s="359">
        <f t="shared" si="1"/>
        <v>314442335.24007475</v>
      </c>
      <c r="G37" s="359">
        <f>'DRE + DCF'!$W$31</f>
        <v>2791623.3540418856</v>
      </c>
      <c r="H37" s="359">
        <f>'DRE + DCF'!$W$32</f>
        <v>81081.931703745853</v>
      </c>
      <c r="I37" s="359">
        <f>-H37*('DRE + DCF'!$V$33+K37)/'DRE + DCF'!$V$33</f>
        <v>-90858.801614444121</v>
      </c>
      <c r="J37" s="359">
        <f>-'DRE + DCF'!$V$56*L37</f>
        <v>-1188924.4255577971</v>
      </c>
      <c r="K37" s="360">
        <f>(1+L37)/(1+Ke!$O$12)-1</f>
        <v>2.0000000000000018E-2</v>
      </c>
      <c r="L37" s="360">
        <f>'DRE + DCF'!$Y$31</f>
        <v>7.3550000000000004E-2</v>
      </c>
      <c r="M37" s="361">
        <f>(1+D37)^((5-Dashboard!$F$9)*3/12)</f>
        <v>1.0568063072315217</v>
      </c>
      <c r="N37" s="361">
        <f t="shared" ref="N37:V37" si="26">M37*(1+$D37)</f>
        <v>1.1375991494193716</v>
      </c>
      <c r="O37" s="361">
        <f t="shared" si="26"/>
        <v>1.2245686043924826</v>
      </c>
      <c r="P37" s="361">
        <f t="shared" si="26"/>
        <v>1.3181868741982881</v>
      </c>
      <c r="Q37" s="361">
        <f t="shared" si="26"/>
        <v>1.4189622607307473</v>
      </c>
      <c r="R37" s="361">
        <f t="shared" si="26"/>
        <v>1.5274419255636131</v>
      </c>
      <c r="S37" s="361">
        <f t="shared" si="26"/>
        <v>1.6442148607729516</v>
      </c>
      <c r="T37" s="361">
        <f t="shared" si="26"/>
        <v>1.7699150868790441</v>
      </c>
      <c r="U37" s="361">
        <f t="shared" si="26"/>
        <v>1.9052250952709473</v>
      </c>
      <c r="V37" s="362">
        <f t="shared" si="26"/>
        <v>2.0508795538044113</v>
      </c>
      <c r="X37" s="351"/>
    </row>
    <row r="38" spans="3:24" ht="24.75" customHeight="1" x14ac:dyDescent="0.3">
      <c r="C38" s="353">
        <f>ABS(E38-Dashboard!$F$14)</f>
        <v>2658.3951659069999</v>
      </c>
      <c r="D38" s="350">
        <f t="shared" si="3"/>
        <v>7.6550000000000076E-2</v>
      </c>
      <c r="E38" s="359" cm="1">
        <f t="array" ref="E38">1000*SUM('DRE + DCF'!$L$36/M38,'DRE + DCF'!$N$36:$V$36/N38:V38,F38/V38)/Dashboard!$F$11</f>
        <v>2755.3851659069996</v>
      </c>
      <c r="F38" s="359">
        <f t="shared" si="1"/>
        <v>304588675.68380761</v>
      </c>
      <c r="G38" s="359">
        <f>'DRE + DCF'!$W$31</f>
        <v>2791623.3540418856</v>
      </c>
      <c r="H38" s="359">
        <f>'DRE + DCF'!$W$32</f>
        <v>81081.931703745853</v>
      </c>
      <c r="I38" s="359">
        <f>-H38*('DRE + DCF'!$V$33+K38)/'DRE + DCF'!$V$33</f>
        <v>-90858.801614444121</v>
      </c>
      <c r="J38" s="359">
        <f>-'DRE + DCF'!$V$56*L38</f>
        <v>-1188924.4255577971</v>
      </c>
      <c r="K38" s="360">
        <f>(1+L38)/(1+Ke!$O$12)-1</f>
        <v>2.0000000000000018E-2</v>
      </c>
      <c r="L38" s="360">
        <f>'DRE + DCF'!$Y$31</f>
        <v>7.3550000000000004E-2</v>
      </c>
      <c r="M38" s="361">
        <f>(1+D38)^((5-Dashboard!$F$9)*3/12)</f>
        <v>1.0568799377324145</v>
      </c>
      <c r="N38" s="361">
        <f t="shared" ref="N38:V38" si="27">M38*(1+$D38)</f>
        <v>1.137784096965831</v>
      </c>
      <c r="O38" s="361">
        <f t="shared" si="27"/>
        <v>1.2248814695885655</v>
      </c>
      <c r="P38" s="361">
        <f t="shared" si="27"/>
        <v>1.3186461460855703</v>
      </c>
      <c r="Q38" s="361">
        <f t="shared" si="27"/>
        <v>1.4195885085684208</v>
      </c>
      <c r="R38" s="361">
        <f t="shared" si="27"/>
        <v>1.5282580088993336</v>
      </c>
      <c r="S38" s="361">
        <f t="shared" si="27"/>
        <v>1.6452461594805778</v>
      </c>
      <c r="T38" s="361">
        <f t="shared" si="27"/>
        <v>1.7711897529888163</v>
      </c>
      <c r="U38" s="361">
        <f t="shared" si="27"/>
        <v>1.9067743285801104</v>
      </c>
      <c r="V38" s="362">
        <f t="shared" si="27"/>
        <v>2.0527379034329183</v>
      </c>
      <c r="X38" s="351"/>
    </row>
    <row r="39" spans="3:24" ht="24.75" customHeight="1" x14ac:dyDescent="0.3">
      <c r="C39" s="353">
        <f>ABS(E39-Dashboard!$F$14)</f>
        <v>2575.8944565531483</v>
      </c>
      <c r="D39" s="350">
        <f t="shared" si="3"/>
        <v>7.6650000000000079E-2</v>
      </c>
      <c r="E39" s="359" cm="1">
        <f t="array" ref="E39">1000*SUM('DRE + DCF'!$L$36/M39,'DRE + DCF'!$N$36:$V$36/N39:V39,F39/V39)/Dashboard!$F$11</f>
        <v>2672.8844565531481</v>
      </c>
      <c r="F39" s="359">
        <f t="shared" si="1"/>
        <v>295369150.96762431</v>
      </c>
      <c r="G39" s="359">
        <f>'DRE + DCF'!$W$31</f>
        <v>2791623.3540418856</v>
      </c>
      <c r="H39" s="359">
        <f>'DRE + DCF'!$W$32</f>
        <v>81081.931703745853</v>
      </c>
      <c r="I39" s="359">
        <f>-H39*('DRE + DCF'!$V$33+K39)/'DRE + DCF'!$V$33</f>
        <v>-90858.801614444121</v>
      </c>
      <c r="J39" s="359">
        <f>-'DRE + DCF'!$V$56*L39</f>
        <v>-1188924.4255577971</v>
      </c>
      <c r="K39" s="360">
        <f>(1+L39)/(1+Ke!$O$12)-1</f>
        <v>2.0000000000000018E-2</v>
      </c>
      <c r="L39" s="360">
        <f>'DRE + DCF'!$Y$31</f>
        <v>7.3550000000000004E-2</v>
      </c>
      <c r="M39" s="361">
        <f>(1+D39)^((5-Dashboard!$F$9)*3/12)</f>
        <v>1.0569535665234553</v>
      </c>
      <c r="N39" s="361">
        <f t="shared" ref="N39:V39" si="28">M39*(1+$D39)</f>
        <v>1.1379690573974783</v>
      </c>
      <c r="O39" s="361">
        <f t="shared" si="28"/>
        <v>1.2251943856469951</v>
      </c>
      <c r="P39" s="361">
        <f t="shared" si="28"/>
        <v>1.3191055353068375</v>
      </c>
      <c r="Q39" s="361">
        <f t="shared" si="28"/>
        <v>1.4202149745881067</v>
      </c>
      <c r="R39" s="361">
        <f t="shared" si="28"/>
        <v>1.5290744523902853</v>
      </c>
      <c r="S39" s="361">
        <f t="shared" si="28"/>
        <v>1.6462780091660008</v>
      </c>
      <c r="T39" s="361">
        <f t="shared" si="28"/>
        <v>1.772465218568575</v>
      </c>
      <c r="U39" s="361">
        <f t="shared" si="28"/>
        <v>1.9083246775718565</v>
      </c>
      <c r="V39" s="362">
        <f t="shared" si="28"/>
        <v>2.0545977641077395</v>
      </c>
      <c r="X39" s="351"/>
    </row>
    <row r="40" spans="3:24" ht="24.75" customHeight="1" x14ac:dyDescent="0.3">
      <c r="C40" s="353">
        <f>ABS(E40-Dashboard!$F$14)</f>
        <v>2498.5261895065596</v>
      </c>
      <c r="D40" s="350">
        <f t="shared" si="3"/>
        <v>7.6750000000000082E-2</v>
      </c>
      <c r="E40" s="359" cm="1">
        <f t="array" ref="E40">1000*SUM('DRE + DCF'!$L$36/M40,'DRE + DCF'!$N$36:$V$36/N40:V40,F40/V40)/Dashboard!$F$11</f>
        <v>2595.5161895065594</v>
      </c>
      <c r="F40" s="359">
        <f t="shared" si="1"/>
        <v>286724316.95259655</v>
      </c>
      <c r="G40" s="359">
        <f>'DRE + DCF'!$W$31</f>
        <v>2791623.3540418856</v>
      </c>
      <c r="H40" s="359">
        <f>'DRE + DCF'!$W$32</f>
        <v>81081.931703745853</v>
      </c>
      <c r="I40" s="359">
        <f>-H40*('DRE + DCF'!$V$33+K40)/'DRE + DCF'!$V$33</f>
        <v>-90858.801614444121</v>
      </c>
      <c r="J40" s="359">
        <f>-'DRE + DCF'!$V$56*L40</f>
        <v>-1188924.4255577971</v>
      </c>
      <c r="K40" s="360">
        <f>(1+L40)/(1+Ke!$O$12)-1</f>
        <v>2.0000000000000018E-2</v>
      </c>
      <c r="L40" s="360">
        <f>'DRE + DCF'!$Y$31</f>
        <v>7.3550000000000004E-2</v>
      </c>
      <c r="M40" s="361">
        <f>(1+D40)^((5-Dashboard!$F$9)*3/12)</f>
        <v>1.0570271936048425</v>
      </c>
      <c r="N40" s="361">
        <f t="shared" ref="N40:V40" si="29">M40*(1+$D40)</f>
        <v>1.1381540307140143</v>
      </c>
      <c r="O40" s="361">
        <f t="shared" si="29"/>
        <v>1.2255073525713149</v>
      </c>
      <c r="P40" s="361">
        <f t="shared" si="29"/>
        <v>1.3195650418811635</v>
      </c>
      <c r="Q40" s="361">
        <f t="shared" si="29"/>
        <v>1.420841658845543</v>
      </c>
      <c r="R40" s="361">
        <f t="shared" si="29"/>
        <v>1.5298912561619387</v>
      </c>
      <c r="S40" s="361">
        <f t="shared" si="29"/>
        <v>1.6473104100723677</v>
      </c>
      <c r="T40" s="361">
        <f t="shared" si="29"/>
        <v>1.773741484045422</v>
      </c>
      <c r="U40" s="361">
        <f t="shared" si="29"/>
        <v>1.9098761429459084</v>
      </c>
      <c r="V40" s="362">
        <f t="shared" si="29"/>
        <v>2.0564591369170069</v>
      </c>
      <c r="X40" s="351"/>
    </row>
    <row r="41" spans="3:24" ht="24.75" customHeight="1" x14ac:dyDescent="0.3">
      <c r="C41" s="353">
        <f>ABS(E41-Dashboard!$F$14)</f>
        <v>2425.8238791647527</v>
      </c>
      <c r="D41" s="350">
        <f t="shared" si="3"/>
        <v>7.6850000000000085E-2</v>
      </c>
      <c r="E41" s="359" cm="1">
        <f t="array" ref="E41">1000*SUM('DRE + DCF'!$L$36/M41,'DRE + DCF'!$N$36:$V$36/N41:V41,F41/V41)/Dashboard!$F$11</f>
        <v>2522.8138791647525</v>
      </c>
      <c r="F41" s="359">
        <f t="shared" si="1"/>
        <v>278601934.81967372</v>
      </c>
      <c r="G41" s="359">
        <f>'DRE + DCF'!$W$31</f>
        <v>2791623.3540418856</v>
      </c>
      <c r="H41" s="359">
        <f>'DRE + DCF'!$W$32</f>
        <v>81081.931703745853</v>
      </c>
      <c r="I41" s="359">
        <f>-H41*('DRE + DCF'!$V$33+K41)/'DRE + DCF'!$V$33</f>
        <v>-90858.801614444121</v>
      </c>
      <c r="J41" s="359">
        <f>-'DRE + DCF'!$V$56*L41</f>
        <v>-1188924.4255577971</v>
      </c>
      <c r="K41" s="360">
        <f>(1+L41)/(1+Ke!$O$12)-1</f>
        <v>2.0000000000000018E-2</v>
      </c>
      <c r="L41" s="360">
        <f>'DRE + DCF'!$Y$31</f>
        <v>7.3550000000000004E-2</v>
      </c>
      <c r="M41" s="361">
        <f>(1+D41)^((5-Dashboard!$F$9)*3/12)</f>
        <v>1.0571008189767748</v>
      </c>
      <c r="N41" s="361">
        <f t="shared" ref="N41:V41" si="30">M41*(1+$D41)</f>
        <v>1.1383390169151399</v>
      </c>
      <c r="O41" s="361">
        <f t="shared" si="30"/>
        <v>1.2258203703650685</v>
      </c>
      <c r="P41" s="361">
        <f t="shared" si="30"/>
        <v>1.3200246658276242</v>
      </c>
      <c r="Q41" s="361">
        <f t="shared" si="30"/>
        <v>1.4214685613964773</v>
      </c>
      <c r="R41" s="361">
        <f t="shared" si="30"/>
        <v>1.5307084203397967</v>
      </c>
      <c r="S41" s="361">
        <f t="shared" si="30"/>
        <v>1.6483433624429102</v>
      </c>
      <c r="T41" s="361">
        <f t="shared" si="30"/>
        <v>1.775018549846648</v>
      </c>
      <c r="U41" s="361">
        <f t="shared" si="30"/>
        <v>1.911428725402363</v>
      </c>
      <c r="V41" s="362">
        <f t="shared" si="30"/>
        <v>2.0583220229495347</v>
      </c>
      <c r="X41" s="351"/>
    </row>
    <row r="42" spans="3:24" ht="24.75" customHeight="1" x14ac:dyDescent="0.3">
      <c r="C42" s="353">
        <f>ABS(E42-Dashboard!$F$14)</f>
        <v>2357.3759200666941</v>
      </c>
      <c r="D42" s="350">
        <f t="shared" si="3"/>
        <v>7.6950000000000088E-2</v>
      </c>
      <c r="E42" s="359" cm="1">
        <f t="array" ref="E42">1000*SUM('DRE + DCF'!$L$36/M42,'DRE + DCF'!$N$36:$V$36/N42:V42,F42/V42)/Dashboard!$F$11</f>
        <v>2454.3659200666939</v>
      </c>
      <c r="F42" s="359">
        <f t="shared" si="1"/>
        <v>270955911.46401024</v>
      </c>
      <c r="G42" s="359">
        <f>'DRE + DCF'!$W$31</f>
        <v>2791623.3540418856</v>
      </c>
      <c r="H42" s="359">
        <f>'DRE + DCF'!$W$32</f>
        <v>81081.931703745853</v>
      </c>
      <c r="I42" s="359">
        <f>-H42*('DRE + DCF'!$V$33+K42)/'DRE + DCF'!$V$33</f>
        <v>-90858.801614444121</v>
      </c>
      <c r="J42" s="359">
        <f>-'DRE + DCF'!$V$56*L42</f>
        <v>-1188924.4255577971</v>
      </c>
      <c r="K42" s="360">
        <f>(1+L42)/(1+Ke!$O$12)-1</f>
        <v>2.0000000000000018E-2</v>
      </c>
      <c r="L42" s="360">
        <f>'DRE + DCF'!$Y$31</f>
        <v>7.3550000000000004E-2</v>
      </c>
      <c r="M42" s="361">
        <f>(1+D42)^((5-Dashboard!$F$9)*3/12)</f>
        <v>1.0571744426394507</v>
      </c>
      <c r="N42" s="361">
        <f t="shared" ref="N42:V42" si="31">M42*(1+$D42)</f>
        <v>1.1385240160005565</v>
      </c>
      <c r="O42" s="361">
        <f t="shared" si="31"/>
        <v>1.2261334390317995</v>
      </c>
      <c r="P42" s="361">
        <f t="shared" si="31"/>
        <v>1.3204844071652966</v>
      </c>
      <c r="Q42" s="361">
        <f t="shared" si="31"/>
        <v>1.4220956822966662</v>
      </c>
      <c r="R42" s="361">
        <f t="shared" si="31"/>
        <v>1.5315259450493948</v>
      </c>
      <c r="S42" s="361">
        <f t="shared" si="31"/>
        <v>1.6493768665209458</v>
      </c>
      <c r="T42" s="361">
        <f t="shared" si="31"/>
        <v>1.7762964163997328</v>
      </c>
      <c r="U42" s="361">
        <f t="shared" si="31"/>
        <v>1.9129824256416923</v>
      </c>
      <c r="V42" s="362">
        <f t="shared" si="31"/>
        <v>2.0601864232948208</v>
      </c>
      <c r="X42" s="351"/>
    </row>
    <row r="43" spans="3:24" ht="24.75" customHeight="1" x14ac:dyDescent="0.3">
      <c r="C43" s="353">
        <f>ABS(E43-Dashboard!$F$14)</f>
        <v>2292.8177468758809</v>
      </c>
      <c r="D43" s="350">
        <f t="shared" si="3"/>
        <v>7.7050000000000091E-2</v>
      </c>
      <c r="E43" s="359" cm="1">
        <f t="array" ref="E43">1000*SUM('DRE + DCF'!$L$36/M43,'DRE + DCF'!$N$36:$V$36/N43:V43,F43/V43)/Dashboard!$F$11</f>
        <v>2389.8077468758806</v>
      </c>
      <c r="F43" s="359">
        <f t="shared" si="1"/>
        <v>263745421.53597718</v>
      </c>
      <c r="G43" s="359">
        <f>'DRE + DCF'!$W$31</f>
        <v>2791623.3540418856</v>
      </c>
      <c r="H43" s="359">
        <f>'DRE + DCF'!$W$32</f>
        <v>81081.931703745853</v>
      </c>
      <c r="I43" s="359">
        <f>-H43*('DRE + DCF'!$V$33+K43)/'DRE + DCF'!$V$33</f>
        <v>-90858.801614444121</v>
      </c>
      <c r="J43" s="359">
        <f>-'DRE + DCF'!$V$56*L43</f>
        <v>-1188924.4255577971</v>
      </c>
      <c r="K43" s="360">
        <f>(1+L43)/(1+Ke!$O$12)-1</f>
        <v>2.0000000000000018E-2</v>
      </c>
      <c r="L43" s="360">
        <f>'DRE + DCF'!$Y$31</f>
        <v>7.3550000000000004E-2</v>
      </c>
      <c r="M43" s="361">
        <f>(1+D43)^((5-Dashboard!$F$9)*3/12)</f>
        <v>1.0572480645930682</v>
      </c>
      <c r="N43" s="361">
        <f t="shared" ref="N43:V43" si="32">M43*(1+$D43)</f>
        <v>1.1387090279699641</v>
      </c>
      <c r="O43" s="361">
        <f t="shared" si="32"/>
        <v>1.2264465585750499</v>
      </c>
      <c r="P43" s="361">
        <f t="shared" si="32"/>
        <v>1.3209442659132575</v>
      </c>
      <c r="Q43" s="361">
        <f t="shared" si="32"/>
        <v>1.422723021601874</v>
      </c>
      <c r="R43" s="361">
        <f t="shared" si="32"/>
        <v>1.5323438304162984</v>
      </c>
      <c r="S43" s="361">
        <f t="shared" si="32"/>
        <v>1.6504109225498742</v>
      </c>
      <c r="T43" s="361">
        <f t="shared" si="32"/>
        <v>1.7775750841323421</v>
      </c>
      <c r="U43" s="361">
        <f t="shared" si="32"/>
        <v>1.9145372443647393</v>
      </c>
      <c r="V43" s="362">
        <f t="shared" si="32"/>
        <v>2.0620523390430425</v>
      </c>
      <c r="X43" s="351"/>
    </row>
    <row r="44" spans="3:24" ht="24.75" customHeight="1" x14ac:dyDescent="0.3">
      <c r="C44" s="353">
        <f>ABS(E44-Dashboard!$F$14)</f>
        <v>2231.8253010328604</v>
      </c>
      <c r="D44" s="350">
        <f t="shared" si="3"/>
        <v>7.7150000000000094E-2</v>
      </c>
      <c r="E44" s="359" cm="1">
        <f t="array" ref="E44">1000*SUM('DRE + DCF'!$L$36/M44,'DRE + DCF'!$N$36:$V$36/N44:V44,F44/V44)/Dashboard!$F$11</f>
        <v>2328.8153010328601</v>
      </c>
      <c r="F44" s="359">
        <f t="shared" si="1"/>
        <v>256934175.80867103</v>
      </c>
      <c r="G44" s="359">
        <f>'DRE + DCF'!$W$31</f>
        <v>2791623.3540418856</v>
      </c>
      <c r="H44" s="359">
        <f>'DRE + DCF'!$W$32</f>
        <v>81081.931703745853</v>
      </c>
      <c r="I44" s="359">
        <f>-H44*('DRE + DCF'!$V$33+K44)/'DRE + DCF'!$V$33</f>
        <v>-90858.801614444121</v>
      </c>
      <c r="J44" s="359">
        <f>-'DRE + DCF'!$V$56*L44</f>
        <v>-1188924.4255577971</v>
      </c>
      <c r="K44" s="360">
        <f>(1+L44)/(1+Ke!$O$12)-1</f>
        <v>2.0000000000000018E-2</v>
      </c>
      <c r="L44" s="360">
        <f>'DRE + DCF'!$Y$31</f>
        <v>7.3550000000000004E-2</v>
      </c>
      <c r="M44" s="361">
        <f>(1+D44)^((5-Dashboard!$F$9)*3/12)</f>
        <v>1.057321684837826</v>
      </c>
      <c r="N44" s="361">
        <f t="shared" ref="N44:V44" si="33">M44*(1+$D44)</f>
        <v>1.1388940528230642</v>
      </c>
      <c r="O44" s="361">
        <f t="shared" si="33"/>
        <v>1.2267597289983636</v>
      </c>
      <c r="P44" s="361">
        <f t="shared" si="33"/>
        <v>1.3214042420905874</v>
      </c>
      <c r="Q44" s="361">
        <f t="shared" si="33"/>
        <v>1.4233505793678762</v>
      </c>
      <c r="R44" s="361">
        <f t="shared" si="33"/>
        <v>1.533162076566108</v>
      </c>
      <c r="S44" s="361">
        <f t="shared" si="33"/>
        <v>1.6514455307731835</v>
      </c>
      <c r="T44" s="361">
        <f t="shared" si="33"/>
        <v>1.7788545534723346</v>
      </c>
      <c r="U44" s="361">
        <f t="shared" si="33"/>
        <v>1.9160931822727252</v>
      </c>
      <c r="V44" s="362">
        <f t="shared" si="33"/>
        <v>2.0639197712850659</v>
      </c>
      <c r="X44" s="351"/>
    </row>
    <row r="45" spans="3:24" ht="24.75" customHeight="1" x14ac:dyDescent="0.3">
      <c r="C45" s="353">
        <f>ABS(E45-Dashboard!$F$14)</f>
        <v>2174.1095568695077</v>
      </c>
      <c r="D45" s="350">
        <f t="shared" si="3"/>
        <v>7.7250000000000096E-2</v>
      </c>
      <c r="E45" s="359" cm="1">
        <f t="array" ref="E45">1000*SUM('DRE + DCF'!$L$36/M45,'DRE + DCF'!$N$36:$V$36/N45:V45,F45/V45)/Dashboard!$F$11</f>
        <v>2271.0995568695075</v>
      </c>
      <c r="F45" s="359">
        <f t="shared" si="1"/>
        <v>250489808.1885277</v>
      </c>
      <c r="G45" s="359">
        <f>'DRE + DCF'!$W$31</f>
        <v>2791623.3540418856</v>
      </c>
      <c r="H45" s="359">
        <f>'DRE + DCF'!$W$32</f>
        <v>81081.931703745853</v>
      </c>
      <c r="I45" s="359">
        <f>-H45*('DRE + DCF'!$V$33+K45)/'DRE + DCF'!$V$33</f>
        <v>-90858.801614444121</v>
      </c>
      <c r="J45" s="359">
        <f>-'DRE + DCF'!$V$56*L45</f>
        <v>-1188924.4255577971</v>
      </c>
      <c r="K45" s="360">
        <f>(1+L45)/(1+Ke!$O$12)-1</f>
        <v>2.0000000000000018E-2</v>
      </c>
      <c r="L45" s="360">
        <f>'DRE + DCF'!$Y$31</f>
        <v>7.3550000000000004E-2</v>
      </c>
      <c r="M45" s="361">
        <f>(1+D45)^((5-Dashboard!$F$9)*3/12)</f>
        <v>1.0573953033739223</v>
      </c>
      <c r="N45" s="361">
        <f t="shared" ref="N45:V45" si="34">M45*(1+$D45)</f>
        <v>1.1390790905595578</v>
      </c>
      <c r="O45" s="361">
        <f t="shared" si="34"/>
        <v>1.2270729503052837</v>
      </c>
      <c r="P45" s="361">
        <f t="shared" si="34"/>
        <v>1.3218643357163669</v>
      </c>
      <c r="Q45" s="361">
        <f t="shared" si="34"/>
        <v>1.4239783556504562</v>
      </c>
      <c r="R45" s="361">
        <f t="shared" si="34"/>
        <v>1.5339806836244541</v>
      </c>
      <c r="S45" s="361">
        <f t="shared" si="34"/>
        <v>1.6524806914344432</v>
      </c>
      <c r="T45" s="361">
        <f t="shared" si="34"/>
        <v>1.780134824847754</v>
      </c>
      <c r="U45" s="361">
        <f t="shared" si="34"/>
        <v>1.9176502400672431</v>
      </c>
      <c r="V45" s="362">
        <f t="shared" si="34"/>
        <v>2.0657887211124377</v>
      </c>
      <c r="X45" s="351"/>
    </row>
    <row r="46" spans="3:24" ht="24.75" customHeight="1" x14ac:dyDescent="0.3">
      <c r="C46" s="353">
        <f>ABS(E46-Dashboard!$F$14)</f>
        <v>2119.4119120210116</v>
      </c>
      <c r="D46" s="350">
        <f t="shared" si="3"/>
        <v>7.7350000000000099E-2</v>
      </c>
      <c r="E46" s="359" cm="1">
        <f t="array" ref="E46">1000*SUM('DRE + DCF'!$L$36/M46,'DRE + DCF'!$N$36:$V$36/N46:V46,F46/V46)/Dashboard!$F$11</f>
        <v>2216.4019120210114</v>
      </c>
      <c r="F46" s="359">
        <f t="shared" si="1"/>
        <v>244383359.51373315</v>
      </c>
      <c r="G46" s="359">
        <f>'DRE + DCF'!$W$31</f>
        <v>2791623.3540418856</v>
      </c>
      <c r="H46" s="359">
        <f>'DRE + DCF'!$W$32</f>
        <v>81081.931703745853</v>
      </c>
      <c r="I46" s="359">
        <f>-H46*('DRE + DCF'!$V$33+K46)/'DRE + DCF'!$V$33</f>
        <v>-90858.801614444121</v>
      </c>
      <c r="J46" s="359">
        <f>-'DRE + DCF'!$V$56*L46</f>
        <v>-1188924.4255577971</v>
      </c>
      <c r="K46" s="360">
        <f>(1+L46)/(1+Ke!$O$12)-1</f>
        <v>2.0000000000000018E-2</v>
      </c>
      <c r="L46" s="360">
        <f>'DRE + DCF'!$Y$31</f>
        <v>7.3550000000000004E-2</v>
      </c>
      <c r="M46" s="361">
        <f>(1+D46)^((5-Dashboard!$F$9)*3/12)</f>
        <v>1.0574689202015553</v>
      </c>
      <c r="N46" s="361">
        <f t="shared" ref="N46:V46" si="35">M46*(1+$D46)</f>
        <v>1.1392641411791455</v>
      </c>
      <c r="O46" s="361">
        <f t="shared" si="35"/>
        <v>1.2273862224993526</v>
      </c>
      <c r="P46" s="361">
        <f t="shared" si="35"/>
        <v>1.3223245468096776</v>
      </c>
      <c r="Q46" s="361">
        <f t="shared" si="35"/>
        <v>1.4246063505054063</v>
      </c>
      <c r="R46" s="361">
        <f t="shared" si="35"/>
        <v>1.5347996517169995</v>
      </c>
      <c r="S46" s="361">
        <f t="shared" si="35"/>
        <v>1.6535164047773094</v>
      </c>
      <c r="T46" s="361">
        <f t="shared" si="35"/>
        <v>1.7814158986868345</v>
      </c>
      <c r="U46" s="361">
        <f t="shared" si="35"/>
        <v>1.9192084184502611</v>
      </c>
      <c r="V46" s="362">
        <f t="shared" si="35"/>
        <v>2.0676591896173888</v>
      </c>
      <c r="X46" s="351"/>
    </row>
    <row r="47" spans="3:24" ht="24.75" customHeight="1" x14ac:dyDescent="0.3">
      <c r="C47" s="353">
        <f>ABS(E47-Dashboard!$F$14)</f>
        <v>2067.5002870052235</v>
      </c>
      <c r="D47" s="350">
        <f t="shared" si="3"/>
        <v>7.7450000000000102E-2</v>
      </c>
      <c r="E47" s="359" cm="1">
        <f t="array" ref="E47">1000*SUM('DRE + DCF'!$L$36/M47,'DRE + DCF'!$N$36:$V$36/N47:V47,F47/V47)/Dashboard!$F$11</f>
        <v>2164.4902870052233</v>
      </c>
      <c r="F47" s="359">
        <f t="shared" si="1"/>
        <v>238588840.76826152</v>
      </c>
      <c r="G47" s="359">
        <f>'DRE + DCF'!$W$31</f>
        <v>2791623.3540418856</v>
      </c>
      <c r="H47" s="359">
        <f>'DRE + DCF'!$W$32</f>
        <v>81081.931703745853</v>
      </c>
      <c r="I47" s="359">
        <f>-H47*('DRE + DCF'!$V$33+K47)/'DRE + DCF'!$V$33</f>
        <v>-90858.801614444121</v>
      </c>
      <c r="J47" s="359">
        <f>-'DRE + DCF'!$V$56*L47</f>
        <v>-1188924.4255577971</v>
      </c>
      <c r="K47" s="360">
        <f>(1+L47)/(1+Ke!$O$12)-1</f>
        <v>2.0000000000000018E-2</v>
      </c>
      <c r="L47" s="360">
        <f>'DRE + DCF'!$Y$31</f>
        <v>7.3550000000000004E-2</v>
      </c>
      <c r="M47" s="361">
        <f>(1+D47)^((5-Dashboard!$F$9)*3/12)</f>
        <v>1.0575425353209231</v>
      </c>
      <c r="N47" s="361">
        <f t="shared" ref="N47:V47" si="36">M47*(1+$D47)</f>
        <v>1.1394492046815285</v>
      </c>
      <c r="O47" s="361">
        <f t="shared" si="36"/>
        <v>1.2276995455841129</v>
      </c>
      <c r="P47" s="361">
        <f t="shared" si="36"/>
        <v>1.3227848753896025</v>
      </c>
      <c r="Q47" s="361">
        <f t="shared" si="36"/>
        <v>1.4252345639885273</v>
      </c>
      <c r="R47" s="361">
        <f t="shared" si="36"/>
        <v>1.5356189809694387</v>
      </c>
      <c r="S47" s="361">
        <f t="shared" si="36"/>
        <v>1.6545526710455218</v>
      </c>
      <c r="T47" s="361">
        <f t="shared" si="36"/>
        <v>1.7826977754179976</v>
      </c>
      <c r="U47" s="361">
        <f t="shared" si="36"/>
        <v>1.9207677181241216</v>
      </c>
      <c r="V47" s="362">
        <f t="shared" si="36"/>
        <v>2.0695311778928347</v>
      </c>
      <c r="X47" s="351"/>
    </row>
    <row r="48" spans="3:24" ht="24.75" customHeight="1" x14ac:dyDescent="0.3">
      <c r="C48" s="353">
        <f>ABS(E48-Dashboard!$F$14)</f>
        <v>2018.1658098650848</v>
      </c>
      <c r="D48" s="350">
        <f t="shared" si="3"/>
        <v>7.7550000000000105E-2</v>
      </c>
      <c r="E48" s="359" cm="1">
        <f t="array" ref="E48">1000*SUM('DRE + DCF'!$L$36/M48,'DRE + DCF'!$N$36:$V$36/N48:V48,F48/V48)/Dashboard!$F$11</f>
        <v>2115.1558098650848</v>
      </c>
      <c r="F48" s="359">
        <f t="shared" si="1"/>
        <v>233082861.81380686</v>
      </c>
      <c r="G48" s="359">
        <f>'DRE + DCF'!$W$31</f>
        <v>2791623.3540418856</v>
      </c>
      <c r="H48" s="359">
        <f>'DRE + DCF'!$W$32</f>
        <v>81081.931703745853</v>
      </c>
      <c r="I48" s="359">
        <f>-H48*('DRE + DCF'!$V$33+K48)/'DRE + DCF'!$V$33</f>
        <v>-90858.801614444121</v>
      </c>
      <c r="J48" s="359">
        <f>-'DRE + DCF'!$V$56*L48</f>
        <v>-1188924.4255577971</v>
      </c>
      <c r="K48" s="360">
        <f>(1+L48)/(1+Ke!$O$12)-1</f>
        <v>2.0000000000000018E-2</v>
      </c>
      <c r="L48" s="360">
        <f>'DRE + DCF'!$Y$31</f>
        <v>7.3550000000000004E-2</v>
      </c>
      <c r="M48" s="361">
        <f>(1+D48)^((5-Dashboard!$F$9)*3/12)</f>
        <v>1.0576161487322242</v>
      </c>
      <c r="N48" s="361">
        <f t="shared" ref="N48:V48" si="37">M48*(1+$D48)</f>
        <v>1.1396342810664082</v>
      </c>
      <c r="O48" s="361">
        <f t="shared" si="37"/>
        <v>1.2280129195631082</v>
      </c>
      <c r="P48" s="361">
        <f t="shared" si="37"/>
        <v>1.3232453214752273</v>
      </c>
      <c r="Q48" s="361">
        <f t="shared" si="37"/>
        <v>1.4258629961556313</v>
      </c>
      <c r="R48" s="361">
        <f t="shared" si="37"/>
        <v>1.5364386715075005</v>
      </c>
      <c r="S48" s="361">
        <f t="shared" si="37"/>
        <v>1.6555894904829072</v>
      </c>
      <c r="T48" s="361">
        <f t="shared" si="37"/>
        <v>1.7839804554698566</v>
      </c>
      <c r="U48" s="361">
        <f t="shared" si="37"/>
        <v>1.9223281397915439</v>
      </c>
      <c r="V48" s="362">
        <f t="shared" si="37"/>
        <v>2.0714046870323783</v>
      </c>
      <c r="X48" s="351"/>
    </row>
    <row r="49" spans="3:24" ht="24.75" customHeight="1" x14ac:dyDescent="0.3">
      <c r="C49" s="353">
        <f>ABS(E49-Dashboard!$F$14)</f>
        <v>1971.2199859853151</v>
      </c>
      <c r="D49" s="350">
        <f t="shared" si="3"/>
        <v>7.7650000000000108E-2</v>
      </c>
      <c r="E49" s="359" cm="1">
        <f t="array" ref="E49">1000*SUM('DRE + DCF'!$L$36/M49,'DRE + DCF'!$N$36:$V$36/N49:V49,F49/V49)/Dashboard!$F$11</f>
        <v>2068.2099859853151</v>
      </c>
      <c r="F49" s="359">
        <f t="shared" si="1"/>
        <v>227844314.45362565</v>
      </c>
      <c r="G49" s="359">
        <f>'DRE + DCF'!$W$31</f>
        <v>2791623.3540418856</v>
      </c>
      <c r="H49" s="359">
        <f>'DRE + DCF'!$W$32</f>
        <v>81081.931703745853</v>
      </c>
      <c r="I49" s="359">
        <f>-H49*('DRE + DCF'!$V$33+K49)/'DRE + DCF'!$V$33</f>
        <v>-90858.801614444121</v>
      </c>
      <c r="J49" s="359">
        <f>-'DRE + DCF'!$V$56*L49</f>
        <v>-1188924.4255577971</v>
      </c>
      <c r="K49" s="360">
        <f>(1+L49)/(1+Ke!$O$12)-1</f>
        <v>2.0000000000000018E-2</v>
      </c>
      <c r="L49" s="360">
        <f>'DRE + DCF'!$Y$31</f>
        <v>7.3550000000000004E-2</v>
      </c>
      <c r="M49" s="361">
        <f>(1+D49)^((5-Dashboard!$F$9)*3/12)</f>
        <v>1.0576897604356565</v>
      </c>
      <c r="N49" s="361">
        <f t="shared" ref="N49:V49" si="38">M49*(1+$D49)</f>
        <v>1.1398193703334856</v>
      </c>
      <c r="O49" s="361">
        <f t="shared" si="38"/>
        <v>1.2283263444398809</v>
      </c>
      <c r="P49" s="361">
        <f t="shared" si="38"/>
        <v>1.3237058850856378</v>
      </c>
      <c r="Q49" s="361">
        <f t="shared" si="38"/>
        <v>1.4264916470625379</v>
      </c>
      <c r="R49" s="361">
        <f t="shared" si="38"/>
        <v>1.5372587234569444</v>
      </c>
      <c r="S49" s="361">
        <f t="shared" si="38"/>
        <v>1.6566268633333765</v>
      </c>
      <c r="T49" s="361">
        <f t="shared" si="38"/>
        <v>1.7852639392712135</v>
      </c>
      <c r="U49" s="361">
        <f t="shared" si="38"/>
        <v>1.9238896841556237</v>
      </c>
      <c r="V49" s="362">
        <f t="shared" si="38"/>
        <v>2.0732797181303084</v>
      </c>
      <c r="X49" s="351"/>
    </row>
    <row r="50" spans="3:24" ht="24.75" customHeight="1" x14ac:dyDescent="0.3">
      <c r="C50" s="353">
        <f>ABS(E50-Dashboard!$F$14)</f>
        <v>1926.4922722209908</v>
      </c>
      <c r="D50" s="350">
        <f t="shared" si="3"/>
        <v>7.7750000000000111E-2</v>
      </c>
      <c r="E50" s="359" cm="1">
        <f t="array" ref="E50">1000*SUM('DRE + DCF'!$L$36/M50,'DRE + DCF'!$N$36:$V$36/N50:V50,F50/V50)/Dashboard!$F$11</f>
        <v>2023.4822722209908</v>
      </c>
      <c r="F50" s="359">
        <f t="shared" si="1"/>
        <v>222854100.77297252</v>
      </c>
      <c r="G50" s="359">
        <f>'DRE + DCF'!$W$31</f>
        <v>2791623.3540418856</v>
      </c>
      <c r="H50" s="359">
        <f>'DRE + DCF'!$W$32</f>
        <v>81081.931703745853</v>
      </c>
      <c r="I50" s="359">
        <f>-H50*('DRE + DCF'!$V$33+K50)/'DRE + DCF'!$V$33</f>
        <v>-90858.801614444121</v>
      </c>
      <c r="J50" s="359">
        <f>-'DRE + DCF'!$V$56*L50</f>
        <v>-1188924.4255577971</v>
      </c>
      <c r="K50" s="360">
        <f>(1+L50)/(1+Ke!$O$12)-1</f>
        <v>2.0000000000000018E-2</v>
      </c>
      <c r="L50" s="360">
        <f>'DRE + DCF'!$Y$31</f>
        <v>7.3550000000000004E-2</v>
      </c>
      <c r="M50" s="361">
        <f>(1+D50)^((5-Dashboard!$F$9)*3/12)</f>
        <v>1.0577633704314184</v>
      </c>
      <c r="N50" s="361">
        <f t="shared" ref="N50:V50" si="39">M50*(1+$D50)</f>
        <v>1.1400044724824614</v>
      </c>
      <c r="O50" s="361">
        <f t="shared" si="39"/>
        <v>1.2286398202179729</v>
      </c>
      <c r="P50" s="361">
        <f t="shared" si="39"/>
        <v>1.3241665662399205</v>
      </c>
      <c r="Q50" s="361">
        <f t="shared" si="39"/>
        <v>1.4271205167650745</v>
      </c>
      <c r="R50" s="361">
        <f t="shared" si="39"/>
        <v>1.5380791369435594</v>
      </c>
      <c r="S50" s="361">
        <f t="shared" si="39"/>
        <v>1.6576647898409214</v>
      </c>
      <c r="T50" s="361">
        <f t="shared" si="39"/>
        <v>1.7865482272510533</v>
      </c>
      <c r="U50" s="361">
        <f t="shared" si="39"/>
        <v>1.925452351919823</v>
      </c>
      <c r="V50" s="362">
        <f t="shared" si="39"/>
        <v>2.0751562722815895</v>
      </c>
      <c r="X50" s="351"/>
    </row>
    <row r="51" spans="3:24" ht="24.75" customHeight="1" x14ac:dyDescent="0.3">
      <c r="C51" s="353">
        <f>ABS(E51-Dashboard!$F$14)</f>
        <v>1883.8279895197579</v>
      </c>
      <c r="D51" s="350">
        <f t="shared" si="3"/>
        <v>7.7850000000000114E-2</v>
      </c>
      <c r="E51" s="359" cm="1">
        <f t="array" ref="E51">1000*SUM('DRE + DCF'!$L$36/M51,'DRE + DCF'!$N$36:$V$36/N51:V51,F51/V51)/Dashboard!$F$11</f>
        <v>1980.8179895197579</v>
      </c>
      <c r="F51" s="359">
        <f t="shared" si="1"/>
        <v>218094899.38552025</v>
      </c>
      <c r="G51" s="359">
        <f>'DRE + DCF'!$W$31</f>
        <v>2791623.3540418856</v>
      </c>
      <c r="H51" s="359">
        <f>'DRE + DCF'!$W$32</f>
        <v>81081.931703745853</v>
      </c>
      <c r="I51" s="359">
        <f>-H51*('DRE + DCF'!$V$33+K51)/'DRE + DCF'!$V$33</f>
        <v>-90858.801614444121</v>
      </c>
      <c r="J51" s="359">
        <f>-'DRE + DCF'!$V$56*L51</f>
        <v>-1188924.4255577971</v>
      </c>
      <c r="K51" s="360">
        <f>(1+L51)/(1+Ke!$O$12)-1</f>
        <v>2.0000000000000018E-2</v>
      </c>
      <c r="L51" s="360">
        <f>'DRE + DCF'!$Y$31</f>
        <v>7.3550000000000004E-2</v>
      </c>
      <c r="M51" s="361">
        <f>(1+D51)^((5-Dashboard!$F$9)*3/12)</f>
        <v>1.0578369787197075</v>
      </c>
      <c r="N51" s="361">
        <f t="shared" ref="N51:V51" si="40">M51*(1+$D51)</f>
        <v>1.140189587513037</v>
      </c>
      <c r="O51" s="361">
        <f t="shared" si="40"/>
        <v>1.2289533469009271</v>
      </c>
      <c r="P51" s="361">
        <f t="shared" si="40"/>
        <v>1.3246273649571645</v>
      </c>
      <c r="Q51" s="361">
        <f t="shared" si="40"/>
        <v>1.4277496053190799</v>
      </c>
      <c r="R51" s="361">
        <f t="shared" si="40"/>
        <v>1.5388999120931706</v>
      </c>
      <c r="S51" s="361">
        <f t="shared" si="40"/>
        <v>1.6587032702496243</v>
      </c>
      <c r="T51" s="361">
        <f t="shared" si="40"/>
        <v>1.7878333198385579</v>
      </c>
      <c r="U51" s="361">
        <f t="shared" si="40"/>
        <v>1.92701614378799</v>
      </c>
      <c r="V51" s="362">
        <f t="shared" si="40"/>
        <v>2.0770343505818856</v>
      </c>
      <c r="X51" s="351"/>
    </row>
    <row r="52" spans="3:24" ht="24.75" customHeight="1" x14ac:dyDescent="0.3">
      <c r="C52" s="353">
        <f>ABS(E52-Dashboard!$F$14)</f>
        <v>1843.0865201864915</v>
      </c>
      <c r="D52" s="350">
        <f t="shared" si="3"/>
        <v>7.7950000000000116E-2</v>
      </c>
      <c r="E52" s="359" cm="1">
        <f t="array" ref="E52">1000*SUM('DRE + DCF'!$L$36/M52,'DRE + DCF'!$N$36:$V$36/N52:V52,F52/V52)/Dashboard!$F$11</f>
        <v>1940.0765201864915</v>
      </c>
      <c r="F52" s="359">
        <f t="shared" si="1"/>
        <v>213550963.55526701</v>
      </c>
      <c r="G52" s="359">
        <f>'DRE + DCF'!$W$31</f>
        <v>2791623.3540418856</v>
      </c>
      <c r="H52" s="359">
        <f>'DRE + DCF'!$W$32</f>
        <v>81081.931703745853</v>
      </c>
      <c r="I52" s="359">
        <f>-H52*('DRE + DCF'!$V$33+K52)/'DRE + DCF'!$V$33</f>
        <v>-90858.801614444121</v>
      </c>
      <c r="J52" s="359">
        <f>-'DRE + DCF'!$V$56*L52</f>
        <v>-1188924.4255577971</v>
      </c>
      <c r="K52" s="360">
        <f>(1+L52)/(1+Ke!$O$12)-1</f>
        <v>2.0000000000000018E-2</v>
      </c>
      <c r="L52" s="360">
        <f>'DRE + DCF'!$Y$31</f>
        <v>7.3550000000000004E-2</v>
      </c>
      <c r="M52" s="361">
        <f>(1+D52)^((5-Dashboard!$F$9)*3/12)</f>
        <v>1.057910585300722</v>
      </c>
      <c r="N52" s="361">
        <f t="shared" ref="N52:V52" si="41">M52*(1+$D52)</f>
        <v>1.1403747154249135</v>
      </c>
      <c r="O52" s="361">
        <f t="shared" si="41"/>
        <v>1.2292669244922858</v>
      </c>
      <c r="P52" s="361">
        <f t="shared" si="41"/>
        <v>1.3250882812564597</v>
      </c>
      <c r="Q52" s="361">
        <f t="shared" si="41"/>
        <v>1.428378912780401</v>
      </c>
      <c r="R52" s="361">
        <f t="shared" si="41"/>
        <v>1.5397210490316335</v>
      </c>
      <c r="S52" s="361">
        <f t="shared" si="41"/>
        <v>1.6597423048036497</v>
      </c>
      <c r="T52" s="361">
        <f t="shared" si="41"/>
        <v>1.7891192174630945</v>
      </c>
      <c r="U52" s="361">
        <f t="shared" si="41"/>
        <v>1.9285810604643432</v>
      </c>
      <c r="V52" s="362">
        <f t="shared" si="41"/>
        <v>2.0789139541275392</v>
      </c>
      <c r="X52" s="351"/>
    </row>
    <row r="53" spans="3:24" ht="24.75" customHeight="1" x14ac:dyDescent="0.3">
      <c r="C53" s="353">
        <f>ABS(E53-Dashboard!$F$14)</f>
        <v>1804.139745512625</v>
      </c>
      <c r="D53" s="350">
        <f t="shared" si="3"/>
        <v>7.8050000000000119E-2</v>
      </c>
      <c r="E53" s="359" cm="1">
        <f t="array" ref="E53">1000*SUM('DRE + DCF'!$L$36/M53,'DRE + DCF'!$N$36:$V$36/N53:V53,F53/V53)/Dashboard!$F$11</f>
        <v>1901.129745512625</v>
      </c>
      <c r="F53" s="359">
        <f t="shared" si="1"/>
        <v>209207946.23552173</v>
      </c>
      <c r="G53" s="359">
        <f>'DRE + DCF'!$W$31</f>
        <v>2791623.3540418856</v>
      </c>
      <c r="H53" s="359">
        <f>'DRE + DCF'!$W$32</f>
        <v>81081.931703745853</v>
      </c>
      <c r="I53" s="359">
        <f>-H53*('DRE + DCF'!$V$33+K53)/'DRE + DCF'!$V$33</f>
        <v>-90858.801614444121</v>
      </c>
      <c r="J53" s="359">
        <f>-'DRE + DCF'!$V$56*L53</f>
        <v>-1188924.4255577971</v>
      </c>
      <c r="K53" s="360">
        <f>(1+L53)/(1+Ke!$O$12)-1</f>
        <v>2.0000000000000018E-2</v>
      </c>
      <c r="L53" s="360">
        <f>'DRE + DCF'!$Y$31</f>
        <v>7.3550000000000004E-2</v>
      </c>
      <c r="M53" s="361">
        <f>(1+D53)^((5-Dashboard!$F$9)*3/12)</f>
        <v>1.0579841901746603</v>
      </c>
      <c r="N53" s="361">
        <f t="shared" ref="N53:V53" si="42">M53*(1+$D53)</f>
        <v>1.1405598562177928</v>
      </c>
      <c r="O53" s="361">
        <f t="shared" si="42"/>
        <v>1.2295805529955917</v>
      </c>
      <c r="P53" s="361">
        <f t="shared" si="42"/>
        <v>1.3255493151568978</v>
      </c>
      <c r="Q53" s="361">
        <f t="shared" si="42"/>
        <v>1.4290084392048938</v>
      </c>
      <c r="R53" s="361">
        <f t="shared" si="42"/>
        <v>1.540542547884836</v>
      </c>
      <c r="S53" s="361">
        <f t="shared" si="42"/>
        <v>1.6607818937472478</v>
      </c>
      <c r="T53" s="361">
        <f t="shared" si="42"/>
        <v>1.7904059205542209</v>
      </c>
      <c r="U53" s="361">
        <f t="shared" si="42"/>
        <v>1.9301471026534782</v>
      </c>
      <c r="V53" s="362">
        <f t="shared" si="42"/>
        <v>2.0807950840155827</v>
      </c>
      <c r="X53" s="351"/>
    </row>
    <row r="54" spans="3:24" ht="24.75" customHeight="1" x14ac:dyDescent="0.3">
      <c r="C54" s="353">
        <f>ABS(E54-Dashboard!$F$14)</f>
        <v>1766.8706871929489</v>
      </c>
      <c r="D54" s="350">
        <f t="shared" si="3"/>
        <v>7.8150000000000122E-2</v>
      </c>
      <c r="E54" s="359" cm="1">
        <f t="array" ref="E54">1000*SUM('DRE + DCF'!$L$36/M54,'DRE + DCF'!$N$36:$V$36/N54:V54,F54/V54)/Dashboard!$F$11</f>
        <v>1863.8606871929489</v>
      </c>
      <c r="F54" s="359">
        <f t="shared" si="1"/>
        <v>205052747.92889029</v>
      </c>
      <c r="G54" s="359">
        <f>'DRE + DCF'!$W$31</f>
        <v>2791623.3540418856</v>
      </c>
      <c r="H54" s="359">
        <f>'DRE + DCF'!$W$32</f>
        <v>81081.931703745853</v>
      </c>
      <c r="I54" s="359">
        <f>-H54*('DRE + DCF'!$V$33+K54)/'DRE + DCF'!$V$33</f>
        <v>-90858.801614444121</v>
      </c>
      <c r="J54" s="359">
        <f>-'DRE + DCF'!$V$56*L54</f>
        <v>-1188924.4255577971</v>
      </c>
      <c r="K54" s="360">
        <f>(1+L54)/(1+Ke!$O$12)-1</f>
        <v>2.0000000000000018E-2</v>
      </c>
      <c r="L54" s="360">
        <f>'DRE + DCF'!$Y$31</f>
        <v>7.3550000000000004E-2</v>
      </c>
      <c r="M54" s="361">
        <f>(1+D54)^((5-Dashboard!$F$9)*3/12)</f>
        <v>1.0580577933417197</v>
      </c>
      <c r="N54" s="361">
        <f t="shared" ref="N54:V54" si="43">M54*(1+$D54)</f>
        <v>1.1407450098913752</v>
      </c>
      <c r="O54" s="361">
        <f t="shared" si="43"/>
        <v>1.2298942324143862</v>
      </c>
      <c r="P54" s="361">
        <f t="shared" si="43"/>
        <v>1.3260104666775707</v>
      </c>
      <c r="Q54" s="361">
        <f t="shared" si="43"/>
        <v>1.4296381846484232</v>
      </c>
      <c r="R54" s="361">
        <f t="shared" si="43"/>
        <v>1.5413644087786977</v>
      </c>
      <c r="S54" s="361">
        <f t="shared" si="43"/>
        <v>1.6618220373247532</v>
      </c>
      <c r="T54" s="361">
        <f t="shared" si="43"/>
        <v>1.7916934295416829</v>
      </c>
      <c r="U54" s="361">
        <f t="shared" si="43"/>
        <v>1.9317142710603656</v>
      </c>
      <c r="V54" s="362">
        <f t="shared" si="43"/>
        <v>2.0826777413437334</v>
      </c>
      <c r="X54" s="351"/>
    </row>
    <row r="55" spans="3:24" ht="24.75" customHeight="1" x14ac:dyDescent="0.3">
      <c r="C55" s="353">
        <f>ABS(E55-Dashboard!$F$14)</f>
        <v>1731.1723221785387</v>
      </c>
      <c r="D55" s="350">
        <f t="shared" si="3"/>
        <v>7.8250000000000125E-2</v>
      </c>
      <c r="E55" s="359" cm="1">
        <f t="array" ref="E55">1000*SUM('DRE + DCF'!$L$36/M55,'DRE + DCF'!$N$36:$V$36/N55:V55,F55/V55)/Dashboard!$F$11</f>
        <v>1828.1623221785387</v>
      </c>
      <c r="F55" s="359">
        <f t="shared" si="1"/>
        <v>201073383.96939003</v>
      </c>
      <c r="G55" s="359">
        <f>'DRE + DCF'!$W$31</f>
        <v>2791623.3540418856</v>
      </c>
      <c r="H55" s="359">
        <f>'DRE + DCF'!$W$32</f>
        <v>81081.931703745853</v>
      </c>
      <c r="I55" s="359">
        <f>-H55*('DRE + DCF'!$V$33+K55)/'DRE + DCF'!$V$33</f>
        <v>-90858.801614444121</v>
      </c>
      <c r="J55" s="359">
        <f>-'DRE + DCF'!$V$56*L55</f>
        <v>-1188924.4255577971</v>
      </c>
      <c r="K55" s="360">
        <f>(1+L55)/(1+Ke!$O$12)-1</f>
        <v>2.0000000000000018E-2</v>
      </c>
      <c r="L55" s="360">
        <f>'DRE + DCF'!$Y$31</f>
        <v>7.3550000000000004E-2</v>
      </c>
      <c r="M55" s="361">
        <f>(1+D55)^((5-Dashboard!$F$9)*3/12)</f>
        <v>1.0581313948020983</v>
      </c>
      <c r="N55" s="361">
        <f t="shared" ref="N55:V55" si="44">M55*(1+$D55)</f>
        <v>1.1409301764453625</v>
      </c>
      <c r="O55" s="361">
        <f t="shared" si="44"/>
        <v>1.2302079627522122</v>
      </c>
      <c r="P55" s="361">
        <f t="shared" si="44"/>
        <v>1.3264717358375731</v>
      </c>
      <c r="Q55" s="361">
        <f t="shared" si="44"/>
        <v>1.4302681491668634</v>
      </c>
      <c r="R55" s="361">
        <f t="shared" si="44"/>
        <v>1.5421866318391706</v>
      </c>
      <c r="S55" s="361">
        <f t="shared" si="44"/>
        <v>1.6628627357805859</v>
      </c>
      <c r="T55" s="361">
        <f t="shared" si="44"/>
        <v>1.7929817448554171</v>
      </c>
      <c r="U55" s="361">
        <f t="shared" si="44"/>
        <v>1.9332825663903537</v>
      </c>
      <c r="V55" s="362">
        <f t="shared" si="44"/>
        <v>2.084561927210399</v>
      </c>
      <c r="X55" s="351"/>
    </row>
    <row r="56" spans="3:24" ht="24.75" customHeight="1" x14ac:dyDescent="0.3">
      <c r="C56" s="353">
        <f>ABS(E56-Dashboard!$F$14)</f>
        <v>1696.9465456730604</v>
      </c>
      <c r="D56" s="350">
        <f t="shared" si="3"/>
        <v>7.8350000000000128E-2</v>
      </c>
      <c r="E56" s="359" cm="1">
        <f t="array" ref="E56">1000*SUM('DRE + DCF'!$L$36/M56,'DRE + DCF'!$N$36:$V$36/N56:V56,F56/V56)/Dashboard!$F$11</f>
        <v>1793.9365456730604</v>
      </c>
      <c r="F56" s="359">
        <f t="shared" si="1"/>
        <v>197258868.39429927</v>
      </c>
      <c r="G56" s="359">
        <f>'DRE + DCF'!$W$31</f>
        <v>2791623.3540418856</v>
      </c>
      <c r="H56" s="359">
        <f>'DRE + DCF'!$W$32</f>
        <v>81081.931703745853</v>
      </c>
      <c r="I56" s="359">
        <f>-H56*('DRE + DCF'!$V$33+K56)/'DRE + DCF'!$V$33</f>
        <v>-90858.801614444121</v>
      </c>
      <c r="J56" s="359">
        <f>-'DRE + DCF'!$V$56*L56</f>
        <v>-1188924.4255577971</v>
      </c>
      <c r="K56" s="360">
        <f>(1+L56)/(1+Ke!$O$12)-1</f>
        <v>2.0000000000000018E-2</v>
      </c>
      <c r="L56" s="360">
        <f>'DRE + DCF'!$Y$31</f>
        <v>7.3550000000000004E-2</v>
      </c>
      <c r="M56" s="361">
        <f>(1+D56)^((5-Dashboard!$F$9)*3/12)</f>
        <v>1.0582049945559939</v>
      </c>
      <c r="N56" s="361">
        <f t="shared" ref="N56:V56" si="45">M56*(1+$D56)</f>
        <v>1.1411153558794562</v>
      </c>
      <c r="O56" s="361">
        <f t="shared" si="45"/>
        <v>1.2305217440126117</v>
      </c>
      <c r="P56" s="361">
        <f t="shared" si="45"/>
        <v>1.3269331226559999</v>
      </c>
      <c r="Q56" s="361">
        <f t="shared" si="45"/>
        <v>1.4308983328160978</v>
      </c>
      <c r="R56" s="361">
        <f t="shared" si="45"/>
        <v>1.5430092171922392</v>
      </c>
      <c r="S56" s="361">
        <f t="shared" si="45"/>
        <v>1.6639039893592513</v>
      </c>
      <c r="T56" s="361">
        <f t="shared" si="45"/>
        <v>1.7942708669255489</v>
      </c>
      <c r="U56" s="361">
        <f t="shared" si="45"/>
        <v>1.934851989349166</v>
      </c>
      <c r="V56" s="362">
        <f t="shared" si="45"/>
        <v>2.0864476427146736</v>
      </c>
      <c r="X56" s="351"/>
    </row>
    <row r="57" spans="3:24" ht="24.75" customHeight="1" x14ac:dyDescent="0.3">
      <c r="C57" s="353">
        <f>ABS(E57-Dashboard!$F$14)</f>
        <v>1664.1032611090975</v>
      </c>
      <c r="D57" s="350">
        <f t="shared" si="3"/>
        <v>7.8450000000000131E-2</v>
      </c>
      <c r="E57" s="359" cm="1">
        <f t="array" ref="E57">1000*SUM('DRE + DCF'!$L$36/M57,'DRE + DCF'!$N$36:$V$36/N57:V57,F57/V57)/Dashboard!$F$11</f>
        <v>1761.0932611090975</v>
      </c>
      <c r="F57" s="359">
        <f t="shared" si="1"/>
        <v>193599112.03577927</v>
      </c>
      <c r="G57" s="359">
        <f>'DRE + DCF'!$W$31</f>
        <v>2791623.3540418856</v>
      </c>
      <c r="H57" s="359">
        <f>'DRE + DCF'!$W$32</f>
        <v>81081.931703745853</v>
      </c>
      <c r="I57" s="359">
        <f>-H57*('DRE + DCF'!$V$33+K57)/'DRE + DCF'!$V$33</f>
        <v>-90858.801614444121</v>
      </c>
      <c r="J57" s="359">
        <f>-'DRE + DCF'!$V$56*L57</f>
        <v>-1188924.4255577971</v>
      </c>
      <c r="K57" s="360">
        <f>(1+L57)/(1+Ke!$O$12)-1</f>
        <v>2.0000000000000018E-2</v>
      </c>
      <c r="L57" s="360">
        <f>'DRE + DCF'!$Y$31</f>
        <v>7.3550000000000004E-2</v>
      </c>
      <c r="M57" s="361">
        <f>(1+D57)^((5-Dashboard!$F$9)*3/12)</f>
        <v>1.0582785926036047</v>
      </c>
      <c r="N57" s="361">
        <f t="shared" ref="N57:V57" si="46">M57*(1+$D57)</f>
        <v>1.1413005481933576</v>
      </c>
      <c r="O57" s="361">
        <f t="shared" si="46"/>
        <v>1.2308355761991265</v>
      </c>
      <c r="P57" s="361">
        <f t="shared" si="46"/>
        <v>1.3273946271519481</v>
      </c>
      <c r="Q57" s="361">
        <f t="shared" si="46"/>
        <v>1.4315287356520185</v>
      </c>
      <c r="R57" s="361">
        <f t="shared" si="46"/>
        <v>1.5438321649639195</v>
      </c>
      <c r="S57" s="361">
        <f t="shared" si="46"/>
        <v>1.6649457983053393</v>
      </c>
      <c r="T57" s="361">
        <f t="shared" si="46"/>
        <v>1.7955607961823934</v>
      </c>
      <c r="U57" s="361">
        <f t="shared" si="46"/>
        <v>1.9364225406429023</v>
      </c>
      <c r="V57" s="362">
        <f t="shared" si="46"/>
        <v>2.0883348889563385</v>
      </c>
      <c r="X57" s="351"/>
    </row>
    <row r="58" spans="3:24" ht="24.75" customHeight="1" x14ac:dyDescent="0.3">
      <c r="C58" s="353">
        <f>ABS(E58-Dashboard!$F$14)</f>
        <v>1632.5595793273008</v>
      </c>
      <c r="D58" s="350">
        <f t="shared" si="3"/>
        <v>7.8550000000000134E-2</v>
      </c>
      <c r="E58" s="359" cm="1">
        <f t="array" ref="E58">1000*SUM('DRE + DCF'!$L$36/M58,'DRE + DCF'!$N$36:$V$36/N58:V58,F58/V58)/Dashboard!$F$11</f>
        <v>1729.5495793273008</v>
      </c>
      <c r="F58" s="359">
        <f t="shared" si="1"/>
        <v>190084832.84150064</v>
      </c>
      <c r="G58" s="359">
        <f>'DRE + DCF'!$W$31</f>
        <v>2791623.3540418856</v>
      </c>
      <c r="H58" s="359">
        <f>'DRE + DCF'!$W$32</f>
        <v>81081.931703745853</v>
      </c>
      <c r="I58" s="359">
        <f>-H58*('DRE + DCF'!$V$33+K58)/'DRE + DCF'!$V$33</f>
        <v>-90858.801614444121</v>
      </c>
      <c r="J58" s="359">
        <f>-'DRE + DCF'!$V$56*L58</f>
        <v>-1188924.4255577971</v>
      </c>
      <c r="K58" s="360">
        <f>(1+L58)/(1+Ke!$O$12)-1</f>
        <v>2.0000000000000018E-2</v>
      </c>
      <c r="L58" s="360">
        <f>'DRE + DCF'!$Y$31</f>
        <v>7.3550000000000004E-2</v>
      </c>
      <c r="M58" s="361">
        <f>(1+D58)^((5-Dashboard!$F$9)*3/12)</f>
        <v>1.0583521889451279</v>
      </c>
      <c r="N58" s="361">
        <f t="shared" ref="N58:V58" si="47">M58*(1+$D58)</f>
        <v>1.1414857533867679</v>
      </c>
      <c r="O58" s="361">
        <f t="shared" si="47"/>
        <v>1.2311494593152987</v>
      </c>
      <c r="P58" s="361">
        <f t="shared" si="47"/>
        <v>1.3278562493445156</v>
      </c>
      <c r="Q58" s="361">
        <f t="shared" si="47"/>
        <v>1.4321593577305274</v>
      </c>
      <c r="R58" s="361">
        <f t="shared" si="47"/>
        <v>1.5446554752802604</v>
      </c>
      <c r="S58" s="361">
        <f t="shared" si="47"/>
        <v>1.6659881628635249</v>
      </c>
      <c r="T58" s="361">
        <f t="shared" si="47"/>
        <v>1.796851533056455</v>
      </c>
      <c r="U58" s="361">
        <f t="shared" si="47"/>
        <v>1.9379942209780396</v>
      </c>
      <c r="V58" s="362">
        <f t="shared" si="47"/>
        <v>2.0902236670358647</v>
      </c>
      <c r="X58" s="351"/>
    </row>
    <row r="59" spans="3:24" ht="24.75" customHeight="1" x14ac:dyDescent="0.3">
      <c r="C59" s="353">
        <f>ABS(E59-Dashboard!$F$14)</f>
        <v>1602.2391119697454</v>
      </c>
      <c r="D59" s="350">
        <f t="shared" si="3"/>
        <v>7.8650000000000136E-2</v>
      </c>
      <c r="E59" s="359" cm="1">
        <f t="array" ref="E59">1000*SUM('DRE + DCF'!$L$36/M59,'DRE + DCF'!$N$36:$V$36/N59:V59,F59/V59)/Dashboard!$F$11</f>
        <v>1699.2291119697454</v>
      </c>
      <c r="F59" s="359">
        <f t="shared" si="1"/>
        <v>186707476.74578369</v>
      </c>
      <c r="G59" s="359">
        <f>'DRE + DCF'!$W$31</f>
        <v>2791623.3540418856</v>
      </c>
      <c r="H59" s="359">
        <f>'DRE + DCF'!$W$32</f>
        <v>81081.931703745853</v>
      </c>
      <c r="I59" s="359">
        <f>-H59*('DRE + DCF'!$V$33+K59)/'DRE + DCF'!$V$33</f>
        <v>-90858.801614444121</v>
      </c>
      <c r="J59" s="359">
        <f>-'DRE + DCF'!$V$56*L59</f>
        <v>-1188924.4255577971</v>
      </c>
      <c r="K59" s="360">
        <f>(1+L59)/(1+Ke!$O$12)-1</f>
        <v>2.0000000000000018E-2</v>
      </c>
      <c r="L59" s="360">
        <f>'DRE + DCF'!$Y$31</f>
        <v>7.3550000000000004E-2</v>
      </c>
      <c r="M59" s="361">
        <f>(1+D59)^((5-Dashboard!$F$9)*3/12)</f>
        <v>1.0584257835807618</v>
      </c>
      <c r="N59" s="361">
        <f t="shared" ref="N59:V59" si="48">M59*(1+$D59)</f>
        <v>1.1416709714593889</v>
      </c>
      <c r="O59" s="361">
        <f t="shared" si="48"/>
        <v>1.2314633933646699</v>
      </c>
      <c r="P59" s="361">
        <f t="shared" si="48"/>
        <v>1.3283179892528014</v>
      </c>
      <c r="Q59" s="361">
        <f t="shared" si="48"/>
        <v>1.4327901991075345</v>
      </c>
      <c r="R59" s="361">
        <f t="shared" si="48"/>
        <v>1.5454791482673422</v>
      </c>
      <c r="S59" s="361">
        <f t="shared" si="48"/>
        <v>1.6670310832785689</v>
      </c>
      <c r="T59" s="361">
        <f t="shared" si="48"/>
        <v>1.7981430779784284</v>
      </c>
      <c r="U59" s="361">
        <f t="shared" si="48"/>
        <v>1.9395670310614319</v>
      </c>
      <c r="V59" s="362">
        <f t="shared" si="48"/>
        <v>2.0921139780544138</v>
      </c>
      <c r="X59" s="351"/>
    </row>
    <row r="60" spans="3:24" ht="24.75" customHeight="1" x14ac:dyDescent="0.3">
      <c r="C60" s="353">
        <f>ABS(E60-Dashboard!$F$14)</f>
        <v>1573.0713464048101</v>
      </c>
      <c r="D60" s="350">
        <f t="shared" si="3"/>
        <v>7.8750000000000139E-2</v>
      </c>
      <c r="E60" s="359" cm="1">
        <f t="array" ref="E60">1000*SUM('DRE + DCF'!$L$36/M60,'DRE + DCF'!$N$36:$V$36/N60:V60,F60/V60)/Dashboard!$F$11</f>
        <v>1670.0613464048101</v>
      </c>
      <c r="F60" s="359">
        <f t="shared" si="1"/>
        <v>183459147.67099065</v>
      </c>
      <c r="G60" s="359">
        <f>'DRE + DCF'!$W$31</f>
        <v>2791623.3540418856</v>
      </c>
      <c r="H60" s="359">
        <f>'DRE + DCF'!$W$32</f>
        <v>81081.931703745853</v>
      </c>
      <c r="I60" s="359">
        <f>-H60*('DRE + DCF'!$V$33+K60)/'DRE + DCF'!$V$33</f>
        <v>-90858.801614444121</v>
      </c>
      <c r="J60" s="359">
        <f>-'DRE + DCF'!$V$56*L60</f>
        <v>-1188924.4255577971</v>
      </c>
      <c r="K60" s="360">
        <f>(1+L60)/(1+Ke!$O$12)-1</f>
        <v>2.0000000000000018E-2</v>
      </c>
      <c r="L60" s="360">
        <f>'DRE + DCF'!$Y$31</f>
        <v>7.3550000000000004E-2</v>
      </c>
      <c r="M60" s="361">
        <f>(1+D60)^((5-Dashboard!$F$9)*3/12)</f>
        <v>1.0584993765107038</v>
      </c>
      <c r="N60" s="361">
        <f t="shared" ref="N60:V60" si="49">M60*(1+$D60)</f>
        <v>1.1418562024109218</v>
      </c>
      <c r="O60" s="361">
        <f t="shared" si="49"/>
        <v>1.2317773783507819</v>
      </c>
      <c r="P60" s="361">
        <f t="shared" si="49"/>
        <v>1.3287798468959062</v>
      </c>
      <c r="Q60" s="361">
        <f t="shared" si="49"/>
        <v>1.4334212598389591</v>
      </c>
      <c r="R60" s="361">
        <f t="shared" si="49"/>
        <v>1.5463031840512773</v>
      </c>
      <c r="S60" s="361">
        <f t="shared" si="49"/>
        <v>1.6680745597953155</v>
      </c>
      <c r="T60" s="361">
        <f t="shared" si="49"/>
        <v>1.7994354313791967</v>
      </c>
      <c r="U60" s="361">
        <f t="shared" si="49"/>
        <v>1.9411409716003085</v>
      </c>
      <c r="V60" s="362">
        <f t="shared" si="49"/>
        <v>2.0940058231138332</v>
      </c>
      <c r="X60" s="351"/>
    </row>
    <row r="61" spans="3:24" ht="24.75" customHeight="1" x14ac:dyDescent="0.3">
      <c r="C61" s="353">
        <f>ABS(E61-Dashboard!$F$14)</f>
        <v>1544.9910914152551</v>
      </c>
      <c r="D61" s="350">
        <f t="shared" si="3"/>
        <v>7.8850000000000142E-2</v>
      </c>
      <c r="E61" s="359" cm="1">
        <f t="array" ref="E61">1000*SUM('DRE + DCF'!$L$36/M61,'DRE + DCF'!$N$36:$V$36/N61:V61,F61/V61)/Dashboard!$F$11</f>
        <v>1641.9810914152552</v>
      </c>
      <c r="F61" s="359">
        <f t="shared" si="1"/>
        <v>180332545.45328799</v>
      </c>
      <c r="G61" s="359">
        <f>'DRE + DCF'!$W$31</f>
        <v>2791623.3540418856</v>
      </c>
      <c r="H61" s="359">
        <f>'DRE + DCF'!$W$32</f>
        <v>81081.931703745853</v>
      </c>
      <c r="I61" s="359">
        <f>-H61*('DRE + DCF'!$V$33+K61)/'DRE + DCF'!$V$33</f>
        <v>-90858.801614444121</v>
      </c>
      <c r="J61" s="359">
        <f>-'DRE + DCF'!$V$56*L61</f>
        <v>-1188924.4255577971</v>
      </c>
      <c r="K61" s="360">
        <f>(1+L61)/(1+Ke!$O$12)-1</f>
        <v>2.0000000000000018E-2</v>
      </c>
      <c r="L61" s="360">
        <f>'DRE + DCF'!$Y$31</f>
        <v>7.3550000000000004E-2</v>
      </c>
      <c r="M61" s="361">
        <f>(1+D61)^((5-Dashboard!$F$9)*3/12)</f>
        <v>1.0585729677351514</v>
      </c>
      <c r="N61" s="361">
        <f t="shared" ref="N61:V61" si="50">M61*(1+$D61)</f>
        <v>1.1420414462410682</v>
      </c>
      <c r="O61" s="361">
        <f t="shared" si="50"/>
        <v>1.2320914142771766</v>
      </c>
      <c r="P61" s="361">
        <f t="shared" si="50"/>
        <v>1.3292418222929321</v>
      </c>
      <c r="Q61" s="361">
        <f t="shared" si="50"/>
        <v>1.4340525399807298</v>
      </c>
      <c r="R61" s="361">
        <f t="shared" si="50"/>
        <v>1.5471275827582105</v>
      </c>
      <c r="S61" s="361">
        <f t="shared" si="50"/>
        <v>1.6691185926586956</v>
      </c>
      <c r="T61" s="361">
        <f t="shared" si="50"/>
        <v>1.8007285936898338</v>
      </c>
      <c r="U61" s="361">
        <f t="shared" si="50"/>
        <v>1.9427160433022774</v>
      </c>
      <c r="V61" s="362">
        <f t="shared" si="50"/>
        <v>2.0958992033166624</v>
      </c>
      <c r="X61" s="351"/>
    </row>
    <row r="62" spans="3:24" ht="24.75" customHeight="1" x14ac:dyDescent="0.3">
      <c r="C62" s="353">
        <f>ABS(E62-Dashboard!$F$14)</f>
        <v>1517.9379844765085</v>
      </c>
      <c r="D62" s="350">
        <f t="shared" si="3"/>
        <v>7.8950000000000145E-2</v>
      </c>
      <c r="E62" s="359" cm="1">
        <f t="array" ref="E62">1000*SUM('DRE + DCF'!$L$36/M62,'DRE + DCF'!$N$36:$V$36/N62:V62,F62/V62)/Dashboard!$F$11</f>
        <v>1614.9279844765085</v>
      </c>
      <c r="F62" s="359">
        <f t="shared" si="1"/>
        <v>177320910.6655454</v>
      </c>
      <c r="G62" s="359">
        <f>'DRE + DCF'!$W$31</f>
        <v>2791623.3540418856</v>
      </c>
      <c r="H62" s="359">
        <f>'DRE + DCF'!$W$32</f>
        <v>81081.931703745853</v>
      </c>
      <c r="I62" s="359">
        <f>-H62*('DRE + DCF'!$V$33+K62)/'DRE + DCF'!$V$33</f>
        <v>-90858.801614444121</v>
      </c>
      <c r="J62" s="359">
        <f>-'DRE + DCF'!$V$56*L62</f>
        <v>-1188924.4255577971</v>
      </c>
      <c r="K62" s="360">
        <f>(1+L62)/(1+Ke!$O$12)-1</f>
        <v>2.0000000000000018E-2</v>
      </c>
      <c r="L62" s="360">
        <f>'DRE + DCF'!$Y$31</f>
        <v>7.3550000000000004E-2</v>
      </c>
      <c r="M62" s="361">
        <f>(1+D62)^((5-Dashboard!$F$9)*3/12)</f>
        <v>1.0586465572543022</v>
      </c>
      <c r="N62" s="361">
        <f t="shared" ref="N62:V62" si="51">M62*(1+$D62)</f>
        <v>1.1422267029495294</v>
      </c>
      <c r="O62" s="361">
        <f t="shared" si="51"/>
        <v>1.2324055011473949</v>
      </c>
      <c r="P62" s="361">
        <f t="shared" si="51"/>
        <v>1.3297039154629817</v>
      </c>
      <c r="Q62" s="361">
        <f t="shared" si="51"/>
        <v>1.4346840395887843</v>
      </c>
      <c r="R62" s="361">
        <f t="shared" si="51"/>
        <v>1.5479523445143188</v>
      </c>
      <c r="S62" s="361">
        <f t="shared" si="51"/>
        <v>1.6701631821137244</v>
      </c>
      <c r="T62" s="361">
        <f t="shared" si="51"/>
        <v>1.8020225653416031</v>
      </c>
      <c r="U62" s="361">
        <f t="shared" si="51"/>
        <v>1.9442922468753228</v>
      </c>
      <c r="V62" s="362">
        <f t="shared" si="51"/>
        <v>2.0977941197661298</v>
      </c>
      <c r="X62" s="351"/>
    </row>
    <row r="63" spans="3:24" ht="24.75" customHeight="1" x14ac:dyDescent="0.3">
      <c r="C63" s="353">
        <f>ABS(E63-Dashboard!$F$14)</f>
        <v>1491.8560527863908</v>
      </c>
      <c r="D63" s="350">
        <f t="shared" si="3"/>
        <v>7.9050000000000148E-2</v>
      </c>
      <c r="E63" s="359" cm="1">
        <f t="array" ref="E63">1000*SUM('DRE + DCF'!$L$36/M63,'DRE + DCF'!$N$36:$V$36/N63:V63,F63/V63)/Dashboard!$F$11</f>
        <v>1588.8460527863908</v>
      </c>
      <c r="F63" s="359">
        <f t="shared" si="1"/>
        <v>174417975.45955408</v>
      </c>
      <c r="G63" s="359">
        <f>'DRE + DCF'!$W$31</f>
        <v>2791623.3540418856</v>
      </c>
      <c r="H63" s="359">
        <f>'DRE + DCF'!$W$32</f>
        <v>81081.931703745853</v>
      </c>
      <c r="I63" s="359">
        <f>-H63*('DRE + DCF'!$V$33+K63)/'DRE + DCF'!$V$33</f>
        <v>-90858.801614444121</v>
      </c>
      <c r="J63" s="359">
        <f>-'DRE + DCF'!$V$56*L63</f>
        <v>-1188924.4255577971</v>
      </c>
      <c r="K63" s="360">
        <f>(1+L63)/(1+Ke!$O$12)-1</f>
        <v>2.0000000000000018E-2</v>
      </c>
      <c r="L63" s="360">
        <f>'DRE + DCF'!$Y$31</f>
        <v>7.3550000000000004E-2</v>
      </c>
      <c r="M63" s="361">
        <f>(1+D63)^((5-Dashboard!$F$9)*3/12)</f>
        <v>1.0587201450683541</v>
      </c>
      <c r="N63" s="361">
        <f t="shared" ref="N63:V63" si="52">M63*(1+$D63)</f>
        <v>1.1424119725360076</v>
      </c>
      <c r="O63" s="361">
        <f t="shared" si="52"/>
        <v>1.232719638964979</v>
      </c>
      <c r="P63" s="361">
        <f t="shared" si="52"/>
        <v>1.3301661264251607</v>
      </c>
      <c r="Q63" s="361">
        <f t="shared" si="52"/>
        <v>1.4353157587190697</v>
      </c>
      <c r="R63" s="361">
        <f t="shared" si="52"/>
        <v>1.5487774694458123</v>
      </c>
      <c r="S63" s="361">
        <f t="shared" si="52"/>
        <v>1.6712083284055039</v>
      </c>
      <c r="T63" s="361">
        <f t="shared" si="52"/>
        <v>1.8033173467659591</v>
      </c>
      <c r="U63" s="361">
        <f t="shared" si="52"/>
        <v>1.9458695830278083</v>
      </c>
      <c r="V63" s="362">
        <f t="shared" si="52"/>
        <v>2.0996905735661566</v>
      </c>
      <c r="X63" s="351"/>
    </row>
    <row r="64" spans="3:24" ht="24.75" customHeight="1" x14ac:dyDescent="0.3">
      <c r="C64" s="353">
        <f>ABS(E64-Dashboard!$F$14)</f>
        <v>1466.6933213273639</v>
      </c>
      <c r="D64" s="350">
        <f t="shared" si="3"/>
        <v>7.9150000000000151E-2</v>
      </c>
      <c r="E64" s="359" cm="1">
        <f t="array" ref="E64">1000*SUM('DRE + DCF'!$L$36/M64,'DRE + DCF'!$N$36:$V$36/N64:V64,F64/V64)/Dashboard!$F$11</f>
        <v>1563.683321327364</v>
      </c>
      <c r="F64" s="359">
        <f t="shared" si="1"/>
        <v>171617919.6751495</v>
      </c>
      <c r="G64" s="359">
        <f>'DRE + DCF'!$W$31</f>
        <v>2791623.3540418856</v>
      </c>
      <c r="H64" s="359">
        <f>'DRE + DCF'!$W$32</f>
        <v>81081.931703745853</v>
      </c>
      <c r="I64" s="359">
        <f>-H64*('DRE + DCF'!$V$33+K64)/'DRE + DCF'!$V$33</f>
        <v>-90858.801614444121</v>
      </c>
      <c r="J64" s="359">
        <f>-'DRE + DCF'!$V$56*L64</f>
        <v>-1188924.4255577971</v>
      </c>
      <c r="K64" s="360">
        <f>(1+L64)/(1+Ke!$O$12)-1</f>
        <v>2.0000000000000018E-2</v>
      </c>
      <c r="L64" s="360">
        <f>'DRE + DCF'!$Y$31</f>
        <v>7.3550000000000004E-2</v>
      </c>
      <c r="M64" s="361">
        <f>(1+D64)^((5-Dashboard!$F$9)*3/12)</f>
        <v>1.0587937311775044</v>
      </c>
      <c r="N64" s="361">
        <f t="shared" ref="N64:V64" si="53">M64*(1+$D64)</f>
        <v>1.1425972550002039</v>
      </c>
      <c r="O64" s="361">
        <f t="shared" si="53"/>
        <v>1.23303382773347</v>
      </c>
      <c r="P64" s="361">
        <f t="shared" si="53"/>
        <v>1.3306284551985743</v>
      </c>
      <c r="Q64" s="361">
        <f t="shared" si="53"/>
        <v>1.4359476974275416</v>
      </c>
      <c r="R64" s="361">
        <f t="shared" si="53"/>
        <v>1.5496029576789316</v>
      </c>
      <c r="S64" s="361">
        <f t="shared" si="53"/>
        <v>1.6722540317792192</v>
      </c>
      <c r="T64" s="361">
        <f t="shared" si="53"/>
        <v>1.8046129383945444</v>
      </c>
      <c r="U64" s="361">
        <f t="shared" si="53"/>
        <v>1.9474480524684727</v>
      </c>
      <c r="V64" s="362">
        <f t="shared" si="53"/>
        <v>2.1015885658213525</v>
      </c>
      <c r="X64" s="351"/>
    </row>
    <row r="65" spans="3:24" ht="24.75" customHeight="1" x14ac:dyDescent="0.3">
      <c r="C65" s="353">
        <f>ABS(E65-Dashboard!$F$14)</f>
        <v>1442.4014621853657</v>
      </c>
      <c r="D65" s="350">
        <f t="shared" si="3"/>
        <v>7.9250000000000154E-2</v>
      </c>
      <c r="E65" s="359" cm="1">
        <f t="array" ref="E65">1000*SUM('DRE + DCF'!$L$36/M65,'DRE + DCF'!$N$36:$V$36/N65:V65,F65/V65)/Dashboard!$F$11</f>
        <v>1539.3914621853658</v>
      </c>
      <c r="F65" s="359">
        <f t="shared" si="1"/>
        <v>168915331.56942591</v>
      </c>
      <c r="G65" s="359">
        <f>'DRE + DCF'!$W$31</f>
        <v>2791623.3540418856</v>
      </c>
      <c r="H65" s="359">
        <f>'DRE + DCF'!$W$32</f>
        <v>81081.931703745853</v>
      </c>
      <c r="I65" s="359">
        <f>-H65*('DRE + DCF'!$V$33+K65)/'DRE + DCF'!$V$33</f>
        <v>-90858.801614444121</v>
      </c>
      <c r="J65" s="359">
        <f>-'DRE + DCF'!$V$56*L65</f>
        <v>-1188924.4255577971</v>
      </c>
      <c r="K65" s="360">
        <f>(1+L65)/(1+Ke!$O$12)-1</f>
        <v>2.0000000000000018E-2</v>
      </c>
      <c r="L65" s="360">
        <f>'DRE + DCF'!$Y$31</f>
        <v>7.3550000000000004E-2</v>
      </c>
      <c r="M65" s="361">
        <f>(1+D65)^((5-Dashboard!$F$9)*3/12)</f>
        <v>1.0588673155819506</v>
      </c>
      <c r="N65" s="361">
        <f t="shared" ref="N65:V65" si="54">M65*(1+$D65)</f>
        <v>1.1427825503418203</v>
      </c>
      <c r="O65" s="361">
        <f t="shared" si="54"/>
        <v>1.2333480674564097</v>
      </c>
      <c r="P65" s="361">
        <f t="shared" si="54"/>
        <v>1.3310909018023303</v>
      </c>
      <c r="Q65" s="361">
        <f t="shared" si="54"/>
        <v>1.436579855770165</v>
      </c>
      <c r="R65" s="361">
        <f t="shared" si="54"/>
        <v>1.5504288093399505</v>
      </c>
      <c r="S65" s="361">
        <f t="shared" si="54"/>
        <v>1.6733002924801417</v>
      </c>
      <c r="T65" s="361">
        <f t="shared" si="54"/>
        <v>1.8059093406591931</v>
      </c>
      <c r="U65" s="361">
        <f t="shared" si="54"/>
        <v>1.9490276559064341</v>
      </c>
      <c r="V65" s="362">
        <f t="shared" si="54"/>
        <v>2.1034880976370189</v>
      </c>
      <c r="X65" s="351"/>
    </row>
    <row r="66" spans="3:24" ht="24.75" customHeight="1" x14ac:dyDescent="0.3">
      <c r="C66" s="353">
        <f>ABS(E66-Dashboard!$F$14)</f>
        <v>1418.935480145992</v>
      </c>
      <c r="D66" s="350">
        <f t="shared" si="3"/>
        <v>7.9350000000000157E-2</v>
      </c>
      <c r="E66" s="359" cm="1">
        <f t="array" ref="E66">1000*SUM('DRE + DCF'!$L$36/M66,'DRE + DCF'!$N$36:$V$36/N66:V66,F66/V66)/Dashboard!$F$11</f>
        <v>1515.925480145992</v>
      </c>
      <c r="F66" s="359">
        <f t="shared" si="1"/>
        <v>166305172.60844484</v>
      </c>
      <c r="G66" s="359">
        <f>'DRE + DCF'!$W$31</f>
        <v>2791623.3540418856</v>
      </c>
      <c r="H66" s="359">
        <f>'DRE + DCF'!$W$32</f>
        <v>81081.931703745853</v>
      </c>
      <c r="I66" s="359">
        <f>-H66*('DRE + DCF'!$V$33+K66)/'DRE + DCF'!$V$33</f>
        <v>-90858.801614444121</v>
      </c>
      <c r="J66" s="359">
        <f>-'DRE + DCF'!$V$56*L66</f>
        <v>-1188924.4255577971</v>
      </c>
      <c r="K66" s="360">
        <f>(1+L66)/(1+Ke!$O$12)-1</f>
        <v>2.0000000000000018E-2</v>
      </c>
      <c r="L66" s="360">
        <f>'DRE + DCF'!$Y$31</f>
        <v>7.3550000000000004E-2</v>
      </c>
      <c r="M66" s="361">
        <f>(1+D66)^((5-Dashboard!$F$9)*3/12)</f>
        <v>1.0589408982818902</v>
      </c>
      <c r="N66" s="361">
        <f t="shared" ref="N66:V66" si="55">M66*(1+$D66)</f>
        <v>1.1429678585605585</v>
      </c>
      <c r="O66" s="361">
        <f t="shared" si="55"/>
        <v>1.2336623581373392</v>
      </c>
      <c r="P66" s="361">
        <f t="shared" si="55"/>
        <v>1.3315534662555373</v>
      </c>
      <c r="Q66" s="361">
        <f t="shared" si="55"/>
        <v>1.4372122338029145</v>
      </c>
      <c r="R66" s="361">
        <f t="shared" si="55"/>
        <v>1.5512550245551762</v>
      </c>
      <c r="S66" s="361">
        <f t="shared" si="55"/>
        <v>1.6743471107536299</v>
      </c>
      <c r="T66" s="361">
        <f t="shared" si="55"/>
        <v>1.8072065539919309</v>
      </c>
      <c r="U66" s="361">
        <f t="shared" si="55"/>
        <v>1.9506083940511911</v>
      </c>
      <c r="V66" s="362">
        <f t="shared" si="55"/>
        <v>2.1053891701191536</v>
      </c>
      <c r="X66" s="351"/>
    </row>
    <row r="67" spans="3:24" ht="24.75" customHeight="1" x14ac:dyDescent="0.3">
      <c r="C67" s="353">
        <f>ABS(E67-Dashboard!$F$14)</f>
        <v>1396.2534302639549</v>
      </c>
      <c r="D67" s="350">
        <f t="shared" si="3"/>
        <v>7.9450000000000159E-2</v>
      </c>
      <c r="E67" s="359" cm="1">
        <f t="array" ref="E67">1000*SUM('DRE + DCF'!$L$36/M67,'DRE + DCF'!$N$36:$V$36/N67:V67,F67/V67)/Dashboard!$F$11</f>
        <v>1493.2434302639549</v>
      </c>
      <c r="F67" s="359">
        <f t="shared" si="1"/>
        <v>163782745.83944753</v>
      </c>
      <c r="G67" s="359">
        <f>'DRE + DCF'!$W$31</f>
        <v>2791623.3540418856</v>
      </c>
      <c r="H67" s="359">
        <f>'DRE + DCF'!$W$32</f>
        <v>81081.931703745853</v>
      </c>
      <c r="I67" s="359">
        <f>-H67*('DRE + DCF'!$V$33+K67)/'DRE + DCF'!$V$33</f>
        <v>-90858.801614444121</v>
      </c>
      <c r="J67" s="359">
        <f>-'DRE + DCF'!$V$56*L67</f>
        <v>-1188924.4255577971</v>
      </c>
      <c r="K67" s="360">
        <f>(1+L67)/(1+Ke!$O$12)-1</f>
        <v>2.0000000000000018E-2</v>
      </c>
      <c r="L67" s="360">
        <f>'DRE + DCF'!$Y$31</f>
        <v>7.3550000000000004E-2</v>
      </c>
      <c r="M67" s="361">
        <f>(1+D67)^((5-Dashboard!$F$9)*3/12)</f>
        <v>1.0590144792775205</v>
      </c>
      <c r="N67" s="361">
        <f t="shared" ref="N67:V67" si="56">M67*(1+$D67)</f>
        <v>1.1431531796561196</v>
      </c>
      <c r="O67" s="361">
        <f t="shared" si="56"/>
        <v>1.2339766997797985</v>
      </c>
      <c r="P67" s="361">
        <f t="shared" si="56"/>
        <v>1.3320161485773039</v>
      </c>
      <c r="Q67" s="361">
        <f t="shared" si="56"/>
        <v>1.4378448315817709</v>
      </c>
      <c r="R67" s="361">
        <f t="shared" si="56"/>
        <v>1.552081603450943</v>
      </c>
      <c r="S67" s="361">
        <f t="shared" si="56"/>
        <v>1.6753944868451209</v>
      </c>
      <c r="T67" s="361">
        <f t="shared" si="56"/>
        <v>1.8085045788249663</v>
      </c>
      <c r="U67" s="361">
        <f t="shared" si="56"/>
        <v>1.9521902676126104</v>
      </c>
      <c r="V67" s="362">
        <f t="shared" si="56"/>
        <v>2.1072917843744325</v>
      </c>
      <c r="X67" s="351"/>
    </row>
    <row r="68" spans="3:24" ht="24.75" customHeight="1" x14ac:dyDescent="0.3">
      <c r="C68" s="353">
        <f>ABS(E68-Dashboard!$F$14)</f>
        <v>1374.3161636755485</v>
      </c>
      <c r="D68" s="350">
        <f t="shared" si="3"/>
        <v>7.9550000000000162E-2</v>
      </c>
      <c r="E68" s="359" cm="1">
        <f t="array" ref="E68">1000*SUM('DRE + DCF'!$L$36/M68,'DRE + DCF'!$N$36:$V$36/N68:V68,F68/V68)/Dashboard!$F$11</f>
        <v>1471.3061636755485</v>
      </c>
      <c r="F68" s="359">
        <f t="shared" si="1"/>
        <v>161343667.42584515</v>
      </c>
      <c r="G68" s="359">
        <f>'DRE + DCF'!$W$31</f>
        <v>2791623.3540418856</v>
      </c>
      <c r="H68" s="359">
        <f>'DRE + DCF'!$W$32</f>
        <v>81081.931703745853</v>
      </c>
      <c r="I68" s="359">
        <f>-H68*('DRE + DCF'!$V$33+K68)/'DRE + DCF'!$V$33</f>
        <v>-90858.801614444121</v>
      </c>
      <c r="J68" s="359">
        <f>-'DRE + DCF'!$V$56*L68</f>
        <v>-1188924.4255577971</v>
      </c>
      <c r="K68" s="360">
        <f>(1+L68)/(1+Ke!$O$12)-1</f>
        <v>2.0000000000000018E-2</v>
      </c>
      <c r="L68" s="360">
        <f>'DRE + DCF'!$Y$31</f>
        <v>7.3550000000000004E-2</v>
      </c>
      <c r="M68" s="361">
        <f>(1+D68)^((5-Dashboard!$F$9)*3/12)</f>
        <v>1.059088058569039</v>
      </c>
      <c r="N68" s="361">
        <f t="shared" ref="N68:V68" si="57">M68*(1+$D68)</f>
        <v>1.1433385136282064</v>
      </c>
      <c r="O68" s="361">
        <f t="shared" si="57"/>
        <v>1.2342910923873305</v>
      </c>
      <c r="P68" s="361">
        <f t="shared" si="57"/>
        <v>1.332478948786743</v>
      </c>
      <c r="Q68" s="361">
        <f t="shared" si="57"/>
        <v>1.4384776491627287</v>
      </c>
      <c r="R68" s="361">
        <f t="shared" si="57"/>
        <v>1.5529085461536241</v>
      </c>
      <c r="S68" s="361">
        <f t="shared" si="57"/>
        <v>1.6764424210001452</v>
      </c>
      <c r="T68" s="361">
        <f t="shared" si="57"/>
        <v>1.809803415590707</v>
      </c>
      <c r="U68" s="361">
        <f t="shared" si="57"/>
        <v>1.9537732773009482</v>
      </c>
      <c r="V68" s="362">
        <f t="shared" si="57"/>
        <v>2.1091959415102393</v>
      </c>
      <c r="X68" s="351"/>
    </row>
    <row r="69" spans="3:24" ht="24.75" customHeight="1" x14ac:dyDescent="0.3">
      <c r="C69" s="353">
        <f>ABS(E69-Dashboard!$F$14)</f>
        <v>1353.0870984131896</v>
      </c>
      <c r="D69" s="350">
        <f t="shared" si="3"/>
        <v>7.9650000000000165E-2</v>
      </c>
      <c r="E69" s="359" cm="1">
        <f t="array" ref="E69">1000*SUM('DRE + DCF'!$L$36/M69,'DRE + DCF'!$N$36:$V$36/N69:V69,F69/V69)/Dashboard!$F$11</f>
        <v>1450.0770984131896</v>
      </c>
      <c r="F69" s="359">
        <f t="shared" si="1"/>
        <v>158983840.9820455</v>
      </c>
      <c r="G69" s="359">
        <f>'DRE + DCF'!$W$31</f>
        <v>2791623.3540418856</v>
      </c>
      <c r="H69" s="359">
        <f>'DRE + DCF'!$W$32</f>
        <v>81081.931703745853</v>
      </c>
      <c r="I69" s="359">
        <f>-H69*('DRE + DCF'!$V$33+K69)/'DRE + DCF'!$V$33</f>
        <v>-90858.801614444121</v>
      </c>
      <c r="J69" s="359">
        <f>-'DRE + DCF'!$V$56*L69</f>
        <v>-1188924.4255577971</v>
      </c>
      <c r="K69" s="360">
        <f>(1+L69)/(1+Ke!$O$12)-1</f>
        <v>2.0000000000000018E-2</v>
      </c>
      <c r="L69" s="360">
        <f>'DRE + DCF'!$Y$31</f>
        <v>7.3550000000000004E-2</v>
      </c>
      <c r="M69" s="361">
        <f>(1+D69)^((5-Dashboard!$F$9)*3/12)</f>
        <v>1.0591616361566427</v>
      </c>
      <c r="N69" s="361">
        <f t="shared" ref="N69:V69" si="58">M69*(1+$D69)</f>
        <v>1.1435238604765194</v>
      </c>
      <c r="O69" s="361">
        <f t="shared" si="58"/>
        <v>1.2346055359634744</v>
      </c>
      <c r="P69" s="361">
        <f t="shared" si="58"/>
        <v>1.3329418669029653</v>
      </c>
      <c r="Q69" s="361">
        <f t="shared" si="58"/>
        <v>1.4391106866017869</v>
      </c>
      <c r="R69" s="361">
        <f t="shared" si="58"/>
        <v>1.5537358527896195</v>
      </c>
      <c r="S69" s="361">
        <f t="shared" si="58"/>
        <v>1.677490913464313</v>
      </c>
      <c r="T69" s="361">
        <f t="shared" si="58"/>
        <v>1.8111030647217459</v>
      </c>
      <c r="U69" s="361">
        <f t="shared" si="58"/>
        <v>1.9553574238268334</v>
      </c>
      <c r="V69" s="362">
        <f t="shared" si="58"/>
        <v>2.1111016426346412</v>
      </c>
      <c r="X69" s="351"/>
    </row>
    <row r="70" spans="3:24" ht="24.75" customHeight="1" x14ac:dyDescent="0.3">
      <c r="C70" s="353">
        <f>ABS(E70-Dashboard!$F$14)</f>
        <v>1332.5320123991642</v>
      </c>
      <c r="D70" s="350">
        <f t="shared" si="3"/>
        <v>7.9750000000000168E-2</v>
      </c>
      <c r="E70" s="359" cm="1">
        <f t="array" ref="E70">1000*SUM('DRE + DCF'!$L$36/M70,'DRE + DCF'!$N$36:$V$36/N70:V70,F70/V70)/Dashboard!$F$11</f>
        <v>1429.5220123991642</v>
      </c>
      <c r="F70" s="359">
        <f t="shared" si="1"/>
        <v>156699434.39200562</v>
      </c>
      <c r="G70" s="359">
        <f>'DRE + DCF'!$W$31</f>
        <v>2791623.3540418856</v>
      </c>
      <c r="H70" s="359">
        <f>'DRE + DCF'!$W$32</f>
        <v>81081.931703745853</v>
      </c>
      <c r="I70" s="359">
        <f>-H70*('DRE + DCF'!$V$33+K70)/'DRE + DCF'!$V$33</f>
        <v>-90858.801614444121</v>
      </c>
      <c r="J70" s="359">
        <f>-'DRE + DCF'!$V$56*L70</f>
        <v>-1188924.4255577971</v>
      </c>
      <c r="K70" s="360">
        <f>(1+L70)/(1+Ke!$O$12)-1</f>
        <v>2.0000000000000018E-2</v>
      </c>
      <c r="L70" s="360">
        <f>'DRE + DCF'!$Y$31</f>
        <v>7.3550000000000004E-2</v>
      </c>
      <c r="M70" s="361">
        <f>(1+D70)^((5-Dashboard!$F$9)*3/12)</f>
        <v>1.0592352120405293</v>
      </c>
      <c r="N70" s="361">
        <f t="shared" ref="N70:V70" si="59">M70*(1+$D70)</f>
        <v>1.1437092202007617</v>
      </c>
      <c r="O70" s="361">
        <f t="shared" si="59"/>
        <v>1.2349200305117727</v>
      </c>
      <c r="P70" s="361">
        <f t="shared" si="59"/>
        <v>1.3334049029450867</v>
      </c>
      <c r="Q70" s="361">
        <f t="shared" si="59"/>
        <v>1.4397439439549578</v>
      </c>
      <c r="R70" s="361">
        <f t="shared" si="59"/>
        <v>1.5545635234853659</v>
      </c>
      <c r="S70" s="361">
        <f t="shared" si="59"/>
        <v>1.6785399644833241</v>
      </c>
      <c r="T70" s="361">
        <f t="shared" si="59"/>
        <v>1.8124035266508696</v>
      </c>
      <c r="U70" s="361">
        <f t="shared" si="59"/>
        <v>1.9569427079012769</v>
      </c>
      <c r="V70" s="362">
        <f t="shared" si="59"/>
        <v>2.1130088888564043</v>
      </c>
      <c r="X70" s="351"/>
    </row>
    <row r="71" spans="3:24" ht="24.75" customHeight="1" x14ac:dyDescent="0.3">
      <c r="C71" s="353">
        <f>ABS(E71-Dashboard!$F$14)</f>
        <v>1312.6188561542556</v>
      </c>
      <c r="D71" s="350">
        <f t="shared" si="3"/>
        <v>7.9850000000000171E-2</v>
      </c>
      <c r="E71" s="359" cm="1">
        <f t="array" ref="E71">1000*SUM('DRE + DCF'!$L$36/M71,'DRE + DCF'!$N$36:$V$36/N71:V71,F71/V71)/Dashboard!$F$11</f>
        <v>1409.6088561542556</v>
      </c>
      <c r="F71" s="359">
        <f t="shared" si="1"/>
        <v>154486858.83554053</v>
      </c>
      <c r="G71" s="359">
        <f>'DRE + DCF'!$W$31</f>
        <v>2791623.3540418856</v>
      </c>
      <c r="H71" s="359">
        <f>'DRE + DCF'!$W$32</f>
        <v>81081.931703745853</v>
      </c>
      <c r="I71" s="359">
        <f>-H71*('DRE + DCF'!$V$33+K71)/'DRE + DCF'!$V$33</f>
        <v>-90858.801614444121</v>
      </c>
      <c r="J71" s="359">
        <f>-'DRE + DCF'!$V$56*L71</f>
        <v>-1188924.4255577971</v>
      </c>
      <c r="K71" s="360">
        <f>(1+L71)/(1+Ke!$O$12)-1</f>
        <v>2.0000000000000018E-2</v>
      </c>
      <c r="L71" s="360">
        <f>'DRE + DCF'!$Y$31</f>
        <v>7.3550000000000004E-2</v>
      </c>
      <c r="M71" s="361">
        <f>(1+D71)^((5-Dashboard!$F$9)*3/12)</f>
        <v>1.0593087862208956</v>
      </c>
      <c r="N71" s="361">
        <f t="shared" ref="N71:V71" si="60">M71*(1+$D71)</f>
        <v>1.1438945928006343</v>
      </c>
      <c r="O71" s="361">
        <f t="shared" si="60"/>
        <v>1.2352345760357653</v>
      </c>
      <c r="P71" s="361">
        <f t="shared" si="60"/>
        <v>1.3338680569322214</v>
      </c>
      <c r="Q71" s="361">
        <f t="shared" si="60"/>
        <v>1.4403774212782596</v>
      </c>
      <c r="R71" s="361">
        <f t="shared" si="60"/>
        <v>1.555391558367329</v>
      </c>
      <c r="S71" s="361">
        <f t="shared" si="60"/>
        <v>1.6795895743029605</v>
      </c>
      <c r="T71" s="361">
        <f t="shared" si="60"/>
        <v>1.8137048018110522</v>
      </c>
      <c r="U71" s="361">
        <f t="shared" si="60"/>
        <v>1.9585291302356651</v>
      </c>
      <c r="V71" s="362">
        <f t="shared" si="60"/>
        <v>2.1149176812849833</v>
      </c>
      <c r="X71" s="351"/>
    </row>
    <row r="72" spans="3:24" ht="24.75" customHeight="1" x14ac:dyDescent="0.3">
      <c r="C72" s="353">
        <f>ABS(E72-Dashboard!$F$14)</f>
        <v>1293.3175830649177</v>
      </c>
      <c r="D72" s="350">
        <f t="shared" si="3"/>
        <v>7.9950000000000174E-2</v>
      </c>
      <c r="E72" s="359" cm="1">
        <f t="array" ref="E72">1000*SUM('DRE + DCF'!$L$36/M72,'DRE + DCF'!$N$36:$V$36/N72:V72,F72/V72)/Dashboard!$F$11</f>
        <v>1390.3075830649177</v>
      </c>
      <c r="F72" s="359">
        <f t="shared" si="1"/>
        <v>152342749.78091481</v>
      </c>
      <c r="G72" s="359">
        <f>'DRE + DCF'!$W$31</f>
        <v>2791623.3540418856</v>
      </c>
      <c r="H72" s="359">
        <f>'DRE + DCF'!$W$32</f>
        <v>81081.931703745853</v>
      </c>
      <c r="I72" s="359">
        <f>-H72*('DRE + DCF'!$V$33+K72)/'DRE + DCF'!$V$33</f>
        <v>-90858.801614444121</v>
      </c>
      <c r="J72" s="359">
        <f>-'DRE + DCF'!$V$56*L72</f>
        <v>-1188924.4255577971</v>
      </c>
      <c r="K72" s="360">
        <f>(1+L72)/(1+Ke!$O$12)-1</f>
        <v>2.0000000000000018E-2</v>
      </c>
      <c r="L72" s="360">
        <f>'DRE + DCF'!$Y$31</f>
        <v>7.3550000000000004E-2</v>
      </c>
      <c r="M72" s="361">
        <f>(1+D72)^((5-Dashboard!$F$9)*3/12)</f>
        <v>1.0593823586979392</v>
      </c>
      <c r="N72" s="361">
        <f t="shared" ref="N72:V72" si="61">M72*(1+$D72)</f>
        <v>1.1440799782758395</v>
      </c>
      <c r="O72" s="361">
        <f t="shared" si="61"/>
        <v>1.2355491725389931</v>
      </c>
      <c r="P72" s="361">
        <f t="shared" si="61"/>
        <v>1.3343313288834859</v>
      </c>
      <c r="Q72" s="361">
        <f t="shared" si="61"/>
        <v>1.4410111186277208</v>
      </c>
      <c r="R72" s="361">
        <f t="shared" si="61"/>
        <v>1.5562199575620073</v>
      </c>
      <c r="S72" s="361">
        <f t="shared" si="61"/>
        <v>1.68063974316909</v>
      </c>
      <c r="T72" s="361">
        <f t="shared" si="61"/>
        <v>1.8150068906354591</v>
      </c>
      <c r="U72" s="361">
        <f t="shared" si="61"/>
        <v>1.9601166915417643</v>
      </c>
      <c r="V72" s="362">
        <f t="shared" si="61"/>
        <v>2.1168280210305288</v>
      </c>
      <c r="X72" s="351"/>
    </row>
    <row r="73" spans="3:24" ht="24.75" customHeight="1" x14ac:dyDescent="0.3">
      <c r="C73" s="353">
        <f>ABS(E73-Dashboard!$F$14)</f>
        <v>1274.5999953180924</v>
      </c>
      <c r="D73" s="350">
        <f t="shared" si="3"/>
        <v>8.0050000000000177E-2</v>
      </c>
      <c r="E73" s="359" cm="1">
        <f t="array" ref="E73">1000*SUM('DRE + DCF'!$L$36/M73,'DRE + DCF'!$N$36:$V$36/N73:V73,F73/V73)/Dashboard!$F$11</f>
        <v>1371.5899953180924</v>
      </c>
      <c r="F73" s="359">
        <f t="shared" si="1"/>
        <v>150263949.73196393</v>
      </c>
      <c r="G73" s="359">
        <f>'DRE + DCF'!$W$31</f>
        <v>2791623.3540418856</v>
      </c>
      <c r="H73" s="359">
        <f>'DRE + DCF'!$W$32</f>
        <v>81081.931703745853</v>
      </c>
      <c r="I73" s="359">
        <f>-H73*('DRE + DCF'!$V$33+K73)/'DRE + DCF'!$V$33</f>
        <v>-90858.801614444121</v>
      </c>
      <c r="J73" s="359">
        <f>-'DRE + DCF'!$V$56*L73</f>
        <v>-1188924.4255577971</v>
      </c>
      <c r="K73" s="360">
        <f>(1+L73)/(1+Ke!$O$12)-1</f>
        <v>2.0000000000000018E-2</v>
      </c>
      <c r="L73" s="360">
        <f>'DRE + DCF'!$Y$31</f>
        <v>7.3550000000000004E-2</v>
      </c>
      <c r="M73" s="361">
        <f>(1+D73)^((5-Dashboard!$F$9)*3/12)</f>
        <v>1.0594559294718568</v>
      </c>
      <c r="N73" s="361">
        <f t="shared" ref="N73:V73" si="62">M73*(1+$D73)</f>
        <v>1.1442653766260791</v>
      </c>
      <c r="O73" s="361">
        <f t="shared" si="62"/>
        <v>1.235863820024997</v>
      </c>
      <c r="P73" s="361">
        <f t="shared" si="62"/>
        <v>1.3347947188179983</v>
      </c>
      <c r="Q73" s="361">
        <f t="shared" si="62"/>
        <v>1.4416450360593793</v>
      </c>
      <c r="R73" s="361">
        <f t="shared" si="62"/>
        <v>1.557048721195933</v>
      </c>
      <c r="S73" s="361">
        <f t="shared" si="62"/>
        <v>1.6816904713276677</v>
      </c>
      <c r="T73" s="361">
        <f t="shared" si="62"/>
        <v>1.8163097935574477</v>
      </c>
      <c r="U73" s="361">
        <f t="shared" si="62"/>
        <v>1.9617053925317216</v>
      </c>
      <c r="V73" s="362">
        <f t="shared" si="62"/>
        <v>2.1187399092038861</v>
      </c>
      <c r="X73" s="351"/>
    </row>
    <row r="74" spans="3:24" ht="24.75" customHeight="1" x14ac:dyDescent="0.3">
      <c r="C74" s="353">
        <f>ABS(E74-Dashboard!$F$14)</f>
        <v>1256.4396038419368</v>
      </c>
      <c r="D74" s="350">
        <f t="shared" si="3"/>
        <v>8.0150000000000179E-2</v>
      </c>
      <c r="E74" s="359" cm="1">
        <f t="array" ref="E74">1000*SUM('DRE + DCF'!$L$36/M74,'DRE + DCF'!$N$36:$V$36/N74:V74,F74/V74)/Dashboard!$F$11</f>
        <v>1353.4296038419368</v>
      </c>
      <c r="F74" s="359">
        <f t="shared" si="1"/>
        <v>148247492.54365829</v>
      </c>
      <c r="G74" s="359">
        <f>'DRE + DCF'!$W$31</f>
        <v>2791623.3540418856</v>
      </c>
      <c r="H74" s="359">
        <f>'DRE + DCF'!$W$32</f>
        <v>81081.931703745853</v>
      </c>
      <c r="I74" s="359">
        <f>-H74*('DRE + DCF'!$V$33+K74)/'DRE + DCF'!$V$33</f>
        <v>-90858.801614444121</v>
      </c>
      <c r="J74" s="359">
        <f>-'DRE + DCF'!$V$56*L74</f>
        <v>-1188924.4255577971</v>
      </c>
      <c r="K74" s="360">
        <f>(1+L74)/(1+Ke!$O$12)-1</f>
        <v>2.0000000000000018E-2</v>
      </c>
      <c r="L74" s="360">
        <f>'DRE + DCF'!$Y$31</f>
        <v>7.3550000000000004E-2</v>
      </c>
      <c r="M74" s="361">
        <f>(1+D74)^((5-Dashboard!$F$9)*3/12)</f>
        <v>1.0595294985428461</v>
      </c>
      <c r="N74" s="361">
        <f t="shared" ref="N74:V74" si="63">M74*(1+$D74)</f>
        <v>1.1444507878510553</v>
      </c>
      <c r="O74" s="361">
        <f t="shared" si="63"/>
        <v>1.2361785184973175</v>
      </c>
      <c r="P74" s="361">
        <f t="shared" si="63"/>
        <v>1.3352582267548778</v>
      </c>
      <c r="Q74" s="361">
        <f t="shared" si="63"/>
        <v>1.4422791736292815</v>
      </c>
      <c r="R74" s="361">
        <f t="shared" si="63"/>
        <v>1.5578778493956686</v>
      </c>
      <c r="S74" s="361">
        <f t="shared" si="63"/>
        <v>1.6827417590247318</v>
      </c>
      <c r="T74" s="361">
        <f t="shared" si="63"/>
        <v>1.8176135110105642</v>
      </c>
      <c r="U74" s="361">
        <f t="shared" si="63"/>
        <v>1.9632952339180612</v>
      </c>
      <c r="V74" s="362">
        <f t="shared" si="63"/>
        <v>2.120653346916594</v>
      </c>
      <c r="X74" s="351"/>
    </row>
    <row r="75" spans="3:24" ht="24.75" customHeight="1" x14ac:dyDescent="0.3">
      <c r="C75" s="353">
        <f>ABS(E75-Dashboard!$F$14)</f>
        <v>1238.8115007891629</v>
      </c>
      <c r="D75" s="350">
        <f t="shared" si="3"/>
        <v>8.0250000000000182E-2</v>
      </c>
      <c r="E75" s="359" cm="1">
        <f t="array" ref="E75">1000*SUM('DRE + DCF'!$L$36/M75,'DRE + DCF'!$N$36:$V$36/N75:V75,F75/V75)/Dashboard!$F$11</f>
        <v>1335.8015007891629</v>
      </c>
      <c r="F75" s="359">
        <f t="shared" si="1"/>
        <v>146290589.14224288</v>
      </c>
      <c r="G75" s="359">
        <f>'DRE + DCF'!$W$31</f>
        <v>2791623.3540418856</v>
      </c>
      <c r="H75" s="359">
        <f>'DRE + DCF'!$W$32</f>
        <v>81081.931703745853</v>
      </c>
      <c r="I75" s="359">
        <f>-H75*('DRE + DCF'!$V$33+K75)/'DRE + DCF'!$V$33</f>
        <v>-90858.801614444121</v>
      </c>
      <c r="J75" s="359">
        <f>-'DRE + DCF'!$V$56*L75</f>
        <v>-1188924.4255577971</v>
      </c>
      <c r="K75" s="360">
        <f>(1+L75)/(1+Ke!$O$12)-1</f>
        <v>2.0000000000000018E-2</v>
      </c>
      <c r="L75" s="360">
        <f>'DRE + DCF'!$Y$31</f>
        <v>7.3550000000000004E-2</v>
      </c>
      <c r="M75" s="361">
        <f>(1+D75)^((5-Dashboard!$F$9)*3/12)</f>
        <v>1.0596030659111035</v>
      </c>
      <c r="N75" s="361">
        <f t="shared" ref="N75:V75" si="64">M75*(1+$D75)</f>
        <v>1.1446362119504698</v>
      </c>
      <c r="O75" s="361">
        <f t="shared" si="64"/>
        <v>1.2364932679594951</v>
      </c>
      <c r="P75" s="361">
        <f t="shared" si="64"/>
        <v>1.3357218527132448</v>
      </c>
      <c r="Q75" s="361">
        <f t="shared" si="64"/>
        <v>1.4429135313934829</v>
      </c>
      <c r="R75" s="361">
        <f t="shared" si="64"/>
        <v>1.5587073422878102</v>
      </c>
      <c r="S75" s="361">
        <f t="shared" si="64"/>
        <v>1.6837936065064072</v>
      </c>
      <c r="T75" s="361">
        <f t="shared" si="64"/>
        <v>1.8189180434285466</v>
      </c>
      <c r="U75" s="361">
        <f t="shared" si="64"/>
        <v>1.9648862164136878</v>
      </c>
      <c r="V75" s="362">
        <f t="shared" si="64"/>
        <v>2.1225683352808864</v>
      </c>
      <c r="X75" s="351"/>
    </row>
    <row r="76" spans="3:24" ht="24.75" customHeight="1" x14ac:dyDescent="0.3">
      <c r="C76" s="353">
        <f>ABS(E76-Dashboard!$F$14)</f>
        <v>1221.6922432718384</v>
      </c>
      <c r="D76" s="350">
        <f t="shared" si="3"/>
        <v>8.0350000000000185E-2</v>
      </c>
      <c r="E76" s="359" cm="1">
        <f t="array" ref="E76">1000*SUM('DRE + DCF'!$L$36/M76,'DRE + DCF'!$N$36:$V$36/N76:V76,F76/V76)/Dashboard!$F$11</f>
        <v>1318.6822432718384</v>
      </c>
      <c r="F76" s="359">
        <f t="shared" si="1"/>
        <v>144390614.50536454</v>
      </c>
      <c r="G76" s="359">
        <f>'DRE + DCF'!$W$31</f>
        <v>2791623.3540418856</v>
      </c>
      <c r="H76" s="359">
        <f>'DRE + DCF'!$W$32</f>
        <v>81081.931703745853</v>
      </c>
      <c r="I76" s="359">
        <f>-H76*('DRE + DCF'!$V$33+K76)/'DRE + DCF'!$V$33</f>
        <v>-90858.801614444121</v>
      </c>
      <c r="J76" s="359">
        <f>-'DRE + DCF'!$V$56*L76</f>
        <v>-1188924.4255577971</v>
      </c>
      <c r="K76" s="360">
        <f>(1+L76)/(1+Ke!$O$12)-1</f>
        <v>2.0000000000000018E-2</v>
      </c>
      <c r="L76" s="360">
        <f>'DRE + DCF'!$Y$31</f>
        <v>7.3550000000000004E-2</v>
      </c>
      <c r="M76" s="361">
        <f>(1+D76)^((5-Dashboard!$F$9)*3/12)</f>
        <v>1.0596766315768267</v>
      </c>
      <c r="N76" s="361">
        <f t="shared" ref="N76:V76" si="65">M76*(1+$D76)</f>
        <v>1.1448216489240248</v>
      </c>
      <c r="O76" s="361">
        <f t="shared" si="65"/>
        <v>1.2368080684150704</v>
      </c>
      <c r="P76" s="361">
        <f t="shared" si="65"/>
        <v>1.3361855967122216</v>
      </c>
      <c r="Q76" s="361">
        <f t="shared" si="65"/>
        <v>1.4435481094080489</v>
      </c>
      <c r="R76" s="361">
        <f t="shared" si="65"/>
        <v>1.5595371999989858</v>
      </c>
      <c r="S76" s="361">
        <f t="shared" si="65"/>
        <v>1.6848460140189045</v>
      </c>
      <c r="T76" s="361">
        <f t="shared" si="65"/>
        <v>1.8202233912453238</v>
      </c>
      <c r="U76" s="361">
        <f t="shared" si="65"/>
        <v>1.9664783407318858</v>
      </c>
      <c r="V76" s="362">
        <f t="shared" si="65"/>
        <v>2.124484875409693</v>
      </c>
      <c r="X76" s="351"/>
    </row>
    <row r="77" spans="3:24" ht="24.75" customHeight="1" x14ac:dyDescent="0.3">
      <c r="C77" s="353">
        <f>ABS(E77-Dashboard!$F$14)</f>
        <v>1205.0597472061966</v>
      </c>
      <c r="D77" s="350">
        <f t="shared" si="3"/>
        <v>8.0450000000000188E-2</v>
      </c>
      <c r="E77" s="359" cm="1">
        <f t="array" ref="E77">1000*SUM('DRE + DCF'!$L$36/M77,'DRE + DCF'!$N$36:$V$36/N77:V77,F77/V77)/Dashboard!$F$11</f>
        <v>1302.0497472061966</v>
      </c>
      <c r="F77" s="359">
        <f t="shared" si="1"/>
        <v>142545095.77436113</v>
      </c>
      <c r="G77" s="359">
        <f>'DRE + DCF'!$W$31</f>
        <v>2791623.3540418856</v>
      </c>
      <c r="H77" s="359">
        <f>'DRE + DCF'!$W$32</f>
        <v>81081.931703745853</v>
      </c>
      <c r="I77" s="359">
        <f>-H77*('DRE + DCF'!$V$33+K77)/'DRE + DCF'!$V$33</f>
        <v>-90858.801614444121</v>
      </c>
      <c r="J77" s="359">
        <f>-'DRE + DCF'!$V$56*L77</f>
        <v>-1188924.4255577971</v>
      </c>
      <c r="K77" s="360">
        <f>(1+L77)/(1+Ke!$O$12)-1</f>
        <v>2.0000000000000018E-2</v>
      </c>
      <c r="L77" s="360">
        <f>'DRE + DCF'!$Y$31</f>
        <v>7.3550000000000004E-2</v>
      </c>
      <c r="M77" s="361">
        <f>(1+D77)^((5-Dashboard!$F$9)*3/12)</f>
        <v>1.0597501955402122</v>
      </c>
      <c r="N77" s="361">
        <f t="shared" ref="N77:V77" si="66">M77*(1+$D77)</f>
        <v>1.1450070987714225</v>
      </c>
      <c r="O77" s="361">
        <f t="shared" si="66"/>
        <v>1.2371229198675835</v>
      </c>
      <c r="P77" s="361">
        <f t="shared" si="66"/>
        <v>1.3366494587709308</v>
      </c>
      <c r="Q77" s="361">
        <f t="shared" si="66"/>
        <v>1.4441829077290524</v>
      </c>
      <c r="R77" s="361">
        <f t="shared" si="66"/>
        <v>1.5603674226558548</v>
      </c>
      <c r="S77" s="361">
        <f t="shared" si="66"/>
        <v>1.6858989818085186</v>
      </c>
      <c r="T77" s="361">
        <f t="shared" si="66"/>
        <v>1.8215295548950141</v>
      </c>
      <c r="U77" s="361">
        <f t="shared" si="66"/>
        <v>1.9680716075863183</v>
      </c>
      <c r="V77" s="362">
        <f t="shared" si="66"/>
        <v>2.1264029684166377</v>
      </c>
      <c r="X77" s="351"/>
    </row>
    <row r="78" spans="3:24" ht="24.75" customHeight="1" x14ac:dyDescent="0.3">
      <c r="C78" s="353">
        <f>ABS(E78-Dashboard!$F$14)</f>
        <v>1188.893190256447</v>
      </c>
      <c r="D78" s="350">
        <f t="shared" si="3"/>
        <v>8.0550000000000191E-2</v>
      </c>
      <c r="E78" s="359" cm="1">
        <f t="array" ref="E78">1000*SUM('DRE + DCF'!$L$36/M78,'DRE + DCF'!$N$36:$V$36/N78:V78,F78/V78)/Dashboard!$F$11</f>
        <v>1285.8831902564471</v>
      </c>
      <c r="F78" s="359">
        <f t="shared" ref="F78:F141" si="67">AVERAGE(SUM(G78:J78)*(1+L78)/(D78-L78),G78*(1+L78)*(1-L78/D78)/(D78-L78))</f>
        <v>140751701.38549685</v>
      </c>
      <c r="G78" s="359">
        <f>'DRE + DCF'!$W$31</f>
        <v>2791623.3540418856</v>
      </c>
      <c r="H78" s="359">
        <f>'DRE + DCF'!$W$32</f>
        <v>81081.931703745853</v>
      </c>
      <c r="I78" s="359">
        <f>-H78*('DRE + DCF'!$V$33+K78)/'DRE + DCF'!$V$33</f>
        <v>-90858.801614444121</v>
      </c>
      <c r="J78" s="359">
        <f>-'DRE + DCF'!$V$56*L78</f>
        <v>-1188924.4255577971</v>
      </c>
      <c r="K78" s="360">
        <f>(1+L78)/(1+Ke!$O$12)-1</f>
        <v>2.0000000000000018E-2</v>
      </c>
      <c r="L78" s="360">
        <f>'DRE + DCF'!$Y$31</f>
        <v>7.3550000000000004E-2</v>
      </c>
      <c r="M78" s="361">
        <f>(1+D78)^((5-Dashboard!$F$9)*3/12)</f>
        <v>1.0598237578014571</v>
      </c>
      <c r="N78" s="361">
        <f t="shared" ref="N78:V78" si="68">M78*(1+$D78)</f>
        <v>1.1451925614923646</v>
      </c>
      <c r="O78" s="361">
        <f t="shared" si="68"/>
        <v>1.2374378223205746</v>
      </c>
      <c r="P78" s="361">
        <f t="shared" si="68"/>
        <v>1.3371134389084971</v>
      </c>
      <c r="Q78" s="361">
        <f t="shared" si="68"/>
        <v>1.4448179264125767</v>
      </c>
      <c r="R78" s="361">
        <f t="shared" si="68"/>
        <v>1.56119801038511</v>
      </c>
      <c r="S78" s="361">
        <f t="shared" si="68"/>
        <v>1.6869525101216307</v>
      </c>
      <c r="T78" s="361">
        <f t="shared" si="68"/>
        <v>1.8228365348119282</v>
      </c>
      <c r="U78" s="361">
        <f t="shared" si="68"/>
        <v>1.9696660176910292</v>
      </c>
      <c r="V78" s="362">
        <f t="shared" si="68"/>
        <v>2.128322615416042</v>
      </c>
      <c r="X78" s="351"/>
    </row>
    <row r="79" spans="3:24" ht="24.75" customHeight="1" x14ac:dyDescent="0.3">
      <c r="C79" s="353">
        <f>ABS(E79-Dashboard!$F$14)</f>
        <v>1173.1729229805144</v>
      </c>
      <c r="D79" s="350">
        <f t="shared" ref="D79:D142" si="69">D78+0.0001</f>
        <v>8.0650000000000194E-2</v>
      </c>
      <c r="E79" s="359" cm="1">
        <f t="array" ref="E79">1000*SUM('DRE + DCF'!$L$36/M79,'DRE + DCF'!$N$36:$V$36/N79:V79,F79/V79)/Dashboard!$F$11</f>
        <v>1270.1629229805144</v>
      </c>
      <c r="F79" s="359">
        <f t="shared" si="67"/>
        <v>139008231.11968434</v>
      </c>
      <c r="G79" s="359">
        <f>'DRE + DCF'!$W$31</f>
        <v>2791623.3540418856</v>
      </c>
      <c r="H79" s="359">
        <f>'DRE + DCF'!$W$32</f>
        <v>81081.931703745853</v>
      </c>
      <c r="I79" s="359">
        <f>-H79*('DRE + DCF'!$V$33+K79)/'DRE + DCF'!$V$33</f>
        <v>-90858.801614444121</v>
      </c>
      <c r="J79" s="359">
        <f>-'DRE + DCF'!$V$56*L79</f>
        <v>-1188924.4255577971</v>
      </c>
      <c r="K79" s="360">
        <f>(1+L79)/(1+Ke!$O$12)-1</f>
        <v>2.0000000000000018E-2</v>
      </c>
      <c r="L79" s="360">
        <f>'DRE + DCF'!$Y$31</f>
        <v>7.3550000000000004E-2</v>
      </c>
      <c r="M79" s="361">
        <f>(1+D79)^((5-Dashboard!$F$9)*3/12)</f>
        <v>1.0598973183607583</v>
      </c>
      <c r="N79" s="361">
        <f t="shared" ref="N79:V79" si="70">M79*(1+$D79)</f>
        <v>1.1453780370865536</v>
      </c>
      <c r="O79" s="361">
        <f t="shared" si="70"/>
        <v>1.2377527757775844</v>
      </c>
      <c r="P79" s="361">
        <f t="shared" si="70"/>
        <v>1.3375775371440466</v>
      </c>
      <c r="Q79" s="361">
        <f t="shared" si="70"/>
        <v>1.445453165514714</v>
      </c>
      <c r="R79" s="361">
        <f t="shared" si="70"/>
        <v>1.5620289633134758</v>
      </c>
      <c r="S79" s="361">
        <f t="shared" si="70"/>
        <v>1.6880065992047077</v>
      </c>
      <c r="T79" s="361">
        <f t="shared" si="70"/>
        <v>1.8241443314305676</v>
      </c>
      <c r="U79" s="361">
        <f t="shared" si="70"/>
        <v>1.9712615717604431</v>
      </c>
      <c r="V79" s="362">
        <f t="shared" si="70"/>
        <v>2.1302438175229232</v>
      </c>
      <c r="X79" s="351"/>
    </row>
    <row r="80" spans="3:24" ht="24.75" customHeight="1" x14ac:dyDescent="0.3">
      <c r="C80" s="353">
        <f>ABS(E80-Dashboard!$F$14)</f>
        <v>1157.8803873802901</v>
      </c>
      <c r="D80" s="350">
        <f t="shared" si="69"/>
        <v>8.0750000000000197E-2</v>
      </c>
      <c r="E80" s="359" cm="1">
        <f t="array" ref="E80">1000*SUM('DRE + DCF'!$L$36/M80,'DRE + DCF'!$N$36:$V$36/N80:V80,F80/V80)/Dashboard!$F$11</f>
        <v>1254.8703873802901</v>
      </c>
      <c r="F80" s="359">
        <f t="shared" si="67"/>
        <v>137312606.98139611</v>
      </c>
      <c r="G80" s="359">
        <f>'DRE + DCF'!$W$31</f>
        <v>2791623.3540418856</v>
      </c>
      <c r="H80" s="359">
        <f>'DRE + DCF'!$W$32</f>
        <v>81081.931703745853</v>
      </c>
      <c r="I80" s="359">
        <f>-H80*('DRE + DCF'!$V$33+K80)/'DRE + DCF'!$V$33</f>
        <v>-90858.801614444121</v>
      </c>
      <c r="J80" s="359">
        <f>-'DRE + DCF'!$V$56*L80</f>
        <v>-1188924.4255577971</v>
      </c>
      <c r="K80" s="360">
        <f>(1+L80)/(1+Ke!$O$12)-1</f>
        <v>2.0000000000000018E-2</v>
      </c>
      <c r="L80" s="360">
        <f>'DRE + DCF'!$Y$31</f>
        <v>7.3550000000000004E-2</v>
      </c>
      <c r="M80" s="361">
        <f>(1+D80)^((5-Dashboard!$F$9)*3/12)</f>
        <v>1.0599708772183127</v>
      </c>
      <c r="N80" s="361">
        <f t="shared" ref="N80:V80" si="71">M80*(1+$D80)</f>
        <v>1.1455635255536916</v>
      </c>
      <c r="O80" s="361">
        <f t="shared" si="71"/>
        <v>1.2380677802421522</v>
      </c>
      <c r="P80" s="361">
        <f t="shared" si="71"/>
        <v>1.3380417534967062</v>
      </c>
      <c r="Q80" s="361">
        <f t="shared" si="71"/>
        <v>1.4460886250915654</v>
      </c>
      <c r="R80" s="361">
        <f t="shared" si="71"/>
        <v>1.5628602815677095</v>
      </c>
      <c r="S80" s="361">
        <f t="shared" si="71"/>
        <v>1.6890612493043022</v>
      </c>
      <c r="T80" s="361">
        <f t="shared" si="71"/>
        <v>1.8254529451856247</v>
      </c>
      <c r="U80" s="361">
        <f t="shared" si="71"/>
        <v>1.972858270509364</v>
      </c>
      <c r="V80" s="362">
        <f t="shared" si="71"/>
        <v>2.1321665758529953</v>
      </c>
      <c r="X80" s="351"/>
    </row>
    <row r="81" spans="3:24" ht="24.75" customHeight="1" x14ac:dyDescent="0.3">
      <c r="C81" s="353">
        <f>ABS(E81-Dashboard!$F$14)</f>
        <v>1142.9980421463686</v>
      </c>
      <c r="D81" s="350">
        <f t="shared" si="69"/>
        <v>8.0850000000000199E-2</v>
      </c>
      <c r="E81" s="359" cm="1">
        <f t="array" ref="E81">1000*SUM('DRE + DCF'!$L$36/M81,'DRE + DCF'!$N$36:$V$36/N81:V81,F81/V81)/Dashboard!$F$11</f>
        <v>1239.9880421463686</v>
      </c>
      <c r="F81" s="359">
        <f t="shared" si="67"/>
        <v>135662864.82725385</v>
      </c>
      <c r="G81" s="359">
        <f>'DRE + DCF'!$W$31</f>
        <v>2791623.3540418856</v>
      </c>
      <c r="H81" s="359">
        <f>'DRE + DCF'!$W$32</f>
        <v>81081.931703745853</v>
      </c>
      <c r="I81" s="359">
        <f>-H81*('DRE + DCF'!$V$33+K81)/'DRE + DCF'!$V$33</f>
        <v>-90858.801614444121</v>
      </c>
      <c r="J81" s="359">
        <f>-'DRE + DCF'!$V$56*L81</f>
        <v>-1188924.4255577971</v>
      </c>
      <c r="K81" s="360">
        <f>(1+L81)/(1+Ke!$O$12)-1</f>
        <v>2.0000000000000018E-2</v>
      </c>
      <c r="L81" s="360">
        <f>'DRE + DCF'!$Y$31</f>
        <v>7.3550000000000004E-2</v>
      </c>
      <c r="M81" s="361">
        <f>(1+D81)^((5-Dashboard!$F$9)*3/12)</f>
        <v>1.0600444343743172</v>
      </c>
      <c r="N81" s="361">
        <f t="shared" ref="N81:V81" si="72">M81*(1+$D81)</f>
        <v>1.1457490268934811</v>
      </c>
      <c r="O81" s="361">
        <f t="shared" si="72"/>
        <v>1.2383828357178195</v>
      </c>
      <c r="P81" s="361">
        <f t="shared" si="72"/>
        <v>1.3385060879856057</v>
      </c>
      <c r="Q81" s="361">
        <f t="shared" si="72"/>
        <v>1.4467243051992422</v>
      </c>
      <c r="R81" s="361">
        <f t="shared" si="72"/>
        <v>1.5636919652746013</v>
      </c>
      <c r="S81" s="361">
        <f t="shared" si="72"/>
        <v>1.6901164606670533</v>
      </c>
      <c r="T81" s="361">
        <f t="shared" si="72"/>
        <v>1.8267623765119851</v>
      </c>
      <c r="U81" s="361">
        <f t="shared" si="72"/>
        <v>1.9744561146529798</v>
      </c>
      <c r="V81" s="362">
        <f t="shared" si="72"/>
        <v>2.1340908915226739</v>
      </c>
      <c r="X81" s="351"/>
    </row>
    <row r="82" spans="3:24" ht="24.75" customHeight="1" x14ac:dyDescent="0.3">
      <c r="C82" s="353">
        <f>ABS(E82-Dashboard!$F$14)</f>
        <v>1128.5092939640274</v>
      </c>
      <c r="D82" s="350">
        <f t="shared" si="69"/>
        <v>8.0950000000000202E-2</v>
      </c>
      <c r="E82" s="359" cm="1">
        <f t="array" ref="E82">1000*SUM('DRE + DCF'!$L$36/M82,'DRE + DCF'!$N$36:$V$36/N82:V82,F82/V82)/Dashboard!$F$11</f>
        <v>1225.4992939640274</v>
      </c>
      <c r="F82" s="359">
        <f t="shared" si="67"/>
        <v>134057146.67338032</v>
      </c>
      <c r="G82" s="359">
        <f>'DRE + DCF'!$W$31</f>
        <v>2791623.3540418856</v>
      </c>
      <c r="H82" s="359">
        <f>'DRE + DCF'!$W$32</f>
        <v>81081.931703745853</v>
      </c>
      <c r="I82" s="359">
        <f>-H82*('DRE + DCF'!$V$33+K82)/'DRE + DCF'!$V$33</f>
        <v>-90858.801614444121</v>
      </c>
      <c r="J82" s="359">
        <f>-'DRE + DCF'!$V$56*L82</f>
        <v>-1188924.4255577971</v>
      </c>
      <c r="K82" s="360">
        <f>(1+L82)/(1+Ke!$O$12)-1</f>
        <v>2.0000000000000018E-2</v>
      </c>
      <c r="L82" s="360">
        <f>'DRE + DCF'!$Y$31</f>
        <v>7.3550000000000004E-2</v>
      </c>
      <c r="M82" s="361">
        <f>(1+D82)^((5-Dashboard!$F$9)*3/12)</f>
        <v>1.0601179898289683</v>
      </c>
      <c r="N82" s="361">
        <f t="shared" ref="N82:V82" si="73">M82*(1+$D82)</f>
        <v>1.1459345411056236</v>
      </c>
      <c r="O82" s="361">
        <f t="shared" si="73"/>
        <v>1.2386979422081241</v>
      </c>
      <c r="P82" s="361">
        <f t="shared" si="73"/>
        <v>1.3389705406298722</v>
      </c>
      <c r="Q82" s="361">
        <f t="shared" si="73"/>
        <v>1.4473602058938608</v>
      </c>
      <c r="R82" s="361">
        <f t="shared" si="73"/>
        <v>1.5645240145609693</v>
      </c>
      <c r="S82" s="361">
        <f t="shared" si="73"/>
        <v>1.6911722335396804</v>
      </c>
      <c r="T82" s="361">
        <f t="shared" si="73"/>
        <v>1.828072625844718</v>
      </c>
      <c r="U82" s="361">
        <f t="shared" si="73"/>
        <v>1.9760551049068484</v>
      </c>
      <c r="V82" s="362">
        <f t="shared" si="73"/>
        <v>2.1360167656490585</v>
      </c>
      <c r="X82" s="351"/>
    </row>
    <row r="83" spans="3:24" ht="24.75" customHeight="1" x14ac:dyDescent="0.3">
      <c r="C83" s="353">
        <f>ABS(E83-Dashboard!$F$14)</f>
        <v>1114.398434314696</v>
      </c>
      <c r="D83" s="350">
        <f t="shared" si="69"/>
        <v>8.1050000000000205E-2</v>
      </c>
      <c r="E83" s="359" cm="1">
        <f t="array" ref="E83">1000*SUM('DRE + DCF'!$L$36/M83,'DRE + DCF'!$N$36:$V$36/N83:V83,F83/V83)/Dashboard!$F$11</f>
        <v>1211.388434314696</v>
      </c>
      <c r="F83" s="359">
        <f t="shared" si="67"/>
        <v>132493693.61816269</v>
      </c>
      <c r="G83" s="359">
        <f>'DRE + DCF'!$W$31</f>
        <v>2791623.3540418856</v>
      </c>
      <c r="H83" s="359">
        <f>'DRE + DCF'!$W$32</f>
        <v>81081.931703745853</v>
      </c>
      <c r="I83" s="359">
        <f>-H83*('DRE + DCF'!$V$33+K83)/'DRE + DCF'!$V$33</f>
        <v>-90858.801614444121</v>
      </c>
      <c r="J83" s="359">
        <f>-'DRE + DCF'!$V$56*L83</f>
        <v>-1188924.4255577971</v>
      </c>
      <c r="K83" s="360">
        <f>(1+L83)/(1+Ke!$O$12)-1</f>
        <v>2.0000000000000018E-2</v>
      </c>
      <c r="L83" s="360">
        <f>'DRE + DCF'!$Y$31</f>
        <v>7.3550000000000004E-2</v>
      </c>
      <c r="M83" s="361">
        <f>(1+D83)^((5-Dashboard!$F$9)*3/12)</f>
        <v>1.0601915435824629</v>
      </c>
      <c r="N83" s="361">
        <f t="shared" ref="N83:V83" si="74">M83*(1+$D83)</f>
        <v>1.1461200681898218</v>
      </c>
      <c r="O83" s="361">
        <f t="shared" si="74"/>
        <v>1.2390130997166071</v>
      </c>
      <c r="P83" s="361">
        <f t="shared" si="74"/>
        <v>1.3394351114486385</v>
      </c>
      <c r="Q83" s="361">
        <f t="shared" si="74"/>
        <v>1.447996327231551</v>
      </c>
      <c r="R83" s="361">
        <f t="shared" si="74"/>
        <v>1.5653564295536686</v>
      </c>
      <c r="S83" s="361">
        <f t="shared" si="74"/>
        <v>1.6922285681689939</v>
      </c>
      <c r="T83" s="361">
        <f t="shared" si="74"/>
        <v>1.8293836936190913</v>
      </c>
      <c r="U83" s="361">
        <f t="shared" si="74"/>
        <v>1.9776552419869191</v>
      </c>
      <c r="V83" s="362">
        <f t="shared" si="74"/>
        <v>2.1379441993499593</v>
      </c>
      <c r="X83" s="351"/>
    </row>
    <row r="84" spans="3:24" ht="24.75" customHeight="1" x14ac:dyDescent="0.3">
      <c r="C84" s="353">
        <f>ABS(E84-Dashboard!$F$14)</f>
        <v>1100.6505812667972</v>
      </c>
      <c r="D84" s="350">
        <f t="shared" si="69"/>
        <v>8.1150000000000208E-2</v>
      </c>
      <c r="E84" s="359" cm="1">
        <f t="array" ref="E84">1000*SUM('DRE + DCF'!$L$36/M84,'DRE + DCF'!$N$36:$V$36/N84:V84,F84/V84)/Dashboard!$F$11</f>
        <v>1197.6405812667972</v>
      </c>
      <c r="F84" s="359">
        <f t="shared" si="67"/>
        <v>130970839.32374468</v>
      </c>
      <c r="G84" s="359">
        <f>'DRE + DCF'!$W$31</f>
        <v>2791623.3540418856</v>
      </c>
      <c r="H84" s="359">
        <f>'DRE + DCF'!$W$32</f>
        <v>81081.931703745853</v>
      </c>
      <c r="I84" s="359">
        <f>-H84*('DRE + DCF'!$V$33+K84)/'DRE + DCF'!$V$33</f>
        <v>-90858.801614444121</v>
      </c>
      <c r="J84" s="359">
        <f>-'DRE + DCF'!$V$56*L84</f>
        <v>-1188924.4255577971</v>
      </c>
      <c r="K84" s="360">
        <f>(1+L84)/(1+Ke!$O$12)-1</f>
        <v>2.0000000000000018E-2</v>
      </c>
      <c r="L84" s="360">
        <f>'DRE + DCF'!$Y$31</f>
        <v>7.3550000000000004E-2</v>
      </c>
      <c r="M84" s="361">
        <f>(1+D84)^((5-Dashboard!$F$9)*3/12)</f>
        <v>1.0602650956349979</v>
      </c>
      <c r="N84" s="361">
        <f t="shared" ref="N84:V84" si="75">M84*(1+$D84)</f>
        <v>1.1463056081457783</v>
      </c>
      <c r="O84" s="361">
        <f t="shared" si="75"/>
        <v>1.2393283082468085</v>
      </c>
      <c r="P84" s="361">
        <f t="shared" si="75"/>
        <v>1.3398998004610374</v>
      </c>
      <c r="Q84" s="361">
        <f t="shared" si="75"/>
        <v>1.448632669268451</v>
      </c>
      <c r="R84" s="361">
        <f t="shared" si="75"/>
        <v>1.5661892103795862</v>
      </c>
      <c r="S84" s="361">
        <f t="shared" si="75"/>
        <v>1.69328546480189</v>
      </c>
      <c r="T84" s="361">
        <f t="shared" si="75"/>
        <v>1.8306955802705638</v>
      </c>
      <c r="U84" s="361">
        <f t="shared" si="75"/>
        <v>1.9792565266095206</v>
      </c>
      <c r="V84" s="362">
        <f t="shared" si="75"/>
        <v>2.1398731937438837</v>
      </c>
      <c r="X84" s="351"/>
    </row>
    <row r="85" spans="3:24" ht="24.75" customHeight="1" x14ac:dyDescent="0.3">
      <c r="C85" s="353">
        <f>ABS(E85-Dashboard!$F$14)</f>
        <v>1087.2516258023491</v>
      </c>
      <c r="D85" s="350">
        <f t="shared" si="69"/>
        <v>8.1250000000000211E-2</v>
      </c>
      <c r="E85" s="359" cm="1">
        <f t="array" ref="E85">1000*SUM('DRE + DCF'!$L$36/M85,'DRE + DCF'!$N$36:$V$36/N85:V85,F85/V85)/Dashboard!$F$11</f>
        <v>1184.2416258023491</v>
      </c>
      <c r="F85" s="359">
        <f t="shared" si="67"/>
        <v>129487004.00545366</v>
      </c>
      <c r="G85" s="359">
        <f>'DRE + DCF'!$W$31</f>
        <v>2791623.3540418856</v>
      </c>
      <c r="H85" s="359">
        <f>'DRE + DCF'!$W$32</f>
        <v>81081.931703745853</v>
      </c>
      <c r="I85" s="359">
        <f>-H85*('DRE + DCF'!$V$33+K85)/'DRE + DCF'!$V$33</f>
        <v>-90858.801614444121</v>
      </c>
      <c r="J85" s="359">
        <f>-'DRE + DCF'!$V$56*L85</f>
        <v>-1188924.4255577971</v>
      </c>
      <c r="K85" s="360">
        <f>(1+L85)/(1+Ke!$O$12)-1</f>
        <v>2.0000000000000018E-2</v>
      </c>
      <c r="L85" s="360">
        <f>'DRE + DCF'!$Y$31</f>
        <v>7.3550000000000004E-2</v>
      </c>
      <c r="M85" s="361">
        <f>(1+D85)^((5-Dashboard!$F$9)*3/12)</f>
        <v>1.0603386459867696</v>
      </c>
      <c r="N85" s="361">
        <f t="shared" ref="N85:V85" si="76">M85*(1+$D85)</f>
        <v>1.1464911609731949</v>
      </c>
      <c r="O85" s="361">
        <f t="shared" si="76"/>
        <v>1.2396435678022673</v>
      </c>
      <c r="P85" s="361">
        <f t="shared" si="76"/>
        <v>1.3403646076862017</v>
      </c>
      <c r="Q85" s="361">
        <f t="shared" si="76"/>
        <v>1.4492692320607059</v>
      </c>
      <c r="R85" s="361">
        <f t="shared" si="76"/>
        <v>1.5670223571656385</v>
      </c>
      <c r="S85" s="361">
        <f t="shared" si="76"/>
        <v>1.6943429236853471</v>
      </c>
      <c r="T85" s="361">
        <f t="shared" si="76"/>
        <v>1.832008286234782</v>
      </c>
      <c r="U85" s="361">
        <f t="shared" si="76"/>
        <v>1.9808589594913584</v>
      </c>
      <c r="V85" s="362">
        <f t="shared" si="76"/>
        <v>2.1418037499500318</v>
      </c>
      <c r="X85" s="351"/>
    </row>
    <row r="86" spans="3:24" ht="24.75" customHeight="1" x14ac:dyDescent="0.3">
      <c r="C86" s="353">
        <f>ABS(E86-Dashboard!$F$14)</f>
        <v>1074.1881822722812</v>
      </c>
      <c r="D86" s="350">
        <f t="shared" si="69"/>
        <v>8.1350000000000214E-2</v>
      </c>
      <c r="E86" s="359" cm="1">
        <f t="array" ref="E86">1000*SUM('DRE + DCF'!$L$36/M86,'DRE + DCF'!$N$36:$V$36/N86:V86,F86/V86)/Dashboard!$F$11</f>
        <v>1171.1781822722812</v>
      </c>
      <c r="F86" s="359">
        <f t="shared" si="67"/>
        <v>128040688.88357936</v>
      </c>
      <c r="G86" s="359">
        <f>'DRE + DCF'!$W$31</f>
        <v>2791623.3540418856</v>
      </c>
      <c r="H86" s="359">
        <f>'DRE + DCF'!$W$32</f>
        <v>81081.931703745853</v>
      </c>
      <c r="I86" s="359">
        <f>-H86*('DRE + DCF'!$V$33+K86)/'DRE + DCF'!$V$33</f>
        <v>-90858.801614444121</v>
      </c>
      <c r="J86" s="359">
        <f>-'DRE + DCF'!$V$56*L86</f>
        <v>-1188924.4255577971</v>
      </c>
      <c r="K86" s="360">
        <f>(1+L86)/(1+Ke!$O$12)-1</f>
        <v>2.0000000000000018E-2</v>
      </c>
      <c r="L86" s="360">
        <f>'DRE + DCF'!$Y$31</f>
        <v>7.3550000000000004E-2</v>
      </c>
      <c r="M86" s="361">
        <f>(1+D86)^((5-Dashboard!$F$9)*3/12)</f>
        <v>1.060412194637975</v>
      </c>
      <c r="N86" s="361">
        <f t="shared" ref="N86:V86" si="77">M86*(1+$D86)</f>
        <v>1.1466767266717746</v>
      </c>
      <c r="O86" s="361">
        <f t="shared" si="77"/>
        <v>1.2399588783865236</v>
      </c>
      <c r="P86" s="361">
        <f t="shared" si="77"/>
        <v>1.3408295331432676</v>
      </c>
      <c r="Q86" s="361">
        <f t="shared" si="77"/>
        <v>1.4499060156644727</v>
      </c>
      <c r="R86" s="361">
        <f t="shared" si="77"/>
        <v>1.5678558700387779</v>
      </c>
      <c r="S86" s="361">
        <f t="shared" si="77"/>
        <v>1.6954009450664329</v>
      </c>
      <c r="T86" s="361">
        <f t="shared" si="77"/>
        <v>1.8333218119475876</v>
      </c>
      <c r="U86" s="361">
        <f t="shared" si="77"/>
        <v>1.9824625413495243</v>
      </c>
      <c r="V86" s="362">
        <f t="shared" si="77"/>
        <v>2.1437358690883084</v>
      </c>
      <c r="X86" s="351"/>
    </row>
    <row r="87" spans="3:24" ht="24.75" customHeight="1" x14ac:dyDescent="0.3">
      <c r="C87" s="353">
        <f>ABS(E87-Dashboard!$F$14)</f>
        <v>1061.4475426146339</v>
      </c>
      <c r="D87" s="350">
        <f t="shared" si="69"/>
        <v>8.1450000000000217E-2</v>
      </c>
      <c r="E87" s="359" cm="1">
        <f t="array" ref="E87">1000*SUM('DRE + DCF'!$L$36/M87,'DRE + DCF'!$N$36:$V$36/N87:V87,F87/V87)/Dashboard!$F$11</f>
        <v>1158.4375426146339</v>
      </c>
      <c r="F87" s="359">
        <f t="shared" si="67"/>
        <v>126630471.05653581</v>
      </c>
      <c r="G87" s="359">
        <f>'DRE + DCF'!$W$31</f>
        <v>2791623.3540418856</v>
      </c>
      <c r="H87" s="359">
        <f>'DRE + DCF'!$W$32</f>
        <v>81081.931703745853</v>
      </c>
      <c r="I87" s="359">
        <f>-H87*('DRE + DCF'!$V$33+K87)/'DRE + DCF'!$V$33</f>
        <v>-90858.801614444121</v>
      </c>
      <c r="J87" s="359">
        <f>-'DRE + DCF'!$V$56*L87</f>
        <v>-1188924.4255577971</v>
      </c>
      <c r="K87" s="360">
        <f>(1+L87)/(1+Ke!$O$12)-1</f>
        <v>2.0000000000000018E-2</v>
      </c>
      <c r="L87" s="360">
        <f>'DRE + DCF'!$Y$31</f>
        <v>7.3550000000000004E-2</v>
      </c>
      <c r="M87" s="361">
        <f>(1+D87)^((5-Dashboard!$F$9)*3/12)</f>
        <v>1.0604857415888103</v>
      </c>
      <c r="N87" s="361">
        <f t="shared" ref="N87:V87" si="78">M87*(1+$D87)</f>
        <v>1.146862305241219</v>
      </c>
      <c r="O87" s="361">
        <f t="shared" si="78"/>
        <v>1.2402742400031166</v>
      </c>
      <c r="P87" s="361">
        <f t="shared" si="78"/>
        <v>1.3412945768513707</v>
      </c>
      <c r="Q87" s="361">
        <f t="shared" si="78"/>
        <v>1.4505430201359151</v>
      </c>
      <c r="R87" s="361">
        <f t="shared" si="78"/>
        <v>1.5686897491259857</v>
      </c>
      <c r="S87" s="361">
        <f t="shared" si="78"/>
        <v>1.6964595291922977</v>
      </c>
      <c r="T87" s="361">
        <f t="shared" si="78"/>
        <v>1.8346361578450108</v>
      </c>
      <c r="U87" s="361">
        <f t="shared" si="78"/>
        <v>1.9840672729014874</v>
      </c>
      <c r="V87" s="362">
        <f t="shared" si="78"/>
        <v>2.1456695522793141</v>
      </c>
      <c r="X87" s="351"/>
    </row>
    <row r="88" spans="3:24" ht="24.75" customHeight="1" x14ac:dyDescent="0.3">
      <c r="C88" s="353">
        <f>ABS(E88-Dashboard!$F$14)</f>
        <v>1049.0176340063829</v>
      </c>
      <c r="D88" s="350">
        <f t="shared" si="69"/>
        <v>8.155000000000022E-2</v>
      </c>
      <c r="E88" s="359" cm="1">
        <f t="array" ref="E88">1000*SUM('DRE + DCF'!$L$36/M88,'DRE + DCF'!$N$36:$V$36/N88:V88,F88/V88)/Dashboard!$F$11</f>
        <v>1146.0076340063829</v>
      </c>
      <c r="F88" s="359">
        <f t="shared" si="67"/>
        <v>125254998.75853603</v>
      </c>
      <c r="G88" s="359">
        <f>'DRE + DCF'!$W$31</f>
        <v>2791623.3540418856</v>
      </c>
      <c r="H88" s="359">
        <f>'DRE + DCF'!$W$32</f>
        <v>81081.931703745853</v>
      </c>
      <c r="I88" s="359">
        <f>-H88*('DRE + DCF'!$V$33+K88)/'DRE + DCF'!$V$33</f>
        <v>-90858.801614444121</v>
      </c>
      <c r="J88" s="359">
        <f>-'DRE + DCF'!$V$56*L88</f>
        <v>-1188924.4255577971</v>
      </c>
      <c r="K88" s="360">
        <f>(1+L88)/(1+Ke!$O$12)-1</f>
        <v>2.0000000000000018E-2</v>
      </c>
      <c r="L88" s="360">
        <f>'DRE + DCF'!$Y$31</f>
        <v>7.3550000000000004E-2</v>
      </c>
      <c r="M88" s="361">
        <f>(1+D88)^((5-Dashboard!$F$9)*3/12)</f>
        <v>1.060559286839472</v>
      </c>
      <c r="N88" s="361">
        <f t="shared" ref="N88:V88" si="79">M88*(1+$D88)</f>
        <v>1.1470478966812312</v>
      </c>
      <c r="O88" s="361">
        <f t="shared" si="79"/>
        <v>1.240589652655586</v>
      </c>
      <c r="P88" s="361">
        <f t="shared" si="79"/>
        <v>1.3417597388296494</v>
      </c>
      <c r="Q88" s="361">
        <f t="shared" si="79"/>
        <v>1.4511802455312075</v>
      </c>
      <c r="R88" s="361">
        <f t="shared" si="79"/>
        <v>1.5695239945542778</v>
      </c>
      <c r="S88" s="361">
        <f t="shared" si="79"/>
        <v>1.6975186763101795</v>
      </c>
      <c r="T88" s="361">
        <f t="shared" si="79"/>
        <v>1.835951324363275</v>
      </c>
      <c r="U88" s="361">
        <f t="shared" si="79"/>
        <v>1.9856731548651005</v>
      </c>
      <c r="V88" s="362">
        <f t="shared" si="79"/>
        <v>2.1476048006443498</v>
      </c>
      <c r="X88" s="351"/>
    </row>
    <row r="89" spans="3:24" ht="24.75" customHeight="1" x14ac:dyDescent="0.3">
      <c r="C89" s="353">
        <f>ABS(E89-Dashboard!$F$14)</f>
        <v>1036.8869796521581</v>
      </c>
      <c r="D89" s="350">
        <f t="shared" si="69"/>
        <v>8.1650000000000222E-2</v>
      </c>
      <c r="E89" s="359" cm="1">
        <f t="array" ref="E89">1000*SUM('DRE + DCF'!$L$36/M89,'DRE + DCF'!$N$36:$V$36/N89:V89,F89/V89)/Dashboard!$F$11</f>
        <v>1133.8769796521581</v>
      </c>
      <c r="F89" s="359">
        <f t="shared" si="67"/>
        <v>123912986.96854924</v>
      </c>
      <c r="G89" s="359">
        <f>'DRE + DCF'!$W$31</f>
        <v>2791623.3540418856</v>
      </c>
      <c r="H89" s="359">
        <f>'DRE + DCF'!$W$32</f>
        <v>81081.931703745853</v>
      </c>
      <c r="I89" s="359">
        <f>-H89*('DRE + DCF'!$V$33+K89)/'DRE + DCF'!$V$33</f>
        <v>-90858.801614444121</v>
      </c>
      <c r="J89" s="359">
        <f>-'DRE + DCF'!$V$56*L89</f>
        <v>-1188924.4255577971</v>
      </c>
      <c r="K89" s="360">
        <f>(1+L89)/(1+Ke!$O$12)-1</f>
        <v>2.0000000000000018E-2</v>
      </c>
      <c r="L89" s="360">
        <f>'DRE + DCF'!$Y$31</f>
        <v>7.3550000000000004E-2</v>
      </c>
      <c r="M89" s="361">
        <f>(1+D89)^((5-Dashboard!$F$9)*3/12)</f>
        <v>1.0606328303901571</v>
      </c>
      <c r="N89" s="361">
        <f t="shared" ref="N89:V89" si="80">M89*(1+$D89)</f>
        <v>1.1472335009915136</v>
      </c>
      <c r="O89" s="361">
        <f t="shared" si="80"/>
        <v>1.2409051163474709</v>
      </c>
      <c r="P89" s="361">
        <f t="shared" si="80"/>
        <v>1.3422250190972422</v>
      </c>
      <c r="Q89" s="361">
        <f t="shared" si="80"/>
        <v>1.4518176919065324</v>
      </c>
      <c r="R89" s="361">
        <f t="shared" si="80"/>
        <v>1.5703586064507011</v>
      </c>
      <c r="S89" s="361">
        <f t="shared" si="80"/>
        <v>1.6985783866674011</v>
      </c>
      <c r="T89" s="361">
        <f t="shared" si="80"/>
        <v>1.8372673119387948</v>
      </c>
      <c r="U89" s="361">
        <f t="shared" si="80"/>
        <v>1.9872801879585977</v>
      </c>
      <c r="V89" s="362">
        <f t="shared" si="80"/>
        <v>2.1495416153054179</v>
      </c>
      <c r="X89" s="351"/>
    </row>
    <row r="90" spans="3:24" ht="24.75" customHeight="1" x14ac:dyDescent="0.3">
      <c r="C90" s="353">
        <f>ABS(E90-Dashboard!$F$14)</f>
        <v>1025.0446624420754</v>
      </c>
      <c r="D90" s="350">
        <f t="shared" si="69"/>
        <v>8.1750000000000225E-2</v>
      </c>
      <c r="E90" s="359" cm="1">
        <f t="array" ref="E90">1000*SUM('DRE + DCF'!$L$36/M90,'DRE + DCF'!$N$36:$V$36/N90:V90,F90/V90)/Dashboard!$F$11</f>
        <v>1122.0346624420754</v>
      </c>
      <c r="F90" s="359">
        <f t="shared" si="67"/>
        <v>122603213.34055376</v>
      </c>
      <c r="G90" s="359">
        <f>'DRE + DCF'!$W$31</f>
        <v>2791623.3540418856</v>
      </c>
      <c r="H90" s="359">
        <f>'DRE + DCF'!$W$32</f>
        <v>81081.931703745853</v>
      </c>
      <c r="I90" s="359">
        <f>-H90*('DRE + DCF'!$V$33+K90)/'DRE + DCF'!$V$33</f>
        <v>-90858.801614444121</v>
      </c>
      <c r="J90" s="359">
        <f>-'DRE + DCF'!$V$56*L90</f>
        <v>-1188924.4255577971</v>
      </c>
      <c r="K90" s="360">
        <f>(1+L90)/(1+Ke!$O$12)-1</f>
        <v>2.0000000000000018E-2</v>
      </c>
      <c r="L90" s="360">
        <f>'DRE + DCF'!$Y$31</f>
        <v>7.3550000000000004E-2</v>
      </c>
      <c r="M90" s="361">
        <f>(1+D90)^((5-Dashboard!$F$9)*3/12)</f>
        <v>1.0607063722410617</v>
      </c>
      <c r="N90" s="361">
        <f t="shared" ref="N90:V90" si="81">M90*(1+$D90)</f>
        <v>1.1474191181717688</v>
      </c>
      <c r="O90" s="361">
        <f t="shared" si="81"/>
        <v>1.2412206310823111</v>
      </c>
      <c r="P90" s="361">
        <f t="shared" si="81"/>
        <v>1.3426904176732903</v>
      </c>
      <c r="Q90" s="361">
        <f t="shared" si="81"/>
        <v>1.452455359318082</v>
      </c>
      <c r="R90" s="361">
        <f t="shared" si="81"/>
        <v>1.5711935849423355</v>
      </c>
      <c r="S90" s="361">
        <f t="shared" si="81"/>
        <v>1.6996386605113718</v>
      </c>
      <c r="T90" s="361">
        <f t="shared" si="81"/>
        <v>1.8385841210081768</v>
      </c>
      <c r="U90" s="361">
        <f t="shared" si="81"/>
        <v>1.9888883729005957</v>
      </c>
      <c r="V90" s="362">
        <f t="shared" si="81"/>
        <v>2.1514799973852199</v>
      </c>
      <c r="X90" s="351"/>
    </row>
    <row r="91" spans="3:24" ht="24.75" customHeight="1" x14ac:dyDescent="0.3">
      <c r="C91" s="353">
        <f>ABS(E91-Dashboard!$F$14)</f>
        <v>1013.4802912367045</v>
      </c>
      <c r="D91" s="350">
        <f t="shared" si="69"/>
        <v>8.1850000000000228E-2</v>
      </c>
      <c r="E91" s="359" cm="1">
        <f t="array" ref="E91">1000*SUM('DRE + DCF'!$L$36/M91,'DRE + DCF'!$N$36:$V$36/N91:V91,F91/V91)/Dashboard!$F$11</f>
        <v>1110.4702912367045</v>
      </c>
      <c r="F91" s="359">
        <f t="shared" si="67"/>
        <v>121324514.42798811</v>
      </c>
      <c r="G91" s="359">
        <f>'DRE + DCF'!$W$31</f>
        <v>2791623.3540418856</v>
      </c>
      <c r="H91" s="359">
        <f>'DRE + DCF'!$W$32</f>
        <v>81081.931703745853</v>
      </c>
      <c r="I91" s="359">
        <f>-H91*('DRE + DCF'!$V$33+K91)/'DRE + DCF'!$V$33</f>
        <v>-90858.801614444121</v>
      </c>
      <c r="J91" s="359">
        <f>-'DRE + DCF'!$V$56*L91</f>
        <v>-1188924.4255577971</v>
      </c>
      <c r="K91" s="360">
        <f>(1+L91)/(1+Ke!$O$12)-1</f>
        <v>2.0000000000000018E-2</v>
      </c>
      <c r="L91" s="360">
        <f>'DRE + DCF'!$Y$31</f>
        <v>7.3550000000000004E-2</v>
      </c>
      <c r="M91" s="361">
        <f>(1+D91)^((5-Dashboard!$F$9)*3/12)</f>
        <v>1.0607799123923822</v>
      </c>
      <c r="N91" s="361">
        <f t="shared" ref="N91:V91" si="82">M91*(1+$D91)</f>
        <v>1.1476047482216989</v>
      </c>
      <c r="O91" s="361">
        <f t="shared" si="82"/>
        <v>1.2415361968636451</v>
      </c>
      <c r="P91" s="361">
        <f t="shared" si="82"/>
        <v>1.3431559345769348</v>
      </c>
      <c r="Q91" s="361">
        <f t="shared" si="82"/>
        <v>1.4530932478220573</v>
      </c>
      <c r="R91" s="361">
        <f t="shared" si="82"/>
        <v>1.5720289301562929</v>
      </c>
      <c r="S91" s="361">
        <f t="shared" si="82"/>
        <v>1.7006994980895858</v>
      </c>
      <c r="T91" s="361">
        <f t="shared" si="82"/>
        <v>1.8399017520082186</v>
      </c>
      <c r="U91" s="361">
        <f t="shared" si="82"/>
        <v>1.9904977104100916</v>
      </c>
      <c r="V91" s="362">
        <f t="shared" si="82"/>
        <v>2.1534199480071581</v>
      </c>
      <c r="X91" s="351"/>
    </row>
    <row r="92" spans="3:24" ht="24.75" customHeight="1" x14ac:dyDescent="0.3">
      <c r="C92" s="353">
        <f>ABS(E92-Dashboard!$F$14)</f>
        <v>1002.1839695602459</v>
      </c>
      <c r="D92" s="350">
        <f t="shared" si="69"/>
        <v>8.1950000000000231E-2</v>
      </c>
      <c r="E92" s="359" cm="1">
        <f t="array" ref="E92">1000*SUM('DRE + DCF'!$L$36/M92,'DRE + DCF'!$N$36:$V$36/N92:V92,F92/V92)/Dashboard!$F$11</f>
        <v>1099.173969560246</v>
      </c>
      <c r="F92" s="359">
        <f t="shared" si="67"/>
        <v>120075782.17788361</v>
      </c>
      <c r="G92" s="359">
        <f>'DRE + DCF'!$W$31</f>
        <v>2791623.3540418856</v>
      </c>
      <c r="H92" s="359">
        <f>'DRE + DCF'!$W$32</f>
        <v>81081.931703745853</v>
      </c>
      <c r="I92" s="359">
        <f>-H92*('DRE + DCF'!$V$33+K92)/'DRE + DCF'!$V$33</f>
        <v>-90858.801614444121</v>
      </c>
      <c r="J92" s="359">
        <f>-'DRE + DCF'!$V$56*L92</f>
        <v>-1188924.4255577971</v>
      </c>
      <c r="K92" s="360">
        <f>(1+L92)/(1+Ke!$O$12)-1</f>
        <v>2.0000000000000018E-2</v>
      </c>
      <c r="L92" s="360">
        <f>'DRE + DCF'!$Y$31</f>
        <v>7.3550000000000004E-2</v>
      </c>
      <c r="M92" s="361">
        <f>(1+D92)^((5-Dashboard!$F$9)*3/12)</f>
        <v>1.060853450844315</v>
      </c>
      <c r="N92" s="361">
        <f t="shared" ref="N92:V92" si="83">M92*(1+$D92)</f>
        <v>1.1477903911410068</v>
      </c>
      <c r="O92" s="361">
        <f t="shared" si="83"/>
        <v>1.2418518136950125</v>
      </c>
      <c r="P92" s="361">
        <f t="shared" si="83"/>
        <v>1.3436215698273191</v>
      </c>
      <c r="Q92" s="361">
        <f t="shared" si="83"/>
        <v>1.4537313574746682</v>
      </c>
      <c r="R92" s="361">
        <f t="shared" si="83"/>
        <v>1.5728646422197174</v>
      </c>
      <c r="S92" s="361">
        <f t="shared" si="83"/>
        <v>1.7017608996496236</v>
      </c>
      <c r="T92" s="361">
        <f t="shared" si="83"/>
        <v>1.8412202053759106</v>
      </c>
      <c r="U92" s="361">
        <f t="shared" si="83"/>
        <v>1.9921082012064668</v>
      </c>
      <c r="V92" s="362">
        <f t="shared" si="83"/>
        <v>2.1553614682953373</v>
      </c>
      <c r="X92" s="351"/>
    </row>
    <row r="93" spans="3:24" ht="24.75" customHeight="1" x14ac:dyDescent="0.3">
      <c r="C93" s="353">
        <f>ABS(E93-Dashboard!$F$14)</f>
        <v>991.14626650359583</v>
      </c>
      <c r="D93" s="350">
        <f t="shared" si="69"/>
        <v>8.2050000000000234E-2</v>
      </c>
      <c r="E93" s="359" cm="1">
        <f t="array" ref="E93">1000*SUM('DRE + DCF'!$L$36/M93,'DRE + DCF'!$N$36:$V$36/N93:V93,F93/V93)/Dashboard!$F$11</f>
        <v>1088.1362665035958</v>
      </c>
      <c r="F93" s="359">
        <f t="shared" si="67"/>
        <v>118855960.67246968</v>
      </c>
      <c r="G93" s="359">
        <f>'DRE + DCF'!$W$31</f>
        <v>2791623.3540418856</v>
      </c>
      <c r="H93" s="359">
        <f>'DRE + DCF'!$W$32</f>
        <v>81081.931703745853</v>
      </c>
      <c r="I93" s="359">
        <f>-H93*('DRE + DCF'!$V$33+K93)/'DRE + DCF'!$V$33</f>
        <v>-90858.801614444121</v>
      </c>
      <c r="J93" s="359">
        <f>-'DRE + DCF'!$V$56*L93</f>
        <v>-1188924.4255577971</v>
      </c>
      <c r="K93" s="360">
        <f>(1+L93)/(1+Ke!$O$12)-1</f>
        <v>2.0000000000000018E-2</v>
      </c>
      <c r="L93" s="360">
        <f>'DRE + DCF'!$Y$31</f>
        <v>7.3550000000000004E-2</v>
      </c>
      <c r="M93" s="361">
        <f>(1+D93)^((5-Dashboard!$F$9)*3/12)</f>
        <v>1.0609269875970566</v>
      </c>
      <c r="N93" s="361">
        <f t="shared" ref="N93:V93" si="84">M93*(1+$D93)</f>
        <v>1.1479760469293954</v>
      </c>
      <c r="O93" s="361">
        <f t="shared" si="84"/>
        <v>1.2421674815799524</v>
      </c>
      <c r="P93" s="361">
        <f t="shared" si="84"/>
        <v>1.3440873234435877</v>
      </c>
      <c r="Q93" s="361">
        <f t="shared" si="84"/>
        <v>1.4543696883321344</v>
      </c>
      <c r="R93" s="361">
        <f t="shared" si="84"/>
        <v>1.5737007212597862</v>
      </c>
      <c r="S93" s="361">
        <f t="shared" si="84"/>
        <v>1.702822865439152</v>
      </c>
      <c r="T93" s="361">
        <f t="shared" si="84"/>
        <v>1.8425394815484346</v>
      </c>
      <c r="U93" s="361">
        <f t="shared" si="84"/>
        <v>1.993719846009484</v>
      </c>
      <c r="V93" s="362">
        <f t="shared" si="84"/>
        <v>2.1573045593745626</v>
      </c>
      <c r="X93" s="351"/>
    </row>
    <row r="94" spans="3:24" ht="24.75" customHeight="1" x14ac:dyDescent="0.3">
      <c r="C94" s="353">
        <f>ABS(E94-Dashboard!$F$14)</f>
        <v>980.35818965742237</v>
      </c>
      <c r="D94" s="350">
        <f t="shared" si="69"/>
        <v>8.2150000000000237E-2</v>
      </c>
      <c r="E94" s="359" cm="1">
        <f t="array" ref="E94">1000*SUM('DRE + DCF'!$L$36/M94,'DRE + DCF'!$N$36:$V$36/N94:V94,F94/V94)/Dashboard!$F$11</f>
        <v>1077.3481896574224</v>
      </c>
      <c r="F94" s="359">
        <f t="shared" si="67"/>
        <v>117664043.09810871</v>
      </c>
      <c r="G94" s="359">
        <f>'DRE + DCF'!$W$31</f>
        <v>2791623.3540418856</v>
      </c>
      <c r="H94" s="359">
        <f>'DRE + DCF'!$W$32</f>
        <v>81081.931703745853</v>
      </c>
      <c r="I94" s="359">
        <f>-H94*('DRE + DCF'!$V$33+K94)/'DRE + DCF'!$V$33</f>
        <v>-90858.801614444121</v>
      </c>
      <c r="J94" s="359">
        <f>-'DRE + DCF'!$V$56*L94</f>
        <v>-1188924.4255577971</v>
      </c>
      <c r="K94" s="360">
        <f>(1+L94)/(1+Ke!$O$12)-1</f>
        <v>2.0000000000000018E-2</v>
      </c>
      <c r="L94" s="360">
        <f>'DRE + DCF'!$Y$31</f>
        <v>7.3550000000000004E-2</v>
      </c>
      <c r="M94" s="361">
        <f>(1+D94)^((5-Dashboard!$F$9)*3/12)</f>
        <v>1.061000522650803</v>
      </c>
      <c r="N94" s="361">
        <f t="shared" ref="N94:V94" si="85">M94*(1+$D94)</f>
        <v>1.1481617155865667</v>
      </c>
      <c r="O94" s="361">
        <f t="shared" si="85"/>
        <v>1.2424832005220032</v>
      </c>
      <c r="P94" s="361">
        <f t="shared" si="85"/>
        <v>1.3445531954448859</v>
      </c>
      <c r="Q94" s="361">
        <f t="shared" si="85"/>
        <v>1.4550082404506834</v>
      </c>
      <c r="R94" s="361">
        <f t="shared" si="85"/>
        <v>1.5745371674037074</v>
      </c>
      <c r="S94" s="361">
        <f t="shared" si="85"/>
        <v>1.7038853957059223</v>
      </c>
      <c r="T94" s="361">
        <f t="shared" si="85"/>
        <v>1.8438595809631642</v>
      </c>
      <c r="U94" s="361">
        <f t="shared" si="85"/>
        <v>1.9953326455392884</v>
      </c>
      <c r="V94" s="362">
        <f t="shared" si="85"/>
        <v>2.1592492223703412</v>
      </c>
      <c r="X94" s="351"/>
    </row>
    <row r="95" spans="3:24" ht="24.75" customHeight="1" x14ac:dyDescent="0.3">
      <c r="C95" s="353">
        <f>ABS(E95-Dashboard!$F$14)</f>
        <v>969.81115991191973</v>
      </c>
      <c r="D95" s="350">
        <f t="shared" si="69"/>
        <v>8.225000000000024E-2</v>
      </c>
      <c r="E95" s="359" cm="1">
        <f t="array" ref="E95">1000*SUM('DRE + DCF'!$L$36/M95,'DRE + DCF'!$N$36:$V$36/N95:V95,F95/V95)/Dashboard!$F$11</f>
        <v>1066.8011599119197</v>
      </c>
      <c r="F95" s="359">
        <f t="shared" si="67"/>
        <v>116499068.92326938</v>
      </c>
      <c r="G95" s="359">
        <f>'DRE + DCF'!$W$31</f>
        <v>2791623.3540418856</v>
      </c>
      <c r="H95" s="359">
        <f>'DRE + DCF'!$W$32</f>
        <v>81081.931703745853</v>
      </c>
      <c r="I95" s="359">
        <f>-H95*('DRE + DCF'!$V$33+K95)/'DRE + DCF'!$V$33</f>
        <v>-90858.801614444121</v>
      </c>
      <c r="J95" s="359">
        <f>-'DRE + DCF'!$V$56*L95</f>
        <v>-1188924.4255577971</v>
      </c>
      <c r="K95" s="360">
        <f>(1+L95)/(1+Ke!$O$12)-1</f>
        <v>2.0000000000000018E-2</v>
      </c>
      <c r="L95" s="360">
        <f>'DRE + DCF'!$Y$31</f>
        <v>7.3550000000000004E-2</v>
      </c>
      <c r="M95" s="361">
        <f>(1+D95)^((5-Dashboard!$F$9)*3/12)</f>
        <v>1.0610740560057508</v>
      </c>
      <c r="N95" s="361">
        <f t="shared" ref="N95:V95" si="86">M95*(1+$D95)</f>
        <v>1.148347397112224</v>
      </c>
      <c r="O95" s="361">
        <f t="shared" si="86"/>
        <v>1.2427989705247047</v>
      </c>
      <c r="P95" s="361">
        <f t="shared" si="86"/>
        <v>1.3450191858503617</v>
      </c>
      <c r="Q95" s="361">
        <f t="shared" si="86"/>
        <v>1.4556470138865543</v>
      </c>
      <c r="R95" s="361">
        <f t="shared" si="86"/>
        <v>1.5753739807787235</v>
      </c>
      <c r="S95" s="361">
        <f t="shared" si="86"/>
        <v>1.7049484906977737</v>
      </c>
      <c r="T95" s="361">
        <f t="shared" si="86"/>
        <v>1.8451805040576659</v>
      </c>
      <c r="U95" s="361">
        <f t="shared" si="86"/>
        <v>1.9969466005164092</v>
      </c>
      <c r="V95" s="362">
        <f t="shared" si="86"/>
        <v>2.1611954584088839</v>
      </c>
      <c r="X95" s="351"/>
    </row>
    <row r="96" spans="3:24" ht="24.75" customHeight="1" x14ac:dyDescent="0.3">
      <c r="C96" s="353">
        <f>ABS(E96-Dashboard!$F$14)</f>
        <v>959.49698797475389</v>
      </c>
      <c r="D96" s="350">
        <f t="shared" si="69"/>
        <v>8.2350000000000242E-2</v>
      </c>
      <c r="E96" s="359" cm="1">
        <f t="array" ref="E96">1000*SUM('DRE + DCF'!$L$36/M96,'DRE + DCF'!$N$36:$V$36/N96:V96,F96/V96)/Dashboard!$F$11</f>
        <v>1056.4869879747539</v>
      </c>
      <c r="F96" s="359">
        <f t="shared" si="67"/>
        <v>115360121.26891059</v>
      </c>
      <c r="G96" s="359">
        <f>'DRE + DCF'!$W$31</f>
        <v>2791623.3540418856</v>
      </c>
      <c r="H96" s="359">
        <f>'DRE + DCF'!$W$32</f>
        <v>81081.931703745853</v>
      </c>
      <c r="I96" s="359">
        <f>-H96*('DRE + DCF'!$V$33+K96)/'DRE + DCF'!$V$33</f>
        <v>-90858.801614444121</v>
      </c>
      <c r="J96" s="359">
        <f>-'DRE + DCF'!$V$56*L96</f>
        <v>-1188924.4255577971</v>
      </c>
      <c r="K96" s="360">
        <f>(1+L96)/(1+Ke!$O$12)-1</f>
        <v>2.0000000000000018E-2</v>
      </c>
      <c r="L96" s="360">
        <f>'DRE + DCF'!$Y$31</f>
        <v>7.3550000000000004E-2</v>
      </c>
      <c r="M96" s="361">
        <f>(1+D96)^((5-Dashboard!$F$9)*3/12)</f>
        <v>1.0611475876620957</v>
      </c>
      <c r="N96" s="361">
        <f t="shared" ref="N96:V96" si="87">M96*(1+$D96)</f>
        <v>1.1485330915060694</v>
      </c>
      <c r="O96" s="361">
        <f t="shared" si="87"/>
        <v>1.2431147915915943</v>
      </c>
      <c r="P96" s="361">
        <f t="shared" si="87"/>
        <v>1.3454852946791622</v>
      </c>
      <c r="Q96" s="361">
        <f t="shared" si="87"/>
        <v>1.4562860086959915</v>
      </c>
      <c r="R96" s="361">
        <f t="shared" si="87"/>
        <v>1.5762111615121066</v>
      </c>
      <c r="S96" s="361">
        <f t="shared" si="87"/>
        <v>1.7060121506626289</v>
      </c>
      <c r="T96" s="361">
        <f t="shared" si="87"/>
        <v>1.8465022512696967</v>
      </c>
      <c r="U96" s="361">
        <f t="shared" si="87"/>
        <v>1.9985617116617564</v>
      </c>
      <c r="V96" s="362">
        <f t="shared" si="87"/>
        <v>2.1631432686171026</v>
      </c>
      <c r="X96" s="351"/>
    </row>
    <row r="97" spans="3:24" ht="24.75" customHeight="1" x14ac:dyDescent="0.3">
      <c r="C97" s="353">
        <f>ABS(E97-Dashboard!$F$14)</f>
        <v>949.40785247206418</v>
      </c>
      <c r="D97" s="350">
        <f t="shared" si="69"/>
        <v>8.2450000000000245E-2</v>
      </c>
      <c r="E97" s="359" cm="1">
        <f t="array" ref="E97">1000*SUM('DRE + DCF'!$L$36/M97,'DRE + DCF'!$N$36:$V$36/N97:V97,F97/V97)/Dashboard!$F$11</f>
        <v>1046.3978524720642</v>
      </c>
      <c r="F97" s="359">
        <f t="shared" si="67"/>
        <v>114246324.45614266</v>
      </c>
      <c r="G97" s="359">
        <f>'DRE + DCF'!$W$31</f>
        <v>2791623.3540418856</v>
      </c>
      <c r="H97" s="359">
        <f>'DRE + DCF'!$W$32</f>
        <v>81081.931703745853</v>
      </c>
      <c r="I97" s="359">
        <f>-H97*('DRE + DCF'!$V$33+K97)/'DRE + DCF'!$V$33</f>
        <v>-90858.801614444121</v>
      </c>
      <c r="J97" s="359">
        <f>-'DRE + DCF'!$V$56*L97</f>
        <v>-1188924.4255577971</v>
      </c>
      <c r="K97" s="360">
        <f>(1+L97)/(1+Ke!$O$12)-1</f>
        <v>2.0000000000000018E-2</v>
      </c>
      <c r="L97" s="360">
        <f>'DRE + DCF'!$Y$31</f>
        <v>7.3550000000000004E-2</v>
      </c>
      <c r="M97" s="361">
        <f>(1+D97)^((5-Dashboard!$F$9)*3/12)</f>
        <v>1.0612211176200343</v>
      </c>
      <c r="N97" s="361">
        <f t="shared" ref="N97:V97" si="88">M97*(1+$D97)</f>
        <v>1.1487187987678062</v>
      </c>
      <c r="O97" s="361">
        <f t="shared" si="88"/>
        <v>1.243430663726212</v>
      </c>
      <c r="P97" s="361">
        <f t="shared" si="88"/>
        <v>1.3459515219504383</v>
      </c>
      <c r="Q97" s="361">
        <f t="shared" si="88"/>
        <v>1.4569252249352522</v>
      </c>
      <c r="R97" s="361">
        <f t="shared" si="88"/>
        <v>1.5770487097311641</v>
      </c>
      <c r="S97" s="361">
        <f t="shared" si="88"/>
        <v>1.7070763758484988</v>
      </c>
      <c r="T97" s="361">
        <f t="shared" si="88"/>
        <v>1.8478248230372079</v>
      </c>
      <c r="U97" s="361">
        <f t="shared" si="88"/>
        <v>2.0001779796966259</v>
      </c>
      <c r="V97" s="362">
        <f t="shared" si="88"/>
        <v>2.165092654122613</v>
      </c>
      <c r="X97" s="351"/>
    </row>
    <row r="98" spans="3:24" ht="24.75" customHeight="1" x14ac:dyDescent="0.3">
      <c r="C98" s="353">
        <f>ABS(E98-Dashboard!$F$14)</f>
        <v>939.53627950938653</v>
      </c>
      <c r="D98" s="350">
        <f t="shared" si="69"/>
        <v>8.2550000000000248E-2</v>
      </c>
      <c r="E98" s="359" cm="1">
        <f t="array" ref="E98">1000*SUM('DRE + DCF'!$L$36/M98,'DRE + DCF'!$N$36:$V$36/N98:V98,F98/V98)/Dashboard!$F$11</f>
        <v>1036.5262795093865</v>
      </c>
      <c r="F98" s="359">
        <f t="shared" si="67"/>
        <v>113156841.71737726</v>
      </c>
      <c r="G98" s="359">
        <f>'DRE + DCF'!$W$31</f>
        <v>2791623.3540418856</v>
      </c>
      <c r="H98" s="359">
        <f>'DRE + DCF'!$W$32</f>
        <v>81081.931703745853</v>
      </c>
      <c r="I98" s="359">
        <f>-H98*('DRE + DCF'!$V$33+K98)/'DRE + DCF'!$V$33</f>
        <v>-90858.801614444121</v>
      </c>
      <c r="J98" s="359">
        <f>-'DRE + DCF'!$V$56*L98</f>
        <v>-1188924.4255577971</v>
      </c>
      <c r="K98" s="360">
        <f>(1+L98)/(1+Ke!$O$12)-1</f>
        <v>2.0000000000000018E-2</v>
      </c>
      <c r="L98" s="360">
        <f>'DRE + DCF'!$Y$31</f>
        <v>7.3550000000000004E-2</v>
      </c>
      <c r="M98" s="361">
        <f>(1+D98)^((5-Dashboard!$F$9)*3/12)</f>
        <v>1.061294645879763</v>
      </c>
      <c r="N98" s="361">
        <f t="shared" ref="N98:V98" si="89">M98*(1+$D98)</f>
        <v>1.1489045188971378</v>
      </c>
      <c r="O98" s="361">
        <f t="shared" si="89"/>
        <v>1.2437465869320969</v>
      </c>
      <c r="P98" s="361">
        <f t="shared" si="89"/>
        <v>1.346417867683342</v>
      </c>
      <c r="Q98" s="361">
        <f t="shared" si="89"/>
        <v>1.4575646626606025</v>
      </c>
      <c r="R98" s="361">
        <f t="shared" si="89"/>
        <v>1.5778866255632358</v>
      </c>
      <c r="S98" s="361">
        <f t="shared" si="89"/>
        <v>1.7081411665034814</v>
      </c>
      <c r="T98" s="361">
        <f t="shared" si="89"/>
        <v>1.8491482197983444</v>
      </c>
      <c r="U98" s="361">
        <f t="shared" si="89"/>
        <v>2.0017954053426985</v>
      </c>
      <c r="V98" s="362">
        <f t="shared" si="89"/>
        <v>2.1670436160537387</v>
      </c>
      <c r="X98" s="351"/>
    </row>
    <row r="99" spans="3:24" ht="24.75" customHeight="1" x14ac:dyDescent="0.3">
      <c r="C99" s="353">
        <f>ABS(E99-Dashboard!$F$14)</f>
        <v>929.87512358021399</v>
      </c>
      <c r="D99" s="350">
        <f t="shared" si="69"/>
        <v>8.2650000000000251E-2</v>
      </c>
      <c r="E99" s="359" cm="1">
        <f t="array" ref="E99">1000*SUM('DRE + DCF'!$L$36/M99,'DRE + DCF'!$N$36:$V$36/N99:V99,F99/V99)/Dashboard!$F$11</f>
        <v>1026.865123580214</v>
      </c>
      <c r="F99" s="359">
        <f t="shared" si="67"/>
        <v>112090873.05839011</v>
      </c>
      <c r="G99" s="359">
        <f>'DRE + DCF'!$W$31</f>
        <v>2791623.3540418856</v>
      </c>
      <c r="H99" s="359">
        <f>'DRE + DCF'!$W$32</f>
        <v>81081.931703745853</v>
      </c>
      <c r="I99" s="359">
        <f>-H99*('DRE + DCF'!$V$33+K99)/'DRE + DCF'!$V$33</f>
        <v>-90858.801614444121</v>
      </c>
      <c r="J99" s="359">
        <f>-'DRE + DCF'!$V$56*L99</f>
        <v>-1188924.4255577971</v>
      </c>
      <c r="K99" s="360">
        <f>(1+L99)/(1+Ke!$O$12)-1</f>
        <v>2.0000000000000018E-2</v>
      </c>
      <c r="L99" s="360">
        <f>'DRE + DCF'!$Y$31</f>
        <v>7.3550000000000004E-2</v>
      </c>
      <c r="M99" s="361">
        <f>(1+D99)^((5-Dashboard!$F$9)*3/12)</f>
        <v>1.0613681724414772</v>
      </c>
      <c r="N99" s="361">
        <f t="shared" ref="N99:V99" si="90">M99*(1+$D99)</f>
        <v>1.1490902518937656</v>
      </c>
      <c r="O99" s="361">
        <f t="shared" si="90"/>
        <v>1.2440625612127856</v>
      </c>
      <c r="P99" s="361">
        <f t="shared" si="90"/>
        <v>1.3468843318970227</v>
      </c>
      <c r="Q99" s="361">
        <f t="shared" si="90"/>
        <v>1.4582043219283121</v>
      </c>
      <c r="R99" s="361">
        <f t="shared" si="90"/>
        <v>1.5787249091356876</v>
      </c>
      <c r="S99" s="361">
        <f t="shared" si="90"/>
        <v>1.7092065228757527</v>
      </c>
      <c r="T99" s="361">
        <f t="shared" si="90"/>
        <v>1.8504724419914342</v>
      </c>
      <c r="U99" s="361">
        <f t="shared" si="90"/>
        <v>2.0034139893220271</v>
      </c>
      <c r="V99" s="362">
        <f t="shared" si="90"/>
        <v>2.1689961555394932</v>
      </c>
      <c r="X99" s="351"/>
    </row>
    <row r="100" spans="3:24" ht="24.75" customHeight="1" x14ac:dyDescent="0.3">
      <c r="C100" s="353">
        <f>ABS(E100-Dashboard!$F$14)</f>
        <v>920.41754971962632</v>
      </c>
      <c r="D100" s="350">
        <f t="shared" si="69"/>
        <v>8.2750000000000254E-2</v>
      </c>
      <c r="E100" s="359" cm="1">
        <f t="array" ref="E100">1000*SUM('DRE + DCF'!$L$36/M100,'DRE + DCF'!$N$36:$V$36/N100:V100,F100/V100)/Dashboard!$F$11</f>
        <v>1017.4075497196263</v>
      </c>
      <c r="F100" s="359">
        <f t="shared" si="67"/>
        <v>111047653.25981444</v>
      </c>
      <c r="G100" s="359">
        <f>'DRE + DCF'!$W$31</f>
        <v>2791623.3540418856</v>
      </c>
      <c r="H100" s="359">
        <f>'DRE + DCF'!$W$32</f>
        <v>81081.931703745853</v>
      </c>
      <c r="I100" s="359">
        <f>-H100*('DRE + DCF'!$V$33+K100)/'DRE + DCF'!$V$33</f>
        <v>-90858.801614444121</v>
      </c>
      <c r="J100" s="359">
        <f>-'DRE + DCF'!$V$56*L100</f>
        <v>-1188924.4255577971</v>
      </c>
      <c r="K100" s="360">
        <f>(1+L100)/(1+Ke!$O$12)-1</f>
        <v>2.0000000000000018E-2</v>
      </c>
      <c r="L100" s="360">
        <f>'DRE + DCF'!$Y$31</f>
        <v>7.3550000000000004E-2</v>
      </c>
      <c r="M100" s="361">
        <f>(1+D100)^((5-Dashboard!$F$9)*3/12)</f>
        <v>1.0614416973053733</v>
      </c>
      <c r="N100" s="361">
        <f t="shared" ref="N100:V100" si="91">M100*(1+$D100)</f>
        <v>1.1492759977573932</v>
      </c>
      <c r="O100" s="361">
        <f t="shared" si="91"/>
        <v>1.2443785865718178</v>
      </c>
      <c r="P100" s="361">
        <f t="shared" si="91"/>
        <v>1.3473509146106362</v>
      </c>
      <c r="Q100" s="361">
        <f t="shared" si="91"/>
        <v>1.4588442027946666</v>
      </c>
      <c r="R100" s="361">
        <f t="shared" si="91"/>
        <v>1.5795635605759257</v>
      </c>
      <c r="S100" s="361">
        <f t="shared" si="91"/>
        <v>1.710272445213584</v>
      </c>
      <c r="T100" s="361">
        <f t="shared" si="91"/>
        <v>1.8517974900550087</v>
      </c>
      <c r="U100" s="361">
        <f t="shared" si="91"/>
        <v>2.0050337323570613</v>
      </c>
      <c r="V100" s="362">
        <f t="shared" si="91"/>
        <v>2.1709502737096087</v>
      </c>
      <c r="X100" s="351"/>
    </row>
    <row r="101" spans="3:24" ht="24.75" customHeight="1" x14ac:dyDescent="0.3">
      <c r="C101" s="353">
        <f>ABS(E101-Dashboard!$F$14)</f>
        <v>911.15701680930852</v>
      </c>
      <c r="D101" s="350">
        <f t="shared" si="69"/>
        <v>8.2850000000000257E-2</v>
      </c>
      <c r="E101" s="359" cm="1">
        <f t="array" ref="E101">1000*SUM('DRE + DCF'!$L$36/M101,'DRE + DCF'!$N$36:$V$36/N101:V101,F101/V101)/Dashboard!$F$11</f>
        <v>1008.1470168093085</v>
      </c>
      <c r="F101" s="359">
        <f t="shared" si="67"/>
        <v>110026450.00756955</v>
      </c>
      <c r="G101" s="359">
        <f>'DRE + DCF'!$W$31</f>
        <v>2791623.3540418856</v>
      </c>
      <c r="H101" s="359">
        <f>'DRE + DCF'!$W$32</f>
        <v>81081.931703745853</v>
      </c>
      <c r="I101" s="359">
        <f>-H101*('DRE + DCF'!$V$33+K101)/'DRE + DCF'!$V$33</f>
        <v>-90858.801614444121</v>
      </c>
      <c r="J101" s="359">
        <f>-'DRE + DCF'!$V$56*L101</f>
        <v>-1188924.4255577971</v>
      </c>
      <c r="K101" s="360">
        <f>(1+L101)/(1+Ke!$O$12)-1</f>
        <v>2.0000000000000018E-2</v>
      </c>
      <c r="L101" s="360">
        <f>'DRE + DCF'!$Y$31</f>
        <v>7.3550000000000004E-2</v>
      </c>
      <c r="M101" s="361">
        <f>(1+D101)^((5-Dashboard!$F$9)*3/12)</f>
        <v>1.0615152204716471</v>
      </c>
      <c r="N101" s="361">
        <f t="shared" ref="N101:V101" si="92">M101*(1+$D101)</f>
        <v>1.1494617564877234</v>
      </c>
      <c r="O101" s="361">
        <f t="shared" si="92"/>
        <v>1.2446946630127316</v>
      </c>
      <c r="P101" s="361">
        <f t="shared" si="92"/>
        <v>1.3478176158433368</v>
      </c>
      <c r="Q101" s="361">
        <f t="shared" si="92"/>
        <v>1.4594843053159576</v>
      </c>
      <c r="R101" s="361">
        <f t="shared" si="92"/>
        <v>1.5804025800113852</v>
      </c>
      <c r="S101" s="361">
        <f t="shared" si="92"/>
        <v>1.7113389337653291</v>
      </c>
      <c r="T101" s="361">
        <f t="shared" si="92"/>
        <v>1.8531233644277871</v>
      </c>
      <c r="U101" s="361">
        <f t="shared" si="92"/>
        <v>2.00665463517063</v>
      </c>
      <c r="V101" s="362">
        <f t="shared" si="92"/>
        <v>2.1729059716945174</v>
      </c>
      <c r="X101" s="351"/>
    </row>
    <row r="102" spans="3:24" ht="24.75" customHeight="1" x14ac:dyDescent="0.3">
      <c r="C102" s="353">
        <f>ABS(E102-Dashboard!$F$14)</f>
        <v>902.08726194819712</v>
      </c>
      <c r="D102" s="350">
        <f t="shared" si="69"/>
        <v>8.295000000000026E-2</v>
      </c>
      <c r="E102" s="359" cm="1">
        <f t="array" ref="E102">1000*SUM('DRE + DCF'!$L$36/M102,'DRE + DCF'!$N$36:$V$36/N102:V102,F102/V102)/Dashboard!$F$11</f>
        <v>999.07726194819713</v>
      </c>
      <c r="F102" s="359">
        <f t="shared" si="67"/>
        <v>109026562.14262378</v>
      </c>
      <c r="G102" s="359">
        <f>'DRE + DCF'!$W$31</f>
        <v>2791623.3540418856</v>
      </c>
      <c r="H102" s="359">
        <f>'DRE + DCF'!$W$32</f>
        <v>81081.931703745853</v>
      </c>
      <c r="I102" s="359">
        <f>-H102*('DRE + DCF'!$V$33+K102)/'DRE + DCF'!$V$33</f>
        <v>-90858.801614444121</v>
      </c>
      <c r="J102" s="359">
        <f>-'DRE + DCF'!$V$56*L102</f>
        <v>-1188924.4255577971</v>
      </c>
      <c r="K102" s="360">
        <f>(1+L102)/(1+Ke!$O$12)-1</f>
        <v>2.0000000000000018E-2</v>
      </c>
      <c r="L102" s="360">
        <f>'DRE + DCF'!$Y$31</f>
        <v>7.3550000000000004E-2</v>
      </c>
      <c r="M102" s="361">
        <f>(1+D102)^((5-Dashboard!$F$9)*3/12)</f>
        <v>1.061588741940495</v>
      </c>
      <c r="N102" s="361">
        <f t="shared" ref="N102:V102" si="93">M102*(1+$D102)</f>
        <v>1.1496475280844594</v>
      </c>
      <c r="O102" s="361">
        <f t="shared" si="93"/>
        <v>1.2450107905390657</v>
      </c>
      <c r="P102" s="361">
        <f t="shared" si="93"/>
        <v>1.3482844356142816</v>
      </c>
      <c r="Q102" s="361">
        <f t="shared" si="93"/>
        <v>1.4601246295484867</v>
      </c>
      <c r="R102" s="361">
        <f t="shared" si="93"/>
        <v>1.5812419675695342</v>
      </c>
      <c r="S102" s="361">
        <f t="shared" si="93"/>
        <v>1.7124059887794274</v>
      </c>
      <c r="T102" s="361">
        <f t="shared" si="93"/>
        <v>1.8544500655486815</v>
      </c>
      <c r="U102" s="361">
        <f t="shared" si="93"/>
        <v>2.008276698485945</v>
      </c>
      <c r="V102" s="362">
        <f t="shared" si="93"/>
        <v>2.1748632506253549</v>
      </c>
      <c r="X102" s="351"/>
    </row>
    <row r="103" spans="3:24" ht="24.75" customHeight="1" x14ac:dyDescent="0.3">
      <c r="C103" s="353">
        <f>ABS(E103-Dashboard!$F$14)</f>
        <v>893.20228581023309</v>
      </c>
      <c r="D103" s="350">
        <f t="shared" si="69"/>
        <v>8.3050000000000263E-2</v>
      </c>
      <c r="E103" s="359" cm="1">
        <f t="array" ref="E103">1000*SUM('DRE + DCF'!$L$36/M103,'DRE + DCF'!$N$36:$V$36/N103:V103,F103/V103)/Dashboard!$F$11</f>
        <v>990.1922858102331</v>
      </c>
      <c r="F103" s="359">
        <f t="shared" si="67"/>
        <v>108047318.02129814</v>
      </c>
      <c r="G103" s="359">
        <f>'DRE + DCF'!$W$31</f>
        <v>2791623.3540418856</v>
      </c>
      <c r="H103" s="359">
        <f>'DRE + DCF'!$W$32</f>
        <v>81081.931703745853</v>
      </c>
      <c r="I103" s="359">
        <f>-H103*('DRE + DCF'!$V$33+K103)/'DRE + DCF'!$V$33</f>
        <v>-90858.801614444121</v>
      </c>
      <c r="J103" s="359">
        <f>-'DRE + DCF'!$V$56*L103</f>
        <v>-1188924.4255577971</v>
      </c>
      <c r="K103" s="360">
        <f>(1+L103)/(1+Ke!$O$12)-1</f>
        <v>2.0000000000000018E-2</v>
      </c>
      <c r="L103" s="360">
        <f>'DRE + DCF'!$Y$31</f>
        <v>7.3550000000000004E-2</v>
      </c>
      <c r="M103" s="361">
        <f>(1+D103)^((5-Dashboard!$F$9)*3/12)</f>
        <v>1.0616622617121123</v>
      </c>
      <c r="N103" s="361">
        <f t="shared" ref="N103:V103" si="94">M103*(1+$D103)</f>
        <v>1.1498333125473035</v>
      </c>
      <c r="O103" s="361">
        <f t="shared" si="94"/>
        <v>1.2453269691543574</v>
      </c>
      <c r="P103" s="361">
        <f t="shared" si="94"/>
        <v>1.3487513739426271</v>
      </c>
      <c r="Q103" s="361">
        <f t="shared" si="94"/>
        <v>1.4607651755485627</v>
      </c>
      <c r="R103" s="361">
        <f t="shared" si="94"/>
        <v>1.5820817233778712</v>
      </c>
      <c r="S103" s="361">
        <f t="shared" si="94"/>
        <v>1.7134736105044039</v>
      </c>
      <c r="T103" s="361">
        <f t="shared" si="94"/>
        <v>1.8557775938567951</v>
      </c>
      <c r="U103" s="361">
        <f t="shared" si="94"/>
        <v>2.0098999230266026</v>
      </c>
      <c r="V103" s="362">
        <f t="shared" si="94"/>
        <v>2.1768221116339626</v>
      </c>
      <c r="X103" s="351"/>
    </row>
    <row r="104" spans="3:24" ht="24.75" customHeight="1" x14ac:dyDescent="0.3">
      <c r="C104" s="353">
        <f>ABS(E104-Dashboard!$F$14)</f>
        <v>884.4963389172533</v>
      </c>
      <c r="D104" s="350">
        <f t="shared" si="69"/>
        <v>8.3150000000000265E-2</v>
      </c>
      <c r="E104" s="359" cm="1">
        <f t="array" ref="E104">1000*SUM('DRE + DCF'!$L$36/M104,'DRE + DCF'!$N$36:$V$36/N104:V104,F104/V104)/Dashboard!$F$11</f>
        <v>981.48633891725331</v>
      </c>
      <c r="F104" s="359">
        <f t="shared" si="67"/>
        <v>107088073.9780509</v>
      </c>
      <c r="G104" s="359">
        <f>'DRE + DCF'!$W$31</f>
        <v>2791623.3540418856</v>
      </c>
      <c r="H104" s="359">
        <f>'DRE + DCF'!$W$32</f>
        <v>81081.931703745853</v>
      </c>
      <c r="I104" s="359">
        <f>-H104*('DRE + DCF'!$V$33+K104)/'DRE + DCF'!$V$33</f>
        <v>-90858.801614444121</v>
      </c>
      <c r="J104" s="359">
        <f>-'DRE + DCF'!$V$56*L104</f>
        <v>-1188924.4255577971</v>
      </c>
      <c r="K104" s="360">
        <f>(1+L104)/(1+Ke!$O$12)-1</f>
        <v>2.0000000000000018E-2</v>
      </c>
      <c r="L104" s="360">
        <f>'DRE + DCF'!$Y$31</f>
        <v>7.3550000000000004E-2</v>
      </c>
      <c r="M104" s="361">
        <f>(1+D104)^((5-Dashboard!$F$9)*3/12)</f>
        <v>1.0617357797866955</v>
      </c>
      <c r="N104" s="361">
        <f t="shared" ref="N104:V104" si="95">M104*(1+$D104)</f>
        <v>1.1500191098759596</v>
      </c>
      <c r="O104" s="361">
        <f t="shared" si="95"/>
        <v>1.2456431988621459</v>
      </c>
      <c r="P104" s="361">
        <f t="shared" si="95"/>
        <v>1.3492184308475337</v>
      </c>
      <c r="Q104" s="361">
        <f t="shared" si="95"/>
        <v>1.4614059433725064</v>
      </c>
      <c r="R104" s="361">
        <f t="shared" si="95"/>
        <v>1.5829218475639306</v>
      </c>
      <c r="S104" s="361">
        <f t="shared" si="95"/>
        <v>1.7145417991888718</v>
      </c>
      <c r="T104" s="361">
        <f t="shared" si="95"/>
        <v>1.8571059497914271</v>
      </c>
      <c r="U104" s="361">
        <f t="shared" si="95"/>
        <v>2.0115243095165849</v>
      </c>
      <c r="V104" s="362">
        <f t="shared" si="95"/>
        <v>2.1787825558528895</v>
      </c>
      <c r="X104" s="351"/>
    </row>
    <row r="105" spans="3:24" ht="24.75" customHeight="1" x14ac:dyDescent="0.3">
      <c r="C105" s="353">
        <f>ABS(E105-Dashboard!$F$14)</f>
        <v>875.96390876097655</v>
      </c>
      <c r="D105" s="350">
        <f t="shared" si="69"/>
        <v>8.3250000000000268E-2</v>
      </c>
      <c r="E105" s="359" cm="1">
        <f t="array" ref="E105">1000*SUM('DRE + DCF'!$L$36/M105,'DRE + DCF'!$N$36:$V$36/N105:V105,F105/V105)/Dashboard!$F$11</f>
        <v>972.95390876097656</v>
      </c>
      <c r="F105" s="359">
        <f t="shared" si="67"/>
        <v>106148212.88334726</v>
      </c>
      <c r="G105" s="359">
        <f>'DRE + DCF'!$W$31</f>
        <v>2791623.3540418856</v>
      </c>
      <c r="H105" s="359">
        <f>'DRE + DCF'!$W$32</f>
        <v>81081.931703745853</v>
      </c>
      <c r="I105" s="359">
        <f>-H105*('DRE + DCF'!$V$33+K105)/'DRE + DCF'!$V$33</f>
        <v>-90858.801614444121</v>
      </c>
      <c r="J105" s="359">
        <f>-'DRE + DCF'!$V$56*L105</f>
        <v>-1188924.4255577971</v>
      </c>
      <c r="K105" s="360">
        <f>(1+L105)/(1+Ke!$O$12)-1</f>
        <v>2.0000000000000018E-2</v>
      </c>
      <c r="L105" s="360">
        <f>'DRE + DCF'!$Y$31</f>
        <v>7.3550000000000004E-2</v>
      </c>
      <c r="M105" s="361">
        <f>(1+D105)^((5-Dashboard!$F$9)*3/12)</f>
        <v>1.0618092961644401</v>
      </c>
      <c r="N105" s="361">
        <f t="shared" ref="N105:V105" si="96">M105*(1+$D105)</f>
        <v>1.1502049200701301</v>
      </c>
      <c r="O105" s="361">
        <f t="shared" si="96"/>
        <v>1.2459594796659688</v>
      </c>
      <c r="P105" s="361">
        <f t="shared" si="96"/>
        <v>1.349685606348161</v>
      </c>
      <c r="Q105" s="361">
        <f t="shared" si="96"/>
        <v>1.4620469330766459</v>
      </c>
      <c r="R105" s="361">
        <f t="shared" si="96"/>
        <v>1.5837623402552772</v>
      </c>
      <c r="S105" s="361">
        <f t="shared" si="96"/>
        <v>1.7156105550815295</v>
      </c>
      <c r="T105" s="361">
        <f t="shared" si="96"/>
        <v>1.8584351337920673</v>
      </c>
      <c r="U105" s="361">
        <f t="shared" si="96"/>
        <v>2.0131498586802574</v>
      </c>
      <c r="V105" s="362">
        <f t="shared" si="96"/>
        <v>2.1807445844153892</v>
      </c>
      <c r="X105" s="351"/>
    </row>
    <row r="106" spans="3:24" ht="24.75" customHeight="1" x14ac:dyDescent="0.3">
      <c r="C106" s="353">
        <f>ABS(E106-Dashboard!$F$14)</f>
        <v>867.59970771343387</v>
      </c>
      <c r="D106" s="350">
        <f t="shared" si="69"/>
        <v>8.3350000000000271E-2</v>
      </c>
      <c r="E106" s="359" cm="1">
        <f t="array" ref="E106">1000*SUM('DRE + DCF'!$L$36/M106,'DRE + DCF'!$N$36:$V$36/N106:V106,F106/V106)/Dashboard!$F$11</f>
        <v>964.58970771343388</v>
      </c>
      <c r="F106" s="359">
        <f t="shared" si="67"/>
        <v>105227142.78982243</v>
      </c>
      <c r="G106" s="359">
        <f>'DRE + DCF'!$W$31</f>
        <v>2791623.3540418856</v>
      </c>
      <c r="H106" s="359">
        <f>'DRE + DCF'!$W$32</f>
        <v>81081.931703745853</v>
      </c>
      <c r="I106" s="359">
        <f>-H106*('DRE + DCF'!$V$33+K106)/'DRE + DCF'!$V$33</f>
        <v>-90858.801614444121</v>
      </c>
      <c r="J106" s="359">
        <f>-'DRE + DCF'!$V$56*L106</f>
        <v>-1188924.4255577971</v>
      </c>
      <c r="K106" s="360">
        <f>(1+L106)/(1+Ke!$O$12)-1</f>
        <v>2.0000000000000018E-2</v>
      </c>
      <c r="L106" s="360">
        <f>'DRE + DCF'!$Y$31</f>
        <v>7.3550000000000004E-2</v>
      </c>
      <c r="M106" s="361">
        <f>(1+D106)^((5-Dashboard!$F$9)*3/12)</f>
        <v>1.0618828108455418</v>
      </c>
      <c r="N106" s="361">
        <f t="shared" ref="N106:V106" si="97">M106*(1+$D106)</f>
        <v>1.1503907431295179</v>
      </c>
      <c r="O106" s="361">
        <f t="shared" si="97"/>
        <v>1.2462758115693635</v>
      </c>
      <c r="P106" s="361">
        <f t="shared" si="97"/>
        <v>1.3501529004636703</v>
      </c>
      <c r="Q106" s="361">
        <f t="shared" si="97"/>
        <v>1.4626881447173177</v>
      </c>
      <c r="R106" s="361">
        <f t="shared" si="97"/>
        <v>1.5846032015795064</v>
      </c>
      <c r="S106" s="361">
        <f t="shared" si="97"/>
        <v>1.7166798784311588</v>
      </c>
      <c r="T106" s="361">
        <f t="shared" si="97"/>
        <v>1.8597651462983964</v>
      </c>
      <c r="U106" s="361">
        <f t="shared" si="97"/>
        <v>2.0147765712423684</v>
      </c>
      <c r="V106" s="362">
        <f t="shared" si="97"/>
        <v>2.1827081984554204</v>
      </c>
      <c r="X106" s="351"/>
    </row>
    <row r="107" spans="3:24" ht="24.75" customHeight="1" x14ac:dyDescent="0.3">
      <c r="C107" s="353">
        <f>ABS(E107-Dashboard!$F$14)</f>
        <v>859.39866167009109</v>
      </c>
      <c r="D107" s="350">
        <f t="shared" si="69"/>
        <v>8.3450000000000274E-2</v>
      </c>
      <c r="E107" s="359" cm="1">
        <f t="array" ref="E107">1000*SUM('DRE + DCF'!$L$36/M107,'DRE + DCF'!$N$36:$V$36/N107:V107,F107/V107)/Dashboard!$F$11</f>
        <v>956.3886616700911</v>
      </c>
      <c r="F107" s="359">
        <f t="shared" si="67"/>
        <v>104324295.66049506</v>
      </c>
      <c r="G107" s="359">
        <f>'DRE + DCF'!$W$31</f>
        <v>2791623.3540418856</v>
      </c>
      <c r="H107" s="359">
        <f>'DRE + DCF'!$W$32</f>
        <v>81081.931703745853</v>
      </c>
      <c r="I107" s="359">
        <f>-H107*('DRE + DCF'!$V$33+K107)/'DRE + DCF'!$V$33</f>
        <v>-90858.801614444121</v>
      </c>
      <c r="J107" s="359">
        <f>-'DRE + DCF'!$V$56*L107</f>
        <v>-1188924.4255577971</v>
      </c>
      <c r="K107" s="360">
        <f>(1+L107)/(1+Ke!$O$12)-1</f>
        <v>2.0000000000000018E-2</v>
      </c>
      <c r="L107" s="360">
        <f>'DRE + DCF'!$Y$31</f>
        <v>7.3550000000000004E-2</v>
      </c>
      <c r="M107" s="361">
        <f>(1+D107)^((5-Dashboard!$F$9)*3/12)</f>
        <v>1.0619563238301968</v>
      </c>
      <c r="N107" s="361">
        <f t="shared" ref="N107:V107" si="98">M107*(1+$D107)</f>
        <v>1.1505765790538269</v>
      </c>
      <c r="O107" s="361">
        <f t="shared" si="98"/>
        <v>1.2465921945758691</v>
      </c>
      <c r="P107" s="361">
        <f t="shared" si="98"/>
        <v>1.3506203132132257</v>
      </c>
      <c r="Q107" s="361">
        <f t="shared" si="98"/>
        <v>1.4633295783508697</v>
      </c>
      <c r="R107" s="361">
        <f t="shared" si="98"/>
        <v>1.5854444316642502</v>
      </c>
      <c r="S107" s="361">
        <f t="shared" si="98"/>
        <v>1.7177497694866322</v>
      </c>
      <c r="T107" s="361">
        <f t="shared" si="98"/>
        <v>1.8610959877502919</v>
      </c>
      <c r="U107" s="361">
        <f t="shared" si="98"/>
        <v>2.0164044479280543</v>
      </c>
      <c r="V107" s="362">
        <f t="shared" si="98"/>
        <v>2.184673399107651</v>
      </c>
      <c r="X107" s="351"/>
    </row>
    <row r="108" spans="3:24" ht="24.75" customHeight="1" x14ac:dyDescent="0.3">
      <c r="C108" s="353">
        <f>ABS(E108-Dashboard!$F$14)</f>
        <v>851.35589937438522</v>
      </c>
      <c r="D108" s="350">
        <f t="shared" si="69"/>
        <v>8.3550000000000277E-2</v>
      </c>
      <c r="E108" s="359" cm="1">
        <f t="array" ref="E108">1000*SUM('DRE + DCF'!$L$36/M108,'DRE + DCF'!$N$36:$V$36/N108:V108,F108/V108)/Dashboard!$F$11</f>
        <v>948.34589937438523</v>
      </c>
      <c r="F108" s="359">
        <f t="shared" si="67"/>
        <v>103439126.17328779</v>
      </c>
      <c r="G108" s="359">
        <f>'DRE + DCF'!$W$31</f>
        <v>2791623.3540418856</v>
      </c>
      <c r="H108" s="359">
        <f>'DRE + DCF'!$W$32</f>
        <v>81081.931703745853</v>
      </c>
      <c r="I108" s="359">
        <f>-H108*('DRE + DCF'!$V$33+K108)/'DRE + DCF'!$V$33</f>
        <v>-90858.801614444121</v>
      </c>
      <c r="J108" s="359">
        <f>-'DRE + DCF'!$V$56*L108</f>
        <v>-1188924.4255577971</v>
      </c>
      <c r="K108" s="360">
        <f>(1+L108)/(1+Ke!$O$12)-1</f>
        <v>2.0000000000000018E-2</v>
      </c>
      <c r="L108" s="360">
        <f>'DRE + DCF'!$Y$31</f>
        <v>7.3550000000000004E-2</v>
      </c>
      <c r="M108" s="361">
        <f>(1+D108)^((5-Dashboard!$F$9)*3/12)</f>
        <v>1.0620298351186004</v>
      </c>
      <c r="N108" s="361">
        <f t="shared" ref="N108:V108" si="99">M108*(1+$D108)</f>
        <v>1.1507624278427597</v>
      </c>
      <c r="O108" s="361">
        <f t="shared" si="99"/>
        <v>1.2469086286890225</v>
      </c>
      <c r="P108" s="361">
        <f t="shared" si="99"/>
        <v>1.3510878446159906</v>
      </c>
      <c r="Q108" s="361">
        <f t="shared" si="99"/>
        <v>1.463971234033657</v>
      </c>
      <c r="R108" s="361">
        <f t="shared" si="99"/>
        <v>1.5862860306371693</v>
      </c>
      <c r="S108" s="361">
        <f t="shared" si="99"/>
        <v>1.7188202284969052</v>
      </c>
      <c r="T108" s="361">
        <f t="shared" si="99"/>
        <v>1.8624276585878221</v>
      </c>
      <c r="U108" s="361">
        <f t="shared" si="99"/>
        <v>2.0180334894628351</v>
      </c>
      <c r="V108" s="362">
        <f t="shared" si="99"/>
        <v>2.1866401875074555</v>
      </c>
      <c r="X108" s="351"/>
    </row>
    <row r="109" spans="3:24" ht="24.75" customHeight="1" x14ac:dyDescent="0.3">
      <c r="C109" s="353">
        <f>ABS(E109-Dashboard!$F$14)</f>
        <v>843.46674237643708</v>
      </c>
      <c r="D109" s="350">
        <f t="shared" si="69"/>
        <v>8.365000000000028E-2</v>
      </c>
      <c r="E109" s="359" cm="1">
        <f t="array" ref="E109">1000*SUM('DRE + DCF'!$L$36/M109,'DRE + DCF'!$N$36:$V$36/N109:V109,F109/V109)/Dashboard!$F$11</f>
        <v>940.45674237643709</v>
      </c>
      <c r="F109" s="359">
        <f t="shared" si="67"/>
        <v>102571110.59656584</v>
      </c>
      <c r="G109" s="359">
        <f>'DRE + DCF'!$W$31</f>
        <v>2791623.3540418856</v>
      </c>
      <c r="H109" s="359">
        <f>'DRE + DCF'!$W$32</f>
        <v>81081.931703745853</v>
      </c>
      <c r="I109" s="359">
        <f>-H109*('DRE + DCF'!$V$33+K109)/'DRE + DCF'!$V$33</f>
        <v>-90858.801614444121</v>
      </c>
      <c r="J109" s="359">
        <f>-'DRE + DCF'!$V$56*L109</f>
        <v>-1188924.4255577971</v>
      </c>
      <c r="K109" s="360">
        <f>(1+L109)/(1+Ke!$O$12)-1</f>
        <v>2.0000000000000018E-2</v>
      </c>
      <c r="L109" s="360">
        <f>'DRE + DCF'!$Y$31</f>
        <v>7.3550000000000004E-2</v>
      </c>
      <c r="M109" s="361">
        <f>(1+D109)^((5-Dashboard!$F$9)*3/12)</f>
        <v>1.0621033447109482</v>
      </c>
      <c r="N109" s="361">
        <f t="shared" ref="N109:V109" si="100">M109*(1+$D109)</f>
        <v>1.1509482894960192</v>
      </c>
      <c r="O109" s="361">
        <f t="shared" si="100"/>
        <v>1.2472251139123616</v>
      </c>
      <c r="P109" s="361">
        <f t="shared" si="100"/>
        <v>1.3515554946911308</v>
      </c>
      <c r="Q109" s="361">
        <f t="shared" si="100"/>
        <v>1.4646131118220442</v>
      </c>
      <c r="R109" s="361">
        <f t="shared" si="100"/>
        <v>1.5871279986259585</v>
      </c>
      <c r="S109" s="361">
        <f t="shared" si="100"/>
        <v>1.7198912557110204</v>
      </c>
      <c r="T109" s="361">
        <f t="shared" si="100"/>
        <v>1.8637601592512476</v>
      </c>
      <c r="U109" s="361">
        <f t="shared" si="100"/>
        <v>2.0196636965726147</v>
      </c>
      <c r="V109" s="362">
        <f t="shared" si="100"/>
        <v>2.1886085647909144</v>
      </c>
      <c r="X109" s="351"/>
    </row>
    <row r="110" spans="3:24" ht="24.75" customHeight="1" x14ac:dyDescent="0.3">
      <c r="C110" s="353">
        <f>ABS(E110-Dashboard!$F$14)</f>
        <v>835.7266955824233</v>
      </c>
      <c r="D110" s="350">
        <f t="shared" si="69"/>
        <v>8.3750000000000283E-2</v>
      </c>
      <c r="E110" s="359" cm="1">
        <f t="array" ref="E110">1000*SUM('DRE + DCF'!$L$36/M110,'DRE + DCF'!$N$36:$V$36/N110:V110,F110/V110)/Dashboard!$F$11</f>
        <v>932.71669558242331</v>
      </c>
      <c r="F110" s="359">
        <f t="shared" si="67"/>
        <v>101719745.73082033</v>
      </c>
      <c r="G110" s="359">
        <f>'DRE + DCF'!$W$31</f>
        <v>2791623.3540418856</v>
      </c>
      <c r="H110" s="359">
        <f>'DRE + DCF'!$W$32</f>
        <v>81081.931703745853</v>
      </c>
      <c r="I110" s="359">
        <f>-H110*('DRE + DCF'!$V$33+K110)/'DRE + DCF'!$V$33</f>
        <v>-90858.801614444121</v>
      </c>
      <c r="J110" s="359">
        <f>-'DRE + DCF'!$V$56*L110</f>
        <v>-1188924.4255577971</v>
      </c>
      <c r="K110" s="360">
        <f>(1+L110)/(1+Ke!$O$12)-1</f>
        <v>2.0000000000000018E-2</v>
      </c>
      <c r="L110" s="360">
        <f>'DRE + DCF'!$Y$31</f>
        <v>7.3550000000000004E-2</v>
      </c>
      <c r="M110" s="361">
        <f>(1+D110)^((5-Dashboard!$F$9)*3/12)</f>
        <v>1.0621768526074364</v>
      </c>
      <c r="N110" s="361">
        <f t="shared" ref="N110:V110" si="101">M110*(1+$D110)</f>
        <v>1.1511341640133095</v>
      </c>
      <c r="O110" s="361">
        <f t="shared" si="101"/>
        <v>1.2475416502494243</v>
      </c>
      <c r="P110" s="361">
        <f t="shared" si="101"/>
        <v>1.3520232634578138</v>
      </c>
      <c r="Q110" s="361">
        <f t="shared" si="101"/>
        <v>1.465255211772406</v>
      </c>
      <c r="R110" s="361">
        <f t="shared" si="101"/>
        <v>1.5879703357583455</v>
      </c>
      <c r="S110" s="361">
        <f t="shared" si="101"/>
        <v>1.7209628513781072</v>
      </c>
      <c r="T110" s="361">
        <f t="shared" si="101"/>
        <v>1.8650934901810241</v>
      </c>
      <c r="U110" s="361">
        <f t="shared" si="101"/>
        <v>2.0212950699836854</v>
      </c>
      <c r="V110" s="362">
        <f t="shared" si="101"/>
        <v>2.1905785320948192</v>
      </c>
      <c r="X110" s="351"/>
    </row>
    <row r="111" spans="3:24" ht="24.75" customHeight="1" x14ac:dyDescent="0.3">
      <c r="C111" s="353">
        <f>ABS(E111-Dashboard!$F$14)</f>
        <v>828.13143835446976</v>
      </c>
      <c r="D111" s="350">
        <f t="shared" si="69"/>
        <v>8.3850000000000285E-2</v>
      </c>
      <c r="E111" s="359" cm="1">
        <f t="array" ref="E111">1000*SUM('DRE + DCF'!$L$36/M111,'DRE + DCF'!$N$36:$V$36/N111:V111,F111/V111)/Dashboard!$F$11</f>
        <v>925.12143835446977</v>
      </c>
      <c r="F111" s="359">
        <f t="shared" si="67"/>
        <v>100884547.91200063</v>
      </c>
      <c r="G111" s="359">
        <f>'DRE + DCF'!$W$31</f>
        <v>2791623.3540418856</v>
      </c>
      <c r="H111" s="359">
        <f>'DRE + DCF'!$W$32</f>
        <v>81081.931703745853</v>
      </c>
      <c r="I111" s="359">
        <f>-H111*('DRE + DCF'!$V$33+K111)/'DRE + DCF'!$V$33</f>
        <v>-90858.801614444121</v>
      </c>
      <c r="J111" s="359">
        <f>-'DRE + DCF'!$V$56*L111</f>
        <v>-1188924.4255577971</v>
      </c>
      <c r="K111" s="360">
        <f>(1+L111)/(1+Ke!$O$12)-1</f>
        <v>2.0000000000000018E-2</v>
      </c>
      <c r="L111" s="360">
        <f>'DRE + DCF'!$Y$31</f>
        <v>7.3550000000000004E-2</v>
      </c>
      <c r="M111" s="361">
        <f>(1+D111)^((5-Dashboard!$F$9)*3/12)</f>
        <v>1.0622503588082601</v>
      </c>
      <c r="N111" s="361">
        <f t="shared" ref="N111:V111" si="102">M111*(1+$D111)</f>
        <v>1.1513200513943329</v>
      </c>
      <c r="O111" s="361">
        <f t="shared" si="102"/>
        <v>1.2478582377037479</v>
      </c>
      <c r="P111" s="361">
        <f t="shared" si="102"/>
        <v>1.3524911509352076</v>
      </c>
      <c r="Q111" s="361">
        <f t="shared" si="102"/>
        <v>1.4658975339411249</v>
      </c>
      <c r="R111" s="361">
        <f t="shared" si="102"/>
        <v>1.5888130421620885</v>
      </c>
      <c r="S111" s="361">
        <f t="shared" si="102"/>
        <v>1.72203501574738</v>
      </c>
      <c r="T111" s="361">
        <f t="shared" si="102"/>
        <v>1.8664276518177982</v>
      </c>
      <c r="U111" s="361">
        <f t="shared" si="102"/>
        <v>2.022927610422721</v>
      </c>
      <c r="V111" s="362">
        <f t="shared" si="102"/>
        <v>2.1925500905566664</v>
      </c>
      <c r="X111" s="351"/>
    </row>
    <row r="112" spans="3:24" ht="24.75" customHeight="1" x14ac:dyDescent="0.3">
      <c r="C112" s="353">
        <f>ABS(E112-Dashboard!$F$14)</f>
        <v>820.67681612400145</v>
      </c>
      <c r="D112" s="350">
        <f t="shared" si="69"/>
        <v>8.3950000000000288E-2</v>
      </c>
      <c r="E112" s="359" cm="1">
        <f t="array" ref="E112">1000*SUM('DRE + DCF'!$L$36/M112,'DRE + DCF'!$N$36:$V$36/N112:V112,F112/V112)/Dashboard!$F$11</f>
        <v>917.66681612400146</v>
      </c>
      <c r="F112" s="359">
        <f t="shared" si="67"/>
        <v>100065052.07234681</v>
      </c>
      <c r="G112" s="359">
        <f>'DRE + DCF'!$W$31</f>
        <v>2791623.3540418856</v>
      </c>
      <c r="H112" s="359">
        <f>'DRE + DCF'!$W$32</f>
        <v>81081.931703745853</v>
      </c>
      <c r="I112" s="359">
        <f>-H112*('DRE + DCF'!$V$33+K112)/'DRE + DCF'!$V$33</f>
        <v>-90858.801614444121</v>
      </c>
      <c r="J112" s="359">
        <f>-'DRE + DCF'!$V$56*L112</f>
        <v>-1188924.4255577971</v>
      </c>
      <c r="K112" s="360">
        <f>(1+L112)/(1+Ke!$O$12)-1</f>
        <v>2.0000000000000018E-2</v>
      </c>
      <c r="L112" s="360">
        <f>'DRE + DCF'!$Y$31</f>
        <v>7.3550000000000004E-2</v>
      </c>
      <c r="M112" s="361">
        <f>(1+D112)^((5-Dashboard!$F$9)*3/12)</f>
        <v>1.0623238633136152</v>
      </c>
      <c r="N112" s="361">
        <f t="shared" ref="N112:V112" si="103">M112*(1+$D112)</f>
        <v>1.1515059516387933</v>
      </c>
      <c r="O112" s="361">
        <f t="shared" si="103"/>
        <v>1.2481748762788702</v>
      </c>
      <c r="P112" s="361">
        <f t="shared" si="103"/>
        <v>1.3529591571424817</v>
      </c>
      <c r="Q112" s="361">
        <f t="shared" si="103"/>
        <v>1.4665400783845932</v>
      </c>
      <c r="R112" s="361">
        <f t="shared" si="103"/>
        <v>1.5896561179649802</v>
      </c>
      <c r="S112" s="361">
        <f t="shared" si="103"/>
        <v>1.7231077490681406</v>
      </c>
      <c r="T112" s="361">
        <f t="shared" si="103"/>
        <v>1.8677626446024114</v>
      </c>
      <c r="U112" s="361">
        <f t="shared" si="103"/>
        <v>2.0245613186167843</v>
      </c>
      <c r="V112" s="362">
        <f t="shared" si="103"/>
        <v>2.1945232413146636</v>
      </c>
      <c r="X112" s="351"/>
    </row>
    <row r="113" spans="3:24" ht="24.75" customHeight="1" x14ac:dyDescent="0.3">
      <c r="C113" s="353">
        <f>ABS(E113-Dashboard!$F$14)</f>
        <v>813.35883248432901</v>
      </c>
      <c r="D113" s="350">
        <f t="shared" si="69"/>
        <v>8.4050000000000291E-2</v>
      </c>
      <c r="E113" s="359" cm="1">
        <f t="array" ref="E113">1000*SUM('DRE + DCF'!$L$36/M113,'DRE + DCF'!$N$36:$V$36/N113:V113,F113/V113)/Dashboard!$F$11</f>
        <v>910.34883248432902</v>
      </c>
      <c r="F113" s="359">
        <f t="shared" si="67"/>
        <v>99260810.854888216</v>
      </c>
      <c r="G113" s="359">
        <f>'DRE + DCF'!$W$31</f>
        <v>2791623.3540418856</v>
      </c>
      <c r="H113" s="359">
        <f>'DRE + DCF'!$W$32</f>
        <v>81081.931703745853</v>
      </c>
      <c r="I113" s="359">
        <f>-H113*('DRE + DCF'!$V$33+K113)/'DRE + DCF'!$V$33</f>
        <v>-90858.801614444121</v>
      </c>
      <c r="J113" s="359">
        <f>-'DRE + DCF'!$V$56*L113</f>
        <v>-1188924.4255577971</v>
      </c>
      <c r="K113" s="360">
        <f>(1+L113)/(1+Ke!$O$12)-1</f>
        <v>2.0000000000000018E-2</v>
      </c>
      <c r="L113" s="360">
        <f>'DRE + DCF'!$Y$31</f>
        <v>7.3550000000000004E-2</v>
      </c>
      <c r="M113" s="361">
        <f>(1+D113)^((5-Dashboard!$F$9)*3/12)</f>
        <v>1.0623973661236972</v>
      </c>
      <c r="N113" s="361">
        <f t="shared" ref="N113:V113" si="104">M113*(1+$D113)</f>
        <v>1.1516918647463943</v>
      </c>
      <c r="O113" s="361">
        <f t="shared" si="104"/>
        <v>1.2484915659783291</v>
      </c>
      <c r="P113" s="361">
        <f t="shared" si="104"/>
        <v>1.3534272820988082</v>
      </c>
      <c r="Q113" s="361">
        <f t="shared" si="104"/>
        <v>1.4671828451592137</v>
      </c>
      <c r="R113" s="361">
        <f t="shared" si="104"/>
        <v>1.5904995632948462</v>
      </c>
      <c r="S113" s="361">
        <f t="shared" si="104"/>
        <v>1.7241810515897786</v>
      </c>
      <c r="T113" s="361">
        <f t="shared" si="104"/>
        <v>1.8690984689759003</v>
      </c>
      <c r="U113" s="361">
        <f t="shared" si="104"/>
        <v>2.0261961952933256</v>
      </c>
      <c r="V113" s="362">
        <f t="shared" si="104"/>
        <v>2.1964979855077305</v>
      </c>
      <c r="X113" s="351"/>
    </row>
    <row r="114" spans="3:24" ht="24.75" customHeight="1" x14ac:dyDescent="0.3">
      <c r="C114" s="353">
        <f>ABS(E114-Dashboard!$F$14)</f>
        <v>806.17364173082444</v>
      </c>
      <c r="D114" s="350">
        <f t="shared" si="69"/>
        <v>8.4150000000000294E-2</v>
      </c>
      <c r="E114" s="359" cm="1">
        <f t="array" ref="E114">1000*SUM('DRE + DCF'!$L$36/M114,'DRE + DCF'!$N$36:$V$36/N114:V114,F114/V114)/Dashboard!$F$11</f>
        <v>903.16364173082445</v>
      </c>
      <c r="F114" s="359">
        <f t="shared" si="67"/>
        <v>98471393.778064623</v>
      </c>
      <c r="G114" s="359">
        <f>'DRE + DCF'!$W$31</f>
        <v>2791623.3540418856</v>
      </c>
      <c r="H114" s="359">
        <f>'DRE + DCF'!$W$32</f>
        <v>81081.931703745853</v>
      </c>
      <c r="I114" s="359">
        <f>-H114*('DRE + DCF'!$V$33+K114)/'DRE + DCF'!$V$33</f>
        <v>-90858.801614444121</v>
      </c>
      <c r="J114" s="359">
        <f>-'DRE + DCF'!$V$56*L114</f>
        <v>-1188924.4255577971</v>
      </c>
      <c r="K114" s="360">
        <f>(1+L114)/(1+Ke!$O$12)-1</f>
        <v>2.0000000000000018E-2</v>
      </c>
      <c r="L114" s="360">
        <f>'DRE + DCF'!$Y$31</f>
        <v>7.3550000000000004E-2</v>
      </c>
      <c r="M114" s="361">
        <f>(1+D114)^((5-Dashboard!$F$9)*3/12)</f>
        <v>1.0624708672387011</v>
      </c>
      <c r="N114" s="361">
        <f t="shared" ref="N114:V114" si="105">M114*(1+$D114)</f>
        <v>1.1518777907168383</v>
      </c>
      <c r="O114" s="361">
        <f t="shared" si="105"/>
        <v>1.2488083068056606</v>
      </c>
      <c r="P114" s="361">
        <f t="shared" si="105"/>
        <v>1.3538955258233574</v>
      </c>
      <c r="Q114" s="361">
        <f t="shared" si="105"/>
        <v>1.4678258343213935</v>
      </c>
      <c r="R114" s="361">
        <f t="shared" si="105"/>
        <v>1.5913433782795392</v>
      </c>
      <c r="S114" s="361">
        <f t="shared" si="105"/>
        <v>1.7252549235617631</v>
      </c>
      <c r="T114" s="361">
        <f t="shared" si="105"/>
        <v>1.8704351253794862</v>
      </c>
      <c r="U114" s="361">
        <f t="shared" si="105"/>
        <v>2.0278322411801706</v>
      </c>
      <c r="V114" s="362">
        <f t="shared" si="105"/>
        <v>2.1984743242754829</v>
      </c>
      <c r="X114" s="351"/>
    </row>
    <row r="115" spans="3:24" ht="24.75" customHeight="1" x14ac:dyDescent="0.3">
      <c r="C115" s="353">
        <f>ABS(E115-Dashboard!$F$14)</f>
        <v>799.11754181938534</v>
      </c>
      <c r="D115" s="350">
        <f t="shared" si="69"/>
        <v>8.4250000000000297E-2</v>
      </c>
      <c r="E115" s="359" cm="1">
        <f t="array" ref="E115">1000*SUM('DRE + DCF'!$L$36/M115,'DRE + DCF'!$N$36:$V$36/N115:V115,F115/V115)/Dashboard!$F$11</f>
        <v>896.10754181938535</v>
      </c>
      <c r="F115" s="359">
        <f t="shared" si="67"/>
        <v>97696386.447191</v>
      </c>
      <c r="G115" s="359">
        <f>'DRE + DCF'!$W$31</f>
        <v>2791623.3540418856</v>
      </c>
      <c r="H115" s="359">
        <f>'DRE + DCF'!$W$32</f>
        <v>81081.931703745853</v>
      </c>
      <c r="I115" s="359">
        <f>-H115*('DRE + DCF'!$V$33+K115)/'DRE + DCF'!$V$33</f>
        <v>-90858.801614444121</v>
      </c>
      <c r="J115" s="359">
        <f>-'DRE + DCF'!$V$56*L115</f>
        <v>-1188924.4255577971</v>
      </c>
      <c r="K115" s="360">
        <f>(1+L115)/(1+Ke!$O$12)-1</f>
        <v>2.0000000000000018E-2</v>
      </c>
      <c r="L115" s="360">
        <f>'DRE + DCF'!$Y$31</f>
        <v>7.3550000000000004E-2</v>
      </c>
      <c r="M115" s="361">
        <f>(1+D115)^((5-Dashboard!$F$9)*3/12)</f>
        <v>1.0625443666588228</v>
      </c>
      <c r="N115" s="361">
        <f t="shared" ref="N115:V115" si="106">M115*(1+$D115)</f>
        <v>1.1520637295498291</v>
      </c>
      <c r="O115" s="361">
        <f t="shared" si="106"/>
        <v>1.2491250987644027</v>
      </c>
      <c r="P115" s="361">
        <f t="shared" si="106"/>
        <v>1.3543638883353042</v>
      </c>
      <c r="Q115" s="361">
        <f t="shared" si="106"/>
        <v>1.468469045927554</v>
      </c>
      <c r="R115" s="361">
        <f t="shared" si="106"/>
        <v>1.5921875630469511</v>
      </c>
      <c r="S115" s="361">
        <f t="shared" si="106"/>
        <v>1.7263293652336573</v>
      </c>
      <c r="T115" s="361">
        <f t="shared" si="106"/>
        <v>1.8717726142545936</v>
      </c>
      <c r="U115" s="361">
        <f t="shared" si="106"/>
        <v>2.0294694570055438</v>
      </c>
      <c r="V115" s="362">
        <f t="shared" si="106"/>
        <v>2.2004522587582618</v>
      </c>
      <c r="X115" s="351"/>
    </row>
    <row r="116" spans="3:24" ht="24.75" customHeight="1" x14ac:dyDescent="0.3">
      <c r="C116" s="353">
        <f>ABS(E116-Dashboard!$F$14)</f>
        <v>792.18696771610973</v>
      </c>
      <c r="D116" s="350">
        <f t="shared" si="69"/>
        <v>8.43500000000003E-2</v>
      </c>
      <c r="E116" s="359" cm="1">
        <f t="array" ref="E116">1000*SUM('DRE + DCF'!$L$36/M116,'DRE + DCF'!$N$36:$V$36/N116:V116,F116/V116)/Dashboard!$F$11</f>
        <v>889.17696771610974</v>
      </c>
      <c r="F116" s="359">
        <f t="shared" si="67"/>
        <v>96935389.809729278</v>
      </c>
      <c r="G116" s="359">
        <f>'DRE + DCF'!$W$31</f>
        <v>2791623.3540418856</v>
      </c>
      <c r="H116" s="359">
        <f>'DRE + DCF'!$W$32</f>
        <v>81081.931703745853</v>
      </c>
      <c r="I116" s="359">
        <f>-H116*('DRE + DCF'!$V$33+K116)/'DRE + DCF'!$V$33</f>
        <v>-90858.801614444121</v>
      </c>
      <c r="J116" s="359">
        <f>-'DRE + DCF'!$V$56*L116</f>
        <v>-1188924.4255577971</v>
      </c>
      <c r="K116" s="360">
        <f>(1+L116)/(1+Ke!$O$12)-1</f>
        <v>2.0000000000000018E-2</v>
      </c>
      <c r="L116" s="360">
        <f>'DRE + DCF'!$Y$31</f>
        <v>7.3550000000000004E-2</v>
      </c>
      <c r="M116" s="361">
        <f>(1+D116)^((5-Dashboard!$F$9)*3/12)</f>
        <v>1.0626178643842574</v>
      </c>
      <c r="N116" s="361">
        <f t="shared" ref="N116:V116" si="107">M116*(1+$D116)</f>
        <v>1.15224968124507</v>
      </c>
      <c r="O116" s="361">
        <f t="shared" si="107"/>
        <v>1.249441941858092</v>
      </c>
      <c r="P116" s="361">
        <f t="shared" si="107"/>
        <v>1.3548323696538225</v>
      </c>
      <c r="Q116" s="361">
        <f t="shared" si="107"/>
        <v>1.4691124800341229</v>
      </c>
      <c r="R116" s="361">
        <f t="shared" si="107"/>
        <v>1.5930321177250018</v>
      </c>
      <c r="S116" s="361">
        <f t="shared" si="107"/>
        <v>1.7274043768551062</v>
      </c>
      <c r="T116" s="361">
        <f t="shared" si="107"/>
        <v>1.8731109360428351</v>
      </c>
      <c r="U116" s="361">
        <f t="shared" si="107"/>
        <v>2.0311078434980487</v>
      </c>
      <c r="V116" s="362">
        <f t="shared" si="107"/>
        <v>2.2024317900971098</v>
      </c>
      <c r="X116" s="351"/>
    </row>
    <row r="117" spans="3:24" ht="24.75" customHeight="1" x14ac:dyDescent="0.3">
      <c r="C117" s="353">
        <f>ABS(E117-Dashboard!$F$14)</f>
        <v>785.37848511302457</v>
      </c>
      <c r="D117" s="350">
        <f t="shared" si="69"/>
        <v>8.4450000000000303E-2</v>
      </c>
      <c r="E117" s="359" cm="1">
        <f t="array" ref="E117">1000*SUM('DRE + DCF'!$L$36/M117,'DRE + DCF'!$N$36:$V$36/N117:V117,F117/V117)/Dashboard!$F$11</f>
        <v>882.36848511302458</v>
      </c>
      <c r="F117" s="359">
        <f t="shared" si="67"/>
        <v>96188019.45155412</v>
      </c>
      <c r="G117" s="359">
        <f>'DRE + DCF'!$W$31</f>
        <v>2791623.3540418856</v>
      </c>
      <c r="H117" s="359">
        <f>'DRE + DCF'!$W$32</f>
        <v>81081.931703745853</v>
      </c>
      <c r="I117" s="359">
        <f>-H117*('DRE + DCF'!$V$33+K117)/'DRE + DCF'!$V$33</f>
        <v>-90858.801614444121</v>
      </c>
      <c r="J117" s="359">
        <f>-'DRE + DCF'!$V$56*L117</f>
        <v>-1188924.4255577971</v>
      </c>
      <c r="K117" s="360">
        <f>(1+L117)/(1+Ke!$O$12)-1</f>
        <v>2.0000000000000018E-2</v>
      </c>
      <c r="L117" s="360">
        <f>'DRE + DCF'!$Y$31</f>
        <v>7.3550000000000004E-2</v>
      </c>
      <c r="M117" s="361">
        <f>(1+D117)^((5-Dashboard!$F$9)*3/12)</f>
        <v>1.0626913604152004</v>
      </c>
      <c r="N117" s="361">
        <f t="shared" ref="N117:V117" si="108">M117*(1+$D117)</f>
        <v>1.1524356458022644</v>
      </c>
      <c r="O117" s="361">
        <f t="shared" si="108"/>
        <v>1.2497588360902661</v>
      </c>
      <c r="P117" s="361">
        <f t="shared" si="108"/>
        <v>1.3553009697980896</v>
      </c>
      <c r="Q117" s="361">
        <f t="shared" si="108"/>
        <v>1.4697561366975387</v>
      </c>
      <c r="R117" s="361">
        <f t="shared" si="108"/>
        <v>1.5938770424416464</v>
      </c>
      <c r="S117" s="361">
        <f t="shared" si="108"/>
        <v>1.7284799586758439</v>
      </c>
      <c r="T117" s="361">
        <f t="shared" si="108"/>
        <v>1.8744500911860196</v>
      </c>
      <c r="U117" s="361">
        <f t="shared" si="108"/>
        <v>2.0327474013866795</v>
      </c>
      <c r="V117" s="362">
        <f t="shared" si="108"/>
        <v>2.2044129194337851</v>
      </c>
      <c r="X117" s="351"/>
    </row>
    <row r="118" spans="3:24" ht="24.75" customHeight="1" x14ac:dyDescent="0.3">
      <c r="C118" s="353">
        <f>ABS(E118-Dashboard!$F$14)</f>
        <v>778.68878448659859</v>
      </c>
      <c r="D118" s="350">
        <f t="shared" si="69"/>
        <v>8.4550000000000305E-2</v>
      </c>
      <c r="E118" s="359" cm="1">
        <f t="array" ref="E118">1000*SUM('DRE + DCF'!$L$36/M118,'DRE + DCF'!$N$36:$V$36/N118:V118,F118/V118)/Dashboard!$F$11</f>
        <v>875.6787844865986</v>
      </c>
      <c r="F118" s="359">
        <f t="shared" si="67"/>
        <v>95453904.931604192</v>
      </c>
      <c r="G118" s="359">
        <f>'DRE + DCF'!$W$31</f>
        <v>2791623.3540418856</v>
      </c>
      <c r="H118" s="359">
        <f>'DRE + DCF'!$W$32</f>
        <v>81081.931703745853</v>
      </c>
      <c r="I118" s="359">
        <f>-H118*('DRE + DCF'!$V$33+K118)/'DRE + DCF'!$V$33</f>
        <v>-90858.801614444121</v>
      </c>
      <c r="J118" s="359">
        <f>-'DRE + DCF'!$V$56*L118</f>
        <v>-1188924.4255577971</v>
      </c>
      <c r="K118" s="360">
        <f>(1+L118)/(1+Ke!$O$12)-1</f>
        <v>2.0000000000000018E-2</v>
      </c>
      <c r="L118" s="360">
        <f>'DRE + DCF'!$Y$31</f>
        <v>7.3550000000000004E-2</v>
      </c>
      <c r="M118" s="361">
        <f>(1+D118)^((5-Dashboard!$F$9)*3/12)</f>
        <v>1.0627648547518473</v>
      </c>
      <c r="N118" s="361">
        <f t="shared" ref="N118:V118" si="109">M118*(1+$D118)</f>
        <v>1.1526216232211164</v>
      </c>
      <c r="O118" s="361">
        <f t="shared" si="109"/>
        <v>1.2500757814644621</v>
      </c>
      <c r="P118" s="361">
        <f t="shared" si="109"/>
        <v>1.3557696887872828</v>
      </c>
      <c r="Q118" s="361">
        <f t="shared" si="109"/>
        <v>1.4704000159742481</v>
      </c>
      <c r="R118" s="361">
        <f t="shared" si="109"/>
        <v>1.5947223373248713</v>
      </c>
      <c r="S118" s="361">
        <f t="shared" si="109"/>
        <v>1.7295561109456898</v>
      </c>
      <c r="T118" s="361">
        <f t="shared" si="109"/>
        <v>1.8757900801261485</v>
      </c>
      <c r="U118" s="361">
        <f t="shared" si="109"/>
        <v>2.034388131400815</v>
      </c>
      <c r="V118" s="362">
        <f t="shared" si="109"/>
        <v>2.2063956479107545</v>
      </c>
      <c r="X118" s="351"/>
    </row>
    <row r="119" spans="3:24" ht="24.75" customHeight="1" x14ac:dyDescent="0.3">
      <c r="C119" s="353">
        <f>ABS(E119-Dashboard!$F$14)</f>
        <v>772.11467547740665</v>
      </c>
      <c r="D119" s="350">
        <f t="shared" si="69"/>
        <v>8.4650000000000308E-2</v>
      </c>
      <c r="E119" s="359" cm="1">
        <f t="array" ref="E119">1000*SUM('DRE + DCF'!$L$36/M119,'DRE + DCF'!$N$36:$V$36/N119:V119,F119/V119)/Dashboard!$F$11</f>
        <v>869.10467547740666</v>
      </c>
      <c r="F119" s="359">
        <f t="shared" si="67"/>
        <v>94732689.152497694</v>
      </c>
      <c r="G119" s="359">
        <f>'DRE + DCF'!$W$31</f>
        <v>2791623.3540418856</v>
      </c>
      <c r="H119" s="359">
        <f>'DRE + DCF'!$W$32</f>
        <v>81081.931703745853</v>
      </c>
      <c r="I119" s="359">
        <f>-H119*('DRE + DCF'!$V$33+K119)/'DRE + DCF'!$V$33</f>
        <v>-90858.801614444121</v>
      </c>
      <c r="J119" s="359">
        <f>-'DRE + DCF'!$V$56*L119</f>
        <v>-1188924.4255577971</v>
      </c>
      <c r="K119" s="360">
        <f>(1+L119)/(1+Ke!$O$12)-1</f>
        <v>2.0000000000000018E-2</v>
      </c>
      <c r="L119" s="360">
        <f>'DRE + DCF'!$Y$31</f>
        <v>7.3550000000000004E-2</v>
      </c>
      <c r="M119" s="361">
        <f>(1+D119)^((5-Dashboard!$F$9)*3/12)</f>
        <v>1.062838347394393</v>
      </c>
      <c r="N119" s="361">
        <f t="shared" ref="N119:V119" si="110">M119*(1+$D119)</f>
        <v>1.1528076135013288</v>
      </c>
      <c r="O119" s="361">
        <f t="shared" si="110"/>
        <v>1.2503927779842166</v>
      </c>
      <c r="P119" s="361">
        <f t="shared" si="110"/>
        <v>1.356238526640581</v>
      </c>
      <c r="Q119" s="361">
        <f t="shared" si="110"/>
        <v>1.4710441179207066</v>
      </c>
      <c r="R119" s="361">
        <f t="shared" si="110"/>
        <v>1.5955680025026948</v>
      </c>
      <c r="S119" s="361">
        <f t="shared" si="110"/>
        <v>1.7306328339145485</v>
      </c>
      <c r="T119" s="361">
        <f t="shared" si="110"/>
        <v>1.8771309033054155</v>
      </c>
      <c r="U119" s="361">
        <f t="shared" si="110"/>
        <v>2.0360300342702198</v>
      </c>
      <c r="V119" s="362">
        <f t="shared" si="110"/>
        <v>2.2083799766711945</v>
      </c>
      <c r="X119" s="351"/>
    </row>
    <row r="120" spans="3:24" ht="24.75" customHeight="1" x14ac:dyDescent="0.3">
      <c r="C120" s="353">
        <f>ABS(E120-Dashboard!$F$14)</f>
        <v>765.65308157088157</v>
      </c>
      <c r="D120" s="350">
        <f t="shared" si="69"/>
        <v>8.4750000000000311E-2</v>
      </c>
      <c r="E120" s="359" cm="1">
        <f t="array" ref="E120">1000*SUM('DRE + DCF'!$L$36/M120,'DRE + DCF'!$N$36:$V$36/N120:V120,F120/V120)/Dashboard!$F$11</f>
        <v>862.64308157088158</v>
      </c>
      <c r="F120" s="359">
        <f t="shared" si="67"/>
        <v>94024027.764864907</v>
      </c>
      <c r="G120" s="359">
        <f>'DRE + DCF'!$W$31</f>
        <v>2791623.3540418856</v>
      </c>
      <c r="H120" s="359">
        <f>'DRE + DCF'!$W$32</f>
        <v>81081.931703745853</v>
      </c>
      <c r="I120" s="359">
        <f>-H120*('DRE + DCF'!$V$33+K120)/'DRE + DCF'!$V$33</f>
        <v>-90858.801614444121</v>
      </c>
      <c r="J120" s="359">
        <f>-'DRE + DCF'!$V$56*L120</f>
        <v>-1188924.4255577971</v>
      </c>
      <c r="K120" s="360">
        <f>(1+L120)/(1+Ke!$O$12)-1</f>
        <v>2.0000000000000018E-2</v>
      </c>
      <c r="L120" s="360">
        <f>'DRE + DCF'!$Y$31</f>
        <v>7.3550000000000004E-2</v>
      </c>
      <c r="M120" s="361">
        <f>(1+D120)^((5-Dashboard!$F$9)*3/12)</f>
        <v>1.0629118383430332</v>
      </c>
      <c r="N120" s="361">
        <f t="shared" ref="N120:V120" si="111">M120*(1+$D120)</f>
        <v>1.1529936166426056</v>
      </c>
      <c r="O120" s="361">
        <f t="shared" si="111"/>
        <v>1.2507098256530669</v>
      </c>
      <c r="P120" s="361">
        <f t="shared" si="111"/>
        <v>1.3567074833771646</v>
      </c>
      <c r="Q120" s="361">
        <f t="shared" si="111"/>
        <v>1.4716884425933798</v>
      </c>
      <c r="R120" s="361">
        <f t="shared" si="111"/>
        <v>1.5964140381031693</v>
      </c>
      <c r="S120" s="361">
        <f t="shared" si="111"/>
        <v>1.7317101278324134</v>
      </c>
      <c r="T120" s="361">
        <f t="shared" si="111"/>
        <v>1.878472561166211</v>
      </c>
      <c r="U120" s="361">
        <f t="shared" si="111"/>
        <v>2.0376731107250481</v>
      </c>
      <c r="V120" s="362">
        <f t="shared" si="111"/>
        <v>2.2103659068589967</v>
      </c>
      <c r="X120" s="351"/>
    </row>
    <row r="121" spans="3:24" ht="24.75" customHeight="1" x14ac:dyDescent="0.3">
      <c r="C121" s="353">
        <f>ABS(E121-Dashboard!$F$14)</f>
        <v>759.3010350604992</v>
      </c>
      <c r="D121" s="350">
        <f t="shared" si="69"/>
        <v>8.4850000000000314E-2</v>
      </c>
      <c r="E121" s="359" cm="1">
        <f t="array" ref="E121">1000*SUM('DRE + DCF'!$L$36/M121,'DRE + DCF'!$N$36:$V$36/N121:V121,F121/V121)/Dashboard!$F$11</f>
        <v>856.29103506049921</v>
      </c>
      <c r="F121" s="359">
        <f t="shared" si="67"/>
        <v>93327588.603308722</v>
      </c>
      <c r="G121" s="359">
        <f>'DRE + DCF'!$W$31</f>
        <v>2791623.3540418856</v>
      </c>
      <c r="H121" s="359">
        <f>'DRE + DCF'!$W$32</f>
        <v>81081.931703745853</v>
      </c>
      <c r="I121" s="359">
        <f>-H121*('DRE + DCF'!$V$33+K121)/'DRE + DCF'!$V$33</f>
        <v>-90858.801614444121</v>
      </c>
      <c r="J121" s="359">
        <f>-'DRE + DCF'!$V$56*L121</f>
        <v>-1188924.4255577971</v>
      </c>
      <c r="K121" s="360">
        <f>(1+L121)/(1+Ke!$O$12)-1</f>
        <v>2.0000000000000018E-2</v>
      </c>
      <c r="L121" s="360">
        <f>'DRE + DCF'!$Y$31</f>
        <v>7.3550000000000004E-2</v>
      </c>
      <c r="M121" s="361">
        <f>(1+D121)^((5-Dashboard!$F$9)*3/12)</f>
        <v>1.0629853275979626</v>
      </c>
      <c r="N121" s="361">
        <f t="shared" ref="N121:V121" si="112">M121*(1+$D121)</f>
        <v>1.15317963264465</v>
      </c>
      <c r="O121" s="361">
        <f t="shared" si="112"/>
        <v>1.2510269244745489</v>
      </c>
      <c r="P121" s="361">
        <f t="shared" si="112"/>
        <v>1.3571765590162148</v>
      </c>
      <c r="Q121" s="361">
        <f t="shared" si="112"/>
        <v>1.472332990048741</v>
      </c>
      <c r="R121" s="361">
        <f t="shared" si="112"/>
        <v>1.5972604442543772</v>
      </c>
      <c r="S121" s="361">
        <f t="shared" si="112"/>
        <v>1.7327879929493617</v>
      </c>
      <c r="T121" s="361">
        <f t="shared" si="112"/>
        <v>1.8798150541511156</v>
      </c>
      <c r="U121" s="361">
        <f t="shared" si="112"/>
        <v>2.0393173614958382</v>
      </c>
      <c r="V121" s="362">
        <f t="shared" si="112"/>
        <v>2.2123534396187607</v>
      </c>
      <c r="X121" s="351"/>
    </row>
    <row r="122" spans="3:24" ht="24.75" customHeight="1" x14ac:dyDescent="0.3">
      <c r="C122" s="353">
        <f>ABS(E122-Dashboard!$F$14)</f>
        <v>753.05567227605457</v>
      </c>
      <c r="D122" s="350">
        <f t="shared" si="69"/>
        <v>8.4950000000000317E-2</v>
      </c>
      <c r="E122" s="359" cm="1">
        <f t="array" ref="E122">1000*SUM('DRE + DCF'!$L$36/M122,'DRE + DCF'!$N$36:$V$36/N122:V122,F122/V122)/Dashboard!$F$11</f>
        <v>850.04567227605457</v>
      </c>
      <c r="F122" s="359">
        <f t="shared" si="67"/>
        <v>92643051.152051345</v>
      </c>
      <c r="G122" s="359">
        <f>'DRE + DCF'!$W$31</f>
        <v>2791623.3540418856</v>
      </c>
      <c r="H122" s="359">
        <f>'DRE + DCF'!$W$32</f>
        <v>81081.931703745853</v>
      </c>
      <c r="I122" s="359">
        <f>-H122*('DRE + DCF'!$V$33+K122)/'DRE + DCF'!$V$33</f>
        <v>-90858.801614444121</v>
      </c>
      <c r="J122" s="359">
        <f>-'DRE + DCF'!$V$56*L122</f>
        <v>-1188924.4255577971</v>
      </c>
      <c r="K122" s="360">
        <f>(1+L122)/(1+Ke!$O$12)-1</f>
        <v>2.0000000000000018E-2</v>
      </c>
      <c r="L122" s="360">
        <f>'DRE + DCF'!$Y$31</f>
        <v>7.3550000000000004E-2</v>
      </c>
      <c r="M122" s="361">
        <f>(1+D122)^((5-Dashboard!$F$9)*3/12)</f>
        <v>1.0630588151593765</v>
      </c>
      <c r="N122" s="361">
        <f t="shared" ref="N122:V122" si="113">M122*(1+$D122)</f>
        <v>1.1533656615071659</v>
      </c>
      <c r="O122" s="361">
        <f t="shared" si="113"/>
        <v>1.2513440744522</v>
      </c>
      <c r="P122" s="361">
        <f t="shared" si="113"/>
        <v>1.3576457535769146</v>
      </c>
      <c r="Q122" s="361">
        <f t="shared" si="113"/>
        <v>1.4729777603432739</v>
      </c>
      <c r="R122" s="361">
        <f t="shared" si="113"/>
        <v>1.5981072210844354</v>
      </c>
      <c r="S122" s="361">
        <f t="shared" si="113"/>
        <v>1.7338664295155586</v>
      </c>
      <c r="T122" s="361">
        <f t="shared" si="113"/>
        <v>1.8811583827029059</v>
      </c>
      <c r="U122" s="361">
        <f t="shared" si="113"/>
        <v>2.0409627873135183</v>
      </c>
      <c r="V122" s="362">
        <f t="shared" si="113"/>
        <v>2.2143425760958024</v>
      </c>
      <c r="X122" s="351"/>
    </row>
    <row r="123" spans="3:24" ht="24.75" customHeight="1" x14ac:dyDescent="0.3">
      <c r="C123" s="353">
        <f>ABS(E123-Dashboard!$F$14)</f>
        <v>746.91422906089451</v>
      </c>
      <c r="D123" s="350">
        <f t="shared" si="69"/>
        <v>8.505000000000032E-2</v>
      </c>
      <c r="E123" s="359" cm="1">
        <f t="array" ref="E123">1000*SUM('DRE + DCF'!$L$36/M123,'DRE + DCF'!$N$36:$V$36/N123:V123,F123/V123)/Dashboard!$F$11</f>
        <v>843.90422906089452</v>
      </c>
      <c r="F123" s="359">
        <f t="shared" si="67"/>
        <v>91970106.038459972</v>
      </c>
      <c r="G123" s="359">
        <f>'DRE + DCF'!$W$31</f>
        <v>2791623.3540418856</v>
      </c>
      <c r="H123" s="359">
        <f>'DRE + DCF'!$W$32</f>
        <v>81081.931703745853</v>
      </c>
      <c r="I123" s="359">
        <f>-H123*('DRE + DCF'!$V$33+K123)/'DRE + DCF'!$V$33</f>
        <v>-90858.801614444121</v>
      </c>
      <c r="J123" s="359">
        <f>-'DRE + DCF'!$V$56*L123</f>
        <v>-1188924.4255577971</v>
      </c>
      <c r="K123" s="360">
        <f>(1+L123)/(1+Ke!$O$12)-1</f>
        <v>2.0000000000000018E-2</v>
      </c>
      <c r="L123" s="360">
        <f>'DRE + DCF'!$Y$31</f>
        <v>7.3550000000000004E-2</v>
      </c>
      <c r="M123" s="361">
        <f>(1+D123)^((5-Dashboard!$F$9)*3/12)</f>
        <v>1.0631323010274703</v>
      </c>
      <c r="N123" s="361">
        <f t="shared" ref="N123:V123" si="114">M123*(1+$D123)</f>
        <v>1.153551703229857</v>
      </c>
      <c r="O123" s="361">
        <f t="shared" si="114"/>
        <v>1.2516612755895566</v>
      </c>
      <c r="P123" s="361">
        <f t="shared" si="114"/>
        <v>1.3581150670784488</v>
      </c>
      <c r="Q123" s="361">
        <f t="shared" si="114"/>
        <v>1.4736227535334712</v>
      </c>
      <c r="R123" s="361">
        <f t="shared" si="114"/>
        <v>1.5989543687214933</v>
      </c>
      <c r="S123" s="361">
        <f t="shared" si="114"/>
        <v>1.7349454377812568</v>
      </c>
      <c r="T123" s="361">
        <f t="shared" si="114"/>
        <v>1.8825025472645531</v>
      </c>
      <c r="U123" s="361">
        <f t="shared" si="114"/>
        <v>2.0426093889094039</v>
      </c>
      <c r="V123" s="362">
        <f t="shared" si="114"/>
        <v>2.2163333174361495</v>
      </c>
      <c r="X123" s="351"/>
    </row>
    <row r="124" spans="3:24" ht="24.75" customHeight="1" x14ac:dyDescent="0.3">
      <c r="C124" s="353">
        <f>ABS(E124-Dashboard!$F$14)</f>
        <v>740.87403648308373</v>
      </c>
      <c r="D124" s="350">
        <f t="shared" si="69"/>
        <v>8.5150000000000323E-2</v>
      </c>
      <c r="E124" s="359" cm="1">
        <f t="array" ref="E124">1000*SUM('DRE + DCF'!$L$36/M124,'DRE + DCF'!$N$36:$V$36/N124:V124,F124/V124)/Dashboard!$F$11</f>
        <v>837.86403648308374</v>
      </c>
      <c r="F124" s="359">
        <f t="shared" si="67"/>
        <v>91308454.552769333</v>
      </c>
      <c r="G124" s="359">
        <f>'DRE + DCF'!$W$31</f>
        <v>2791623.3540418856</v>
      </c>
      <c r="H124" s="359">
        <f>'DRE + DCF'!$W$32</f>
        <v>81081.931703745853</v>
      </c>
      <c r="I124" s="359">
        <f>-H124*('DRE + DCF'!$V$33+K124)/'DRE + DCF'!$V$33</f>
        <v>-90858.801614444121</v>
      </c>
      <c r="J124" s="359">
        <f>-'DRE + DCF'!$V$56*L124</f>
        <v>-1188924.4255577971</v>
      </c>
      <c r="K124" s="360">
        <f>(1+L124)/(1+Ke!$O$12)-1</f>
        <v>2.0000000000000018E-2</v>
      </c>
      <c r="L124" s="360">
        <f>'DRE + DCF'!$Y$31</f>
        <v>7.3550000000000004E-2</v>
      </c>
      <c r="M124" s="361">
        <f>(1+D124)^((5-Dashboard!$F$9)*3/12)</f>
        <v>1.0632057852024388</v>
      </c>
      <c r="N124" s="361">
        <f t="shared" ref="N124:V124" si="115">M124*(1+$D124)</f>
        <v>1.1537377578124268</v>
      </c>
      <c r="O124" s="361">
        <f t="shared" si="115"/>
        <v>1.2519785278901554</v>
      </c>
      <c r="P124" s="361">
        <f t="shared" si="115"/>
        <v>1.3585844995400025</v>
      </c>
      <c r="Q124" s="361">
        <f t="shared" si="115"/>
        <v>1.4742679696758341</v>
      </c>
      <c r="R124" s="361">
        <f t="shared" si="115"/>
        <v>1.5998018872937319</v>
      </c>
      <c r="S124" s="361">
        <f t="shared" si="115"/>
        <v>1.7360250179967935</v>
      </c>
      <c r="T124" s="361">
        <f t="shared" si="115"/>
        <v>1.883847548279221</v>
      </c>
      <c r="U124" s="361">
        <f t="shared" si="115"/>
        <v>2.0442571670151972</v>
      </c>
      <c r="V124" s="362">
        <f t="shared" si="115"/>
        <v>2.2183256647865419</v>
      </c>
      <c r="X124" s="351"/>
    </row>
    <row r="125" spans="3:24" ht="24.75" customHeight="1" x14ac:dyDescent="0.3">
      <c r="C125" s="353">
        <f>ABS(E125-Dashboard!$F$14)</f>
        <v>734.9325167665047</v>
      </c>
      <c r="D125" s="350">
        <f t="shared" si="69"/>
        <v>8.5250000000000326E-2</v>
      </c>
      <c r="E125" s="359" cm="1">
        <f t="array" ref="E125">1000*SUM('DRE + DCF'!$L$36/M125,'DRE + DCF'!$N$36:$V$36/N125:V125,F125/V125)/Dashboard!$F$11</f>
        <v>831.92251676650471</v>
      </c>
      <c r="F125" s="359">
        <f t="shared" si="67"/>
        <v>90657808.192433566</v>
      </c>
      <c r="G125" s="359">
        <f>'DRE + DCF'!$W$31</f>
        <v>2791623.3540418856</v>
      </c>
      <c r="H125" s="359">
        <f>'DRE + DCF'!$W$32</f>
        <v>81081.931703745853</v>
      </c>
      <c r="I125" s="359">
        <f>-H125*('DRE + DCF'!$V$33+K125)/'DRE + DCF'!$V$33</f>
        <v>-90858.801614444121</v>
      </c>
      <c r="J125" s="359">
        <f>-'DRE + DCF'!$V$56*L125</f>
        <v>-1188924.4255577971</v>
      </c>
      <c r="K125" s="360">
        <f>(1+L125)/(1+Ke!$O$12)-1</f>
        <v>2.0000000000000018E-2</v>
      </c>
      <c r="L125" s="360">
        <f>'DRE + DCF'!$Y$31</f>
        <v>7.3550000000000004E-2</v>
      </c>
      <c r="M125" s="361">
        <f>(1+D125)^((5-Dashboard!$F$9)*3/12)</f>
        <v>1.0632792676844771</v>
      </c>
      <c r="N125" s="361">
        <f t="shared" ref="N125:V125" si="116">M125*(1+$D125)</f>
        <v>1.1539238252545791</v>
      </c>
      <c r="O125" s="361">
        <f t="shared" si="116"/>
        <v>1.2522958313575323</v>
      </c>
      <c r="P125" s="361">
        <f t="shared" si="116"/>
        <v>1.3590540509807623</v>
      </c>
      <c r="Q125" s="361">
        <f t="shared" si="116"/>
        <v>1.4749134088268727</v>
      </c>
      <c r="R125" s="361">
        <f t="shared" si="116"/>
        <v>1.6006497769293639</v>
      </c>
      <c r="S125" s="361">
        <f t="shared" si="116"/>
        <v>1.7371051704125926</v>
      </c>
      <c r="T125" s="361">
        <f t="shared" si="116"/>
        <v>1.8851933861902666</v>
      </c>
      <c r="U125" s="361">
        <f t="shared" si="116"/>
        <v>2.0459061223629873</v>
      </c>
      <c r="V125" s="362">
        <f t="shared" si="116"/>
        <v>2.2203196192944326</v>
      </c>
      <c r="X125" s="351"/>
    </row>
    <row r="126" spans="3:24" ht="24.75" customHeight="1" x14ac:dyDescent="0.3">
      <c r="C126" s="353">
        <f>ABS(E126-Dashboard!$F$14)</f>
        <v>729.08717942884778</v>
      </c>
      <c r="D126" s="350">
        <f t="shared" si="69"/>
        <v>8.5350000000000328E-2</v>
      </c>
      <c r="E126" s="359" cm="1">
        <f t="array" ref="E126">1000*SUM('DRE + DCF'!$L$36/M126,'DRE + DCF'!$N$36:$V$36/N126:V126,F126/V126)/Dashboard!$F$11</f>
        <v>826.07717942884778</v>
      </c>
      <c r="F126" s="359">
        <f t="shared" si="67"/>
        <v>90017888.229646295</v>
      </c>
      <c r="G126" s="359">
        <f>'DRE + DCF'!$W$31</f>
        <v>2791623.3540418856</v>
      </c>
      <c r="H126" s="359">
        <f>'DRE + DCF'!$W$32</f>
        <v>81081.931703745853</v>
      </c>
      <c r="I126" s="359">
        <f>-H126*('DRE + DCF'!$V$33+K126)/'DRE + DCF'!$V$33</f>
        <v>-90858.801614444121</v>
      </c>
      <c r="J126" s="359">
        <f>-'DRE + DCF'!$V$56*L126</f>
        <v>-1188924.4255577971</v>
      </c>
      <c r="K126" s="360">
        <f>(1+L126)/(1+Ke!$O$12)-1</f>
        <v>2.0000000000000018E-2</v>
      </c>
      <c r="L126" s="360">
        <f>'DRE + DCF'!$Y$31</f>
        <v>7.3550000000000004E-2</v>
      </c>
      <c r="M126" s="361">
        <f>(1+D126)^((5-Dashboard!$F$9)*3/12)</f>
        <v>1.0633527484737801</v>
      </c>
      <c r="N126" s="361">
        <f t="shared" ref="N126:V126" si="117">M126*(1+$D126)</f>
        <v>1.1541099055560176</v>
      </c>
      <c r="O126" s="361">
        <f t="shared" si="117"/>
        <v>1.2526131859952239</v>
      </c>
      <c r="P126" s="361">
        <f t="shared" si="117"/>
        <v>1.3595237214199165</v>
      </c>
      <c r="Q126" s="361">
        <f t="shared" si="117"/>
        <v>1.4755590710431068</v>
      </c>
      <c r="R126" s="361">
        <f t="shared" si="117"/>
        <v>1.6014980377566364</v>
      </c>
      <c r="S126" s="361">
        <f t="shared" si="117"/>
        <v>1.7381858952791658</v>
      </c>
      <c r="T126" s="361">
        <f t="shared" si="117"/>
        <v>1.8865400614412431</v>
      </c>
      <c r="U126" s="361">
        <f t="shared" si="117"/>
        <v>2.0475562556852536</v>
      </c>
      <c r="V126" s="362">
        <f t="shared" si="117"/>
        <v>2.2223151821079905</v>
      </c>
      <c r="X126" s="351"/>
    </row>
    <row r="127" spans="3:24" ht="24.75" customHeight="1" x14ac:dyDescent="0.3">
      <c r="C127" s="353">
        <f>ABS(E127-Dashboard!$F$14)</f>
        <v>723.33561761432293</v>
      </c>
      <c r="D127" s="350">
        <f t="shared" si="69"/>
        <v>8.5450000000000331E-2</v>
      </c>
      <c r="E127" s="359" cm="1">
        <f t="array" ref="E127">1000*SUM('DRE + DCF'!$L$36/M127,'DRE + DCF'!$N$36:$V$36/N127:V127,F127/V127)/Dashboard!$F$11</f>
        <v>820.32561761432294</v>
      </c>
      <c r="F127" s="359">
        <f t="shared" si="67"/>
        <v>89388425.3006666</v>
      </c>
      <c r="G127" s="359">
        <f>'DRE + DCF'!$W$31</f>
        <v>2791623.3540418856</v>
      </c>
      <c r="H127" s="359">
        <f>'DRE + DCF'!$W$32</f>
        <v>81081.931703745853</v>
      </c>
      <c r="I127" s="359">
        <f>-H127*('DRE + DCF'!$V$33+K127)/'DRE + DCF'!$V$33</f>
        <v>-90858.801614444121</v>
      </c>
      <c r="J127" s="359">
        <f>-'DRE + DCF'!$V$56*L127</f>
        <v>-1188924.4255577971</v>
      </c>
      <c r="K127" s="360">
        <f>(1+L127)/(1+Ke!$O$12)-1</f>
        <v>2.0000000000000018E-2</v>
      </c>
      <c r="L127" s="360">
        <f>'DRE + DCF'!$Y$31</f>
        <v>7.3550000000000004E-2</v>
      </c>
      <c r="M127" s="361">
        <f>(1+D127)^((5-Dashboard!$F$9)*3/12)</f>
        <v>1.0634262275705431</v>
      </c>
      <c r="N127" s="361">
        <f t="shared" ref="N127:V127" si="118">M127*(1+$D127)</f>
        <v>1.1542959987164463</v>
      </c>
      <c r="O127" s="361">
        <f t="shared" si="118"/>
        <v>1.2529305918067668</v>
      </c>
      <c r="P127" s="361">
        <f t="shared" si="118"/>
        <v>1.3599935108766554</v>
      </c>
      <c r="Q127" s="361">
        <f t="shared" si="118"/>
        <v>1.476204956381066</v>
      </c>
      <c r="R127" s="361">
        <f t="shared" si="118"/>
        <v>1.6023466699038285</v>
      </c>
      <c r="S127" s="361">
        <f t="shared" si="118"/>
        <v>1.7392671928471111</v>
      </c>
      <c r="T127" s="361">
        <f t="shared" si="118"/>
        <v>1.8878875744758972</v>
      </c>
      <c r="U127" s="361">
        <f t="shared" si="118"/>
        <v>2.0492075677148631</v>
      </c>
      <c r="V127" s="362">
        <f t="shared" si="118"/>
        <v>2.2243123543760985</v>
      </c>
      <c r="X127" s="351"/>
    </row>
    <row r="128" spans="3:24" ht="24.75" customHeight="1" x14ac:dyDescent="0.3">
      <c r="C128" s="353">
        <f>ABS(E128-Dashboard!$F$14)</f>
        <v>717.67550460973052</v>
      </c>
      <c r="D128" s="350">
        <f t="shared" si="69"/>
        <v>8.5550000000000334E-2</v>
      </c>
      <c r="E128" s="359" cm="1">
        <f t="array" ref="E128">1000*SUM('DRE + DCF'!$L$36/M128,'DRE + DCF'!$N$36:$V$36/N128:V128,F128/V128)/Dashboard!$F$11</f>
        <v>814.66550460973053</v>
      </c>
      <c r="F128" s="359">
        <f t="shared" si="67"/>
        <v>88769159.015677974</v>
      </c>
      <c r="G128" s="359">
        <f>'DRE + DCF'!$W$31</f>
        <v>2791623.3540418856</v>
      </c>
      <c r="H128" s="359">
        <f>'DRE + DCF'!$W$32</f>
        <v>81081.931703745853</v>
      </c>
      <c r="I128" s="359">
        <f>-H128*('DRE + DCF'!$V$33+K128)/'DRE + DCF'!$V$33</f>
        <v>-90858.801614444121</v>
      </c>
      <c r="J128" s="359">
        <f>-'DRE + DCF'!$V$56*L128</f>
        <v>-1188924.4255577971</v>
      </c>
      <c r="K128" s="360">
        <f>(1+L128)/(1+Ke!$O$12)-1</f>
        <v>2.0000000000000018E-2</v>
      </c>
      <c r="L128" s="360">
        <f>'DRE + DCF'!$Y$31</f>
        <v>7.3550000000000004E-2</v>
      </c>
      <c r="M128" s="361">
        <f>(1+D128)^((5-Dashboard!$F$9)*3/12)</f>
        <v>1.0634997049749604</v>
      </c>
      <c r="N128" s="361">
        <f t="shared" ref="N128:V128" si="119">M128*(1+$D128)</f>
        <v>1.1544821047355684</v>
      </c>
      <c r="O128" s="361">
        <f t="shared" si="119"/>
        <v>1.2532480487956965</v>
      </c>
      <c r="P128" s="361">
        <f t="shared" si="119"/>
        <v>1.3604634193701686</v>
      </c>
      <c r="Q128" s="361">
        <f t="shared" si="119"/>
        <v>1.4768510648972868</v>
      </c>
      <c r="R128" s="361">
        <f t="shared" si="119"/>
        <v>1.6031956734992501</v>
      </c>
      <c r="S128" s="361">
        <f t="shared" si="119"/>
        <v>1.7403490633671113</v>
      </c>
      <c r="T128" s="361">
        <f t="shared" si="119"/>
        <v>1.8892359257381681</v>
      </c>
      <c r="U128" s="361">
        <f t="shared" si="119"/>
        <v>2.050860059185069</v>
      </c>
      <c r="V128" s="362">
        <f t="shared" si="119"/>
        <v>2.2263111372483522</v>
      </c>
      <c r="X128" s="351"/>
    </row>
    <row r="129" spans="3:24" ht="24.75" customHeight="1" x14ac:dyDescent="0.3">
      <c r="C129" s="353">
        <f>ABS(E129-Dashboard!$F$14)</f>
        <v>712.10459053328339</v>
      </c>
      <c r="D129" s="350">
        <f t="shared" si="69"/>
        <v>8.5650000000000337E-2</v>
      </c>
      <c r="E129" s="359" cm="1">
        <f t="array" ref="E129">1000*SUM('DRE + DCF'!$L$36/M129,'DRE + DCF'!$N$36:$V$36/N129:V129,F129/V129)/Dashboard!$F$11</f>
        <v>809.09459053328339</v>
      </c>
      <c r="F129" s="359">
        <f t="shared" si="67"/>
        <v>88159837.587993279</v>
      </c>
      <c r="G129" s="359">
        <f>'DRE + DCF'!$W$31</f>
        <v>2791623.3540418856</v>
      </c>
      <c r="H129" s="359">
        <f>'DRE + DCF'!$W$32</f>
        <v>81081.931703745853</v>
      </c>
      <c r="I129" s="359">
        <f>-H129*('DRE + DCF'!$V$33+K129)/'DRE + DCF'!$V$33</f>
        <v>-90858.801614444121</v>
      </c>
      <c r="J129" s="359">
        <f>-'DRE + DCF'!$V$56*L129</f>
        <v>-1188924.4255577971</v>
      </c>
      <c r="K129" s="360">
        <f>(1+L129)/(1+Ke!$O$12)-1</f>
        <v>2.0000000000000018E-2</v>
      </c>
      <c r="L129" s="360">
        <f>'DRE + DCF'!$Y$31</f>
        <v>7.3550000000000004E-2</v>
      </c>
      <c r="M129" s="361">
        <f>(1+D129)^((5-Dashboard!$F$9)*3/12)</f>
        <v>1.0635731806872273</v>
      </c>
      <c r="N129" s="361">
        <f t="shared" ref="N129:V129" si="120">M129*(1+$D129)</f>
        <v>1.1546682236130885</v>
      </c>
      <c r="O129" s="361">
        <f t="shared" si="120"/>
        <v>1.2535655569655497</v>
      </c>
      <c r="P129" s="361">
        <f t="shared" si="120"/>
        <v>1.3609334469196492</v>
      </c>
      <c r="Q129" s="361">
        <f t="shared" si="120"/>
        <v>1.4774973966483176</v>
      </c>
      <c r="R129" s="361">
        <f t="shared" si="120"/>
        <v>1.6040450486712463</v>
      </c>
      <c r="S129" s="361">
        <f t="shared" si="120"/>
        <v>1.7414315070899389</v>
      </c>
      <c r="T129" s="361">
        <f t="shared" si="120"/>
        <v>1.8905851156721925</v>
      </c>
      <c r="U129" s="361">
        <f t="shared" si="120"/>
        <v>2.0525137308295163</v>
      </c>
      <c r="V129" s="362">
        <f t="shared" si="120"/>
        <v>2.2283115318750646</v>
      </c>
      <c r="X129" s="351"/>
    </row>
    <row r="130" spans="3:24" ht="24.75" customHeight="1" x14ac:dyDescent="0.3">
      <c r="C130" s="353">
        <f>ABS(E130-Dashboard!$F$14)</f>
        <v>706.62069918627378</v>
      </c>
      <c r="D130" s="350">
        <f t="shared" si="69"/>
        <v>8.575000000000034E-2</v>
      </c>
      <c r="E130" s="359" cm="1">
        <f t="array" ref="E130">1000*SUM('DRE + DCF'!$L$36/M130,'DRE + DCF'!$N$36:$V$36/N130:V130,F130/V130)/Dashboard!$F$11</f>
        <v>803.61069918627379</v>
      </c>
      <c r="F130" s="359">
        <f t="shared" si="67"/>
        <v>87560217.481495306</v>
      </c>
      <c r="G130" s="359">
        <f>'DRE + DCF'!$W$31</f>
        <v>2791623.3540418856</v>
      </c>
      <c r="H130" s="359">
        <f>'DRE + DCF'!$W$32</f>
        <v>81081.931703745853</v>
      </c>
      <c r="I130" s="359">
        <f>-H130*('DRE + DCF'!$V$33+K130)/'DRE + DCF'!$V$33</f>
        <v>-90858.801614444121</v>
      </c>
      <c r="J130" s="359">
        <f>-'DRE + DCF'!$V$56*L130</f>
        <v>-1188924.4255577971</v>
      </c>
      <c r="K130" s="360">
        <f>(1+L130)/(1+Ke!$O$12)-1</f>
        <v>2.0000000000000018E-2</v>
      </c>
      <c r="L130" s="360">
        <f>'DRE + DCF'!$Y$31</f>
        <v>7.3550000000000004E-2</v>
      </c>
      <c r="M130" s="361">
        <f>(1+D130)^((5-Dashboard!$F$9)*3/12)</f>
        <v>1.0636466547075387</v>
      </c>
      <c r="N130" s="361">
        <f t="shared" ref="N130:V130" si="121">M130*(1+$D130)</f>
        <v>1.1548543553487107</v>
      </c>
      <c r="O130" s="361">
        <f t="shared" si="121"/>
        <v>1.2538831163198632</v>
      </c>
      <c r="P130" s="361">
        <f t="shared" si="121"/>
        <v>1.3614035935442921</v>
      </c>
      <c r="Q130" s="361">
        <f t="shared" si="121"/>
        <v>1.4781439516907158</v>
      </c>
      <c r="R130" s="361">
        <f t="shared" si="121"/>
        <v>1.6048947955481954</v>
      </c>
      <c r="S130" s="361">
        <f t="shared" si="121"/>
        <v>1.7425145242664539</v>
      </c>
      <c r="T130" s="361">
        <f t="shared" si="121"/>
        <v>1.8919351447223032</v>
      </c>
      <c r="U130" s="361">
        <f t="shared" si="121"/>
        <v>2.0541685833822414</v>
      </c>
      <c r="V130" s="362">
        <f t="shared" si="121"/>
        <v>2.2303135394072693</v>
      </c>
      <c r="X130" s="351"/>
    </row>
    <row r="131" spans="3:24" ht="24.75" customHeight="1" x14ac:dyDescent="0.3">
      <c r="C131" s="353">
        <f>ABS(E131-Dashboard!$F$14)</f>
        <v>701.2217250583177</v>
      </c>
      <c r="D131" s="350">
        <f t="shared" si="69"/>
        <v>8.5850000000000343E-2</v>
      </c>
      <c r="E131" s="359" cm="1">
        <f t="array" ref="E131">1000*SUM('DRE + DCF'!$L$36/M131,'DRE + DCF'!$N$36:$V$36/N131:V131,F131/V131)/Dashboard!$F$11</f>
        <v>798.21172505831771</v>
      </c>
      <c r="F131" s="359">
        <f t="shared" si="67"/>
        <v>86970063.075274929</v>
      </c>
      <c r="G131" s="359">
        <f>'DRE + DCF'!$W$31</f>
        <v>2791623.3540418856</v>
      </c>
      <c r="H131" s="359">
        <f>'DRE + DCF'!$W$32</f>
        <v>81081.931703745853</v>
      </c>
      <c r="I131" s="359">
        <f>-H131*('DRE + DCF'!$V$33+K131)/'DRE + DCF'!$V$33</f>
        <v>-90858.801614444121</v>
      </c>
      <c r="J131" s="359">
        <f>-'DRE + DCF'!$V$56*L131</f>
        <v>-1188924.4255577971</v>
      </c>
      <c r="K131" s="360">
        <f>(1+L131)/(1+Ke!$O$12)-1</f>
        <v>2.0000000000000018E-2</v>
      </c>
      <c r="L131" s="360">
        <f>'DRE + DCF'!$Y$31</f>
        <v>7.3550000000000004E-2</v>
      </c>
      <c r="M131" s="361">
        <f>(1+D131)^((5-Dashboard!$F$9)*3/12)</f>
        <v>1.0637201270360892</v>
      </c>
      <c r="N131" s="361">
        <f t="shared" ref="N131:V131" si="122">M131*(1+$D131)</f>
        <v>1.155040499942138</v>
      </c>
      <c r="O131" s="361">
        <f t="shared" si="122"/>
        <v>1.2542007268621711</v>
      </c>
      <c r="P131" s="361">
        <f t="shared" si="122"/>
        <v>1.3618738592632891</v>
      </c>
      <c r="Q131" s="361">
        <f t="shared" si="122"/>
        <v>1.478790730081043</v>
      </c>
      <c r="R131" s="361">
        <f t="shared" si="122"/>
        <v>1.6057449142585012</v>
      </c>
      <c r="S131" s="361">
        <f t="shared" si="122"/>
        <v>1.7435981151475941</v>
      </c>
      <c r="T131" s="361">
        <f t="shared" si="122"/>
        <v>1.8932860133330158</v>
      </c>
      <c r="U131" s="361">
        <f t="shared" si="122"/>
        <v>2.055824617577656</v>
      </c>
      <c r="V131" s="362">
        <f t="shared" si="122"/>
        <v>2.2323171609966987</v>
      </c>
      <c r="X131" s="351"/>
    </row>
    <row r="132" spans="3:24" ht="24.75" customHeight="1" x14ac:dyDescent="0.3">
      <c r="C132" s="353">
        <f>ABS(E132-Dashboard!$F$14)</f>
        <v>695.90563047748913</v>
      </c>
      <c r="D132" s="350">
        <f t="shared" si="69"/>
        <v>8.5950000000000346E-2</v>
      </c>
      <c r="E132" s="359" cm="1">
        <f t="array" ref="E132">1000*SUM('DRE + DCF'!$L$36/M132,'DRE + DCF'!$N$36:$V$36/N132:V132,F132/V132)/Dashboard!$F$11</f>
        <v>792.89563047748914</v>
      </c>
      <c r="F132" s="359">
        <f t="shared" si="67"/>
        <v>86389146.344496623</v>
      </c>
      <c r="G132" s="359">
        <f>'DRE + DCF'!$W$31</f>
        <v>2791623.3540418856</v>
      </c>
      <c r="H132" s="359">
        <f>'DRE + DCF'!$W$32</f>
        <v>81081.931703745853</v>
      </c>
      <c r="I132" s="359">
        <f>-H132*('DRE + DCF'!$V$33+K132)/'DRE + DCF'!$V$33</f>
        <v>-90858.801614444121</v>
      </c>
      <c r="J132" s="359">
        <f>-'DRE + DCF'!$V$56*L132</f>
        <v>-1188924.4255577971</v>
      </c>
      <c r="K132" s="360">
        <f>(1+L132)/(1+Ke!$O$12)-1</f>
        <v>2.0000000000000018E-2</v>
      </c>
      <c r="L132" s="360">
        <f>'DRE + DCF'!$Y$31</f>
        <v>7.3550000000000004E-2</v>
      </c>
      <c r="M132" s="361">
        <f>(1+D132)^((5-Dashboard!$F$9)*3/12)</f>
        <v>1.0637935976730735</v>
      </c>
      <c r="N132" s="361">
        <f t="shared" ref="N132:V132" si="123">M132*(1+$D132)</f>
        <v>1.1552266573930745</v>
      </c>
      <c r="O132" s="361">
        <f t="shared" si="123"/>
        <v>1.2545183885960098</v>
      </c>
      <c r="P132" s="361">
        <f t="shared" si="123"/>
        <v>1.3623442440958373</v>
      </c>
      <c r="Q132" s="361">
        <f t="shared" si="123"/>
        <v>1.4794377318758751</v>
      </c>
      <c r="R132" s="361">
        <f t="shared" si="123"/>
        <v>1.6065954049306073</v>
      </c>
      <c r="S132" s="361">
        <f t="shared" si="123"/>
        <v>1.7446822799843935</v>
      </c>
      <c r="T132" s="361">
        <f t="shared" si="123"/>
        <v>1.8946377219490529</v>
      </c>
      <c r="U132" s="361">
        <f t="shared" si="123"/>
        <v>2.057481834150575</v>
      </c>
      <c r="V132" s="362">
        <f t="shared" si="123"/>
        <v>2.2343223977958178</v>
      </c>
      <c r="X132" s="351"/>
    </row>
    <row r="133" spans="3:24" ht="24.75" customHeight="1" x14ac:dyDescent="0.3">
      <c r="C133" s="353">
        <f>ABS(E133-Dashboard!$F$14)</f>
        <v>690.67044289726016</v>
      </c>
      <c r="D133" s="350">
        <f t="shared" si="69"/>
        <v>8.6050000000000348E-2</v>
      </c>
      <c r="E133" s="359" cm="1">
        <f t="array" ref="E133">1000*SUM('DRE + DCF'!$L$36/M133,'DRE + DCF'!$N$36:$V$36/N133:V133,F133/V133)/Dashboard!$F$11</f>
        <v>787.66044289726017</v>
      </c>
      <c r="F133" s="359">
        <f t="shared" si="67"/>
        <v>85817246.556581765</v>
      </c>
      <c r="G133" s="359">
        <f>'DRE + DCF'!$W$31</f>
        <v>2791623.3540418856</v>
      </c>
      <c r="H133" s="359">
        <f>'DRE + DCF'!$W$32</f>
        <v>81081.931703745853</v>
      </c>
      <c r="I133" s="359">
        <f>-H133*('DRE + DCF'!$V$33+K133)/'DRE + DCF'!$V$33</f>
        <v>-90858.801614444121</v>
      </c>
      <c r="J133" s="359">
        <f>-'DRE + DCF'!$V$56*L133</f>
        <v>-1188924.4255577971</v>
      </c>
      <c r="K133" s="360">
        <f>(1+L133)/(1+Ke!$O$12)-1</f>
        <v>2.0000000000000018E-2</v>
      </c>
      <c r="L133" s="360">
        <f>'DRE + DCF'!$Y$31</f>
        <v>7.3550000000000004E-2</v>
      </c>
      <c r="M133" s="361">
        <f>(1+D133)^((5-Dashboard!$F$9)*3/12)</f>
        <v>1.0638670666186865</v>
      </c>
      <c r="N133" s="361">
        <f t="shared" ref="N133:V133" si="124">M133*(1+$D133)</f>
        <v>1.1554128277012248</v>
      </c>
      <c r="O133" s="361">
        <f t="shared" si="124"/>
        <v>1.2548361015249156</v>
      </c>
      <c r="P133" s="361">
        <f t="shared" si="124"/>
        <v>1.3628147480611352</v>
      </c>
      <c r="Q133" s="361">
        <f t="shared" si="124"/>
        <v>1.4800849571317964</v>
      </c>
      <c r="R133" s="361">
        <f t="shared" si="124"/>
        <v>1.6074462676929882</v>
      </c>
      <c r="S133" s="361">
        <f t="shared" si="124"/>
        <v>1.7457670190279704</v>
      </c>
      <c r="T133" s="361">
        <f t="shared" si="124"/>
        <v>1.895990271015328</v>
      </c>
      <c r="U133" s="361">
        <f t="shared" si="124"/>
        <v>2.0591402338361977</v>
      </c>
      <c r="V133" s="362">
        <f t="shared" si="124"/>
        <v>2.2363292509578034</v>
      </c>
      <c r="X133" s="351"/>
    </row>
    <row r="134" spans="3:24" ht="24.75" customHeight="1" x14ac:dyDescent="0.3">
      <c r="C134" s="353">
        <f>ABS(E134-Dashboard!$F$14)</f>
        <v>685.51425231262306</v>
      </c>
      <c r="D134" s="350">
        <f t="shared" si="69"/>
        <v>8.6150000000000351E-2</v>
      </c>
      <c r="E134" s="359" cm="1">
        <f t="array" ref="E134">1000*SUM('DRE + DCF'!$L$36/M134,'DRE + DCF'!$N$36:$V$36/N134:V134,F134/V134)/Dashboard!$F$11</f>
        <v>782.50425231262307</v>
      </c>
      <c r="F134" s="359">
        <f t="shared" si="67"/>
        <v>85254149.981859729</v>
      </c>
      <c r="G134" s="359">
        <f>'DRE + DCF'!$W$31</f>
        <v>2791623.3540418856</v>
      </c>
      <c r="H134" s="359">
        <f>'DRE + DCF'!$W$32</f>
        <v>81081.931703745853</v>
      </c>
      <c r="I134" s="359">
        <f>-H134*('DRE + DCF'!$V$33+K134)/'DRE + DCF'!$V$33</f>
        <v>-90858.801614444121</v>
      </c>
      <c r="J134" s="359">
        <f>-'DRE + DCF'!$V$56*L134</f>
        <v>-1188924.4255577971</v>
      </c>
      <c r="K134" s="360">
        <f>(1+L134)/(1+Ke!$O$12)-1</f>
        <v>2.0000000000000018E-2</v>
      </c>
      <c r="L134" s="360">
        <f>'DRE + DCF'!$Y$31</f>
        <v>7.3550000000000004E-2</v>
      </c>
      <c r="M134" s="361">
        <f>(1+D134)^((5-Dashboard!$F$9)*3/12)</f>
        <v>1.0639405338731225</v>
      </c>
      <c r="N134" s="361">
        <f t="shared" ref="N134:V134" si="125">M134*(1+$D134)</f>
        <v>1.1555990108662924</v>
      </c>
      <c r="O134" s="361">
        <f t="shared" si="125"/>
        <v>1.2551538656524239</v>
      </c>
      <c r="P134" s="361">
        <f t="shared" si="125"/>
        <v>1.3632853711783808</v>
      </c>
      <c r="Q134" s="361">
        <f t="shared" si="125"/>
        <v>1.4807324059053988</v>
      </c>
      <c r="R134" s="361">
        <f t="shared" si="125"/>
        <v>1.6082975026741495</v>
      </c>
      <c r="S134" s="361">
        <f t="shared" si="125"/>
        <v>1.7468523325295282</v>
      </c>
      <c r="T134" s="361">
        <f t="shared" si="125"/>
        <v>1.8973436609769478</v>
      </c>
      <c r="U134" s="361">
        <f t="shared" si="125"/>
        <v>2.0607998173701128</v>
      </c>
      <c r="V134" s="362">
        <f t="shared" si="125"/>
        <v>2.2383377216365488</v>
      </c>
      <c r="X134" s="351"/>
    </row>
    <row r="135" spans="3:24" ht="24.75" customHeight="1" x14ac:dyDescent="0.3">
      <c r="C135" s="353">
        <f>ABS(E135-Dashboard!$F$14)</f>
        <v>680.43520879828407</v>
      </c>
      <c r="D135" s="350">
        <f t="shared" si="69"/>
        <v>8.6250000000000354E-2</v>
      </c>
      <c r="E135" s="359" cm="1">
        <f t="array" ref="E135">1000*SUM('DRE + DCF'!$L$36/M135,'DRE + DCF'!$N$36:$V$36/N135:V135,F135/V135)/Dashboard!$F$11</f>
        <v>777.42520879828407</v>
      </c>
      <c r="F135" s="359">
        <f t="shared" si="67"/>
        <v>84699649.617888451</v>
      </c>
      <c r="G135" s="359">
        <f>'DRE + DCF'!$W$31</f>
        <v>2791623.3540418856</v>
      </c>
      <c r="H135" s="359">
        <f>'DRE + DCF'!$W$32</f>
        <v>81081.931703745853</v>
      </c>
      <c r="I135" s="359">
        <f>-H135*('DRE + DCF'!$V$33+K135)/'DRE + DCF'!$V$33</f>
        <v>-90858.801614444121</v>
      </c>
      <c r="J135" s="359">
        <f>-'DRE + DCF'!$V$56*L135</f>
        <v>-1188924.4255577971</v>
      </c>
      <c r="K135" s="360">
        <f>(1+L135)/(1+Ke!$O$12)-1</f>
        <v>2.0000000000000018E-2</v>
      </c>
      <c r="L135" s="360">
        <f>'DRE + DCF'!$Y$31</f>
        <v>7.3550000000000004E-2</v>
      </c>
      <c r="M135" s="361">
        <f>(1+D135)^((5-Dashboard!$F$9)*3/12)</f>
        <v>1.0640139994365765</v>
      </c>
      <c r="N135" s="361">
        <f t="shared" ref="N135:V135" si="126">M135*(1+$D135)</f>
        <v>1.1557852068879817</v>
      </c>
      <c r="O135" s="361">
        <f t="shared" si="126"/>
        <v>1.2554716809820705</v>
      </c>
      <c r="P135" s="361">
        <f t="shared" si="126"/>
        <v>1.3637561134667746</v>
      </c>
      <c r="Q135" s="361">
        <f t="shared" si="126"/>
        <v>1.4813800782532844</v>
      </c>
      <c r="R135" s="361">
        <f t="shared" si="126"/>
        <v>1.6091491100026307</v>
      </c>
      <c r="S135" s="361">
        <f t="shared" si="126"/>
        <v>1.7479382207403582</v>
      </c>
      <c r="T135" s="361">
        <f t="shared" si="126"/>
        <v>1.8986978922792148</v>
      </c>
      <c r="U135" s="361">
        <f t="shared" si="126"/>
        <v>2.062460585488298</v>
      </c>
      <c r="V135" s="362">
        <f t="shared" si="126"/>
        <v>2.2403478109866644</v>
      </c>
      <c r="X135" s="351"/>
    </row>
    <row r="136" spans="3:24" ht="24.75" customHeight="1" x14ac:dyDescent="0.3">
      <c r="C136" s="353">
        <f>ABS(E136-Dashboard!$F$14)</f>
        <v>675.43152016225122</v>
      </c>
      <c r="D136" s="350">
        <f t="shared" si="69"/>
        <v>8.6350000000000357E-2</v>
      </c>
      <c r="E136" s="359" cm="1">
        <f t="array" ref="E136">1000*SUM('DRE + DCF'!$L$36/M136,'DRE + DCF'!$N$36:$V$36/N136:V136,F136/V136)/Dashboard!$F$11</f>
        <v>772.42152016225123</v>
      </c>
      <c r="F136" s="359">
        <f t="shared" si="67"/>
        <v>84153544.926697508</v>
      </c>
      <c r="G136" s="359">
        <f>'DRE + DCF'!$W$31</f>
        <v>2791623.3540418856</v>
      </c>
      <c r="H136" s="359">
        <f>'DRE + DCF'!$W$32</f>
        <v>81081.931703745853</v>
      </c>
      <c r="I136" s="359">
        <f>-H136*('DRE + DCF'!$V$33+K136)/'DRE + DCF'!$V$33</f>
        <v>-90858.801614444121</v>
      </c>
      <c r="J136" s="359">
        <f>-'DRE + DCF'!$V$56*L136</f>
        <v>-1188924.4255577971</v>
      </c>
      <c r="K136" s="360">
        <f>(1+L136)/(1+Ke!$O$12)-1</f>
        <v>2.0000000000000018E-2</v>
      </c>
      <c r="L136" s="360">
        <f>'DRE + DCF'!$Y$31</f>
        <v>7.3550000000000004E-2</v>
      </c>
      <c r="M136" s="361">
        <f>(1+D136)^((5-Dashboard!$F$9)*3/12)</f>
        <v>1.064087463309243</v>
      </c>
      <c r="N136" s="361">
        <f t="shared" ref="N136:V136" si="127">M136*(1+$D136)</f>
        <v>1.1559714157659966</v>
      </c>
      <c r="O136" s="361">
        <f t="shared" si="127"/>
        <v>1.2557895475173908</v>
      </c>
      <c r="P136" s="361">
        <f t="shared" si="127"/>
        <v>1.364226974945518</v>
      </c>
      <c r="Q136" s="361">
        <f t="shared" si="127"/>
        <v>1.4820279742320641</v>
      </c>
      <c r="R136" s="361">
        <f t="shared" si="127"/>
        <v>1.6100010898070034</v>
      </c>
      <c r="S136" s="361">
        <f t="shared" si="127"/>
        <v>1.7490246839118389</v>
      </c>
      <c r="T136" s="361">
        <f t="shared" si="127"/>
        <v>1.9000529653676268</v>
      </c>
      <c r="U136" s="361">
        <f t="shared" si="127"/>
        <v>2.0641225389271223</v>
      </c>
      <c r="V136" s="362">
        <f t="shared" si="127"/>
        <v>2.2423595201634798</v>
      </c>
      <c r="X136" s="351"/>
    </row>
    <row r="137" spans="3:24" ht="24.75" customHeight="1" x14ac:dyDescent="0.3">
      <c r="C137" s="353">
        <f>ABS(E137-Dashboard!$F$14)</f>
        <v>670.50144970855422</v>
      </c>
      <c r="D137" s="350">
        <f t="shared" si="69"/>
        <v>8.645000000000036E-2</v>
      </c>
      <c r="E137" s="359" cm="1">
        <f t="array" ref="E137">1000*SUM('DRE + DCF'!$L$36/M137,'DRE + DCF'!$N$36:$V$36/N137:V137,F137/V137)/Dashboard!$F$11</f>
        <v>767.49144970855423</v>
      </c>
      <c r="F137" s="359">
        <f t="shared" si="67"/>
        <v>83615641.584252104</v>
      </c>
      <c r="G137" s="359">
        <f>'DRE + DCF'!$W$31</f>
        <v>2791623.3540418856</v>
      </c>
      <c r="H137" s="359">
        <f>'DRE + DCF'!$W$32</f>
        <v>81081.931703745853</v>
      </c>
      <c r="I137" s="359">
        <f>-H137*('DRE + DCF'!$V$33+K137)/'DRE + DCF'!$V$33</f>
        <v>-90858.801614444121</v>
      </c>
      <c r="J137" s="359">
        <f>-'DRE + DCF'!$V$56*L137</f>
        <v>-1188924.4255577971</v>
      </c>
      <c r="K137" s="360">
        <f>(1+L137)/(1+Ke!$O$12)-1</f>
        <v>2.0000000000000018E-2</v>
      </c>
      <c r="L137" s="360">
        <f>'DRE + DCF'!$Y$31</f>
        <v>7.3550000000000004E-2</v>
      </c>
      <c r="M137" s="361">
        <f>(1+D137)^((5-Dashboard!$F$9)*3/12)</f>
        <v>1.0641609254913167</v>
      </c>
      <c r="N137" s="361">
        <f t="shared" ref="N137:V137" si="128">M137*(1+$D137)</f>
        <v>1.1561576375000413</v>
      </c>
      <c r="O137" s="361">
        <f t="shared" si="128"/>
        <v>1.2561074652619202</v>
      </c>
      <c r="P137" s="361">
        <f t="shared" si="128"/>
        <v>1.3646979556338137</v>
      </c>
      <c r="Q137" s="361">
        <f t="shared" si="128"/>
        <v>1.4826760938983574</v>
      </c>
      <c r="R137" s="361">
        <f t="shared" si="128"/>
        <v>1.6108534422158709</v>
      </c>
      <c r="S137" s="361">
        <f t="shared" si="128"/>
        <v>1.7501117222954334</v>
      </c>
      <c r="T137" s="361">
        <f t="shared" si="128"/>
        <v>1.9014088806878744</v>
      </c>
      <c r="U137" s="361">
        <f t="shared" si="128"/>
        <v>2.0657856784233419</v>
      </c>
      <c r="V137" s="362">
        <f t="shared" si="128"/>
        <v>2.2443728503230407</v>
      </c>
      <c r="X137" s="351"/>
    </row>
    <row r="138" spans="3:24" ht="24.75" customHeight="1" x14ac:dyDescent="0.3">
      <c r="C138" s="353">
        <f>ABS(E138-Dashboard!$F$14)</f>
        <v>665.64331410322006</v>
      </c>
      <c r="D138" s="350">
        <f t="shared" si="69"/>
        <v>8.6550000000000363E-2</v>
      </c>
      <c r="E138" s="359" cm="1">
        <f t="array" ref="E138">1000*SUM('DRE + DCF'!$L$36/M138,'DRE + DCF'!$N$36:$V$36/N138:V138,F138/V138)/Dashboard!$F$11</f>
        <v>762.63331410322007</v>
      </c>
      <c r="F138" s="359">
        <f t="shared" si="67"/>
        <v>83085751.241480261</v>
      </c>
      <c r="G138" s="359">
        <f>'DRE + DCF'!$W$31</f>
        <v>2791623.3540418856</v>
      </c>
      <c r="H138" s="359">
        <f>'DRE + DCF'!$W$32</f>
        <v>81081.931703745853</v>
      </c>
      <c r="I138" s="359">
        <f>-H138*('DRE + DCF'!$V$33+K138)/'DRE + DCF'!$V$33</f>
        <v>-90858.801614444121</v>
      </c>
      <c r="J138" s="359">
        <f>-'DRE + DCF'!$V$56*L138</f>
        <v>-1188924.4255577971</v>
      </c>
      <c r="K138" s="360">
        <f>(1+L138)/(1+Ke!$O$12)-1</f>
        <v>2.0000000000000018E-2</v>
      </c>
      <c r="L138" s="360">
        <f>'DRE + DCF'!$Y$31</f>
        <v>7.3550000000000004E-2</v>
      </c>
      <c r="M138" s="361">
        <f>(1+D138)^((5-Dashboard!$F$9)*3/12)</f>
        <v>1.0642343859829917</v>
      </c>
      <c r="N138" s="361">
        <f t="shared" ref="N138:V138" si="129">M138*(1+$D138)</f>
        <v>1.15634387208982</v>
      </c>
      <c r="O138" s="361">
        <f t="shared" si="129"/>
        <v>1.2564254342191943</v>
      </c>
      <c r="P138" s="361">
        <f t="shared" si="129"/>
        <v>1.365169055550866</v>
      </c>
      <c r="Q138" s="361">
        <f t="shared" si="129"/>
        <v>1.4833244373087939</v>
      </c>
      <c r="R138" s="361">
        <f t="shared" si="129"/>
        <v>1.6117061673578705</v>
      </c>
      <c r="S138" s="361">
        <f t="shared" si="129"/>
        <v>1.7511993361426947</v>
      </c>
      <c r="T138" s="361">
        <f t="shared" si="129"/>
        <v>1.9027656386858456</v>
      </c>
      <c r="U138" s="361">
        <f t="shared" si="129"/>
        <v>2.067450004714106</v>
      </c>
      <c r="V138" s="362">
        <f t="shared" si="129"/>
        <v>2.2463878026221127</v>
      </c>
      <c r="X138" s="351"/>
    </row>
    <row r="139" spans="3:24" ht="24.75" customHeight="1" x14ac:dyDescent="0.3">
      <c r="C139" s="353">
        <f>ABS(E139-Dashboard!$F$14)</f>
        <v>660.85548133798761</v>
      </c>
      <c r="D139" s="350">
        <f t="shared" si="69"/>
        <v>8.6650000000000366E-2</v>
      </c>
      <c r="E139" s="359" cm="1">
        <f t="array" ref="E139">1000*SUM('DRE + DCF'!$L$36/M139,'DRE + DCF'!$N$36:$V$36/N139:V139,F139/V139)/Dashboard!$F$11</f>
        <v>757.84548133798762</v>
      </c>
      <c r="F139" s="359">
        <f t="shared" si="67"/>
        <v>82563691.296245024</v>
      </c>
      <c r="G139" s="359">
        <f>'DRE + DCF'!$W$31</f>
        <v>2791623.3540418856</v>
      </c>
      <c r="H139" s="359">
        <f>'DRE + DCF'!$W$32</f>
        <v>81081.931703745853</v>
      </c>
      <c r="I139" s="359">
        <f>-H139*('DRE + DCF'!$V$33+K139)/'DRE + DCF'!$V$33</f>
        <v>-90858.801614444121</v>
      </c>
      <c r="J139" s="359">
        <f>-'DRE + DCF'!$V$56*L139</f>
        <v>-1188924.4255577971</v>
      </c>
      <c r="K139" s="360">
        <f>(1+L139)/(1+Ke!$O$12)-1</f>
        <v>2.0000000000000018E-2</v>
      </c>
      <c r="L139" s="360">
        <f>'DRE + DCF'!$Y$31</f>
        <v>7.3550000000000004E-2</v>
      </c>
      <c r="M139" s="361">
        <f>(1+D139)^((5-Dashboard!$F$9)*3/12)</f>
        <v>1.0643078447844627</v>
      </c>
      <c r="N139" s="361">
        <f t="shared" ref="N139:V139" si="130">M139*(1+$D139)</f>
        <v>1.1565301195350368</v>
      </c>
      <c r="O139" s="361">
        <f t="shared" si="130"/>
        <v>1.256743454392748</v>
      </c>
      <c r="P139" s="361">
        <f t="shared" si="130"/>
        <v>1.36564027471588</v>
      </c>
      <c r="Q139" s="361">
        <f t="shared" si="130"/>
        <v>1.4839730045200115</v>
      </c>
      <c r="R139" s="361">
        <f t="shared" si="130"/>
        <v>1.6125592653616709</v>
      </c>
      <c r="S139" s="361">
        <f t="shared" si="130"/>
        <v>1.7522875257052604</v>
      </c>
      <c r="T139" s="361">
        <f t="shared" si="130"/>
        <v>1.9041232398076218</v>
      </c>
      <c r="U139" s="361">
        <f t="shared" si="130"/>
        <v>2.069115518536953</v>
      </c>
      <c r="V139" s="362">
        <f t="shared" si="130"/>
        <v>2.2484043782181806</v>
      </c>
      <c r="X139" s="351"/>
    </row>
    <row r="140" spans="3:24" ht="24.75" customHeight="1" x14ac:dyDescent="0.3">
      <c r="C140" s="353">
        <f>ABS(E140-Dashboard!$F$14)</f>
        <v>656.13636878657826</v>
      </c>
      <c r="D140" s="350">
        <f t="shared" si="69"/>
        <v>8.6750000000000368E-2</v>
      </c>
      <c r="E140" s="359" cm="1">
        <f t="array" ref="E140">1000*SUM('DRE + DCF'!$L$36/M140,'DRE + DCF'!$N$36:$V$36/N140:V140,F140/V140)/Dashboard!$F$11</f>
        <v>753.12636878657827</v>
      </c>
      <c r="F140" s="359">
        <f t="shared" si="67"/>
        <v>82049284.675681442</v>
      </c>
      <c r="G140" s="359">
        <f>'DRE + DCF'!$W$31</f>
        <v>2791623.3540418856</v>
      </c>
      <c r="H140" s="359">
        <f>'DRE + DCF'!$W$32</f>
        <v>81081.931703745853</v>
      </c>
      <c r="I140" s="359">
        <f>-H140*('DRE + DCF'!$V$33+K140)/'DRE + DCF'!$V$33</f>
        <v>-90858.801614444121</v>
      </c>
      <c r="J140" s="359">
        <f>-'DRE + DCF'!$V$56*L140</f>
        <v>-1188924.4255577971</v>
      </c>
      <c r="K140" s="360">
        <f>(1+L140)/(1+Ke!$O$12)-1</f>
        <v>2.0000000000000018E-2</v>
      </c>
      <c r="L140" s="360">
        <f>'DRE + DCF'!$Y$31</f>
        <v>7.3550000000000004E-2</v>
      </c>
      <c r="M140" s="361">
        <f>(1+D140)^((5-Dashboard!$F$9)*3/12)</f>
        <v>1.0643813018959241</v>
      </c>
      <c r="N140" s="361">
        <f t="shared" ref="N140:V140" si="131">M140*(1+$D140)</f>
        <v>1.1567163798353959</v>
      </c>
      <c r="O140" s="361">
        <f t="shared" si="131"/>
        <v>1.2570615257861169</v>
      </c>
      <c r="P140" s="361">
        <f t="shared" si="131"/>
        <v>1.3661116131480628</v>
      </c>
      <c r="Q140" s="361">
        <f t="shared" si="131"/>
        <v>1.4846217955886578</v>
      </c>
      <c r="R140" s="361">
        <f t="shared" si="131"/>
        <v>1.6134127363559743</v>
      </c>
      <c r="S140" s="361">
        <f t="shared" si="131"/>
        <v>1.7533762912348556</v>
      </c>
      <c r="T140" s="361">
        <f t="shared" si="131"/>
        <v>1.90548168449948</v>
      </c>
      <c r="U140" s="361">
        <f t="shared" si="131"/>
        <v>2.0707822206298103</v>
      </c>
      <c r="V140" s="362">
        <f t="shared" si="131"/>
        <v>2.2504225782694469</v>
      </c>
      <c r="X140" s="351"/>
    </row>
    <row r="141" spans="3:24" ht="24.75" customHeight="1" x14ac:dyDescent="0.3">
      <c r="C141" s="353">
        <f>ABS(E141-Dashboard!$F$14)</f>
        <v>651.48444134864837</v>
      </c>
      <c r="D141" s="350">
        <f t="shared" si="69"/>
        <v>8.6850000000000371E-2</v>
      </c>
      <c r="E141" s="359" cm="1">
        <f t="array" ref="E141">1000*SUM('DRE + DCF'!$L$36/M141,'DRE + DCF'!$N$36:$V$36/N141:V141,F141/V141)/Dashboard!$F$11</f>
        <v>748.47444134864838</v>
      </c>
      <c r="F141" s="359">
        <f t="shared" si="67"/>
        <v>81542359.628352806</v>
      </c>
      <c r="G141" s="359">
        <f>'DRE + DCF'!$W$31</f>
        <v>2791623.3540418856</v>
      </c>
      <c r="H141" s="359">
        <f>'DRE + DCF'!$W$32</f>
        <v>81081.931703745853</v>
      </c>
      <c r="I141" s="359">
        <f>-H141*('DRE + DCF'!$V$33+K141)/'DRE + DCF'!$V$33</f>
        <v>-90858.801614444121</v>
      </c>
      <c r="J141" s="359">
        <f>-'DRE + DCF'!$V$56*L141</f>
        <v>-1188924.4255577971</v>
      </c>
      <c r="K141" s="360">
        <f>(1+L141)/(1+Ke!$O$12)-1</f>
        <v>2.0000000000000018E-2</v>
      </c>
      <c r="L141" s="360">
        <f>'DRE + DCF'!$Y$31</f>
        <v>7.3550000000000004E-2</v>
      </c>
      <c r="M141" s="361">
        <f>(1+D141)^((5-Dashboard!$F$9)*3/12)</f>
        <v>1.0644547573175704</v>
      </c>
      <c r="N141" s="361">
        <f t="shared" ref="N141:V141" si="132">M141*(1+$D141)</f>
        <v>1.1569026529906017</v>
      </c>
      <c r="O141" s="361">
        <f t="shared" si="132"/>
        <v>1.2573796484028359</v>
      </c>
      <c r="P141" s="361">
        <f t="shared" si="132"/>
        <v>1.3665830708666227</v>
      </c>
      <c r="Q141" s="361">
        <f t="shared" si="132"/>
        <v>1.4852708105713892</v>
      </c>
      <c r="R141" s="361">
        <f t="shared" si="132"/>
        <v>1.6142665804695149</v>
      </c>
      <c r="S141" s="361">
        <f t="shared" si="132"/>
        <v>1.7544656329832928</v>
      </c>
      <c r="T141" s="361">
        <f t="shared" si="132"/>
        <v>1.9068409732078924</v>
      </c>
      <c r="U141" s="361">
        <f t="shared" si="132"/>
        <v>2.0724501117309986</v>
      </c>
      <c r="V141" s="362">
        <f t="shared" si="132"/>
        <v>2.2524424039348365</v>
      </c>
      <c r="X141" s="351"/>
    </row>
    <row r="142" spans="3:24" ht="24.75" customHeight="1" x14ac:dyDescent="0.3">
      <c r="C142" s="353">
        <f>ABS(E142-Dashboard!$F$14)</f>
        <v>646.89820967685046</v>
      </c>
      <c r="D142" s="350">
        <f t="shared" si="69"/>
        <v>8.6950000000000374E-2</v>
      </c>
      <c r="E142" s="359" cm="1">
        <f t="array" ref="E142">1000*SUM('DRE + DCF'!$L$36/M142,'DRE + DCF'!$N$36:$V$36/N142:V142,F142/V142)/Dashboard!$F$11</f>
        <v>743.88820967685047</v>
      </c>
      <c r="F142" s="359">
        <f t="shared" ref="F142:F205" si="133">AVERAGE(SUM(G142:J142)*(1+L142)/(D142-L142),G142*(1+L142)*(1-L142/D142)/(D142-L142))</f>
        <v>81042749.525713116</v>
      </c>
      <c r="G142" s="359">
        <f>'DRE + DCF'!$W$31</f>
        <v>2791623.3540418856</v>
      </c>
      <c r="H142" s="359">
        <f>'DRE + DCF'!$W$32</f>
        <v>81081.931703745853</v>
      </c>
      <c r="I142" s="359">
        <f>-H142*('DRE + DCF'!$V$33+K142)/'DRE + DCF'!$V$33</f>
        <v>-90858.801614444121</v>
      </c>
      <c r="J142" s="359">
        <f>-'DRE + DCF'!$V$56*L142</f>
        <v>-1188924.4255577971</v>
      </c>
      <c r="K142" s="360">
        <f>(1+L142)/(1+Ke!$O$12)-1</f>
        <v>2.0000000000000018E-2</v>
      </c>
      <c r="L142" s="360">
        <f>'DRE + DCF'!$Y$31</f>
        <v>7.3550000000000004E-2</v>
      </c>
      <c r="M142" s="361">
        <f>(1+D142)^((5-Dashboard!$F$9)*3/12)</f>
        <v>1.0645282110495957</v>
      </c>
      <c r="N142" s="361">
        <f t="shared" ref="N142:V142" si="134">M142*(1+$D142)</f>
        <v>1.1570889390003585</v>
      </c>
      <c r="O142" s="361">
        <f t="shared" si="134"/>
        <v>1.2576978222464399</v>
      </c>
      <c r="P142" s="361">
        <f t="shared" si="134"/>
        <v>1.3670546478907681</v>
      </c>
      <c r="Q142" s="361">
        <f t="shared" si="134"/>
        <v>1.4859200495248708</v>
      </c>
      <c r="R142" s="361">
        <f t="shared" si="134"/>
        <v>1.6151207978310587</v>
      </c>
      <c r="S142" s="361">
        <f t="shared" si="134"/>
        <v>1.7555555512024696</v>
      </c>
      <c r="T142" s="361">
        <f t="shared" si="134"/>
        <v>1.908201106379525</v>
      </c>
      <c r="U142" s="361">
        <f t="shared" si="134"/>
        <v>2.0741191925792255</v>
      </c>
      <c r="V142" s="362">
        <f t="shared" si="134"/>
        <v>2.2544638563739898</v>
      </c>
      <c r="X142" s="351"/>
    </row>
    <row r="143" spans="3:24" ht="24.75" customHeight="1" x14ac:dyDescent="0.3">
      <c r="C143" s="353">
        <f>ABS(E143-Dashboard!$F$14)</f>
        <v>642.3762284826804</v>
      </c>
      <c r="D143" s="350">
        <f t="shared" ref="D143:D206" si="135">D142+0.0001</f>
        <v>8.7050000000000377E-2</v>
      </c>
      <c r="E143" s="359" cm="1">
        <f t="array" ref="E143">1000*SUM('DRE + DCF'!$L$36/M143,'DRE + DCF'!$N$36:$V$36/N143:V143,F143/V143)/Dashboard!$F$11</f>
        <v>739.36622848268041</v>
      </c>
      <c r="F143" s="359">
        <f t="shared" si="133"/>
        <v>80550292.672393277</v>
      </c>
      <c r="G143" s="359">
        <f>'DRE + DCF'!$W$31</f>
        <v>2791623.3540418856</v>
      </c>
      <c r="H143" s="359">
        <f>'DRE + DCF'!$W$32</f>
        <v>81081.931703745853</v>
      </c>
      <c r="I143" s="359">
        <f>-H143*('DRE + DCF'!$V$33+K143)/'DRE + DCF'!$V$33</f>
        <v>-90858.801614444121</v>
      </c>
      <c r="J143" s="359">
        <f>-'DRE + DCF'!$V$56*L143</f>
        <v>-1188924.4255577971</v>
      </c>
      <c r="K143" s="360">
        <f>(1+L143)/(1+Ke!$O$12)-1</f>
        <v>2.0000000000000018E-2</v>
      </c>
      <c r="L143" s="360">
        <f>'DRE + DCF'!$Y$31</f>
        <v>7.3550000000000004E-2</v>
      </c>
      <c r="M143" s="361">
        <f>(1+D143)^((5-Dashboard!$F$9)*3/12)</f>
        <v>1.0646016630921946</v>
      </c>
      <c r="N143" s="361">
        <f t="shared" ref="N143:V143" si="136">M143*(1+$D143)</f>
        <v>1.1572752378643705</v>
      </c>
      <c r="O143" s="361">
        <f t="shared" si="136"/>
        <v>1.2580160473204642</v>
      </c>
      <c r="P143" s="361">
        <f t="shared" si="136"/>
        <v>1.367526344239711</v>
      </c>
      <c r="Q143" s="361">
        <f t="shared" si="136"/>
        <v>1.4865695125057783</v>
      </c>
      <c r="R143" s="361">
        <f t="shared" si="136"/>
        <v>1.6159753885694068</v>
      </c>
      <c r="S143" s="361">
        <f t="shared" si="136"/>
        <v>1.7566460461443743</v>
      </c>
      <c r="T143" s="361">
        <f t="shared" si="136"/>
        <v>1.9095620844612426</v>
      </c>
      <c r="U143" s="361">
        <f t="shared" si="136"/>
        <v>2.0757894639135945</v>
      </c>
      <c r="V143" s="362">
        <f t="shared" si="136"/>
        <v>2.2564869367472737</v>
      </c>
      <c r="X143" s="351"/>
    </row>
    <row r="144" spans="3:24" ht="24.75" customHeight="1" x14ac:dyDescent="0.3">
      <c r="C144" s="353">
        <f>ABS(E144-Dashboard!$F$14)</f>
        <v>637.91709491707445</v>
      </c>
      <c r="D144" s="350">
        <f t="shared" si="135"/>
        <v>8.715000000000038E-2</v>
      </c>
      <c r="E144" s="359" cm="1">
        <f t="array" ref="E144">1000*SUM('DRE + DCF'!$L$36/M144,'DRE + DCF'!$N$36:$V$36/N144:V144,F144/V144)/Dashboard!$F$11</f>
        <v>734.90709491707446</v>
      </c>
      <c r="F144" s="359">
        <f t="shared" si="133"/>
        <v>80064832.124856934</v>
      </c>
      <c r="G144" s="359">
        <f>'DRE + DCF'!$W$31</f>
        <v>2791623.3540418856</v>
      </c>
      <c r="H144" s="359">
        <f>'DRE + DCF'!$W$32</f>
        <v>81081.931703745853</v>
      </c>
      <c r="I144" s="359">
        <f>-H144*('DRE + DCF'!$V$33+K144)/'DRE + DCF'!$V$33</f>
        <v>-90858.801614444121</v>
      </c>
      <c r="J144" s="359">
        <f>-'DRE + DCF'!$V$56*L144</f>
        <v>-1188924.4255577971</v>
      </c>
      <c r="K144" s="360">
        <f>(1+L144)/(1+Ke!$O$12)-1</f>
        <v>2.0000000000000018E-2</v>
      </c>
      <c r="L144" s="360">
        <f>'DRE + DCF'!$Y$31</f>
        <v>7.3550000000000004E-2</v>
      </c>
      <c r="M144" s="361">
        <f>(1+D144)^((5-Dashboard!$F$9)*3/12)</f>
        <v>1.0646751134455612</v>
      </c>
      <c r="N144" s="361">
        <f t="shared" ref="N144:V144" si="137">M144*(1+$D144)</f>
        <v>1.1574615495823422</v>
      </c>
      <c r="O144" s="361">
        <f t="shared" si="137"/>
        <v>1.2583343236284437</v>
      </c>
      <c r="P144" s="361">
        <f t="shared" si="137"/>
        <v>1.3679981599326629</v>
      </c>
      <c r="Q144" s="361">
        <f t="shared" si="137"/>
        <v>1.4872191995707948</v>
      </c>
      <c r="R144" s="361">
        <f t="shared" si="137"/>
        <v>1.61683035281339</v>
      </c>
      <c r="S144" s="361">
        <f t="shared" si="137"/>
        <v>1.7577371180610775</v>
      </c>
      <c r="T144" s="361">
        <f t="shared" si="137"/>
        <v>1.9109239079001008</v>
      </c>
      <c r="U144" s="361">
        <f t="shared" si="137"/>
        <v>2.077460926473595</v>
      </c>
      <c r="V144" s="362">
        <f t="shared" si="137"/>
        <v>2.2585116462157693</v>
      </c>
      <c r="X144" s="351"/>
    </row>
    <row r="145" spans="3:24" ht="24.75" customHeight="1" x14ac:dyDescent="0.3">
      <c r="C145" s="353">
        <f>ABS(E145-Dashboard!$F$14)</f>
        <v>633.51944702191508</v>
      </c>
      <c r="D145" s="350">
        <f t="shared" si="135"/>
        <v>8.7250000000000383E-2</v>
      </c>
      <c r="E145" s="359" cm="1">
        <f t="array" ref="E145">1000*SUM('DRE + DCF'!$L$36/M145,'DRE + DCF'!$N$36:$V$36/N145:V145,F145/V145)/Dashboard!$F$11</f>
        <v>730.50944702191509</v>
      </c>
      <c r="F145" s="359">
        <f t="shared" si="133"/>
        <v>79586215.517998099</v>
      </c>
      <c r="G145" s="359">
        <f>'DRE + DCF'!$W$31</f>
        <v>2791623.3540418856</v>
      </c>
      <c r="H145" s="359">
        <f>'DRE + DCF'!$W$32</f>
        <v>81081.931703745853</v>
      </c>
      <c r="I145" s="359">
        <f>-H145*('DRE + DCF'!$V$33+K145)/'DRE + DCF'!$V$33</f>
        <v>-90858.801614444121</v>
      </c>
      <c r="J145" s="359">
        <f>-'DRE + DCF'!$V$56*L145</f>
        <v>-1188924.4255577971</v>
      </c>
      <c r="K145" s="360">
        <f>(1+L145)/(1+Ke!$O$12)-1</f>
        <v>2.0000000000000018E-2</v>
      </c>
      <c r="L145" s="360">
        <f>'DRE + DCF'!$Y$31</f>
        <v>7.3550000000000004E-2</v>
      </c>
      <c r="M145" s="361">
        <f>(1+D145)^((5-Dashboard!$F$9)*3/12)</f>
        <v>1.0647485621098898</v>
      </c>
      <c r="N145" s="361">
        <f t="shared" ref="N145:V145" si="138">M145*(1+$D145)</f>
        <v>1.1576478741539782</v>
      </c>
      <c r="O145" s="361">
        <f t="shared" si="138"/>
        <v>1.2586526511739133</v>
      </c>
      <c r="P145" s="361">
        <f t="shared" si="138"/>
        <v>1.368470094988838</v>
      </c>
      <c r="Q145" s="361">
        <f t="shared" si="138"/>
        <v>1.4878691107766149</v>
      </c>
      <c r="R145" s="361">
        <f t="shared" si="138"/>
        <v>1.6176856906918753</v>
      </c>
      <c r="S145" s="361">
        <f t="shared" si="138"/>
        <v>1.7588287672047422</v>
      </c>
      <c r="T145" s="361">
        <f t="shared" si="138"/>
        <v>1.9122865771433568</v>
      </c>
      <c r="U145" s="361">
        <f t="shared" si="138"/>
        <v>2.0791335809991156</v>
      </c>
      <c r="V145" s="362">
        <f t="shared" si="138"/>
        <v>2.2605379859412893</v>
      </c>
      <c r="X145" s="351"/>
    </row>
    <row r="146" spans="3:24" ht="24.75" customHeight="1" x14ac:dyDescent="0.3">
      <c r="C146" s="353">
        <f>ABS(E146-Dashboard!$F$14)</f>
        <v>629.18196224887311</v>
      </c>
      <c r="D146" s="350">
        <f t="shared" si="135"/>
        <v>8.7350000000000386E-2</v>
      </c>
      <c r="E146" s="359" cm="1">
        <f t="array" ref="E146">1000*SUM('DRE + DCF'!$L$36/M146,'DRE + DCF'!$N$36:$V$36/N146:V146,F146/V146)/Dashboard!$F$11</f>
        <v>726.17196224887311</v>
      </c>
      <c r="F146" s="359">
        <f t="shared" si="133"/>
        <v>79114294.899278045</v>
      </c>
      <c r="G146" s="359">
        <f>'DRE + DCF'!$W$31</f>
        <v>2791623.3540418856</v>
      </c>
      <c r="H146" s="359">
        <f>'DRE + DCF'!$W$32</f>
        <v>81081.931703745853</v>
      </c>
      <c r="I146" s="359">
        <f>-H146*('DRE + DCF'!$V$33+K146)/'DRE + DCF'!$V$33</f>
        <v>-90858.801614444121</v>
      </c>
      <c r="J146" s="359">
        <f>-'DRE + DCF'!$V$56*L146</f>
        <v>-1188924.4255577971</v>
      </c>
      <c r="K146" s="360">
        <f>(1+L146)/(1+Ke!$O$12)-1</f>
        <v>2.0000000000000018E-2</v>
      </c>
      <c r="L146" s="360">
        <f>'DRE + DCF'!$Y$31</f>
        <v>7.3550000000000004E-2</v>
      </c>
      <c r="M146" s="361">
        <f>(1+D146)^((5-Dashboard!$F$9)*3/12)</f>
        <v>1.0648220090853744</v>
      </c>
      <c r="N146" s="361">
        <f t="shared" ref="N146:V146" si="139">M146*(1+$D146)</f>
        <v>1.1578342115789824</v>
      </c>
      <c r="O146" s="361">
        <f t="shared" si="139"/>
        <v>1.2589710299604071</v>
      </c>
      <c r="P146" s="361">
        <f t="shared" si="139"/>
        <v>1.3689421494274492</v>
      </c>
      <c r="Q146" s="361">
        <f t="shared" si="139"/>
        <v>1.4885192461799375</v>
      </c>
      <c r="R146" s="361">
        <f t="shared" si="139"/>
        <v>1.6185414023337557</v>
      </c>
      <c r="S146" s="361">
        <f t="shared" si="139"/>
        <v>1.7599209938276099</v>
      </c>
      <c r="T146" s="361">
        <f t="shared" si="139"/>
        <v>1.9136500926384525</v>
      </c>
      <c r="U146" s="361">
        <f t="shared" si="139"/>
        <v>2.0808074282304223</v>
      </c>
      <c r="V146" s="362">
        <f t="shared" si="139"/>
        <v>2.2625659570863506</v>
      </c>
      <c r="X146" s="351"/>
    </row>
    <row r="147" spans="3:24" ht="24.75" customHeight="1" x14ac:dyDescent="0.3">
      <c r="C147" s="353">
        <f>ABS(E147-Dashboard!$F$14)</f>
        <v>624.90335604216568</v>
      </c>
      <c r="D147" s="350">
        <f t="shared" si="135"/>
        <v>8.7450000000000389E-2</v>
      </c>
      <c r="E147" s="359" cm="1">
        <f t="array" ref="E147">1000*SUM('DRE + DCF'!$L$36/M147,'DRE + DCF'!$N$36:$V$36/N147:V147,F147/V147)/Dashboard!$F$11</f>
        <v>721.89335604216569</v>
      </c>
      <c r="F147" s="359">
        <f t="shared" si="133"/>
        <v>78648926.570021421</v>
      </c>
      <c r="G147" s="359">
        <f>'DRE + DCF'!$W$31</f>
        <v>2791623.3540418856</v>
      </c>
      <c r="H147" s="359">
        <f>'DRE + DCF'!$W$32</f>
        <v>81081.931703745853</v>
      </c>
      <c r="I147" s="359">
        <f>-H147*('DRE + DCF'!$V$33+K147)/'DRE + DCF'!$V$33</f>
        <v>-90858.801614444121</v>
      </c>
      <c r="J147" s="359">
        <f>-'DRE + DCF'!$V$56*L147</f>
        <v>-1188924.4255577971</v>
      </c>
      <c r="K147" s="360">
        <f>(1+L147)/(1+Ke!$O$12)-1</f>
        <v>2.0000000000000018E-2</v>
      </c>
      <c r="L147" s="360">
        <f>'DRE + DCF'!$Y$31</f>
        <v>7.3550000000000004E-2</v>
      </c>
      <c r="M147" s="361">
        <f>(1+D147)^((5-Dashboard!$F$9)*3/12)</f>
        <v>1.0648954543722093</v>
      </c>
      <c r="N147" s="361">
        <f t="shared" ref="N147:V147" si="140">M147*(1+$D147)</f>
        <v>1.1580205618570596</v>
      </c>
      <c r="O147" s="361">
        <f t="shared" si="140"/>
        <v>1.2592894599914599</v>
      </c>
      <c r="P147" s="361">
        <f t="shared" si="140"/>
        <v>1.3694143232677136</v>
      </c>
      <c r="Q147" s="361">
        <f t="shared" si="140"/>
        <v>1.4891696058374759</v>
      </c>
      <c r="R147" s="361">
        <f t="shared" si="140"/>
        <v>1.619397487867964</v>
      </c>
      <c r="S147" s="361">
        <f t="shared" si="140"/>
        <v>1.7610137981820182</v>
      </c>
      <c r="T147" s="361">
        <f t="shared" si="140"/>
        <v>1.9150144548330366</v>
      </c>
      <c r="U147" s="361">
        <f t="shared" si="140"/>
        <v>2.0824824689081867</v>
      </c>
      <c r="V147" s="362">
        <f t="shared" si="140"/>
        <v>2.2645955608142088</v>
      </c>
      <c r="X147" s="351"/>
    </row>
    <row r="148" spans="3:24" ht="24.75" customHeight="1" x14ac:dyDescent="0.3">
      <c r="C148" s="353">
        <f>ABS(E148-Dashboard!$F$14)</f>
        <v>620.68238048206661</v>
      </c>
      <c r="D148" s="350">
        <f t="shared" si="135"/>
        <v>8.7550000000000391E-2</v>
      </c>
      <c r="E148" s="359" cm="1">
        <f t="array" ref="E148">1000*SUM('DRE + DCF'!$L$36/M148,'DRE + DCF'!$N$36:$V$36/N148:V148,F148/V148)/Dashboard!$F$11</f>
        <v>717.67238048206661</v>
      </c>
      <c r="F148" s="359">
        <f t="shared" si="133"/>
        <v>78189970.933513939</v>
      </c>
      <c r="G148" s="359">
        <f>'DRE + DCF'!$W$31</f>
        <v>2791623.3540418856</v>
      </c>
      <c r="H148" s="359">
        <f>'DRE + DCF'!$W$32</f>
        <v>81081.931703745853</v>
      </c>
      <c r="I148" s="359">
        <f>-H148*('DRE + DCF'!$V$33+K148)/'DRE + DCF'!$V$33</f>
        <v>-90858.801614444121</v>
      </c>
      <c r="J148" s="359">
        <f>-'DRE + DCF'!$V$56*L148</f>
        <v>-1188924.4255577971</v>
      </c>
      <c r="K148" s="360">
        <f>(1+L148)/(1+Ke!$O$12)-1</f>
        <v>2.0000000000000018E-2</v>
      </c>
      <c r="L148" s="360">
        <f>'DRE + DCF'!$Y$31</f>
        <v>7.3550000000000004E-2</v>
      </c>
      <c r="M148" s="361">
        <f>(1+D148)^((5-Dashboard!$F$9)*3/12)</f>
        <v>1.0649688979705887</v>
      </c>
      <c r="N148" s="361">
        <f t="shared" ref="N148:V148" si="141">M148*(1+$D148)</f>
        <v>1.1582069249879141</v>
      </c>
      <c r="O148" s="361">
        <f t="shared" si="141"/>
        <v>1.2596079412706065</v>
      </c>
      <c r="P148" s="361">
        <f t="shared" si="141"/>
        <v>1.3698866165288486</v>
      </c>
      <c r="Q148" s="361">
        <f t="shared" si="141"/>
        <v>1.48982018980595</v>
      </c>
      <c r="R148" s="361">
        <f t="shared" si="141"/>
        <v>1.6202539474234616</v>
      </c>
      <c r="S148" s="361">
        <f t="shared" si="141"/>
        <v>1.7621071805203865</v>
      </c>
      <c r="T148" s="361">
        <f t="shared" si="141"/>
        <v>1.9163796641749471</v>
      </c>
      <c r="U148" s="361">
        <f t="shared" si="141"/>
        <v>2.0841587037734648</v>
      </c>
      <c r="V148" s="362">
        <f t="shared" si="141"/>
        <v>2.2666267982888324</v>
      </c>
      <c r="X148" s="351"/>
    </row>
    <row r="149" spans="3:24" ht="24.75" customHeight="1" x14ac:dyDescent="0.3">
      <c r="C149" s="353">
        <f>ABS(E149-Dashboard!$F$14)</f>
        <v>616.51782298612557</v>
      </c>
      <c r="D149" s="350">
        <f t="shared" si="135"/>
        <v>8.7650000000000394E-2</v>
      </c>
      <c r="E149" s="359" cm="1">
        <f t="array" ref="E149">1000*SUM('DRE + DCF'!$L$36/M149,'DRE + DCF'!$N$36:$V$36/N149:V149,F149/V149)/Dashboard!$F$11</f>
        <v>713.50782298612557</v>
      </c>
      <c r="F149" s="359">
        <f t="shared" si="133"/>
        <v>77737292.349563822</v>
      </c>
      <c r="G149" s="359">
        <f>'DRE + DCF'!$W$31</f>
        <v>2791623.3540418856</v>
      </c>
      <c r="H149" s="359">
        <f>'DRE + DCF'!$W$32</f>
        <v>81081.931703745853</v>
      </c>
      <c r="I149" s="359">
        <f>-H149*('DRE + DCF'!$V$33+K149)/'DRE + DCF'!$V$33</f>
        <v>-90858.801614444121</v>
      </c>
      <c r="J149" s="359">
        <f>-'DRE + DCF'!$V$56*L149</f>
        <v>-1188924.4255577971</v>
      </c>
      <c r="K149" s="360">
        <f>(1+L149)/(1+Ke!$O$12)-1</f>
        <v>2.0000000000000018E-2</v>
      </c>
      <c r="L149" s="360">
        <f>'DRE + DCF'!$Y$31</f>
        <v>7.3550000000000004E-2</v>
      </c>
      <c r="M149" s="361">
        <f>(1+D149)^((5-Dashboard!$F$9)*3/12)</f>
        <v>1.0650423398807063</v>
      </c>
      <c r="N149" s="361">
        <f t="shared" ref="N149:V149" si="142">M149*(1+$D149)</f>
        <v>1.1583933009712506</v>
      </c>
      <c r="O149" s="361">
        <f t="shared" si="142"/>
        <v>1.2599264738013811</v>
      </c>
      <c r="P149" s="361">
        <f t="shared" si="142"/>
        <v>1.3703590292300727</v>
      </c>
      <c r="Q149" s="361">
        <f t="shared" si="142"/>
        <v>1.4904709981420892</v>
      </c>
      <c r="R149" s="361">
        <f t="shared" si="142"/>
        <v>1.621110781129244</v>
      </c>
      <c r="S149" s="361">
        <f t="shared" si="142"/>
        <v>1.7632011410952231</v>
      </c>
      <c r="T149" s="361">
        <f t="shared" si="142"/>
        <v>1.9177457211122202</v>
      </c>
      <c r="U149" s="361">
        <f t="shared" si="142"/>
        <v>2.0858361335677071</v>
      </c>
      <c r="V149" s="362">
        <f t="shared" si="142"/>
        <v>2.2686596706749178</v>
      </c>
      <c r="X149" s="351"/>
    </row>
    <row r="150" spans="3:24" ht="24.75" customHeight="1" x14ac:dyDescent="0.3">
      <c r="C150" s="353">
        <f>ABS(E150-Dashboard!$F$14)</f>
        <v>612.40850506526942</v>
      </c>
      <c r="D150" s="350">
        <f t="shared" si="135"/>
        <v>8.7750000000000397E-2</v>
      </c>
      <c r="E150" s="359" cm="1">
        <f t="array" ref="E150">1000*SUM('DRE + DCF'!$L$36/M150,'DRE + DCF'!$N$36:$V$36/N150:V150,F150/V150)/Dashboard!$F$11</f>
        <v>709.39850506526943</v>
      </c>
      <c r="F150" s="359">
        <f t="shared" si="133"/>
        <v>77290758.995208338</v>
      </c>
      <c r="G150" s="359">
        <f>'DRE + DCF'!$W$31</f>
        <v>2791623.3540418856</v>
      </c>
      <c r="H150" s="359">
        <f>'DRE + DCF'!$W$32</f>
        <v>81081.931703745853</v>
      </c>
      <c r="I150" s="359">
        <f>-H150*('DRE + DCF'!$V$33+K150)/'DRE + DCF'!$V$33</f>
        <v>-90858.801614444121</v>
      </c>
      <c r="J150" s="359">
        <f>-'DRE + DCF'!$V$56*L150</f>
        <v>-1188924.4255577971</v>
      </c>
      <c r="K150" s="360">
        <f>(1+L150)/(1+Ke!$O$12)-1</f>
        <v>2.0000000000000018E-2</v>
      </c>
      <c r="L150" s="360">
        <f>'DRE + DCF'!$Y$31</f>
        <v>7.3550000000000004E-2</v>
      </c>
      <c r="M150" s="361">
        <f>(1+D150)^((5-Dashboard!$F$9)*3/12)</f>
        <v>1.0651157801027566</v>
      </c>
      <c r="N150" s="361">
        <f t="shared" ref="N150:V150" si="143">M150*(1+$D150)</f>
        <v>1.1585796898067739</v>
      </c>
      <c r="O150" s="361">
        <f t="shared" si="143"/>
        <v>1.260245057587319</v>
      </c>
      <c r="P150" s="361">
        <f t="shared" si="143"/>
        <v>1.3708315613906068</v>
      </c>
      <c r="Q150" s="361">
        <f t="shared" si="143"/>
        <v>1.4911220309026332</v>
      </c>
      <c r="R150" s="361">
        <f t="shared" si="143"/>
        <v>1.6219679891143399</v>
      </c>
      <c r="S150" s="361">
        <f t="shared" si="143"/>
        <v>1.7642956801591239</v>
      </c>
      <c r="T150" s="361">
        <f t="shared" si="143"/>
        <v>1.9191126260930877</v>
      </c>
      <c r="U150" s="361">
        <f t="shared" si="143"/>
        <v>2.0875147590327572</v>
      </c>
      <c r="V150" s="362">
        <f t="shared" si="143"/>
        <v>2.2706941791378825</v>
      </c>
      <c r="X150" s="351"/>
    </row>
    <row r="151" spans="3:24" ht="24.75" customHeight="1" x14ac:dyDescent="0.3">
      <c r="C151" s="353">
        <f>ABS(E151-Dashboard!$F$14)</f>
        <v>608.35328113208971</v>
      </c>
      <c r="D151" s="350">
        <f t="shared" si="135"/>
        <v>8.78500000000004E-2</v>
      </c>
      <c r="E151" s="359" cm="1">
        <f t="array" ref="E151">1000*SUM('DRE + DCF'!$L$36/M151,'DRE + DCF'!$N$36:$V$36/N151:V151,F151/V151)/Dashboard!$F$11</f>
        <v>705.34328113208971</v>
      </c>
      <c r="F151" s="359">
        <f t="shared" si="133"/>
        <v>76850242.731264755</v>
      </c>
      <c r="G151" s="359">
        <f>'DRE + DCF'!$W$31</f>
        <v>2791623.3540418856</v>
      </c>
      <c r="H151" s="359">
        <f>'DRE + DCF'!$W$32</f>
        <v>81081.931703745853</v>
      </c>
      <c r="I151" s="359">
        <f>-H151*('DRE + DCF'!$V$33+K151)/'DRE + DCF'!$V$33</f>
        <v>-90858.801614444121</v>
      </c>
      <c r="J151" s="359">
        <f>-'DRE + DCF'!$V$56*L151</f>
        <v>-1188924.4255577971</v>
      </c>
      <c r="K151" s="360">
        <f>(1+L151)/(1+Ke!$O$12)-1</f>
        <v>2.0000000000000018E-2</v>
      </c>
      <c r="L151" s="360">
        <f>'DRE + DCF'!$Y$31</f>
        <v>7.3550000000000004E-2</v>
      </c>
      <c r="M151" s="361">
        <f>(1+D151)^((5-Dashboard!$F$9)*3/12)</f>
        <v>1.0651892186369332</v>
      </c>
      <c r="N151" s="361">
        <f t="shared" ref="N151:V151" si="144">M151*(1+$D151)</f>
        <v>1.1587660914941882</v>
      </c>
      <c r="O151" s="361">
        <f t="shared" si="144"/>
        <v>1.2605636926319532</v>
      </c>
      <c r="P151" s="361">
        <f t="shared" si="144"/>
        <v>1.3713042130296709</v>
      </c>
      <c r="Q151" s="361">
        <f t="shared" si="144"/>
        <v>1.491773288144328</v>
      </c>
      <c r="R151" s="361">
        <f t="shared" si="144"/>
        <v>1.6228255715078079</v>
      </c>
      <c r="S151" s="361">
        <f t="shared" si="144"/>
        <v>1.7653907979647696</v>
      </c>
      <c r="T151" s="361">
        <f t="shared" si="144"/>
        <v>1.9204803795659753</v>
      </c>
      <c r="U151" s="361">
        <f t="shared" si="144"/>
        <v>2.089194580910847</v>
      </c>
      <c r="V151" s="362">
        <f t="shared" si="144"/>
        <v>2.2727303248438657</v>
      </c>
      <c r="X151" s="351"/>
    </row>
    <row r="152" spans="3:24" ht="24.75" customHeight="1" x14ac:dyDescent="0.3">
      <c r="C152" s="353">
        <f>ABS(E152-Dashboard!$F$14)</f>
        <v>604.35103735878295</v>
      </c>
      <c r="D152" s="350">
        <f t="shared" si="135"/>
        <v>8.7950000000000403E-2</v>
      </c>
      <c r="E152" s="359" cm="1">
        <f t="array" ref="E152">1000*SUM('DRE + DCF'!$L$36/M152,'DRE + DCF'!$N$36:$V$36/N152:V152,F152/V152)/Dashboard!$F$11</f>
        <v>701.34103735878296</v>
      </c>
      <c r="F152" s="359">
        <f t="shared" si="133"/>
        <v>76415618.974441484</v>
      </c>
      <c r="G152" s="359">
        <f>'DRE + DCF'!$W$31</f>
        <v>2791623.3540418856</v>
      </c>
      <c r="H152" s="359">
        <f>'DRE + DCF'!$W$32</f>
        <v>81081.931703745853</v>
      </c>
      <c r="I152" s="359">
        <f>-H152*('DRE + DCF'!$V$33+K152)/'DRE + DCF'!$V$33</f>
        <v>-90858.801614444121</v>
      </c>
      <c r="J152" s="359">
        <f>-'DRE + DCF'!$V$56*L152</f>
        <v>-1188924.4255577971</v>
      </c>
      <c r="K152" s="360">
        <f>(1+L152)/(1+Ke!$O$12)-1</f>
        <v>2.0000000000000018E-2</v>
      </c>
      <c r="L152" s="360">
        <f>'DRE + DCF'!$Y$31</f>
        <v>7.3550000000000004E-2</v>
      </c>
      <c r="M152" s="361">
        <f>(1+D152)^((5-Dashboard!$F$9)*3/12)</f>
        <v>1.0652626554834301</v>
      </c>
      <c r="N152" s="361">
        <f t="shared" ref="N152:V152" si="145">M152*(1+$D152)</f>
        <v>1.1589525060331982</v>
      </c>
      <c r="O152" s="361">
        <f t="shared" si="145"/>
        <v>1.2608823789388184</v>
      </c>
      <c r="P152" s="361">
        <f t="shared" si="145"/>
        <v>1.371776984166488</v>
      </c>
      <c r="Q152" s="361">
        <f t="shared" si="145"/>
        <v>1.4924247699239312</v>
      </c>
      <c r="R152" s="361">
        <f t="shared" si="145"/>
        <v>1.6236835284387416</v>
      </c>
      <c r="S152" s="361">
        <f t="shared" si="145"/>
        <v>1.7664864947649297</v>
      </c>
      <c r="T152" s="361">
        <f t="shared" si="145"/>
        <v>1.9218489819795059</v>
      </c>
      <c r="U152" s="361">
        <f t="shared" si="145"/>
        <v>2.0908755999446043</v>
      </c>
      <c r="V152" s="362">
        <f t="shared" si="145"/>
        <v>2.2747681089597331</v>
      </c>
      <c r="X152" s="351"/>
    </row>
    <row r="153" spans="3:24" ht="24.75" customHeight="1" x14ac:dyDescent="0.3">
      <c r="C153" s="353">
        <f>ABS(E153-Dashboard!$F$14)</f>
        <v>600.40069058234576</v>
      </c>
      <c r="D153" s="350">
        <f t="shared" si="135"/>
        <v>8.8050000000000406E-2</v>
      </c>
      <c r="E153" s="359" cm="1">
        <f t="array" ref="E153">1000*SUM('DRE + DCF'!$L$36/M153,'DRE + DCF'!$N$36:$V$36/N153:V153,F153/V153)/Dashboard!$F$11</f>
        <v>697.39069058234577</v>
      </c>
      <c r="F153" s="359">
        <f t="shared" si="133"/>
        <v>75986766.57474108</v>
      </c>
      <c r="G153" s="359">
        <f>'DRE + DCF'!$W$31</f>
        <v>2791623.3540418856</v>
      </c>
      <c r="H153" s="359">
        <f>'DRE + DCF'!$W$32</f>
        <v>81081.931703745853</v>
      </c>
      <c r="I153" s="359">
        <f>-H153*('DRE + DCF'!$V$33+K153)/'DRE + DCF'!$V$33</f>
        <v>-90858.801614444121</v>
      </c>
      <c r="J153" s="359">
        <f>-'DRE + DCF'!$V$56*L153</f>
        <v>-1188924.4255577971</v>
      </c>
      <c r="K153" s="360">
        <f>(1+L153)/(1+Ke!$O$12)-1</f>
        <v>2.0000000000000018E-2</v>
      </c>
      <c r="L153" s="360">
        <f>'DRE + DCF'!$Y$31</f>
        <v>7.3550000000000004E-2</v>
      </c>
      <c r="M153" s="361">
        <f>(1+D153)^((5-Dashboard!$F$9)*3/12)</f>
        <v>1.0653360906424416</v>
      </c>
      <c r="N153" s="361">
        <f t="shared" ref="N153:V153" si="146">M153*(1+$D153)</f>
        <v>1.1591389334235089</v>
      </c>
      <c r="O153" s="361">
        <f t="shared" si="146"/>
        <v>1.2612011165114494</v>
      </c>
      <c r="P153" s="361">
        <f t="shared" si="146"/>
        <v>1.3722498748202829</v>
      </c>
      <c r="Q153" s="361">
        <f t="shared" si="146"/>
        <v>1.4930764762982094</v>
      </c>
      <c r="R153" s="361">
        <f t="shared" si="146"/>
        <v>1.6245418600362673</v>
      </c>
      <c r="S153" s="361">
        <f t="shared" si="146"/>
        <v>1.7675827708124614</v>
      </c>
      <c r="T153" s="361">
        <f t="shared" si="146"/>
        <v>1.9232184337824993</v>
      </c>
      <c r="U153" s="361">
        <f t="shared" si="146"/>
        <v>2.0925578168770493</v>
      </c>
      <c r="V153" s="362">
        <f t="shared" si="146"/>
        <v>2.2768075326530743</v>
      </c>
      <c r="X153" s="351"/>
    </row>
    <row r="154" spans="3:24" ht="24.75" customHeight="1" x14ac:dyDescent="0.3">
      <c r="C154" s="353">
        <f>ABS(E154-Dashboard!$F$14)</f>
        <v>596.50118725476057</v>
      </c>
      <c r="D154" s="350">
        <f t="shared" si="135"/>
        <v>8.8150000000000409E-2</v>
      </c>
      <c r="E154" s="359" cm="1">
        <f t="array" ref="E154">1000*SUM('DRE + DCF'!$L$36/M154,'DRE + DCF'!$N$36:$V$36/N154:V154,F154/V154)/Dashboard!$F$11</f>
        <v>693.49118725476058</v>
      </c>
      <c r="F154" s="359">
        <f t="shared" si="133"/>
        <v>75563567.697901264</v>
      </c>
      <c r="G154" s="359">
        <f>'DRE + DCF'!$W$31</f>
        <v>2791623.3540418856</v>
      </c>
      <c r="H154" s="359">
        <f>'DRE + DCF'!$W$32</f>
        <v>81081.931703745853</v>
      </c>
      <c r="I154" s="359">
        <f>-H154*('DRE + DCF'!$V$33+K154)/'DRE + DCF'!$V$33</f>
        <v>-90858.801614444121</v>
      </c>
      <c r="J154" s="359">
        <f>-'DRE + DCF'!$V$56*L154</f>
        <v>-1188924.4255577971</v>
      </c>
      <c r="K154" s="360">
        <f>(1+L154)/(1+Ke!$O$12)-1</f>
        <v>2.0000000000000018E-2</v>
      </c>
      <c r="L154" s="360">
        <f>'DRE + DCF'!$Y$31</f>
        <v>7.3550000000000004E-2</v>
      </c>
      <c r="M154" s="361">
        <f>(1+D154)^((5-Dashboard!$F$9)*3/12)</f>
        <v>1.065409524114161</v>
      </c>
      <c r="N154" s="361">
        <f t="shared" ref="N154:V154" si="147">M154*(1+$D154)</f>
        <v>1.1593253736648248</v>
      </c>
      <c r="O154" s="361">
        <f t="shared" si="147"/>
        <v>1.2615199053533797</v>
      </c>
      <c r="P154" s="361">
        <f t="shared" si="147"/>
        <v>1.3727228850102806</v>
      </c>
      <c r="Q154" s="361">
        <f t="shared" si="147"/>
        <v>1.4937284073239374</v>
      </c>
      <c r="R154" s="361">
        <f t="shared" si="147"/>
        <v>1.625400566429543</v>
      </c>
      <c r="S154" s="361">
        <f t="shared" si="147"/>
        <v>1.768679626360308</v>
      </c>
      <c r="T154" s="361">
        <f t="shared" si="147"/>
        <v>1.9245887354239699</v>
      </c>
      <c r="U154" s="361">
        <f t="shared" si="147"/>
        <v>2.0942412324515938</v>
      </c>
      <c r="V154" s="362">
        <f t="shared" si="147"/>
        <v>2.2788485970922028</v>
      </c>
      <c r="X154" s="351"/>
    </row>
    <row r="155" spans="3:24" ht="24.75" customHeight="1" x14ac:dyDescent="0.3">
      <c r="C155" s="353">
        <f>ABS(E155-Dashboard!$F$14)</f>
        <v>592.65150243602886</v>
      </c>
      <c r="D155" s="350">
        <f t="shared" si="135"/>
        <v>8.8250000000000411E-2</v>
      </c>
      <c r="E155" s="359" cm="1">
        <f t="array" ref="E155">1000*SUM('DRE + DCF'!$L$36/M155,'DRE + DCF'!$N$36:$V$36/N155:V155,F155/V155)/Dashboard!$F$11</f>
        <v>689.64150243602887</v>
      </c>
      <c r="F155" s="359">
        <f t="shared" si="133"/>
        <v>75145907.712634265</v>
      </c>
      <c r="G155" s="359">
        <f>'DRE + DCF'!$W$31</f>
        <v>2791623.3540418856</v>
      </c>
      <c r="H155" s="359">
        <f>'DRE + DCF'!$W$32</f>
        <v>81081.931703745853</v>
      </c>
      <c r="I155" s="359">
        <f>-H155*('DRE + DCF'!$V$33+K155)/'DRE + DCF'!$V$33</f>
        <v>-90858.801614444121</v>
      </c>
      <c r="J155" s="359">
        <f>-'DRE + DCF'!$V$56*L155</f>
        <v>-1188924.4255577971</v>
      </c>
      <c r="K155" s="360">
        <f>(1+L155)/(1+Ke!$O$12)-1</f>
        <v>2.0000000000000018E-2</v>
      </c>
      <c r="L155" s="360">
        <f>'DRE + DCF'!$Y$31</f>
        <v>7.3550000000000004E-2</v>
      </c>
      <c r="M155" s="361">
        <f>(1+D155)^((5-Dashboard!$F$9)*3/12)</f>
        <v>1.0654829558987824</v>
      </c>
      <c r="N155" s="361">
        <f t="shared" ref="N155:V155" si="148">M155*(1+$D155)</f>
        <v>1.1595118267568503</v>
      </c>
      <c r="O155" s="361">
        <f t="shared" si="148"/>
        <v>1.2618387454681428</v>
      </c>
      <c r="P155" s="361">
        <f t="shared" si="148"/>
        <v>1.373196014755707</v>
      </c>
      <c r="Q155" s="361">
        <f t="shared" si="148"/>
        <v>1.4943805630578986</v>
      </c>
      <c r="R155" s="361">
        <f t="shared" si="148"/>
        <v>1.6262596477477587</v>
      </c>
      <c r="S155" s="361">
        <f t="shared" si="148"/>
        <v>1.769777061661499</v>
      </c>
      <c r="T155" s="361">
        <f t="shared" si="148"/>
        <v>1.925959887353127</v>
      </c>
      <c r="U155" s="361">
        <f t="shared" si="148"/>
        <v>2.0959258474120412</v>
      </c>
      <c r="V155" s="362">
        <f t="shared" si="148"/>
        <v>2.2808913034461549</v>
      </c>
      <c r="X155" s="351"/>
    </row>
    <row r="156" spans="3:24" ht="24.75" customHeight="1" x14ac:dyDescent="0.3">
      <c r="C156" s="353">
        <f>ABS(E156-Dashboard!$F$14)</f>
        <v>588.85063882802081</v>
      </c>
      <c r="D156" s="350">
        <f t="shared" si="135"/>
        <v>8.8350000000000414E-2</v>
      </c>
      <c r="E156" s="359" cm="1">
        <f t="array" ref="E156">1000*SUM('DRE + DCF'!$L$36/M156,'DRE + DCF'!$N$36:$V$36/N156:V156,F156/V156)/Dashboard!$F$11</f>
        <v>685.84063882802081</v>
      </c>
      <c r="F156" s="359">
        <f t="shared" si="133"/>
        <v>74733675.082437217</v>
      </c>
      <c r="G156" s="359">
        <f>'DRE + DCF'!$W$31</f>
        <v>2791623.3540418856</v>
      </c>
      <c r="H156" s="359">
        <f>'DRE + DCF'!$W$32</f>
        <v>81081.931703745853</v>
      </c>
      <c r="I156" s="359">
        <f>-H156*('DRE + DCF'!$V$33+K156)/'DRE + DCF'!$V$33</f>
        <v>-90858.801614444121</v>
      </c>
      <c r="J156" s="359">
        <f>-'DRE + DCF'!$V$56*L156</f>
        <v>-1188924.4255577971</v>
      </c>
      <c r="K156" s="360">
        <f>(1+L156)/(1+Ke!$O$12)-1</f>
        <v>2.0000000000000018E-2</v>
      </c>
      <c r="L156" s="360">
        <f>'DRE + DCF'!$Y$31</f>
        <v>7.3550000000000004E-2</v>
      </c>
      <c r="M156" s="361">
        <f>(1+D156)^((5-Dashboard!$F$9)*3/12)</f>
        <v>1.0655563859964996</v>
      </c>
      <c r="N156" s="361">
        <f t="shared" ref="N156:V156" si="149">M156*(1+$D156)</f>
        <v>1.1596982926992907</v>
      </c>
      <c r="O156" s="361">
        <f t="shared" si="149"/>
        <v>1.2621576368592735</v>
      </c>
      <c r="P156" s="361">
        <f t="shared" si="149"/>
        <v>1.3736692640757908</v>
      </c>
      <c r="Q156" s="361">
        <f t="shared" si="149"/>
        <v>1.4950329435568874</v>
      </c>
      <c r="R156" s="361">
        <f t="shared" si="149"/>
        <v>1.6271191041201389</v>
      </c>
      <c r="S156" s="361">
        <f t="shared" si="149"/>
        <v>1.7708750769691539</v>
      </c>
      <c r="T156" s="361">
        <f t="shared" si="149"/>
        <v>1.9273318900193794</v>
      </c>
      <c r="U156" s="361">
        <f t="shared" si="149"/>
        <v>2.0976116625025925</v>
      </c>
      <c r="V156" s="362">
        <f t="shared" si="149"/>
        <v>2.2829356528846971</v>
      </c>
      <c r="X156" s="351"/>
    </row>
    <row r="157" spans="3:24" ht="24.75" customHeight="1" x14ac:dyDescent="0.3">
      <c r="C157" s="353">
        <f>ABS(E157-Dashboard!$F$14)</f>
        <v>585.09762584723478</v>
      </c>
      <c r="D157" s="350">
        <f t="shared" si="135"/>
        <v>8.8450000000000417E-2</v>
      </c>
      <c r="E157" s="359" cm="1">
        <f t="array" ref="E157">1000*SUM('DRE + DCF'!$L$36/M157,'DRE + DCF'!$N$36:$V$36/N157:V157,F157/V157)/Dashboard!$F$11</f>
        <v>682.08762584723479</v>
      </c>
      <c r="F157" s="359">
        <f t="shared" si="133"/>
        <v>74326761.261759311</v>
      </c>
      <c r="G157" s="359">
        <f>'DRE + DCF'!$W$31</f>
        <v>2791623.3540418856</v>
      </c>
      <c r="H157" s="359">
        <f>'DRE + DCF'!$W$32</f>
        <v>81081.931703745853</v>
      </c>
      <c r="I157" s="359">
        <f>-H157*('DRE + DCF'!$V$33+K157)/'DRE + DCF'!$V$33</f>
        <v>-90858.801614444121</v>
      </c>
      <c r="J157" s="359">
        <f>-'DRE + DCF'!$V$56*L157</f>
        <v>-1188924.4255577971</v>
      </c>
      <c r="K157" s="360">
        <f>(1+L157)/(1+Ke!$O$12)-1</f>
        <v>2.0000000000000018E-2</v>
      </c>
      <c r="L157" s="360">
        <f>'DRE + DCF'!$Y$31</f>
        <v>7.3550000000000004E-2</v>
      </c>
      <c r="M157" s="361">
        <f>(1+D157)^((5-Dashboard!$F$9)*3/12)</f>
        <v>1.0656298144075065</v>
      </c>
      <c r="N157" s="361">
        <f t="shared" ref="N157:V157" si="150">M157*(1+$D157)</f>
        <v>1.1598847714918508</v>
      </c>
      <c r="O157" s="361">
        <f t="shared" si="150"/>
        <v>1.2624765795303055</v>
      </c>
      <c r="P157" s="361">
        <f t="shared" si="150"/>
        <v>1.3741426329897615</v>
      </c>
      <c r="Q157" s="361">
        <f t="shared" si="150"/>
        <v>1.4956855488777063</v>
      </c>
      <c r="R157" s="361">
        <f t="shared" si="150"/>
        <v>1.62797893567594</v>
      </c>
      <c r="S157" s="361">
        <f t="shared" si="150"/>
        <v>1.7719736725364774</v>
      </c>
      <c r="T157" s="361">
        <f t="shared" si="150"/>
        <v>1.9287047438723295</v>
      </c>
      <c r="U157" s="361">
        <f t="shared" si="150"/>
        <v>2.0992986784678376</v>
      </c>
      <c r="V157" s="362">
        <f t="shared" si="150"/>
        <v>2.2849816465783186</v>
      </c>
      <c r="X157" s="351"/>
    </row>
    <row r="158" spans="3:24" ht="24.75" customHeight="1" x14ac:dyDescent="0.3">
      <c r="C158" s="353">
        <f>ABS(E158-Dashboard!$F$14)</f>
        <v>581.39151873463959</v>
      </c>
      <c r="D158" s="350">
        <f t="shared" si="135"/>
        <v>8.855000000000042E-2</v>
      </c>
      <c r="E158" s="359" cm="1">
        <f t="array" ref="E158">1000*SUM('DRE + DCF'!$L$36/M158,'DRE + DCF'!$N$36:$V$36/N158:V158,F158/V158)/Dashboard!$F$11</f>
        <v>678.3815187346396</v>
      </c>
      <c r="F158" s="359">
        <f t="shared" si="133"/>
        <v>73925060.596321911</v>
      </c>
      <c r="G158" s="359">
        <f>'DRE + DCF'!$W$31</f>
        <v>2791623.3540418856</v>
      </c>
      <c r="H158" s="359">
        <f>'DRE + DCF'!$W$32</f>
        <v>81081.931703745853</v>
      </c>
      <c r="I158" s="359">
        <f>-H158*('DRE + DCF'!$V$33+K158)/'DRE + DCF'!$V$33</f>
        <v>-90858.801614444121</v>
      </c>
      <c r="J158" s="359">
        <f>-'DRE + DCF'!$V$56*L158</f>
        <v>-1188924.4255577971</v>
      </c>
      <c r="K158" s="360">
        <f>(1+L158)/(1+Ke!$O$12)-1</f>
        <v>2.0000000000000018E-2</v>
      </c>
      <c r="L158" s="360">
        <f>'DRE + DCF'!$Y$31</f>
        <v>7.3550000000000004E-2</v>
      </c>
      <c r="M158" s="361">
        <f>(1+D158)^((5-Dashboard!$F$9)*3/12)</f>
        <v>1.0657032411319964</v>
      </c>
      <c r="N158" s="361">
        <f t="shared" ref="N158:V158" si="151">M158*(1+$D158)</f>
        <v>1.1600712631342351</v>
      </c>
      <c r="O158" s="361">
        <f t="shared" si="151"/>
        <v>1.262795573484772</v>
      </c>
      <c r="P158" s="361">
        <f t="shared" si="151"/>
        <v>1.3746161215168491</v>
      </c>
      <c r="Q158" s="361">
        <f t="shared" si="151"/>
        <v>1.4963383790771665</v>
      </c>
      <c r="R158" s="361">
        <f t="shared" si="151"/>
        <v>1.6288391425444502</v>
      </c>
      <c r="S158" s="361">
        <f t="shared" si="151"/>
        <v>1.7730728486167617</v>
      </c>
      <c r="T158" s="361">
        <f t="shared" si="151"/>
        <v>1.9300784493617766</v>
      </c>
      <c r="U158" s="361">
        <f t="shared" si="151"/>
        <v>2.1009868960527625</v>
      </c>
      <c r="V158" s="362">
        <f t="shared" si="151"/>
        <v>2.2870292856982353</v>
      </c>
      <c r="X158" s="351"/>
    </row>
    <row r="159" spans="3:24" ht="24.75" customHeight="1" x14ac:dyDescent="0.3">
      <c r="C159" s="353">
        <f>ABS(E159-Dashboard!$F$14)</f>
        <v>577.73139770088551</v>
      </c>
      <c r="D159" s="350">
        <f t="shared" si="135"/>
        <v>8.8650000000000423E-2</v>
      </c>
      <c r="E159" s="359" cm="1">
        <f t="array" ref="E159">1000*SUM('DRE + DCF'!$L$36/M159,'DRE + DCF'!$N$36:$V$36/N159:V159,F159/V159)/Dashboard!$F$11</f>
        <v>674.72139770088552</v>
      </c>
      <c r="F159" s="359">
        <f t="shared" si="133"/>
        <v>73528470.227399379</v>
      </c>
      <c r="G159" s="359">
        <f>'DRE + DCF'!$W$31</f>
        <v>2791623.3540418856</v>
      </c>
      <c r="H159" s="359">
        <f>'DRE + DCF'!$W$32</f>
        <v>81081.931703745853</v>
      </c>
      <c r="I159" s="359">
        <f>-H159*('DRE + DCF'!$V$33+K159)/'DRE + DCF'!$V$33</f>
        <v>-90858.801614444121</v>
      </c>
      <c r="J159" s="359">
        <f>-'DRE + DCF'!$V$56*L159</f>
        <v>-1188924.4255577971</v>
      </c>
      <c r="K159" s="360">
        <f>(1+L159)/(1+Ke!$O$12)-1</f>
        <v>2.0000000000000018E-2</v>
      </c>
      <c r="L159" s="360">
        <f>'DRE + DCF'!$Y$31</f>
        <v>7.3550000000000004E-2</v>
      </c>
      <c r="M159" s="361">
        <f>(1+D159)^((5-Dashboard!$F$9)*3/12)</f>
        <v>1.0657766661701633</v>
      </c>
      <c r="N159" s="361">
        <f t="shared" ref="N159:V159" si="152">M159*(1+$D159)</f>
        <v>1.1602577676261487</v>
      </c>
      <c r="O159" s="361">
        <f t="shared" si="152"/>
        <v>1.2631146187262072</v>
      </c>
      <c r="P159" s="361">
        <f t="shared" si="152"/>
        <v>1.3750897296762858</v>
      </c>
      <c r="Q159" s="361">
        <f t="shared" si="152"/>
        <v>1.4969914342120891</v>
      </c>
      <c r="R159" s="361">
        <f t="shared" si="152"/>
        <v>1.6296997248549914</v>
      </c>
      <c r="S159" s="361">
        <f t="shared" si="152"/>
        <v>1.7741726054633868</v>
      </c>
      <c r="T159" s="361">
        <f t="shared" si="152"/>
        <v>1.9314530069377167</v>
      </c>
      <c r="U159" s="361">
        <f t="shared" si="152"/>
        <v>2.102676316002746</v>
      </c>
      <c r="V159" s="362">
        <f t="shared" si="152"/>
        <v>2.2890785714163902</v>
      </c>
      <c r="X159" s="351"/>
    </row>
    <row r="160" spans="3:24" ht="24.75" customHeight="1" x14ac:dyDescent="0.3">
      <c r="C160" s="353">
        <f>ABS(E160-Dashboard!$F$14)</f>
        <v>574.1163671052567</v>
      </c>
      <c r="D160" s="350">
        <f t="shared" si="135"/>
        <v>8.8750000000000426E-2</v>
      </c>
      <c r="E160" s="359" cm="1">
        <f t="array" ref="E160">1000*SUM('DRE + DCF'!$L$36/M160,'DRE + DCF'!$N$36:$V$36/N160:V160,F160/V160)/Dashboard!$F$11</f>
        <v>671.10636710525671</v>
      </c>
      <c r="F160" s="359">
        <f t="shared" si="133"/>
        <v>73136889.999878332</v>
      </c>
      <c r="G160" s="359">
        <f>'DRE + DCF'!$W$31</f>
        <v>2791623.3540418856</v>
      </c>
      <c r="H160" s="359">
        <f>'DRE + DCF'!$W$32</f>
        <v>81081.931703745853</v>
      </c>
      <c r="I160" s="359">
        <f>-H160*('DRE + DCF'!$V$33+K160)/'DRE + DCF'!$V$33</f>
        <v>-90858.801614444121</v>
      </c>
      <c r="J160" s="359">
        <f>-'DRE + DCF'!$V$56*L160</f>
        <v>-1188924.4255577971</v>
      </c>
      <c r="K160" s="360">
        <f>(1+L160)/(1+Ke!$O$12)-1</f>
        <v>2.0000000000000018E-2</v>
      </c>
      <c r="L160" s="360">
        <f>'DRE + DCF'!$Y$31</f>
        <v>7.3550000000000004E-2</v>
      </c>
      <c r="M160" s="361">
        <f>(1+D160)^((5-Dashboard!$F$9)*3/12)</f>
        <v>1.0658500895222005</v>
      </c>
      <c r="N160" s="361">
        <f t="shared" ref="N160:V160" si="153">M160*(1+$D160)</f>
        <v>1.1604442849672962</v>
      </c>
      <c r="O160" s="361">
        <f t="shared" si="153"/>
        <v>1.2634337152581441</v>
      </c>
      <c r="P160" s="361">
        <f t="shared" si="153"/>
        <v>1.3755634574873048</v>
      </c>
      <c r="Q160" s="361">
        <f t="shared" si="153"/>
        <v>1.4976447143393035</v>
      </c>
      <c r="R160" s="361">
        <f t="shared" si="153"/>
        <v>1.6305606827369172</v>
      </c>
      <c r="S160" s="361">
        <f t="shared" si="153"/>
        <v>1.7752729433298191</v>
      </c>
      <c r="T160" s="361">
        <f t="shared" si="153"/>
        <v>1.9328284170503411</v>
      </c>
      <c r="U160" s="361">
        <f t="shared" si="153"/>
        <v>2.1043669390635595</v>
      </c>
      <c r="V160" s="362">
        <f t="shared" si="153"/>
        <v>2.291129504905451</v>
      </c>
      <c r="X160" s="351"/>
    </row>
    <row r="161" spans="3:24" ht="24.75" customHeight="1" x14ac:dyDescent="0.3">
      <c r="C161" s="353">
        <f>ABS(E161-Dashboard!$F$14)</f>
        <v>570.54555466681597</v>
      </c>
      <c r="D161" s="350">
        <f t="shared" si="135"/>
        <v>8.8850000000000429E-2</v>
      </c>
      <c r="E161" s="359" cm="1">
        <f t="array" ref="E161">1000*SUM('DRE + DCF'!$L$36/M161,'DRE + DCF'!$N$36:$V$36/N161:V161,F161/V161)/Dashboard!$F$11</f>
        <v>667.53555466681598</v>
      </c>
      <c r="F161" s="359">
        <f t="shared" si="133"/>
        <v>72750222.37392205</v>
      </c>
      <c r="G161" s="359">
        <f>'DRE + DCF'!$W$31</f>
        <v>2791623.3540418856</v>
      </c>
      <c r="H161" s="359">
        <f>'DRE + DCF'!$W$32</f>
        <v>81081.931703745853</v>
      </c>
      <c r="I161" s="359">
        <f>-H161*('DRE + DCF'!$V$33+K161)/'DRE + DCF'!$V$33</f>
        <v>-90858.801614444121</v>
      </c>
      <c r="J161" s="359">
        <f>-'DRE + DCF'!$V$56*L161</f>
        <v>-1188924.4255577971</v>
      </c>
      <c r="K161" s="360">
        <f>(1+L161)/(1+Ke!$O$12)-1</f>
        <v>2.0000000000000018E-2</v>
      </c>
      <c r="L161" s="360">
        <f>'DRE + DCF'!$Y$31</f>
        <v>7.3550000000000004E-2</v>
      </c>
      <c r="M161" s="361">
        <f>(1+D161)^((5-Dashboard!$F$9)*3/12)</f>
        <v>1.0659235111883019</v>
      </c>
      <c r="N161" s="361">
        <f t="shared" ref="N161:V161" si="154">M161*(1+$D161)</f>
        <v>1.1606308151573828</v>
      </c>
      <c r="O161" s="361">
        <f t="shared" si="154"/>
        <v>1.2637528630841166</v>
      </c>
      <c r="P161" s="361">
        <f t="shared" si="154"/>
        <v>1.3760373049691408</v>
      </c>
      <c r="Q161" s="361">
        <f t="shared" si="154"/>
        <v>1.4982982195156493</v>
      </c>
      <c r="R161" s="361">
        <f t="shared" si="154"/>
        <v>1.6314220163196154</v>
      </c>
      <c r="S161" s="361">
        <f t="shared" si="154"/>
        <v>1.7763738624696137</v>
      </c>
      <c r="T161" s="361">
        <f t="shared" si="154"/>
        <v>1.9342046801500394</v>
      </c>
      <c r="U161" s="361">
        <f t="shared" si="154"/>
        <v>2.1060587659813712</v>
      </c>
      <c r="V161" s="362">
        <f t="shared" si="154"/>
        <v>2.2931820873388169</v>
      </c>
      <c r="X161" s="351"/>
    </row>
    <row r="162" spans="3:24" ht="24.75" customHeight="1" x14ac:dyDescent="0.3">
      <c r="C162" s="353">
        <f>ABS(E162-Dashboard!$F$14)</f>
        <v>567.01811070628605</v>
      </c>
      <c r="D162" s="350">
        <f t="shared" si="135"/>
        <v>8.8950000000000431E-2</v>
      </c>
      <c r="E162" s="359" cm="1">
        <f t="array" ref="E162">1000*SUM('DRE + DCF'!$L$36/M162,'DRE + DCF'!$N$36:$V$36/N162:V162,F162/V162)/Dashboard!$F$11</f>
        <v>664.00811070628606</v>
      </c>
      <c r="F162" s="359">
        <f t="shared" si="133"/>
        <v>72368372.34007664</v>
      </c>
      <c r="G162" s="359">
        <f>'DRE + DCF'!$W$31</f>
        <v>2791623.3540418856</v>
      </c>
      <c r="H162" s="359">
        <f>'DRE + DCF'!$W$32</f>
        <v>81081.931703745853</v>
      </c>
      <c r="I162" s="359">
        <f>-H162*('DRE + DCF'!$V$33+K162)/'DRE + DCF'!$V$33</f>
        <v>-90858.801614444121</v>
      </c>
      <c r="J162" s="359">
        <f>-'DRE + DCF'!$V$56*L162</f>
        <v>-1188924.4255577971</v>
      </c>
      <c r="K162" s="360">
        <f>(1+L162)/(1+Ke!$O$12)-1</f>
        <v>2.0000000000000018E-2</v>
      </c>
      <c r="L162" s="360">
        <f>'DRE + DCF'!$Y$31</f>
        <v>7.3550000000000004E-2</v>
      </c>
      <c r="M162" s="361">
        <f>(1+D162)^((5-Dashboard!$F$9)*3/12)</f>
        <v>1.0659969311686612</v>
      </c>
      <c r="N162" s="361">
        <f t="shared" ref="N162:V162" si="155">M162*(1+$D162)</f>
        <v>1.1608173581961143</v>
      </c>
      <c r="O162" s="361">
        <f t="shared" si="155"/>
        <v>1.2640720622076593</v>
      </c>
      <c r="P162" s="361">
        <f t="shared" si="155"/>
        <v>1.3765112721410313</v>
      </c>
      <c r="Q162" s="361">
        <f t="shared" si="155"/>
        <v>1.4989519497979769</v>
      </c>
      <c r="R162" s="361">
        <f t="shared" si="155"/>
        <v>1.6322837257325078</v>
      </c>
      <c r="S162" s="361">
        <f t="shared" si="155"/>
        <v>1.7774753631364153</v>
      </c>
      <c r="T162" s="361">
        <f t="shared" si="155"/>
        <v>1.9355817966874003</v>
      </c>
      <c r="U162" s="361">
        <f t="shared" si="155"/>
        <v>2.1077517975027455</v>
      </c>
      <c r="V162" s="362">
        <f t="shared" si="155"/>
        <v>2.2952363198906158</v>
      </c>
      <c r="X162" s="351"/>
    </row>
    <row r="163" spans="3:24" ht="24.75" customHeight="1" x14ac:dyDescent="0.3">
      <c r="C163" s="353">
        <f>ABS(E163-Dashboard!$F$14)</f>
        <v>563.53320741727566</v>
      </c>
      <c r="D163" s="350">
        <f t="shared" si="135"/>
        <v>8.9050000000000434E-2</v>
      </c>
      <c r="E163" s="359" cm="1">
        <f t="array" ref="E163">1000*SUM('DRE + DCF'!$L$36/M163,'DRE + DCF'!$N$36:$V$36/N163:V163,F163/V163)/Dashboard!$F$11</f>
        <v>660.52320741727567</v>
      </c>
      <c r="F163" s="359">
        <f t="shared" si="133"/>
        <v>71991247.337663025</v>
      </c>
      <c r="G163" s="359">
        <f>'DRE + DCF'!$W$31</f>
        <v>2791623.3540418856</v>
      </c>
      <c r="H163" s="359">
        <f>'DRE + DCF'!$W$32</f>
        <v>81081.931703745853</v>
      </c>
      <c r="I163" s="359">
        <f>-H163*('DRE + DCF'!$V$33+K163)/'DRE + DCF'!$V$33</f>
        <v>-90858.801614444121</v>
      </c>
      <c r="J163" s="359">
        <f>-'DRE + DCF'!$V$56*L163</f>
        <v>-1188924.4255577971</v>
      </c>
      <c r="K163" s="360">
        <f>(1+L163)/(1+Ke!$O$12)-1</f>
        <v>2.0000000000000018E-2</v>
      </c>
      <c r="L163" s="360">
        <f>'DRE + DCF'!$Y$31</f>
        <v>7.3550000000000004E-2</v>
      </c>
      <c r="M163" s="361">
        <f>(1+D163)^((5-Dashboard!$F$9)*3/12)</f>
        <v>1.0660703494634713</v>
      </c>
      <c r="N163" s="361">
        <f t="shared" ref="N163:V163" si="156">M163*(1+$D163)</f>
        <v>1.161003914083194</v>
      </c>
      <c r="O163" s="361">
        <f t="shared" si="156"/>
        <v>1.264391312632303</v>
      </c>
      <c r="P163" s="361">
        <f t="shared" si="156"/>
        <v>1.3769853590222103</v>
      </c>
      <c r="Q163" s="361">
        <f t="shared" si="156"/>
        <v>1.4996059052431387</v>
      </c>
      <c r="R163" s="361">
        <f t="shared" si="156"/>
        <v>1.633145811105041</v>
      </c>
      <c r="S163" s="361">
        <f t="shared" si="156"/>
        <v>1.7785774455839458</v>
      </c>
      <c r="T163" s="361">
        <f t="shared" si="156"/>
        <v>1.9369597671131971</v>
      </c>
      <c r="U163" s="361">
        <f t="shared" si="156"/>
        <v>2.1094460343746282</v>
      </c>
      <c r="V163" s="362">
        <f t="shared" si="156"/>
        <v>2.2972922037356898</v>
      </c>
      <c r="X163" s="351"/>
    </row>
    <row r="164" spans="3:24" ht="24.75" customHeight="1" x14ac:dyDescent="0.3">
      <c r="C164" s="353">
        <f>ABS(E164-Dashboard!$F$14)</f>
        <v>560.0900381655249</v>
      </c>
      <c r="D164" s="350">
        <f t="shared" si="135"/>
        <v>8.9150000000000437E-2</v>
      </c>
      <c r="E164" s="359" cm="1">
        <f t="array" ref="E164">1000*SUM('DRE + DCF'!$L$36/M164,'DRE + DCF'!$N$36:$V$36/N164:V164,F164/V164)/Dashboard!$F$11</f>
        <v>657.08003816552491</v>
      </c>
      <c r="F164" s="359">
        <f t="shared" si="133"/>
        <v>71618757.176307917</v>
      </c>
      <c r="G164" s="359">
        <f>'DRE + DCF'!$W$31</f>
        <v>2791623.3540418856</v>
      </c>
      <c r="H164" s="359">
        <f>'DRE + DCF'!$W$32</f>
        <v>81081.931703745853</v>
      </c>
      <c r="I164" s="359">
        <f>-H164*('DRE + DCF'!$V$33+K164)/'DRE + DCF'!$V$33</f>
        <v>-90858.801614444121</v>
      </c>
      <c r="J164" s="359">
        <f>-'DRE + DCF'!$V$56*L164</f>
        <v>-1188924.4255577971</v>
      </c>
      <c r="K164" s="360">
        <f>(1+L164)/(1+Ke!$O$12)-1</f>
        <v>2.0000000000000018E-2</v>
      </c>
      <c r="L164" s="360">
        <f>'DRE + DCF'!$Y$31</f>
        <v>7.3550000000000004E-2</v>
      </c>
      <c r="M164" s="361">
        <f>(1+D164)^((5-Dashboard!$F$9)*3/12)</f>
        <v>1.066143766072926</v>
      </c>
      <c r="N164" s="361">
        <f t="shared" ref="N164:V164" si="157">M164*(1+$D164)</f>
        <v>1.1611904828183279</v>
      </c>
      <c r="O164" s="361">
        <f t="shared" si="157"/>
        <v>1.2647106143615825</v>
      </c>
      <c r="P164" s="361">
        <f t="shared" si="157"/>
        <v>1.3774595656319182</v>
      </c>
      <c r="Q164" s="361">
        <f t="shared" si="157"/>
        <v>1.5002600859080044</v>
      </c>
      <c r="R164" s="361">
        <f t="shared" si="157"/>
        <v>1.6340082725667038</v>
      </c>
      <c r="S164" s="361">
        <f t="shared" si="157"/>
        <v>1.7796801100660262</v>
      </c>
      <c r="T164" s="361">
        <f t="shared" si="157"/>
        <v>1.9383385918784133</v>
      </c>
      <c r="U164" s="361">
        <f t="shared" si="157"/>
        <v>2.1111414773443746</v>
      </c>
      <c r="V164" s="362">
        <f t="shared" si="157"/>
        <v>2.2993497400496268</v>
      </c>
      <c r="X164" s="351"/>
    </row>
    <row r="165" spans="3:24" ht="24.75" customHeight="1" x14ac:dyDescent="0.3">
      <c r="C165" s="353">
        <f>ABS(E165-Dashboard!$F$14)</f>
        <v>556.68781681493999</v>
      </c>
      <c r="D165" s="350">
        <f t="shared" si="135"/>
        <v>8.925000000000044E-2</v>
      </c>
      <c r="E165" s="359" cm="1">
        <f t="array" ref="E165">1000*SUM('DRE + DCF'!$L$36/M165,'DRE + DCF'!$N$36:$V$36/N165:V165,F165/V165)/Dashboard!$F$11</f>
        <v>653.67781681494</v>
      </c>
      <c r="F165" s="359">
        <f t="shared" si="133"/>
        <v>71250813.960473254</v>
      </c>
      <c r="G165" s="359">
        <f>'DRE + DCF'!$W$31</f>
        <v>2791623.3540418856</v>
      </c>
      <c r="H165" s="359">
        <f>'DRE + DCF'!$W$32</f>
        <v>81081.931703745853</v>
      </c>
      <c r="I165" s="359">
        <f>-H165*('DRE + DCF'!$V$33+K165)/'DRE + DCF'!$V$33</f>
        <v>-90858.801614444121</v>
      </c>
      <c r="J165" s="359">
        <f>-'DRE + DCF'!$V$56*L165</f>
        <v>-1188924.4255577971</v>
      </c>
      <c r="K165" s="360">
        <f>(1+L165)/(1+Ke!$O$12)-1</f>
        <v>2.0000000000000018E-2</v>
      </c>
      <c r="L165" s="360">
        <f>'DRE + DCF'!$Y$31</f>
        <v>7.3550000000000004E-2</v>
      </c>
      <c r="M165" s="361">
        <f>(1+D165)^((5-Dashboard!$F$9)*3/12)</f>
        <v>1.066217180997219</v>
      </c>
      <c r="N165" s="361">
        <f t="shared" ref="N165:V165" si="158">M165*(1+$D165)</f>
        <v>1.1613770644012213</v>
      </c>
      <c r="O165" s="361">
        <f t="shared" si="158"/>
        <v>1.2650299673990308</v>
      </c>
      <c r="P165" s="361">
        <f t="shared" si="158"/>
        <v>1.3779338919893949</v>
      </c>
      <c r="Q165" s="361">
        <f t="shared" si="158"/>
        <v>1.500914491849449</v>
      </c>
      <c r="R165" s="361">
        <f t="shared" si="158"/>
        <v>1.634871110247013</v>
      </c>
      <c r="S165" s="361">
        <f t="shared" si="158"/>
        <v>1.7807833568365599</v>
      </c>
      <c r="T165" s="361">
        <f t="shared" si="158"/>
        <v>1.9397182714342238</v>
      </c>
      <c r="U165" s="361">
        <f t="shared" si="158"/>
        <v>2.1128381271597294</v>
      </c>
      <c r="V165" s="362">
        <f t="shared" si="158"/>
        <v>2.3014089300087361</v>
      </c>
      <c r="X165" s="351"/>
    </row>
    <row r="166" spans="3:24" ht="24.75" customHeight="1" x14ac:dyDescent="0.3">
      <c r="C166" s="353">
        <f>ABS(E166-Dashboard!$F$14)</f>
        <v>553.32577707921359</v>
      </c>
      <c r="D166" s="350">
        <f t="shared" si="135"/>
        <v>8.9350000000000443E-2</v>
      </c>
      <c r="E166" s="359" cm="1">
        <f t="array" ref="E166">1000*SUM('DRE + DCF'!$L$36/M166,'DRE + DCF'!$N$36:$V$36/N166:V166,F166/V166)/Dashboard!$F$11</f>
        <v>650.3157770792136</v>
      </c>
      <c r="F166" s="359">
        <f t="shared" si="133"/>
        <v>70887332.016851515</v>
      </c>
      <c r="G166" s="359">
        <f>'DRE + DCF'!$W$31</f>
        <v>2791623.3540418856</v>
      </c>
      <c r="H166" s="359">
        <f>'DRE + DCF'!$W$32</f>
        <v>81081.931703745853</v>
      </c>
      <c r="I166" s="359">
        <f>-H166*('DRE + DCF'!$V$33+K166)/'DRE + DCF'!$V$33</f>
        <v>-90858.801614444121</v>
      </c>
      <c r="J166" s="359">
        <f>-'DRE + DCF'!$V$56*L166</f>
        <v>-1188924.4255577971</v>
      </c>
      <c r="K166" s="360">
        <f>(1+L166)/(1+Ke!$O$12)-1</f>
        <v>2.0000000000000018E-2</v>
      </c>
      <c r="L166" s="360">
        <f>'DRE + DCF'!$Y$31</f>
        <v>7.3550000000000004E-2</v>
      </c>
      <c r="M166" s="361">
        <f>(1+D166)^((5-Dashboard!$F$9)*3/12)</f>
        <v>1.066290594236543</v>
      </c>
      <c r="N166" s="361">
        <f t="shared" ref="N166:V166" si="159">M166*(1+$D166)</f>
        <v>1.1615636588315787</v>
      </c>
      <c r="O166" s="361">
        <f t="shared" si="159"/>
        <v>1.265349371748181</v>
      </c>
      <c r="P166" s="361">
        <f t="shared" si="159"/>
        <v>1.3784083381138816</v>
      </c>
      <c r="Q166" s="361">
        <f t="shared" si="159"/>
        <v>1.5015691231243575</v>
      </c>
      <c r="R166" s="361">
        <f t="shared" si="159"/>
        <v>1.6357343242755196</v>
      </c>
      <c r="S166" s="361">
        <f t="shared" si="159"/>
        <v>1.781887186149538</v>
      </c>
      <c r="T166" s="361">
        <f t="shared" si="159"/>
        <v>1.941098806232</v>
      </c>
      <c r="U166" s="361">
        <f t="shared" si="159"/>
        <v>2.1145359845688301</v>
      </c>
      <c r="V166" s="362">
        <f t="shared" si="159"/>
        <v>2.3034697747900559</v>
      </c>
      <c r="X166" s="351"/>
    </row>
    <row r="167" spans="3:24" ht="24.75" customHeight="1" x14ac:dyDescent="0.3">
      <c r="C167" s="353">
        <f>ABS(E167-Dashboard!$F$14)</f>
        <v>550.00317189791053</v>
      </c>
      <c r="D167" s="350">
        <f t="shared" si="135"/>
        <v>8.9450000000000446E-2</v>
      </c>
      <c r="E167" s="359" cm="1">
        <f t="array" ref="E167">1000*SUM('DRE + DCF'!$L$36/M167,'DRE + DCF'!$N$36:$V$36/N167:V167,F167/V167)/Dashboard!$F$11</f>
        <v>646.99317189791054</v>
      </c>
      <c r="F167" s="359">
        <f t="shared" si="133"/>
        <v>70528227.824500844</v>
      </c>
      <c r="G167" s="359">
        <f>'DRE + DCF'!$W$31</f>
        <v>2791623.3540418856</v>
      </c>
      <c r="H167" s="359">
        <f>'DRE + DCF'!$W$32</f>
        <v>81081.931703745853</v>
      </c>
      <c r="I167" s="359">
        <f>-H167*('DRE + DCF'!$V$33+K167)/'DRE + DCF'!$V$33</f>
        <v>-90858.801614444121</v>
      </c>
      <c r="J167" s="359">
        <f>-'DRE + DCF'!$V$56*L167</f>
        <v>-1188924.4255577971</v>
      </c>
      <c r="K167" s="360">
        <f>(1+L167)/(1+Ke!$O$12)-1</f>
        <v>2.0000000000000018E-2</v>
      </c>
      <c r="L167" s="360">
        <f>'DRE + DCF'!$Y$31</f>
        <v>7.3550000000000004E-2</v>
      </c>
      <c r="M167" s="361">
        <f>(1+D167)^((5-Dashboard!$F$9)*3/12)</f>
        <v>1.0663640057910919</v>
      </c>
      <c r="N167" s="361">
        <f t="shared" ref="N167:V167" si="160">M167*(1+$D167)</f>
        <v>1.1617502661091057</v>
      </c>
      <c r="O167" s="361">
        <f t="shared" si="160"/>
        <v>1.2656688274125658</v>
      </c>
      <c r="P167" s="361">
        <f t="shared" si="160"/>
        <v>1.3788829040246204</v>
      </c>
      <c r="Q167" s="361">
        <f t="shared" si="160"/>
        <v>1.5022239797896233</v>
      </c>
      <c r="R167" s="361">
        <f t="shared" si="160"/>
        <v>1.6365979147818057</v>
      </c>
      <c r="S167" s="361">
        <f t="shared" si="160"/>
        <v>1.782991598259039</v>
      </c>
      <c r="T167" s="361">
        <f t="shared" si="160"/>
        <v>1.9424801967233107</v>
      </c>
      <c r="U167" s="361">
        <f t="shared" si="160"/>
        <v>2.1162350503202116</v>
      </c>
      <c r="V167" s="362">
        <f t="shared" si="160"/>
        <v>2.3055322755713554</v>
      </c>
      <c r="X167" s="351"/>
    </row>
    <row r="168" spans="3:24" ht="24.75" customHeight="1" x14ac:dyDescent="0.3">
      <c r="C168" s="353">
        <f>ABS(E168-Dashboard!$F$14)</f>
        <v>546.7192728359513</v>
      </c>
      <c r="D168" s="350">
        <f t="shared" si="135"/>
        <v>8.9550000000000449E-2</v>
      </c>
      <c r="E168" s="359" cm="1">
        <f t="array" ref="E168">1000*SUM('DRE + DCF'!$L$36/M168,'DRE + DCF'!$N$36:$V$36/N168:V168,F168/V168)/Dashboard!$F$11</f>
        <v>643.70927283595131</v>
      </c>
      <c r="F168" s="359">
        <f t="shared" si="133"/>
        <v>70173419.947599873</v>
      </c>
      <c r="G168" s="359">
        <f>'DRE + DCF'!$W$31</f>
        <v>2791623.3540418856</v>
      </c>
      <c r="H168" s="359">
        <f>'DRE + DCF'!$W$32</f>
        <v>81081.931703745853</v>
      </c>
      <c r="I168" s="359">
        <f>-H168*('DRE + DCF'!$V$33+K168)/'DRE + DCF'!$V$33</f>
        <v>-90858.801614444121</v>
      </c>
      <c r="J168" s="359">
        <f>-'DRE + DCF'!$V$56*L168</f>
        <v>-1188924.4255577971</v>
      </c>
      <c r="K168" s="360">
        <f>(1+L168)/(1+Ke!$O$12)-1</f>
        <v>2.0000000000000018E-2</v>
      </c>
      <c r="L168" s="360">
        <f>'DRE + DCF'!$Y$31</f>
        <v>7.3550000000000004E-2</v>
      </c>
      <c r="M168" s="361">
        <f>(1+D168)^((5-Dashboard!$F$9)*3/12)</f>
        <v>1.066437415661059</v>
      </c>
      <c r="N168" s="361">
        <f t="shared" ref="N168:V168" si="161">M168*(1+$D168)</f>
        <v>1.1619368862335073</v>
      </c>
      <c r="O168" s="361">
        <f t="shared" si="161"/>
        <v>1.2659883343957183</v>
      </c>
      <c r="P168" s="361">
        <f t="shared" si="161"/>
        <v>1.3793575897408554</v>
      </c>
      <c r="Q168" s="361">
        <f t="shared" si="161"/>
        <v>1.5028790619021497</v>
      </c>
      <c r="R168" s="361">
        <f t="shared" si="161"/>
        <v>1.6374618818954878</v>
      </c>
      <c r="S168" s="361">
        <f t="shared" si="161"/>
        <v>1.7840965934192294</v>
      </c>
      <c r="T168" s="361">
        <f t="shared" si="161"/>
        <v>1.9438624433599223</v>
      </c>
      <c r="U168" s="361">
        <f t="shared" si="161"/>
        <v>2.1179353251628044</v>
      </c>
      <c r="V168" s="362">
        <f t="shared" si="161"/>
        <v>2.3075964335311343</v>
      </c>
      <c r="X168" s="351"/>
    </row>
    <row r="169" spans="3:24" ht="24.75" customHeight="1" x14ac:dyDescent="0.3">
      <c r="C169" s="353">
        <f>ABS(E169-Dashboard!$F$14)</f>
        <v>543.4733695054689</v>
      </c>
      <c r="D169" s="350">
        <f t="shared" si="135"/>
        <v>8.9650000000000452E-2</v>
      </c>
      <c r="E169" s="359" cm="1">
        <f t="array" ref="E169">1000*SUM('DRE + DCF'!$L$36/M169,'DRE + DCF'!$N$36:$V$36/N169:V169,F169/V169)/Dashboard!$F$11</f>
        <v>640.4633695054689</v>
      </c>
      <c r="F169" s="359">
        <f t="shared" si="133"/>
        <v>69822828.970708549</v>
      </c>
      <c r="G169" s="359">
        <f>'DRE + DCF'!$W$31</f>
        <v>2791623.3540418856</v>
      </c>
      <c r="H169" s="359">
        <f>'DRE + DCF'!$W$32</f>
        <v>81081.931703745853</v>
      </c>
      <c r="I169" s="359">
        <f>-H169*('DRE + DCF'!$V$33+K169)/'DRE + DCF'!$V$33</f>
        <v>-90858.801614444121</v>
      </c>
      <c r="J169" s="359">
        <f>-'DRE + DCF'!$V$56*L169</f>
        <v>-1188924.4255577971</v>
      </c>
      <c r="K169" s="360">
        <f>(1+L169)/(1+Ke!$O$12)-1</f>
        <v>2.0000000000000018E-2</v>
      </c>
      <c r="L169" s="360">
        <f>'DRE + DCF'!$Y$31</f>
        <v>7.3550000000000004E-2</v>
      </c>
      <c r="M169" s="361">
        <f>(1+D169)^((5-Dashboard!$F$9)*3/12)</f>
        <v>1.0665108238466372</v>
      </c>
      <c r="N169" s="361">
        <f t="shared" ref="N169:V169" si="162">M169*(1+$D169)</f>
        <v>1.1621235192044888</v>
      </c>
      <c r="O169" s="361">
        <f t="shared" si="162"/>
        <v>1.2663078927011717</v>
      </c>
      <c r="P169" s="361">
        <f t="shared" si="162"/>
        <v>1.3798323952818323</v>
      </c>
      <c r="Q169" s="361">
        <f t="shared" si="162"/>
        <v>1.5035343695188492</v>
      </c>
      <c r="R169" s="361">
        <f t="shared" si="162"/>
        <v>1.6383262257462148</v>
      </c>
      <c r="S169" s="361">
        <f t="shared" si="162"/>
        <v>1.7852021718843636</v>
      </c>
      <c r="T169" s="361">
        <f t="shared" si="162"/>
        <v>1.9452455465937977</v>
      </c>
      <c r="U169" s="361">
        <f t="shared" si="162"/>
        <v>2.1196368098459324</v>
      </c>
      <c r="V169" s="362">
        <f t="shared" si="162"/>
        <v>2.3096622498486212</v>
      </c>
      <c r="X169" s="351"/>
    </row>
    <row r="170" spans="3:24" ht="24.75" customHeight="1" x14ac:dyDescent="0.3">
      <c r="C170" s="353">
        <f>ABS(E170-Dashboard!$F$14)</f>
        <v>540.26476900908062</v>
      </c>
      <c r="D170" s="350">
        <f t="shared" si="135"/>
        <v>8.9750000000000454E-2</v>
      </c>
      <c r="E170" s="359" cm="1">
        <f t="array" ref="E170">1000*SUM('DRE + DCF'!$L$36/M170,'DRE + DCF'!$N$36:$V$36/N170:V170,F170/V170)/Dashboard!$F$11</f>
        <v>637.25476900908063</v>
      </c>
      <c r="F170" s="359">
        <f t="shared" si="133"/>
        <v>69476377.436426565</v>
      </c>
      <c r="G170" s="359">
        <f>'DRE + DCF'!$W$31</f>
        <v>2791623.3540418856</v>
      </c>
      <c r="H170" s="359">
        <f>'DRE + DCF'!$W$32</f>
        <v>81081.931703745853</v>
      </c>
      <c r="I170" s="359">
        <f>-H170*('DRE + DCF'!$V$33+K170)/'DRE + DCF'!$V$33</f>
        <v>-90858.801614444121</v>
      </c>
      <c r="J170" s="359">
        <f>-'DRE + DCF'!$V$56*L170</f>
        <v>-1188924.4255577971</v>
      </c>
      <c r="K170" s="360">
        <f>(1+L170)/(1+Ke!$O$12)-1</f>
        <v>2.0000000000000018E-2</v>
      </c>
      <c r="L170" s="360">
        <f>'DRE + DCF'!$Y$31</f>
        <v>7.3550000000000004E-2</v>
      </c>
      <c r="M170" s="361">
        <f>(1+D170)^((5-Dashboard!$F$9)*3/12)</f>
        <v>1.06658423034802</v>
      </c>
      <c r="N170" s="361">
        <f t="shared" ref="N170:V170" si="163">M170*(1+$D170)</f>
        <v>1.1623101650217553</v>
      </c>
      <c r="O170" s="361">
        <f t="shared" si="163"/>
        <v>1.2666275023324585</v>
      </c>
      <c r="P170" s="361">
        <f t="shared" si="163"/>
        <v>1.3803073206667971</v>
      </c>
      <c r="Q170" s="361">
        <f t="shared" si="163"/>
        <v>1.5041899026966428</v>
      </c>
      <c r="R170" s="361">
        <f t="shared" si="163"/>
        <v>1.6391909464636671</v>
      </c>
      <c r="S170" s="361">
        <f t="shared" si="163"/>
        <v>1.786308333908782</v>
      </c>
      <c r="T170" s="361">
        <f t="shared" si="163"/>
        <v>1.946629506877096</v>
      </c>
      <c r="U170" s="361">
        <f t="shared" si="163"/>
        <v>2.1213395051193165</v>
      </c>
      <c r="V170" s="362">
        <f t="shared" si="163"/>
        <v>2.3117297257037759</v>
      </c>
      <c r="X170" s="351"/>
    </row>
    <row r="171" spans="3:24" ht="24.75" customHeight="1" x14ac:dyDescent="0.3">
      <c r="C171" s="353">
        <f>ABS(E171-Dashboard!$F$14)</f>
        <v>537.09279540364787</v>
      </c>
      <c r="D171" s="350">
        <f t="shared" si="135"/>
        <v>8.9850000000000457E-2</v>
      </c>
      <c r="E171" s="359" cm="1">
        <f t="array" ref="E171">1000*SUM('DRE + DCF'!$L$36/M171,'DRE + DCF'!$N$36:$V$36/N171:V171,F171/V171)/Dashboard!$F$11</f>
        <v>634.08279540364788</v>
      </c>
      <c r="F171" s="359">
        <f t="shared" si="133"/>
        <v>69133989.785346434</v>
      </c>
      <c r="G171" s="359">
        <f>'DRE + DCF'!$W$31</f>
        <v>2791623.3540418856</v>
      </c>
      <c r="H171" s="359">
        <f>'DRE + DCF'!$W$32</f>
        <v>81081.931703745853</v>
      </c>
      <c r="I171" s="359">
        <f>-H171*('DRE + DCF'!$V$33+K171)/'DRE + DCF'!$V$33</f>
        <v>-90858.801614444121</v>
      </c>
      <c r="J171" s="359">
        <f>-'DRE + DCF'!$V$56*L171</f>
        <v>-1188924.4255577971</v>
      </c>
      <c r="K171" s="360">
        <f>(1+L171)/(1+Ke!$O$12)-1</f>
        <v>2.0000000000000018E-2</v>
      </c>
      <c r="L171" s="360">
        <f>'DRE + DCF'!$Y$31</f>
        <v>7.3550000000000004E-2</v>
      </c>
      <c r="M171" s="361">
        <f>(1+D171)^((5-Dashboard!$F$9)*3/12)</f>
        <v>1.0666576351654005</v>
      </c>
      <c r="N171" s="361">
        <f t="shared" ref="N171:V171" si="164">M171*(1+$D171)</f>
        <v>1.1624968236850122</v>
      </c>
      <c r="O171" s="361">
        <f t="shared" si="164"/>
        <v>1.2669471632931111</v>
      </c>
      <c r="P171" s="361">
        <f t="shared" si="164"/>
        <v>1.3807823659149976</v>
      </c>
      <c r="Q171" s="361">
        <f t="shared" si="164"/>
        <v>1.5048456614924608</v>
      </c>
      <c r="R171" s="361">
        <f t="shared" si="164"/>
        <v>1.6400560441775591</v>
      </c>
      <c r="S171" s="361">
        <f t="shared" si="164"/>
        <v>1.7874150797469135</v>
      </c>
      <c r="T171" s="361">
        <f t="shared" si="164"/>
        <v>1.9480143246621744</v>
      </c>
      <c r="U171" s="361">
        <f t="shared" si="164"/>
        <v>2.1230434117330717</v>
      </c>
      <c r="V171" s="362">
        <f t="shared" si="164"/>
        <v>2.3137988622772889</v>
      </c>
      <c r="X171" s="351"/>
    </row>
    <row r="172" spans="3:24" ht="24.75" customHeight="1" x14ac:dyDescent="0.3">
      <c r="C172" s="353">
        <f>ABS(E172-Dashboard!$F$14)</f>
        <v>533.956789183654</v>
      </c>
      <c r="D172" s="350">
        <f t="shared" si="135"/>
        <v>8.995000000000046E-2</v>
      </c>
      <c r="E172" s="359" cm="1">
        <f t="array" ref="E172">1000*SUM('DRE + DCF'!$L$36/M172,'DRE + DCF'!$N$36:$V$36/N172:V172,F172/V172)/Dashboard!$F$11</f>
        <v>630.946789183654</v>
      </c>
      <c r="F172" s="359">
        <f t="shared" si="133"/>
        <v>68795592.298203409</v>
      </c>
      <c r="G172" s="359">
        <f>'DRE + DCF'!$W$31</f>
        <v>2791623.3540418856</v>
      </c>
      <c r="H172" s="359">
        <f>'DRE + DCF'!$W$32</f>
        <v>81081.931703745853</v>
      </c>
      <c r="I172" s="359">
        <f>-H172*('DRE + DCF'!$V$33+K172)/'DRE + DCF'!$V$33</f>
        <v>-90858.801614444121</v>
      </c>
      <c r="J172" s="359">
        <f>-'DRE + DCF'!$V$56*L172</f>
        <v>-1188924.4255577971</v>
      </c>
      <c r="K172" s="360">
        <f>(1+L172)/(1+Ke!$O$12)-1</f>
        <v>2.0000000000000018E-2</v>
      </c>
      <c r="L172" s="360">
        <f>'DRE + DCF'!$Y$31</f>
        <v>7.3550000000000004E-2</v>
      </c>
      <c r="M172" s="361">
        <f>(1+D172)^((5-Dashboard!$F$9)*3/12)</f>
        <v>1.0667310382989719</v>
      </c>
      <c r="N172" s="361">
        <f t="shared" ref="N172:V172" si="165">M172*(1+$D172)</f>
        <v>1.1626834951939649</v>
      </c>
      <c r="O172" s="361">
        <f t="shared" si="165"/>
        <v>1.2672668755866625</v>
      </c>
      <c r="P172" s="361">
        <f t="shared" si="165"/>
        <v>1.3812575310456834</v>
      </c>
      <c r="Q172" s="361">
        <f t="shared" si="165"/>
        <v>1.5055016459632431</v>
      </c>
      <c r="R172" s="361">
        <f t="shared" si="165"/>
        <v>1.6409215190176374</v>
      </c>
      <c r="S172" s="361">
        <f t="shared" si="165"/>
        <v>1.7885224096532746</v>
      </c>
      <c r="T172" s="361">
        <f t="shared" si="165"/>
        <v>1.9494000004015875</v>
      </c>
      <c r="U172" s="361">
        <f t="shared" si="165"/>
        <v>2.1247485304377109</v>
      </c>
      <c r="V172" s="362">
        <f t="shared" si="165"/>
        <v>2.3158696607505838</v>
      </c>
      <c r="X172" s="351"/>
    </row>
    <row r="173" spans="3:24" ht="24.75" customHeight="1" x14ac:dyDescent="0.3">
      <c r="C173" s="353">
        <f>ABS(E173-Dashboard!$F$14)</f>
        <v>530.8561067833673</v>
      </c>
      <c r="D173" s="350">
        <f t="shared" si="135"/>
        <v>9.0050000000000463E-2</v>
      </c>
      <c r="E173" s="359" cm="1">
        <f t="array" ref="E173">1000*SUM('DRE + DCF'!$L$36/M173,'DRE + DCF'!$N$36:$V$36/N173:V173,F173/V173)/Dashboard!$F$11</f>
        <v>627.8461067833673</v>
      </c>
      <c r="F173" s="359">
        <f t="shared" si="133"/>
        <v>68461113.040128782</v>
      </c>
      <c r="G173" s="359">
        <f>'DRE + DCF'!$W$31</f>
        <v>2791623.3540418856</v>
      </c>
      <c r="H173" s="359">
        <f>'DRE + DCF'!$W$32</f>
        <v>81081.931703745853</v>
      </c>
      <c r="I173" s="359">
        <f>-H173*('DRE + DCF'!$V$33+K173)/'DRE + DCF'!$V$33</f>
        <v>-90858.801614444121</v>
      </c>
      <c r="J173" s="359">
        <f>-'DRE + DCF'!$V$56*L173</f>
        <v>-1188924.4255577971</v>
      </c>
      <c r="K173" s="360">
        <f>(1+L173)/(1+Ke!$O$12)-1</f>
        <v>2.0000000000000018E-2</v>
      </c>
      <c r="L173" s="360">
        <f>'DRE + DCF'!$Y$31</f>
        <v>7.3550000000000004E-2</v>
      </c>
      <c r="M173" s="361">
        <f>(1+D173)^((5-Dashboard!$F$9)*3/12)</f>
        <v>1.0668044397489274</v>
      </c>
      <c r="N173" s="361">
        <f t="shared" ref="N173:V173" si="166">M173*(1+$D173)</f>
        <v>1.1628701795483187</v>
      </c>
      <c r="O173" s="361">
        <f t="shared" si="166"/>
        <v>1.2675866392166453</v>
      </c>
      <c r="P173" s="361">
        <f t="shared" si="166"/>
        <v>1.3817328160781046</v>
      </c>
      <c r="Q173" s="361">
        <f t="shared" si="166"/>
        <v>1.5061578561659386</v>
      </c>
      <c r="R173" s="361">
        <f t="shared" si="166"/>
        <v>1.6417873711136819</v>
      </c>
      <c r="S173" s="361">
        <f t="shared" si="166"/>
        <v>1.7896303238824696</v>
      </c>
      <c r="T173" s="361">
        <f t="shared" si="166"/>
        <v>1.9507865345480866</v>
      </c>
      <c r="U173" s="361">
        <f t="shared" si="166"/>
        <v>2.1264548619841426</v>
      </c>
      <c r="V173" s="362">
        <f t="shared" si="166"/>
        <v>2.3179421223058156</v>
      </c>
      <c r="X173" s="351"/>
    </row>
    <row r="174" spans="3:24" ht="24.75" customHeight="1" x14ac:dyDescent="0.3">
      <c r="C174" s="353">
        <f>ABS(E174-Dashboard!$F$14)</f>
        <v>527.79012009699477</v>
      </c>
      <c r="D174" s="350">
        <f t="shared" si="135"/>
        <v>9.0150000000000466E-2</v>
      </c>
      <c r="E174" s="359" cm="1">
        <f t="array" ref="E174">1000*SUM('DRE + DCF'!$L$36/M174,'DRE + DCF'!$N$36:$V$36/N174:V174,F174/V174)/Dashboard!$F$11</f>
        <v>624.78012009699478</v>
      </c>
      <c r="F174" s="359">
        <f t="shared" si="133"/>
        <v>68130481.806918189</v>
      </c>
      <c r="G174" s="359">
        <f>'DRE + DCF'!$W$31</f>
        <v>2791623.3540418856</v>
      </c>
      <c r="H174" s="359">
        <f>'DRE + DCF'!$W$32</f>
        <v>81081.931703745853</v>
      </c>
      <c r="I174" s="359">
        <f>-H174*('DRE + DCF'!$V$33+K174)/'DRE + DCF'!$V$33</f>
        <v>-90858.801614444121</v>
      </c>
      <c r="J174" s="359">
        <f>-'DRE + DCF'!$V$56*L174</f>
        <v>-1188924.4255577971</v>
      </c>
      <c r="K174" s="360">
        <f>(1+L174)/(1+Ke!$O$12)-1</f>
        <v>2.0000000000000018E-2</v>
      </c>
      <c r="L174" s="360">
        <f>'DRE + DCF'!$Y$31</f>
        <v>7.3550000000000004E-2</v>
      </c>
      <c r="M174" s="361">
        <f>(1+D174)^((5-Dashboard!$F$9)*3/12)</f>
        <v>1.0668778395154597</v>
      </c>
      <c r="N174" s="361">
        <f t="shared" ref="N174:V174" si="167">M174*(1+$D174)</f>
        <v>1.1630568767477787</v>
      </c>
      <c r="O174" s="361">
        <f t="shared" si="167"/>
        <v>1.2679064541865914</v>
      </c>
      <c r="P174" s="361">
        <f t="shared" si="167"/>
        <v>1.3822082210315132</v>
      </c>
      <c r="Q174" s="361">
        <f t="shared" si="167"/>
        <v>1.5068142921575047</v>
      </c>
      <c r="R174" s="361">
        <f t="shared" si="167"/>
        <v>1.6426536005955044</v>
      </c>
      <c r="S174" s="361">
        <f t="shared" si="167"/>
        <v>1.7907388226891898</v>
      </c>
      <c r="T174" s="361">
        <f t="shared" si="167"/>
        <v>1.952173927554621</v>
      </c>
      <c r="U174" s="361">
        <f t="shared" si="167"/>
        <v>2.1281624071236709</v>
      </c>
      <c r="V174" s="362">
        <f t="shared" si="167"/>
        <v>2.3200162481258708</v>
      </c>
      <c r="X174" s="351"/>
    </row>
    <row r="175" spans="3:24" ht="24.75" customHeight="1" x14ac:dyDescent="0.3">
      <c r="C175" s="353">
        <f>ABS(E175-Dashboard!$F$14)</f>
        <v>524.75821601607515</v>
      </c>
      <c r="D175" s="350">
        <f t="shared" si="135"/>
        <v>9.0250000000000469E-2</v>
      </c>
      <c r="E175" s="359" cm="1">
        <f t="array" ref="E175">1000*SUM('DRE + DCF'!$L$36/M175,'DRE + DCF'!$N$36:$V$36/N175:V175,F175/V175)/Dashboard!$F$11</f>
        <v>621.74821601607516</v>
      </c>
      <c r="F175" s="359">
        <f t="shared" si="133"/>
        <v>67803630.073230147</v>
      </c>
      <c r="G175" s="359">
        <f>'DRE + DCF'!$W$31</f>
        <v>2791623.3540418856</v>
      </c>
      <c r="H175" s="359">
        <f>'DRE + DCF'!$W$32</f>
        <v>81081.931703745853</v>
      </c>
      <c r="I175" s="359">
        <f>-H175*('DRE + DCF'!$V$33+K175)/'DRE + DCF'!$V$33</f>
        <v>-90858.801614444121</v>
      </c>
      <c r="J175" s="359">
        <f>-'DRE + DCF'!$V$56*L175</f>
        <v>-1188924.4255577971</v>
      </c>
      <c r="K175" s="360">
        <f>(1+L175)/(1+Ke!$O$12)-1</f>
        <v>2.0000000000000018E-2</v>
      </c>
      <c r="L175" s="360">
        <f>'DRE + DCF'!$Y$31</f>
        <v>7.3550000000000004E-2</v>
      </c>
      <c r="M175" s="361">
        <f>(1+D175)^((5-Dashboard!$F$9)*3/12)</f>
        <v>1.0669512375987622</v>
      </c>
      <c r="N175" s="361">
        <f t="shared" ref="N175:V175" si="168">M175*(1+$D175)</f>
        <v>1.163243586792051</v>
      </c>
      <c r="O175" s="361">
        <f t="shared" si="168"/>
        <v>1.2682263205000339</v>
      </c>
      <c r="P175" s="361">
        <f t="shared" si="168"/>
        <v>1.3826837459251624</v>
      </c>
      <c r="Q175" s="361">
        <f t="shared" si="168"/>
        <v>1.5074709539949089</v>
      </c>
      <c r="R175" s="361">
        <f t="shared" si="168"/>
        <v>1.64352020759295</v>
      </c>
      <c r="S175" s="361">
        <f t="shared" si="168"/>
        <v>1.7918479063282144</v>
      </c>
      <c r="T175" s="361">
        <f t="shared" si="168"/>
        <v>1.9535621798743366</v>
      </c>
      <c r="U175" s="361">
        <f t="shared" si="168"/>
        <v>2.1298711666079964</v>
      </c>
      <c r="V175" s="362">
        <f t="shared" si="168"/>
        <v>2.3220920393943687</v>
      </c>
      <c r="X175" s="351"/>
    </row>
    <row r="176" spans="3:24" ht="24.75" customHeight="1" x14ac:dyDescent="0.3">
      <c r="C176" s="353">
        <f>ABS(E176-Dashboard!$F$14)</f>
        <v>521.75979598339154</v>
      </c>
      <c r="D176" s="350">
        <f t="shared" si="135"/>
        <v>9.0350000000000472E-2</v>
      </c>
      <c r="E176" s="359" cm="1">
        <f t="array" ref="E176">1000*SUM('DRE + DCF'!$L$36/M176,'DRE + DCF'!$N$36:$V$36/N176:V176,F176/V176)/Dashboard!$F$11</f>
        <v>618.74979598339155</v>
      </c>
      <c r="F176" s="359">
        <f t="shared" si="133"/>
        <v>67480490.942634672</v>
      </c>
      <c r="G176" s="359">
        <f>'DRE + DCF'!$W$31</f>
        <v>2791623.3540418856</v>
      </c>
      <c r="H176" s="359">
        <f>'DRE + DCF'!$W$32</f>
        <v>81081.931703745853</v>
      </c>
      <c r="I176" s="359">
        <f>-H176*('DRE + DCF'!$V$33+K176)/'DRE + DCF'!$V$33</f>
        <v>-90858.801614444121</v>
      </c>
      <c r="J176" s="359">
        <f>-'DRE + DCF'!$V$56*L176</f>
        <v>-1188924.4255577971</v>
      </c>
      <c r="K176" s="360">
        <f>(1+L176)/(1+Ke!$O$12)-1</f>
        <v>2.0000000000000018E-2</v>
      </c>
      <c r="L176" s="360">
        <f>'DRE + DCF'!$Y$31</f>
        <v>7.3550000000000004E-2</v>
      </c>
      <c r="M176" s="361">
        <f>(1+D176)^((5-Dashboard!$F$9)*3/12)</f>
        <v>1.0670246339990277</v>
      </c>
      <c r="N176" s="361">
        <f t="shared" ref="N176:V176" si="169">M176*(1+$D176)</f>
        <v>1.1634303096808403</v>
      </c>
      <c r="O176" s="361">
        <f t="shared" si="169"/>
        <v>1.2685462381605046</v>
      </c>
      <c r="P176" s="361">
        <f t="shared" si="169"/>
        <v>1.3831593907783066</v>
      </c>
      <c r="Q176" s="361">
        <f t="shared" si="169"/>
        <v>1.5081278417351272</v>
      </c>
      <c r="R176" s="361">
        <f t="shared" si="169"/>
        <v>1.6443871922358964</v>
      </c>
      <c r="S176" s="361">
        <f t="shared" si="169"/>
        <v>1.7929575750544102</v>
      </c>
      <c r="T176" s="361">
        <f t="shared" si="169"/>
        <v>1.9549512919605769</v>
      </c>
      <c r="U176" s="361">
        <f t="shared" si="169"/>
        <v>2.1315811411892156</v>
      </c>
      <c r="V176" s="362">
        <f t="shared" si="169"/>
        <v>2.3241694972956619</v>
      </c>
      <c r="X176" s="351"/>
    </row>
    <row r="177" spans="3:24" ht="24.75" customHeight="1" x14ac:dyDescent="0.3">
      <c r="C177" s="353">
        <f>ABS(E177-Dashboard!$F$14)</f>
        <v>518.79427556271787</v>
      </c>
      <c r="D177" s="350">
        <f t="shared" si="135"/>
        <v>9.0450000000000474E-2</v>
      </c>
      <c r="E177" s="359" cm="1">
        <f t="array" ref="E177">1000*SUM('DRE + DCF'!$L$36/M177,'DRE + DCF'!$N$36:$V$36/N177:V177,F177/V177)/Dashboard!$F$11</f>
        <v>615.78427556271788</v>
      </c>
      <c r="F177" s="359">
        <f t="shared" si="133"/>
        <v>67160999.099435076</v>
      </c>
      <c r="G177" s="359">
        <f>'DRE + DCF'!$W$31</f>
        <v>2791623.3540418856</v>
      </c>
      <c r="H177" s="359">
        <f>'DRE + DCF'!$W$32</f>
        <v>81081.931703745853</v>
      </c>
      <c r="I177" s="359">
        <f>-H177*('DRE + DCF'!$V$33+K177)/'DRE + DCF'!$V$33</f>
        <v>-90858.801614444121</v>
      </c>
      <c r="J177" s="359">
        <f>-'DRE + DCF'!$V$56*L177</f>
        <v>-1188924.4255577971</v>
      </c>
      <c r="K177" s="360">
        <f>(1+L177)/(1+Ke!$O$12)-1</f>
        <v>2.0000000000000018E-2</v>
      </c>
      <c r="L177" s="360">
        <f>'DRE + DCF'!$Y$31</f>
        <v>7.3550000000000004E-2</v>
      </c>
      <c r="M177" s="361">
        <f>(1+D177)^((5-Dashboard!$F$9)*3/12)</f>
        <v>1.0670980287164493</v>
      </c>
      <c r="N177" s="361">
        <f t="shared" ref="N177:V177" si="170">M177*(1+$D177)</f>
        <v>1.1636170454138528</v>
      </c>
      <c r="O177" s="361">
        <f t="shared" si="170"/>
        <v>1.2688662071715364</v>
      </c>
      <c r="P177" s="361">
        <f t="shared" si="170"/>
        <v>1.3836351556102027</v>
      </c>
      <c r="Q177" s="361">
        <f t="shared" si="170"/>
        <v>1.5087849554351462</v>
      </c>
      <c r="R177" s="361">
        <f t="shared" si="170"/>
        <v>1.6452545546542561</v>
      </c>
      <c r="S177" s="361">
        <f t="shared" si="170"/>
        <v>1.7940678291227345</v>
      </c>
      <c r="T177" s="361">
        <f t="shared" si="170"/>
        <v>1.9563412642668869</v>
      </c>
      <c r="U177" s="361">
        <f t="shared" si="170"/>
        <v>2.133292331619828</v>
      </c>
      <c r="V177" s="362">
        <f t="shared" si="170"/>
        <v>2.3262486230148429</v>
      </c>
      <c r="X177" s="351"/>
    </row>
    <row r="178" spans="3:24" ht="24.75" customHeight="1" x14ac:dyDescent="0.3">
      <c r="C178" s="353">
        <f>ABS(E178-Dashboard!$F$14)</f>
        <v>515.86108402375669</v>
      </c>
      <c r="D178" s="350">
        <f t="shared" si="135"/>
        <v>9.0550000000000477E-2</v>
      </c>
      <c r="E178" s="359" cm="1">
        <f t="array" ref="E178">1000*SUM('DRE + DCF'!$L$36/M178,'DRE + DCF'!$N$36:$V$36/N178:V178,F178/V178)/Dashboard!$F$11</f>
        <v>612.8510840237567</v>
      </c>
      <c r="F178" s="359">
        <f t="shared" si="133"/>
        <v>66845090.762190282</v>
      </c>
      <c r="G178" s="359">
        <f>'DRE + DCF'!$W$31</f>
        <v>2791623.3540418856</v>
      </c>
      <c r="H178" s="359">
        <f>'DRE + DCF'!$W$32</f>
        <v>81081.931703745853</v>
      </c>
      <c r="I178" s="359">
        <f>-H178*('DRE + DCF'!$V$33+K178)/'DRE + DCF'!$V$33</f>
        <v>-90858.801614444121</v>
      </c>
      <c r="J178" s="359">
        <f>-'DRE + DCF'!$V$56*L178</f>
        <v>-1188924.4255577971</v>
      </c>
      <c r="K178" s="360">
        <f>(1+L178)/(1+Ke!$O$12)-1</f>
        <v>2.0000000000000018E-2</v>
      </c>
      <c r="L178" s="360">
        <f>'DRE + DCF'!$Y$31</f>
        <v>7.3550000000000004E-2</v>
      </c>
      <c r="M178" s="361">
        <f>(1+D178)^((5-Dashboard!$F$9)*3/12)</f>
        <v>1.0671714217512196</v>
      </c>
      <c r="N178" s="361">
        <f t="shared" ref="N178:V178" si="171">M178*(1+$D178)</f>
        <v>1.163803793990793</v>
      </c>
      <c r="O178" s="361">
        <f t="shared" si="171"/>
        <v>1.2691862275366601</v>
      </c>
      <c r="P178" s="361">
        <f t="shared" si="171"/>
        <v>1.3841110404401054</v>
      </c>
      <c r="Q178" s="361">
        <f t="shared" si="171"/>
        <v>1.5094422951519577</v>
      </c>
      <c r="R178" s="361">
        <f t="shared" si="171"/>
        <v>1.6461222949779684</v>
      </c>
      <c r="S178" s="361">
        <f t="shared" si="171"/>
        <v>1.7951786687882243</v>
      </c>
      <c r="T178" s="361">
        <f t="shared" si="171"/>
        <v>1.9577320972469991</v>
      </c>
      <c r="U178" s="361">
        <f t="shared" si="171"/>
        <v>2.1350047386527162</v>
      </c>
      <c r="V178" s="362">
        <f t="shared" si="171"/>
        <v>2.328329417737721</v>
      </c>
      <c r="X178" s="351"/>
    </row>
    <row r="179" spans="3:24" ht="24.75" customHeight="1" x14ac:dyDescent="0.3">
      <c r="C179" s="353">
        <f>ABS(E179-Dashboard!$F$14)</f>
        <v>512.95966394162554</v>
      </c>
      <c r="D179" s="350">
        <f t="shared" si="135"/>
        <v>9.065000000000048E-2</v>
      </c>
      <c r="E179" s="359" cm="1">
        <f t="array" ref="E179">1000*SUM('DRE + DCF'!$L$36/M179,'DRE + DCF'!$N$36:$V$36/N179:V179,F179/V179)/Dashboard!$F$11</f>
        <v>609.94966394162554</v>
      </c>
      <c r="F179" s="359">
        <f t="shared" si="133"/>
        <v>66532703.638867609</v>
      </c>
      <c r="G179" s="359">
        <f>'DRE + DCF'!$W$31</f>
        <v>2791623.3540418856</v>
      </c>
      <c r="H179" s="359">
        <f>'DRE + DCF'!$W$32</f>
        <v>81081.931703745853</v>
      </c>
      <c r="I179" s="359">
        <f>-H179*('DRE + DCF'!$V$33+K179)/'DRE + DCF'!$V$33</f>
        <v>-90858.801614444121</v>
      </c>
      <c r="J179" s="359">
        <f>-'DRE + DCF'!$V$56*L179</f>
        <v>-1188924.4255577971</v>
      </c>
      <c r="K179" s="360">
        <f>(1+L179)/(1+Ke!$O$12)-1</f>
        <v>2.0000000000000018E-2</v>
      </c>
      <c r="L179" s="360">
        <f>'DRE + DCF'!$Y$31</f>
        <v>7.3550000000000004E-2</v>
      </c>
      <c r="M179" s="361">
        <f>(1+D179)^((5-Dashboard!$F$9)*3/12)</f>
        <v>1.0672448131035317</v>
      </c>
      <c r="N179" s="361">
        <f t="shared" ref="N179:V179" si="172">M179*(1+$D179)</f>
        <v>1.1639905554113674</v>
      </c>
      <c r="O179" s="361">
        <f t="shared" si="172"/>
        <v>1.2695062992594086</v>
      </c>
      <c r="P179" s="361">
        <f t="shared" si="172"/>
        <v>1.3845870452872746</v>
      </c>
      <c r="Q179" s="361">
        <f t="shared" si="172"/>
        <v>1.5100998609425669</v>
      </c>
      <c r="R179" s="361">
        <f t="shared" si="172"/>
        <v>1.6469904133370115</v>
      </c>
      <c r="S179" s="361">
        <f t="shared" si="172"/>
        <v>1.7962900943060125</v>
      </c>
      <c r="T179" s="361">
        <f t="shared" si="172"/>
        <v>1.9591237913548536</v>
      </c>
      <c r="U179" s="361">
        <f t="shared" si="172"/>
        <v>2.1367183630411724</v>
      </c>
      <c r="V179" s="362">
        <f t="shared" si="172"/>
        <v>2.3304118826508557</v>
      </c>
      <c r="X179" s="351"/>
    </row>
    <row r="180" spans="3:24" ht="24.75" customHeight="1" x14ac:dyDescent="0.3">
      <c r="C180" s="353">
        <f>ABS(E180-Dashboard!$F$14)</f>
        <v>510.08947081032534</v>
      </c>
      <c r="D180" s="350">
        <f t="shared" si="135"/>
        <v>9.0750000000000483E-2</v>
      </c>
      <c r="E180" s="359" cm="1">
        <f t="array" ref="E180">1000*SUM('DRE + DCF'!$L$36/M180,'DRE + DCF'!$N$36:$V$36/N180:V180,F180/V180)/Dashboard!$F$11</f>
        <v>607.07947081032535</v>
      </c>
      <c r="F180" s="359">
        <f t="shared" si="133"/>
        <v>66223776.883560076</v>
      </c>
      <c r="G180" s="359">
        <f>'DRE + DCF'!$W$31</f>
        <v>2791623.3540418856</v>
      </c>
      <c r="H180" s="359">
        <f>'DRE + DCF'!$W$32</f>
        <v>81081.931703745853</v>
      </c>
      <c r="I180" s="359">
        <f>-H180*('DRE + DCF'!$V$33+K180)/'DRE + DCF'!$V$33</f>
        <v>-90858.801614444121</v>
      </c>
      <c r="J180" s="359">
        <f>-'DRE + DCF'!$V$56*L180</f>
        <v>-1188924.4255577971</v>
      </c>
      <c r="K180" s="360">
        <f>(1+L180)/(1+Ke!$O$12)-1</f>
        <v>2.0000000000000018E-2</v>
      </c>
      <c r="L180" s="360">
        <f>'DRE + DCF'!$Y$31</f>
        <v>7.3550000000000004E-2</v>
      </c>
      <c r="M180" s="361">
        <f>(1+D180)^((5-Dashboard!$F$9)*3/12)</f>
        <v>1.0673182027735784</v>
      </c>
      <c r="N180" s="361">
        <f t="shared" ref="N180:V180" si="173">M180*(1+$D180)</f>
        <v>1.1641773296752811</v>
      </c>
      <c r="O180" s="361">
        <f t="shared" si="173"/>
        <v>1.2698264223433136</v>
      </c>
      <c r="P180" s="361">
        <f t="shared" si="173"/>
        <v>1.3850631701709699</v>
      </c>
      <c r="Q180" s="361">
        <f t="shared" si="173"/>
        <v>1.5107576528639861</v>
      </c>
      <c r="R180" s="361">
        <f t="shared" si="173"/>
        <v>1.6478589098613936</v>
      </c>
      <c r="S180" s="361">
        <f t="shared" si="173"/>
        <v>1.7974021059313159</v>
      </c>
      <c r="T180" s="361">
        <f t="shared" si="173"/>
        <v>1.9605163470445839</v>
      </c>
      <c r="U180" s="361">
        <f t="shared" si="173"/>
        <v>2.1384332055388811</v>
      </c>
      <c r="V180" s="362">
        <f t="shared" si="173"/>
        <v>2.3324960189415358</v>
      </c>
      <c r="X180" s="351"/>
    </row>
    <row r="181" spans="3:24" ht="24.75" customHeight="1" x14ac:dyDescent="0.3">
      <c r="C181" s="353">
        <f>ABS(E181-Dashboard!$F$14)</f>
        <v>507.24997266960622</v>
      </c>
      <c r="D181" s="350">
        <f t="shared" si="135"/>
        <v>9.0850000000000486E-2</v>
      </c>
      <c r="E181" s="359" cm="1">
        <f t="array" ref="E181">1000*SUM('DRE + DCF'!$L$36/M181,'DRE + DCF'!$N$36:$V$36/N181:V181,F181/V181)/Dashboard!$F$11</f>
        <v>604.23997266960623</v>
      </c>
      <c r="F181" s="359">
        <f t="shared" si="133"/>
        <v>65918251.054704644</v>
      </c>
      <c r="G181" s="359">
        <f>'DRE + DCF'!$W$31</f>
        <v>2791623.3540418856</v>
      </c>
      <c r="H181" s="359">
        <f>'DRE + DCF'!$W$32</f>
        <v>81081.931703745853</v>
      </c>
      <c r="I181" s="359">
        <f>-H181*('DRE + DCF'!$V$33+K181)/'DRE + DCF'!$V$33</f>
        <v>-90858.801614444121</v>
      </c>
      <c r="J181" s="359">
        <f>-'DRE + DCF'!$V$56*L181</f>
        <v>-1188924.4255577971</v>
      </c>
      <c r="K181" s="360">
        <f>(1+L181)/(1+Ke!$O$12)-1</f>
        <v>2.0000000000000018E-2</v>
      </c>
      <c r="L181" s="360">
        <f>'DRE + DCF'!$Y$31</f>
        <v>7.3550000000000004E-2</v>
      </c>
      <c r="M181" s="361">
        <f>(1+D181)^((5-Dashboard!$F$9)*3/12)</f>
        <v>1.0673915907615523</v>
      </c>
      <c r="N181" s="361">
        <f t="shared" ref="N181:V181" si="174">M181*(1+$D181)</f>
        <v>1.1643641167822398</v>
      </c>
      <c r="O181" s="361">
        <f t="shared" si="174"/>
        <v>1.270146596791907</v>
      </c>
      <c r="P181" s="361">
        <f t="shared" si="174"/>
        <v>1.3855394151104525</v>
      </c>
      <c r="Q181" s="361">
        <f t="shared" si="174"/>
        <v>1.5114156709732378</v>
      </c>
      <c r="R181" s="361">
        <f t="shared" si="174"/>
        <v>1.6487277846811572</v>
      </c>
      <c r="S181" s="361">
        <f t="shared" si="174"/>
        <v>1.7985147039194413</v>
      </c>
      <c r="T181" s="361">
        <f t="shared" si="174"/>
        <v>1.9619097647705235</v>
      </c>
      <c r="U181" s="361">
        <f t="shared" si="174"/>
        <v>2.1401492668999267</v>
      </c>
      <c r="V181" s="362">
        <f t="shared" si="174"/>
        <v>2.3345818277977863</v>
      </c>
      <c r="X181" s="351"/>
    </row>
    <row r="182" spans="3:24" ht="24.75" customHeight="1" x14ac:dyDescent="0.3">
      <c r="C182" s="353">
        <f>ABS(E182-Dashboard!$F$14)</f>
        <v>504.44064974470234</v>
      </c>
      <c r="D182" s="350">
        <f t="shared" si="135"/>
        <v>9.0950000000000489E-2</v>
      </c>
      <c r="E182" s="359" cm="1">
        <f t="array" ref="E182">1000*SUM('DRE + DCF'!$L$36/M182,'DRE + DCF'!$N$36:$V$36/N182:V182,F182/V182)/Dashboard!$F$11</f>
        <v>601.43064974470235</v>
      </c>
      <c r="F182" s="359">
        <f t="shared" si="133"/>
        <v>65616068.074741215</v>
      </c>
      <c r="G182" s="359">
        <f>'DRE + DCF'!$W$31</f>
        <v>2791623.3540418856</v>
      </c>
      <c r="H182" s="359">
        <f>'DRE + DCF'!$W$32</f>
        <v>81081.931703745853</v>
      </c>
      <c r="I182" s="359">
        <f>-H182*('DRE + DCF'!$V$33+K182)/'DRE + DCF'!$V$33</f>
        <v>-90858.801614444121</v>
      </c>
      <c r="J182" s="359">
        <f>-'DRE + DCF'!$V$56*L182</f>
        <v>-1188924.4255577971</v>
      </c>
      <c r="K182" s="360">
        <f>(1+L182)/(1+Ke!$O$12)-1</f>
        <v>2.0000000000000018E-2</v>
      </c>
      <c r="L182" s="360">
        <f>'DRE + DCF'!$Y$31</f>
        <v>7.3550000000000004E-2</v>
      </c>
      <c r="M182" s="361">
        <f>(1+D182)^((5-Dashboard!$F$9)*3/12)</f>
        <v>1.0674649770676465</v>
      </c>
      <c r="N182" s="361">
        <f t="shared" ref="N182:V182" si="175">M182*(1+$D182)</f>
        <v>1.1645509167319497</v>
      </c>
      <c r="O182" s="361">
        <f t="shared" si="175"/>
        <v>1.270466822608721</v>
      </c>
      <c r="P182" s="361">
        <f t="shared" si="175"/>
        <v>1.3860157801249848</v>
      </c>
      <c r="Q182" s="361">
        <f t="shared" si="175"/>
        <v>1.512073915327353</v>
      </c>
      <c r="R182" s="361">
        <f t="shared" si="175"/>
        <v>1.6495970379263767</v>
      </c>
      <c r="S182" s="361">
        <f t="shared" si="175"/>
        <v>1.7996278885257815</v>
      </c>
      <c r="T182" s="361">
        <f t="shared" si="175"/>
        <v>1.9633040449872023</v>
      </c>
      <c r="U182" s="361">
        <f t="shared" si="175"/>
        <v>2.1418665478787893</v>
      </c>
      <c r="V182" s="362">
        <f t="shared" si="175"/>
        <v>2.3366693104083662</v>
      </c>
      <c r="X182" s="351"/>
    </row>
    <row r="183" spans="3:24" ht="24.75" customHeight="1" x14ac:dyDescent="0.3">
      <c r="C183" s="353">
        <f>ABS(E183-Dashboard!$F$14)</f>
        <v>501.66099409841286</v>
      </c>
      <c r="D183" s="350">
        <f t="shared" si="135"/>
        <v>9.1050000000000492E-2</v>
      </c>
      <c r="E183" s="359" cm="1">
        <f t="array" ref="E183">1000*SUM('DRE + DCF'!$L$36/M183,'DRE + DCF'!$N$36:$V$36/N183:V183,F183/V183)/Dashboard!$F$11</f>
        <v>598.65099409841287</v>
      </c>
      <c r="F183" s="359">
        <f t="shared" si="133"/>
        <v>65317171.191154547</v>
      </c>
      <c r="G183" s="359">
        <f>'DRE + DCF'!$W$31</f>
        <v>2791623.3540418856</v>
      </c>
      <c r="H183" s="359">
        <f>'DRE + DCF'!$W$32</f>
        <v>81081.931703745853</v>
      </c>
      <c r="I183" s="359">
        <f>-H183*('DRE + DCF'!$V$33+K183)/'DRE + DCF'!$V$33</f>
        <v>-90858.801614444121</v>
      </c>
      <c r="J183" s="359">
        <f>-'DRE + DCF'!$V$56*L183</f>
        <v>-1188924.4255577971</v>
      </c>
      <c r="K183" s="360">
        <f>(1+L183)/(1+Ke!$O$12)-1</f>
        <v>2.0000000000000018E-2</v>
      </c>
      <c r="L183" s="360">
        <f>'DRE + DCF'!$Y$31</f>
        <v>7.3550000000000004E-2</v>
      </c>
      <c r="M183" s="361">
        <f>(1+D183)^((5-Dashboard!$F$9)*3/12)</f>
        <v>1.0675383616920535</v>
      </c>
      <c r="N183" s="361">
        <f t="shared" ref="N183:V183" si="176">M183*(1+$D183)</f>
        <v>1.1647377295241155</v>
      </c>
      <c r="O183" s="361">
        <f t="shared" si="176"/>
        <v>1.2707870997972868</v>
      </c>
      <c r="P183" s="361">
        <f t="shared" si="176"/>
        <v>1.3864922652338303</v>
      </c>
      <c r="Q183" s="361">
        <f t="shared" si="176"/>
        <v>1.5127323859833712</v>
      </c>
      <c r="R183" s="361">
        <f t="shared" si="176"/>
        <v>1.6504666697271579</v>
      </c>
      <c r="S183" s="361">
        <f t="shared" si="176"/>
        <v>1.8007416600058166</v>
      </c>
      <c r="T183" s="361">
        <f t="shared" si="176"/>
        <v>1.9646991881493472</v>
      </c>
      <c r="U183" s="361">
        <f t="shared" si="176"/>
        <v>2.1435850492303463</v>
      </c>
      <c r="V183" s="362">
        <f t="shared" si="176"/>
        <v>2.3387584679627706</v>
      </c>
      <c r="X183" s="351"/>
    </row>
    <row r="184" spans="3:24" ht="24.75" customHeight="1" x14ac:dyDescent="0.3">
      <c r="C184" s="353">
        <f>ABS(E184-Dashboard!$F$14)</f>
        <v>498.91050929504559</v>
      </c>
      <c r="D184" s="350">
        <f t="shared" si="135"/>
        <v>9.1150000000000495E-2</v>
      </c>
      <c r="E184" s="359" cm="1">
        <f t="array" ref="E184">1000*SUM('DRE + DCF'!$L$36/M184,'DRE + DCF'!$N$36:$V$36/N184:V184,F184/V184)/Dashboard!$F$11</f>
        <v>595.90050929504559</v>
      </c>
      <c r="F184" s="359">
        <f t="shared" si="133"/>
        <v>65021504.938844264</v>
      </c>
      <c r="G184" s="359">
        <f>'DRE + DCF'!$W$31</f>
        <v>2791623.3540418856</v>
      </c>
      <c r="H184" s="359">
        <f>'DRE + DCF'!$W$32</f>
        <v>81081.931703745853</v>
      </c>
      <c r="I184" s="359">
        <f>-H184*('DRE + DCF'!$V$33+K184)/'DRE + DCF'!$V$33</f>
        <v>-90858.801614444121</v>
      </c>
      <c r="J184" s="359">
        <f>-'DRE + DCF'!$V$56*L184</f>
        <v>-1188924.4255577971</v>
      </c>
      <c r="K184" s="360">
        <f>(1+L184)/(1+Ke!$O$12)-1</f>
        <v>2.0000000000000018E-2</v>
      </c>
      <c r="L184" s="360">
        <f>'DRE + DCF'!$Y$31</f>
        <v>7.3550000000000004E-2</v>
      </c>
      <c r="M184" s="361">
        <f>(1+D184)^((5-Dashboard!$F$9)*3/12)</f>
        <v>1.067611744634966</v>
      </c>
      <c r="N184" s="361">
        <f t="shared" ref="N184:V184" si="177">M184*(1+$D184)</f>
        <v>1.1649245551584437</v>
      </c>
      <c r="O184" s="361">
        <f t="shared" si="177"/>
        <v>1.2711074283611365</v>
      </c>
      <c r="P184" s="361">
        <f t="shared" si="177"/>
        <v>1.3869688704562548</v>
      </c>
      <c r="Q184" s="361">
        <f t="shared" si="177"/>
        <v>1.5133910829983432</v>
      </c>
      <c r="R184" s="361">
        <f t="shared" si="177"/>
        <v>1.6513366802136431</v>
      </c>
      <c r="S184" s="361">
        <f t="shared" si="177"/>
        <v>1.8018560186151176</v>
      </c>
      <c r="T184" s="361">
        <f t="shared" si="177"/>
        <v>1.9660951947118865</v>
      </c>
      <c r="U184" s="361">
        <f t="shared" si="177"/>
        <v>2.1453047717098759</v>
      </c>
      <c r="V184" s="362">
        <f t="shared" si="177"/>
        <v>2.340849301651232</v>
      </c>
      <c r="X184" s="351"/>
    </row>
    <row r="185" spans="3:24" ht="24.75" customHeight="1" x14ac:dyDescent="0.3">
      <c r="C185" s="353">
        <f>ABS(E185-Dashboard!$F$14)</f>
        <v>496.18871007575001</v>
      </c>
      <c r="D185" s="350">
        <f t="shared" si="135"/>
        <v>9.1250000000000497E-2</v>
      </c>
      <c r="E185" s="359" cm="1">
        <f t="array" ref="E185">1000*SUM('DRE + DCF'!$L$36/M185,'DRE + DCF'!$N$36:$V$36/N185:V185,F185/V185)/Dashboard!$F$11</f>
        <v>593.17871007575002</v>
      </c>
      <c r="F185" s="359">
        <f t="shared" si="133"/>
        <v>64729015.103770405</v>
      </c>
      <c r="G185" s="359">
        <f>'DRE + DCF'!$W$31</f>
        <v>2791623.3540418856</v>
      </c>
      <c r="H185" s="359">
        <f>'DRE + DCF'!$W$32</f>
        <v>81081.931703745853</v>
      </c>
      <c r="I185" s="359">
        <f>-H185*('DRE + DCF'!$V$33+K185)/'DRE + DCF'!$V$33</f>
        <v>-90858.801614444121</v>
      </c>
      <c r="J185" s="359">
        <f>-'DRE + DCF'!$V$56*L185</f>
        <v>-1188924.4255577971</v>
      </c>
      <c r="K185" s="360">
        <f>(1+L185)/(1+Ke!$O$12)-1</f>
        <v>2.0000000000000018E-2</v>
      </c>
      <c r="L185" s="360">
        <f>'DRE + DCF'!$Y$31</f>
        <v>7.3550000000000004E-2</v>
      </c>
      <c r="M185" s="361">
        <f>(1+D185)^((5-Dashboard!$F$9)*3/12)</f>
        <v>1.0676851258965765</v>
      </c>
      <c r="N185" s="361">
        <f t="shared" ref="N185:V185" si="178">M185*(1+$D185)</f>
        <v>1.1651113936346396</v>
      </c>
      <c r="O185" s="361">
        <f t="shared" si="178"/>
        <v>1.2714278083038011</v>
      </c>
      <c r="P185" s="361">
        <f t="shared" si="178"/>
        <v>1.3874455958115235</v>
      </c>
      <c r="Q185" s="361">
        <f t="shared" si="178"/>
        <v>1.5140500064293256</v>
      </c>
      <c r="R185" s="361">
        <f t="shared" si="178"/>
        <v>1.6522070695160023</v>
      </c>
      <c r="S185" s="361">
        <f t="shared" si="178"/>
        <v>1.8029709646093384</v>
      </c>
      <c r="T185" s="361">
        <f t="shared" si="178"/>
        <v>1.9674920651299415</v>
      </c>
      <c r="U185" s="361">
        <f t="shared" si="178"/>
        <v>2.1470257160730495</v>
      </c>
      <c r="V185" s="362">
        <f t="shared" si="178"/>
        <v>2.3429418126647161</v>
      </c>
      <c r="X185" s="351"/>
    </row>
    <row r="186" spans="3:24" ht="24.75" customHeight="1" x14ac:dyDescent="0.3">
      <c r="C186" s="353">
        <f>ABS(E186-Dashboard!$F$14)</f>
        <v>493.49512204479072</v>
      </c>
      <c r="D186" s="350">
        <f t="shared" si="135"/>
        <v>9.13500000000005E-2</v>
      </c>
      <c r="E186" s="359" cm="1">
        <f t="array" ref="E186">1000*SUM('DRE + DCF'!$L$36/M186,'DRE + DCF'!$N$36:$V$36/N186:V186,F186/V186)/Dashboard!$F$11</f>
        <v>590.48512204479073</v>
      </c>
      <c r="F186" s="359">
        <f t="shared" si="133"/>
        <v>64439648.687824227</v>
      </c>
      <c r="G186" s="359">
        <f>'DRE + DCF'!$W$31</f>
        <v>2791623.3540418856</v>
      </c>
      <c r="H186" s="359">
        <f>'DRE + DCF'!$W$32</f>
        <v>81081.931703745853</v>
      </c>
      <c r="I186" s="359">
        <f>-H186*('DRE + DCF'!$V$33+K186)/'DRE + DCF'!$V$33</f>
        <v>-90858.801614444121</v>
      </c>
      <c r="J186" s="359">
        <f>-'DRE + DCF'!$V$56*L186</f>
        <v>-1188924.4255577971</v>
      </c>
      <c r="K186" s="360">
        <f>(1+L186)/(1+Ke!$O$12)-1</f>
        <v>2.0000000000000018E-2</v>
      </c>
      <c r="L186" s="360">
        <f>'DRE + DCF'!$Y$31</f>
        <v>7.3550000000000004E-2</v>
      </c>
      <c r="M186" s="361">
        <f>(1+D186)^((5-Dashboard!$F$9)*3/12)</f>
        <v>1.0677585054770777</v>
      </c>
      <c r="N186" s="361">
        <f t="shared" ref="N186:V186" si="179">M186*(1+$D186)</f>
        <v>1.1652982449524094</v>
      </c>
      <c r="O186" s="361">
        <f t="shared" si="179"/>
        <v>1.2717482396288127</v>
      </c>
      <c r="P186" s="361">
        <f t="shared" si="179"/>
        <v>1.3879224413189053</v>
      </c>
      <c r="Q186" s="361">
        <f t="shared" si="179"/>
        <v>1.5147091563333879</v>
      </c>
      <c r="R186" s="361">
        <f t="shared" si="179"/>
        <v>1.6530778377644435</v>
      </c>
      <c r="S186" s="361">
        <f t="shared" si="179"/>
        <v>1.8040864982442262</v>
      </c>
      <c r="T186" s="361">
        <f t="shared" si="179"/>
        <v>1.9688897998588371</v>
      </c>
      <c r="U186" s="361">
        <f t="shared" si="179"/>
        <v>2.1487478830759428</v>
      </c>
      <c r="V186" s="362">
        <f t="shared" si="179"/>
        <v>2.3450360021949312</v>
      </c>
      <c r="X186" s="351"/>
    </row>
    <row r="187" spans="3:24" ht="24.75" customHeight="1" x14ac:dyDescent="0.3">
      <c r="C187" s="353">
        <f>ABS(E187-Dashboard!$F$14)</f>
        <v>490.82928136633893</v>
      </c>
      <c r="D187" s="350">
        <f t="shared" si="135"/>
        <v>9.1450000000000503E-2</v>
      </c>
      <c r="E187" s="359" cm="1">
        <f t="array" ref="E187">1000*SUM('DRE + DCF'!$L$36/M187,'DRE + DCF'!$N$36:$V$36/N187:V187,F187/V187)/Dashboard!$F$11</f>
        <v>587.81928136633894</v>
      </c>
      <c r="F187" s="359">
        <f t="shared" si="133"/>
        <v>64153353.874876514</v>
      </c>
      <c r="G187" s="359">
        <f>'DRE + DCF'!$W$31</f>
        <v>2791623.3540418856</v>
      </c>
      <c r="H187" s="359">
        <f>'DRE + DCF'!$W$32</f>
        <v>81081.931703745853</v>
      </c>
      <c r="I187" s="359">
        <f>-H187*('DRE + DCF'!$V$33+K187)/'DRE + DCF'!$V$33</f>
        <v>-90858.801614444121</v>
      </c>
      <c r="J187" s="359">
        <f>-'DRE + DCF'!$V$56*L187</f>
        <v>-1188924.4255577971</v>
      </c>
      <c r="K187" s="360">
        <f>(1+L187)/(1+Ke!$O$12)-1</f>
        <v>2.0000000000000018E-2</v>
      </c>
      <c r="L187" s="360">
        <f>'DRE + DCF'!$Y$31</f>
        <v>7.3550000000000004E-2</v>
      </c>
      <c r="M187" s="361">
        <f>(1+D187)^((5-Dashboard!$F$9)*3/12)</f>
        <v>1.0678318833766622</v>
      </c>
      <c r="N187" s="361">
        <f t="shared" ref="N187:V187" si="180">M187*(1+$D187)</f>
        <v>1.1654851091114584</v>
      </c>
      <c r="O187" s="361">
        <f t="shared" si="180"/>
        <v>1.2720687223397018</v>
      </c>
      <c r="P187" s="361">
        <f t="shared" si="180"/>
        <v>1.3883994069976682</v>
      </c>
      <c r="Q187" s="361">
        <f t="shared" si="180"/>
        <v>1.5153685327676056</v>
      </c>
      <c r="R187" s="361">
        <f t="shared" si="180"/>
        <v>1.653948985089204</v>
      </c>
      <c r="S187" s="361">
        <f t="shared" si="180"/>
        <v>1.8052026197756124</v>
      </c>
      <c r="T187" s="361">
        <f t="shared" si="180"/>
        <v>1.9702883993540929</v>
      </c>
      <c r="U187" s="361">
        <f t="shared" si="180"/>
        <v>2.1504712734750258</v>
      </c>
      <c r="V187" s="362">
        <f t="shared" si="180"/>
        <v>2.3471318714343177</v>
      </c>
      <c r="X187" s="351"/>
    </row>
    <row r="188" spans="3:24" ht="24.75" customHeight="1" x14ac:dyDescent="0.3">
      <c r="C188" s="353">
        <f>ABS(E188-Dashboard!$F$14)</f>
        <v>488.19073447136532</v>
      </c>
      <c r="D188" s="350">
        <f t="shared" si="135"/>
        <v>9.1550000000000506E-2</v>
      </c>
      <c r="E188" s="359" cm="1">
        <f t="array" ref="E188">1000*SUM('DRE + DCF'!$L$36/M188,'DRE + DCF'!$N$36:$V$36/N188:V188,F188/V188)/Dashboard!$F$11</f>
        <v>585.18073447136533</v>
      </c>
      <c r="F188" s="359">
        <f t="shared" si="133"/>
        <v>63870079.997957483</v>
      </c>
      <c r="G188" s="359">
        <f>'DRE + DCF'!$W$31</f>
        <v>2791623.3540418856</v>
      </c>
      <c r="H188" s="359">
        <f>'DRE + DCF'!$W$32</f>
        <v>81081.931703745853</v>
      </c>
      <c r="I188" s="359">
        <f>-H188*('DRE + DCF'!$V$33+K188)/'DRE + DCF'!$V$33</f>
        <v>-90858.801614444121</v>
      </c>
      <c r="J188" s="359">
        <f>-'DRE + DCF'!$V$56*L188</f>
        <v>-1188924.4255577971</v>
      </c>
      <c r="K188" s="360">
        <f>(1+L188)/(1+Ke!$O$12)-1</f>
        <v>2.0000000000000018E-2</v>
      </c>
      <c r="L188" s="360">
        <f>'DRE + DCF'!$Y$31</f>
        <v>7.3550000000000004E-2</v>
      </c>
      <c r="M188" s="361">
        <f>(1+D188)^((5-Dashboard!$F$9)*3/12)</f>
        <v>1.0679052595955225</v>
      </c>
      <c r="N188" s="361">
        <f t="shared" ref="N188:V188" si="181">M188*(1+$D188)</f>
        <v>1.165671986111493</v>
      </c>
      <c r="O188" s="361">
        <f t="shared" si="181"/>
        <v>1.2723892564400008</v>
      </c>
      <c r="P188" s="361">
        <f t="shared" si="181"/>
        <v>1.3888764928670834</v>
      </c>
      <c r="Q188" s="361">
        <f t="shared" si="181"/>
        <v>1.5160281357890655</v>
      </c>
      <c r="R188" s="361">
        <f t="shared" si="181"/>
        <v>1.6548205116205552</v>
      </c>
      <c r="S188" s="361">
        <f t="shared" si="181"/>
        <v>1.8063193294594178</v>
      </c>
      <c r="T188" s="361">
        <f t="shared" si="181"/>
        <v>1.9716878640714284</v>
      </c>
      <c r="U188" s="361">
        <f t="shared" si="181"/>
        <v>2.1521958880271685</v>
      </c>
      <c r="V188" s="362">
        <f t="shared" si="181"/>
        <v>2.349229421576057</v>
      </c>
      <c r="X188" s="351"/>
    </row>
    <row r="189" spans="3:24" ht="24.75" customHeight="1" x14ac:dyDescent="0.3">
      <c r="C189" s="353">
        <f>ABS(E189-Dashboard!$F$14)</f>
        <v>485.57903777425133</v>
      </c>
      <c r="D189" s="350">
        <f t="shared" si="135"/>
        <v>9.1650000000000509E-2</v>
      </c>
      <c r="E189" s="359" cm="1">
        <f t="array" ref="E189">1000*SUM('DRE + DCF'!$L$36/M189,'DRE + DCF'!$N$36:$V$36/N189:V189,F189/V189)/Dashboard!$F$11</f>
        <v>582.56903777425134</v>
      </c>
      <c r="F189" s="359">
        <f t="shared" si="133"/>
        <v>63589777.507524602</v>
      </c>
      <c r="G189" s="359">
        <f>'DRE + DCF'!$W$31</f>
        <v>2791623.3540418856</v>
      </c>
      <c r="H189" s="359">
        <f>'DRE + DCF'!$W$32</f>
        <v>81081.931703745853</v>
      </c>
      <c r="I189" s="359">
        <f>-H189*('DRE + DCF'!$V$33+K189)/'DRE + DCF'!$V$33</f>
        <v>-90858.801614444121</v>
      </c>
      <c r="J189" s="359">
        <f>-'DRE + DCF'!$V$56*L189</f>
        <v>-1188924.4255577971</v>
      </c>
      <c r="K189" s="360">
        <f>(1+L189)/(1+Ke!$O$12)-1</f>
        <v>2.0000000000000018E-2</v>
      </c>
      <c r="L189" s="360">
        <f>'DRE + DCF'!$Y$31</f>
        <v>7.3550000000000004E-2</v>
      </c>
      <c r="M189" s="361">
        <f>(1+D189)^((5-Dashboard!$F$9)*3/12)</f>
        <v>1.0679786341338511</v>
      </c>
      <c r="N189" s="361">
        <f t="shared" ref="N189:V189" si="182">M189*(1+$D189)</f>
        <v>1.165858875952219</v>
      </c>
      <c r="O189" s="361">
        <f t="shared" si="182"/>
        <v>1.2727098419332405</v>
      </c>
      <c r="P189" s="361">
        <f t="shared" si="182"/>
        <v>1.3893536989464226</v>
      </c>
      <c r="Q189" s="361">
        <f t="shared" si="182"/>
        <v>1.5166879654548628</v>
      </c>
      <c r="R189" s="361">
        <f t="shared" si="182"/>
        <v>1.6556924174888017</v>
      </c>
      <c r="S189" s="361">
        <f t="shared" si="182"/>
        <v>1.8074366275516511</v>
      </c>
      <c r="T189" s="361">
        <f t="shared" si="182"/>
        <v>1.9730881944667609</v>
      </c>
      <c r="U189" s="361">
        <f t="shared" si="182"/>
        <v>2.1539217274896405</v>
      </c>
      <c r="V189" s="362">
        <f t="shared" si="182"/>
        <v>2.351328653814067</v>
      </c>
      <c r="X189" s="351"/>
    </row>
    <row r="190" spans="3:24" ht="24.75" customHeight="1" x14ac:dyDescent="0.3">
      <c r="C190" s="353">
        <f>ABS(E190-Dashboard!$F$14)</f>
        <v>482.99375739873938</v>
      </c>
      <c r="D190" s="350">
        <f t="shared" si="135"/>
        <v>9.1750000000000512E-2</v>
      </c>
      <c r="E190" s="359" cm="1">
        <f t="array" ref="E190">1000*SUM('DRE + DCF'!$L$36/M190,'DRE + DCF'!$N$36:$V$36/N190:V190,F190/V190)/Dashboard!$F$11</f>
        <v>579.98375739873939</v>
      </c>
      <c r="F190" s="359">
        <f t="shared" si="133"/>
        <v>63312397.940776378</v>
      </c>
      <c r="G190" s="359">
        <f>'DRE + DCF'!$W$31</f>
        <v>2791623.3540418856</v>
      </c>
      <c r="H190" s="359">
        <f>'DRE + DCF'!$W$32</f>
        <v>81081.931703745853</v>
      </c>
      <c r="I190" s="359">
        <f>-H190*('DRE + DCF'!$V$33+K190)/'DRE + DCF'!$V$33</f>
        <v>-90858.801614444121</v>
      </c>
      <c r="J190" s="359">
        <f>-'DRE + DCF'!$V$56*L190</f>
        <v>-1188924.4255577971</v>
      </c>
      <c r="K190" s="360">
        <f>(1+L190)/(1+Ke!$O$12)-1</f>
        <v>2.0000000000000018E-2</v>
      </c>
      <c r="L190" s="360">
        <f>'DRE + DCF'!$Y$31</f>
        <v>7.3550000000000004E-2</v>
      </c>
      <c r="M190" s="361">
        <f>(1+D190)^((5-Dashboard!$F$9)*3/12)</f>
        <v>1.0680520069918402</v>
      </c>
      <c r="N190" s="361">
        <f t="shared" ref="N190:V190" si="183">M190*(1+$D190)</f>
        <v>1.166045778633342</v>
      </c>
      <c r="O190" s="361">
        <f t="shared" si="183"/>
        <v>1.2730304788229516</v>
      </c>
      <c r="P190" s="361">
        <f t="shared" si="183"/>
        <v>1.3898310252549579</v>
      </c>
      <c r="Q190" s="361">
        <f t="shared" si="183"/>
        <v>1.5173480218221009</v>
      </c>
      <c r="R190" s="361">
        <f t="shared" si="183"/>
        <v>1.6565647028242794</v>
      </c>
      <c r="S190" s="361">
        <f t="shared" si="183"/>
        <v>1.8085545143084076</v>
      </c>
      <c r="T190" s="361">
        <f t="shared" si="183"/>
        <v>1.9744893909962049</v>
      </c>
      <c r="U190" s="361">
        <f t="shared" si="183"/>
        <v>2.1556487926201076</v>
      </c>
      <c r="V190" s="362">
        <f t="shared" si="183"/>
        <v>2.3534295693430032</v>
      </c>
      <c r="X190" s="351"/>
    </row>
    <row r="191" spans="3:24" ht="24.75" customHeight="1" x14ac:dyDescent="0.3">
      <c r="C191" s="353">
        <f>ABS(E191-Dashboard!$F$14)</f>
        <v>480.43446891286658</v>
      </c>
      <c r="D191" s="350">
        <f t="shared" si="135"/>
        <v>9.1850000000000515E-2</v>
      </c>
      <c r="E191" s="359" cm="1">
        <f t="array" ref="E191">1000*SUM('DRE + DCF'!$L$36/M191,'DRE + DCF'!$N$36:$V$36/N191:V191,F191/V191)/Dashboard!$F$11</f>
        <v>577.42446891286659</v>
      </c>
      <c r="F191" s="359">
        <f t="shared" si="133"/>
        <v>63037893.891972296</v>
      </c>
      <c r="G191" s="359">
        <f>'DRE + DCF'!$W$31</f>
        <v>2791623.3540418856</v>
      </c>
      <c r="H191" s="359">
        <f>'DRE + DCF'!$W$32</f>
        <v>81081.931703745853</v>
      </c>
      <c r="I191" s="359">
        <f>-H191*('DRE + DCF'!$V$33+K191)/'DRE + DCF'!$V$33</f>
        <v>-90858.801614444121</v>
      </c>
      <c r="J191" s="359">
        <f>-'DRE + DCF'!$V$56*L191</f>
        <v>-1188924.4255577971</v>
      </c>
      <c r="K191" s="360">
        <f>(1+L191)/(1+Ke!$O$12)-1</f>
        <v>2.0000000000000018E-2</v>
      </c>
      <c r="L191" s="360">
        <f>'DRE + DCF'!$Y$31</f>
        <v>7.3550000000000004E-2</v>
      </c>
      <c r="M191" s="361">
        <f>(1+D191)^((5-Dashboard!$F$9)*3/12)</f>
        <v>1.0681253781696822</v>
      </c>
      <c r="N191" s="361">
        <f t="shared" ref="N191:V191" si="184">M191*(1+$D191)</f>
        <v>1.166232694154568</v>
      </c>
      <c r="O191" s="361">
        <f t="shared" si="184"/>
        <v>1.2733511671126656</v>
      </c>
      <c r="P191" s="361">
        <f t="shared" si="184"/>
        <v>1.3903084718119645</v>
      </c>
      <c r="Q191" s="361">
        <f t="shared" si="184"/>
        <v>1.5180083049478941</v>
      </c>
      <c r="R191" s="361">
        <f t="shared" si="184"/>
        <v>1.6574373677573588</v>
      </c>
      <c r="S191" s="361">
        <f t="shared" si="184"/>
        <v>1.809672989985873</v>
      </c>
      <c r="T191" s="361">
        <f t="shared" si="184"/>
        <v>1.9758914541160761</v>
      </c>
      <c r="U191" s="361">
        <f t="shared" si="184"/>
        <v>2.1573770841766384</v>
      </c>
      <c r="V191" s="362">
        <f t="shared" si="184"/>
        <v>2.3555321693582636</v>
      </c>
      <c r="X191" s="351"/>
    </row>
    <row r="192" spans="3:24" ht="24.75" customHeight="1" x14ac:dyDescent="0.3">
      <c r="C192" s="353">
        <f>ABS(E192-Dashboard!$F$14)</f>
        <v>477.90075707254232</v>
      </c>
      <c r="D192" s="350">
        <f t="shared" si="135"/>
        <v>9.1950000000000517E-2</v>
      </c>
      <c r="E192" s="359" cm="1">
        <f t="array" ref="E192">1000*SUM('DRE + DCF'!$L$36/M192,'DRE + DCF'!$N$36:$V$36/N192:V192,F192/V192)/Dashboard!$F$11</f>
        <v>574.89075707254233</v>
      </c>
      <c r="F192" s="359">
        <f t="shared" si="133"/>
        <v>62766218.983720332</v>
      </c>
      <c r="G192" s="359">
        <f>'DRE + DCF'!$W$31</f>
        <v>2791623.3540418856</v>
      </c>
      <c r="H192" s="359">
        <f>'DRE + DCF'!$W$32</f>
        <v>81081.931703745853</v>
      </c>
      <c r="I192" s="359">
        <f>-H192*('DRE + DCF'!$V$33+K192)/'DRE + DCF'!$V$33</f>
        <v>-90858.801614444121</v>
      </c>
      <c r="J192" s="359">
        <f>-'DRE + DCF'!$V$56*L192</f>
        <v>-1188924.4255577971</v>
      </c>
      <c r="K192" s="360">
        <f>(1+L192)/(1+Ke!$O$12)-1</f>
        <v>2.0000000000000018E-2</v>
      </c>
      <c r="L192" s="360">
        <f>'DRE + DCF'!$Y$31</f>
        <v>7.3550000000000004E-2</v>
      </c>
      <c r="M192" s="361">
        <f>(1+D192)^((5-Dashboard!$F$9)*3/12)</f>
        <v>1.0681987476675698</v>
      </c>
      <c r="N192" s="361">
        <f t="shared" ref="N192:V192" si="185">M192*(1+$D192)</f>
        <v>1.1664196225156034</v>
      </c>
      <c r="O192" s="361">
        <f t="shared" si="185"/>
        <v>1.2736719068059137</v>
      </c>
      <c r="P192" s="361">
        <f t="shared" si="185"/>
        <v>1.3907860386367179</v>
      </c>
      <c r="Q192" s="361">
        <f t="shared" si="185"/>
        <v>1.5186688148893648</v>
      </c>
      <c r="R192" s="361">
        <f t="shared" si="185"/>
        <v>1.6583104124184425</v>
      </c>
      <c r="S192" s="361">
        <f t="shared" si="185"/>
        <v>1.8107920548403189</v>
      </c>
      <c r="T192" s="361">
        <f t="shared" si="185"/>
        <v>1.977294384282887</v>
      </c>
      <c r="U192" s="361">
        <f t="shared" si="185"/>
        <v>2.1591066029176993</v>
      </c>
      <c r="V192" s="362">
        <f t="shared" si="185"/>
        <v>2.3576364550559825</v>
      </c>
      <c r="X192" s="351"/>
    </row>
    <row r="193" spans="3:24" ht="24.75" customHeight="1" x14ac:dyDescent="0.3">
      <c r="C193" s="353">
        <f>ABS(E193-Dashboard!$F$14)</f>
        <v>475.3922155734399</v>
      </c>
      <c r="D193" s="350">
        <f t="shared" si="135"/>
        <v>9.205000000000052E-2</v>
      </c>
      <c r="E193" s="359" cm="1">
        <f t="array" ref="E193">1000*SUM('DRE + DCF'!$L$36/M193,'DRE + DCF'!$N$36:$V$36/N193:V193,F193/V193)/Dashboard!$F$11</f>
        <v>572.38221557343991</v>
      </c>
      <c r="F193" s="359">
        <f t="shared" si="133"/>
        <v>62497327.839195736</v>
      </c>
      <c r="G193" s="359">
        <f>'DRE + DCF'!$W$31</f>
        <v>2791623.3540418856</v>
      </c>
      <c r="H193" s="359">
        <f>'DRE + DCF'!$W$32</f>
        <v>81081.931703745853</v>
      </c>
      <c r="I193" s="359">
        <f>-H193*('DRE + DCF'!$V$33+K193)/'DRE + DCF'!$V$33</f>
        <v>-90858.801614444121</v>
      </c>
      <c r="J193" s="359">
        <f>-'DRE + DCF'!$V$56*L193</f>
        <v>-1188924.4255577971</v>
      </c>
      <c r="K193" s="360">
        <f>(1+L193)/(1+Ke!$O$12)-1</f>
        <v>2.0000000000000018E-2</v>
      </c>
      <c r="L193" s="360">
        <f>'DRE + DCF'!$Y$31</f>
        <v>7.3550000000000004E-2</v>
      </c>
      <c r="M193" s="361">
        <f>(1+D193)^((5-Dashboard!$F$9)*3/12)</f>
        <v>1.0682721154856949</v>
      </c>
      <c r="N193" s="361">
        <f t="shared" ref="N193:V193" si="186">M193*(1+$D193)</f>
        <v>1.1666065637161536</v>
      </c>
      <c r="O193" s="361">
        <f t="shared" si="186"/>
        <v>1.2739926979062259</v>
      </c>
      <c r="P193" s="361">
        <f t="shared" si="186"/>
        <v>1.3912637257484946</v>
      </c>
      <c r="Q193" s="361">
        <f t="shared" si="186"/>
        <v>1.519329551703644</v>
      </c>
      <c r="R193" s="361">
        <f t="shared" si="186"/>
        <v>1.659183836937965</v>
      </c>
      <c r="S193" s="361">
        <f t="shared" si="186"/>
        <v>1.8119117091281054</v>
      </c>
      <c r="T193" s="361">
        <f t="shared" si="186"/>
        <v>1.9786981819533482</v>
      </c>
      <c r="U193" s="361">
        <f t="shared" si="186"/>
        <v>2.1608373496021547</v>
      </c>
      <c r="V193" s="362">
        <f t="shared" si="186"/>
        <v>2.3597424276330341</v>
      </c>
      <c r="X193" s="351"/>
    </row>
    <row r="194" spans="3:24" ht="24.75" customHeight="1" x14ac:dyDescent="0.3">
      <c r="C194" s="353">
        <f>ABS(E194-Dashboard!$F$14)</f>
        <v>472.90844681088799</v>
      </c>
      <c r="D194" s="350">
        <f t="shared" si="135"/>
        <v>9.2150000000000523E-2</v>
      </c>
      <c r="E194" s="359" cm="1">
        <f t="array" ref="E194">1000*SUM('DRE + DCF'!$L$36/M194,'DRE + DCF'!$N$36:$V$36/N194:V194,F194/V194)/Dashboard!$F$11</f>
        <v>569.898446810888</v>
      </c>
      <c r="F194" s="359">
        <f t="shared" si="133"/>
        <v>62231176.05525589</v>
      </c>
      <c r="G194" s="359">
        <f>'DRE + DCF'!$W$31</f>
        <v>2791623.3540418856</v>
      </c>
      <c r="H194" s="359">
        <f>'DRE + DCF'!$W$32</f>
        <v>81081.931703745853</v>
      </c>
      <c r="I194" s="359">
        <f>-H194*('DRE + DCF'!$V$33+K194)/'DRE + DCF'!$V$33</f>
        <v>-90858.801614444121</v>
      </c>
      <c r="J194" s="359">
        <f>-'DRE + DCF'!$V$56*L194</f>
        <v>-1188924.4255577971</v>
      </c>
      <c r="K194" s="360">
        <f>(1+L194)/(1+Ke!$O$12)-1</f>
        <v>2.0000000000000018E-2</v>
      </c>
      <c r="L194" s="360">
        <f>'DRE + DCF'!$Y$31</f>
        <v>7.3550000000000004E-2</v>
      </c>
      <c r="M194" s="361">
        <f>(1+D194)^((5-Dashboard!$F$9)*3/12)</f>
        <v>1.0683454816242504</v>
      </c>
      <c r="N194" s="361">
        <f t="shared" ref="N194:V194" si="187">M194*(1+$D194)</f>
        <v>1.1667935177559257</v>
      </c>
      <c r="O194" s="361">
        <f t="shared" si="187"/>
        <v>1.2743135404171348</v>
      </c>
      <c r="P194" s="361">
        <f t="shared" si="187"/>
        <v>1.3917415331665746</v>
      </c>
      <c r="Q194" s="361">
        <f t="shared" si="187"/>
        <v>1.5199905154478752</v>
      </c>
      <c r="R194" s="361">
        <f t="shared" si="187"/>
        <v>1.6600576414463979</v>
      </c>
      <c r="S194" s="361">
        <f t="shared" si="187"/>
        <v>1.8130319531056844</v>
      </c>
      <c r="T194" s="361">
        <f t="shared" si="187"/>
        <v>1.9801028475843743</v>
      </c>
      <c r="U194" s="361">
        <f t="shared" si="187"/>
        <v>2.1625693249892755</v>
      </c>
      <c r="V194" s="362">
        <f t="shared" si="187"/>
        <v>2.3618500882870386</v>
      </c>
      <c r="X194" s="351"/>
    </row>
    <row r="195" spans="3:24" ht="24.75" customHeight="1" x14ac:dyDescent="0.3">
      <c r="C195" s="353">
        <f>ABS(E195-Dashboard!$F$14)</f>
        <v>470.44906164747226</v>
      </c>
      <c r="D195" s="350">
        <f t="shared" si="135"/>
        <v>9.2250000000000526E-2</v>
      </c>
      <c r="E195" s="359" cm="1">
        <f t="array" ref="E195">1000*SUM('DRE + DCF'!$L$36/M195,'DRE + DCF'!$N$36:$V$36/N195:V195,F195/V195)/Dashboard!$F$11</f>
        <v>567.43906164747227</v>
      </c>
      <c r="F195" s="359">
        <f t="shared" si="133"/>
        <v>61967720.176417664</v>
      </c>
      <c r="G195" s="359">
        <f>'DRE + DCF'!$W$31</f>
        <v>2791623.3540418856</v>
      </c>
      <c r="H195" s="359">
        <f>'DRE + DCF'!$W$32</f>
        <v>81081.931703745853</v>
      </c>
      <c r="I195" s="359">
        <f>-H195*('DRE + DCF'!$V$33+K195)/'DRE + DCF'!$V$33</f>
        <v>-90858.801614444121</v>
      </c>
      <c r="J195" s="359">
        <f>-'DRE + DCF'!$V$56*L195</f>
        <v>-1188924.4255577971</v>
      </c>
      <c r="K195" s="360">
        <f>(1+L195)/(1+Ke!$O$12)-1</f>
        <v>2.0000000000000018E-2</v>
      </c>
      <c r="L195" s="360">
        <f>'DRE + DCF'!$Y$31</f>
        <v>7.3550000000000004E-2</v>
      </c>
      <c r="M195" s="361">
        <f>(1+D195)^((5-Dashboard!$F$9)*3/12)</f>
        <v>1.0684188460834276</v>
      </c>
      <c r="N195" s="361">
        <f t="shared" ref="N195:V195" si="188">M195*(1+$D195)</f>
        <v>1.1669804846346246</v>
      </c>
      <c r="O195" s="361">
        <f t="shared" si="188"/>
        <v>1.2746344343421694</v>
      </c>
      <c r="P195" s="361">
        <f t="shared" si="188"/>
        <v>1.3922194609102352</v>
      </c>
      <c r="Q195" s="361">
        <f t="shared" si="188"/>
        <v>1.5206517061792053</v>
      </c>
      <c r="R195" s="361">
        <f t="shared" si="188"/>
        <v>1.6609318260742378</v>
      </c>
      <c r="S195" s="361">
        <f t="shared" si="188"/>
        <v>1.8141527870295873</v>
      </c>
      <c r="T195" s="361">
        <f t="shared" si="188"/>
        <v>1.9815083816330679</v>
      </c>
      <c r="U195" s="361">
        <f t="shared" si="188"/>
        <v>2.1643025298387197</v>
      </c>
      <c r="V195" s="362">
        <f t="shared" si="188"/>
        <v>2.3639594382163431</v>
      </c>
      <c r="X195" s="351"/>
    </row>
    <row r="196" spans="3:24" ht="24.75" customHeight="1" x14ac:dyDescent="0.3">
      <c r="C196" s="353">
        <f>ABS(E196-Dashboard!$F$14)</f>
        <v>468.01367918804101</v>
      </c>
      <c r="D196" s="350">
        <f t="shared" si="135"/>
        <v>9.2350000000000529E-2</v>
      </c>
      <c r="E196" s="359" cm="1">
        <f t="array" ref="E196">1000*SUM('DRE + DCF'!$L$36/M196,'DRE + DCF'!$N$36:$V$36/N196:V196,F196/V196)/Dashboard!$F$11</f>
        <v>565.00367918804102</v>
      </c>
      <c r="F196" s="359">
        <f t="shared" si="133"/>
        <v>61706917.66966521</v>
      </c>
      <c r="G196" s="359">
        <f>'DRE + DCF'!$W$31</f>
        <v>2791623.3540418856</v>
      </c>
      <c r="H196" s="359">
        <f>'DRE + DCF'!$W$32</f>
        <v>81081.931703745853</v>
      </c>
      <c r="I196" s="359">
        <f>-H196*('DRE + DCF'!$V$33+K196)/'DRE + DCF'!$V$33</f>
        <v>-90858.801614444121</v>
      </c>
      <c r="J196" s="359">
        <f>-'DRE + DCF'!$V$56*L196</f>
        <v>-1188924.4255577971</v>
      </c>
      <c r="K196" s="360">
        <f>(1+L196)/(1+Ke!$O$12)-1</f>
        <v>2.0000000000000018E-2</v>
      </c>
      <c r="L196" s="360">
        <f>'DRE + DCF'!$Y$31</f>
        <v>7.3550000000000004E-2</v>
      </c>
      <c r="M196" s="361">
        <f>(1+D196)^((5-Dashboard!$F$9)*3/12)</f>
        <v>1.0684922088634194</v>
      </c>
      <c r="N196" s="361">
        <f t="shared" ref="N196:V196" si="189">M196*(1+$D196)</f>
        <v>1.167167464351957</v>
      </c>
      <c r="O196" s="361">
        <f t="shared" si="189"/>
        <v>1.2749553796848609</v>
      </c>
      <c r="P196" s="361">
        <f t="shared" si="189"/>
        <v>1.3926975089987585</v>
      </c>
      <c r="Q196" s="361">
        <f t="shared" si="189"/>
        <v>1.5213131239547948</v>
      </c>
      <c r="R196" s="361">
        <f t="shared" si="189"/>
        <v>1.6618063909520211</v>
      </c>
      <c r="S196" s="361">
        <f t="shared" si="189"/>
        <v>1.8152742111564413</v>
      </c>
      <c r="T196" s="361">
        <f t="shared" si="189"/>
        <v>1.9829147845567396</v>
      </c>
      <c r="U196" s="361">
        <f t="shared" si="189"/>
        <v>2.1660369649105555</v>
      </c>
      <c r="V196" s="362">
        <f t="shared" si="189"/>
        <v>2.3660704786200468</v>
      </c>
      <c r="X196" s="351"/>
    </row>
    <row r="197" spans="3:24" ht="24.75" customHeight="1" x14ac:dyDescent="0.3">
      <c r="C197" s="353">
        <f>ABS(E197-Dashboard!$F$14)</f>
        <v>465.60192656186257</v>
      </c>
      <c r="D197" s="350">
        <f t="shared" si="135"/>
        <v>9.2450000000000532E-2</v>
      </c>
      <c r="E197" s="359" cm="1">
        <f t="array" ref="E197">1000*SUM('DRE + DCF'!$L$36/M197,'DRE + DCF'!$N$36:$V$36/N197:V197,F197/V197)/Dashboard!$F$11</f>
        <v>562.59192656186258</v>
      </c>
      <c r="F197" s="359">
        <f t="shared" si="133"/>
        <v>61448726.900057524</v>
      </c>
      <c r="G197" s="359">
        <f>'DRE + DCF'!$W$31</f>
        <v>2791623.3540418856</v>
      </c>
      <c r="H197" s="359">
        <f>'DRE + DCF'!$W$32</f>
        <v>81081.931703745853</v>
      </c>
      <c r="I197" s="359">
        <f>-H197*('DRE + DCF'!$V$33+K197)/'DRE + DCF'!$V$33</f>
        <v>-90858.801614444121</v>
      </c>
      <c r="J197" s="359">
        <f>-'DRE + DCF'!$V$56*L197</f>
        <v>-1188924.4255577971</v>
      </c>
      <c r="K197" s="360">
        <f>(1+L197)/(1+Ke!$O$12)-1</f>
        <v>2.0000000000000018E-2</v>
      </c>
      <c r="L197" s="360">
        <f>'DRE + DCF'!$Y$31</f>
        <v>7.3550000000000004E-2</v>
      </c>
      <c r="M197" s="361">
        <f>(1+D197)^((5-Dashboard!$F$9)*3/12)</f>
        <v>1.0685655699644176</v>
      </c>
      <c r="N197" s="361">
        <f t="shared" ref="N197:V197" si="190">M197*(1+$D197)</f>
        <v>1.1673544569076286</v>
      </c>
      <c r="O197" s="361">
        <f t="shared" si="190"/>
        <v>1.2752763764487396</v>
      </c>
      <c r="P197" s="361">
        <f t="shared" si="190"/>
        <v>1.3931756774514263</v>
      </c>
      <c r="Q197" s="361">
        <f t="shared" si="190"/>
        <v>1.5219747688318115</v>
      </c>
      <c r="R197" s="361">
        <f t="shared" si="190"/>
        <v>1.6626813362103134</v>
      </c>
      <c r="S197" s="361">
        <f t="shared" si="190"/>
        <v>1.816396225742958</v>
      </c>
      <c r="T197" s="361">
        <f t="shared" si="190"/>
        <v>1.9843220568128956</v>
      </c>
      <c r="U197" s="361">
        <f t="shared" si="190"/>
        <v>2.1677726309652492</v>
      </c>
      <c r="V197" s="362">
        <f t="shared" si="190"/>
        <v>2.3681832106979877</v>
      </c>
      <c r="X197" s="351"/>
    </row>
    <row r="198" spans="3:24" ht="24.75" customHeight="1" x14ac:dyDescent="0.3">
      <c r="C198" s="353">
        <f>ABS(E198-Dashboard!$F$14)</f>
        <v>463.21343871165459</v>
      </c>
      <c r="D198" s="350">
        <f t="shared" si="135"/>
        <v>9.2550000000000535E-2</v>
      </c>
      <c r="E198" s="359" cm="1">
        <f t="array" ref="E198">1000*SUM('DRE + DCF'!$L$36/M198,'DRE + DCF'!$N$36:$V$36/N198:V198,F198/V198)/Dashboard!$F$11</f>
        <v>560.2034387116546</v>
      </c>
      <c r="F198" s="359">
        <f t="shared" si="133"/>
        <v>61193107.107106067</v>
      </c>
      <c r="G198" s="359">
        <f>'DRE + DCF'!$W$31</f>
        <v>2791623.3540418856</v>
      </c>
      <c r="H198" s="359">
        <f>'DRE + DCF'!$W$32</f>
        <v>81081.931703745853</v>
      </c>
      <c r="I198" s="359">
        <f>-H198*('DRE + DCF'!$V$33+K198)/'DRE + DCF'!$V$33</f>
        <v>-90858.801614444121</v>
      </c>
      <c r="J198" s="359">
        <f>-'DRE + DCF'!$V$56*L198</f>
        <v>-1188924.4255577971</v>
      </c>
      <c r="K198" s="360">
        <f>(1+L198)/(1+Ke!$O$12)-1</f>
        <v>2.0000000000000018E-2</v>
      </c>
      <c r="L198" s="360">
        <f>'DRE + DCF'!$Y$31</f>
        <v>7.3550000000000004E-2</v>
      </c>
      <c r="M198" s="361">
        <f>(1+D198)^((5-Dashboard!$F$9)*3/12)</f>
        <v>1.0686389293866148</v>
      </c>
      <c r="N198" s="361">
        <f t="shared" ref="N198:V198" si="191">M198*(1+$D198)</f>
        <v>1.1675414623013465</v>
      </c>
      <c r="O198" s="361">
        <f t="shared" si="191"/>
        <v>1.2755974246373367</v>
      </c>
      <c r="P198" s="361">
        <f t="shared" si="191"/>
        <v>1.3936539662875229</v>
      </c>
      <c r="Q198" s="361">
        <f t="shared" si="191"/>
        <v>1.5226366408674339</v>
      </c>
      <c r="R198" s="361">
        <f t="shared" si="191"/>
        <v>1.6635566619797157</v>
      </c>
      <c r="S198" s="361">
        <f t="shared" si="191"/>
        <v>1.8175188310459394</v>
      </c>
      <c r="T198" s="361">
        <f t="shared" si="191"/>
        <v>1.9857301988592422</v>
      </c>
      <c r="U198" s="361">
        <f t="shared" si="191"/>
        <v>2.1695095287636663</v>
      </c>
      <c r="V198" s="362">
        <f t="shared" si="191"/>
        <v>2.3702976356507448</v>
      </c>
      <c r="X198" s="351"/>
    </row>
    <row r="199" spans="3:24" ht="24.75" customHeight="1" x14ac:dyDescent="0.3">
      <c r="C199" s="353">
        <f>ABS(E199-Dashboard!$F$14)</f>
        <v>460.84785818924252</v>
      </c>
      <c r="D199" s="350">
        <f t="shared" si="135"/>
        <v>9.2650000000000537E-2</v>
      </c>
      <c r="E199" s="359" cm="1">
        <f t="array" ref="E199">1000*SUM('DRE + DCF'!$L$36/M199,'DRE + DCF'!$N$36:$V$36/N199:V199,F199/V199)/Dashboard!$F$11</f>
        <v>557.83785818924252</v>
      </c>
      <c r="F199" s="359">
        <f t="shared" si="133"/>
        <v>60940018.381894536</v>
      </c>
      <c r="G199" s="359">
        <f>'DRE + DCF'!$W$31</f>
        <v>2791623.3540418856</v>
      </c>
      <c r="H199" s="359">
        <f>'DRE + DCF'!$W$32</f>
        <v>81081.931703745853</v>
      </c>
      <c r="I199" s="359">
        <f>-H199*('DRE + DCF'!$V$33+K199)/'DRE + DCF'!$V$33</f>
        <v>-90858.801614444121</v>
      </c>
      <c r="J199" s="359">
        <f>-'DRE + DCF'!$V$56*L199</f>
        <v>-1188924.4255577971</v>
      </c>
      <c r="K199" s="360">
        <f>(1+L199)/(1+Ke!$O$12)-1</f>
        <v>2.0000000000000018E-2</v>
      </c>
      <c r="L199" s="360">
        <f>'DRE + DCF'!$Y$31</f>
        <v>7.3550000000000004E-2</v>
      </c>
      <c r="M199" s="361">
        <f>(1+D199)^((5-Dashboard!$F$9)*3/12)</f>
        <v>1.0687122871302024</v>
      </c>
      <c r="N199" s="361">
        <f t="shared" ref="N199:V199" si="192">M199*(1+$D199)</f>
        <v>1.1677284805328163</v>
      </c>
      <c r="O199" s="361">
        <f t="shared" si="192"/>
        <v>1.2759185242541824</v>
      </c>
      <c r="P199" s="361">
        <f t="shared" si="192"/>
        <v>1.3941323755263331</v>
      </c>
      <c r="Q199" s="361">
        <f t="shared" si="192"/>
        <v>1.5232987401188487</v>
      </c>
      <c r="R199" s="361">
        <f t="shared" si="192"/>
        <v>1.6644323683908608</v>
      </c>
      <c r="S199" s="361">
        <f t="shared" si="192"/>
        <v>1.818642027322275</v>
      </c>
      <c r="T199" s="361">
        <f t="shared" si="192"/>
        <v>1.9871392111536847</v>
      </c>
      <c r="U199" s="361">
        <f t="shared" si="192"/>
        <v>2.1712476590670748</v>
      </c>
      <c r="V199" s="362">
        <f t="shared" si="192"/>
        <v>2.3724137546796404</v>
      </c>
      <c r="X199" s="351"/>
    </row>
    <row r="200" spans="3:24" ht="24.75" customHeight="1" x14ac:dyDescent="0.3">
      <c r="C200" s="353">
        <f>ABS(E200-Dashboard!$F$14)</f>
        <v>458.50483495760147</v>
      </c>
      <c r="D200" s="350">
        <f t="shared" si="135"/>
        <v>9.275000000000054E-2</v>
      </c>
      <c r="E200" s="359" cm="1">
        <f t="array" ref="E200">1000*SUM('DRE + DCF'!$L$36/M200,'DRE + DCF'!$N$36:$V$36/N200:V200,F200/V200)/Dashboard!$F$11</f>
        <v>555.49483495760148</v>
      </c>
      <c r="F200" s="359">
        <f t="shared" si="133"/>
        <v>60689421.644913495</v>
      </c>
      <c r="G200" s="359">
        <f>'DRE + DCF'!$W$31</f>
        <v>2791623.3540418856</v>
      </c>
      <c r="H200" s="359">
        <f>'DRE + DCF'!$W$32</f>
        <v>81081.931703745853</v>
      </c>
      <c r="I200" s="359">
        <f>-H200*('DRE + DCF'!$V$33+K200)/'DRE + DCF'!$V$33</f>
        <v>-90858.801614444121</v>
      </c>
      <c r="J200" s="359">
        <f>-'DRE + DCF'!$V$56*L200</f>
        <v>-1188924.4255577971</v>
      </c>
      <c r="K200" s="360">
        <f>(1+L200)/(1+Ke!$O$12)-1</f>
        <v>2.0000000000000018E-2</v>
      </c>
      <c r="L200" s="360">
        <f>'DRE + DCF'!$Y$31</f>
        <v>7.3550000000000004E-2</v>
      </c>
      <c r="M200" s="361">
        <f>(1+D200)^((5-Dashboard!$F$9)*3/12)</f>
        <v>1.0687856431953726</v>
      </c>
      <c r="N200" s="361">
        <f t="shared" ref="N200:V200" si="193">M200*(1+$D200)</f>
        <v>1.1679155116017441</v>
      </c>
      <c r="O200" s="361">
        <f t="shared" si="193"/>
        <v>1.2762396753028065</v>
      </c>
      <c r="P200" s="361">
        <f t="shared" si="193"/>
        <v>1.3946109051871425</v>
      </c>
      <c r="Q200" s="361">
        <f t="shared" si="193"/>
        <v>1.5239610666432508</v>
      </c>
      <c r="R200" s="361">
        <f t="shared" si="193"/>
        <v>1.6653084555744131</v>
      </c>
      <c r="S200" s="361">
        <f t="shared" si="193"/>
        <v>1.8197658148289408</v>
      </c>
      <c r="T200" s="361">
        <f t="shared" si="193"/>
        <v>1.988549094154326</v>
      </c>
      <c r="U200" s="361">
        <f t="shared" si="193"/>
        <v>2.1729870226371411</v>
      </c>
      <c r="V200" s="362">
        <f t="shared" si="193"/>
        <v>2.374531568986737</v>
      </c>
      <c r="X200" s="351"/>
    </row>
    <row r="201" spans="3:24" ht="24.75" customHeight="1" x14ac:dyDescent="0.3">
      <c r="C201" s="353">
        <f>ABS(E201-Dashboard!$F$14)</f>
        <v>456.18402619904953</v>
      </c>
      <c r="D201" s="350">
        <f t="shared" si="135"/>
        <v>9.2850000000000543E-2</v>
      </c>
      <c r="E201" s="359" cm="1">
        <f t="array" ref="E201">1000*SUM('DRE + DCF'!$L$36/M201,'DRE + DCF'!$N$36:$V$36/N201:V201,F201/V201)/Dashboard!$F$11</f>
        <v>553.17402619904954</v>
      </c>
      <c r="F201" s="359">
        <f t="shared" si="133"/>
        <v>60441278.624583974</v>
      </c>
      <c r="G201" s="359">
        <f>'DRE + DCF'!$W$31</f>
        <v>2791623.3540418856</v>
      </c>
      <c r="H201" s="359">
        <f>'DRE + DCF'!$W$32</f>
        <v>81081.931703745853</v>
      </c>
      <c r="I201" s="359">
        <f>-H201*('DRE + DCF'!$V$33+K201)/'DRE + DCF'!$V$33</f>
        <v>-90858.801614444121</v>
      </c>
      <c r="J201" s="359">
        <f>-'DRE + DCF'!$V$56*L201</f>
        <v>-1188924.4255577971</v>
      </c>
      <c r="K201" s="360">
        <f>(1+L201)/(1+Ke!$O$12)-1</f>
        <v>2.0000000000000018E-2</v>
      </c>
      <c r="L201" s="360">
        <f>'DRE + DCF'!$Y$31</f>
        <v>7.3550000000000004E-2</v>
      </c>
      <c r="M201" s="361">
        <f>(1+D201)^((5-Dashboard!$F$9)*3/12)</f>
        <v>1.0688589975823177</v>
      </c>
      <c r="N201" s="361">
        <f t="shared" ref="N201:V201" si="194">M201*(1+$D201)</f>
        <v>1.1681025555078366</v>
      </c>
      <c r="O201" s="361">
        <f t="shared" si="194"/>
        <v>1.2765608777867399</v>
      </c>
      <c r="P201" s="361">
        <f t="shared" si="194"/>
        <v>1.3950895552892393</v>
      </c>
      <c r="Q201" s="361">
        <f t="shared" si="194"/>
        <v>1.5246236204978458</v>
      </c>
      <c r="R201" s="361">
        <f t="shared" si="194"/>
        <v>1.6661849236610717</v>
      </c>
      <c r="S201" s="361">
        <f t="shared" si="194"/>
        <v>1.8208901938230031</v>
      </c>
      <c r="T201" s="361">
        <f t="shared" si="194"/>
        <v>1.98995984831947</v>
      </c>
      <c r="U201" s="361">
        <f t="shared" si="194"/>
        <v>2.174727620235934</v>
      </c>
      <c r="V201" s="362">
        <f t="shared" si="194"/>
        <v>2.3766510797748417</v>
      </c>
      <c r="X201" s="351"/>
    </row>
    <row r="202" spans="3:24" ht="24.75" customHeight="1" x14ac:dyDescent="0.3">
      <c r="C202" s="353">
        <f>ABS(E202-Dashboard!$F$14)</f>
        <v>453.88509612937423</v>
      </c>
      <c r="D202" s="350">
        <f t="shared" si="135"/>
        <v>9.2950000000000546E-2</v>
      </c>
      <c r="E202" s="359" cm="1">
        <f t="array" ref="E202">1000*SUM('DRE + DCF'!$L$36/M202,'DRE + DCF'!$N$36:$V$36/N202:V202,F202/V202)/Dashboard!$F$11</f>
        <v>550.87509612937424</v>
      </c>
      <c r="F202" s="359">
        <f t="shared" si="133"/>
        <v>60195551.836445302</v>
      </c>
      <c r="G202" s="359">
        <f>'DRE + DCF'!$W$31</f>
        <v>2791623.3540418856</v>
      </c>
      <c r="H202" s="359">
        <f>'DRE + DCF'!$W$32</f>
        <v>81081.931703745853</v>
      </c>
      <c r="I202" s="359">
        <f>-H202*('DRE + DCF'!$V$33+K202)/'DRE + DCF'!$V$33</f>
        <v>-90858.801614444121</v>
      </c>
      <c r="J202" s="359">
        <f>-'DRE + DCF'!$V$56*L202</f>
        <v>-1188924.4255577971</v>
      </c>
      <c r="K202" s="360">
        <f>(1+L202)/(1+Ke!$O$12)-1</f>
        <v>2.0000000000000018E-2</v>
      </c>
      <c r="L202" s="360">
        <f>'DRE + DCF'!$Y$31</f>
        <v>7.3550000000000004E-2</v>
      </c>
      <c r="M202" s="361">
        <f>(1+D202)^((5-Dashboard!$F$9)*3/12)</f>
        <v>1.0689323502912296</v>
      </c>
      <c r="N202" s="361">
        <f t="shared" ref="N202:V202" si="195">M202*(1+$D202)</f>
        <v>1.1682896122508</v>
      </c>
      <c r="O202" s="361">
        <f t="shared" si="195"/>
        <v>1.2768821317095125</v>
      </c>
      <c r="P202" s="361">
        <f t="shared" si="195"/>
        <v>1.3955683258519123</v>
      </c>
      <c r="Q202" s="361">
        <f t="shared" si="195"/>
        <v>1.5252864017398482</v>
      </c>
      <c r="R202" s="361">
        <f t="shared" si="195"/>
        <v>1.667061772781568</v>
      </c>
      <c r="S202" s="361">
        <f t="shared" si="195"/>
        <v>1.8220151645616156</v>
      </c>
      <c r="T202" s="361">
        <f t="shared" si="195"/>
        <v>1.9913714741076187</v>
      </c>
      <c r="U202" s="361">
        <f t="shared" si="195"/>
        <v>2.176469452625923</v>
      </c>
      <c r="V202" s="362">
        <f t="shared" si="195"/>
        <v>2.3787722882475038</v>
      </c>
      <c r="X202" s="351"/>
    </row>
    <row r="203" spans="3:24" ht="24.75" customHeight="1" x14ac:dyDescent="0.3">
      <c r="C203" s="353">
        <f>ABS(E203-Dashboard!$F$14)</f>
        <v>451.60771581767585</v>
      </c>
      <c r="D203" s="350">
        <f t="shared" si="135"/>
        <v>9.3050000000000549E-2</v>
      </c>
      <c r="E203" s="359" cm="1">
        <f t="array" ref="E203">1000*SUM('DRE + DCF'!$L$36/M203,'DRE + DCF'!$N$36:$V$36/N203:V203,F203/V203)/Dashboard!$F$11</f>
        <v>548.59771581767586</v>
      </c>
      <c r="F203" s="359">
        <f t="shared" si="133"/>
        <v>59952204.562983185</v>
      </c>
      <c r="G203" s="359">
        <f>'DRE + DCF'!$W$31</f>
        <v>2791623.3540418856</v>
      </c>
      <c r="H203" s="359">
        <f>'DRE + DCF'!$W$32</f>
        <v>81081.931703745853</v>
      </c>
      <c r="I203" s="359">
        <f>-H203*('DRE + DCF'!$V$33+K203)/'DRE + DCF'!$V$33</f>
        <v>-90858.801614444121</v>
      </c>
      <c r="J203" s="359">
        <f>-'DRE + DCF'!$V$56*L203</f>
        <v>-1188924.4255577971</v>
      </c>
      <c r="K203" s="360">
        <f>(1+L203)/(1+Ke!$O$12)-1</f>
        <v>2.0000000000000018E-2</v>
      </c>
      <c r="L203" s="360">
        <f>'DRE + DCF'!$Y$31</f>
        <v>7.3550000000000004E-2</v>
      </c>
      <c r="M203" s="361">
        <f>(1+D203)^((5-Dashboard!$F$9)*3/12)</f>
        <v>1.0690057013223</v>
      </c>
      <c r="N203" s="361">
        <f t="shared" ref="N203:V203" si="196">M203*(1+$D203)</f>
        <v>1.1684766818303405</v>
      </c>
      <c r="O203" s="361">
        <f t="shared" si="196"/>
        <v>1.2772034370746543</v>
      </c>
      <c r="P203" s="361">
        <f t="shared" si="196"/>
        <v>1.3960472168944515</v>
      </c>
      <c r="Q203" s="361">
        <f t="shared" si="196"/>
        <v>1.525949410426481</v>
      </c>
      <c r="R203" s="361">
        <f t="shared" si="196"/>
        <v>1.6679390030666659</v>
      </c>
      <c r="S203" s="361">
        <f t="shared" si="196"/>
        <v>1.8231407273020199</v>
      </c>
      <c r="T203" s="361">
        <f t="shared" si="196"/>
        <v>1.9927839719774738</v>
      </c>
      <c r="U203" s="361">
        <f t="shared" si="196"/>
        <v>2.1782125205699789</v>
      </c>
      <c r="V203" s="362">
        <f t="shared" si="196"/>
        <v>2.3808951956090167</v>
      </c>
      <c r="X203" s="351"/>
    </row>
    <row r="204" spans="3:24" ht="24.75" customHeight="1" x14ac:dyDescent="0.3">
      <c r="C204" s="353">
        <f>ABS(E204-Dashboard!$F$14)</f>
        <v>449.35156301172469</v>
      </c>
      <c r="D204" s="350">
        <f t="shared" si="135"/>
        <v>9.3150000000000552E-2</v>
      </c>
      <c r="E204" s="359" cm="1">
        <f t="array" ref="E204">1000*SUM('DRE + DCF'!$L$36/M204,'DRE + DCF'!$N$36:$V$36/N204:V204,F204/V204)/Dashboard!$F$11</f>
        <v>546.3415630117247</v>
      </c>
      <c r="F204" s="359">
        <f t="shared" si="133"/>
        <v>59711200.834075257</v>
      </c>
      <c r="G204" s="359">
        <f>'DRE + DCF'!$W$31</f>
        <v>2791623.3540418856</v>
      </c>
      <c r="H204" s="359">
        <f>'DRE + DCF'!$W$32</f>
        <v>81081.931703745853</v>
      </c>
      <c r="I204" s="359">
        <f>-H204*('DRE + DCF'!$V$33+K204)/'DRE + DCF'!$V$33</f>
        <v>-90858.801614444121</v>
      </c>
      <c r="J204" s="359">
        <f>-'DRE + DCF'!$V$56*L204</f>
        <v>-1188924.4255577971</v>
      </c>
      <c r="K204" s="360">
        <f>(1+L204)/(1+Ke!$O$12)-1</f>
        <v>2.0000000000000018E-2</v>
      </c>
      <c r="L204" s="360">
        <f>'DRE + DCF'!$Y$31</f>
        <v>7.3550000000000004E-2</v>
      </c>
      <c r="M204" s="361">
        <f>(1+D204)^((5-Dashboard!$F$9)*3/12)</f>
        <v>1.0690790506757208</v>
      </c>
      <c r="N204" s="361">
        <f t="shared" ref="N204:V204" si="197">M204*(1+$D204)</f>
        <v>1.1686637642461648</v>
      </c>
      <c r="O204" s="361">
        <f t="shared" si="197"/>
        <v>1.2775247938856957</v>
      </c>
      <c r="P204" s="361">
        <f t="shared" si="197"/>
        <v>1.396526228436149</v>
      </c>
      <c r="Q204" s="361">
        <f t="shared" si="197"/>
        <v>1.526612646614977</v>
      </c>
      <c r="R204" s="361">
        <f t="shared" si="197"/>
        <v>1.6688166146471628</v>
      </c>
      <c r="S204" s="361">
        <f t="shared" si="197"/>
        <v>1.8242668823015469</v>
      </c>
      <c r="T204" s="361">
        <f t="shared" si="197"/>
        <v>1.9941973423879369</v>
      </c>
      <c r="U204" s="361">
        <f t="shared" si="197"/>
        <v>2.1799568248313741</v>
      </c>
      <c r="V204" s="362">
        <f t="shared" si="197"/>
        <v>2.3830198030644176</v>
      </c>
      <c r="X204" s="351"/>
    </row>
    <row r="205" spans="3:24" ht="24.75" customHeight="1" x14ac:dyDescent="0.3">
      <c r="C205" s="353">
        <f>ABS(E205-Dashboard!$F$14)</f>
        <v>447.11632196863604</v>
      </c>
      <c r="D205" s="350">
        <f t="shared" si="135"/>
        <v>9.3250000000000555E-2</v>
      </c>
      <c r="E205" s="359" cm="1">
        <f t="array" ref="E205">1000*SUM('DRE + DCF'!$L$36/M205,'DRE + DCF'!$N$36:$V$36/N205:V205,F205/V205)/Dashboard!$F$11</f>
        <v>544.10632196863605</v>
      </c>
      <c r="F205" s="359">
        <f t="shared" si="133"/>
        <v>59472505.408032127</v>
      </c>
      <c r="G205" s="359">
        <f>'DRE + DCF'!$W$31</f>
        <v>2791623.3540418856</v>
      </c>
      <c r="H205" s="359">
        <f>'DRE + DCF'!$W$32</f>
        <v>81081.931703745853</v>
      </c>
      <c r="I205" s="359">
        <f>-H205*('DRE + DCF'!$V$33+K205)/'DRE + DCF'!$V$33</f>
        <v>-90858.801614444121</v>
      </c>
      <c r="J205" s="359">
        <f>-'DRE + DCF'!$V$56*L205</f>
        <v>-1188924.4255577971</v>
      </c>
      <c r="K205" s="360">
        <f>(1+L205)/(1+Ke!$O$12)-1</f>
        <v>2.0000000000000018E-2</v>
      </c>
      <c r="L205" s="360">
        <f>'DRE + DCF'!$Y$31</f>
        <v>7.3550000000000004E-2</v>
      </c>
      <c r="M205" s="361">
        <f>(1+D205)^((5-Dashboard!$F$9)*3/12)</f>
        <v>1.0691523983516842</v>
      </c>
      <c r="N205" s="361">
        <f t="shared" ref="N205:V205" si="198">M205*(1+$D205)</f>
        <v>1.1688508594979792</v>
      </c>
      <c r="O205" s="361">
        <f t="shared" si="198"/>
        <v>1.2778462021461663</v>
      </c>
      <c r="P205" s="361">
        <f t="shared" si="198"/>
        <v>1.3970053604962969</v>
      </c>
      <c r="Q205" s="361">
        <f t="shared" si="198"/>
        <v>1.5272761103625772</v>
      </c>
      <c r="R205" s="361">
        <f t="shared" si="198"/>
        <v>1.6696946076538883</v>
      </c>
      <c r="S205" s="361">
        <f t="shared" si="198"/>
        <v>1.8253936298176143</v>
      </c>
      <c r="T205" s="361">
        <f t="shared" si="198"/>
        <v>1.9956115857981078</v>
      </c>
      <c r="U205" s="361">
        <f t="shared" si="198"/>
        <v>2.1817023661737824</v>
      </c>
      <c r="V205" s="362">
        <f t="shared" si="198"/>
        <v>2.3851461118194885</v>
      </c>
      <c r="X205" s="351"/>
    </row>
    <row r="206" spans="3:24" ht="24.75" customHeight="1" x14ac:dyDescent="0.3">
      <c r="C206" s="353">
        <f>ABS(E206-Dashboard!$F$14)</f>
        <v>444.90168329067512</v>
      </c>
      <c r="D206" s="350">
        <f t="shared" si="135"/>
        <v>9.3350000000000558E-2</v>
      </c>
      <c r="E206" s="359" cm="1">
        <f t="array" ref="E206">1000*SUM('DRE + DCF'!$L$36/M206,'DRE + DCF'!$N$36:$V$36/N206:V206,F206/V206)/Dashboard!$F$11</f>
        <v>541.89168329067513</v>
      </c>
      <c r="F206" s="359">
        <f t="shared" ref="F206:F269" si="199">AVERAGE(SUM(G206:J206)*(1+L206)/(D206-L206),G206*(1+L206)*(1-L206/D206)/(D206-L206))</f>
        <v>59236083.753212839</v>
      </c>
      <c r="G206" s="359">
        <f>'DRE + DCF'!$W$31</f>
        <v>2791623.3540418856</v>
      </c>
      <c r="H206" s="359">
        <f>'DRE + DCF'!$W$32</f>
        <v>81081.931703745853</v>
      </c>
      <c r="I206" s="359">
        <f>-H206*('DRE + DCF'!$V$33+K206)/'DRE + DCF'!$V$33</f>
        <v>-90858.801614444121</v>
      </c>
      <c r="J206" s="359">
        <f>-'DRE + DCF'!$V$56*L206</f>
        <v>-1188924.4255577971</v>
      </c>
      <c r="K206" s="360">
        <f>(1+L206)/(1+Ke!$O$12)-1</f>
        <v>2.0000000000000018E-2</v>
      </c>
      <c r="L206" s="360">
        <f>'DRE + DCF'!$Y$31</f>
        <v>7.3550000000000004E-2</v>
      </c>
      <c r="M206" s="361">
        <f>(1+D206)^((5-Dashboard!$F$9)*3/12)</f>
        <v>1.0692257443503814</v>
      </c>
      <c r="N206" s="361">
        <f t="shared" ref="N206:V206" si="200">M206*(1+$D206)</f>
        <v>1.1690379675854901</v>
      </c>
      <c r="O206" s="361">
        <f t="shared" si="200"/>
        <v>1.2781676618595961</v>
      </c>
      <c r="P206" s="361">
        <f t="shared" si="200"/>
        <v>1.39748461309419</v>
      </c>
      <c r="Q206" s="361">
        <f t="shared" si="200"/>
        <v>1.5279398017265333</v>
      </c>
      <c r="R206" s="361">
        <f t="shared" si="200"/>
        <v>1.670572982217706</v>
      </c>
      <c r="S206" s="361">
        <f t="shared" si="200"/>
        <v>1.8265209701077296</v>
      </c>
      <c r="T206" s="361">
        <f t="shared" si="200"/>
        <v>1.997026702667287</v>
      </c>
      <c r="U206" s="361">
        <f t="shared" si="200"/>
        <v>2.183449145361279</v>
      </c>
      <c r="V206" s="362">
        <f t="shared" si="200"/>
        <v>2.3872741230807555</v>
      </c>
      <c r="X206" s="351"/>
    </row>
    <row r="207" spans="3:24" ht="24.75" customHeight="1" x14ac:dyDescent="0.3">
      <c r="C207" s="353">
        <f>ABS(E207-Dashboard!$F$14)</f>
        <v>442.70734376601183</v>
      </c>
      <c r="D207" s="350">
        <f t="shared" ref="D207:D270" si="201">D206+0.0001</f>
        <v>9.345000000000056E-2</v>
      </c>
      <c r="E207" s="359" cm="1">
        <f t="array" ref="E207">1000*SUM('DRE + DCF'!$L$36/M207,'DRE + DCF'!$N$36:$V$36/N207:V207,F207/V207)/Dashboard!$F$11</f>
        <v>539.69734376601184</v>
      </c>
      <c r="F207" s="359">
        <f t="shared" si="199"/>
        <v>59001902.030194595</v>
      </c>
      <c r="G207" s="359">
        <f>'DRE + DCF'!$W$31</f>
        <v>2791623.3540418856</v>
      </c>
      <c r="H207" s="359">
        <f>'DRE + DCF'!$W$32</f>
        <v>81081.931703745853</v>
      </c>
      <c r="I207" s="359">
        <f>-H207*('DRE + DCF'!$V$33+K207)/'DRE + DCF'!$V$33</f>
        <v>-90858.801614444121</v>
      </c>
      <c r="J207" s="359">
        <f>-'DRE + DCF'!$V$56*L207</f>
        <v>-1188924.4255577971</v>
      </c>
      <c r="K207" s="360">
        <f>(1+L207)/(1+Ke!$O$12)-1</f>
        <v>2.0000000000000018E-2</v>
      </c>
      <c r="L207" s="360">
        <f>'DRE + DCF'!$Y$31</f>
        <v>7.3550000000000004E-2</v>
      </c>
      <c r="M207" s="361">
        <f>(1+D207)^((5-Dashboard!$F$9)*3/12)</f>
        <v>1.0692990886720046</v>
      </c>
      <c r="N207" s="361">
        <f t="shared" ref="N207:V207" si="202">M207*(1+$D207)</f>
        <v>1.1692250885084039</v>
      </c>
      <c r="O207" s="361">
        <f t="shared" si="202"/>
        <v>1.2784891730295147</v>
      </c>
      <c r="P207" s="361">
        <f t="shared" si="202"/>
        <v>1.3979639862491235</v>
      </c>
      <c r="Q207" s="361">
        <f t="shared" si="202"/>
        <v>1.5286037207641048</v>
      </c>
      <c r="R207" s="361">
        <f t="shared" si="202"/>
        <v>1.6714517384695111</v>
      </c>
      <c r="S207" s="361">
        <f t="shared" si="202"/>
        <v>1.8276489034294878</v>
      </c>
      <c r="T207" s="361">
        <f t="shared" si="202"/>
        <v>1.9984426934549744</v>
      </c>
      <c r="U207" s="361">
        <f t="shared" si="202"/>
        <v>2.1851971631583429</v>
      </c>
      <c r="V207" s="362">
        <f t="shared" si="202"/>
        <v>2.3894038380554909</v>
      </c>
      <c r="X207" s="351"/>
    </row>
    <row r="208" spans="3:24" ht="24.75" customHeight="1" x14ac:dyDescent="0.3">
      <c r="C208" s="353">
        <f>ABS(E208-Dashboard!$F$14)</f>
        <v>440.53300621425115</v>
      </c>
      <c r="D208" s="350">
        <f t="shared" si="201"/>
        <v>9.3550000000000563E-2</v>
      </c>
      <c r="E208" s="359" cm="1">
        <f t="array" ref="E208">1000*SUM('DRE + DCF'!$L$36/M208,'DRE + DCF'!$N$36:$V$36/N208:V208,F208/V208)/Dashboard!$F$11</f>
        <v>537.52300621425115</v>
      </c>
      <c r="F208" s="359">
        <f t="shared" si="199"/>
        <v>58769927.074477375</v>
      </c>
      <c r="G208" s="359">
        <f>'DRE + DCF'!$W$31</f>
        <v>2791623.3540418856</v>
      </c>
      <c r="H208" s="359">
        <f>'DRE + DCF'!$W$32</f>
        <v>81081.931703745853</v>
      </c>
      <c r="I208" s="359">
        <f>-H208*('DRE + DCF'!$V$33+K208)/'DRE + DCF'!$V$33</f>
        <v>-90858.801614444121</v>
      </c>
      <c r="J208" s="359">
        <f>-'DRE + DCF'!$V$56*L208</f>
        <v>-1188924.4255577971</v>
      </c>
      <c r="K208" s="360">
        <f>(1+L208)/(1+Ke!$O$12)-1</f>
        <v>2.0000000000000018E-2</v>
      </c>
      <c r="L208" s="360">
        <f>'DRE + DCF'!$Y$31</f>
        <v>7.3550000000000004E-2</v>
      </c>
      <c r="M208" s="361">
        <f>(1+D208)^((5-Dashboard!$F$9)*3/12)</f>
        <v>1.0693724313167454</v>
      </c>
      <c r="N208" s="361">
        <f t="shared" ref="N208:V208" si="203">M208*(1+$D208)</f>
        <v>1.1694122222664274</v>
      </c>
      <c r="O208" s="361">
        <f t="shared" si="203"/>
        <v>1.2788107356594522</v>
      </c>
      <c r="P208" s="361">
        <f t="shared" si="203"/>
        <v>1.3984434799803946</v>
      </c>
      <c r="Q208" s="361">
        <f t="shared" si="203"/>
        <v>1.5292678675325613</v>
      </c>
      <c r="R208" s="361">
        <f t="shared" si="203"/>
        <v>1.6723308765402332</v>
      </c>
      <c r="S208" s="361">
        <f t="shared" si="203"/>
        <v>1.8287774300405728</v>
      </c>
      <c r="T208" s="361">
        <f t="shared" si="203"/>
        <v>1.9998595586208692</v>
      </c>
      <c r="U208" s="361">
        <f t="shared" si="203"/>
        <v>2.1869464203298525</v>
      </c>
      <c r="V208" s="362">
        <f t="shared" si="203"/>
        <v>2.3915352579517113</v>
      </c>
      <c r="X208" s="351"/>
    </row>
    <row r="209" spans="3:24" ht="24.75" customHeight="1" x14ac:dyDescent="0.3">
      <c r="C209" s="353">
        <f>ABS(E209-Dashboard!$F$14)</f>
        <v>438.37837933657318</v>
      </c>
      <c r="D209" s="350">
        <f t="shared" si="201"/>
        <v>9.3650000000000566E-2</v>
      </c>
      <c r="E209" s="359" cm="1">
        <f t="array" ref="E209">1000*SUM('DRE + DCF'!$L$36/M209,'DRE + DCF'!$N$36:$V$36/N209:V209,F209/V209)/Dashboard!$F$11</f>
        <v>535.36837933657318</v>
      </c>
      <c r="F209" s="359">
        <f t="shared" si="199"/>
        <v>58540126.379704699</v>
      </c>
      <c r="G209" s="359">
        <f>'DRE + DCF'!$W$31</f>
        <v>2791623.3540418856</v>
      </c>
      <c r="H209" s="359">
        <f>'DRE + DCF'!$W$32</f>
        <v>81081.931703745853</v>
      </c>
      <c r="I209" s="359">
        <f>-H209*('DRE + DCF'!$V$33+K209)/'DRE + DCF'!$V$33</f>
        <v>-90858.801614444121</v>
      </c>
      <c r="J209" s="359">
        <f>-'DRE + DCF'!$V$56*L209</f>
        <v>-1188924.4255577971</v>
      </c>
      <c r="K209" s="360">
        <f>(1+L209)/(1+Ke!$O$12)-1</f>
        <v>2.0000000000000018E-2</v>
      </c>
      <c r="L209" s="360">
        <f>'DRE + DCF'!$Y$31</f>
        <v>7.3550000000000004E-2</v>
      </c>
      <c r="M209" s="361">
        <f>(1+D209)^((5-Dashboard!$F$9)*3/12)</f>
        <v>1.0694457722847956</v>
      </c>
      <c r="N209" s="361">
        <f t="shared" ref="N209:V209" si="204">M209*(1+$D209)</f>
        <v>1.1695993688592674</v>
      </c>
      <c r="O209" s="361">
        <f t="shared" si="204"/>
        <v>1.2791323497529385</v>
      </c>
      <c r="P209" s="361">
        <f t="shared" si="204"/>
        <v>1.3989230943073021</v>
      </c>
      <c r="Q209" s="361">
        <f t="shared" si="204"/>
        <v>1.5299322420891819</v>
      </c>
      <c r="R209" s="361">
        <f t="shared" si="204"/>
        <v>1.6732103965608347</v>
      </c>
      <c r="S209" s="361">
        <f t="shared" si="204"/>
        <v>1.8299065501987579</v>
      </c>
      <c r="T209" s="361">
        <f t="shared" si="204"/>
        <v>2.0012772986248728</v>
      </c>
      <c r="U209" s="361">
        <f t="shared" si="204"/>
        <v>2.1886969176410935</v>
      </c>
      <c r="V209" s="362">
        <f t="shared" si="204"/>
        <v>2.3936683839781834</v>
      </c>
      <c r="X209" s="351"/>
    </row>
    <row r="210" spans="3:24" ht="24.75" customHeight="1" x14ac:dyDescent="0.3">
      <c r="C210" s="353">
        <f>ABS(E210-Dashboard!$F$14)</f>
        <v>436.24317757032622</v>
      </c>
      <c r="D210" s="350">
        <f t="shared" si="201"/>
        <v>9.3750000000000569E-2</v>
      </c>
      <c r="E210" s="359" cm="1">
        <f t="array" ref="E210">1000*SUM('DRE + DCF'!$L$36/M210,'DRE + DCF'!$N$36:$V$36/N210:V210,F210/V210)/Dashboard!$F$11</f>
        <v>533.23317757032623</v>
      </c>
      <c r="F210" s="359">
        <f t="shared" si="199"/>
        <v>58312468.081382692</v>
      </c>
      <c r="G210" s="359">
        <f>'DRE + DCF'!$W$31</f>
        <v>2791623.3540418856</v>
      </c>
      <c r="H210" s="359">
        <f>'DRE + DCF'!$W$32</f>
        <v>81081.931703745853</v>
      </c>
      <c r="I210" s="359">
        <f>-H210*('DRE + DCF'!$V$33+K210)/'DRE + DCF'!$V$33</f>
        <v>-90858.801614444121</v>
      </c>
      <c r="J210" s="359">
        <f>-'DRE + DCF'!$V$56*L210</f>
        <v>-1188924.4255577971</v>
      </c>
      <c r="K210" s="360">
        <f>(1+L210)/(1+Ke!$O$12)-1</f>
        <v>2.0000000000000018E-2</v>
      </c>
      <c r="L210" s="360">
        <f>'DRE + DCF'!$Y$31</f>
        <v>7.3550000000000004E-2</v>
      </c>
      <c r="M210" s="361">
        <f>(1+D210)^((5-Dashboard!$F$9)*3/12)</f>
        <v>1.0695191115763465</v>
      </c>
      <c r="N210" s="361">
        <f t="shared" ref="N210:V210" si="205">M210*(1+$D210)</f>
        <v>1.1697865282866298</v>
      </c>
      <c r="O210" s="361">
        <f t="shared" si="205"/>
        <v>1.2794540153135021</v>
      </c>
      <c r="P210" s="361">
        <f t="shared" si="205"/>
        <v>1.3994028292491438</v>
      </c>
      <c r="Q210" s="361">
        <f t="shared" si="205"/>
        <v>1.5305968444912521</v>
      </c>
      <c r="R210" s="361">
        <f t="shared" si="205"/>
        <v>1.6740902986623081</v>
      </c>
      <c r="S210" s="361">
        <f t="shared" si="205"/>
        <v>1.8310362641619005</v>
      </c>
      <c r="T210" s="361">
        <f t="shared" si="205"/>
        <v>2.0026959139270799</v>
      </c>
      <c r="U210" s="361">
        <f t="shared" si="205"/>
        <v>2.190448655857745</v>
      </c>
      <c r="V210" s="362">
        <f t="shared" si="205"/>
        <v>2.3958032173444099</v>
      </c>
      <c r="X210" s="351"/>
    </row>
    <row r="211" spans="3:24" ht="24.75" customHeight="1" x14ac:dyDescent="0.3">
      <c r="C211" s="353">
        <f>ABS(E211-Dashboard!$F$14)</f>
        <v>434.12712094791107</v>
      </c>
      <c r="D211" s="350">
        <f t="shared" si="201"/>
        <v>9.3850000000000572E-2</v>
      </c>
      <c r="E211" s="359" cm="1">
        <f t="array" ref="E211">1000*SUM('DRE + DCF'!$L$36/M211,'DRE + DCF'!$N$36:$V$36/N211:V211,F211/V211)/Dashboard!$F$11</f>
        <v>531.11712094791108</v>
      </c>
      <c r="F211" s="359">
        <f t="shared" si="199"/>
        <v>58086920.941080458</v>
      </c>
      <c r="G211" s="359">
        <f>'DRE + DCF'!$W$31</f>
        <v>2791623.3540418856</v>
      </c>
      <c r="H211" s="359">
        <f>'DRE + DCF'!$W$32</f>
        <v>81081.931703745853</v>
      </c>
      <c r="I211" s="359">
        <f>-H211*('DRE + DCF'!$V$33+K211)/'DRE + DCF'!$V$33</f>
        <v>-90858.801614444121</v>
      </c>
      <c r="J211" s="359">
        <f>-'DRE + DCF'!$V$56*L211</f>
        <v>-1188924.4255577971</v>
      </c>
      <c r="K211" s="360">
        <f>(1+L211)/(1+Ke!$O$12)-1</f>
        <v>2.0000000000000018E-2</v>
      </c>
      <c r="L211" s="360">
        <f>'DRE + DCF'!$Y$31</f>
        <v>7.3550000000000004E-2</v>
      </c>
      <c r="M211" s="361">
        <f>(1+D211)^((5-Dashboard!$F$9)*3/12)</f>
        <v>1.0695924491915898</v>
      </c>
      <c r="N211" s="361">
        <f t="shared" ref="N211:V211" si="206">M211*(1+$D211)</f>
        <v>1.1699737005482211</v>
      </c>
      <c r="O211" s="361">
        <f t="shared" si="206"/>
        <v>1.2797757323446726</v>
      </c>
      <c r="P211" s="361">
        <f t="shared" si="206"/>
        <v>1.3998826848252208</v>
      </c>
      <c r="Q211" s="361">
        <f t="shared" si="206"/>
        <v>1.5312616747960688</v>
      </c>
      <c r="R211" s="361">
        <f t="shared" si="206"/>
        <v>1.6749705829756809</v>
      </c>
      <c r="S211" s="361">
        <f t="shared" si="206"/>
        <v>1.8321665721879496</v>
      </c>
      <c r="T211" s="361">
        <f t="shared" si="206"/>
        <v>2.0041154049877901</v>
      </c>
      <c r="U211" s="361">
        <f t="shared" si="206"/>
        <v>2.1922016357458953</v>
      </c>
      <c r="V211" s="362">
        <f t="shared" si="206"/>
        <v>2.3979397592606491</v>
      </c>
      <c r="X211" s="351"/>
    </row>
    <row r="212" spans="3:24" ht="24.75" customHeight="1" x14ac:dyDescent="0.3">
      <c r="C212" s="353">
        <f>ABS(E212-Dashboard!$F$14)</f>
        <v>432.02993495981821</v>
      </c>
      <c r="D212" s="350">
        <f t="shared" si="201"/>
        <v>9.3950000000000575E-2</v>
      </c>
      <c r="E212" s="359" cm="1">
        <f t="array" ref="E212">1000*SUM('DRE + DCF'!$L$36/M212,'DRE + DCF'!$N$36:$V$36/N212:V212,F212/V212)/Dashboard!$F$11</f>
        <v>529.01993495981822</v>
      </c>
      <c r="F212" s="359">
        <f t="shared" si="199"/>
        <v>57863454.331094861</v>
      </c>
      <c r="G212" s="359">
        <f>'DRE + DCF'!$W$31</f>
        <v>2791623.3540418856</v>
      </c>
      <c r="H212" s="359">
        <f>'DRE + DCF'!$W$32</f>
        <v>81081.931703745853</v>
      </c>
      <c r="I212" s="359">
        <f>-H212*('DRE + DCF'!$V$33+K212)/'DRE + DCF'!$V$33</f>
        <v>-90858.801614444121</v>
      </c>
      <c r="J212" s="359">
        <f>-'DRE + DCF'!$V$56*L212</f>
        <v>-1188924.4255577971</v>
      </c>
      <c r="K212" s="360">
        <f>(1+L212)/(1+Ke!$O$12)-1</f>
        <v>2.0000000000000018E-2</v>
      </c>
      <c r="L212" s="360">
        <f>'DRE + DCF'!$Y$31</f>
        <v>7.3550000000000004E-2</v>
      </c>
      <c r="M212" s="361">
        <f>(1+D212)^((5-Dashboard!$F$9)*3/12)</f>
        <v>1.0696657851307174</v>
      </c>
      <c r="N212" s="361">
        <f t="shared" ref="N212:V212" si="207">M212*(1+$D212)</f>
        <v>1.1701608856437491</v>
      </c>
      <c r="O212" s="361">
        <f t="shared" si="207"/>
        <v>1.28009750084998</v>
      </c>
      <c r="P212" s="361">
        <f t="shared" si="207"/>
        <v>1.4003626610548363</v>
      </c>
      <c r="Q212" s="361">
        <f t="shared" si="207"/>
        <v>1.5319267330609392</v>
      </c>
      <c r="R212" s="361">
        <f t="shared" si="207"/>
        <v>1.6758512496320155</v>
      </c>
      <c r="S212" s="361">
        <f t="shared" si="207"/>
        <v>1.8332974745349444</v>
      </c>
      <c r="T212" s="361">
        <f t="shared" si="207"/>
        <v>2.0055357722675038</v>
      </c>
      <c r="U212" s="361">
        <f t="shared" si="207"/>
        <v>2.1939558580720369</v>
      </c>
      <c r="V212" s="362">
        <f t="shared" si="207"/>
        <v>2.4000780109379063</v>
      </c>
      <c r="X212" s="351"/>
    </row>
    <row r="213" spans="3:24" ht="24.75" customHeight="1" x14ac:dyDescent="0.3">
      <c r="C213" s="353">
        <f>ABS(E213-Dashboard!$F$14)</f>
        <v>429.95135042167408</v>
      </c>
      <c r="D213" s="350">
        <f t="shared" si="201"/>
        <v>9.4050000000000578E-2</v>
      </c>
      <c r="E213" s="359" cm="1">
        <f t="array" ref="E213">1000*SUM('DRE + DCF'!$L$36/M213,'DRE + DCF'!$N$36:$V$36/N213:V213,F213/V213)/Dashboard!$F$11</f>
        <v>526.94135042167409</v>
      </c>
      <c r="F213" s="359">
        <f t="shared" si="199"/>
        <v>57642038.219564289</v>
      </c>
      <c r="G213" s="359">
        <f>'DRE + DCF'!$W$31</f>
        <v>2791623.3540418856</v>
      </c>
      <c r="H213" s="359">
        <f>'DRE + DCF'!$W$32</f>
        <v>81081.931703745853</v>
      </c>
      <c r="I213" s="359">
        <f>-H213*('DRE + DCF'!$V$33+K213)/'DRE + DCF'!$V$33</f>
        <v>-90858.801614444121</v>
      </c>
      <c r="J213" s="359">
        <f>-'DRE + DCF'!$V$56*L213</f>
        <v>-1188924.4255577971</v>
      </c>
      <c r="K213" s="360">
        <f>(1+L213)/(1+Ke!$O$12)-1</f>
        <v>2.0000000000000018E-2</v>
      </c>
      <c r="L213" s="360">
        <f>'DRE + DCF'!$Y$31</f>
        <v>7.3550000000000004E-2</v>
      </c>
      <c r="M213" s="361">
        <f>(1+D213)^((5-Dashboard!$F$9)*3/12)</f>
        <v>1.0697391193939203</v>
      </c>
      <c r="N213" s="361">
        <f t="shared" ref="N213:V213" si="208">M213*(1+$D213)</f>
        <v>1.1703480835729192</v>
      </c>
      <c r="O213" s="361">
        <f t="shared" si="208"/>
        <v>1.2804193208329531</v>
      </c>
      <c r="P213" s="361">
        <f t="shared" si="208"/>
        <v>1.4008427579572931</v>
      </c>
      <c r="Q213" s="361">
        <f t="shared" si="208"/>
        <v>1.5325920193431775</v>
      </c>
      <c r="R213" s="361">
        <f t="shared" si="208"/>
        <v>1.6767322987624043</v>
      </c>
      <c r="S213" s="361">
        <f t="shared" si="208"/>
        <v>1.8344289714610094</v>
      </c>
      <c r="T213" s="361">
        <f t="shared" si="208"/>
        <v>2.0069570162269184</v>
      </c>
      <c r="U213" s="361">
        <f t="shared" si="208"/>
        <v>2.1957113236030614</v>
      </c>
      <c r="V213" s="362">
        <f t="shared" si="208"/>
        <v>2.4022179735879305</v>
      </c>
      <c r="X213" s="351"/>
    </row>
    <row r="214" spans="3:24" ht="24.75" customHeight="1" x14ac:dyDescent="0.3">
      <c r="C214" s="353">
        <f>ABS(E214-Dashboard!$F$14)</f>
        <v>427.89110334515465</v>
      </c>
      <c r="D214" s="350">
        <f t="shared" si="201"/>
        <v>9.415000000000058E-2</v>
      </c>
      <c r="E214" s="359" cm="1">
        <f t="array" ref="E214">1000*SUM('DRE + DCF'!$L$36/M214,'DRE + DCF'!$N$36:$V$36/N214:V214,F214/V214)/Dashboard!$F$11</f>
        <v>524.88110334515466</v>
      </c>
      <c r="F214" s="359">
        <f t="shared" si="199"/>
        <v>57422643.156015798</v>
      </c>
      <c r="G214" s="359">
        <f>'DRE + DCF'!$W$31</f>
        <v>2791623.3540418856</v>
      </c>
      <c r="H214" s="359">
        <f>'DRE + DCF'!$W$32</f>
        <v>81081.931703745853</v>
      </c>
      <c r="I214" s="359">
        <f>-H214*('DRE + DCF'!$V$33+K214)/'DRE + DCF'!$V$33</f>
        <v>-90858.801614444121</v>
      </c>
      <c r="J214" s="359">
        <f>-'DRE + DCF'!$V$56*L214</f>
        <v>-1188924.4255577971</v>
      </c>
      <c r="K214" s="360">
        <f>(1+L214)/(1+Ke!$O$12)-1</f>
        <v>2.0000000000000018E-2</v>
      </c>
      <c r="L214" s="360">
        <f>'DRE + DCF'!$Y$31</f>
        <v>7.3550000000000004E-2</v>
      </c>
      <c r="M214" s="361">
        <f>(1+D214)^((5-Dashboard!$F$9)*3/12)</f>
        <v>1.0698124519813903</v>
      </c>
      <c r="N214" s="361">
        <f t="shared" ref="N214:V214" si="209">M214*(1+$D214)</f>
        <v>1.1705352943354388</v>
      </c>
      <c r="O214" s="361">
        <f t="shared" si="209"/>
        <v>1.280741192297121</v>
      </c>
      <c r="P214" s="361">
        <f t="shared" si="209"/>
        <v>1.4013229755518957</v>
      </c>
      <c r="Q214" s="361">
        <f t="shared" si="209"/>
        <v>1.5332575337001075</v>
      </c>
      <c r="R214" s="361">
        <f t="shared" si="209"/>
        <v>1.6776137304979737</v>
      </c>
      <c r="S214" s="361">
        <f t="shared" si="209"/>
        <v>1.8355610632243589</v>
      </c>
      <c r="T214" s="361">
        <f t="shared" si="209"/>
        <v>2.0083791373269335</v>
      </c>
      <c r="U214" s="361">
        <f t="shared" si="209"/>
        <v>2.1974680331062655</v>
      </c>
      <c r="V214" s="362">
        <f t="shared" si="209"/>
        <v>2.4043596484232217</v>
      </c>
      <c r="X214" s="351"/>
    </row>
    <row r="215" spans="3:24" ht="24.75" customHeight="1" x14ac:dyDescent="0.3">
      <c r="C215" s="353">
        <f>ABS(E215-Dashboard!$F$14)</f>
        <v>425.8489348126426</v>
      </c>
      <c r="D215" s="350">
        <f t="shared" si="201"/>
        <v>9.4250000000000583E-2</v>
      </c>
      <c r="E215" s="359" cm="1">
        <f t="array" ref="E215">1000*SUM('DRE + DCF'!$L$36/M215,'DRE + DCF'!$N$36:$V$36/N215:V215,F215/V215)/Dashboard!$F$11</f>
        <v>522.83893481264261</v>
      </c>
      <c r="F215" s="359">
        <f t="shared" si="199"/>
        <v>57205240.2573312</v>
      </c>
      <c r="G215" s="359">
        <f>'DRE + DCF'!$W$31</f>
        <v>2791623.3540418856</v>
      </c>
      <c r="H215" s="359">
        <f>'DRE + DCF'!$W$32</f>
        <v>81081.931703745853</v>
      </c>
      <c r="I215" s="359">
        <f>-H215*('DRE + DCF'!$V$33+K215)/'DRE + DCF'!$V$33</f>
        <v>-90858.801614444121</v>
      </c>
      <c r="J215" s="359">
        <f>-'DRE + DCF'!$V$56*L215</f>
        <v>-1188924.4255577971</v>
      </c>
      <c r="K215" s="360">
        <f>(1+L215)/(1+Ke!$O$12)-1</f>
        <v>2.0000000000000018E-2</v>
      </c>
      <c r="L215" s="360">
        <f>'DRE + DCF'!$Y$31</f>
        <v>7.3550000000000004E-2</v>
      </c>
      <c r="M215" s="361">
        <f>(1+D215)^((5-Dashboard!$F$9)*3/12)</f>
        <v>1.069885782893319</v>
      </c>
      <c r="N215" s="361">
        <f t="shared" ref="N215:V215" si="210">M215*(1+$D215)</f>
        <v>1.170722517931015</v>
      </c>
      <c r="O215" s="361">
        <f t="shared" si="210"/>
        <v>1.2810631152460139</v>
      </c>
      <c r="P215" s="361">
        <f t="shared" si="210"/>
        <v>1.4018033138579515</v>
      </c>
      <c r="Q215" s="361">
        <f t="shared" si="210"/>
        <v>1.5339232761890644</v>
      </c>
      <c r="R215" s="361">
        <f t="shared" si="210"/>
        <v>1.6784955449698846</v>
      </c>
      <c r="S215" s="361">
        <f t="shared" si="210"/>
        <v>1.8366937500832974</v>
      </c>
      <c r="T215" s="361">
        <f t="shared" si="210"/>
        <v>2.0098021360286493</v>
      </c>
      <c r="U215" s="361">
        <f t="shared" si="210"/>
        <v>2.1992259873493509</v>
      </c>
      <c r="V215" s="362">
        <f t="shared" si="210"/>
        <v>2.4065030366570288</v>
      </c>
      <c r="X215" s="351"/>
    </row>
    <row r="216" spans="3:24" ht="24.75" customHeight="1" x14ac:dyDescent="0.3">
      <c r="C216" s="353">
        <f>ABS(E216-Dashboard!$F$14)</f>
        <v>423.82459085549874</v>
      </c>
      <c r="D216" s="350">
        <f t="shared" si="201"/>
        <v>9.4350000000000586E-2</v>
      </c>
      <c r="E216" s="359" cm="1">
        <f t="array" ref="E216">1000*SUM('DRE + DCF'!$L$36/M216,'DRE + DCF'!$N$36:$V$36/N216:V216,F216/V216)/Dashboard!$F$11</f>
        <v>520.81459085549875</v>
      </c>
      <c r="F216" s="359">
        <f t="shared" si="199"/>
        <v>56989801.194117844</v>
      </c>
      <c r="G216" s="359">
        <f>'DRE + DCF'!$W$31</f>
        <v>2791623.3540418856</v>
      </c>
      <c r="H216" s="359">
        <f>'DRE + DCF'!$W$32</f>
        <v>81081.931703745853</v>
      </c>
      <c r="I216" s="359">
        <f>-H216*('DRE + DCF'!$V$33+K216)/'DRE + DCF'!$V$33</f>
        <v>-90858.801614444121</v>
      </c>
      <c r="J216" s="359">
        <f>-'DRE + DCF'!$V$56*L216</f>
        <v>-1188924.4255577971</v>
      </c>
      <c r="K216" s="360">
        <f>(1+L216)/(1+Ke!$O$12)-1</f>
        <v>2.0000000000000018E-2</v>
      </c>
      <c r="L216" s="360">
        <f>'DRE + DCF'!$Y$31</f>
        <v>7.3550000000000004E-2</v>
      </c>
      <c r="M216" s="361">
        <f>(1+D216)^((5-Dashboard!$F$9)*3/12)</f>
        <v>1.0699591121298975</v>
      </c>
      <c r="N216" s="361">
        <f t="shared" ref="N216:V216" si="211">M216*(1+$D216)</f>
        <v>1.1709097543593538</v>
      </c>
      <c r="O216" s="361">
        <f t="shared" si="211"/>
        <v>1.2813850896831596</v>
      </c>
      <c r="P216" s="361">
        <f t="shared" si="211"/>
        <v>1.4022837728947664</v>
      </c>
      <c r="Q216" s="361">
        <f t="shared" si="211"/>
        <v>1.5345892468673885</v>
      </c>
      <c r="R216" s="361">
        <f t="shared" si="211"/>
        <v>1.6793777423093275</v>
      </c>
      <c r="S216" s="361">
        <f t="shared" si="211"/>
        <v>1.8378270322962136</v>
      </c>
      <c r="T216" s="361">
        <f t="shared" si="211"/>
        <v>2.0112260127933625</v>
      </c>
      <c r="U216" s="361">
        <f t="shared" si="211"/>
        <v>2.2009851871004176</v>
      </c>
      <c r="V216" s="362">
        <f t="shared" si="211"/>
        <v>2.4086481395033434</v>
      </c>
      <c r="X216" s="351"/>
    </row>
    <row r="217" spans="3:24" ht="24.75" customHeight="1" x14ac:dyDescent="0.3">
      <c r="C217" s="353">
        <f>ABS(E217-Dashboard!$F$14)</f>
        <v>421.81782233582487</v>
      </c>
      <c r="D217" s="350">
        <f t="shared" si="201"/>
        <v>9.4450000000000589E-2</v>
      </c>
      <c r="E217" s="359" cm="1">
        <f t="array" ref="E217">1000*SUM('DRE + DCF'!$L$36/M217,'DRE + DCF'!$N$36:$V$36/N217:V217,F217/V217)/Dashboard!$F$11</f>
        <v>518.80782233582488</v>
      </c>
      <c r="F217" s="359">
        <f t="shared" si="199"/>
        <v>56776298.177470699</v>
      </c>
      <c r="G217" s="359">
        <f>'DRE + DCF'!$W$31</f>
        <v>2791623.3540418856</v>
      </c>
      <c r="H217" s="359">
        <f>'DRE + DCF'!$W$32</f>
        <v>81081.931703745853</v>
      </c>
      <c r="I217" s="359">
        <f>-H217*('DRE + DCF'!$V$33+K217)/'DRE + DCF'!$V$33</f>
        <v>-90858.801614444121</v>
      </c>
      <c r="J217" s="359">
        <f>-'DRE + DCF'!$V$56*L217</f>
        <v>-1188924.4255577971</v>
      </c>
      <c r="K217" s="360">
        <f>(1+L217)/(1+Ke!$O$12)-1</f>
        <v>2.0000000000000018E-2</v>
      </c>
      <c r="L217" s="360">
        <f>'DRE + DCF'!$Y$31</f>
        <v>7.3550000000000004E-2</v>
      </c>
      <c r="M217" s="361">
        <f>(1+D217)^((5-Dashboard!$F$9)*3/12)</f>
        <v>1.070032439691317</v>
      </c>
      <c r="N217" s="361">
        <f t="shared" ref="N217:V217" si="212">M217*(1+$D217)</f>
        <v>1.1710970036201624</v>
      </c>
      <c r="O217" s="361">
        <f t="shared" si="212"/>
        <v>1.2817071156120874</v>
      </c>
      <c r="P217" s="361">
        <f t="shared" si="212"/>
        <v>1.4027643526816498</v>
      </c>
      <c r="Q217" s="361">
        <f t="shared" si="212"/>
        <v>1.5352554457924323</v>
      </c>
      <c r="R217" s="361">
        <f t="shared" si="212"/>
        <v>1.6802603226475286</v>
      </c>
      <c r="S217" s="361">
        <f t="shared" si="212"/>
        <v>1.8389609101215887</v>
      </c>
      <c r="T217" s="361">
        <f t="shared" si="212"/>
        <v>2.0126507680825738</v>
      </c>
      <c r="U217" s="361">
        <f t="shared" si="212"/>
        <v>2.2027456331279742</v>
      </c>
      <c r="V217" s="362">
        <f t="shared" si="212"/>
        <v>2.4107949581769126</v>
      </c>
      <c r="X217" s="351"/>
    </row>
    <row r="218" spans="3:24" ht="24.75" customHeight="1" x14ac:dyDescent="0.3">
      <c r="C218" s="353">
        <f>ABS(E218-Dashboard!$F$14)</f>
        <v>419.82838483160583</v>
      </c>
      <c r="D218" s="350">
        <f t="shared" si="201"/>
        <v>9.4550000000000592E-2</v>
      </c>
      <c r="E218" s="359" cm="1">
        <f t="array" ref="E218">1000*SUM('DRE + DCF'!$L$36/M218,'DRE + DCF'!$N$36:$V$36/N218:V218,F218/V218)/Dashboard!$F$11</f>
        <v>516.81838483160584</v>
      </c>
      <c r="F218" s="359">
        <f t="shared" si="199"/>
        <v>56564703.946112514</v>
      </c>
      <c r="G218" s="359">
        <f>'DRE + DCF'!$W$31</f>
        <v>2791623.3540418856</v>
      </c>
      <c r="H218" s="359">
        <f>'DRE + DCF'!$W$32</f>
        <v>81081.931703745853</v>
      </c>
      <c r="I218" s="359">
        <f>-H218*('DRE + DCF'!$V$33+K218)/'DRE + DCF'!$V$33</f>
        <v>-90858.801614444121</v>
      </c>
      <c r="J218" s="359">
        <f>-'DRE + DCF'!$V$56*L218</f>
        <v>-1188924.4255577971</v>
      </c>
      <c r="K218" s="360">
        <f>(1+L218)/(1+Ke!$O$12)-1</f>
        <v>2.0000000000000018E-2</v>
      </c>
      <c r="L218" s="360">
        <f>'DRE + DCF'!$Y$31</f>
        <v>7.3550000000000004E-2</v>
      </c>
      <c r="M218" s="361">
        <f>(1+D218)^((5-Dashboard!$F$9)*3/12)</f>
        <v>1.0701057655777695</v>
      </c>
      <c r="N218" s="361">
        <f t="shared" ref="N218:V218" si="213">M218*(1+$D218)</f>
        <v>1.1712842657131481</v>
      </c>
      <c r="O218" s="361">
        <f t="shared" si="213"/>
        <v>1.282029193036327</v>
      </c>
      <c r="P218" s="361">
        <f t="shared" si="213"/>
        <v>1.4032450532379124</v>
      </c>
      <c r="Q218" s="361">
        <f t="shared" si="213"/>
        <v>1.5359218730215578</v>
      </c>
      <c r="R218" s="361">
        <f t="shared" si="213"/>
        <v>1.6811432861157469</v>
      </c>
      <c r="S218" s="361">
        <f t="shared" si="213"/>
        <v>1.8400953838179919</v>
      </c>
      <c r="T218" s="361">
        <f t="shared" si="213"/>
        <v>2.014076402357984</v>
      </c>
      <c r="U218" s="361">
        <f t="shared" si="213"/>
        <v>2.2045073262009325</v>
      </c>
      <c r="V218" s="362">
        <f t="shared" si="213"/>
        <v>2.4129434938932319</v>
      </c>
      <c r="X218" s="351"/>
    </row>
    <row r="219" spans="3:24" ht="24.75" customHeight="1" x14ac:dyDescent="0.3">
      <c r="C219" s="353">
        <f>ABS(E219-Dashboard!$F$14)</f>
        <v>417.85603852511781</v>
      </c>
      <c r="D219" s="350">
        <f t="shared" si="201"/>
        <v>9.4650000000000595E-2</v>
      </c>
      <c r="E219" s="359" cm="1">
        <f t="array" ref="E219">1000*SUM('DRE + DCF'!$L$36/M219,'DRE + DCF'!$N$36:$V$36/N219:V219,F219/V219)/Dashboard!$F$11</f>
        <v>514.84603852511782</v>
      </c>
      <c r="F219" s="359">
        <f t="shared" si="199"/>
        <v>56354991.753899679</v>
      </c>
      <c r="G219" s="359">
        <f>'DRE + DCF'!$W$31</f>
        <v>2791623.3540418856</v>
      </c>
      <c r="H219" s="359">
        <f>'DRE + DCF'!$W$32</f>
        <v>81081.931703745853</v>
      </c>
      <c r="I219" s="359">
        <f>-H219*('DRE + DCF'!$V$33+K219)/'DRE + DCF'!$V$33</f>
        <v>-90858.801614444121</v>
      </c>
      <c r="J219" s="359">
        <f>-'DRE + DCF'!$V$56*L219</f>
        <v>-1188924.4255577971</v>
      </c>
      <c r="K219" s="360">
        <f>(1+L219)/(1+Ke!$O$12)-1</f>
        <v>2.0000000000000018E-2</v>
      </c>
      <c r="L219" s="360">
        <f>'DRE + DCF'!$Y$31</f>
        <v>7.3550000000000004E-2</v>
      </c>
      <c r="M219" s="361">
        <f>(1+D219)^((5-Dashboard!$F$9)*3/12)</f>
        <v>1.0701790897894454</v>
      </c>
      <c r="N219" s="361">
        <f t="shared" ref="N219:V219" si="214">M219*(1+$D219)</f>
        <v>1.171471540638017</v>
      </c>
      <c r="O219" s="361">
        <f t="shared" si="214"/>
        <v>1.2823513219594058</v>
      </c>
      <c r="P219" s="361">
        <f t="shared" si="214"/>
        <v>1.4037258745828642</v>
      </c>
      <c r="Q219" s="361">
        <f t="shared" si="214"/>
        <v>1.5365885286121332</v>
      </c>
      <c r="R219" s="361">
        <f t="shared" si="214"/>
        <v>1.6820266328452724</v>
      </c>
      <c r="S219" s="361">
        <f t="shared" si="214"/>
        <v>1.8412304536440784</v>
      </c>
      <c r="T219" s="361">
        <f t="shared" si="214"/>
        <v>2.0155029160814917</v>
      </c>
      <c r="U219" s="361">
        <f t="shared" si="214"/>
        <v>2.2062702670886059</v>
      </c>
      <c r="V219" s="362">
        <f t="shared" si="214"/>
        <v>2.4150937478685437</v>
      </c>
      <c r="X219" s="351"/>
    </row>
    <row r="220" spans="3:24" ht="24.75" customHeight="1" x14ac:dyDescent="0.3">
      <c r="C220" s="353">
        <f>ABS(E220-Dashboard!$F$14)</f>
        <v>415.90054809448975</v>
      </c>
      <c r="D220" s="350">
        <f t="shared" si="201"/>
        <v>9.4750000000000598E-2</v>
      </c>
      <c r="E220" s="359" cm="1">
        <f t="array" ref="E220">1000*SUM('DRE + DCF'!$L$36/M220,'DRE + DCF'!$N$36:$V$36/N220:V220,F220/V220)/Dashboard!$F$11</f>
        <v>512.89054809448976</v>
      </c>
      <c r="F220" s="359">
        <f t="shared" si="199"/>
        <v>56147135.357681587</v>
      </c>
      <c r="G220" s="359">
        <f>'DRE + DCF'!$W$31</f>
        <v>2791623.3540418856</v>
      </c>
      <c r="H220" s="359">
        <f>'DRE + DCF'!$W$32</f>
        <v>81081.931703745853</v>
      </c>
      <c r="I220" s="359">
        <f>-H220*('DRE + DCF'!$V$33+K220)/'DRE + DCF'!$V$33</f>
        <v>-90858.801614444121</v>
      </c>
      <c r="J220" s="359">
        <f>-'DRE + DCF'!$V$56*L220</f>
        <v>-1188924.4255577971</v>
      </c>
      <c r="K220" s="360">
        <f>(1+L220)/(1+Ke!$O$12)-1</f>
        <v>2.0000000000000018E-2</v>
      </c>
      <c r="L220" s="360">
        <f>'DRE + DCF'!$Y$31</f>
        <v>7.3550000000000004E-2</v>
      </c>
      <c r="M220" s="361">
        <f>(1+D220)^((5-Dashboard!$F$9)*3/12)</f>
        <v>1.0702524123265367</v>
      </c>
      <c r="N220" s="361">
        <f t="shared" ref="N220:V220" si="215">M220*(1+$D220)</f>
        <v>1.1716588283944767</v>
      </c>
      <c r="O220" s="361">
        <f t="shared" si="215"/>
        <v>1.2826735023848539</v>
      </c>
      <c r="P220" s="361">
        <f t="shared" si="215"/>
        <v>1.4042068167358195</v>
      </c>
      <c r="Q220" s="361">
        <f t="shared" si="215"/>
        <v>1.5372554126215392</v>
      </c>
      <c r="R220" s="361">
        <f t="shared" si="215"/>
        <v>1.6829103629674309</v>
      </c>
      <c r="S220" s="361">
        <f t="shared" si="215"/>
        <v>1.8423661198585959</v>
      </c>
      <c r="T220" s="361">
        <f t="shared" si="215"/>
        <v>2.0169303097151987</v>
      </c>
      <c r="U220" s="361">
        <f t="shared" si="215"/>
        <v>2.2080344565607151</v>
      </c>
      <c r="V220" s="362">
        <f t="shared" si="215"/>
        <v>2.4172457213198442</v>
      </c>
      <c r="X220" s="351"/>
    </row>
    <row r="221" spans="3:24" ht="24.75" customHeight="1" x14ac:dyDescent="0.3">
      <c r="C221" s="353">
        <f>ABS(E221-Dashboard!$F$14)</f>
        <v>413.9616826083228</v>
      </c>
      <c r="D221" s="350">
        <f t="shared" si="201"/>
        <v>9.48500000000006E-2</v>
      </c>
      <c r="E221" s="359" cm="1">
        <f t="array" ref="E221">1000*SUM('DRE + DCF'!$L$36/M221,'DRE + DCF'!$N$36:$V$36/N221:V221,F221/V221)/Dashboard!$F$11</f>
        <v>510.95168260832281</v>
      </c>
      <c r="F221" s="359">
        <f t="shared" si="199"/>
        <v>55941109.005501971</v>
      </c>
      <c r="G221" s="359">
        <f>'DRE + DCF'!$W$31</f>
        <v>2791623.3540418856</v>
      </c>
      <c r="H221" s="359">
        <f>'DRE + DCF'!$W$32</f>
        <v>81081.931703745853</v>
      </c>
      <c r="I221" s="359">
        <f>-H221*('DRE + DCF'!$V$33+K221)/'DRE + DCF'!$V$33</f>
        <v>-90858.801614444121</v>
      </c>
      <c r="J221" s="359">
        <f>-'DRE + DCF'!$V$56*L221</f>
        <v>-1188924.4255577971</v>
      </c>
      <c r="K221" s="360">
        <f>(1+L221)/(1+Ke!$O$12)-1</f>
        <v>2.0000000000000018E-2</v>
      </c>
      <c r="L221" s="360">
        <f>'DRE + DCF'!$Y$31</f>
        <v>7.3550000000000004E-2</v>
      </c>
      <c r="M221" s="361">
        <f>(1+D221)^((5-Dashboard!$F$9)*3/12)</f>
        <v>1.0703257331892342</v>
      </c>
      <c r="N221" s="361">
        <f t="shared" ref="N221:V221" si="216">M221*(1+$D221)</f>
        <v>1.1718461289822337</v>
      </c>
      <c r="O221" s="361">
        <f t="shared" si="216"/>
        <v>1.2829957343161993</v>
      </c>
      <c r="P221" s="361">
        <f t="shared" si="216"/>
        <v>1.4046878797160915</v>
      </c>
      <c r="Q221" s="361">
        <f t="shared" si="216"/>
        <v>1.5379225251071635</v>
      </c>
      <c r="R221" s="361">
        <f t="shared" si="216"/>
        <v>1.6837944766135788</v>
      </c>
      <c r="S221" s="361">
        <f t="shared" si="216"/>
        <v>1.8435023827203778</v>
      </c>
      <c r="T221" s="361">
        <f t="shared" si="216"/>
        <v>2.0183585837214069</v>
      </c>
      <c r="U221" s="361">
        <f t="shared" si="216"/>
        <v>2.2097998953873832</v>
      </c>
      <c r="V221" s="362">
        <f t="shared" si="216"/>
        <v>2.4193994154648779</v>
      </c>
      <c r="X221" s="351"/>
    </row>
    <row r="222" spans="3:24" ht="24.75" customHeight="1" x14ac:dyDescent="0.3">
      <c r="C222" s="353">
        <f>ABS(E222-Dashboard!$F$14)</f>
        <v>412.03921542326134</v>
      </c>
      <c r="D222" s="350">
        <f t="shared" si="201"/>
        <v>9.4950000000000603E-2</v>
      </c>
      <c r="E222" s="359" cm="1">
        <f t="array" ref="E222">1000*SUM('DRE + DCF'!$L$36/M222,'DRE + DCF'!$N$36:$V$36/N222:V222,F222/V222)/Dashboard!$F$11</f>
        <v>509.02921542326135</v>
      </c>
      <c r="F222" s="359">
        <f t="shared" si="199"/>
        <v>55736887.425130934</v>
      </c>
      <c r="G222" s="359">
        <f>'DRE + DCF'!$W$31</f>
        <v>2791623.3540418856</v>
      </c>
      <c r="H222" s="359">
        <f>'DRE + DCF'!$W$32</f>
        <v>81081.931703745853</v>
      </c>
      <c r="I222" s="359">
        <f>-H222*('DRE + DCF'!$V$33+K222)/'DRE + DCF'!$V$33</f>
        <v>-90858.801614444121</v>
      </c>
      <c r="J222" s="359">
        <f>-'DRE + DCF'!$V$56*L222</f>
        <v>-1188924.4255577971</v>
      </c>
      <c r="K222" s="360">
        <f>(1+L222)/(1+Ke!$O$12)-1</f>
        <v>2.0000000000000018E-2</v>
      </c>
      <c r="L222" s="360">
        <f>'DRE + DCF'!$Y$31</f>
        <v>7.3550000000000004E-2</v>
      </c>
      <c r="M222" s="361">
        <f>(1+D222)^((5-Dashboard!$F$9)*3/12)</f>
        <v>1.0703990523777291</v>
      </c>
      <c r="N222" s="361">
        <f t="shared" ref="N222:V222" si="217">M222*(1+$D222)</f>
        <v>1.1720334424009951</v>
      </c>
      <c r="O222" s="361">
        <f t="shared" si="217"/>
        <v>1.2833180177569701</v>
      </c>
      <c r="P222" s="361">
        <f t="shared" si="217"/>
        <v>1.405169063542995</v>
      </c>
      <c r="Q222" s="361">
        <f t="shared" si="217"/>
        <v>1.538589866126403</v>
      </c>
      <c r="R222" s="361">
        <f t="shared" si="217"/>
        <v>1.6846789739151058</v>
      </c>
      <c r="S222" s="361">
        <f t="shared" si="217"/>
        <v>1.844639242488346</v>
      </c>
      <c r="T222" s="361">
        <f t="shared" si="217"/>
        <v>2.0197877385626155</v>
      </c>
      <c r="U222" s="361">
        <f t="shared" si="217"/>
        <v>2.211566584339137</v>
      </c>
      <c r="V222" s="362">
        <f t="shared" si="217"/>
        <v>2.4215548315221391</v>
      </c>
      <c r="X222" s="351"/>
    </row>
    <row r="223" spans="3:24" ht="24.75" customHeight="1" x14ac:dyDescent="0.3">
      <c r="C223" s="353">
        <f>ABS(E223-Dashboard!$F$14)</f>
        <v>410.13292408441976</v>
      </c>
      <c r="D223" s="350">
        <f t="shared" si="201"/>
        <v>9.5050000000000606E-2</v>
      </c>
      <c r="E223" s="359" cm="1">
        <f t="array" ref="E223">1000*SUM('DRE + DCF'!$L$36/M223,'DRE + DCF'!$N$36:$V$36/N223:V223,F223/V223)/Dashboard!$F$11</f>
        <v>507.12292408441976</v>
      </c>
      <c r="F223" s="359">
        <f t="shared" si="199"/>
        <v>55534445.812917039</v>
      </c>
      <c r="G223" s="359">
        <f>'DRE + DCF'!$W$31</f>
        <v>2791623.3540418856</v>
      </c>
      <c r="H223" s="359">
        <f>'DRE + DCF'!$W$32</f>
        <v>81081.931703745853</v>
      </c>
      <c r="I223" s="359">
        <f>-H223*('DRE + DCF'!$V$33+K223)/'DRE + DCF'!$V$33</f>
        <v>-90858.801614444121</v>
      </c>
      <c r="J223" s="359">
        <f>-'DRE + DCF'!$V$56*L223</f>
        <v>-1188924.4255577971</v>
      </c>
      <c r="K223" s="360">
        <f>(1+L223)/(1+Ke!$O$12)-1</f>
        <v>2.0000000000000018E-2</v>
      </c>
      <c r="L223" s="360">
        <f>'DRE + DCF'!$Y$31</f>
        <v>7.3550000000000004E-2</v>
      </c>
      <c r="M223" s="361">
        <f>(1+D223)^((5-Dashboard!$F$9)*3/12)</f>
        <v>1.0704723698922127</v>
      </c>
      <c r="N223" s="361">
        <f t="shared" ref="N223:V223" si="218">M223*(1+$D223)</f>
        <v>1.1722207686504682</v>
      </c>
      <c r="O223" s="361">
        <f t="shared" si="218"/>
        <v>1.2836403527106959</v>
      </c>
      <c r="P223" s="361">
        <f t="shared" si="218"/>
        <v>1.4056503682358481</v>
      </c>
      <c r="Q223" s="361">
        <f t="shared" si="218"/>
        <v>1.5392574357366662</v>
      </c>
      <c r="R223" s="361">
        <f t="shared" si="218"/>
        <v>1.6855638550034371</v>
      </c>
      <c r="S223" s="361">
        <f t="shared" si="218"/>
        <v>1.8457766994215146</v>
      </c>
      <c r="T223" s="361">
        <f t="shared" si="218"/>
        <v>2.0212177747015305</v>
      </c>
      <c r="U223" s="361">
        <f t="shared" si="218"/>
        <v>2.2133345241869122</v>
      </c>
      <c r="V223" s="362">
        <f t="shared" si="218"/>
        <v>2.4237119707108792</v>
      </c>
      <c r="X223" s="351"/>
    </row>
    <row r="224" spans="3:24" ht="24.75" customHeight="1" x14ac:dyDescent="0.3">
      <c r="C224" s="353">
        <f>ABS(E224-Dashboard!$F$14)</f>
        <v>408.24259022857916</v>
      </c>
      <c r="D224" s="350">
        <f t="shared" si="201"/>
        <v>9.5150000000000609E-2</v>
      </c>
      <c r="E224" s="359" cm="1">
        <f t="array" ref="E224">1000*SUM('DRE + DCF'!$L$36/M224,'DRE + DCF'!$N$36:$V$36/N224:V224,F224/V224)/Dashboard!$F$11</f>
        <v>505.23259022857917</v>
      </c>
      <c r="F224" s="359">
        <f t="shared" si="199"/>
        <v>55333759.822948955</v>
      </c>
      <c r="G224" s="359">
        <f>'DRE + DCF'!$W$31</f>
        <v>2791623.3540418856</v>
      </c>
      <c r="H224" s="359">
        <f>'DRE + DCF'!$W$32</f>
        <v>81081.931703745853</v>
      </c>
      <c r="I224" s="359">
        <f>-H224*('DRE + DCF'!$V$33+K224)/'DRE + DCF'!$V$33</f>
        <v>-90858.801614444121</v>
      </c>
      <c r="J224" s="359">
        <f>-'DRE + DCF'!$V$56*L224</f>
        <v>-1188924.4255577971</v>
      </c>
      <c r="K224" s="360">
        <f>(1+L224)/(1+Ke!$O$12)-1</f>
        <v>2.0000000000000018E-2</v>
      </c>
      <c r="L224" s="360">
        <f>'DRE + DCF'!$Y$31</f>
        <v>7.3550000000000004E-2</v>
      </c>
      <c r="M224" s="361">
        <f>(1+D224)^((5-Dashboard!$F$9)*3/12)</f>
        <v>1.0705456857328761</v>
      </c>
      <c r="N224" s="361">
        <f t="shared" ref="N224:V224" si="219">M224*(1+$D224)</f>
        <v>1.1724081077303599</v>
      </c>
      <c r="O224" s="361">
        <f t="shared" si="219"/>
        <v>1.2839627391809043</v>
      </c>
      <c r="P224" s="361">
        <f t="shared" si="219"/>
        <v>1.4061317938139679</v>
      </c>
      <c r="Q224" s="361">
        <f t="shared" si="219"/>
        <v>1.5399252339953677</v>
      </c>
      <c r="R224" s="361">
        <f t="shared" si="219"/>
        <v>1.6864491200100278</v>
      </c>
      <c r="S224" s="361">
        <f t="shared" si="219"/>
        <v>1.8469147537789827</v>
      </c>
      <c r="T224" s="361">
        <f t="shared" si="219"/>
        <v>2.0226486926010541</v>
      </c>
      <c r="U224" s="361">
        <f t="shared" si="219"/>
        <v>2.2151037157020452</v>
      </c>
      <c r="V224" s="362">
        <f t="shared" si="219"/>
        <v>2.425870834251096</v>
      </c>
      <c r="X224" s="351"/>
    </row>
    <row r="225" spans="3:24" ht="24.75" customHeight="1" x14ac:dyDescent="0.3">
      <c r="C225" s="353">
        <f>ABS(E225-Dashboard!$F$14)</f>
        <v>406.36799949005444</v>
      </c>
      <c r="D225" s="350">
        <f t="shared" si="201"/>
        <v>9.5250000000000612E-2</v>
      </c>
      <c r="E225" s="359" cm="1">
        <f t="array" ref="E225">1000*SUM('DRE + DCF'!$L$36/M225,'DRE + DCF'!$N$36:$V$36/N225:V225,F225/V225)/Dashboard!$F$11</f>
        <v>503.35799949005445</v>
      </c>
      <c r="F225" s="359">
        <f t="shared" si="199"/>
        <v>55134805.556516692</v>
      </c>
      <c r="G225" s="359">
        <f>'DRE + DCF'!$W$31</f>
        <v>2791623.3540418856</v>
      </c>
      <c r="H225" s="359">
        <f>'DRE + DCF'!$W$32</f>
        <v>81081.931703745853</v>
      </c>
      <c r="I225" s="359">
        <f>-H225*('DRE + DCF'!$V$33+K225)/'DRE + DCF'!$V$33</f>
        <v>-90858.801614444121</v>
      </c>
      <c r="J225" s="359">
        <f>-'DRE + DCF'!$V$56*L225</f>
        <v>-1188924.4255577971</v>
      </c>
      <c r="K225" s="360">
        <f>(1+L225)/(1+Ke!$O$12)-1</f>
        <v>2.0000000000000018E-2</v>
      </c>
      <c r="L225" s="360">
        <f>'DRE + DCF'!$Y$31</f>
        <v>7.3550000000000004E-2</v>
      </c>
      <c r="M225" s="361">
        <f>(1+D225)^((5-Dashboard!$F$9)*3/12)</f>
        <v>1.0706189998999101</v>
      </c>
      <c r="N225" s="361">
        <f t="shared" ref="N225:V225" si="220">M225*(1+$D225)</f>
        <v>1.1725954596403769</v>
      </c>
      <c r="O225" s="361">
        <f t="shared" si="220"/>
        <v>1.2842851771711234</v>
      </c>
      <c r="P225" s="361">
        <f t="shared" si="220"/>
        <v>1.4066133402966736</v>
      </c>
      <c r="Q225" s="361">
        <f t="shared" si="220"/>
        <v>1.5405932609599324</v>
      </c>
      <c r="R225" s="361">
        <f t="shared" si="220"/>
        <v>1.6873347690663667</v>
      </c>
      <c r="S225" s="361">
        <f t="shared" si="220"/>
        <v>1.8480534058199389</v>
      </c>
      <c r="T225" s="361">
        <f t="shared" si="220"/>
        <v>2.024080492724289</v>
      </c>
      <c r="U225" s="361">
        <f t="shared" si="220"/>
        <v>2.2168741596562787</v>
      </c>
      <c r="V225" s="362">
        <f t="shared" si="220"/>
        <v>2.4280314233635405</v>
      </c>
      <c r="X225" s="351"/>
    </row>
    <row r="226" spans="3:24" ht="24.75" customHeight="1" x14ac:dyDescent="0.3">
      <c r="C226" s="353">
        <f>ABS(E226-Dashboard!$F$14)</f>
        <v>404.50894140915341</v>
      </c>
      <c r="D226" s="350">
        <f t="shared" si="201"/>
        <v>9.5350000000000615E-2</v>
      </c>
      <c r="E226" s="359" cm="1">
        <f t="array" ref="E226">1000*SUM('DRE + DCF'!$L$36/M226,'DRE + DCF'!$N$36:$V$36/N226:V226,F226/V226)/Dashboard!$F$11</f>
        <v>501.49894140915342</v>
      </c>
      <c r="F226" s="359">
        <f t="shared" si="199"/>
        <v>54937559.551862963</v>
      </c>
      <c r="G226" s="359">
        <f>'DRE + DCF'!$W$31</f>
        <v>2791623.3540418856</v>
      </c>
      <c r="H226" s="359">
        <f>'DRE + DCF'!$W$32</f>
        <v>81081.931703745853</v>
      </c>
      <c r="I226" s="359">
        <f>-H226*('DRE + DCF'!$V$33+K226)/'DRE + DCF'!$V$33</f>
        <v>-90858.801614444121</v>
      </c>
      <c r="J226" s="359">
        <f>-'DRE + DCF'!$V$56*L226</f>
        <v>-1188924.4255577971</v>
      </c>
      <c r="K226" s="360">
        <f>(1+L226)/(1+Ke!$O$12)-1</f>
        <v>2.0000000000000018E-2</v>
      </c>
      <c r="L226" s="360">
        <f>'DRE + DCF'!$Y$31</f>
        <v>7.3550000000000004E-2</v>
      </c>
      <c r="M226" s="361">
        <f>(1+D226)^((5-Dashboard!$F$9)*3/12)</f>
        <v>1.0706923123935059</v>
      </c>
      <c r="N226" s="361">
        <f t="shared" ref="N226:V226" si="221">M226*(1+$D226)</f>
        <v>1.1727828243802274</v>
      </c>
      <c r="O226" s="361">
        <f t="shared" si="221"/>
        <v>1.2846076666848829</v>
      </c>
      <c r="P226" s="361">
        <f t="shared" si="221"/>
        <v>1.4070950077032873</v>
      </c>
      <c r="Q226" s="361">
        <f t="shared" si="221"/>
        <v>1.5412615166877968</v>
      </c>
      <c r="R226" s="361">
        <f t="shared" si="221"/>
        <v>1.6882208023039793</v>
      </c>
      <c r="S226" s="361">
        <f t="shared" si="221"/>
        <v>1.8491926558036649</v>
      </c>
      <c r="T226" s="361">
        <f t="shared" si="221"/>
        <v>2.0255131755345457</v>
      </c>
      <c r="U226" s="361">
        <f t="shared" si="221"/>
        <v>2.218645856821766</v>
      </c>
      <c r="V226" s="362">
        <f t="shared" si="221"/>
        <v>2.4301937392697228</v>
      </c>
      <c r="X226" s="351"/>
    </row>
    <row r="227" spans="3:24" ht="24.75" customHeight="1" x14ac:dyDescent="0.3">
      <c r="C227" s="353">
        <f>ABS(E227-Dashboard!$F$14)</f>
        <v>402.66520934314644</v>
      </c>
      <c r="D227" s="350">
        <f t="shared" si="201"/>
        <v>9.5450000000000618E-2</v>
      </c>
      <c r="E227" s="359" cm="1">
        <f t="array" ref="E227">1000*SUM('DRE + DCF'!$L$36/M227,'DRE + DCF'!$N$36:$V$36/N227:V227,F227/V227)/Dashboard!$F$11</f>
        <v>499.65520934314645</v>
      </c>
      <c r="F227" s="359">
        <f t="shared" si="199"/>
        <v>54741998.774215177</v>
      </c>
      <c r="G227" s="359">
        <f>'DRE + DCF'!$W$31</f>
        <v>2791623.3540418856</v>
      </c>
      <c r="H227" s="359">
        <f>'DRE + DCF'!$W$32</f>
        <v>81081.931703745853</v>
      </c>
      <c r="I227" s="359">
        <f>-H227*('DRE + DCF'!$V$33+K227)/'DRE + DCF'!$V$33</f>
        <v>-90858.801614444121</v>
      </c>
      <c r="J227" s="359">
        <f>-'DRE + DCF'!$V$56*L227</f>
        <v>-1188924.4255577971</v>
      </c>
      <c r="K227" s="360">
        <f>(1+L227)/(1+Ke!$O$12)-1</f>
        <v>2.0000000000000018E-2</v>
      </c>
      <c r="L227" s="360">
        <f>'DRE + DCF'!$Y$31</f>
        <v>7.3550000000000004E-2</v>
      </c>
      <c r="M227" s="361">
        <f>(1+D227)^((5-Dashboard!$F$9)*3/12)</f>
        <v>1.0707656232138545</v>
      </c>
      <c r="N227" s="361">
        <f t="shared" ref="N227:V227" si="222">M227*(1+$D227)</f>
        <v>1.1729702019496175</v>
      </c>
      <c r="O227" s="361">
        <f t="shared" si="222"/>
        <v>1.2849302077257094</v>
      </c>
      <c r="P227" s="361">
        <f t="shared" si="222"/>
        <v>1.4075767960531294</v>
      </c>
      <c r="Q227" s="361">
        <f t="shared" si="222"/>
        <v>1.5419300012364014</v>
      </c>
      <c r="R227" s="361">
        <f t="shared" si="222"/>
        <v>1.689107219854417</v>
      </c>
      <c r="S227" s="361">
        <f t="shared" si="222"/>
        <v>1.8503325039895224</v>
      </c>
      <c r="T227" s="361">
        <f t="shared" si="222"/>
        <v>2.0269467414953235</v>
      </c>
      <c r="U227" s="361">
        <f t="shared" si="222"/>
        <v>2.2204188079710536</v>
      </c>
      <c r="V227" s="362">
        <f t="shared" si="222"/>
        <v>2.4323577831918923</v>
      </c>
      <c r="X227" s="351"/>
    </row>
    <row r="228" spans="3:24" ht="24.75" customHeight="1" x14ac:dyDescent="0.3">
      <c r="C228" s="353">
        <f>ABS(E228-Dashboard!$F$14)</f>
        <v>400.83660037965507</v>
      </c>
      <c r="D228" s="350">
        <f t="shared" si="201"/>
        <v>9.5550000000000621E-2</v>
      </c>
      <c r="E228" s="359" cm="1">
        <f t="array" ref="E228">1000*SUM('DRE + DCF'!$L$36/M228,'DRE + DCF'!$N$36:$V$36/N228:V228,F228/V228)/Dashboard!$F$11</f>
        <v>497.82660037965508</v>
      </c>
      <c r="F228" s="359">
        <f t="shared" si="199"/>
        <v>54548100.606089257</v>
      </c>
      <c r="G228" s="359">
        <f>'DRE + DCF'!$W$31</f>
        <v>2791623.3540418856</v>
      </c>
      <c r="H228" s="359">
        <f>'DRE + DCF'!$W$32</f>
        <v>81081.931703745853</v>
      </c>
      <c r="I228" s="359">
        <f>-H228*('DRE + DCF'!$V$33+K228)/'DRE + DCF'!$V$33</f>
        <v>-90858.801614444121</v>
      </c>
      <c r="J228" s="359">
        <f>-'DRE + DCF'!$V$56*L228</f>
        <v>-1188924.4255577971</v>
      </c>
      <c r="K228" s="360">
        <f>(1+L228)/(1+Ke!$O$12)-1</f>
        <v>2.0000000000000018E-2</v>
      </c>
      <c r="L228" s="360">
        <f>'DRE + DCF'!$Y$31</f>
        <v>7.3550000000000004E-2</v>
      </c>
      <c r="M228" s="361">
        <f>(1+D228)^((5-Dashboard!$F$9)*3/12)</f>
        <v>1.0708389323611465</v>
      </c>
      <c r="N228" s="361">
        <f t="shared" ref="N228:V228" si="223">M228*(1+$D228)</f>
        <v>1.1731575923482547</v>
      </c>
      <c r="O228" s="361">
        <f t="shared" si="223"/>
        <v>1.2852528002971313</v>
      </c>
      <c r="P228" s="361">
        <f t="shared" si="223"/>
        <v>1.4080587053655231</v>
      </c>
      <c r="Q228" s="361">
        <f t="shared" si="223"/>
        <v>1.5425987146631999</v>
      </c>
      <c r="R228" s="361">
        <f t="shared" si="223"/>
        <v>1.6899940218492697</v>
      </c>
      <c r="S228" s="361">
        <f t="shared" si="223"/>
        <v>1.8514729506369687</v>
      </c>
      <c r="T228" s="361">
        <f t="shared" si="223"/>
        <v>2.0283811910703324</v>
      </c>
      <c r="U228" s="361">
        <f t="shared" si="223"/>
        <v>2.2221930138771042</v>
      </c>
      <c r="V228" s="362">
        <f t="shared" si="223"/>
        <v>2.4345235563530632</v>
      </c>
      <c r="X228" s="351"/>
    </row>
    <row r="229" spans="3:24" ht="24.75" customHeight="1" x14ac:dyDescent="0.3">
      <c r="C229" s="353">
        <f>ABS(E229-Dashboard!$F$14)</f>
        <v>399.0229152523994</v>
      </c>
      <c r="D229" s="350">
        <f t="shared" si="201"/>
        <v>9.5650000000000623E-2</v>
      </c>
      <c r="E229" s="359" cm="1">
        <f t="array" ref="E229">1000*SUM('DRE + DCF'!$L$36/M229,'DRE + DCF'!$N$36:$V$36/N229:V229,F229/V229)/Dashboard!$F$11</f>
        <v>496.01291525239941</v>
      </c>
      <c r="F229" s="359">
        <f t="shared" si="199"/>
        <v>54355842.837856665</v>
      </c>
      <c r="G229" s="359">
        <f>'DRE + DCF'!$W$31</f>
        <v>2791623.3540418856</v>
      </c>
      <c r="H229" s="359">
        <f>'DRE + DCF'!$W$32</f>
        <v>81081.931703745853</v>
      </c>
      <c r="I229" s="359">
        <f>-H229*('DRE + DCF'!$V$33+K229)/'DRE + DCF'!$V$33</f>
        <v>-90858.801614444121</v>
      </c>
      <c r="J229" s="359">
        <f>-'DRE + DCF'!$V$56*L229</f>
        <v>-1188924.4255577971</v>
      </c>
      <c r="K229" s="360">
        <f>(1+L229)/(1+Ke!$O$12)-1</f>
        <v>2.0000000000000018E-2</v>
      </c>
      <c r="L229" s="360">
        <f>'DRE + DCF'!$Y$31</f>
        <v>7.3550000000000004E-2</v>
      </c>
      <c r="M229" s="361">
        <f>(1+D229)^((5-Dashboard!$F$9)*3/12)</f>
        <v>1.070912239835573</v>
      </c>
      <c r="N229" s="361">
        <f t="shared" ref="N229:V229" si="224">M229*(1+$D229)</f>
        <v>1.1733449955758464</v>
      </c>
      <c r="O229" s="361">
        <f t="shared" si="224"/>
        <v>1.2855754444026768</v>
      </c>
      <c r="P229" s="361">
        <f t="shared" si="224"/>
        <v>1.4085407356597937</v>
      </c>
      <c r="Q229" s="361">
        <f t="shared" si="224"/>
        <v>1.5432676570256538</v>
      </c>
      <c r="R229" s="361">
        <f t="shared" si="224"/>
        <v>1.6908812084201588</v>
      </c>
      <c r="S229" s="361">
        <f t="shared" si="224"/>
        <v>1.8526139960055481</v>
      </c>
      <c r="T229" s="361">
        <f t="shared" si="224"/>
        <v>2.0298165247234801</v>
      </c>
      <c r="U229" s="361">
        <f t="shared" si="224"/>
        <v>2.2239684753132822</v>
      </c>
      <c r="V229" s="362">
        <f t="shared" si="224"/>
        <v>2.4366910599769991</v>
      </c>
      <c r="X229" s="351"/>
    </row>
    <row r="230" spans="3:24" ht="24.75" customHeight="1" x14ac:dyDescent="0.3">
      <c r="C230" s="353">
        <f>ABS(E230-Dashboard!$F$14)</f>
        <v>397.22395825921677</v>
      </c>
      <c r="D230" s="350">
        <f t="shared" si="201"/>
        <v>9.5750000000000626E-2</v>
      </c>
      <c r="E230" s="359" cm="1">
        <f t="array" ref="E230">1000*SUM('DRE + DCF'!$L$36/M230,'DRE + DCF'!$N$36:$V$36/N230:V230,F230/V230)/Dashboard!$F$11</f>
        <v>494.21395825921678</v>
      </c>
      <c r="F230" s="359">
        <f t="shared" si="199"/>
        <v>54165203.658566341</v>
      </c>
      <c r="G230" s="359">
        <f>'DRE + DCF'!$W$31</f>
        <v>2791623.3540418856</v>
      </c>
      <c r="H230" s="359">
        <f>'DRE + DCF'!$W$32</f>
        <v>81081.931703745853</v>
      </c>
      <c r="I230" s="359">
        <f>-H230*('DRE + DCF'!$V$33+K230)/'DRE + DCF'!$V$33</f>
        <v>-90858.801614444121</v>
      </c>
      <c r="J230" s="359">
        <f>-'DRE + DCF'!$V$56*L230</f>
        <v>-1188924.4255577971</v>
      </c>
      <c r="K230" s="360">
        <f>(1+L230)/(1+Ke!$O$12)-1</f>
        <v>2.0000000000000018E-2</v>
      </c>
      <c r="L230" s="360">
        <f>'DRE + DCF'!$Y$31</f>
        <v>7.3550000000000004E-2</v>
      </c>
      <c r="M230" s="361">
        <f>(1+D230)^((5-Dashboard!$F$9)*3/12)</f>
        <v>1.070985545637325</v>
      </c>
      <c r="N230" s="361">
        <f t="shared" ref="N230:V230" si="225">M230*(1+$D230)</f>
        <v>1.1735324116320995</v>
      </c>
      <c r="O230" s="361">
        <f t="shared" si="225"/>
        <v>1.2858981400458738</v>
      </c>
      <c r="P230" s="361">
        <f t="shared" si="225"/>
        <v>1.409022886955267</v>
      </c>
      <c r="Q230" s="361">
        <f t="shared" si="225"/>
        <v>1.5439368283812347</v>
      </c>
      <c r="R230" s="361">
        <f t="shared" si="225"/>
        <v>1.6917687796987388</v>
      </c>
      <c r="S230" s="361">
        <f t="shared" si="225"/>
        <v>1.8537556403548943</v>
      </c>
      <c r="T230" s="361">
        <f t="shared" si="225"/>
        <v>2.0312527429188765</v>
      </c>
      <c r="U230" s="361">
        <f t="shared" si="225"/>
        <v>2.2257451930533603</v>
      </c>
      <c r="V230" s="362">
        <f t="shared" si="225"/>
        <v>2.438860295288221</v>
      </c>
      <c r="X230" s="351"/>
    </row>
    <row r="231" spans="3:24" ht="24.75" customHeight="1" x14ac:dyDescent="0.3">
      <c r="C231" s="353">
        <f>ABS(E231-Dashboard!$F$14)</f>
        <v>395.43953718228755</v>
      </c>
      <c r="D231" s="350">
        <f t="shared" si="201"/>
        <v>9.5850000000000629E-2</v>
      </c>
      <c r="E231" s="359" cm="1">
        <f t="array" ref="E231">1000*SUM('DRE + DCF'!$L$36/M231,'DRE + DCF'!$N$36:$V$36/N231:V231,F231/V231)/Dashboard!$F$11</f>
        <v>492.42953718228756</v>
      </c>
      <c r="F231" s="359">
        <f t="shared" si="199"/>
        <v>53976161.647013471</v>
      </c>
      <c r="G231" s="359">
        <f>'DRE + DCF'!$W$31</f>
        <v>2791623.3540418856</v>
      </c>
      <c r="H231" s="359">
        <f>'DRE + DCF'!$W$32</f>
        <v>81081.931703745853</v>
      </c>
      <c r="I231" s="359">
        <f>-H231*('DRE + DCF'!$V$33+K231)/'DRE + DCF'!$V$33</f>
        <v>-90858.801614444121</v>
      </c>
      <c r="J231" s="359">
        <f>-'DRE + DCF'!$V$56*L231</f>
        <v>-1188924.4255577971</v>
      </c>
      <c r="K231" s="360">
        <f>(1+L231)/(1+Ke!$O$12)-1</f>
        <v>2.0000000000000018E-2</v>
      </c>
      <c r="L231" s="360">
        <f>'DRE + DCF'!$Y$31</f>
        <v>7.3550000000000004E-2</v>
      </c>
      <c r="M231" s="361">
        <f>(1+D231)^((5-Dashboard!$F$9)*3/12)</f>
        <v>1.0710588497665932</v>
      </c>
      <c r="N231" s="361">
        <f t="shared" ref="N231:V231" si="226">M231*(1+$D231)</f>
        <v>1.1737198405167217</v>
      </c>
      <c r="O231" s="361">
        <f t="shared" si="226"/>
        <v>1.2862208872302503</v>
      </c>
      <c r="P231" s="361">
        <f t="shared" si="226"/>
        <v>1.4095051592712706</v>
      </c>
      <c r="Q231" s="361">
        <f t="shared" si="226"/>
        <v>1.5446062287874229</v>
      </c>
      <c r="R231" s="361">
        <f t="shared" si="226"/>
        <v>1.6926567358166984</v>
      </c>
      <c r="S231" s="361">
        <f t="shared" si="226"/>
        <v>1.8548978839447301</v>
      </c>
      <c r="T231" s="361">
        <f t="shared" si="226"/>
        <v>2.0326898461208338</v>
      </c>
      <c r="U231" s="361">
        <f t="shared" si="226"/>
        <v>2.2275231678715173</v>
      </c>
      <c r="V231" s="362">
        <f t="shared" si="226"/>
        <v>2.4410312635120035</v>
      </c>
      <c r="X231" s="351"/>
    </row>
    <row r="232" spans="3:24" ht="24.75" customHeight="1" x14ac:dyDescent="0.3">
      <c r="C232" s="353">
        <f>ABS(E232-Dashboard!$F$14)</f>
        <v>393.66946321049682</v>
      </c>
      <c r="D232" s="350">
        <f t="shared" si="201"/>
        <v>9.5950000000000632E-2</v>
      </c>
      <c r="E232" s="359" cm="1">
        <f t="array" ref="E232">1000*SUM('DRE + DCF'!$L$36/M232,'DRE + DCF'!$N$36:$V$36/N232:V232,F232/V232)/Dashboard!$F$11</f>
        <v>490.65946321049682</v>
      </c>
      <c r="F232" s="359">
        <f t="shared" si="199"/>
        <v>53788695.763047546</v>
      </c>
      <c r="G232" s="359">
        <f>'DRE + DCF'!$W$31</f>
        <v>2791623.3540418856</v>
      </c>
      <c r="H232" s="359">
        <f>'DRE + DCF'!$W$32</f>
        <v>81081.931703745853</v>
      </c>
      <c r="I232" s="359">
        <f>-H232*('DRE + DCF'!$V$33+K232)/'DRE + DCF'!$V$33</f>
        <v>-90858.801614444121</v>
      </c>
      <c r="J232" s="359">
        <f>-'DRE + DCF'!$V$56*L232</f>
        <v>-1188924.4255577971</v>
      </c>
      <c r="K232" s="360">
        <f>(1+L232)/(1+Ke!$O$12)-1</f>
        <v>2.0000000000000018E-2</v>
      </c>
      <c r="L232" s="360">
        <f>'DRE + DCF'!$Y$31</f>
        <v>7.3550000000000004E-2</v>
      </c>
      <c r="M232" s="361">
        <f>(1+D232)^((5-Dashboard!$F$9)*3/12)</f>
        <v>1.0711321522235682</v>
      </c>
      <c r="N232" s="361">
        <f t="shared" ref="N232:V232" si="227">M232*(1+$D232)</f>
        <v>1.1739072822294203</v>
      </c>
      <c r="O232" s="361">
        <f t="shared" si="227"/>
        <v>1.286543685959334</v>
      </c>
      <c r="P232" s="361">
        <f t="shared" si="227"/>
        <v>1.4099875526271328</v>
      </c>
      <c r="Q232" s="361">
        <f t="shared" si="227"/>
        <v>1.5452758583017072</v>
      </c>
      <c r="R232" s="361">
        <f t="shared" si="227"/>
        <v>1.693545076905757</v>
      </c>
      <c r="S232" s="361">
        <f t="shared" si="227"/>
        <v>1.8560407270348653</v>
      </c>
      <c r="T232" s="361">
        <f t="shared" si="227"/>
        <v>2.0341278347938618</v>
      </c>
      <c r="U232" s="361">
        <f t="shared" si="227"/>
        <v>2.2293024005423341</v>
      </c>
      <c r="V232" s="362">
        <f t="shared" si="227"/>
        <v>2.4432039658743725</v>
      </c>
      <c r="X232" s="351"/>
    </row>
    <row r="233" spans="3:24" ht="24.75" customHeight="1" x14ac:dyDescent="0.3">
      <c r="C233" s="353">
        <f>ABS(E233-Dashboard!$F$14)</f>
        <v>391.91355086386346</v>
      </c>
      <c r="D233" s="350">
        <f t="shared" si="201"/>
        <v>9.6050000000000635E-2</v>
      </c>
      <c r="E233" s="359" cm="1">
        <f t="array" ref="E233">1000*SUM('DRE + DCF'!$L$36/M233,'DRE + DCF'!$N$36:$V$36/N233:V233,F233/V233)/Dashboard!$F$11</f>
        <v>488.90355086386347</v>
      </c>
      <c r="F233" s="359">
        <f t="shared" si="199"/>
        <v>53602785.339112028</v>
      </c>
      <c r="G233" s="359">
        <f>'DRE + DCF'!$W$31</f>
        <v>2791623.3540418856</v>
      </c>
      <c r="H233" s="359">
        <f>'DRE + DCF'!$W$32</f>
        <v>81081.931703745853</v>
      </c>
      <c r="I233" s="359">
        <f>-H233*('DRE + DCF'!$V$33+K233)/'DRE + DCF'!$V$33</f>
        <v>-90858.801614444121</v>
      </c>
      <c r="J233" s="359">
        <f>-'DRE + DCF'!$V$56*L233</f>
        <v>-1188924.4255577971</v>
      </c>
      <c r="K233" s="360">
        <f>(1+L233)/(1+Ke!$O$12)-1</f>
        <v>2.0000000000000018E-2</v>
      </c>
      <c r="L233" s="360">
        <f>'DRE + DCF'!$Y$31</f>
        <v>7.3550000000000004E-2</v>
      </c>
      <c r="M233" s="361">
        <f>(1+D233)^((5-Dashboard!$F$9)*3/12)</f>
        <v>1.0712054530084409</v>
      </c>
      <c r="N233" s="361">
        <f t="shared" ref="N233:V233" si="228">M233*(1+$D233)</f>
        <v>1.1740947367699024</v>
      </c>
      <c r="O233" s="361">
        <f t="shared" si="228"/>
        <v>1.2868665362366523</v>
      </c>
      <c r="P233" s="361">
        <f t="shared" si="228"/>
        <v>1.4104700670421835</v>
      </c>
      <c r="Q233" s="361">
        <f t="shared" si="228"/>
        <v>1.545945716981586</v>
      </c>
      <c r="R233" s="361">
        <f t="shared" si="228"/>
        <v>1.6944338030976682</v>
      </c>
      <c r="S233" s="361">
        <f t="shared" si="228"/>
        <v>1.8571841698852003</v>
      </c>
      <c r="T233" s="361">
        <f t="shared" si="228"/>
        <v>2.035566709402675</v>
      </c>
      <c r="U233" s="361">
        <f t="shared" si="228"/>
        <v>2.2310828918408032</v>
      </c>
      <c r="V233" s="362">
        <f t="shared" si="228"/>
        <v>2.4453784036021138</v>
      </c>
      <c r="X233" s="351"/>
    </row>
    <row r="234" spans="3:24" ht="24.75" customHeight="1" x14ac:dyDescent="0.3">
      <c r="C234" s="353">
        <f>ABS(E234-Dashboard!$F$14)</f>
        <v>390.17161791997734</v>
      </c>
      <c r="D234" s="350">
        <f t="shared" si="201"/>
        <v>9.6150000000000638E-2</v>
      </c>
      <c r="E234" s="359" cm="1">
        <f t="array" ref="E234">1000*SUM('DRE + DCF'!$L$36/M234,'DRE + DCF'!$N$36:$V$36/N234:V234,F234/V234)/Dashboard!$F$11</f>
        <v>487.16161791997735</v>
      </c>
      <c r="F234" s="359">
        <f t="shared" si="199"/>
        <v>53418410.072008669</v>
      </c>
      <c r="G234" s="359">
        <f>'DRE + DCF'!$W$31</f>
        <v>2791623.3540418856</v>
      </c>
      <c r="H234" s="359">
        <f>'DRE + DCF'!$W$32</f>
        <v>81081.931703745853</v>
      </c>
      <c r="I234" s="359">
        <f>-H234*('DRE + DCF'!$V$33+K234)/'DRE + DCF'!$V$33</f>
        <v>-90858.801614444121</v>
      </c>
      <c r="J234" s="359">
        <f>-'DRE + DCF'!$V$56*L234</f>
        <v>-1188924.4255577971</v>
      </c>
      <c r="K234" s="360">
        <f>(1+L234)/(1+Ke!$O$12)-1</f>
        <v>2.0000000000000018E-2</v>
      </c>
      <c r="L234" s="360">
        <f>'DRE + DCF'!$Y$31</f>
        <v>7.3550000000000004E-2</v>
      </c>
      <c r="M234" s="361">
        <f>(1+D234)^((5-Dashboard!$F$9)*3/12)</f>
        <v>1.0712787521214022</v>
      </c>
      <c r="N234" s="361">
        <f t="shared" ref="N234:V234" si="229">M234*(1+$D234)</f>
        <v>1.1742822041378758</v>
      </c>
      <c r="O234" s="361">
        <f t="shared" si="229"/>
        <v>1.2871894380657332</v>
      </c>
      <c r="P234" s="361">
        <f t="shared" si="229"/>
        <v>1.4109527025357542</v>
      </c>
      <c r="Q234" s="361">
        <f t="shared" si="229"/>
        <v>1.546615804884568</v>
      </c>
      <c r="R234" s="361">
        <f t="shared" si="229"/>
        <v>1.6953229145242201</v>
      </c>
      <c r="S234" s="361">
        <f t="shared" si="229"/>
        <v>1.858328212755725</v>
      </c>
      <c r="T234" s="361">
        <f t="shared" si="229"/>
        <v>2.0370064704121891</v>
      </c>
      <c r="U234" s="361">
        <f t="shared" si="229"/>
        <v>2.2328646425423222</v>
      </c>
      <c r="V234" s="362">
        <f t="shared" si="229"/>
        <v>2.4475545779227676</v>
      </c>
      <c r="X234" s="351"/>
    </row>
    <row r="235" spans="3:24" ht="24.75" customHeight="1" x14ac:dyDescent="0.3">
      <c r="C235" s="353">
        <f>ABS(E235-Dashboard!$F$14)</f>
        <v>388.44348534237906</v>
      </c>
      <c r="D235" s="350">
        <f t="shared" si="201"/>
        <v>9.6250000000000641E-2</v>
      </c>
      <c r="E235" s="359" cm="1">
        <f t="array" ref="E235">1000*SUM('DRE + DCF'!$L$36/M235,'DRE + DCF'!$N$36:$V$36/N235:V235,F235/V235)/Dashboard!$F$11</f>
        <v>485.43348534237907</v>
      </c>
      <c r="F235" s="359">
        <f t="shared" si="199"/>
        <v>53235550.014879465</v>
      </c>
      <c r="G235" s="359">
        <f>'DRE + DCF'!$W$31</f>
        <v>2791623.3540418856</v>
      </c>
      <c r="H235" s="359">
        <f>'DRE + DCF'!$W$32</f>
        <v>81081.931703745853</v>
      </c>
      <c r="I235" s="359">
        <f>-H235*('DRE + DCF'!$V$33+K235)/'DRE + DCF'!$V$33</f>
        <v>-90858.801614444121</v>
      </c>
      <c r="J235" s="359">
        <f>-'DRE + DCF'!$V$56*L235</f>
        <v>-1188924.4255577971</v>
      </c>
      <c r="K235" s="360">
        <f>(1+L235)/(1+Ke!$O$12)-1</f>
        <v>2.0000000000000018E-2</v>
      </c>
      <c r="L235" s="360">
        <f>'DRE + DCF'!$Y$31</f>
        <v>7.3550000000000004E-2</v>
      </c>
      <c r="M235" s="361">
        <f>(1+D235)^((5-Dashboard!$F$9)*3/12)</f>
        <v>1.0713520495626423</v>
      </c>
      <c r="N235" s="361">
        <f t="shared" ref="N235:V235" si="230">M235*(1+$D235)</f>
        <v>1.1744696843330473</v>
      </c>
      <c r="O235" s="361">
        <f t="shared" si="230"/>
        <v>1.2875123914501039</v>
      </c>
      <c r="P235" s="361">
        <f t="shared" si="230"/>
        <v>1.4114354591271772</v>
      </c>
      <c r="Q235" s="361">
        <f t="shared" si="230"/>
        <v>1.5472861220681688</v>
      </c>
      <c r="R235" s="361">
        <f t="shared" si="230"/>
        <v>1.696212411317231</v>
      </c>
      <c r="S235" s="361">
        <f t="shared" si="230"/>
        <v>1.8594728559065155</v>
      </c>
      <c r="T235" s="361">
        <f t="shared" si="230"/>
        <v>2.0384471182875186</v>
      </c>
      <c r="U235" s="361">
        <f t="shared" si="230"/>
        <v>2.2346476534226936</v>
      </c>
      <c r="V235" s="362">
        <f t="shared" si="230"/>
        <v>2.4497324900646293</v>
      </c>
      <c r="X235" s="351"/>
    </row>
    <row r="236" spans="3:24" ht="24.75" customHeight="1" x14ac:dyDescent="0.3">
      <c r="C236" s="353">
        <f>ABS(E236-Dashboard!$F$14)</f>
        <v>386.72897721082228</v>
      </c>
      <c r="D236" s="350">
        <f t="shared" si="201"/>
        <v>9.6350000000000643E-2</v>
      </c>
      <c r="E236" s="359" cm="1">
        <f t="array" ref="E236">1000*SUM('DRE + DCF'!$L$36/M236,'DRE + DCF'!$N$36:$V$36/N236:V236,F236/V236)/Dashboard!$F$11</f>
        <v>483.71897721082229</v>
      </c>
      <c r="F236" s="359">
        <f t="shared" si="199"/>
        <v>53054185.569399506</v>
      </c>
      <c r="G236" s="359">
        <f>'DRE + DCF'!$W$31</f>
        <v>2791623.3540418856</v>
      </c>
      <c r="H236" s="359">
        <f>'DRE + DCF'!$W$32</f>
        <v>81081.931703745853</v>
      </c>
      <c r="I236" s="359">
        <f>-H236*('DRE + DCF'!$V$33+K236)/'DRE + DCF'!$V$33</f>
        <v>-90858.801614444121</v>
      </c>
      <c r="J236" s="359">
        <f>-'DRE + DCF'!$V$56*L236</f>
        <v>-1188924.4255577971</v>
      </c>
      <c r="K236" s="360">
        <f>(1+L236)/(1+Ke!$O$12)-1</f>
        <v>2.0000000000000018E-2</v>
      </c>
      <c r="L236" s="360">
        <f>'DRE + DCF'!$Y$31</f>
        <v>7.3550000000000004E-2</v>
      </c>
      <c r="M236" s="361">
        <f>(1+D236)^((5-Dashboard!$F$9)*3/12)</f>
        <v>1.0714253453323523</v>
      </c>
      <c r="N236" s="361">
        <f t="shared" ref="N236:V236" si="231">M236*(1+$D236)</f>
        <v>1.1746571773551251</v>
      </c>
      <c r="O236" s="361">
        <f t="shared" si="231"/>
        <v>1.287835396393292</v>
      </c>
      <c r="P236" s="361">
        <f t="shared" si="231"/>
        <v>1.4119183368357866</v>
      </c>
      <c r="Q236" s="361">
        <f t="shared" si="231"/>
        <v>1.5479566685899155</v>
      </c>
      <c r="R236" s="361">
        <f t="shared" si="231"/>
        <v>1.6971022936085549</v>
      </c>
      <c r="S236" s="361">
        <f t="shared" si="231"/>
        <v>1.8606180995977402</v>
      </c>
      <c r="T236" s="361">
        <f t="shared" si="231"/>
        <v>2.0398886534939837</v>
      </c>
      <c r="U236" s="361">
        <f t="shared" si="231"/>
        <v>2.2364319252581302</v>
      </c>
      <c r="V236" s="362">
        <f t="shared" si="231"/>
        <v>2.4519121412567522</v>
      </c>
      <c r="X236" s="351"/>
    </row>
    <row r="237" spans="3:24" ht="24.75" customHeight="1" x14ac:dyDescent="0.3">
      <c r="C237" s="353">
        <f>ABS(E237-Dashboard!$F$14)</f>
        <v>385.02792065336496</v>
      </c>
      <c r="D237" s="350">
        <f t="shared" si="201"/>
        <v>9.6450000000000646E-2</v>
      </c>
      <c r="E237" s="359" cm="1">
        <f t="array" ref="E237">1000*SUM('DRE + DCF'!$L$36/M237,'DRE + DCF'!$N$36:$V$36/N237:V237,F237/V237)/Dashboard!$F$11</f>
        <v>482.01792065336497</v>
      </c>
      <c r="F237" s="359">
        <f t="shared" si="199"/>
        <v>52874297.478174359</v>
      </c>
      <c r="G237" s="359">
        <f>'DRE + DCF'!$W$31</f>
        <v>2791623.3540418856</v>
      </c>
      <c r="H237" s="359">
        <f>'DRE + DCF'!$W$32</f>
        <v>81081.931703745853</v>
      </c>
      <c r="I237" s="359">
        <f>-H237*('DRE + DCF'!$V$33+K237)/'DRE + DCF'!$V$33</f>
        <v>-90858.801614444121</v>
      </c>
      <c r="J237" s="359">
        <f>-'DRE + DCF'!$V$56*L237</f>
        <v>-1188924.4255577971</v>
      </c>
      <c r="K237" s="360">
        <f>(1+L237)/(1+Ke!$O$12)-1</f>
        <v>2.0000000000000018E-2</v>
      </c>
      <c r="L237" s="360">
        <f>'DRE + DCF'!$Y$31</f>
        <v>7.3550000000000004E-2</v>
      </c>
      <c r="M237" s="361">
        <f>(1+D237)^((5-Dashboard!$F$9)*3/12)</f>
        <v>1.0714986394307224</v>
      </c>
      <c r="N237" s="361">
        <f t="shared" ref="N237:V237" si="232">M237*(1+$D237)</f>
        <v>1.1748446832038162</v>
      </c>
      <c r="O237" s="361">
        <f t="shared" si="232"/>
        <v>1.288158452898825</v>
      </c>
      <c r="P237" s="361">
        <f t="shared" si="232"/>
        <v>1.4124013356809175</v>
      </c>
      <c r="Q237" s="361">
        <f t="shared" si="232"/>
        <v>1.5486274445073429</v>
      </c>
      <c r="R237" s="361">
        <f t="shared" si="232"/>
        <v>1.697992561530077</v>
      </c>
      <c r="S237" s="361">
        <f t="shared" si="232"/>
        <v>1.8617639440896541</v>
      </c>
      <c r="T237" s="361">
        <f t="shared" si="232"/>
        <v>2.0413310764971024</v>
      </c>
      <c r="U237" s="361">
        <f t="shared" si="232"/>
        <v>2.238217458825249</v>
      </c>
      <c r="V237" s="362">
        <f t="shared" si="232"/>
        <v>2.4540935327289457</v>
      </c>
      <c r="X237" s="351"/>
    </row>
    <row r="238" spans="3:24" ht="24.75" customHeight="1" x14ac:dyDescent="0.3">
      <c r="C238" s="353">
        <f>ABS(E238-Dashboard!$F$14)</f>
        <v>383.34014578022959</v>
      </c>
      <c r="D238" s="350">
        <f t="shared" si="201"/>
        <v>9.6550000000000649E-2</v>
      </c>
      <c r="E238" s="359" cm="1">
        <f t="array" ref="E238">1000*SUM('DRE + DCF'!$L$36/M238,'DRE + DCF'!$N$36:$V$36/N238:V238,F238/V238)/Dashboard!$F$11</f>
        <v>480.3301457802296</v>
      </c>
      <c r="F238" s="359">
        <f t="shared" si="199"/>
        <v>52695866.817335799</v>
      </c>
      <c r="G238" s="359">
        <f>'DRE + DCF'!$W$31</f>
        <v>2791623.3540418856</v>
      </c>
      <c r="H238" s="359">
        <f>'DRE + DCF'!$W$32</f>
        <v>81081.931703745853</v>
      </c>
      <c r="I238" s="359">
        <f>-H238*('DRE + DCF'!$V$33+K238)/'DRE + DCF'!$V$33</f>
        <v>-90858.801614444121</v>
      </c>
      <c r="J238" s="359">
        <f>-'DRE + DCF'!$V$56*L238</f>
        <v>-1188924.4255577971</v>
      </c>
      <c r="K238" s="360">
        <f>(1+L238)/(1+Ke!$O$12)-1</f>
        <v>2.0000000000000018E-2</v>
      </c>
      <c r="L238" s="360">
        <f>'DRE + DCF'!$Y$31</f>
        <v>7.3550000000000004E-2</v>
      </c>
      <c r="M238" s="361">
        <f>(1+D238)^((5-Dashboard!$F$9)*3/12)</f>
        <v>1.0715719318579433</v>
      </c>
      <c r="N238" s="361">
        <f t="shared" ref="N238:V238" si="233">M238*(1+$D238)</f>
        <v>1.1750322018788284</v>
      </c>
      <c r="O238" s="361">
        <f t="shared" si="233"/>
        <v>1.28848156097023</v>
      </c>
      <c r="P238" s="361">
        <f t="shared" si="233"/>
        <v>1.4128844556819065</v>
      </c>
      <c r="Q238" s="361">
        <f t="shared" si="233"/>
        <v>1.5492984498779954</v>
      </c>
      <c r="R238" s="361">
        <f t="shared" si="233"/>
        <v>1.6988832152137168</v>
      </c>
      <c r="S238" s="361">
        <f t="shared" si="233"/>
        <v>1.862910389642602</v>
      </c>
      <c r="T238" s="361">
        <f t="shared" si="233"/>
        <v>2.0427743877625963</v>
      </c>
      <c r="U238" s="361">
        <f t="shared" si="233"/>
        <v>2.2400042549010761</v>
      </c>
      <c r="V238" s="362">
        <f t="shared" si="233"/>
        <v>2.4562766657117763</v>
      </c>
      <c r="X238" s="351"/>
    </row>
    <row r="239" spans="3:24" ht="24.75" customHeight="1" x14ac:dyDescent="0.3">
      <c r="C239" s="353">
        <f>ABS(E239-Dashboard!$F$14)</f>
        <v>381.66548561938038</v>
      </c>
      <c r="D239" s="350">
        <f t="shared" si="201"/>
        <v>9.6650000000000652E-2</v>
      </c>
      <c r="E239" s="359" cm="1">
        <f t="array" ref="E239">1000*SUM('DRE + DCF'!$L$36/M239,'DRE + DCF'!$N$36:$V$36/N239:V239,F239/V239)/Dashboard!$F$11</f>
        <v>478.65548561938039</v>
      </c>
      <c r="F239" s="359">
        <f t="shared" si="199"/>
        <v>52518874.989329726</v>
      </c>
      <c r="G239" s="359">
        <f>'DRE + DCF'!$W$31</f>
        <v>2791623.3540418856</v>
      </c>
      <c r="H239" s="359">
        <f>'DRE + DCF'!$W$32</f>
        <v>81081.931703745853</v>
      </c>
      <c r="I239" s="359">
        <f>-H239*('DRE + DCF'!$V$33+K239)/'DRE + DCF'!$V$33</f>
        <v>-90858.801614444121</v>
      </c>
      <c r="J239" s="359">
        <f>-'DRE + DCF'!$V$56*L239</f>
        <v>-1188924.4255577971</v>
      </c>
      <c r="K239" s="360">
        <f>(1+L239)/(1+Ke!$O$12)-1</f>
        <v>2.0000000000000018E-2</v>
      </c>
      <c r="L239" s="360">
        <f>'DRE + DCF'!$Y$31</f>
        <v>7.3550000000000004E-2</v>
      </c>
      <c r="M239" s="361">
        <f>(1+D239)^((5-Dashboard!$F$9)*3/12)</f>
        <v>1.0716452226142055</v>
      </c>
      <c r="N239" s="361">
        <f t="shared" ref="N239:V239" si="234">M239*(1+$D239)</f>
        <v>1.1752197333798691</v>
      </c>
      <c r="O239" s="361">
        <f t="shared" si="234"/>
        <v>1.288804720611034</v>
      </c>
      <c r="P239" s="361">
        <f t="shared" si="234"/>
        <v>1.4133676968580913</v>
      </c>
      <c r="Q239" s="361">
        <f t="shared" si="234"/>
        <v>1.5499696847594266</v>
      </c>
      <c r="R239" s="361">
        <f t="shared" si="234"/>
        <v>1.6997742547914261</v>
      </c>
      <c r="S239" s="361">
        <f t="shared" si="234"/>
        <v>1.8640574365170184</v>
      </c>
      <c r="T239" s="361">
        <f t="shared" si="234"/>
        <v>2.0442185877563892</v>
      </c>
      <c r="U239" s="361">
        <f t="shared" si="234"/>
        <v>2.2417923142630456</v>
      </c>
      <c r="V239" s="362">
        <f t="shared" si="234"/>
        <v>2.45846154143657</v>
      </c>
      <c r="X239" s="351"/>
    </row>
    <row r="240" spans="3:24" ht="24.75" customHeight="1" x14ac:dyDescent="0.3">
      <c r="C240" s="353">
        <f>ABS(E240-Dashboard!$F$14)</f>
        <v>380.00377605376718</v>
      </c>
      <c r="D240" s="350">
        <f t="shared" si="201"/>
        <v>9.6750000000000655E-2</v>
      </c>
      <c r="E240" s="359" cm="1">
        <f t="array" ref="E240">1000*SUM('DRE + DCF'!$L$36/M240,'DRE + DCF'!$N$36:$V$36/N240:V240,F240/V240)/Dashboard!$F$11</f>
        <v>476.99377605376719</v>
      </c>
      <c r="F240" s="359">
        <f t="shared" si="199"/>
        <v>52343303.715890609</v>
      </c>
      <c r="G240" s="359">
        <f>'DRE + DCF'!$W$31</f>
        <v>2791623.3540418856</v>
      </c>
      <c r="H240" s="359">
        <f>'DRE + DCF'!$W$32</f>
        <v>81081.931703745853</v>
      </c>
      <c r="I240" s="359">
        <f>-H240*('DRE + DCF'!$V$33+K240)/'DRE + DCF'!$V$33</f>
        <v>-90858.801614444121</v>
      </c>
      <c r="J240" s="359">
        <f>-'DRE + DCF'!$V$56*L240</f>
        <v>-1188924.4255577971</v>
      </c>
      <c r="K240" s="360">
        <f>(1+L240)/(1+Ke!$O$12)-1</f>
        <v>2.0000000000000018E-2</v>
      </c>
      <c r="L240" s="360">
        <f>'DRE + DCF'!$Y$31</f>
        <v>7.3550000000000004E-2</v>
      </c>
      <c r="M240" s="361">
        <f>(1+D240)^((5-Dashboard!$F$9)*3/12)</f>
        <v>1.0717185116996992</v>
      </c>
      <c r="N240" s="361">
        <f t="shared" ref="N240:V240" si="235">M240*(1+$D240)</f>
        <v>1.1754072777066458</v>
      </c>
      <c r="O240" s="361">
        <f t="shared" si="235"/>
        <v>1.2891279318247644</v>
      </c>
      <c r="P240" s="361">
        <f t="shared" si="235"/>
        <v>1.4138510592288109</v>
      </c>
      <c r="Q240" s="361">
        <f t="shared" si="235"/>
        <v>1.5506411492091992</v>
      </c>
      <c r="R240" s="361">
        <f t="shared" si="235"/>
        <v>1.7006656803951901</v>
      </c>
      <c r="S240" s="361">
        <f t="shared" si="235"/>
        <v>1.8652050849734256</v>
      </c>
      <c r="T240" s="361">
        <f t="shared" si="235"/>
        <v>2.0456636769446055</v>
      </c>
      <c r="U240" s="361">
        <f t="shared" si="235"/>
        <v>2.2435816376889974</v>
      </c>
      <c r="V240" s="362">
        <f t="shared" si="235"/>
        <v>2.4606481611354094</v>
      </c>
      <c r="X240" s="351"/>
    </row>
    <row r="241" spans="3:24" ht="24.75" customHeight="1" x14ac:dyDescent="0.3">
      <c r="C241" s="353">
        <f>ABS(E241-Dashboard!$F$14)</f>
        <v>378.35485576018232</v>
      </c>
      <c r="D241" s="350">
        <f t="shared" si="201"/>
        <v>9.6850000000000658E-2</v>
      </c>
      <c r="E241" s="359" cm="1">
        <f t="array" ref="E241">1000*SUM('DRE + DCF'!$L$36/M241,'DRE + DCF'!$N$36:$V$36/N241:V241,F241/V241)/Dashboard!$F$11</f>
        <v>475.34485576018233</v>
      </c>
      <c r="F241" s="359">
        <f t="shared" si="199"/>
        <v>52169135.031196728</v>
      </c>
      <c r="G241" s="359">
        <f>'DRE + DCF'!$W$31</f>
        <v>2791623.3540418856</v>
      </c>
      <c r="H241" s="359">
        <f>'DRE + DCF'!$W$32</f>
        <v>81081.931703745853</v>
      </c>
      <c r="I241" s="359">
        <f>-H241*('DRE + DCF'!$V$33+K241)/'DRE + DCF'!$V$33</f>
        <v>-90858.801614444121</v>
      </c>
      <c r="J241" s="359">
        <f>-'DRE + DCF'!$V$56*L241</f>
        <v>-1188924.4255577971</v>
      </c>
      <c r="K241" s="360">
        <f>(1+L241)/(1+Ke!$O$12)-1</f>
        <v>2.0000000000000018E-2</v>
      </c>
      <c r="L241" s="360">
        <f>'DRE + DCF'!$Y$31</f>
        <v>7.3550000000000004E-2</v>
      </c>
      <c r="M241" s="361">
        <f>(1+D241)^((5-Dashboard!$F$9)*3/12)</f>
        <v>1.0717917991146155</v>
      </c>
      <c r="N241" s="361">
        <f t="shared" ref="N241:V241" si="236">M241*(1+$D241)</f>
        <v>1.175594834858867</v>
      </c>
      <c r="O241" s="361">
        <f t="shared" si="236"/>
        <v>1.2894511946149492</v>
      </c>
      <c r="P241" s="361">
        <f t="shared" si="236"/>
        <v>1.414334542813408</v>
      </c>
      <c r="Q241" s="361">
        <f t="shared" si="236"/>
        <v>1.5513128432848877</v>
      </c>
      <c r="R241" s="361">
        <f t="shared" si="236"/>
        <v>1.7015574921570302</v>
      </c>
      <c r="S241" s="361">
        <f t="shared" si="236"/>
        <v>1.86635333527244</v>
      </c>
      <c r="T241" s="361">
        <f t="shared" si="236"/>
        <v>2.0471096557935771</v>
      </c>
      <c r="U241" s="361">
        <f t="shared" si="236"/>
        <v>2.2453722259571864</v>
      </c>
      <c r="V241" s="362">
        <f t="shared" si="236"/>
        <v>2.4628365260411416</v>
      </c>
      <c r="X241" s="351"/>
    </row>
    <row r="242" spans="3:24" ht="24.75" customHeight="1" x14ac:dyDescent="0.3">
      <c r="C242" s="353">
        <f>ABS(E242-Dashboard!$F$14)</f>
        <v>376.71856614968999</v>
      </c>
      <c r="D242" s="350">
        <f t="shared" si="201"/>
        <v>9.6950000000000661E-2</v>
      </c>
      <c r="E242" s="359" cm="1">
        <f t="array" ref="E242">1000*SUM('DRE + DCF'!$L$36/M242,'DRE + DCF'!$N$36:$V$36/N242:V242,F242/V242)/Dashboard!$F$11</f>
        <v>473.70856614969</v>
      </c>
      <c r="F242" s="359">
        <f t="shared" si="199"/>
        <v>51996351.275201052</v>
      </c>
      <c r="G242" s="359">
        <f>'DRE + DCF'!$W$31</f>
        <v>2791623.3540418856</v>
      </c>
      <c r="H242" s="359">
        <f>'DRE + DCF'!$W$32</f>
        <v>81081.931703745853</v>
      </c>
      <c r="I242" s="359">
        <f>-H242*('DRE + DCF'!$V$33+K242)/'DRE + DCF'!$V$33</f>
        <v>-90858.801614444121</v>
      </c>
      <c r="J242" s="359">
        <f>-'DRE + DCF'!$V$56*L242</f>
        <v>-1188924.4255577971</v>
      </c>
      <c r="K242" s="360">
        <f>(1+L242)/(1+Ke!$O$12)-1</f>
        <v>2.0000000000000018E-2</v>
      </c>
      <c r="L242" s="360">
        <f>'DRE + DCF'!$Y$31</f>
        <v>7.3550000000000004E-2</v>
      </c>
      <c r="M242" s="361">
        <f>(1+D242)^((5-Dashboard!$F$9)*3/12)</f>
        <v>1.071865084859144</v>
      </c>
      <c r="N242" s="361">
        <f t="shared" ref="N242:V242" si="237">M242*(1+$D242)</f>
        <v>1.1757824048362389</v>
      </c>
      <c r="O242" s="361">
        <f t="shared" si="237"/>
        <v>1.2897745089851131</v>
      </c>
      <c r="P242" s="361">
        <f t="shared" si="237"/>
        <v>1.4148181476312209</v>
      </c>
      <c r="Q242" s="361">
        <f t="shared" si="237"/>
        <v>1.551984767044069</v>
      </c>
      <c r="R242" s="361">
        <f t="shared" si="237"/>
        <v>1.7024496902089927</v>
      </c>
      <c r="S242" s="361">
        <f t="shared" si="237"/>
        <v>1.867502187674756</v>
      </c>
      <c r="T242" s="361">
        <f t="shared" si="237"/>
        <v>2.048556524769825</v>
      </c>
      <c r="U242" s="361">
        <f t="shared" si="237"/>
        <v>2.2471640798462609</v>
      </c>
      <c r="V242" s="362">
        <f t="shared" si="237"/>
        <v>2.4650266373873575</v>
      </c>
      <c r="X242" s="351"/>
    </row>
    <row r="243" spans="3:24" ht="24.75" customHeight="1" x14ac:dyDescent="0.3">
      <c r="C243" s="353">
        <f>ABS(E243-Dashboard!$F$14)</f>
        <v>375.09475130956628</v>
      </c>
      <c r="D243" s="350">
        <f t="shared" si="201"/>
        <v>9.7050000000000664E-2</v>
      </c>
      <c r="E243" s="359" cm="1">
        <f t="array" ref="E243">1000*SUM('DRE + DCF'!$L$36/M243,'DRE + DCF'!$N$36:$V$36/N243:V243,F243/V243)/Dashboard!$F$11</f>
        <v>472.08475130956629</v>
      </c>
      <c r="F243" s="359">
        <f t="shared" si="199"/>
        <v>51824935.087132104</v>
      </c>
      <c r="G243" s="359">
        <f>'DRE + DCF'!$W$31</f>
        <v>2791623.3540418856</v>
      </c>
      <c r="H243" s="359">
        <f>'DRE + DCF'!$W$32</f>
        <v>81081.931703745853</v>
      </c>
      <c r="I243" s="359">
        <f>-H243*('DRE + DCF'!$V$33+K243)/'DRE + DCF'!$V$33</f>
        <v>-90858.801614444121</v>
      </c>
      <c r="J243" s="359">
        <f>-'DRE + DCF'!$V$56*L243</f>
        <v>-1188924.4255577971</v>
      </c>
      <c r="K243" s="360">
        <f>(1+L243)/(1+Ke!$O$12)-1</f>
        <v>2.0000000000000018E-2</v>
      </c>
      <c r="L243" s="360">
        <f>'DRE + DCF'!$Y$31</f>
        <v>7.3550000000000004E-2</v>
      </c>
      <c r="M243" s="361">
        <f>(1+D243)^((5-Dashboard!$F$9)*3/12)</f>
        <v>1.0719383689334754</v>
      </c>
      <c r="N243" s="361">
        <f t="shared" ref="N243:V243" si="238">M243*(1+$D243)</f>
        <v>1.1759699876384699</v>
      </c>
      <c r="O243" s="361">
        <f t="shared" si="238"/>
        <v>1.2900978749387844</v>
      </c>
      <c r="P243" s="361">
        <f t="shared" si="238"/>
        <v>1.4153018737015943</v>
      </c>
      <c r="Q243" s="361">
        <f t="shared" si="238"/>
        <v>1.552656920544335</v>
      </c>
      <c r="R243" s="361">
        <f t="shared" si="238"/>
        <v>1.7033422746831639</v>
      </c>
      <c r="S243" s="361">
        <f t="shared" si="238"/>
        <v>1.8686516424411663</v>
      </c>
      <c r="T243" s="361">
        <f t="shared" si="238"/>
        <v>2.050004284340083</v>
      </c>
      <c r="U243" s="361">
        <f t="shared" si="238"/>
        <v>2.2489572001352895</v>
      </c>
      <c r="V243" s="362">
        <f t="shared" si="238"/>
        <v>2.4672184964084209</v>
      </c>
      <c r="X243" s="351"/>
    </row>
    <row r="244" spans="3:24" ht="24.75" customHeight="1" x14ac:dyDescent="0.3">
      <c r="C244" s="353">
        <f>ABS(E244-Dashboard!$F$14)</f>
        <v>373.48325794672343</v>
      </c>
      <c r="D244" s="350">
        <f t="shared" si="201"/>
        <v>9.7150000000000666E-2</v>
      </c>
      <c r="E244" s="359" cm="1">
        <f t="array" ref="E244">1000*SUM('DRE + DCF'!$L$36/M244,'DRE + DCF'!$N$36:$V$36/N244:V244,F244/V244)/Dashboard!$F$11</f>
        <v>470.47325794672344</v>
      </c>
      <c r="F244" s="359">
        <f t="shared" si="199"/>
        <v>51654869.399160251</v>
      </c>
      <c r="G244" s="359">
        <f>'DRE + DCF'!$W$31</f>
        <v>2791623.3540418856</v>
      </c>
      <c r="H244" s="359">
        <f>'DRE + DCF'!$W$32</f>
        <v>81081.931703745853</v>
      </c>
      <c r="I244" s="359">
        <f>-H244*('DRE + DCF'!$V$33+K244)/'DRE + DCF'!$V$33</f>
        <v>-90858.801614444121</v>
      </c>
      <c r="J244" s="359">
        <f>-'DRE + DCF'!$V$56*L244</f>
        <v>-1188924.4255577971</v>
      </c>
      <c r="K244" s="360">
        <f>(1+L244)/(1+Ke!$O$12)-1</f>
        <v>2.0000000000000018E-2</v>
      </c>
      <c r="L244" s="360">
        <f>'DRE + DCF'!$Y$31</f>
        <v>7.3550000000000004E-2</v>
      </c>
      <c r="M244" s="361">
        <f>(1+D244)^((5-Dashboard!$F$9)*3/12)</f>
        <v>1.0720116513378</v>
      </c>
      <c r="N244" s="361">
        <f t="shared" ref="N244:V244" si="239">M244*(1+$D244)</f>
        <v>1.176157583265268</v>
      </c>
      <c r="O244" s="361">
        <f t="shared" si="239"/>
        <v>1.2904212924794896</v>
      </c>
      <c r="P244" s="361">
        <f t="shared" si="239"/>
        <v>1.4157857210438729</v>
      </c>
      <c r="Q244" s="361">
        <f t="shared" si="239"/>
        <v>1.5533293038432863</v>
      </c>
      <c r="R244" s="361">
        <f t="shared" si="239"/>
        <v>1.7042352457116627</v>
      </c>
      <c r="S244" s="361">
        <f t="shared" si="239"/>
        <v>1.869801699832552</v>
      </c>
      <c r="T244" s="361">
        <f t="shared" si="239"/>
        <v>2.0514529349712856</v>
      </c>
      <c r="U244" s="361">
        <f t="shared" si="239"/>
        <v>2.2507515876037476</v>
      </c>
      <c r="V244" s="362">
        <f t="shared" si="239"/>
        <v>2.4694121043394532</v>
      </c>
      <c r="X244" s="351"/>
    </row>
    <row r="245" spans="3:24" ht="24.75" customHeight="1" x14ac:dyDescent="0.3">
      <c r="C245" s="353">
        <f>ABS(E245-Dashboard!$F$14)</f>
        <v>371.88393533256141</v>
      </c>
      <c r="D245" s="350">
        <f t="shared" si="201"/>
        <v>9.7250000000000669E-2</v>
      </c>
      <c r="E245" s="359" cm="1">
        <f t="array" ref="E245">1000*SUM('DRE + DCF'!$L$36/M245,'DRE + DCF'!$N$36:$V$36/N245:V245,F245/V245)/Dashboard!$F$11</f>
        <v>468.87393533256142</v>
      </c>
      <c r="F245" s="359">
        <f t="shared" si="199"/>
        <v>51486137.430224121</v>
      </c>
      <c r="G245" s="359">
        <f>'DRE + DCF'!$W$31</f>
        <v>2791623.3540418856</v>
      </c>
      <c r="H245" s="359">
        <f>'DRE + DCF'!$W$32</f>
        <v>81081.931703745853</v>
      </c>
      <c r="I245" s="359">
        <f>-H245*('DRE + DCF'!$V$33+K245)/'DRE + DCF'!$V$33</f>
        <v>-90858.801614444121</v>
      </c>
      <c r="J245" s="359">
        <f>-'DRE + DCF'!$V$56*L245</f>
        <v>-1188924.4255577971</v>
      </c>
      <c r="K245" s="360">
        <f>(1+L245)/(1+Ke!$O$12)-1</f>
        <v>2.0000000000000018E-2</v>
      </c>
      <c r="L245" s="360">
        <f>'DRE + DCF'!$Y$31</f>
        <v>7.3550000000000004E-2</v>
      </c>
      <c r="M245" s="361">
        <f>(1+D245)^((5-Dashboard!$F$9)*3/12)</f>
        <v>1.072084932072308</v>
      </c>
      <c r="N245" s="361">
        <f t="shared" ref="N245:V245" si="240">M245*(1+$D245)</f>
        <v>1.1763451917163408</v>
      </c>
      <c r="O245" s="361">
        <f t="shared" si="240"/>
        <v>1.2907447616107557</v>
      </c>
      <c r="P245" s="361">
        <f t="shared" si="240"/>
        <v>1.4162696896774025</v>
      </c>
      <c r="Q245" s="361">
        <f t="shared" si="240"/>
        <v>1.5540019169985309</v>
      </c>
      <c r="R245" s="361">
        <f t="shared" si="240"/>
        <v>1.7051286034266391</v>
      </c>
      <c r="S245" s="361">
        <f t="shared" si="240"/>
        <v>1.870952360109881</v>
      </c>
      <c r="T245" s="361">
        <f t="shared" si="240"/>
        <v>2.0529024771305684</v>
      </c>
      <c r="U245" s="361">
        <f t="shared" si="240"/>
        <v>2.2525472430315179</v>
      </c>
      <c r="V245" s="362">
        <f t="shared" si="240"/>
        <v>2.4716074624163347</v>
      </c>
      <c r="X245" s="351"/>
    </row>
    <row r="246" spans="3:24" ht="24.75" customHeight="1" x14ac:dyDescent="0.3">
      <c r="C246" s="353">
        <f>ABS(E246-Dashboard!$F$14)</f>
        <v>370.29663524921057</v>
      </c>
      <c r="D246" s="350">
        <f t="shared" si="201"/>
        <v>9.7350000000000672E-2</v>
      </c>
      <c r="E246" s="359" cm="1">
        <f t="array" ref="E246">1000*SUM('DRE + DCF'!$L$36/M246,'DRE + DCF'!$N$36:$V$36/N246:V246,F246/V246)/Dashboard!$F$11</f>
        <v>467.28663524921058</v>
      </c>
      <c r="F246" s="359">
        <f t="shared" si="199"/>
        <v>51318722.680012748</v>
      </c>
      <c r="G246" s="359">
        <f>'DRE + DCF'!$W$31</f>
        <v>2791623.3540418856</v>
      </c>
      <c r="H246" s="359">
        <f>'DRE + DCF'!$W$32</f>
        <v>81081.931703745853</v>
      </c>
      <c r="I246" s="359">
        <f>-H246*('DRE + DCF'!$V$33+K246)/'DRE + DCF'!$V$33</f>
        <v>-90858.801614444121</v>
      </c>
      <c r="J246" s="359">
        <f>-'DRE + DCF'!$V$56*L246</f>
        <v>-1188924.4255577971</v>
      </c>
      <c r="K246" s="360">
        <f>(1+L246)/(1+Ke!$O$12)-1</f>
        <v>2.0000000000000018E-2</v>
      </c>
      <c r="L246" s="360">
        <f>'DRE + DCF'!$Y$31</f>
        <v>7.3550000000000004E-2</v>
      </c>
      <c r="M246" s="361">
        <f>(1+D246)^((5-Dashboard!$F$9)*3/12)</f>
        <v>1.0721582111371897</v>
      </c>
      <c r="N246" s="361">
        <f t="shared" ref="N246:V246" si="241">M246*(1+$D246)</f>
        <v>1.1765328129913959</v>
      </c>
      <c r="O246" s="361">
        <f t="shared" si="241"/>
        <v>1.291068282336109</v>
      </c>
      <c r="P246" s="361">
        <f t="shared" si="241"/>
        <v>1.4167537796215302</v>
      </c>
      <c r="Q246" s="361">
        <f t="shared" si="241"/>
        <v>1.5546747600676871</v>
      </c>
      <c r="R246" s="361">
        <f t="shared" si="241"/>
        <v>1.7060223479602776</v>
      </c>
      <c r="S246" s="361">
        <f t="shared" si="241"/>
        <v>1.8721036235342119</v>
      </c>
      <c r="T246" s="361">
        <f t="shared" si="241"/>
        <v>2.0543529112852688</v>
      </c>
      <c r="U246" s="361">
        <f t="shared" si="241"/>
        <v>2.2543441671988913</v>
      </c>
      <c r="V246" s="362">
        <f t="shared" si="241"/>
        <v>2.4738045718757049</v>
      </c>
      <c r="X246" s="351"/>
    </row>
    <row r="247" spans="3:24" ht="24.75" customHeight="1" x14ac:dyDescent="0.3">
      <c r="C247" s="353">
        <f>ABS(E247-Dashboard!$F$14)</f>
        <v>368.72121193712189</v>
      </c>
      <c r="D247" s="350">
        <f t="shared" si="201"/>
        <v>9.7450000000000675E-2</v>
      </c>
      <c r="E247" s="359" cm="1">
        <f t="array" ref="E247">1000*SUM('DRE + DCF'!$L$36/M247,'DRE + DCF'!$N$36:$V$36/N247:V247,F247/V247)/Dashboard!$F$11</f>
        <v>465.7112119371219</v>
      </c>
      <c r="F247" s="359">
        <f t="shared" si="199"/>
        <v>51152608.923098683</v>
      </c>
      <c r="G247" s="359">
        <f>'DRE + DCF'!$W$31</f>
        <v>2791623.3540418856</v>
      </c>
      <c r="H247" s="359">
        <f>'DRE + DCF'!$W$32</f>
        <v>81081.931703745853</v>
      </c>
      <c r="I247" s="359">
        <f>-H247*('DRE + DCF'!$V$33+K247)/'DRE + DCF'!$V$33</f>
        <v>-90858.801614444121</v>
      </c>
      <c r="J247" s="359">
        <f>-'DRE + DCF'!$V$56*L247</f>
        <v>-1188924.4255577971</v>
      </c>
      <c r="K247" s="360">
        <f>(1+L247)/(1+Ke!$O$12)-1</f>
        <v>2.0000000000000018E-2</v>
      </c>
      <c r="L247" s="360">
        <f>'DRE + DCF'!$Y$31</f>
        <v>7.3550000000000004E-2</v>
      </c>
      <c r="M247" s="361">
        <f>(1+D247)^((5-Dashboard!$F$9)*3/12)</f>
        <v>1.0722314885326354</v>
      </c>
      <c r="N247" s="361">
        <f t="shared" ref="N247:V247" si="242">M247*(1+$D247)</f>
        <v>1.1767204470901416</v>
      </c>
      <c r="O247" s="361">
        <f t="shared" si="242"/>
        <v>1.2913918546590766</v>
      </c>
      <c r="P247" s="361">
        <f t="shared" si="242"/>
        <v>1.4172379908956045</v>
      </c>
      <c r="Q247" s="361">
        <f t="shared" si="242"/>
        <v>1.5553478331083821</v>
      </c>
      <c r="R247" s="361">
        <f t="shared" si="242"/>
        <v>1.7069164794447951</v>
      </c>
      <c r="S247" s="361">
        <f t="shared" si="242"/>
        <v>1.8732554903666916</v>
      </c>
      <c r="T247" s="361">
        <f t="shared" si="242"/>
        <v>2.0558042379029269</v>
      </c>
      <c r="U247" s="361">
        <f t="shared" si="242"/>
        <v>2.2561423608865687</v>
      </c>
      <c r="V247" s="362">
        <f t="shared" si="242"/>
        <v>2.4760034339549666</v>
      </c>
      <c r="X247" s="351"/>
    </row>
    <row r="248" spans="3:24" ht="24.75" customHeight="1" x14ac:dyDescent="0.3">
      <c r="C248" s="353">
        <f>ABS(E248-Dashboard!$F$14)</f>
        <v>367.15752204396739</v>
      </c>
      <c r="D248" s="350">
        <f t="shared" si="201"/>
        <v>9.7550000000000678E-2</v>
      </c>
      <c r="E248" s="359" cm="1">
        <f t="array" ref="E248">1000*SUM('DRE + DCF'!$L$36/M248,'DRE + DCF'!$N$36:$V$36/N248:V248,F248/V248)/Dashboard!$F$11</f>
        <v>464.1475220439674</v>
      </c>
      <c r="F248" s="359">
        <f t="shared" si="199"/>
        <v>50987780.203217693</v>
      </c>
      <c r="G248" s="359">
        <f>'DRE + DCF'!$W$31</f>
        <v>2791623.3540418856</v>
      </c>
      <c r="H248" s="359">
        <f>'DRE + DCF'!$W$32</f>
        <v>81081.931703745853</v>
      </c>
      <c r="I248" s="359">
        <f>-H248*('DRE + DCF'!$V$33+K248)/'DRE + DCF'!$V$33</f>
        <v>-90858.801614444121</v>
      </c>
      <c r="J248" s="359">
        <f>-'DRE + DCF'!$V$56*L248</f>
        <v>-1188924.4255577971</v>
      </c>
      <c r="K248" s="360">
        <f>(1+L248)/(1+Ke!$O$12)-1</f>
        <v>2.0000000000000018E-2</v>
      </c>
      <c r="L248" s="360">
        <f>'DRE + DCF'!$Y$31</f>
        <v>7.3550000000000004E-2</v>
      </c>
      <c r="M248" s="361">
        <f>(1+D248)^((5-Dashboard!$F$9)*3/12)</f>
        <v>1.0723047642588348</v>
      </c>
      <c r="N248" s="361">
        <f t="shared" ref="N248:V248" si="243">M248*(1+$D248)</f>
        <v>1.1769080940122849</v>
      </c>
      <c r="O248" s="361">
        <f t="shared" si="243"/>
        <v>1.2917154785831841</v>
      </c>
      <c r="P248" s="361">
        <f t="shared" si="243"/>
        <v>1.4177223235189746</v>
      </c>
      <c r="Q248" s="361">
        <f t="shared" si="243"/>
        <v>1.5560211361782517</v>
      </c>
      <c r="R248" s="361">
        <f t="shared" si="243"/>
        <v>1.7078109980124412</v>
      </c>
      <c r="S248" s="361">
        <f t="shared" si="243"/>
        <v>1.874407960868556</v>
      </c>
      <c r="T248" s="361">
        <f t="shared" si="243"/>
        <v>2.057256457451285</v>
      </c>
      <c r="U248" s="361">
        <f t="shared" si="243"/>
        <v>2.2579418248756595</v>
      </c>
      <c r="V248" s="362">
        <f t="shared" si="243"/>
        <v>2.4782040498922817</v>
      </c>
      <c r="X248" s="351"/>
    </row>
    <row r="249" spans="3:24" ht="24.75" customHeight="1" x14ac:dyDescent="0.3">
      <c r="C249" s="353">
        <f>ABS(E249-Dashboard!$F$14)</f>
        <v>365.60542457481216</v>
      </c>
      <c r="D249" s="350">
        <f t="shared" si="201"/>
        <v>9.7650000000000681E-2</v>
      </c>
      <c r="E249" s="359" cm="1">
        <f t="array" ref="E249">1000*SUM('DRE + DCF'!$L$36/M249,'DRE + DCF'!$N$36:$V$36/N249:V249,F249/V249)/Dashboard!$F$11</f>
        <v>462.59542457481217</v>
      </c>
      <c r="F249" s="359">
        <f t="shared" si="199"/>
        <v>50824220.827690959</v>
      </c>
      <c r="G249" s="359">
        <f>'DRE + DCF'!$W$31</f>
        <v>2791623.3540418856</v>
      </c>
      <c r="H249" s="359">
        <f>'DRE + DCF'!$W$32</f>
        <v>81081.931703745853</v>
      </c>
      <c r="I249" s="359">
        <f>-H249*('DRE + DCF'!$V$33+K249)/'DRE + DCF'!$V$33</f>
        <v>-90858.801614444121</v>
      </c>
      <c r="J249" s="359">
        <f>-'DRE + DCF'!$V$56*L249</f>
        <v>-1188924.4255577971</v>
      </c>
      <c r="K249" s="360">
        <f>(1+L249)/(1+Ke!$O$12)-1</f>
        <v>2.0000000000000018E-2</v>
      </c>
      <c r="L249" s="360">
        <f>'DRE + DCF'!$Y$31</f>
        <v>7.3550000000000004E-2</v>
      </c>
      <c r="M249" s="361">
        <f>(1+D249)^((5-Dashboard!$F$9)*3/12)</f>
        <v>1.0723780383159784</v>
      </c>
      <c r="N249" s="361">
        <f t="shared" ref="N249:V249" si="244">M249*(1+$D249)</f>
        <v>1.1770957537575344</v>
      </c>
      <c r="O249" s="361">
        <f t="shared" si="244"/>
        <v>1.2920391541119585</v>
      </c>
      <c r="P249" s="361">
        <f t="shared" si="244"/>
        <v>1.4182067775109921</v>
      </c>
      <c r="Q249" s="361">
        <f t="shared" si="244"/>
        <v>1.5566946693349415</v>
      </c>
      <c r="R249" s="361">
        <f t="shared" si="244"/>
        <v>1.7087059037954997</v>
      </c>
      <c r="S249" s="361">
        <f t="shared" si="244"/>
        <v>1.8755610353011314</v>
      </c>
      <c r="T249" s="361">
        <f t="shared" si="244"/>
        <v>2.0587095703982881</v>
      </c>
      <c r="U249" s="361">
        <f t="shared" si="244"/>
        <v>2.2597425599476821</v>
      </c>
      <c r="V249" s="362">
        <f t="shared" si="244"/>
        <v>2.4804064209265748</v>
      </c>
      <c r="X249" s="351"/>
    </row>
    <row r="250" spans="3:24" ht="24.75" customHeight="1" x14ac:dyDescent="0.3">
      <c r="C250" s="353">
        <f>ABS(E250-Dashboard!$F$14)</f>
        <v>364.0647808435204</v>
      </c>
      <c r="D250" s="350">
        <f t="shared" si="201"/>
        <v>9.7750000000000684E-2</v>
      </c>
      <c r="E250" s="359" cm="1">
        <f t="array" ref="E250">1000*SUM('DRE + DCF'!$L$36/M250,'DRE + DCF'!$N$36:$V$36/N250:V250,F250/V250)/Dashboard!$F$11</f>
        <v>461.0547808435204</v>
      </c>
      <c r="F250" s="359">
        <f t="shared" si="199"/>
        <v>50661915.3619854</v>
      </c>
      <c r="G250" s="359">
        <f>'DRE + DCF'!$W$31</f>
        <v>2791623.3540418856</v>
      </c>
      <c r="H250" s="359">
        <f>'DRE + DCF'!$W$32</f>
        <v>81081.931703745853</v>
      </c>
      <c r="I250" s="359">
        <f>-H250*('DRE + DCF'!$V$33+K250)/'DRE + DCF'!$V$33</f>
        <v>-90858.801614444121</v>
      </c>
      <c r="J250" s="359">
        <f>-'DRE + DCF'!$V$56*L250</f>
        <v>-1188924.4255577971</v>
      </c>
      <c r="K250" s="360">
        <f>(1+L250)/(1+Ke!$O$12)-1</f>
        <v>2.0000000000000018E-2</v>
      </c>
      <c r="L250" s="360">
        <f>'DRE + DCF'!$Y$31</f>
        <v>7.3550000000000004E-2</v>
      </c>
      <c r="M250" s="361">
        <f>(1+D250)^((5-Dashboard!$F$9)*3/12)</f>
        <v>1.0724513107042564</v>
      </c>
      <c r="N250" s="361">
        <f t="shared" ref="N250:V250" si="245">M250*(1+$D250)</f>
        <v>1.1772834263255982</v>
      </c>
      <c r="O250" s="361">
        <f t="shared" si="245"/>
        <v>1.2923628812489263</v>
      </c>
      <c r="P250" s="361">
        <f t="shared" si="245"/>
        <v>1.4186913528910097</v>
      </c>
      <c r="Q250" s="361">
        <f t="shared" si="245"/>
        <v>1.5573684326361068</v>
      </c>
      <c r="R250" s="361">
        <f t="shared" si="245"/>
        <v>1.7096011969262872</v>
      </c>
      <c r="S250" s="361">
        <f t="shared" si="245"/>
        <v>1.8767147139258329</v>
      </c>
      <c r="T250" s="361">
        <f t="shared" si="245"/>
        <v>2.0601635772120841</v>
      </c>
      <c r="U250" s="361">
        <f t="shared" si="245"/>
        <v>2.2615445668845666</v>
      </c>
      <c r="V250" s="362">
        <f t="shared" si="245"/>
        <v>2.4826105482975347</v>
      </c>
      <c r="X250" s="351"/>
    </row>
    <row r="251" spans="3:24" ht="24.75" customHeight="1" x14ac:dyDescent="0.3">
      <c r="C251" s="353">
        <f>ABS(E251-Dashboard!$F$14)</f>
        <v>362.53545442536239</v>
      </c>
      <c r="D251" s="350">
        <f t="shared" si="201"/>
        <v>9.7850000000000686E-2</v>
      </c>
      <c r="E251" s="359" cm="1">
        <f t="array" ref="E251">1000*SUM('DRE + DCF'!$L$36/M251,'DRE + DCF'!$N$36:$V$36/N251:V251,F251/V251)/Dashboard!$F$11</f>
        <v>459.5254544253624</v>
      </c>
      <c r="F251" s="359">
        <f t="shared" si="199"/>
        <v>50500848.624408409</v>
      </c>
      <c r="G251" s="359">
        <f>'DRE + DCF'!$W$31</f>
        <v>2791623.3540418856</v>
      </c>
      <c r="H251" s="359">
        <f>'DRE + DCF'!$W$32</f>
        <v>81081.931703745853</v>
      </c>
      <c r="I251" s="359">
        <f>-H251*('DRE + DCF'!$V$33+K251)/'DRE + DCF'!$V$33</f>
        <v>-90858.801614444121</v>
      </c>
      <c r="J251" s="359">
        <f>-'DRE + DCF'!$V$56*L251</f>
        <v>-1188924.4255577971</v>
      </c>
      <c r="K251" s="360">
        <f>(1+L251)/(1+Ke!$O$12)-1</f>
        <v>2.0000000000000018E-2</v>
      </c>
      <c r="L251" s="360">
        <f>'DRE + DCF'!$Y$31</f>
        <v>7.3550000000000004E-2</v>
      </c>
      <c r="M251" s="361">
        <f>(1+D251)^((5-Dashboard!$F$9)*3/12)</f>
        <v>1.0725245814238584</v>
      </c>
      <c r="N251" s="361">
        <f t="shared" ref="N251:V251" si="246">M251*(1+$D251)</f>
        <v>1.1774711117161836</v>
      </c>
      <c r="O251" s="361">
        <f t="shared" si="246"/>
        <v>1.292686659997613</v>
      </c>
      <c r="P251" s="361">
        <f t="shared" si="246"/>
        <v>1.4191760496783803</v>
      </c>
      <c r="Q251" s="361">
        <f t="shared" si="246"/>
        <v>1.5580424261394108</v>
      </c>
      <c r="R251" s="361">
        <f t="shared" si="246"/>
        <v>1.7104968775371532</v>
      </c>
      <c r="S251" s="361">
        <f t="shared" si="246"/>
        <v>1.8778689970041647</v>
      </c>
      <c r="T251" s="361">
        <f t="shared" si="246"/>
        <v>2.0616184783610234</v>
      </c>
      <c r="U251" s="361">
        <f t="shared" si="246"/>
        <v>2.2633478464686507</v>
      </c>
      <c r="V251" s="362">
        <f t="shared" si="246"/>
        <v>2.4848164332456095</v>
      </c>
      <c r="X251" s="351"/>
    </row>
    <row r="252" spans="3:24" ht="24.75" customHeight="1" x14ac:dyDescent="0.3">
      <c r="C252" s="353">
        <f>ABS(E252-Dashboard!$F$14)</f>
        <v>361.01731111078385</v>
      </c>
      <c r="D252" s="350">
        <f t="shared" si="201"/>
        <v>9.7950000000000689E-2</v>
      </c>
      <c r="E252" s="359" cm="1">
        <f t="array" ref="E252">1000*SUM('DRE + DCF'!$L$36/M252,'DRE + DCF'!$N$36:$V$36/N252:V252,F252/V252)/Dashboard!$F$11</f>
        <v>458.00731111078386</v>
      </c>
      <c r="F252" s="359">
        <f t="shared" si="199"/>
        <v>50341005.680932842</v>
      </c>
      <c r="G252" s="359">
        <f>'DRE + DCF'!$W$31</f>
        <v>2791623.3540418856</v>
      </c>
      <c r="H252" s="359">
        <f>'DRE + DCF'!$W$32</f>
        <v>81081.931703745853</v>
      </c>
      <c r="I252" s="359">
        <f>-H252*('DRE + DCF'!$V$33+K252)/'DRE + DCF'!$V$33</f>
        <v>-90858.801614444121</v>
      </c>
      <c r="J252" s="359">
        <f>-'DRE + DCF'!$V$56*L252</f>
        <v>-1188924.4255577971</v>
      </c>
      <c r="K252" s="360">
        <f>(1+L252)/(1+Ke!$O$12)-1</f>
        <v>2.0000000000000018E-2</v>
      </c>
      <c r="L252" s="360">
        <f>'DRE + DCF'!$Y$31</f>
        <v>7.3550000000000004E-2</v>
      </c>
      <c r="M252" s="361">
        <f>(1+D252)^((5-Dashboard!$F$9)*3/12)</f>
        <v>1.0725978504749747</v>
      </c>
      <c r="N252" s="361">
        <f t="shared" ref="N252:V252" si="247">M252*(1+$D252)</f>
        <v>1.1776588099289991</v>
      </c>
      <c r="O252" s="361">
        <f t="shared" si="247"/>
        <v>1.2930104903615454</v>
      </c>
      <c r="P252" s="361">
        <f t="shared" si="247"/>
        <v>1.4196608678924596</v>
      </c>
      <c r="Q252" s="361">
        <f t="shared" si="247"/>
        <v>1.5587166499025269</v>
      </c>
      <c r="R252" s="361">
        <f t="shared" si="247"/>
        <v>1.7113929457604804</v>
      </c>
      <c r="S252" s="361">
        <f t="shared" si="247"/>
        <v>1.8790238847977205</v>
      </c>
      <c r="T252" s="361">
        <f t="shared" si="247"/>
        <v>2.0630742743136583</v>
      </c>
      <c r="U252" s="361">
        <f t="shared" si="247"/>
        <v>2.2651523994826825</v>
      </c>
      <c r="V252" s="362">
        <f t="shared" si="247"/>
        <v>2.4870240770120127</v>
      </c>
      <c r="X252" s="351"/>
    </row>
    <row r="253" spans="3:24" ht="24.75" customHeight="1" x14ac:dyDescent="0.3">
      <c r="C253" s="353">
        <f>ABS(E253-Dashboard!$F$14)</f>
        <v>359.51021886030776</v>
      </c>
      <c r="D253" s="350">
        <f t="shared" si="201"/>
        <v>9.8050000000000692E-2</v>
      </c>
      <c r="E253" s="359" cm="1">
        <f t="array" ref="E253">1000*SUM('DRE + DCF'!$L$36/M253,'DRE + DCF'!$N$36:$V$36/N253:V253,F253/V253)/Dashboard!$F$11</f>
        <v>456.50021886030777</v>
      </c>
      <c r="F253" s="359">
        <f t="shared" si="199"/>
        <v>50182371.840148821</v>
      </c>
      <c r="G253" s="359">
        <f>'DRE + DCF'!$W$31</f>
        <v>2791623.3540418856</v>
      </c>
      <c r="H253" s="359">
        <f>'DRE + DCF'!$W$32</f>
        <v>81081.931703745853</v>
      </c>
      <c r="I253" s="359">
        <f>-H253*('DRE + DCF'!$V$33+K253)/'DRE + DCF'!$V$33</f>
        <v>-90858.801614444121</v>
      </c>
      <c r="J253" s="359">
        <f>-'DRE + DCF'!$V$56*L253</f>
        <v>-1188924.4255577971</v>
      </c>
      <c r="K253" s="360">
        <f>(1+L253)/(1+Ke!$O$12)-1</f>
        <v>2.0000000000000018E-2</v>
      </c>
      <c r="L253" s="360">
        <f>'DRE + DCF'!$Y$31</f>
        <v>7.3550000000000004E-2</v>
      </c>
      <c r="M253" s="361">
        <f>(1+D253)^((5-Dashboard!$F$9)*3/12)</f>
        <v>1.072671117857795</v>
      </c>
      <c r="N253" s="361">
        <f t="shared" ref="N253:V253" si="248">M253*(1+$D253)</f>
        <v>1.1778465209637525</v>
      </c>
      <c r="O253" s="361">
        <f t="shared" si="248"/>
        <v>1.2933343723442492</v>
      </c>
      <c r="P253" s="361">
        <f t="shared" si="248"/>
        <v>1.4201458075526037</v>
      </c>
      <c r="Q253" s="361">
        <f t="shared" si="248"/>
        <v>1.5593911039831374</v>
      </c>
      <c r="R253" s="361">
        <f t="shared" si="248"/>
        <v>1.7122894017286849</v>
      </c>
      <c r="S253" s="361">
        <f t="shared" si="248"/>
        <v>1.8801793775681837</v>
      </c>
      <c r="T253" s="361">
        <f t="shared" si="248"/>
        <v>2.0645309655387454</v>
      </c>
      <c r="U253" s="361">
        <f t="shared" si="248"/>
        <v>2.2669582267098205</v>
      </c>
      <c r="V253" s="362">
        <f t="shared" si="248"/>
        <v>2.48923348083872</v>
      </c>
      <c r="X253" s="351"/>
    </row>
    <row r="254" spans="3:24" ht="24.75" customHeight="1" x14ac:dyDescent="0.3">
      <c r="C254" s="353">
        <f>ABS(E254-Dashboard!$F$14)</f>
        <v>358.01404776053687</v>
      </c>
      <c r="D254" s="350">
        <f t="shared" si="201"/>
        <v>9.8150000000000695E-2</v>
      </c>
      <c r="E254" s="359" cm="1">
        <f t="array" ref="E254">1000*SUM('DRE + DCF'!$L$36/M254,'DRE + DCF'!$N$36:$V$36/N254:V254,F254/V254)/Dashboard!$F$11</f>
        <v>455.00404776053688</v>
      </c>
      <c r="F254" s="359">
        <f t="shared" si="199"/>
        <v>50024932.648338646</v>
      </c>
      <c r="G254" s="359">
        <f>'DRE + DCF'!$W$31</f>
        <v>2791623.3540418856</v>
      </c>
      <c r="H254" s="359">
        <f>'DRE + DCF'!$W$32</f>
        <v>81081.931703745853</v>
      </c>
      <c r="I254" s="359">
        <f>-H254*('DRE + DCF'!$V$33+K254)/'DRE + DCF'!$V$33</f>
        <v>-90858.801614444121</v>
      </c>
      <c r="J254" s="359">
        <f>-'DRE + DCF'!$V$56*L254</f>
        <v>-1188924.4255577971</v>
      </c>
      <c r="K254" s="360">
        <f>(1+L254)/(1+Ke!$O$12)-1</f>
        <v>2.0000000000000018E-2</v>
      </c>
      <c r="L254" s="360">
        <f>'DRE + DCF'!$Y$31</f>
        <v>7.3550000000000004E-2</v>
      </c>
      <c r="M254" s="361">
        <f>(1+D254)^((5-Dashboard!$F$9)*3/12)</f>
        <v>1.0727443835725095</v>
      </c>
      <c r="N254" s="361">
        <f t="shared" ref="N254:V254" si="249">M254*(1+$D254)</f>
        <v>1.178034244820152</v>
      </c>
      <c r="O254" s="361">
        <f t="shared" si="249"/>
        <v>1.2936583059492506</v>
      </c>
      <c r="P254" s="361">
        <f t="shared" si="249"/>
        <v>1.4206308686781703</v>
      </c>
      <c r="Q254" s="361">
        <f t="shared" si="249"/>
        <v>1.5600657884389337</v>
      </c>
      <c r="R254" s="361">
        <f t="shared" si="249"/>
        <v>1.7131862455742159</v>
      </c>
      <c r="S254" s="361">
        <f t="shared" si="249"/>
        <v>1.8813354755773264</v>
      </c>
      <c r="T254" s="361">
        <f t="shared" si="249"/>
        <v>2.0659885525052419</v>
      </c>
      <c r="U254" s="361">
        <f t="shared" si="249"/>
        <v>2.2687653289336329</v>
      </c>
      <c r="V254" s="362">
        <f t="shared" si="249"/>
        <v>2.4914446459684703</v>
      </c>
      <c r="X254" s="351"/>
    </row>
    <row r="255" spans="3:24" ht="24.75" customHeight="1" x14ac:dyDescent="0.3">
      <c r="C255" s="353">
        <f>ABS(E255-Dashboard!$F$14)</f>
        <v>356.52866998122119</v>
      </c>
      <c r="D255" s="350">
        <f t="shared" si="201"/>
        <v>9.8250000000000698E-2</v>
      </c>
      <c r="E255" s="359" cm="1">
        <f t="array" ref="E255">1000*SUM('DRE + DCF'!$L$36/M255,'DRE + DCF'!$N$36:$V$36/N255:V255,F255/V255)/Dashboard!$F$11</f>
        <v>453.51866998122119</v>
      </c>
      <c r="F255" s="359">
        <f t="shared" si="199"/>
        <v>49868673.884671144</v>
      </c>
      <c r="G255" s="359">
        <f>'DRE + DCF'!$W$31</f>
        <v>2791623.3540418856</v>
      </c>
      <c r="H255" s="359">
        <f>'DRE + DCF'!$W$32</f>
        <v>81081.931703745853</v>
      </c>
      <c r="I255" s="359">
        <f>-H255*('DRE + DCF'!$V$33+K255)/'DRE + DCF'!$V$33</f>
        <v>-90858.801614444121</v>
      </c>
      <c r="J255" s="359">
        <f>-'DRE + DCF'!$V$56*L255</f>
        <v>-1188924.4255577971</v>
      </c>
      <c r="K255" s="360">
        <f>(1+L255)/(1+Ke!$O$12)-1</f>
        <v>2.0000000000000018E-2</v>
      </c>
      <c r="L255" s="360">
        <f>'DRE + DCF'!$Y$31</f>
        <v>7.3550000000000004E-2</v>
      </c>
      <c r="M255" s="361">
        <f>(1+D255)^((5-Dashboard!$F$9)*3/12)</f>
        <v>1.0728176476193079</v>
      </c>
      <c r="N255" s="361">
        <f t="shared" ref="N255:V255" si="250">M255*(1+$D255)</f>
        <v>1.1782219814979056</v>
      </c>
      <c r="O255" s="361">
        <f t="shared" si="250"/>
        <v>1.2939822911800756</v>
      </c>
      <c r="P255" s="361">
        <f t="shared" si="250"/>
        <v>1.4211160512885188</v>
      </c>
      <c r="Q255" s="361">
        <f t="shared" si="250"/>
        <v>1.5607407033276166</v>
      </c>
      <c r="R255" s="361">
        <f t="shared" si="250"/>
        <v>1.7140834774295559</v>
      </c>
      <c r="S255" s="361">
        <f t="shared" si="250"/>
        <v>1.8824921790870108</v>
      </c>
      <c r="T255" s="361">
        <f t="shared" si="250"/>
        <v>2.0674470356823109</v>
      </c>
      <c r="U255" s="361">
        <f t="shared" si="250"/>
        <v>2.2705737069380993</v>
      </c>
      <c r="V255" s="362">
        <f t="shared" si="250"/>
        <v>2.4936575736447688</v>
      </c>
      <c r="X255" s="351"/>
    </row>
    <row r="256" spans="3:24" ht="24.75" customHeight="1" x14ac:dyDescent="0.3">
      <c r="C256" s="353">
        <f>ABS(E256-Dashboard!$F$14)</f>
        <v>355.05395973336732</v>
      </c>
      <c r="D256" s="350">
        <f t="shared" si="201"/>
        <v>9.8350000000000701E-2</v>
      </c>
      <c r="E256" s="359" cm="1">
        <f t="array" ref="E256">1000*SUM('DRE + DCF'!$L$36/M256,'DRE + DCF'!$N$36:$V$36/N256:V256,F256/V256)/Dashboard!$F$11</f>
        <v>452.04395973336733</v>
      </c>
      <c r="F256" s="359">
        <f t="shared" si="199"/>
        <v>49713581.556512482</v>
      </c>
      <c r="G256" s="359">
        <f>'DRE + DCF'!$W$31</f>
        <v>2791623.3540418856</v>
      </c>
      <c r="H256" s="359">
        <f>'DRE + DCF'!$W$32</f>
        <v>81081.931703745853</v>
      </c>
      <c r="I256" s="359">
        <f>-H256*('DRE + DCF'!$V$33+K256)/'DRE + DCF'!$V$33</f>
        <v>-90858.801614444121</v>
      </c>
      <c r="J256" s="359">
        <f>-'DRE + DCF'!$V$56*L256</f>
        <v>-1188924.4255577971</v>
      </c>
      <c r="K256" s="360">
        <f>(1+L256)/(1+Ke!$O$12)-1</f>
        <v>2.0000000000000018E-2</v>
      </c>
      <c r="L256" s="360">
        <f>'DRE + DCF'!$Y$31</f>
        <v>7.3550000000000004E-2</v>
      </c>
      <c r="M256" s="361">
        <f>(1+D256)^((5-Dashboard!$F$9)*3/12)</f>
        <v>1.0728909099983801</v>
      </c>
      <c r="N256" s="361">
        <f t="shared" ref="N256:V256" si="251">M256*(1+$D256)</f>
        <v>1.1784097309967214</v>
      </c>
      <c r="O256" s="361">
        <f t="shared" si="251"/>
        <v>1.2943063280402496</v>
      </c>
      <c r="P256" s="361">
        <f t="shared" si="251"/>
        <v>1.4216013554030089</v>
      </c>
      <c r="Q256" s="361">
        <f t="shared" si="251"/>
        <v>1.5614158487068956</v>
      </c>
      <c r="R256" s="361">
        <f t="shared" si="251"/>
        <v>1.7149810974272197</v>
      </c>
      <c r="S256" s="361">
        <f t="shared" si="251"/>
        <v>1.8836494883591879</v>
      </c>
      <c r="T256" s="361">
        <f t="shared" si="251"/>
        <v>2.0689064155393151</v>
      </c>
      <c r="U256" s="361">
        <f t="shared" si="251"/>
        <v>2.2723833615076079</v>
      </c>
      <c r="V256" s="362">
        <f t="shared" si="251"/>
        <v>2.4958722651118825</v>
      </c>
      <c r="X256" s="351"/>
    </row>
    <row r="257" spans="3:24" ht="24.75" customHeight="1" x14ac:dyDescent="0.3">
      <c r="C257" s="353">
        <f>ABS(E257-Dashboard!$F$14)</f>
        <v>353.58979322835268</v>
      </c>
      <c r="D257" s="350">
        <f t="shared" si="201"/>
        <v>9.8450000000000704E-2</v>
      </c>
      <c r="E257" s="359" cm="1">
        <f t="array" ref="E257">1000*SUM('DRE + DCF'!$L$36/M257,'DRE + DCF'!$N$36:$V$36/N257:V257,F257/V257)/Dashboard!$F$11</f>
        <v>450.57979322835268</v>
      </c>
      <c r="F257" s="359">
        <f t="shared" si="199"/>
        <v>49559641.89484974</v>
      </c>
      <c r="G257" s="359">
        <f>'DRE + DCF'!$W$31</f>
        <v>2791623.3540418856</v>
      </c>
      <c r="H257" s="359">
        <f>'DRE + DCF'!$W$32</f>
        <v>81081.931703745853</v>
      </c>
      <c r="I257" s="359">
        <f>-H257*('DRE + DCF'!$V$33+K257)/'DRE + DCF'!$V$33</f>
        <v>-90858.801614444121</v>
      </c>
      <c r="J257" s="359">
        <f>-'DRE + DCF'!$V$56*L257</f>
        <v>-1188924.4255577971</v>
      </c>
      <c r="K257" s="360">
        <f>(1+L257)/(1+Ke!$O$12)-1</f>
        <v>2.0000000000000018E-2</v>
      </c>
      <c r="L257" s="360">
        <f>'DRE + DCF'!$Y$31</f>
        <v>7.3550000000000004E-2</v>
      </c>
      <c r="M257" s="361">
        <f>(1+D257)^((5-Dashboard!$F$9)*3/12)</f>
        <v>1.0729641707099158</v>
      </c>
      <c r="N257" s="361">
        <f t="shared" ref="N257:V257" si="252">M257*(1+$D257)</f>
        <v>1.1785974933163077</v>
      </c>
      <c r="O257" s="361">
        <f t="shared" si="252"/>
        <v>1.2946304165332989</v>
      </c>
      <c r="P257" s="361">
        <f t="shared" si="252"/>
        <v>1.4220867810410029</v>
      </c>
      <c r="Q257" s="361">
        <f t="shared" si="252"/>
        <v>1.5620912246344905</v>
      </c>
      <c r="R257" s="361">
        <f t="shared" si="252"/>
        <v>1.7158791056997569</v>
      </c>
      <c r="S257" s="361">
        <f t="shared" si="252"/>
        <v>1.884807403655899</v>
      </c>
      <c r="T257" s="361">
        <f t="shared" si="252"/>
        <v>2.0703666925458233</v>
      </c>
      <c r="U257" s="361">
        <f t="shared" si="252"/>
        <v>2.274194293426961</v>
      </c>
      <c r="V257" s="362">
        <f t="shared" si="252"/>
        <v>2.4980887216148466</v>
      </c>
      <c r="X257" s="351"/>
    </row>
    <row r="258" spans="3:24" ht="24.75" customHeight="1" x14ac:dyDescent="0.3">
      <c r="C258" s="353">
        <f>ABS(E258-Dashboard!$F$14)</f>
        <v>352.13604863802323</v>
      </c>
      <c r="D258" s="350">
        <f t="shared" si="201"/>
        <v>9.8550000000000706E-2</v>
      </c>
      <c r="E258" s="359" cm="1">
        <f t="array" ref="E258">1000*SUM('DRE + DCF'!$L$36/M258,'DRE + DCF'!$N$36:$V$36/N258:V258,F258/V258)/Dashboard!$F$11</f>
        <v>449.12604863802324</v>
      </c>
      <c r="F258" s="359">
        <f t="shared" si="199"/>
        <v>49406841.349824369</v>
      </c>
      <c r="G258" s="359">
        <f>'DRE + DCF'!$W$31</f>
        <v>2791623.3540418856</v>
      </c>
      <c r="H258" s="359">
        <f>'DRE + DCF'!$W$32</f>
        <v>81081.931703745853</v>
      </c>
      <c r="I258" s="359">
        <f>-H258*('DRE + DCF'!$V$33+K258)/'DRE + DCF'!$V$33</f>
        <v>-90858.801614444121</v>
      </c>
      <c r="J258" s="359">
        <f>-'DRE + DCF'!$V$56*L258</f>
        <v>-1188924.4255577971</v>
      </c>
      <c r="K258" s="360">
        <f>(1+L258)/(1+Ke!$O$12)-1</f>
        <v>2.0000000000000018E-2</v>
      </c>
      <c r="L258" s="360">
        <f>'DRE + DCF'!$Y$31</f>
        <v>7.3550000000000004E-2</v>
      </c>
      <c r="M258" s="361">
        <f>(1+D258)^((5-Dashboard!$F$9)*3/12)</f>
        <v>1.073037429754105</v>
      </c>
      <c r="N258" s="361">
        <f t="shared" ref="N258:V258" si="253">M258*(1+$D258)</f>
        <v>1.1787852684563729</v>
      </c>
      <c r="O258" s="361">
        <f t="shared" si="253"/>
        <v>1.2949545566627494</v>
      </c>
      <c r="P258" s="361">
        <f t="shared" si="253"/>
        <v>1.4225723282218643</v>
      </c>
      <c r="Q258" s="361">
        <f t="shared" si="253"/>
        <v>1.5627668311681302</v>
      </c>
      <c r="R258" s="361">
        <f t="shared" si="253"/>
        <v>1.7167775023797507</v>
      </c>
      <c r="S258" s="361">
        <f t="shared" si="253"/>
        <v>1.8859659252392764</v>
      </c>
      <c r="T258" s="361">
        <f t="shared" si="253"/>
        <v>2.0718278671716086</v>
      </c>
      <c r="U258" s="361">
        <f t="shared" si="253"/>
        <v>2.2760065034813723</v>
      </c>
      <c r="V258" s="362">
        <f t="shared" si="253"/>
        <v>2.5003069443994632</v>
      </c>
      <c r="X258" s="351"/>
    </row>
    <row r="259" spans="3:24" ht="24.75" customHeight="1" x14ac:dyDescent="0.3">
      <c r="C259" s="353">
        <f>ABS(E259-Dashboard!$F$14)</f>
        <v>350.69260605574465</v>
      </c>
      <c r="D259" s="350">
        <f t="shared" si="201"/>
        <v>9.8650000000000709E-2</v>
      </c>
      <c r="E259" s="359" cm="1">
        <f t="array" ref="E259">1000*SUM('DRE + DCF'!$L$36/M259,'DRE + DCF'!$N$36:$V$36/N259:V259,F259/V259)/Dashboard!$F$11</f>
        <v>447.68260605574466</v>
      </c>
      <c r="F259" s="359">
        <f t="shared" si="199"/>
        <v>49255166.586372375</v>
      </c>
      <c r="G259" s="359">
        <f>'DRE + DCF'!$W$31</f>
        <v>2791623.3540418856</v>
      </c>
      <c r="H259" s="359">
        <f>'DRE + DCF'!$W$32</f>
        <v>81081.931703745853</v>
      </c>
      <c r="I259" s="359">
        <f>-H259*('DRE + DCF'!$V$33+K259)/'DRE + DCF'!$V$33</f>
        <v>-90858.801614444121</v>
      </c>
      <c r="J259" s="359">
        <f>-'DRE + DCF'!$V$56*L259</f>
        <v>-1188924.4255577971</v>
      </c>
      <c r="K259" s="360">
        <f>(1+L259)/(1+Ke!$O$12)-1</f>
        <v>2.0000000000000018E-2</v>
      </c>
      <c r="L259" s="360">
        <f>'DRE + DCF'!$Y$31</f>
        <v>7.3550000000000004E-2</v>
      </c>
      <c r="M259" s="361">
        <f>(1+D259)^((5-Dashboard!$F$9)*3/12)</f>
        <v>1.0731106871311373</v>
      </c>
      <c r="N259" s="361">
        <f t="shared" ref="N259:V259" si="254">M259*(1+$D259)</f>
        <v>1.178973056416625</v>
      </c>
      <c r="O259" s="361">
        <f t="shared" si="254"/>
        <v>1.295278748432126</v>
      </c>
      <c r="P259" s="361">
        <f t="shared" si="254"/>
        <v>1.4230579969649562</v>
      </c>
      <c r="Q259" s="361">
        <f t="shared" si="254"/>
        <v>1.5634426683655502</v>
      </c>
      <c r="R259" s="361">
        <f t="shared" si="254"/>
        <v>1.7176762875998131</v>
      </c>
      <c r="S259" s="361">
        <f t="shared" si="254"/>
        <v>1.887125053371536</v>
      </c>
      <c r="T259" s="361">
        <f t="shared" si="254"/>
        <v>2.0732899398866396</v>
      </c>
      <c r="U259" s="361">
        <f t="shared" si="254"/>
        <v>2.2778199924564584</v>
      </c>
      <c r="V259" s="362">
        <f t="shared" si="254"/>
        <v>2.5025269347122898</v>
      </c>
      <c r="X259" s="351"/>
    </row>
    <row r="260" spans="3:24" ht="24.75" customHeight="1" x14ac:dyDescent="0.3">
      <c r="C260" s="353">
        <f>ABS(E260-Dashboard!$F$14)</f>
        <v>349.25934745837702</v>
      </c>
      <c r="D260" s="350">
        <f t="shared" si="201"/>
        <v>9.8750000000000712E-2</v>
      </c>
      <c r="E260" s="359" cm="1">
        <f t="array" ref="E260">1000*SUM('DRE + DCF'!$L$36/M260,'DRE + DCF'!$N$36:$V$36/N260:V260,F260/V260)/Dashboard!$F$11</f>
        <v>446.24934745837703</v>
      </c>
      <c r="F260" s="359">
        <f t="shared" si="199"/>
        <v>49104604.479968287</v>
      </c>
      <c r="G260" s="359">
        <f>'DRE + DCF'!$W$31</f>
        <v>2791623.3540418856</v>
      </c>
      <c r="H260" s="359">
        <f>'DRE + DCF'!$W$32</f>
        <v>81081.931703745853</v>
      </c>
      <c r="I260" s="359">
        <f>-H260*('DRE + DCF'!$V$33+K260)/'DRE + DCF'!$V$33</f>
        <v>-90858.801614444121</v>
      </c>
      <c r="J260" s="359">
        <f>-'DRE + DCF'!$V$56*L260</f>
        <v>-1188924.4255577971</v>
      </c>
      <c r="K260" s="360">
        <f>(1+L260)/(1+Ke!$O$12)-1</f>
        <v>2.0000000000000018E-2</v>
      </c>
      <c r="L260" s="360">
        <f>'DRE + DCF'!$Y$31</f>
        <v>7.3550000000000004E-2</v>
      </c>
      <c r="M260" s="361">
        <f>(1+D260)^((5-Dashboard!$F$9)*3/12)</f>
        <v>1.073183942841202</v>
      </c>
      <c r="N260" s="361">
        <f t="shared" ref="N260:V260" si="255">M260*(1+$D260)</f>
        <v>1.1791608571967716</v>
      </c>
      <c r="O260" s="361">
        <f t="shared" si="255"/>
        <v>1.2956029918449536</v>
      </c>
      <c r="P260" s="361">
        <f t="shared" si="255"/>
        <v>1.4235437872896439</v>
      </c>
      <c r="Q260" s="361">
        <f t="shared" si="255"/>
        <v>1.5641187362844973</v>
      </c>
      <c r="R260" s="361">
        <f t="shared" si="255"/>
        <v>1.7185754614925925</v>
      </c>
      <c r="S260" s="361">
        <f t="shared" si="255"/>
        <v>1.8882847883149874</v>
      </c>
      <c r="T260" s="361">
        <f t="shared" si="255"/>
        <v>2.0747529111610938</v>
      </c>
      <c r="U260" s="361">
        <f t="shared" si="255"/>
        <v>2.2796347611382535</v>
      </c>
      <c r="V260" s="362">
        <f t="shared" si="255"/>
        <v>2.5047486938006576</v>
      </c>
      <c r="X260" s="351"/>
    </row>
    <row r="261" spans="3:24" ht="24.75" customHeight="1" x14ac:dyDescent="0.3">
      <c r="C261" s="353">
        <f>ABS(E261-Dashboard!$F$14)</f>
        <v>347.83615666915256</v>
      </c>
      <c r="D261" s="350">
        <f t="shared" si="201"/>
        <v>9.8850000000000715E-2</v>
      </c>
      <c r="E261" s="359" cm="1">
        <f t="array" ref="E261">1000*SUM('DRE + DCF'!$L$36/M261,'DRE + DCF'!$N$36:$V$36/N261:V261,F261/V261)/Dashboard!$F$11</f>
        <v>444.82615666915257</v>
      </c>
      <c r="F261" s="359">
        <f t="shared" si="199"/>
        <v>48955142.112469979</v>
      </c>
      <c r="G261" s="359">
        <f>'DRE + DCF'!$W$31</f>
        <v>2791623.3540418856</v>
      </c>
      <c r="H261" s="359">
        <f>'DRE + DCF'!$W$32</f>
        <v>81081.931703745853</v>
      </c>
      <c r="I261" s="359">
        <f>-H261*('DRE + DCF'!$V$33+K261)/'DRE + DCF'!$V$33</f>
        <v>-90858.801614444121</v>
      </c>
      <c r="J261" s="359">
        <f>-'DRE + DCF'!$V$56*L261</f>
        <v>-1188924.4255577971</v>
      </c>
      <c r="K261" s="360">
        <f>(1+L261)/(1+Ke!$O$12)-1</f>
        <v>2.0000000000000018E-2</v>
      </c>
      <c r="L261" s="360">
        <f>'DRE + DCF'!$Y$31</f>
        <v>7.3550000000000004E-2</v>
      </c>
      <c r="M261" s="361">
        <f>(1+D261)^((5-Dashboard!$F$9)*3/12)</f>
        <v>1.0732571968844893</v>
      </c>
      <c r="N261" s="361">
        <f t="shared" ref="N261:V261" si="256">M261*(1+$D261)</f>
        <v>1.1793486707965219</v>
      </c>
      <c r="O261" s="361">
        <f t="shared" si="256"/>
        <v>1.2959272869047591</v>
      </c>
      <c r="P261" s="361">
        <f t="shared" si="256"/>
        <v>1.4240296992152957</v>
      </c>
      <c r="Q261" s="361">
        <f t="shared" si="256"/>
        <v>1.5647950349827286</v>
      </c>
      <c r="R261" s="361">
        <f t="shared" si="256"/>
        <v>1.7194750241907726</v>
      </c>
      <c r="S261" s="361">
        <f t="shared" si="256"/>
        <v>1.8894451303320319</v>
      </c>
      <c r="T261" s="361">
        <f t="shared" si="256"/>
        <v>2.0762167814653547</v>
      </c>
      <c r="U261" s="361">
        <f t="shared" si="256"/>
        <v>2.2814508103132067</v>
      </c>
      <c r="V261" s="362">
        <f t="shared" si="256"/>
        <v>2.506972222912669</v>
      </c>
      <c r="X261" s="351"/>
    </row>
    <row r="262" spans="3:24" ht="24.75" customHeight="1" x14ac:dyDescent="0.3">
      <c r="C262" s="353">
        <f>ABS(E262-Dashboard!$F$14)</f>
        <v>346.42291932143189</v>
      </c>
      <c r="D262" s="350">
        <f t="shared" si="201"/>
        <v>9.8950000000000718E-2</v>
      </c>
      <c r="E262" s="359" cm="1">
        <f t="array" ref="E262">1000*SUM('DRE + DCF'!$L$36/M262,'DRE + DCF'!$N$36:$V$36/N262:V262,F262/V262)/Dashboard!$F$11</f>
        <v>443.4129193214319</v>
      </c>
      <c r="F262" s="359">
        <f t="shared" si="199"/>
        <v>48806766.768061653</v>
      </c>
      <c r="G262" s="359">
        <f>'DRE + DCF'!$W$31</f>
        <v>2791623.3540418856</v>
      </c>
      <c r="H262" s="359">
        <f>'DRE + DCF'!$W$32</f>
        <v>81081.931703745853</v>
      </c>
      <c r="I262" s="359">
        <f>-H262*('DRE + DCF'!$V$33+K262)/'DRE + DCF'!$V$33</f>
        <v>-90858.801614444121</v>
      </c>
      <c r="J262" s="359">
        <f>-'DRE + DCF'!$V$56*L262</f>
        <v>-1188924.4255577971</v>
      </c>
      <c r="K262" s="360">
        <f>(1+L262)/(1+Ke!$O$12)-1</f>
        <v>2.0000000000000018E-2</v>
      </c>
      <c r="L262" s="360">
        <f>'DRE + DCF'!$Y$31</f>
        <v>7.3550000000000004E-2</v>
      </c>
      <c r="M262" s="361">
        <f>(1+D262)^((5-Dashboard!$F$9)*3/12)</f>
        <v>1.0733304492611886</v>
      </c>
      <c r="N262" s="361">
        <f t="shared" ref="N262:V262" si="257">M262*(1+$D262)</f>
        <v>1.179536497215584</v>
      </c>
      <c r="O262" s="361">
        <f t="shared" si="257"/>
        <v>1.2962516336150669</v>
      </c>
      <c r="P262" s="361">
        <f t="shared" si="257"/>
        <v>1.4245157327612787</v>
      </c>
      <c r="Q262" s="361">
        <f t="shared" si="257"/>
        <v>1.5654715645180084</v>
      </c>
      <c r="R262" s="361">
        <f t="shared" si="257"/>
        <v>1.7203749758270666</v>
      </c>
      <c r="S262" s="361">
        <f t="shared" si="257"/>
        <v>1.890606079685156</v>
      </c>
      <c r="T262" s="361">
        <f t="shared" si="257"/>
        <v>2.0776815512700035</v>
      </c>
      <c r="U262" s="361">
        <f t="shared" si="257"/>
        <v>2.2832681407681719</v>
      </c>
      <c r="V262" s="362">
        <f t="shared" si="257"/>
        <v>2.5091975232971842</v>
      </c>
      <c r="X262" s="351"/>
    </row>
    <row r="263" spans="3:24" ht="24.75" customHeight="1" x14ac:dyDescent="0.3">
      <c r="C263" s="353">
        <f>ABS(E263-Dashboard!$F$14)</f>
        <v>345.01952282330825</v>
      </c>
      <c r="D263" s="350">
        <f t="shared" si="201"/>
        <v>9.9050000000000721E-2</v>
      </c>
      <c r="E263" s="359" cm="1">
        <f t="array" ref="E263">1000*SUM('DRE + DCF'!$L$36/M263,'DRE + DCF'!$N$36:$V$36/N263:V263,F263/V263)/Dashboard!$F$11</f>
        <v>442.00952282330826</v>
      </c>
      <c r="F263" s="359">
        <f t="shared" si="199"/>
        <v>48659465.929292217</v>
      </c>
      <c r="G263" s="359">
        <f>'DRE + DCF'!$W$31</f>
        <v>2791623.3540418856</v>
      </c>
      <c r="H263" s="359">
        <f>'DRE + DCF'!$W$32</f>
        <v>81081.931703745853</v>
      </c>
      <c r="I263" s="359">
        <f>-H263*('DRE + DCF'!$V$33+K263)/'DRE + DCF'!$V$33</f>
        <v>-90858.801614444121</v>
      </c>
      <c r="J263" s="359">
        <f>-'DRE + DCF'!$V$56*L263</f>
        <v>-1188924.4255577971</v>
      </c>
      <c r="K263" s="360">
        <f>(1+L263)/(1+Ke!$O$12)-1</f>
        <v>2.0000000000000018E-2</v>
      </c>
      <c r="L263" s="360">
        <f>'DRE + DCF'!$Y$31</f>
        <v>7.3550000000000004E-2</v>
      </c>
      <c r="M263" s="361">
        <f>(1+D263)^((5-Dashboard!$F$9)*3/12)</f>
        <v>1.0734036999714893</v>
      </c>
      <c r="N263" s="361">
        <f t="shared" ref="N263:V263" si="258">M263*(1+$D263)</f>
        <v>1.179724336453666</v>
      </c>
      <c r="O263" s="361">
        <f t="shared" si="258"/>
        <v>1.2965760319794026</v>
      </c>
      <c r="P263" s="361">
        <f t="shared" si="258"/>
        <v>1.4250018879469635</v>
      </c>
      <c r="Q263" s="361">
        <f t="shared" si="258"/>
        <v>1.5661483249481112</v>
      </c>
      <c r="R263" s="361">
        <f t="shared" si="258"/>
        <v>1.7212753165342227</v>
      </c>
      <c r="S263" s="361">
        <f t="shared" si="258"/>
        <v>1.8917676366369387</v>
      </c>
      <c r="T263" s="361">
        <f t="shared" si="258"/>
        <v>2.0791472210458291</v>
      </c>
      <c r="U263" s="361">
        <f t="shared" si="258"/>
        <v>2.28508675329042</v>
      </c>
      <c r="V263" s="362">
        <f t="shared" si="258"/>
        <v>2.5114245962038377</v>
      </c>
      <c r="X263" s="351"/>
    </row>
    <row r="264" spans="3:24" ht="24.75" customHeight="1" x14ac:dyDescent="0.3">
      <c r="C264" s="353">
        <f>ABS(E264-Dashboard!$F$14)</f>
        <v>343.62585632304376</v>
      </c>
      <c r="D264" s="350">
        <f t="shared" si="201"/>
        <v>9.9150000000000724E-2</v>
      </c>
      <c r="E264" s="359" cm="1">
        <f t="array" ref="E264">1000*SUM('DRE + DCF'!$L$36/M264,'DRE + DCF'!$N$36:$V$36/N264:V264,F264/V264)/Dashboard!$F$11</f>
        <v>440.61585632304377</v>
      </c>
      <c r="F264" s="359">
        <f t="shared" si="199"/>
        <v>48513227.273206517</v>
      </c>
      <c r="G264" s="359">
        <f>'DRE + DCF'!$W$31</f>
        <v>2791623.3540418856</v>
      </c>
      <c r="H264" s="359">
        <f>'DRE + DCF'!$W$32</f>
        <v>81081.931703745853</v>
      </c>
      <c r="I264" s="359">
        <f>-H264*('DRE + DCF'!$V$33+K264)/'DRE + DCF'!$V$33</f>
        <v>-90858.801614444121</v>
      </c>
      <c r="J264" s="359">
        <f>-'DRE + DCF'!$V$56*L264</f>
        <v>-1188924.4255577971</v>
      </c>
      <c r="K264" s="360">
        <f>(1+L264)/(1+Ke!$O$12)-1</f>
        <v>2.0000000000000018E-2</v>
      </c>
      <c r="L264" s="360">
        <f>'DRE + DCF'!$Y$31</f>
        <v>7.3550000000000004E-2</v>
      </c>
      <c r="M264" s="361">
        <f>(1+D264)^((5-Dashboard!$F$9)*3/12)</f>
        <v>1.0734769490155811</v>
      </c>
      <c r="N264" s="361">
        <f t="shared" ref="N264:V264" si="259">M264*(1+$D264)</f>
        <v>1.1799121885104769</v>
      </c>
      <c r="O264" s="361">
        <f t="shared" si="259"/>
        <v>1.2969004820012915</v>
      </c>
      <c r="P264" s="361">
        <f t="shared" si="259"/>
        <v>1.4254881647917206</v>
      </c>
      <c r="Q264" s="361">
        <f t="shared" si="259"/>
        <v>1.5668253163308208</v>
      </c>
      <c r="R264" s="361">
        <f t="shared" si="259"/>
        <v>1.7221760464450229</v>
      </c>
      <c r="S264" s="361">
        <f t="shared" si="259"/>
        <v>1.8929298014500482</v>
      </c>
      <c r="T264" s="361">
        <f t="shared" si="259"/>
        <v>2.0806137912638221</v>
      </c>
      <c r="U264" s="361">
        <f t="shared" si="259"/>
        <v>2.2869066486676317</v>
      </c>
      <c r="V264" s="362">
        <f t="shared" si="259"/>
        <v>2.5136534428830291</v>
      </c>
      <c r="X264" s="351"/>
    </row>
    <row r="265" spans="3:24" ht="24.75" customHeight="1" x14ac:dyDescent="0.3">
      <c r="C265" s="353">
        <f>ABS(E265-Dashboard!$F$14)</f>
        <v>342.24181067531191</v>
      </c>
      <c r="D265" s="350">
        <f t="shared" si="201"/>
        <v>9.9250000000000727E-2</v>
      </c>
      <c r="E265" s="359" cm="1">
        <f t="array" ref="E265">1000*SUM('DRE + DCF'!$L$36/M265,'DRE + DCF'!$N$36:$V$36/N265:V265,F265/V265)/Dashboard!$F$11</f>
        <v>439.23181067531192</v>
      </c>
      <c r="F265" s="359">
        <f t="shared" si="199"/>
        <v>48368038.667566806</v>
      </c>
      <c r="G265" s="359">
        <f>'DRE + DCF'!$W$31</f>
        <v>2791623.3540418856</v>
      </c>
      <c r="H265" s="359">
        <f>'DRE + DCF'!$W$32</f>
        <v>81081.931703745853</v>
      </c>
      <c r="I265" s="359">
        <f>-H265*('DRE + DCF'!$V$33+K265)/'DRE + DCF'!$V$33</f>
        <v>-90858.801614444121</v>
      </c>
      <c r="J265" s="359">
        <f>-'DRE + DCF'!$V$56*L265</f>
        <v>-1188924.4255577971</v>
      </c>
      <c r="K265" s="360">
        <f>(1+L265)/(1+Ke!$O$12)-1</f>
        <v>2.0000000000000018E-2</v>
      </c>
      <c r="L265" s="360">
        <f>'DRE + DCF'!$Y$31</f>
        <v>7.3550000000000004E-2</v>
      </c>
      <c r="M265" s="361">
        <f>(1+D265)^((5-Dashboard!$F$9)*3/12)</f>
        <v>1.0735501963936533</v>
      </c>
      <c r="N265" s="361">
        <f t="shared" ref="N265:V265" si="260">M265*(1+$D265)</f>
        <v>1.1801000533857242</v>
      </c>
      <c r="O265" s="361">
        <f t="shared" si="260"/>
        <v>1.2972249836842582</v>
      </c>
      <c r="P265" s="361">
        <f t="shared" si="260"/>
        <v>1.4259745633149217</v>
      </c>
      <c r="Q265" s="361">
        <f t="shared" si="260"/>
        <v>1.5675025387239288</v>
      </c>
      <c r="R265" s="361">
        <f t="shared" si="260"/>
        <v>1.7230771656922799</v>
      </c>
      <c r="S265" s="361">
        <f t="shared" si="260"/>
        <v>1.8940925743872399</v>
      </c>
      <c r="T265" s="361">
        <f t="shared" si="260"/>
        <v>2.082081262395175</v>
      </c>
      <c r="U265" s="361">
        <f t="shared" si="260"/>
        <v>2.2887278276878975</v>
      </c>
      <c r="V265" s="362">
        <f t="shared" si="260"/>
        <v>2.5158840645859231</v>
      </c>
      <c r="X265" s="351"/>
    </row>
    <row r="266" spans="3:24" ht="24.75" customHeight="1" x14ac:dyDescent="0.3">
      <c r="C266" s="353">
        <f>ABS(E266-Dashboard!$F$14)</f>
        <v>340.86727840822152</v>
      </c>
      <c r="D266" s="350">
        <f t="shared" si="201"/>
        <v>9.9350000000000729E-2</v>
      </c>
      <c r="E266" s="359" cm="1">
        <f t="array" ref="E266">1000*SUM('DRE + DCF'!$L$36/M266,'DRE + DCF'!$N$36:$V$36/N266:V266,F266/V266)/Dashboard!$F$11</f>
        <v>437.85727840822153</v>
      </c>
      <c r="F266" s="359">
        <f t="shared" si="199"/>
        <v>48223888.167162135</v>
      </c>
      <c r="G266" s="359">
        <f>'DRE + DCF'!$W$31</f>
        <v>2791623.3540418856</v>
      </c>
      <c r="H266" s="359">
        <f>'DRE + DCF'!$W$32</f>
        <v>81081.931703745853</v>
      </c>
      <c r="I266" s="359">
        <f>-H266*('DRE + DCF'!$V$33+K266)/'DRE + DCF'!$V$33</f>
        <v>-90858.801614444121</v>
      </c>
      <c r="J266" s="359">
        <f>-'DRE + DCF'!$V$56*L266</f>
        <v>-1188924.4255577971</v>
      </c>
      <c r="K266" s="360">
        <f>(1+L266)/(1+Ke!$O$12)-1</f>
        <v>2.0000000000000018E-2</v>
      </c>
      <c r="L266" s="360">
        <f>'DRE + DCF'!$Y$31</f>
        <v>7.3550000000000004E-2</v>
      </c>
      <c r="M266" s="361">
        <f>(1+D266)^((5-Dashboard!$F$9)*3/12)</f>
        <v>1.0736234421058957</v>
      </c>
      <c r="N266" s="361">
        <f t="shared" ref="N266:V266" si="261">M266*(1+$D266)</f>
        <v>1.1802879310791172</v>
      </c>
      <c r="O266" s="361">
        <f t="shared" si="261"/>
        <v>1.2975495370318284</v>
      </c>
      <c r="P266" s="361">
        <f t="shared" si="261"/>
        <v>1.4264610835359415</v>
      </c>
      <c r="Q266" s="361">
        <f t="shared" si="261"/>
        <v>1.5681799921852382</v>
      </c>
      <c r="R266" s="361">
        <f t="shared" si="261"/>
        <v>1.7239786744088428</v>
      </c>
      <c r="S266" s="361">
        <f t="shared" si="261"/>
        <v>1.8952559557113626</v>
      </c>
      <c r="T266" s="361">
        <f t="shared" si="261"/>
        <v>2.0835496349112876</v>
      </c>
      <c r="U266" s="361">
        <f t="shared" si="261"/>
        <v>2.2905502911397257</v>
      </c>
      <c r="V266" s="362">
        <f t="shared" si="261"/>
        <v>2.5181164625644592</v>
      </c>
      <c r="X266" s="351"/>
    </row>
    <row r="267" spans="3:24" ht="24.75" customHeight="1" x14ac:dyDescent="0.3">
      <c r="C267" s="353">
        <f>ABS(E267-Dashboard!$F$14)</f>
        <v>339.50215369110822</v>
      </c>
      <c r="D267" s="350">
        <f t="shared" si="201"/>
        <v>9.9450000000000732E-2</v>
      </c>
      <c r="E267" s="359" cm="1">
        <f t="array" ref="E267">1000*SUM('DRE + DCF'!$L$36/M267,'DRE + DCF'!$N$36:$V$36/N267:V267,F267/V267)/Dashboard!$F$11</f>
        <v>436.49215369110823</v>
      </c>
      <c r="F267" s="359">
        <f t="shared" si="199"/>
        <v>48080764.010203086</v>
      </c>
      <c r="G267" s="359">
        <f>'DRE + DCF'!$W$31</f>
        <v>2791623.3540418856</v>
      </c>
      <c r="H267" s="359">
        <f>'DRE + DCF'!$W$32</f>
        <v>81081.931703745853</v>
      </c>
      <c r="I267" s="359">
        <f>-H267*('DRE + DCF'!$V$33+K267)/'DRE + DCF'!$V$33</f>
        <v>-90858.801614444121</v>
      </c>
      <c r="J267" s="359">
        <f>-'DRE + DCF'!$V$56*L267</f>
        <v>-1188924.4255577971</v>
      </c>
      <c r="K267" s="360">
        <f>(1+L267)/(1+Ke!$O$12)-1</f>
        <v>2.0000000000000018E-2</v>
      </c>
      <c r="L267" s="360">
        <f>'DRE + DCF'!$Y$31</f>
        <v>7.3550000000000004E-2</v>
      </c>
      <c r="M267" s="361">
        <f>(1+D267)^((5-Dashboard!$F$9)*3/12)</f>
        <v>1.0736966861524975</v>
      </c>
      <c r="N267" s="361">
        <f t="shared" ref="N267:V267" si="262">M267*(1+$D267)</f>
        <v>1.1804758215903641</v>
      </c>
      <c r="O267" s="361">
        <f t="shared" si="262"/>
        <v>1.2978741420475266</v>
      </c>
      <c r="P267" s="361">
        <f t="shared" si="262"/>
        <v>1.426947725474154</v>
      </c>
      <c r="Q267" s="361">
        <f t="shared" si="262"/>
        <v>1.5688576767725597</v>
      </c>
      <c r="R267" s="361">
        <f t="shared" si="262"/>
        <v>1.724880572727592</v>
      </c>
      <c r="S267" s="361">
        <f t="shared" si="262"/>
        <v>1.8964199456853523</v>
      </c>
      <c r="T267" s="361">
        <f t="shared" si="262"/>
        <v>2.0850189092837619</v>
      </c>
      <c r="U267" s="361">
        <f t="shared" si="262"/>
        <v>2.2923740398120334</v>
      </c>
      <c r="V267" s="362">
        <f t="shared" si="262"/>
        <v>2.5203506380713416</v>
      </c>
      <c r="X267" s="351"/>
    </row>
    <row r="268" spans="3:24" ht="24.75" customHeight="1" x14ac:dyDescent="0.3">
      <c r="C268" s="353">
        <f>ABS(E268-Dashboard!$F$14)</f>
        <v>338.14633230306566</v>
      </c>
      <c r="D268" s="350">
        <f t="shared" si="201"/>
        <v>9.9550000000000735E-2</v>
      </c>
      <c r="E268" s="359" cm="1">
        <f t="array" ref="E268">1000*SUM('DRE + DCF'!$L$36/M268,'DRE + DCF'!$N$36:$V$36/N268:V268,F268/V268)/Dashboard!$F$11</f>
        <v>435.13633230306567</v>
      </c>
      <c r="F268" s="359">
        <f t="shared" si="199"/>
        <v>47938654.61479979</v>
      </c>
      <c r="G268" s="359">
        <f>'DRE + DCF'!$W$31</f>
        <v>2791623.3540418856</v>
      </c>
      <c r="H268" s="359">
        <f>'DRE + DCF'!$W$32</f>
        <v>81081.931703745853</v>
      </c>
      <c r="I268" s="359">
        <f>-H268*('DRE + DCF'!$V$33+K268)/'DRE + DCF'!$V$33</f>
        <v>-90858.801614444121</v>
      </c>
      <c r="J268" s="359">
        <f>-'DRE + DCF'!$V$56*L268</f>
        <v>-1188924.4255577971</v>
      </c>
      <c r="K268" s="360">
        <f>(1+L268)/(1+Ke!$O$12)-1</f>
        <v>2.0000000000000018E-2</v>
      </c>
      <c r="L268" s="360">
        <f>'DRE + DCF'!$Y$31</f>
        <v>7.3550000000000004E-2</v>
      </c>
      <c r="M268" s="361">
        <f>(1+D268)^((5-Dashboard!$F$9)*3/12)</f>
        <v>1.0737699285336482</v>
      </c>
      <c r="N268" s="361">
        <f t="shared" ref="N268:V268" si="263">M268*(1+$D268)</f>
        <v>1.1806637249191736</v>
      </c>
      <c r="O268" s="361">
        <f t="shared" si="263"/>
        <v>1.2981987987348782</v>
      </c>
      <c r="P268" s="361">
        <f t="shared" si="263"/>
        <v>1.4274344891489363</v>
      </c>
      <c r="Q268" s="361">
        <f t="shared" si="263"/>
        <v>1.569535592543714</v>
      </c>
      <c r="R268" s="361">
        <f t="shared" si="263"/>
        <v>1.7257828607814418</v>
      </c>
      <c r="S268" s="361">
        <f t="shared" si="263"/>
        <v>1.8975845445722355</v>
      </c>
      <c r="T268" s="361">
        <f t="shared" si="263"/>
        <v>2.086489085984403</v>
      </c>
      <c r="U268" s="361">
        <f t="shared" si="263"/>
        <v>2.2941990744941516</v>
      </c>
      <c r="V268" s="362">
        <f t="shared" si="263"/>
        <v>2.5225865923600459</v>
      </c>
      <c r="X268" s="351"/>
    </row>
    <row r="269" spans="3:24" ht="24.75" customHeight="1" x14ac:dyDescent="0.3">
      <c r="C269" s="353">
        <f>ABS(E269-Dashboard!$F$14)</f>
        <v>336.79971160220094</v>
      </c>
      <c r="D269" s="350">
        <f t="shared" si="201"/>
        <v>9.9650000000000738E-2</v>
      </c>
      <c r="E269" s="359" cm="1">
        <f t="array" ref="E269">1000*SUM('DRE + DCF'!$L$36/M269,'DRE + DCF'!$N$36:$V$36/N269:V269,F269/V269)/Dashboard!$F$11</f>
        <v>433.78971160220095</v>
      </c>
      <c r="F269" s="359">
        <f t="shared" si="199"/>
        <v>47797548.575520813</v>
      </c>
      <c r="G269" s="359">
        <f>'DRE + DCF'!$W$31</f>
        <v>2791623.3540418856</v>
      </c>
      <c r="H269" s="359">
        <f>'DRE + DCF'!$W$32</f>
        <v>81081.931703745853</v>
      </c>
      <c r="I269" s="359">
        <f>-H269*('DRE + DCF'!$V$33+K269)/'DRE + DCF'!$V$33</f>
        <v>-90858.801614444121</v>
      </c>
      <c r="J269" s="359">
        <f>-'DRE + DCF'!$V$56*L269</f>
        <v>-1188924.4255577971</v>
      </c>
      <c r="K269" s="360">
        <f>(1+L269)/(1+Ke!$O$12)-1</f>
        <v>2.0000000000000018E-2</v>
      </c>
      <c r="L269" s="360">
        <f>'DRE + DCF'!$Y$31</f>
        <v>7.3550000000000004E-2</v>
      </c>
      <c r="M269" s="361">
        <f>(1+D269)^((5-Dashboard!$F$9)*3/12)</f>
        <v>1.0738431692495367</v>
      </c>
      <c r="N269" s="361">
        <f t="shared" ref="N269:V269" si="264">M269*(1+$D269)</f>
        <v>1.1808516410652539</v>
      </c>
      <c r="O269" s="361">
        <f t="shared" si="264"/>
        <v>1.2985235070974073</v>
      </c>
      <c r="P269" s="361">
        <f t="shared" si="264"/>
        <v>1.4279213745796648</v>
      </c>
      <c r="Q269" s="361">
        <f t="shared" si="264"/>
        <v>1.5702137395565294</v>
      </c>
      <c r="R269" s="361">
        <f t="shared" si="264"/>
        <v>1.7266855387033386</v>
      </c>
      <c r="S269" s="361">
        <f t="shared" si="264"/>
        <v>1.8987497526351276</v>
      </c>
      <c r="T269" s="361">
        <f t="shared" si="264"/>
        <v>2.0879601654852191</v>
      </c>
      <c r="U269" s="361">
        <f t="shared" si="264"/>
        <v>2.2960253959758226</v>
      </c>
      <c r="V269" s="362">
        <f t="shared" si="264"/>
        <v>2.5248243266848149</v>
      </c>
      <c r="X269" s="351"/>
    </row>
    <row r="270" spans="3:24" ht="24.75" customHeight="1" x14ac:dyDescent="0.3">
      <c r="C270" s="353">
        <f>ABS(E270-Dashboard!$F$14)</f>
        <v>335.46219049559306</v>
      </c>
      <c r="D270" s="350">
        <f t="shared" si="201"/>
        <v>9.9750000000000741E-2</v>
      </c>
      <c r="E270" s="359" cm="1">
        <f t="array" ref="E270">1000*SUM('DRE + DCF'!$L$36/M270,'DRE + DCF'!$N$36:$V$36/N270:V270,F270/V270)/Dashboard!$F$11</f>
        <v>432.45219049559307</v>
      </c>
      <c r="F270" s="359">
        <f t="shared" ref="F270:F333" si="265">AVERAGE(SUM(G270:J270)*(1+L270)/(D270-L270),G270*(1+L270)*(1-L270/D270)/(D270-L270))</f>
        <v>47657434.660030842</v>
      </c>
      <c r="G270" s="359">
        <f>'DRE + DCF'!$W$31</f>
        <v>2791623.3540418856</v>
      </c>
      <c r="H270" s="359">
        <f>'DRE + DCF'!$W$32</f>
        <v>81081.931703745853</v>
      </c>
      <c r="I270" s="359">
        <f>-H270*('DRE + DCF'!$V$33+K270)/'DRE + DCF'!$V$33</f>
        <v>-90858.801614444121</v>
      </c>
      <c r="J270" s="359">
        <f>-'DRE + DCF'!$V$56*L270</f>
        <v>-1188924.4255577971</v>
      </c>
      <c r="K270" s="360">
        <f>(1+L270)/(1+Ke!$O$12)-1</f>
        <v>2.0000000000000018E-2</v>
      </c>
      <c r="L270" s="360">
        <f>'DRE + DCF'!$Y$31</f>
        <v>7.3550000000000004E-2</v>
      </c>
      <c r="M270" s="361">
        <f>(1+D270)^((5-Dashboard!$F$9)*3/12)</f>
        <v>1.0739164083003527</v>
      </c>
      <c r="N270" s="361">
        <f t="shared" ref="N270:V270" si="266">M270*(1+$D270)</f>
        <v>1.1810395700283136</v>
      </c>
      <c r="O270" s="361">
        <f t="shared" si="266"/>
        <v>1.2988482671386388</v>
      </c>
      <c r="P270" s="361">
        <f t="shared" si="266"/>
        <v>1.4284083817857189</v>
      </c>
      <c r="Q270" s="361">
        <f t="shared" si="266"/>
        <v>1.5708921178688453</v>
      </c>
      <c r="R270" s="361">
        <f t="shared" si="266"/>
        <v>1.7275886066262638</v>
      </c>
      <c r="S270" s="361">
        <f t="shared" si="266"/>
        <v>1.8999155701372348</v>
      </c>
      <c r="T270" s="361">
        <f t="shared" si="266"/>
        <v>2.089432148258425</v>
      </c>
      <c r="U270" s="361">
        <f t="shared" si="266"/>
        <v>2.2978530050472044</v>
      </c>
      <c r="V270" s="362">
        <f t="shared" si="266"/>
        <v>2.5270638423006644</v>
      </c>
      <c r="X270" s="351"/>
    </row>
    <row r="271" spans="3:24" ht="24.75" customHeight="1" x14ac:dyDescent="0.3">
      <c r="C271" s="353">
        <f>ABS(E271-Dashboard!$F$14)</f>
        <v>334.13366940993586</v>
      </c>
      <c r="D271" s="350">
        <f t="shared" ref="D271:D334" si="267">D270+0.0001</f>
        <v>9.9850000000000744E-2</v>
      </c>
      <c r="E271" s="359" cm="1">
        <f t="array" ref="E271">1000*SUM('DRE + DCF'!$L$36/M271,'DRE + DCF'!$N$36:$V$36/N271:V271,F271/V271)/Dashboard!$F$11</f>
        <v>431.12366940993587</v>
      </c>
      <c r="F271" s="359">
        <f t="shared" si="265"/>
        <v>47518301.805805005</v>
      </c>
      <c r="G271" s="359">
        <f>'DRE + DCF'!$W$31</f>
        <v>2791623.3540418856</v>
      </c>
      <c r="H271" s="359">
        <f>'DRE + DCF'!$W$32</f>
        <v>81081.931703745853</v>
      </c>
      <c r="I271" s="359">
        <f>-H271*('DRE + DCF'!$V$33+K271)/'DRE + DCF'!$V$33</f>
        <v>-90858.801614444121</v>
      </c>
      <c r="J271" s="359">
        <f>-'DRE + DCF'!$V$56*L271</f>
        <v>-1188924.4255577971</v>
      </c>
      <c r="K271" s="360">
        <f>(1+L271)/(1+Ke!$O$12)-1</f>
        <v>2.0000000000000018E-2</v>
      </c>
      <c r="L271" s="360">
        <f>'DRE + DCF'!$Y$31</f>
        <v>7.3550000000000004E-2</v>
      </c>
      <c r="M271" s="361">
        <f>(1+D271)^((5-Dashboard!$F$9)*3/12)</f>
        <v>1.0739896456862854</v>
      </c>
      <c r="N271" s="361">
        <f t="shared" ref="N271:V271" si="268">M271*(1+$D271)</f>
        <v>1.1812275118080617</v>
      </c>
      <c r="O271" s="361">
        <f t="shared" si="268"/>
        <v>1.2991730788620974</v>
      </c>
      <c r="P271" s="361">
        <f t="shared" si="268"/>
        <v>1.4288955107864787</v>
      </c>
      <c r="Q271" s="361">
        <f t="shared" si="268"/>
        <v>1.5715707275385096</v>
      </c>
      <c r="R271" s="361">
        <f t="shared" si="268"/>
        <v>1.7284920646832307</v>
      </c>
      <c r="S271" s="361">
        <f t="shared" si="268"/>
        <v>1.9010819973418525</v>
      </c>
      <c r="T271" s="361">
        <f t="shared" si="268"/>
        <v>2.0909050347764375</v>
      </c>
      <c r="U271" s="361">
        <f t="shared" si="268"/>
        <v>2.2996819024988664</v>
      </c>
      <c r="V271" s="362">
        <f t="shared" si="268"/>
        <v>2.5293051404633795</v>
      </c>
      <c r="X271" s="351"/>
    </row>
    <row r="272" spans="3:24" ht="24.75" customHeight="1" x14ac:dyDescent="0.3">
      <c r="C272" s="353">
        <f>ABS(E272-Dashboard!$F$14)</f>
        <v>332.81405026284835</v>
      </c>
      <c r="D272" s="350">
        <f t="shared" si="267"/>
        <v>9.9950000000000747E-2</v>
      </c>
      <c r="E272" s="359" cm="1">
        <f t="array" ref="E272">1000*SUM('DRE + DCF'!$L$36/M272,'DRE + DCF'!$N$36:$V$36/N272:V272,F272/V272)/Dashboard!$F$11</f>
        <v>429.80405026284836</v>
      </c>
      <c r="F272" s="359">
        <f t="shared" si="265"/>
        <v>47380139.116917893</v>
      </c>
      <c r="G272" s="359">
        <f>'DRE + DCF'!$W$31</f>
        <v>2791623.3540418856</v>
      </c>
      <c r="H272" s="359">
        <f>'DRE + DCF'!$W$32</f>
        <v>81081.931703745853</v>
      </c>
      <c r="I272" s="359">
        <f>-H272*('DRE + DCF'!$V$33+K272)/'DRE + DCF'!$V$33</f>
        <v>-90858.801614444121</v>
      </c>
      <c r="J272" s="359">
        <f>-'DRE + DCF'!$V$56*L272</f>
        <v>-1188924.4255577971</v>
      </c>
      <c r="K272" s="360">
        <f>(1+L272)/(1+Ke!$O$12)-1</f>
        <v>2.0000000000000018E-2</v>
      </c>
      <c r="L272" s="360">
        <f>'DRE + DCF'!$Y$31</f>
        <v>7.3550000000000004E-2</v>
      </c>
      <c r="M272" s="361">
        <f>(1+D272)^((5-Dashboard!$F$9)*3/12)</f>
        <v>1.0740628814075239</v>
      </c>
      <c r="N272" s="361">
        <f t="shared" ref="N272:V272" si="269">M272*(1+$D272)</f>
        <v>1.1814154664042067</v>
      </c>
      <c r="O272" s="361">
        <f t="shared" si="269"/>
        <v>1.299497942271308</v>
      </c>
      <c r="P272" s="361">
        <f t="shared" si="269"/>
        <v>1.4293827616013262</v>
      </c>
      <c r="Q272" s="361">
        <f t="shared" si="269"/>
        <v>1.5722495686233797</v>
      </c>
      <c r="R272" s="361">
        <f t="shared" si="269"/>
        <v>1.7293959130072876</v>
      </c>
      <c r="S272" s="361">
        <f t="shared" si="269"/>
        <v>1.902249034512367</v>
      </c>
      <c r="T272" s="361">
        <f t="shared" si="269"/>
        <v>2.0923788255118794</v>
      </c>
      <c r="U272" s="361">
        <f t="shared" si="269"/>
        <v>2.3015120891217933</v>
      </c>
      <c r="V272" s="362">
        <f t="shared" si="269"/>
        <v>2.5315482224295178</v>
      </c>
      <c r="X272" s="351"/>
    </row>
    <row r="273" spans="3:24" ht="24.75" customHeight="1" x14ac:dyDescent="0.3">
      <c r="C273" s="353">
        <f>ABS(E273-Dashboard!$F$14)</f>
        <v>331.50323643483387</v>
      </c>
      <c r="D273" s="350">
        <f t="shared" si="267"/>
        <v>0.10005000000000075</v>
      </c>
      <c r="E273" s="359" cm="1">
        <f t="array" ref="E273">1000*SUM('DRE + DCF'!$L$36/M273,'DRE + DCF'!$N$36:$V$36/N273:V273,F273/V273)/Dashboard!$F$11</f>
        <v>428.49323643483388</v>
      </c>
      <c r="F273" s="359">
        <f t="shared" si="265"/>
        <v>47242935.86090523</v>
      </c>
      <c r="G273" s="359">
        <f>'DRE + DCF'!$W$31</f>
        <v>2791623.3540418856</v>
      </c>
      <c r="H273" s="359">
        <f>'DRE + DCF'!$W$32</f>
        <v>81081.931703745853</v>
      </c>
      <c r="I273" s="359">
        <f>-H273*('DRE + DCF'!$V$33+K273)/'DRE + DCF'!$V$33</f>
        <v>-90858.801614444121</v>
      </c>
      <c r="J273" s="359">
        <f>-'DRE + DCF'!$V$56*L273</f>
        <v>-1188924.4255577971</v>
      </c>
      <c r="K273" s="360">
        <f>(1+L273)/(1+Ke!$O$12)-1</f>
        <v>2.0000000000000018E-2</v>
      </c>
      <c r="L273" s="360">
        <f>'DRE + DCF'!$Y$31</f>
        <v>7.3550000000000004E-2</v>
      </c>
      <c r="M273" s="361">
        <f>(1+D273)^((5-Dashboard!$F$9)*3/12)</f>
        <v>1.0741361154642577</v>
      </c>
      <c r="N273" s="361">
        <f t="shared" ref="N273:V273" si="270">M273*(1+$D273)</f>
        <v>1.1816034338164576</v>
      </c>
      <c r="O273" s="361">
        <f t="shared" si="270"/>
        <v>1.2998228573697952</v>
      </c>
      <c r="P273" s="361">
        <f t="shared" si="270"/>
        <v>1.4298701342496443</v>
      </c>
      <c r="Q273" s="361">
        <f t="shared" si="270"/>
        <v>1.5729286411813224</v>
      </c>
      <c r="R273" s="361">
        <f t="shared" si="270"/>
        <v>1.7303001517315151</v>
      </c>
      <c r="S273" s="361">
        <f t="shared" si="270"/>
        <v>1.9034166819122547</v>
      </c>
      <c r="T273" s="361">
        <f t="shared" si="270"/>
        <v>2.0938535209375773</v>
      </c>
      <c r="U273" s="361">
        <f t="shared" si="270"/>
        <v>2.3033435657073835</v>
      </c>
      <c r="V273" s="362">
        <f t="shared" si="270"/>
        <v>2.5337930894564091</v>
      </c>
      <c r="X273" s="351"/>
    </row>
    <row r="274" spans="3:24" ht="24.75" customHeight="1" x14ac:dyDescent="0.3">
      <c r="C274" s="353">
        <f>ABS(E274-Dashboard!$F$14)</f>
        <v>330.2011327418719</v>
      </c>
      <c r="D274" s="350">
        <f t="shared" si="267"/>
        <v>0.10015000000000075</v>
      </c>
      <c r="E274" s="359" cm="1">
        <f t="array" ref="E274">1000*SUM('DRE + DCF'!$L$36/M274,'DRE + DCF'!$N$36:$V$36/N274:V274,F274/V274)/Dashboard!$F$11</f>
        <v>427.19113274187191</v>
      </c>
      <c r="F274" s="359">
        <f t="shared" si="265"/>
        <v>47106681.465696275</v>
      </c>
      <c r="G274" s="359">
        <f>'DRE + DCF'!$W$31</f>
        <v>2791623.3540418856</v>
      </c>
      <c r="H274" s="359">
        <f>'DRE + DCF'!$W$32</f>
        <v>81081.931703745853</v>
      </c>
      <c r="I274" s="359">
        <f>-H274*('DRE + DCF'!$V$33+K274)/'DRE + DCF'!$V$33</f>
        <v>-90858.801614444121</v>
      </c>
      <c r="J274" s="359">
        <f>-'DRE + DCF'!$V$56*L274</f>
        <v>-1188924.4255577971</v>
      </c>
      <c r="K274" s="360">
        <f>(1+L274)/(1+Ke!$O$12)-1</f>
        <v>2.0000000000000018E-2</v>
      </c>
      <c r="L274" s="360">
        <f>'DRE + DCF'!$Y$31</f>
        <v>7.3550000000000004E-2</v>
      </c>
      <c r="M274" s="361">
        <f>(1+D274)^((5-Dashboard!$F$9)*3/12)</f>
        <v>1.0742093478566754</v>
      </c>
      <c r="N274" s="361">
        <f t="shared" ref="N274:V274" si="271">M274*(1+$D274)</f>
        <v>1.1817914140445225</v>
      </c>
      <c r="O274" s="361">
        <f t="shared" si="271"/>
        <v>1.3001478241610824</v>
      </c>
      <c r="P274" s="361">
        <f t="shared" si="271"/>
        <v>1.430357628750816</v>
      </c>
      <c r="Q274" s="361">
        <f t="shared" si="271"/>
        <v>1.5736079452702114</v>
      </c>
      <c r="R274" s="361">
        <f t="shared" si="271"/>
        <v>1.7312047809890245</v>
      </c>
      <c r="S274" s="361">
        <f t="shared" si="271"/>
        <v>1.9045849398050767</v>
      </c>
      <c r="T274" s="361">
        <f t="shared" si="271"/>
        <v>2.0953291215265568</v>
      </c>
      <c r="U274" s="361">
        <f t="shared" si="271"/>
        <v>2.3051763330474433</v>
      </c>
      <c r="V274" s="362">
        <f t="shared" si="271"/>
        <v>2.5360397428021466</v>
      </c>
      <c r="X274" s="351"/>
    </row>
    <row r="275" spans="3:24" ht="24.75" customHeight="1" x14ac:dyDescent="0.3">
      <c r="C275" s="353">
        <f>ABS(E275-Dashboard!$F$14)</f>
        <v>328.90764540862261</v>
      </c>
      <c r="D275" s="350">
        <f t="shared" si="267"/>
        <v>0.10025000000000076</v>
      </c>
      <c r="E275" s="359" cm="1">
        <f t="array" ref="E275">1000*SUM('DRE + DCF'!$L$36/M275,'DRE + DCF'!$N$36:$V$36/N275:V275,F275/V275)/Dashboard!$F$11</f>
        <v>425.89764540862262</v>
      </c>
      <c r="F275" s="359">
        <f t="shared" si="265"/>
        <v>46971365.516615152</v>
      </c>
      <c r="G275" s="359">
        <f>'DRE + DCF'!$W$31</f>
        <v>2791623.3540418856</v>
      </c>
      <c r="H275" s="359">
        <f>'DRE + DCF'!$W$32</f>
        <v>81081.931703745853</v>
      </c>
      <c r="I275" s="359">
        <f>-H275*('DRE + DCF'!$V$33+K275)/'DRE + DCF'!$V$33</f>
        <v>-90858.801614444121</v>
      </c>
      <c r="J275" s="359">
        <f>-'DRE + DCF'!$V$56*L275</f>
        <v>-1188924.4255577971</v>
      </c>
      <c r="K275" s="360">
        <f>(1+L275)/(1+Ke!$O$12)-1</f>
        <v>2.0000000000000018E-2</v>
      </c>
      <c r="L275" s="360">
        <f>'DRE + DCF'!$Y$31</f>
        <v>7.3550000000000004E-2</v>
      </c>
      <c r="M275" s="361">
        <f>(1+D275)^((5-Dashboard!$F$9)*3/12)</f>
        <v>1.0742825785849666</v>
      </c>
      <c r="N275" s="361">
        <f t="shared" ref="N275:V275" si="272">M275*(1+$D275)</f>
        <v>1.1819794070881104</v>
      </c>
      <c r="O275" s="361">
        <f t="shared" si="272"/>
        <v>1.3004728426486944</v>
      </c>
      <c r="P275" s="361">
        <f t="shared" si="272"/>
        <v>1.4308452451242271</v>
      </c>
      <c r="Q275" s="361">
        <f t="shared" si="272"/>
        <v>1.5742874809479319</v>
      </c>
      <c r="R275" s="361">
        <f t="shared" si="272"/>
        <v>1.7321098009129634</v>
      </c>
      <c r="S275" s="361">
        <f t="shared" si="272"/>
        <v>1.9057538084544894</v>
      </c>
      <c r="T275" s="361">
        <f t="shared" si="272"/>
        <v>2.0968056277520537</v>
      </c>
      <c r="U275" s="361">
        <f t="shared" si="272"/>
        <v>2.3070103919341989</v>
      </c>
      <c r="V275" s="362">
        <f t="shared" si="272"/>
        <v>2.5382881837256042</v>
      </c>
      <c r="X275" s="351"/>
    </row>
    <row r="276" spans="3:24" ht="24.75" customHeight="1" x14ac:dyDescent="0.3">
      <c r="C276" s="353">
        <f>ABS(E276-Dashboard!$F$14)</f>
        <v>327.62268204223358</v>
      </c>
      <c r="D276" s="350">
        <f t="shared" si="267"/>
        <v>0.10035000000000076</v>
      </c>
      <c r="E276" s="359" cm="1">
        <f t="array" ref="E276">1000*SUM('DRE + DCF'!$L$36/M276,'DRE + DCF'!$N$36:$V$36/N276:V276,F276/V276)/Dashboard!$F$11</f>
        <v>424.61268204223359</v>
      </c>
      <c r="F276" s="359">
        <f t="shared" si="265"/>
        <v>46836977.753449313</v>
      </c>
      <c r="G276" s="359">
        <f>'DRE + DCF'!$W$31</f>
        <v>2791623.3540418856</v>
      </c>
      <c r="H276" s="359">
        <f>'DRE + DCF'!$W$32</f>
        <v>81081.931703745853</v>
      </c>
      <c r="I276" s="359">
        <f>-H276*('DRE + DCF'!$V$33+K276)/'DRE + DCF'!$V$33</f>
        <v>-90858.801614444121</v>
      </c>
      <c r="J276" s="359">
        <f>-'DRE + DCF'!$V$56*L276</f>
        <v>-1188924.4255577971</v>
      </c>
      <c r="K276" s="360">
        <f>(1+L276)/(1+Ke!$O$12)-1</f>
        <v>2.0000000000000018E-2</v>
      </c>
      <c r="L276" s="360">
        <f>'DRE + DCF'!$Y$31</f>
        <v>7.3550000000000004E-2</v>
      </c>
      <c r="M276" s="361">
        <f>(1+D276)^((5-Dashboard!$F$9)*3/12)</f>
        <v>1.07435580764932</v>
      </c>
      <c r="N276" s="361">
        <f t="shared" ref="N276:V276" si="273">M276*(1+$D276)</f>
        <v>1.1821674129469302</v>
      </c>
      <c r="O276" s="361">
        <f t="shared" si="273"/>
        <v>1.3007979128361555</v>
      </c>
      <c r="P276" s="361">
        <f t="shared" si="273"/>
        <v>1.4313329833892647</v>
      </c>
      <c r="Q276" s="361">
        <f t="shared" si="273"/>
        <v>1.5749672482723787</v>
      </c>
      <c r="R276" s="361">
        <f t="shared" si="273"/>
        <v>1.7330152116365132</v>
      </c>
      <c r="S276" s="361">
        <f t="shared" si="273"/>
        <v>1.9069232881242386</v>
      </c>
      <c r="T276" s="361">
        <f t="shared" si="273"/>
        <v>2.0982830400875074</v>
      </c>
      <c r="U276" s="361">
        <f t="shared" si="273"/>
        <v>2.3088457431602905</v>
      </c>
      <c r="V276" s="362">
        <f t="shared" si="273"/>
        <v>2.5405384134864275</v>
      </c>
      <c r="X276" s="351"/>
    </row>
    <row r="277" spans="3:24" ht="24.75" customHeight="1" x14ac:dyDescent="0.3">
      <c r="C277" s="353">
        <f>ABS(E277-Dashboard!$F$14)</f>
        <v>326.34615160672917</v>
      </c>
      <c r="D277" s="350">
        <f t="shared" si="267"/>
        <v>0.10045000000000076</v>
      </c>
      <c r="E277" s="359" cm="1">
        <f t="array" ref="E277">1000*SUM('DRE + DCF'!$L$36/M277,'DRE + DCF'!$N$36:$V$36/N277:V277,F277/V277)/Dashboard!$F$11</f>
        <v>423.33615160672917</v>
      </c>
      <c r="F277" s="359">
        <f t="shared" si="265"/>
        <v>46703508.0675833</v>
      </c>
      <c r="G277" s="359">
        <f>'DRE + DCF'!$W$31</f>
        <v>2791623.3540418856</v>
      </c>
      <c r="H277" s="359">
        <f>'DRE + DCF'!$W$32</f>
        <v>81081.931703745853</v>
      </c>
      <c r="I277" s="359">
        <f>-H277*('DRE + DCF'!$V$33+K277)/'DRE + DCF'!$V$33</f>
        <v>-90858.801614444121</v>
      </c>
      <c r="J277" s="359">
        <f>-'DRE + DCF'!$V$56*L277</f>
        <v>-1188924.4255577971</v>
      </c>
      <c r="K277" s="360">
        <f>(1+L277)/(1+Ke!$O$12)-1</f>
        <v>2.0000000000000018E-2</v>
      </c>
      <c r="L277" s="360">
        <f>'DRE + DCF'!$Y$31</f>
        <v>7.3550000000000004E-2</v>
      </c>
      <c r="M277" s="361">
        <f>(1+D277)^((5-Dashboard!$F$9)*3/12)</f>
        <v>1.0744290350499248</v>
      </c>
      <c r="N277" s="361">
        <f t="shared" ref="N277:V277" si="274">M277*(1+$D277)</f>
        <v>1.1823554316206906</v>
      </c>
      <c r="O277" s="361">
        <f t="shared" si="274"/>
        <v>1.30112303472699</v>
      </c>
      <c r="P277" s="361">
        <f t="shared" si="274"/>
        <v>1.4318208435653172</v>
      </c>
      <c r="Q277" s="361">
        <f t="shared" si="274"/>
        <v>1.5756472473014544</v>
      </c>
      <c r="R277" s="361">
        <f t="shared" si="274"/>
        <v>1.7339210132928868</v>
      </c>
      <c r="S277" s="361">
        <f t="shared" si="274"/>
        <v>1.9080933790781587</v>
      </c>
      <c r="T277" s="361">
        <f t="shared" si="274"/>
        <v>2.0997613590065614</v>
      </c>
      <c r="U277" s="361">
        <f t="shared" si="274"/>
        <v>2.3106823875187721</v>
      </c>
      <c r="V277" s="362">
        <f t="shared" si="274"/>
        <v>2.5427904333450346</v>
      </c>
      <c r="X277" s="351"/>
    </row>
    <row r="278" spans="3:24" ht="24.75" customHeight="1" x14ac:dyDescent="0.3">
      <c r="C278" s="353">
        <f>ABS(E278-Dashboard!$F$14)</f>
        <v>325.0779643979692</v>
      </c>
      <c r="D278" s="350">
        <f t="shared" si="267"/>
        <v>0.10055000000000076</v>
      </c>
      <c r="E278" s="359" cm="1">
        <f t="array" ref="E278">1000*SUM('DRE + DCF'!$L$36/M278,'DRE + DCF'!$N$36:$V$36/N278:V278,F278/V278)/Dashboard!$F$11</f>
        <v>422.06796439796921</v>
      </c>
      <c r="F278" s="359">
        <f t="shared" si="265"/>
        <v>46570946.499196209</v>
      </c>
      <c r="G278" s="359">
        <f>'DRE + DCF'!$W$31</f>
        <v>2791623.3540418856</v>
      </c>
      <c r="H278" s="359">
        <f>'DRE + DCF'!$W$32</f>
        <v>81081.931703745853</v>
      </c>
      <c r="I278" s="359">
        <f>-H278*('DRE + DCF'!$V$33+K278)/'DRE + DCF'!$V$33</f>
        <v>-90858.801614444121</v>
      </c>
      <c r="J278" s="359">
        <f>-'DRE + DCF'!$V$56*L278</f>
        <v>-1188924.4255577971</v>
      </c>
      <c r="K278" s="360">
        <f>(1+L278)/(1+Ke!$O$12)-1</f>
        <v>2.0000000000000018E-2</v>
      </c>
      <c r="L278" s="360">
        <f>'DRE + DCF'!$Y$31</f>
        <v>7.3550000000000004E-2</v>
      </c>
      <c r="M278" s="361">
        <f>(1+D278)^((5-Dashboard!$F$9)*3/12)</f>
        <v>1.0745022607869699</v>
      </c>
      <c r="N278" s="361">
        <f t="shared" ref="N278:V278" si="275">M278*(1+$D278)</f>
        <v>1.1825434631091005</v>
      </c>
      <c r="O278" s="361">
        <f t="shared" si="275"/>
        <v>1.3014482083247216</v>
      </c>
      <c r="P278" s="361">
        <f t="shared" si="275"/>
        <v>1.4323088256717735</v>
      </c>
      <c r="Q278" s="361">
        <f t="shared" si="275"/>
        <v>1.5763274780930716</v>
      </c>
      <c r="R278" s="361">
        <f t="shared" si="275"/>
        <v>1.7348272060153311</v>
      </c>
      <c r="S278" s="361">
        <f t="shared" si="275"/>
        <v>1.909264081580174</v>
      </c>
      <c r="T278" s="361">
        <f t="shared" si="275"/>
        <v>2.1012405849830622</v>
      </c>
      <c r="U278" s="361">
        <f t="shared" si="275"/>
        <v>2.3125203258031108</v>
      </c>
      <c r="V278" s="362">
        <f t="shared" si="275"/>
        <v>2.5450442445626154</v>
      </c>
      <c r="X278" s="351"/>
    </row>
    <row r="279" spans="3:24" ht="24.75" customHeight="1" x14ac:dyDescent="0.3">
      <c r="C279" s="353">
        <f>ABS(E279-Dashboard!$F$14)</f>
        <v>323.81803201916011</v>
      </c>
      <c r="D279" s="350">
        <f t="shared" si="267"/>
        <v>0.10065000000000077</v>
      </c>
      <c r="E279" s="359" cm="1">
        <f t="array" ref="E279">1000*SUM('DRE + DCF'!$L$36/M279,'DRE + DCF'!$N$36:$V$36/N279:V279,F279/V279)/Dashboard!$F$11</f>
        <v>420.80803201916012</v>
      </c>
      <c r="F279" s="359">
        <f t="shared" si="265"/>
        <v>46439283.234521173</v>
      </c>
      <c r="G279" s="359">
        <f>'DRE + DCF'!$W$31</f>
        <v>2791623.3540418856</v>
      </c>
      <c r="H279" s="359">
        <f>'DRE + DCF'!$W$32</f>
        <v>81081.931703745853</v>
      </c>
      <c r="I279" s="359">
        <f>-H279*('DRE + DCF'!$V$33+K279)/'DRE + DCF'!$V$33</f>
        <v>-90858.801614444121</v>
      </c>
      <c r="J279" s="359">
        <f>-'DRE + DCF'!$V$56*L279</f>
        <v>-1188924.4255577971</v>
      </c>
      <c r="K279" s="360">
        <f>(1+L279)/(1+Ke!$O$12)-1</f>
        <v>2.0000000000000018E-2</v>
      </c>
      <c r="L279" s="360">
        <f>'DRE + DCF'!$Y$31</f>
        <v>7.3550000000000004E-2</v>
      </c>
      <c r="M279" s="361">
        <f>(1+D279)^((5-Dashboard!$F$9)*3/12)</f>
        <v>1.0745754848606441</v>
      </c>
      <c r="N279" s="361">
        <f t="shared" ref="N279:V279" si="276">M279*(1+$D279)</f>
        <v>1.1827315074118687</v>
      </c>
      <c r="O279" s="361">
        <f t="shared" si="276"/>
        <v>1.3017734336328743</v>
      </c>
      <c r="P279" s="361">
        <f t="shared" si="276"/>
        <v>1.4327969297280241</v>
      </c>
      <c r="Q279" s="361">
        <f t="shared" si="276"/>
        <v>1.5770079407051509</v>
      </c>
      <c r="R279" s="361">
        <f t="shared" si="276"/>
        <v>1.7357337899371257</v>
      </c>
      <c r="S279" s="361">
        <f t="shared" si="276"/>
        <v>1.9104353958942988</v>
      </c>
      <c r="T279" s="361">
        <f t="shared" si="276"/>
        <v>2.1027207184910615</v>
      </c>
      <c r="U279" s="361">
        <f t="shared" si="276"/>
        <v>2.3143595588071886</v>
      </c>
      <c r="V279" s="362">
        <f t="shared" si="276"/>
        <v>2.547299848401134</v>
      </c>
      <c r="X279" s="351"/>
    </row>
    <row r="280" spans="3:24" ht="24.75" customHeight="1" x14ac:dyDescent="0.3">
      <c r="C280" s="353">
        <f>ABS(E280-Dashboard!$F$14)</f>
        <v>322.56626735690696</v>
      </c>
      <c r="D280" s="350">
        <f t="shared" si="267"/>
        <v>0.10075000000000077</v>
      </c>
      <c r="E280" s="359" cm="1">
        <f t="array" ref="E280">1000*SUM('DRE + DCF'!$L$36/M280,'DRE + DCF'!$N$36:$V$36/N280:V280,F280/V280)/Dashboard!$F$11</f>
        <v>419.55626735690697</v>
      </c>
      <c r="F280" s="359">
        <f t="shared" si="265"/>
        <v>46308508.603165276</v>
      </c>
      <c r="G280" s="359">
        <f>'DRE + DCF'!$W$31</f>
        <v>2791623.3540418856</v>
      </c>
      <c r="H280" s="359">
        <f>'DRE + DCF'!$W$32</f>
        <v>81081.931703745853</v>
      </c>
      <c r="I280" s="359">
        <f>-H280*('DRE + DCF'!$V$33+K280)/'DRE + DCF'!$V$33</f>
        <v>-90858.801614444121</v>
      </c>
      <c r="J280" s="359">
        <f>-'DRE + DCF'!$V$56*L280</f>
        <v>-1188924.4255577971</v>
      </c>
      <c r="K280" s="360">
        <f>(1+L280)/(1+Ke!$O$12)-1</f>
        <v>2.0000000000000018E-2</v>
      </c>
      <c r="L280" s="360">
        <f>'DRE + DCF'!$Y$31</f>
        <v>7.3550000000000004E-2</v>
      </c>
      <c r="M280" s="361">
        <f>(1+D280)^((5-Dashboard!$F$9)*3/12)</f>
        <v>1.0746487072711368</v>
      </c>
      <c r="N280" s="361">
        <f t="shared" ref="N280:V280" si="277">M280*(1+$D280)</f>
        <v>1.1829195645287047</v>
      </c>
      <c r="O280" s="361">
        <f t="shared" si="277"/>
        <v>1.3020987106549726</v>
      </c>
      <c r="P280" s="361">
        <f t="shared" si="277"/>
        <v>1.433285155753462</v>
      </c>
      <c r="Q280" s="361">
        <f t="shared" si="277"/>
        <v>1.5776886351956245</v>
      </c>
      <c r="R280" s="361">
        <f t="shared" si="277"/>
        <v>1.7366407651915849</v>
      </c>
      <c r="S280" s="361">
        <f t="shared" si="277"/>
        <v>1.9116073222846386</v>
      </c>
      <c r="T280" s="361">
        <f t="shared" si="277"/>
        <v>2.1042017600048175</v>
      </c>
      <c r="U280" s="361">
        <f t="shared" si="277"/>
        <v>2.3162000873253046</v>
      </c>
      <c r="V280" s="362">
        <f t="shared" si="277"/>
        <v>2.5495572461233307</v>
      </c>
      <c r="X280" s="351"/>
    </row>
    <row r="281" spans="3:24" ht="24.75" customHeight="1" x14ac:dyDescent="0.3">
      <c r="C281" s="353">
        <f>ABS(E281-Dashboard!$F$14)</f>
        <v>321.32258455779129</v>
      </c>
      <c r="D281" s="350">
        <f t="shared" si="267"/>
        <v>0.10085000000000077</v>
      </c>
      <c r="E281" s="359" cm="1">
        <f t="array" ref="E281">1000*SUM('DRE + DCF'!$L$36/M281,'DRE + DCF'!$N$36:$V$36/N281:V281,F281/V281)/Dashboard!$F$11</f>
        <v>418.3125845577913</v>
      </c>
      <c r="F281" s="359">
        <f t="shared" si="265"/>
        <v>46178613.075488299</v>
      </c>
      <c r="G281" s="359">
        <f>'DRE + DCF'!$W$31</f>
        <v>2791623.3540418856</v>
      </c>
      <c r="H281" s="359">
        <f>'DRE + DCF'!$W$32</f>
        <v>81081.931703745853</v>
      </c>
      <c r="I281" s="359">
        <f>-H281*('DRE + DCF'!$V$33+K281)/'DRE + DCF'!$V$33</f>
        <v>-90858.801614444121</v>
      </c>
      <c r="J281" s="359">
        <f>-'DRE + DCF'!$V$56*L281</f>
        <v>-1188924.4255577971</v>
      </c>
      <c r="K281" s="360">
        <f>(1+L281)/(1+Ke!$O$12)-1</f>
        <v>2.0000000000000018E-2</v>
      </c>
      <c r="L281" s="360">
        <f>'DRE + DCF'!$Y$31</f>
        <v>7.3550000000000004E-2</v>
      </c>
      <c r="M281" s="361">
        <f>(1+D281)^((5-Dashboard!$F$9)*3/12)</f>
        <v>1.0747219280186364</v>
      </c>
      <c r="N281" s="361">
        <f t="shared" ref="N281:V281" si="278">M281*(1+$D281)</f>
        <v>1.1831076344593168</v>
      </c>
      <c r="O281" s="361">
        <f t="shared" si="278"/>
        <v>1.3024240393945399</v>
      </c>
      <c r="P281" s="361">
        <f t="shared" si="278"/>
        <v>1.4337735037674801</v>
      </c>
      <c r="Q281" s="361">
        <f t="shared" si="278"/>
        <v>1.5783695616224316</v>
      </c>
      <c r="R281" s="361">
        <f t="shared" si="278"/>
        <v>1.7375481319120549</v>
      </c>
      <c r="S281" s="361">
        <f t="shared" si="278"/>
        <v>1.912779861015387</v>
      </c>
      <c r="T281" s="361">
        <f t="shared" si="278"/>
        <v>2.1056837099987904</v>
      </c>
      <c r="U281" s="361">
        <f t="shared" si="278"/>
        <v>2.3180419121521698</v>
      </c>
      <c r="V281" s="362">
        <f t="shared" si="278"/>
        <v>2.5518164389927178</v>
      </c>
      <c r="X281" s="351"/>
    </row>
    <row r="282" spans="3:24" ht="24.75" customHeight="1" x14ac:dyDescent="0.3">
      <c r="C282" s="353">
        <f>ABS(E282-Dashboard!$F$14)</f>
        <v>320.0868990054604</v>
      </c>
      <c r="D282" s="350">
        <f t="shared" si="267"/>
        <v>0.10095000000000078</v>
      </c>
      <c r="E282" s="359" cm="1">
        <f t="array" ref="E282">1000*SUM('DRE + DCF'!$L$36/M282,'DRE + DCF'!$N$36:$V$36/N282:V282,F282/V282)/Dashboard!$F$11</f>
        <v>417.0768990054604</v>
      </c>
      <c r="F282" s="359">
        <f t="shared" si="265"/>
        <v>46049587.260038912</v>
      </c>
      <c r="G282" s="359">
        <f>'DRE + DCF'!$W$31</f>
        <v>2791623.3540418856</v>
      </c>
      <c r="H282" s="359">
        <f>'DRE + DCF'!$W$32</f>
        <v>81081.931703745853</v>
      </c>
      <c r="I282" s="359">
        <f>-H282*('DRE + DCF'!$V$33+K282)/'DRE + DCF'!$V$33</f>
        <v>-90858.801614444121</v>
      </c>
      <c r="J282" s="359">
        <f>-'DRE + DCF'!$V$56*L282</f>
        <v>-1188924.4255577971</v>
      </c>
      <c r="K282" s="360">
        <f>(1+L282)/(1+Ke!$O$12)-1</f>
        <v>2.0000000000000018E-2</v>
      </c>
      <c r="L282" s="360">
        <f>'DRE + DCF'!$Y$31</f>
        <v>7.3550000000000004E-2</v>
      </c>
      <c r="M282" s="361">
        <f>(1+D282)^((5-Dashboard!$F$9)*3/12)</f>
        <v>1.0747951471033319</v>
      </c>
      <c r="N282" s="361">
        <f t="shared" ref="N282:V282" si="279">M282*(1+$D282)</f>
        <v>1.183295717203414</v>
      </c>
      <c r="O282" s="361">
        <f t="shared" si="279"/>
        <v>1.3027494198550995</v>
      </c>
      <c r="P282" s="361">
        <f t="shared" si="279"/>
        <v>1.4342619737894728</v>
      </c>
      <c r="Q282" s="361">
        <f t="shared" si="279"/>
        <v>1.5790507200435213</v>
      </c>
      <c r="R282" s="361">
        <f t="shared" si="279"/>
        <v>1.738455890231916</v>
      </c>
      <c r="S282" s="361">
        <f t="shared" si="279"/>
        <v>1.9139530123508293</v>
      </c>
      <c r="T282" s="361">
        <f t="shared" si="279"/>
        <v>2.1071665689476471</v>
      </c>
      <c r="U282" s="361">
        <f t="shared" si="279"/>
        <v>2.3198850340829136</v>
      </c>
      <c r="V282" s="362">
        <f t="shared" si="279"/>
        <v>2.5540774282735854</v>
      </c>
      <c r="X282" s="351"/>
    </row>
    <row r="283" spans="3:24" ht="24.75" customHeight="1" x14ac:dyDescent="0.3">
      <c r="C283" s="353">
        <f>ABS(E283-Dashboard!$F$14)</f>
        <v>318.859127298217</v>
      </c>
      <c r="D283" s="350">
        <f t="shared" si="267"/>
        <v>0.10105000000000078</v>
      </c>
      <c r="E283" s="359" cm="1">
        <f t="array" ref="E283">1000*SUM('DRE + DCF'!$L$36/M283,'DRE + DCF'!$N$36:$V$36/N283:V283,F283/V283)/Dashboard!$F$11</f>
        <v>415.84912729821701</v>
      </c>
      <c r="F283" s="359">
        <f t="shared" si="265"/>
        <v>45921421.901046671</v>
      </c>
      <c r="G283" s="359">
        <f>'DRE + DCF'!$W$31</f>
        <v>2791623.3540418856</v>
      </c>
      <c r="H283" s="359">
        <f>'DRE + DCF'!$W$32</f>
        <v>81081.931703745853</v>
      </c>
      <c r="I283" s="359">
        <f>-H283*('DRE + DCF'!$V$33+K283)/'DRE + DCF'!$V$33</f>
        <v>-90858.801614444121</v>
      </c>
      <c r="J283" s="359">
        <f>-'DRE + DCF'!$V$56*L283</f>
        <v>-1188924.4255577971</v>
      </c>
      <c r="K283" s="360">
        <f>(1+L283)/(1+Ke!$O$12)-1</f>
        <v>2.0000000000000018E-2</v>
      </c>
      <c r="L283" s="360">
        <f>'DRE + DCF'!$Y$31</f>
        <v>7.3550000000000004E-2</v>
      </c>
      <c r="M283" s="361">
        <f>(1+D283)^((5-Dashboard!$F$9)*3/12)</f>
        <v>1.0748683645254122</v>
      </c>
      <c r="N283" s="361">
        <f t="shared" ref="N283:V283" si="280">M283*(1+$D283)</f>
        <v>1.1834838127607059</v>
      </c>
      <c r="O283" s="361">
        <f t="shared" si="280"/>
        <v>1.303074852040176</v>
      </c>
      <c r="P283" s="361">
        <f t="shared" si="280"/>
        <v>1.4347505658388369</v>
      </c>
      <c r="Q283" s="361">
        <f t="shared" si="280"/>
        <v>1.5797321105168525</v>
      </c>
      <c r="R283" s="361">
        <f t="shared" si="280"/>
        <v>1.7393640402845816</v>
      </c>
      <c r="S283" s="361">
        <f t="shared" si="280"/>
        <v>1.9151267765553399</v>
      </c>
      <c r="T283" s="361">
        <f t="shared" si="280"/>
        <v>2.1086503373262584</v>
      </c>
      <c r="U283" s="361">
        <f t="shared" si="280"/>
        <v>2.3217294539130782</v>
      </c>
      <c r="V283" s="362">
        <f t="shared" si="280"/>
        <v>2.5563402152309966</v>
      </c>
      <c r="X283" s="351"/>
    </row>
    <row r="284" spans="3:24" ht="24.75" customHeight="1" x14ac:dyDescent="0.3">
      <c r="C284" s="353">
        <f>ABS(E284-Dashboard!$F$14)</f>
        <v>317.63918722709536</v>
      </c>
      <c r="D284" s="350">
        <f t="shared" si="267"/>
        <v>0.10115000000000078</v>
      </c>
      <c r="E284" s="359" cm="1">
        <f t="array" ref="E284">1000*SUM('DRE + DCF'!$L$36/M284,'DRE + DCF'!$N$36:$V$36/N284:V284,F284/V284)/Dashboard!$F$11</f>
        <v>414.62918722709537</v>
      </c>
      <c r="F284" s="359">
        <f t="shared" si="265"/>
        <v>45794107.87596865</v>
      </c>
      <c r="G284" s="359">
        <f>'DRE + DCF'!$W$31</f>
        <v>2791623.3540418856</v>
      </c>
      <c r="H284" s="359">
        <f>'DRE + DCF'!$W$32</f>
        <v>81081.931703745853</v>
      </c>
      <c r="I284" s="359">
        <f>-H284*('DRE + DCF'!$V$33+K284)/'DRE + DCF'!$V$33</f>
        <v>-90858.801614444121</v>
      </c>
      <c r="J284" s="359">
        <f>-'DRE + DCF'!$V$56*L284</f>
        <v>-1188924.4255577971</v>
      </c>
      <c r="K284" s="360">
        <f>(1+L284)/(1+Ke!$O$12)-1</f>
        <v>2.0000000000000018E-2</v>
      </c>
      <c r="L284" s="360">
        <f>'DRE + DCF'!$Y$31</f>
        <v>7.3550000000000004E-2</v>
      </c>
      <c r="M284" s="361">
        <f>(1+D284)^((5-Dashboard!$F$9)*3/12)</f>
        <v>1.0749415802850659</v>
      </c>
      <c r="N284" s="361">
        <f t="shared" ref="N284:V284" si="281">M284*(1+$D284)</f>
        <v>1.183671921130901</v>
      </c>
      <c r="O284" s="361">
        <f t="shared" si="281"/>
        <v>1.3034003359532926</v>
      </c>
      <c r="P284" s="361">
        <f t="shared" si="281"/>
        <v>1.4352392799349691</v>
      </c>
      <c r="Q284" s="361">
        <f t="shared" si="281"/>
        <v>1.5804137331003922</v>
      </c>
      <c r="R284" s="361">
        <f t="shared" si="281"/>
        <v>1.7402725822034981</v>
      </c>
      <c r="S284" s="361">
        <f t="shared" si="281"/>
        <v>1.9163011538933832</v>
      </c>
      <c r="T284" s="361">
        <f t="shared" si="281"/>
        <v>2.1101350156097003</v>
      </c>
      <c r="U284" s="361">
        <f t="shared" si="281"/>
        <v>2.3235751724386229</v>
      </c>
      <c r="V284" s="362">
        <f t="shared" si="281"/>
        <v>2.5586048011307914</v>
      </c>
      <c r="X284" s="351"/>
    </row>
    <row r="285" spans="3:24" ht="24.75" customHeight="1" x14ac:dyDescent="0.3">
      <c r="C285" s="353">
        <f>ABS(E285-Dashboard!$F$14)</f>
        <v>316.42699775441156</v>
      </c>
      <c r="D285" s="350">
        <f t="shared" si="267"/>
        <v>0.10125000000000078</v>
      </c>
      <c r="E285" s="359" cm="1">
        <f t="array" ref="E285">1000*SUM('DRE + DCF'!$L$36/M285,'DRE + DCF'!$N$36:$V$36/N285:V285,F285/V285)/Dashboard!$F$11</f>
        <v>413.41699775441157</v>
      </c>
      <c r="F285" s="359">
        <f t="shared" si="265"/>
        <v>45667636.193089053</v>
      </c>
      <c r="G285" s="359">
        <f>'DRE + DCF'!$W$31</f>
        <v>2791623.3540418856</v>
      </c>
      <c r="H285" s="359">
        <f>'DRE + DCF'!$W$32</f>
        <v>81081.931703745853</v>
      </c>
      <c r="I285" s="359">
        <f>-H285*('DRE + DCF'!$V$33+K285)/'DRE + DCF'!$V$33</f>
        <v>-90858.801614444121</v>
      </c>
      <c r="J285" s="359">
        <f>-'DRE + DCF'!$V$56*L285</f>
        <v>-1188924.4255577971</v>
      </c>
      <c r="K285" s="360">
        <f>(1+L285)/(1+Ke!$O$12)-1</f>
        <v>2.0000000000000018E-2</v>
      </c>
      <c r="L285" s="360">
        <f>'DRE + DCF'!$Y$31</f>
        <v>7.3550000000000004E-2</v>
      </c>
      <c r="M285" s="361">
        <f>(1+D285)^((5-Dashboard!$F$9)*3/12)</f>
        <v>1.0750147943824817</v>
      </c>
      <c r="N285" s="361">
        <f t="shared" ref="N285:V285" si="282">M285*(1+$D285)</f>
        <v>1.1838600423137087</v>
      </c>
      <c r="O285" s="361">
        <f t="shared" si="282"/>
        <v>1.3037258715979725</v>
      </c>
      <c r="P285" s="361">
        <f t="shared" si="282"/>
        <v>1.4357281160972681</v>
      </c>
      <c r="Q285" s="361">
        <f t="shared" si="282"/>
        <v>1.5810955878521176</v>
      </c>
      <c r="R285" s="361">
        <f t="shared" si="282"/>
        <v>1.7411815161221456</v>
      </c>
      <c r="S285" s="361">
        <f t="shared" si="282"/>
        <v>1.9174761446295141</v>
      </c>
      <c r="T285" s="361">
        <f t="shared" si="282"/>
        <v>2.1116206042732539</v>
      </c>
      <c r="U285" s="361">
        <f t="shared" si="282"/>
        <v>2.3254221904559222</v>
      </c>
      <c r="V285" s="362">
        <f t="shared" si="282"/>
        <v>2.5608711872395862</v>
      </c>
      <c r="X285" s="351"/>
    </row>
    <row r="286" spans="3:24" ht="24.75" customHeight="1" x14ac:dyDescent="0.3">
      <c r="C286" s="353">
        <f>ABS(E286-Dashboard!$F$14)</f>
        <v>315.22247899277613</v>
      </c>
      <c r="D286" s="350">
        <f t="shared" si="267"/>
        <v>0.10135000000000079</v>
      </c>
      <c r="E286" s="359" cm="1">
        <f t="array" ref="E286">1000*SUM('DRE + DCF'!$L$36/M286,'DRE + DCF'!$N$36:$V$36/N286:V286,F286/V286)/Dashboard!$F$11</f>
        <v>412.21247899277614</v>
      </c>
      <c r="F286" s="359">
        <f t="shared" si="265"/>
        <v>45541997.989170671</v>
      </c>
      <c r="G286" s="359">
        <f>'DRE + DCF'!$W$31</f>
        <v>2791623.3540418856</v>
      </c>
      <c r="H286" s="359">
        <f>'DRE + DCF'!$W$32</f>
        <v>81081.931703745853</v>
      </c>
      <c r="I286" s="359">
        <f>-H286*('DRE + DCF'!$V$33+K286)/'DRE + DCF'!$V$33</f>
        <v>-90858.801614444121</v>
      </c>
      <c r="J286" s="359">
        <f>-'DRE + DCF'!$V$56*L286</f>
        <v>-1188924.4255577971</v>
      </c>
      <c r="K286" s="360">
        <f>(1+L286)/(1+Ke!$O$12)-1</f>
        <v>2.0000000000000018E-2</v>
      </c>
      <c r="L286" s="360">
        <f>'DRE + DCF'!$Y$31</f>
        <v>7.3550000000000004E-2</v>
      </c>
      <c r="M286" s="361">
        <f>(1+D286)^((5-Dashboard!$F$9)*3/12)</f>
        <v>1.0750880068178481</v>
      </c>
      <c r="N286" s="361">
        <f t="shared" ref="N286:V286" si="283">M286*(1+$D286)</f>
        <v>1.1840481763088377</v>
      </c>
      <c r="O286" s="361">
        <f t="shared" si="283"/>
        <v>1.3040514589777392</v>
      </c>
      <c r="P286" s="361">
        <f t="shared" si="283"/>
        <v>1.4362170743451341</v>
      </c>
      <c r="Q286" s="361">
        <f t="shared" si="283"/>
        <v>1.5817776748300145</v>
      </c>
      <c r="R286" s="361">
        <f t="shared" si="283"/>
        <v>1.7420908421740375</v>
      </c>
      <c r="S286" s="361">
        <f t="shared" si="283"/>
        <v>1.9186517490283774</v>
      </c>
      <c r="T286" s="361">
        <f t="shared" si="283"/>
        <v>2.1131071037924047</v>
      </c>
      <c r="U286" s="361">
        <f t="shared" si="283"/>
        <v>2.3272705087617664</v>
      </c>
      <c r="V286" s="362">
        <f t="shared" si="283"/>
        <v>2.5631393748247731</v>
      </c>
      <c r="X286" s="351"/>
    </row>
    <row r="287" spans="3:24" ht="24.75" customHeight="1" x14ac:dyDescent="0.3">
      <c r="C287" s="353">
        <f>ABS(E287-Dashboard!$F$14)</f>
        <v>314.02555218455802</v>
      </c>
      <c r="D287" s="350">
        <f t="shared" si="267"/>
        <v>0.10145000000000079</v>
      </c>
      <c r="E287" s="359" cm="1">
        <f t="array" ref="E287">1000*SUM('DRE + DCF'!$L$36/M287,'DRE + DCF'!$N$36:$V$36/N287:V287,F287/V287)/Dashboard!$F$11</f>
        <v>411.01555218455803</v>
      </c>
      <c r="F287" s="359">
        <f t="shared" si="265"/>
        <v>45417184.52715683</v>
      </c>
      <c r="G287" s="359">
        <f>'DRE + DCF'!$W$31</f>
        <v>2791623.3540418856</v>
      </c>
      <c r="H287" s="359">
        <f>'DRE + DCF'!$W$32</f>
        <v>81081.931703745853</v>
      </c>
      <c r="I287" s="359">
        <f>-H287*('DRE + DCF'!$V$33+K287)/'DRE + DCF'!$V$33</f>
        <v>-90858.801614444121</v>
      </c>
      <c r="J287" s="359">
        <f>-'DRE + DCF'!$V$56*L287</f>
        <v>-1188924.4255577971</v>
      </c>
      <c r="K287" s="360">
        <f>(1+L287)/(1+Ke!$O$12)-1</f>
        <v>2.0000000000000018E-2</v>
      </c>
      <c r="L287" s="360">
        <f>'DRE + DCF'!$Y$31</f>
        <v>7.3550000000000004E-2</v>
      </c>
      <c r="M287" s="361">
        <f>(1+D287)^((5-Dashboard!$F$9)*3/12)</f>
        <v>1.0751612175913543</v>
      </c>
      <c r="N287" s="361">
        <f t="shared" ref="N287:V287" si="284">M287*(1+$D287)</f>
        <v>1.184236323115998</v>
      </c>
      <c r="O287" s="361">
        <f t="shared" si="284"/>
        <v>1.3043770980961169</v>
      </c>
      <c r="P287" s="361">
        <f t="shared" si="284"/>
        <v>1.4367061546979689</v>
      </c>
      <c r="Q287" s="361">
        <f t="shared" si="284"/>
        <v>1.5824599940920789</v>
      </c>
      <c r="R287" s="361">
        <f t="shared" si="284"/>
        <v>1.7430005604927215</v>
      </c>
      <c r="S287" s="361">
        <f t="shared" si="284"/>
        <v>1.9198279673547092</v>
      </c>
      <c r="T287" s="361">
        <f t="shared" si="284"/>
        <v>2.114594514642846</v>
      </c>
      <c r="U287" s="361">
        <f t="shared" si="284"/>
        <v>2.329120128153364</v>
      </c>
      <c r="V287" s="362">
        <f t="shared" si="284"/>
        <v>2.5654093651545242</v>
      </c>
      <c r="X287" s="351"/>
    </row>
    <row r="288" spans="3:24" ht="24.75" customHeight="1" x14ac:dyDescent="0.3">
      <c r="C288" s="353">
        <f>ABS(E288-Dashboard!$F$14)</f>
        <v>312.83613968178838</v>
      </c>
      <c r="D288" s="350">
        <f t="shared" si="267"/>
        <v>0.10155000000000079</v>
      </c>
      <c r="E288" s="359" cm="1">
        <f t="array" ref="E288">1000*SUM('DRE + DCF'!$L$36/M288,'DRE + DCF'!$N$36:$V$36/N288:V288,F288/V288)/Dashboard!$F$11</f>
        <v>409.82613968178839</v>
      </c>
      <c r="F288" s="359">
        <f t="shared" si="265"/>
        <v>45293187.193922535</v>
      </c>
      <c r="G288" s="359">
        <f>'DRE + DCF'!$W$31</f>
        <v>2791623.3540418856</v>
      </c>
      <c r="H288" s="359">
        <f>'DRE + DCF'!$W$32</f>
        <v>81081.931703745853</v>
      </c>
      <c r="I288" s="359">
        <f>-H288*('DRE + DCF'!$V$33+K288)/'DRE + DCF'!$V$33</f>
        <v>-90858.801614444121</v>
      </c>
      <c r="J288" s="359">
        <f>-'DRE + DCF'!$V$56*L288</f>
        <v>-1188924.4255577971</v>
      </c>
      <c r="K288" s="360">
        <f>(1+L288)/(1+Ke!$O$12)-1</f>
        <v>2.0000000000000018E-2</v>
      </c>
      <c r="L288" s="360">
        <f>'DRE + DCF'!$Y$31</f>
        <v>7.3550000000000004E-2</v>
      </c>
      <c r="M288" s="361">
        <f>(1+D288)^((5-Dashboard!$F$9)*3/12)</f>
        <v>1.0752344267031884</v>
      </c>
      <c r="N288" s="361">
        <f t="shared" ref="N288:V288" si="285">M288*(1+$D288)</f>
        <v>1.184424482734898</v>
      </c>
      <c r="O288" s="361">
        <f t="shared" si="285"/>
        <v>1.3047027889566276</v>
      </c>
      <c r="P288" s="361">
        <f t="shared" si="285"/>
        <v>1.4371953571751741</v>
      </c>
      <c r="Q288" s="361">
        <f t="shared" si="285"/>
        <v>1.583142545696314</v>
      </c>
      <c r="R288" s="361">
        <f t="shared" si="285"/>
        <v>1.7439106712117758</v>
      </c>
      <c r="S288" s="361">
        <f t="shared" si="285"/>
        <v>1.9210047998733328</v>
      </c>
      <c r="T288" s="361">
        <f t="shared" si="285"/>
        <v>2.1160828373004712</v>
      </c>
      <c r="U288" s="361">
        <f t="shared" si="285"/>
        <v>2.3309710494283356</v>
      </c>
      <c r="V288" s="362">
        <f t="shared" si="285"/>
        <v>2.5676811594977846</v>
      </c>
      <c r="X288" s="351"/>
    </row>
    <row r="289" spans="3:24" ht="24.75" customHeight="1" x14ac:dyDescent="0.3">
      <c r="C289" s="353">
        <f>ABS(E289-Dashboard!$F$14)</f>
        <v>311.65416492649177</v>
      </c>
      <c r="D289" s="350">
        <f t="shared" si="267"/>
        <v>0.1016500000000008</v>
      </c>
      <c r="E289" s="359" cm="1">
        <f t="array" ref="E289">1000*SUM('DRE + DCF'!$L$36/M289,'DRE + DCF'!$N$36:$V$36/N289:V289,F289/V289)/Dashboard!$F$11</f>
        <v>408.64416492649178</v>
      </c>
      <c r="F289" s="359">
        <f t="shared" si="265"/>
        <v>45169997.4980736</v>
      </c>
      <c r="G289" s="359">
        <f>'DRE + DCF'!$W$31</f>
        <v>2791623.3540418856</v>
      </c>
      <c r="H289" s="359">
        <f>'DRE + DCF'!$W$32</f>
        <v>81081.931703745853</v>
      </c>
      <c r="I289" s="359">
        <f>-H289*('DRE + DCF'!$V$33+K289)/'DRE + DCF'!$V$33</f>
        <v>-90858.801614444121</v>
      </c>
      <c r="J289" s="359">
        <f>-'DRE + DCF'!$V$56*L289</f>
        <v>-1188924.4255577971</v>
      </c>
      <c r="K289" s="360">
        <f>(1+L289)/(1+Ke!$O$12)-1</f>
        <v>2.0000000000000018E-2</v>
      </c>
      <c r="L289" s="360">
        <f>'DRE + DCF'!$Y$31</f>
        <v>7.3550000000000004E-2</v>
      </c>
      <c r="M289" s="361">
        <f>(1+D289)^((5-Dashboard!$F$9)*3/12)</f>
        <v>1.075307634153539</v>
      </c>
      <c r="N289" s="361">
        <f t="shared" ref="N289:V289" si="286">M289*(1+$D289)</f>
        <v>1.1846126551652469</v>
      </c>
      <c r="O289" s="361">
        <f t="shared" si="286"/>
        <v>1.3050285315627952</v>
      </c>
      <c r="P289" s="361">
        <f t="shared" si="286"/>
        <v>1.4376846817961542</v>
      </c>
      <c r="Q289" s="361">
        <f t="shared" si="286"/>
        <v>1.5838253297007343</v>
      </c>
      <c r="R289" s="361">
        <f t="shared" si="286"/>
        <v>1.744821174464815</v>
      </c>
      <c r="S289" s="361">
        <f t="shared" si="286"/>
        <v>1.9221822468491647</v>
      </c>
      <c r="T289" s="361">
        <f t="shared" si="286"/>
        <v>2.1175720722413836</v>
      </c>
      <c r="U289" s="361">
        <f t="shared" si="286"/>
        <v>2.3328232733847218</v>
      </c>
      <c r="V289" s="362">
        <f t="shared" si="286"/>
        <v>2.5699547591242804</v>
      </c>
      <c r="X289" s="351"/>
    </row>
    <row r="290" spans="3:24" ht="24.75" customHeight="1" x14ac:dyDescent="0.3">
      <c r="C290" s="353">
        <f>ABS(E290-Dashboard!$F$14)</f>
        <v>310.47955243143593</v>
      </c>
      <c r="D290" s="350">
        <f t="shared" si="267"/>
        <v>0.1017500000000008</v>
      </c>
      <c r="E290" s="359" cm="1">
        <f t="array" ref="E290">1000*SUM('DRE + DCF'!$L$36/M290,'DRE + DCF'!$N$36:$V$36/N290:V290,F290/V290)/Dashboard!$F$11</f>
        <v>407.46955243143594</v>
      </c>
      <c r="F290" s="359">
        <f t="shared" si="265"/>
        <v>45047607.06779258</v>
      </c>
      <c r="G290" s="359">
        <f>'DRE + DCF'!$W$31</f>
        <v>2791623.3540418856</v>
      </c>
      <c r="H290" s="359">
        <f>'DRE + DCF'!$W$32</f>
        <v>81081.931703745853</v>
      </c>
      <c r="I290" s="359">
        <f>-H290*('DRE + DCF'!$V$33+K290)/'DRE + DCF'!$V$33</f>
        <v>-90858.801614444121</v>
      </c>
      <c r="J290" s="359">
        <f>-'DRE + DCF'!$V$56*L290</f>
        <v>-1188924.4255577971</v>
      </c>
      <c r="K290" s="360">
        <f>(1+L290)/(1+Ke!$O$12)-1</f>
        <v>2.0000000000000018E-2</v>
      </c>
      <c r="L290" s="360">
        <f>'DRE + DCF'!$Y$31</f>
        <v>7.3550000000000004E-2</v>
      </c>
      <c r="M290" s="361">
        <f>(1+D290)^((5-Dashboard!$F$9)*3/12)</f>
        <v>1.075380839942595</v>
      </c>
      <c r="N290" s="361">
        <f t="shared" ref="N290:V290" si="287">M290*(1+$D290)</f>
        <v>1.1848008404067552</v>
      </c>
      <c r="O290" s="361">
        <f t="shared" si="287"/>
        <v>1.3053543259181435</v>
      </c>
      <c r="P290" s="361">
        <f t="shared" si="287"/>
        <v>1.4381741285803158</v>
      </c>
      <c r="Q290" s="361">
        <f t="shared" si="287"/>
        <v>1.5845083461633642</v>
      </c>
      <c r="R290" s="361">
        <f t="shared" si="287"/>
        <v>1.7457320703854879</v>
      </c>
      <c r="S290" s="361">
        <f t="shared" si="287"/>
        <v>1.9233603085472128</v>
      </c>
      <c r="T290" s="361">
        <f t="shared" si="287"/>
        <v>2.1190622199418936</v>
      </c>
      <c r="U290" s="361">
        <f t="shared" si="287"/>
        <v>2.3346768008209833</v>
      </c>
      <c r="V290" s="362">
        <f t="shared" si="287"/>
        <v>2.5722301653045205</v>
      </c>
      <c r="X290" s="351"/>
    </row>
    <row r="291" spans="3:24" ht="24.75" customHeight="1" x14ac:dyDescent="0.3">
      <c r="C291" s="353">
        <f>ABS(E291-Dashboard!$F$14)</f>
        <v>309.31222776129238</v>
      </c>
      <c r="D291" s="350">
        <f t="shared" si="267"/>
        <v>0.1018500000000008</v>
      </c>
      <c r="E291" s="359" cm="1">
        <f t="array" ref="E291">1000*SUM('DRE + DCF'!$L$36/M291,'DRE + DCF'!$N$36:$V$36/N291:V291,F291/V291)/Dashboard!$F$11</f>
        <v>406.30222776129239</v>
      </c>
      <c r="F291" s="359">
        <f t="shared" si="265"/>
        <v>44926007.648730397</v>
      </c>
      <c r="G291" s="359">
        <f>'DRE + DCF'!$W$31</f>
        <v>2791623.3540418856</v>
      </c>
      <c r="H291" s="359">
        <f>'DRE + DCF'!$W$32</f>
        <v>81081.931703745853</v>
      </c>
      <c r="I291" s="359">
        <f>-H291*('DRE + DCF'!$V$33+K291)/'DRE + DCF'!$V$33</f>
        <v>-90858.801614444121</v>
      </c>
      <c r="J291" s="359">
        <f>-'DRE + DCF'!$V$56*L291</f>
        <v>-1188924.4255577971</v>
      </c>
      <c r="K291" s="360">
        <f>(1+L291)/(1+Ke!$O$12)-1</f>
        <v>2.0000000000000018E-2</v>
      </c>
      <c r="L291" s="360">
        <f>'DRE + DCF'!$Y$31</f>
        <v>7.3550000000000004E-2</v>
      </c>
      <c r="M291" s="361">
        <f>(1+D291)^((5-Dashboard!$F$9)*3/12)</f>
        <v>1.0754540440705445</v>
      </c>
      <c r="N291" s="361">
        <f t="shared" ref="N291:V291" si="288">M291*(1+$D291)</f>
        <v>1.1849890384591304</v>
      </c>
      <c r="O291" s="361">
        <f t="shared" si="288"/>
        <v>1.3056801720261939</v>
      </c>
      <c r="P291" s="361">
        <f t="shared" si="288"/>
        <v>1.4386636975470628</v>
      </c>
      <c r="Q291" s="361">
        <f t="shared" si="288"/>
        <v>1.5851915951422324</v>
      </c>
      <c r="R291" s="361">
        <f t="shared" si="288"/>
        <v>1.7466433591074702</v>
      </c>
      <c r="S291" s="361">
        <f t="shared" si="288"/>
        <v>1.9245389852325676</v>
      </c>
      <c r="T291" s="361">
        <f t="shared" si="288"/>
        <v>2.1205532808785064</v>
      </c>
      <c r="U291" s="361">
        <f t="shared" si="288"/>
        <v>2.3365316325359839</v>
      </c>
      <c r="V291" s="362">
        <f t="shared" si="288"/>
        <v>2.5745073793097761</v>
      </c>
      <c r="X291" s="351"/>
    </row>
    <row r="292" spans="3:24" ht="24.75" customHeight="1" x14ac:dyDescent="0.3">
      <c r="C292" s="353">
        <f>ABS(E292-Dashboard!$F$14)</f>
        <v>308.1521175141869</v>
      </c>
      <c r="D292" s="350">
        <f t="shared" si="267"/>
        <v>0.1019500000000008</v>
      </c>
      <c r="E292" s="359" cm="1">
        <f t="array" ref="E292">1000*SUM('DRE + DCF'!$L$36/M292,'DRE + DCF'!$N$36:$V$36/N292:V292,F292/V292)/Dashboard!$F$11</f>
        <v>405.14211751418691</v>
      </c>
      <c r="F292" s="359">
        <f t="shared" si="265"/>
        <v>44805191.10194239</v>
      </c>
      <c r="G292" s="359">
        <f>'DRE + DCF'!$W$31</f>
        <v>2791623.3540418856</v>
      </c>
      <c r="H292" s="359">
        <f>'DRE + DCF'!$W$32</f>
        <v>81081.931703745853</v>
      </c>
      <c r="I292" s="359">
        <f>-H292*('DRE + DCF'!$V$33+K292)/'DRE + DCF'!$V$33</f>
        <v>-90858.801614444121</v>
      </c>
      <c r="J292" s="359">
        <f>-'DRE + DCF'!$V$56*L292</f>
        <v>-1188924.4255577971</v>
      </c>
      <c r="K292" s="360">
        <f>(1+L292)/(1+Ke!$O$12)-1</f>
        <v>2.0000000000000018E-2</v>
      </c>
      <c r="L292" s="360">
        <f>'DRE + DCF'!$Y$31</f>
        <v>7.3550000000000004E-2</v>
      </c>
      <c r="M292" s="361">
        <f>(1+D292)^((5-Dashboard!$F$9)*3/12)</f>
        <v>1.075527246537576</v>
      </c>
      <c r="N292" s="361">
        <f t="shared" ref="N292:V292" si="289">M292*(1+$D292)</f>
        <v>1.1851772493220829</v>
      </c>
      <c r="O292" s="361">
        <f t="shared" si="289"/>
        <v>1.3060060698904703</v>
      </c>
      <c r="P292" s="361">
        <f t="shared" si="289"/>
        <v>1.4391533887158048</v>
      </c>
      <c r="Q292" s="361">
        <f t="shared" si="289"/>
        <v>1.5858750766953824</v>
      </c>
      <c r="R292" s="361">
        <f t="shared" si="289"/>
        <v>1.747555040764478</v>
      </c>
      <c r="S292" s="361">
        <f t="shared" si="289"/>
        <v>1.925718277170418</v>
      </c>
      <c r="T292" s="361">
        <f t="shared" si="289"/>
        <v>2.1220452555279437</v>
      </c>
      <c r="U292" s="361">
        <f t="shared" si="289"/>
        <v>2.3383877693290192</v>
      </c>
      <c r="V292" s="362">
        <f t="shared" si="289"/>
        <v>2.5767864024121145</v>
      </c>
      <c r="X292" s="351"/>
    </row>
    <row r="293" spans="3:24" ht="24.75" customHeight="1" x14ac:dyDescent="0.3">
      <c r="C293" s="353">
        <f>ABS(E293-Dashboard!$F$14)</f>
        <v>306.99914930364605</v>
      </c>
      <c r="D293" s="350">
        <f t="shared" si="267"/>
        <v>0.10205000000000081</v>
      </c>
      <c r="E293" s="359" cm="1">
        <f t="array" ref="E293">1000*SUM('DRE + DCF'!$L$36/M293,'DRE + DCF'!$N$36:$V$36/N293:V293,F293/V293)/Dashboard!$F$11</f>
        <v>403.98914930364606</v>
      </c>
      <c r="F293" s="359">
        <f t="shared" si="265"/>
        <v>44685149.401867881</v>
      </c>
      <c r="G293" s="359">
        <f>'DRE + DCF'!$W$31</f>
        <v>2791623.3540418856</v>
      </c>
      <c r="H293" s="359">
        <f>'DRE + DCF'!$W$32</f>
        <v>81081.931703745853</v>
      </c>
      <c r="I293" s="359">
        <f>-H293*('DRE + DCF'!$V$33+K293)/'DRE + DCF'!$V$33</f>
        <v>-90858.801614444121</v>
      </c>
      <c r="J293" s="359">
        <f>-'DRE + DCF'!$V$56*L293</f>
        <v>-1188924.4255577971</v>
      </c>
      <c r="K293" s="360">
        <f>(1+L293)/(1+Ke!$O$12)-1</f>
        <v>2.0000000000000018E-2</v>
      </c>
      <c r="L293" s="360">
        <f>'DRE + DCF'!$Y$31</f>
        <v>7.3550000000000004E-2</v>
      </c>
      <c r="M293" s="361">
        <f>(1+D293)^((5-Dashboard!$F$9)*3/12)</f>
        <v>1.0756004473438781</v>
      </c>
      <c r="N293" s="361">
        <f t="shared" ref="N293:V293" si="290">M293*(1+$D293)</f>
        <v>1.1853654729953218</v>
      </c>
      <c r="O293" s="361">
        <f t="shared" si="290"/>
        <v>1.3063320195144954</v>
      </c>
      <c r="P293" s="361">
        <f t="shared" si="290"/>
        <v>1.4396432021059509</v>
      </c>
      <c r="Q293" s="361">
        <f t="shared" si="290"/>
        <v>1.5865587908808645</v>
      </c>
      <c r="R293" s="361">
        <f t="shared" si="290"/>
        <v>1.748467115490258</v>
      </c>
      <c r="S293" s="361">
        <f t="shared" si="290"/>
        <v>1.9268981846260405</v>
      </c>
      <c r="T293" s="361">
        <f t="shared" si="290"/>
        <v>2.1235381443671297</v>
      </c>
      <c r="U293" s="361">
        <f t="shared" si="290"/>
        <v>2.3402452119997972</v>
      </c>
      <c r="V293" s="362">
        <f t="shared" si="290"/>
        <v>2.5790672358843785</v>
      </c>
      <c r="X293" s="351"/>
    </row>
    <row r="294" spans="3:24" ht="24.75" customHeight="1" x14ac:dyDescent="0.3">
      <c r="C294" s="353">
        <f>ABS(E294-Dashboard!$F$14)</f>
        <v>305.85325174091895</v>
      </c>
      <c r="D294" s="350">
        <f t="shared" si="267"/>
        <v>0.10215000000000081</v>
      </c>
      <c r="E294" s="359" cm="1">
        <f t="array" ref="E294">1000*SUM('DRE + DCF'!$L$36/M294,'DRE + DCF'!$N$36:$V$36/N294:V294,F294/V294)/Dashboard!$F$11</f>
        <v>402.84325174091896</v>
      </c>
      <c r="F294" s="359">
        <f t="shared" si="265"/>
        <v>44565874.634352081</v>
      </c>
      <c r="G294" s="359">
        <f>'DRE + DCF'!$W$31</f>
        <v>2791623.3540418856</v>
      </c>
      <c r="H294" s="359">
        <f>'DRE + DCF'!$W$32</f>
        <v>81081.931703745853</v>
      </c>
      <c r="I294" s="359">
        <f>-H294*('DRE + DCF'!$V$33+K294)/'DRE + DCF'!$V$33</f>
        <v>-90858.801614444121</v>
      </c>
      <c r="J294" s="359">
        <f>-'DRE + DCF'!$V$56*L294</f>
        <v>-1188924.4255577971</v>
      </c>
      <c r="K294" s="360">
        <f>(1+L294)/(1+Ke!$O$12)-1</f>
        <v>2.0000000000000018E-2</v>
      </c>
      <c r="L294" s="360">
        <f>'DRE + DCF'!$Y$31</f>
        <v>7.3550000000000004E-2</v>
      </c>
      <c r="M294" s="361">
        <f>(1+D294)^((5-Dashboard!$F$9)*3/12)</f>
        <v>1.0756736464896388</v>
      </c>
      <c r="N294" s="361">
        <f t="shared" ref="N294:V294" si="291">M294*(1+$D294)</f>
        <v>1.1855537094785564</v>
      </c>
      <c r="O294" s="361">
        <f t="shared" si="291"/>
        <v>1.306658020901792</v>
      </c>
      <c r="P294" s="361">
        <f t="shared" si="291"/>
        <v>1.4401331377369111</v>
      </c>
      <c r="Q294" s="361">
        <f t="shared" si="291"/>
        <v>1.5872427377567377</v>
      </c>
      <c r="R294" s="361">
        <f t="shared" si="291"/>
        <v>1.7493795834185899</v>
      </c>
      <c r="S294" s="361">
        <f t="shared" si="291"/>
        <v>1.9280787078648003</v>
      </c>
      <c r="T294" s="361">
        <f t="shared" si="291"/>
        <v>2.1250319478731914</v>
      </c>
      <c r="U294" s="361">
        <f t="shared" si="291"/>
        <v>2.3421039613484398</v>
      </c>
      <c r="V294" s="362">
        <f t="shared" si="291"/>
        <v>2.5813498810001847</v>
      </c>
      <c r="X294" s="351"/>
    </row>
    <row r="295" spans="3:24" ht="24.75" customHeight="1" x14ac:dyDescent="0.3">
      <c r="C295" s="353">
        <f>ABS(E295-Dashboard!$F$14)</f>
        <v>304.71435441766545</v>
      </c>
      <c r="D295" s="350">
        <f t="shared" si="267"/>
        <v>0.10225000000000081</v>
      </c>
      <c r="E295" s="359" cm="1">
        <f t="array" ref="E295">1000*SUM('DRE + DCF'!$L$36/M295,'DRE + DCF'!$N$36:$V$36/N295:V295,F295/V295)/Dashboard!$F$11</f>
        <v>401.70435441766546</v>
      </c>
      <c r="F295" s="359">
        <f t="shared" si="265"/>
        <v>44447358.994709253</v>
      </c>
      <c r="G295" s="359">
        <f>'DRE + DCF'!$W$31</f>
        <v>2791623.3540418856</v>
      </c>
      <c r="H295" s="359">
        <f>'DRE + DCF'!$W$32</f>
        <v>81081.931703745853</v>
      </c>
      <c r="I295" s="359">
        <f>-H295*('DRE + DCF'!$V$33+K295)/'DRE + DCF'!$V$33</f>
        <v>-90858.801614444121</v>
      </c>
      <c r="J295" s="359">
        <f>-'DRE + DCF'!$V$56*L295</f>
        <v>-1188924.4255577971</v>
      </c>
      <c r="K295" s="360">
        <f>(1+L295)/(1+Ke!$O$12)-1</f>
        <v>2.0000000000000018E-2</v>
      </c>
      <c r="L295" s="360">
        <f>'DRE + DCF'!$Y$31</f>
        <v>7.3550000000000004E-2</v>
      </c>
      <c r="M295" s="361">
        <f>(1+D295)^((5-Dashboard!$F$9)*3/12)</f>
        <v>1.0757468439750468</v>
      </c>
      <c r="N295" s="361">
        <f t="shared" ref="N295:V295" si="292">M295*(1+$D295)</f>
        <v>1.1857419587714964</v>
      </c>
      <c r="O295" s="361">
        <f t="shared" si="292"/>
        <v>1.3069840740558829</v>
      </c>
      <c r="P295" s="361">
        <f t="shared" si="292"/>
        <v>1.4406231956280979</v>
      </c>
      <c r="Q295" s="361">
        <f t="shared" si="292"/>
        <v>1.5879269173810722</v>
      </c>
      <c r="R295" s="361">
        <f t="shared" si="292"/>
        <v>1.7502924446832882</v>
      </c>
      <c r="S295" s="361">
        <f t="shared" si="292"/>
        <v>1.9292598471521558</v>
      </c>
      <c r="T295" s="361">
        <f t="shared" si="292"/>
        <v>2.1265266665234654</v>
      </c>
      <c r="U295" s="361">
        <f t="shared" si="292"/>
        <v>2.3439640181754915</v>
      </c>
      <c r="V295" s="362">
        <f t="shared" si="292"/>
        <v>2.5836343390339374</v>
      </c>
      <c r="X295" s="351"/>
    </row>
    <row r="296" spans="3:24" ht="24.75" customHeight="1" x14ac:dyDescent="0.3">
      <c r="C296" s="353">
        <f>ABS(E296-Dashboard!$F$14)</f>
        <v>303.58238788900979</v>
      </c>
      <c r="D296" s="350">
        <f t="shared" si="267"/>
        <v>0.10235000000000082</v>
      </c>
      <c r="E296" s="359" cm="1">
        <f t="array" ref="E296">1000*SUM('DRE + DCF'!$L$36/M296,'DRE + DCF'!$N$36:$V$36/N296:V296,F296/V296)/Dashboard!$F$11</f>
        <v>400.5723878890098</v>
      </c>
      <c r="F296" s="359">
        <f t="shared" si="265"/>
        <v>44329594.785826325</v>
      </c>
      <c r="G296" s="359">
        <f>'DRE + DCF'!$W$31</f>
        <v>2791623.3540418856</v>
      </c>
      <c r="H296" s="359">
        <f>'DRE + DCF'!$W$32</f>
        <v>81081.931703745853</v>
      </c>
      <c r="I296" s="359">
        <f>-H296*('DRE + DCF'!$V$33+K296)/'DRE + DCF'!$V$33</f>
        <v>-90858.801614444121</v>
      </c>
      <c r="J296" s="359">
        <f>-'DRE + DCF'!$V$56*L296</f>
        <v>-1188924.4255577971</v>
      </c>
      <c r="K296" s="360">
        <f>(1+L296)/(1+Ke!$O$12)-1</f>
        <v>2.0000000000000018E-2</v>
      </c>
      <c r="L296" s="360">
        <f>'DRE + DCF'!$Y$31</f>
        <v>7.3550000000000004E-2</v>
      </c>
      <c r="M296" s="361">
        <f>(1+D296)^((5-Dashboard!$F$9)*3/12)</f>
        <v>1.0758200398002902</v>
      </c>
      <c r="N296" s="361">
        <f t="shared" ref="N296:V296" si="293">M296*(1+$D296)</f>
        <v>1.1859302208738507</v>
      </c>
      <c r="O296" s="361">
        <f t="shared" si="293"/>
        <v>1.3073101789802903</v>
      </c>
      <c r="P296" s="361">
        <f t="shared" si="293"/>
        <v>1.4411133757989241</v>
      </c>
      <c r="Q296" s="361">
        <f t="shared" si="293"/>
        <v>1.5886113298119451</v>
      </c>
      <c r="R296" s="361">
        <f t="shared" si="293"/>
        <v>1.751205699418199</v>
      </c>
      <c r="S296" s="361">
        <f t="shared" si="293"/>
        <v>1.9304416027536531</v>
      </c>
      <c r="T296" s="361">
        <f t="shared" si="293"/>
        <v>2.1280223007954913</v>
      </c>
      <c r="U296" s="361">
        <f t="shared" si="293"/>
        <v>2.3458253832819116</v>
      </c>
      <c r="V296" s="362">
        <f t="shared" si="293"/>
        <v>2.5859206112608173</v>
      </c>
      <c r="X296" s="351"/>
    </row>
    <row r="297" spans="3:24" ht="24.75" customHeight="1" x14ac:dyDescent="0.3">
      <c r="C297" s="353">
        <f>ABS(E297-Dashboard!$F$14)</f>
        <v>302.4572836569414</v>
      </c>
      <c r="D297" s="350">
        <f t="shared" si="267"/>
        <v>0.10245000000000082</v>
      </c>
      <c r="E297" s="359" cm="1">
        <f t="array" ref="E297">1000*SUM('DRE + DCF'!$L$36/M297,'DRE + DCF'!$N$36:$V$36/N297:V297,F297/V297)/Dashboard!$F$11</f>
        <v>399.44728365694141</v>
      </c>
      <c r="F297" s="359">
        <f t="shared" si="265"/>
        <v>44212574.416305773</v>
      </c>
      <c r="G297" s="359">
        <f>'DRE + DCF'!$W$31</f>
        <v>2791623.3540418856</v>
      </c>
      <c r="H297" s="359">
        <f>'DRE + DCF'!$W$32</f>
        <v>81081.931703745853</v>
      </c>
      <c r="I297" s="359">
        <f>-H297*('DRE + DCF'!$V$33+K297)/'DRE + DCF'!$V$33</f>
        <v>-90858.801614444121</v>
      </c>
      <c r="J297" s="359">
        <f>-'DRE + DCF'!$V$56*L297</f>
        <v>-1188924.4255577971</v>
      </c>
      <c r="K297" s="360">
        <f>(1+L297)/(1+Ke!$O$12)-1</f>
        <v>2.0000000000000018E-2</v>
      </c>
      <c r="L297" s="360">
        <f>'DRE + DCF'!$Y$31</f>
        <v>7.3550000000000004E-2</v>
      </c>
      <c r="M297" s="361">
        <f>(1+D297)^((5-Dashboard!$F$9)*3/12)</f>
        <v>1.0758932339655571</v>
      </c>
      <c r="N297" s="361">
        <f t="shared" ref="N297:V297" si="294">M297*(1+$D297)</f>
        <v>1.1861184957853292</v>
      </c>
      <c r="O297" s="361">
        <f t="shared" si="294"/>
        <v>1.3076363356785372</v>
      </c>
      <c r="P297" s="361">
        <f t="shared" si="294"/>
        <v>1.4416036782688044</v>
      </c>
      <c r="Q297" s="361">
        <f t="shared" si="294"/>
        <v>1.5892959751074447</v>
      </c>
      <c r="R297" s="361">
        <f t="shared" si="294"/>
        <v>1.7521193477572037</v>
      </c>
      <c r="S297" s="361">
        <f t="shared" si="294"/>
        <v>1.9316239749349307</v>
      </c>
      <c r="T297" s="361">
        <f t="shared" si="294"/>
        <v>2.129518851167016</v>
      </c>
      <c r="U297" s="361">
        <f t="shared" si="294"/>
        <v>2.3476880574690786</v>
      </c>
      <c r="V297" s="362">
        <f t="shared" si="294"/>
        <v>2.5882086989567878</v>
      </c>
      <c r="X297" s="351"/>
    </row>
    <row r="298" spans="3:24" ht="24.75" customHeight="1" x14ac:dyDescent="0.3">
      <c r="C298" s="353">
        <f>ABS(E298-Dashboard!$F$14)</f>
        <v>301.33897415406074</v>
      </c>
      <c r="D298" s="350">
        <f t="shared" si="267"/>
        <v>0.10255000000000082</v>
      </c>
      <c r="E298" s="359" cm="1">
        <f t="array" ref="E298">1000*SUM('DRE + DCF'!$L$36/M298,'DRE + DCF'!$N$36:$V$36/N298:V298,F298/V298)/Dashboard!$F$11</f>
        <v>398.32897415406075</v>
      </c>
      <c r="F298" s="359">
        <f t="shared" si="265"/>
        <v>44096290.398646869</v>
      </c>
      <c r="G298" s="359">
        <f>'DRE + DCF'!$W$31</f>
        <v>2791623.3540418856</v>
      </c>
      <c r="H298" s="359">
        <f>'DRE + DCF'!$W$32</f>
        <v>81081.931703745853</v>
      </c>
      <c r="I298" s="359">
        <f>-H298*('DRE + DCF'!$V$33+K298)/'DRE + DCF'!$V$33</f>
        <v>-90858.801614444121</v>
      </c>
      <c r="J298" s="359">
        <f>-'DRE + DCF'!$V$56*L298</f>
        <v>-1188924.4255577971</v>
      </c>
      <c r="K298" s="360">
        <f>(1+L298)/(1+Ke!$O$12)-1</f>
        <v>2.0000000000000018E-2</v>
      </c>
      <c r="L298" s="360">
        <f>'DRE + DCF'!$Y$31</f>
        <v>7.3550000000000004E-2</v>
      </c>
      <c r="M298" s="361">
        <f>(1+D298)^((5-Dashboard!$F$9)*3/12)</f>
        <v>1.0759664264710362</v>
      </c>
      <c r="N298" s="361">
        <f t="shared" ref="N298:V298" si="295">M298*(1+$D298)</f>
        <v>1.1863067835056418</v>
      </c>
      <c r="O298" s="361">
        <f t="shared" si="295"/>
        <v>1.3079625441541463</v>
      </c>
      <c r="P298" s="361">
        <f t="shared" si="295"/>
        <v>1.442094103057155</v>
      </c>
      <c r="Q298" s="361">
        <f t="shared" si="295"/>
        <v>1.5899808533256674</v>
      </c>
      <c r="R298" s="361">
        <f t="shared" si="295"/>
        <v>1.7530333898342159</v>
      </c>
      <c r="S298" s="361">
        <f t="shared" si="295"/>
        <v>1.932806963961716</v>
      </c>
      <c r="T298" s="361">
        <f t="shared" si="295"/>
        <v>2.1310163181159916</v>
      </c>
      <c r="U298" s="361">
        <f t="shared" si="295"/>
        <v>2.349552041538788</v>
      </c>
      <c r="V298" s="362">
        <f t="shared" si="295"/>
        <v>2.5904986033985926</v>
      </c>
      <c r="X298" s="351"/>
    </row>
    <row r="299" spans="3:24" ht="24.75" customHeight="1" x14ac:dyDescent="0.3">
      <c r="C299" s="353">
        <f>ABS(E299-Dashboard!$F$14)</f>
        <v>300.22739272765921</v>
      </c>
      <c r="D299" s="350">
        <f t="shared" si="267"/>
        <v>0.10265000000000082</v>
      </c>
      <c r="E299" s="359" cm="1">
        <f t="array" ref="E299">1000*SUM('DRE + DCF'!$L$36/M299,'DRE + DCF'!$N$36:$V$36/N299:V299,F299/V299)/Dashboard!$F$11</f>
        <v>397.21739272765922</v>
      </c>
      <c r="F299" s="359">
        <f t="shared" si="265"/>
        <v>43980735.347464532</v>
      </c>
      <c r="G299" s="359">
        <f>'DRE + DCF'!$W$31</f>
        <v>2791623.3540418856</v>
      </c>
      <c r="H299" s="359">
        <f>'DRE + DCF'!$W$32</f>
        <v>81081.931703745853</v>
      </c>
      <c r="I299" s="359">
        <f>-H299*('DRE + DCF'!$V$33+K299)/'DRE + DCF'!$V$33</f>
        <v>-90858.801614444121</v>
      </c>
      <c r="J299" s="359">
        <f>-'DRE + DCF'!$V$56*L299</f>
        <v>-1188924.4255577971</v>
      </c>
      <c r="K299" s="360">
        <f>(1+L299)/(1+Ke!$O$12)-1</f>
        <v>2.0000000000000018E-2</v>
      </c>
      <c r="L299" s="360">
        <f>'DRE + DCF'!$Y$31</f>
        <v>7.3550000000000004E-2</v>
      </c>
      <c r="M299" s="361">
        <f>(1+D299)^((5-Dashboard!$F$9)*3/12)</f>
        <v>1.0760396173169151</v>
      </c>
      <c r="N299" s="361">
        <f t="shared" ref="N299:V299" si="296">M299*(1+$D299)</f>
        <v>1.1864950840344972</v>
      </c>
      <c r="O299" s="361">
        <f t="shared" si="296"/>
        <v>1.3082888044106393</v>
      </c>
      <c r="P299" s="361">
        <f t="shared" si="296"/>
        <v>1.4425846501833925</v>
      </c>
      <c r="Q299" s="361">
        <f t="shared" si="296"/>
        <v>1.590665964524719</v>
      </c>
      <c r="R299" s="361">
        <f t="shared" si="296"/>
        <v>1.7539478257831826</v>
      </c>
      <c r="S299" s="361">
        <f t="shared" si="296"/>
        <v>1.9339905700998277</v>
      </c>
      <c r="T299" s="361">
        <f t="shared" si="296"/>
        <v>2.1325147021205764</v>
      </c>
      <c r="U299" s="361">
        <f t="shared" si="296"/>
        <v>2.3514173362932551</v>
      </c>
      <c r="V299" s="362">
        <f t="shared" si="296"/>
        <v>2.5927903258637595</v>
      </c>
      <c r="X299" s="351"/>
    </row>
    <row r="300" spans="3:24" ht="24.75" customHeight="1" x14ac:dyDescent="0.3">
      <c r="C300" s="353">
        <f>ABS(E300-Dashboard!$F$14)</f>
        <v>299.12247362412586</v>
      </c>
      <c r="D300" s="350">
        <f t="shared" si="267"/>
        <v>0.10275000000000083</v>
      </c>
      <c r="E300" s="359" cm="1">
        <f t="array" ref="E300">1000*SUM('DRE + DCF'!$L$36/M300,'DRE + DCF'!$N$36:$V$36/N300:V300,F300/V300)/Dashboard!$F$11</f>
        <v>396.11247362412587</v>
      </c>
      <c r="F300" s="359">
        <f t="shared" si="265"/>
        <v>43865901.977744609</v>
      </c>
      <c r="G300" s="359">
        <f>'DRE + DCF'!$W$31</f>
        <v>2791623.3540418856</v>
      </c>
      <c r="H300" s="359">
        <f>'DRE + DCF'!$W$32</f>
        <v>81081.931703745853</v>
      </c>
      <c r="I300" s="359">
        <f>-H300*('DRE + DCF'!$V$33+K300)/'DRE + DCF'!$V$33</f>
        <v>-90858.801614444121</v>
      </c>
      <c r="J300" s="359">
        <f>-'DRE + DCF'!$V$56*L300</f>
        <v>-1188924.4255577971</v>
      </c>
      <c r="K300" s="360">
        <f>(1+L300)/(1+Ke!$O$12)-1</f>
        <v>2.0000000000000018E-2</v>
      </c>
      <c r="L300" s="360">
        <f>'DRE + DCF'!$Y$31</f>
        <v>7.3550000000000004E-2</v>
      </c>
      <c r="M300" s="361">
        <f>(1+D300)^((5-Dashboard!$F$9)*3/12)</f>
        <v>1.0761128065033825</v>
      </c>
      <c r="N300" s="361">
        <f t="shared" ref="N300:V300" si="297">M300*(1+$D300)</f>
        <v>1.1866833973716058</v>
      </c>
      <c r="O300" s="361">
        <f t="shared" si="297"/>
        <v>1.3086151164515392</v>
      </c>
      <c r="P300" s="361">
        <f t="shared" si="297"/>
        <v>1.4430753196669359</v>
      </c>
      <c r="Q300" s="361">
        <f t="shared" si="297"/>
        <v>1.5913513087627147</v>
      </c>
      <c r="R300" s="361">
        <f t="shared" si="297"/>
        <v>1.7548626557380849</v>
      </c>
      <c r="S300" s="361">
        <f t="shared" si="297"/>
        <v>1.9351747936151744</v>
      </c>
      <c r="T300" s="361">
        <f t="shared" si="297"/>
        <v>2.1340140036591353</v>
      </c>
      <c r="U300" s="361">
        <f t="shared" si="297"/>
        <v>2.3532839425351133</v>
      </c>
      <c r="V300" s="362">
        <f t="shared" si="297"/>
        <v>2.5950838676305978</v>
      </c>
      <c r="X300" s="351"/>
    </row>
    <row r="301" spans="3:24" ht="24.75" customHeight="1" x14ac:dyDescent="0.3">
      <c r="C301" s="353">
        <f>ABS(E301-Dashboard!$F$14)</f>
        <v>298.02415197367407</v>
      </c>
      <c r="D301" s="350">
        <f t="shared" si="267"/>
        <v>0.10285000000000083</v>
      </c>
      <c r="E301" s="359" cm="1">
        <f t="array" ref="E301">1000*SUM('DRE + DCF'!$L$36/M301,'DRE + DCF'!$N$36:$V$36/N301:V301,F301/V301)/Dashboard!$F$11</f>
        <v>395.01415197367407</v>
      </c>
      <c r="F301" s="359">
        <f t="shared" si="265"/>
        <v>43751783.10313499</v>
      </c>
      <c r="G301" s="359">
        <f>'DRE + DCF'!$W$31</f>
        <v>2791623.3540418856</v>
      </c>
      <c r="H301" s="359">
        <f>'DRE + DCF'!$W$32</f>
        <v>81081.931703745853</v>
      </c>
      <c r="I301" s="359">
        <f>-H301*('DRE + DCF'!$V$33+K301)/'DRE + DCF'!$V$33</f>
        <v>-90858.801614444121</v>
      </c>
      <c r="J301" s="359">
        <f>-'DRE + DCF'!$V$56*L301</f>
        <v>-1188924.4255577971</v>
      </c>
      <c r="K301" s="360">
        <f>(1+L301)/(1+Ke!$O$12)-1</f>
        <v>2.0000000000000018E-2</v>
      </c>
      <c r="L301" s="360">
        <f>'DRE + DCF'!$Y$31</f>
        <v>7.3550000000000004E-2</v>
      </c>
      <c r="M301" s="361">
        <f>(1+D301)^((5-Dashboard!$F$9)*3/12)</f>
        <v>1.076185994030626</v>
      </c>
      <c r="N301" s="361">
        <f t="shared" ref="N301:V301" si="298">M301*(1+$D301)</f>
        <v>1.1868717235166768</v>
      </c>
      <c r="O301" s="361">
        <f t="shared" si="298"/>
        <v>1.3089414802803678</v>
      </c>
      <c r="P301" s="361">
        <f t="shared" si="298"/>
        <v>1.4435661115272047</v>
      </c>
      <c r="Q301" s="361">
        <f t="shared" si="298"/>
        <v>1.5920368860977789</v>
      </c>
      <c r="R301" s="361">
        <f t="shared" si="298"/>
        <v>1.7557778798329366</v>
      </c>
      <c r="S301" s="361">
        <f t="shared" si="298"/>
        <v>1.9363596347737555</v>
      </c>
      <c r="T301" s="361">
        <f t="shared" si="298"/>
        <v>2.1355142232102375</v>
      </c>
      <c r="U301" s="361">
        <f t="shared" si="298"/>
        <v>2.3551518610674123</v>
      </c>
      <c r="V301" s="362">
        <f t="shared" si="298"/>
        <v>2.5973792299781975</v>
      </c>
      <c r="X301" s="351"/>
    </row>
    <row r="302" spans="3:24" ht="24.75" customHeight="1" x14ac:dyDescent="0.3">
      <c r="C302" s="353">
        <f>ABS(E302-Dashboard!$F$14)</f>
        <v>296.93236377537704</v>
      </c>
      <c r="D302" s="350">
        <f t="shared" si="267"/>
        <v>0.10295000000000083</v>
      </c>
      <c r="E302" s="359" cm="1">
        <f t="array" ref="E302">1000*SUM('DRE + DCF'!$L$36/M302,'DRE + DCF'!$N$36:$V$36/N302:V302,F302/V302)/Dashboard!$F$11</f>
        <v>393.92236377537705</v>
      </c>
      <c r="F302" s="359">
        <f t="shared" si="265"/>
        <v>43638371.634271465</v>
      </c>
      <c r="G302" s="359">
        <f>'DRE + DCF'!$W$31</f>
        <v>2791623.3540418856</v>
      </c>
      <c r="H302" s="359">
        <f>'DRE + DCF'!$W$32</f>
        <v>81081.931703745853</v>
      </c>
      <c r="I302" s="359">
        <f>-H302*('DRE + DCF'!$V$33+K302)/'DRE + DCF'!$V$33</f>
        <v>-90858.801614444121</v>
      </c>
      <c r="J302" s="359">
        <f>-'DRE + DCF'!$V$56*L302</f>
        <v>-1188924.4255577971</v>
      </c>
      <c r="K302" s="360">
        <f>(1+L302)/(1+Ke!$O$12)-1</f>
        <v>2.0000000000000018E-2</v>
      </c>
      <c r="L302" s="360">
        <f>'DRE + DCF'!$Y$31</f>
        <v>7.3550000000000004E-2</v>
      </c>
      <c r="M302" s="361">
        <f>(1+D302)^((5-Dashboard!$F$9)*3/12)</f>
        <v>1.0762591798988339</v>
      </c>
      <c r="N302" s="361">
        <f t="shared" ref="N302:V302" si="299">M302*(1+$D302)</f>
        <v>1.1870600624694196</v>
      </c>
      <c r="O302" s="361">
        <f t="shared" si="299"/>
        <v>1.3092678959006474</v>
      </c>
      <c r="P302" s="361">
        <f t="shared" si="299"/>
        <v>1.4440570257836201</v>
      </c>
      <c r="Q302" s="361">
        <f t="shared" si="299"/>
        <v>1.5927226965880448</v>
      </c>
      <c r="R302" s="361">
        <f t="shared" si="299"/>
        <v>1.7566934982017852</v>
      </c>
      <c r="S302" s="361">
        <f t="shared" si="299"/>
        <v>1.9375450938416603</v>
      </c>
      <c r="T302" s="361">
        <f t="shared" si="299"/>
        <v>2.1370153612526606</v>
      </c>
      <c r="U302" s="361">
        <f t="shared" si="299"/>
        <v>2.3570210926936235</v>
      </c>
      <c r="V302" s="362">
        <f t="shared" si="299"/>
        <v>2.5996764141864337</v>
      </c>
      <c r="X302" s="351"/>
    </row>
    <row r="303" spans="3:24" ht="24.75" customHeight="1" x14ac:dyDescent="0.3">
      <c r="C303" s="353">
        <f>ABS(E303-Dashboard!$F$14)</f>
        <v>295.84704588250958</v>
      </c>
      <c r="D303" s="350">
        <f t="shared" si="267"/>
        <v>0.10305000000000084</v>
      </c>
      <c r="E303" s="359" cm="1">
        <f t="array" ref="E303">1000*SUM('DRE + DCF'!$L$36/M303,'DRE + DCF'!$N$36:$V$36/N303:V303,F303/V303)/Dashboard!$F$11</f>
        <v>392.83704588250959</v>
      </c>
      <c r="F303" s="359">
        <f t="shared" si="265"/>
        <v>43525660.577137679</v>
      </c>
      <c r="G303" s="359">
        <f>'DRE + DCF'!$W$31</f>
        <v>2791623.3540418856</v>
      </c>
      <c r="H303" s="359">
        <f>'DRE + DCF'!$W$32</f>
        <v>81081.931703745853</v>
      </c>
      <c r="I303" s="359">
        <f>-H303*('DRE + DCF'!$V$33+K303)/'DRE + DCF'!$V$33</f>
        <v>-90858.801614444121</v>
      </c>
      <c r="J303" s="359">
        <f>-'DRE + DCF'!$V$56*L303</f>
        <v>-1188924.4255577971</v>
      </c>
      <c r="K303" s="360">
        <f>(1+L303)/(1+Ke!$O$12)-1</f>
        <v>2.0000000000000018E-2</v>
      </c>
      <c r="L303" s="360">
        <f>'DRE + DCF'!$Y$31</f>
        <v>7.3550000000000004E-2</v>
      </c>
      <c r="M303" s="361">
        <f>(1+D303)^((5-Dashboard!$F$9)*3/12)</f>
        <v>1.0763323641081943</v>
      </c>
      <c r="N303" s="361">
        <f t="shared" ref="N303:V303" si="300">M303*(1+$D303)</f>
        <v>1.1872484142295445</v>
      </c>
      <c r="O303" s="361">
        <f t="shared" si="300"/>
        <v>1.3095943633159</v>
      </c>
      <c r="P303" s="361">
        <f t="shared" si="300"/>
        <v>1.4445480624556044</v>
      </c>
      <c r="Q303" s="361">
        <f t="shared" si="300"/>
        <v>1.5934087402916555</v>
      </c>
      <c r="R303" s="361">
        <f t="shared" si="300"/>
        <v>1.7576095109787118</v>
      </c>
      <c r="S303" s="361">
        <f t="shared" si="300"/>
        <v>1.9387311710850694</v>
      </c>
      <c r="T303" s="361">
        <f t="shared" si="300"/>
        <v>2.1385174182653874</v>
      </c>
      <c r="U303" s="361">
        <f t="shared" si="300"/>
        <v>2.3588916382176373</v>
      </c>
      <c r="V303" s="362">
        <f t="shared" si="300"/>
        <v>2.6019754215359665</v>
      </c>
      <c r="X303" s="351"/>
    </row>
    <row r="304" spans="3:24" ht="24.75" customHeight="1" x14ac:dyDescent="0.3">
      <c r="C304" s="353">
        <f>ABS(E304-Dashboard!$F$14)</f>
        <v>294.76813598818637</v>
      </c>
      <c r="D304" s="350">
        <f t="shared" si="267"/>
        <v>0.10315000000000084</v>
      </c>
      <c r="E304" s="359" cm="1">
        <f t="array" ref="E304">1000*SUM('DRE + DCF'!$L$36/M304,'DRE + DCF'!$N$36:$V$36/N304:V304,F304/V304)/Dashboard!$F$11</f>
        <v>391.75813598818638</v>
      </c>
      <c r="F304" s="359">
        <f t="shared" si="265"/>
        <v>43413643.031458311</v>
      </c>
      <c r="G304" s="359">
        <f>'DRE + DCF'!$W$31</f>
        <v>2791623.3540418856</v>
      </c>
      <c r="H304" s="359">
        <f>'DRE + DCF'!$W$32</f>
        <v>81081.931703745853</v>
      </c>
      <c r="I304" s="359">
        <f>-H304*('DRE + DCF'!$V$33+K304)/'DRE + DCF'!$V$33</f>
        <v>-90858.801614444121</v>
      </c>
      <c r="J304" s="359">
        <f>-'DRE + DCF'!$V$56*L304</f>
        <v>-1188924.4255577971</v>
      </c>
      <c r="K304" s="360">
        <f>(1+L304)/(1+Ke!$O$12)-1</f>
        <v>2.0000000000000018E-2</v>
      </c>
      <c r="L304" s="360">
        <f>'DRE + DCF'!$Y$31</f>
        <v>7.3550000000000004E-2</v>
      </c>
      <c r="M304" s="361">
        <f>(1+D304)^((5-Dashboard!$F$9)*3/12)</f>
        <v>1.0764055466588951</v>
      </c>
      <c r="N304" s="361">
        <f t="shared" ref="N304:V304" si="301">M304*(1+$D304)</f>
        <v>1.187436778796761</v>
      </c>
      <c r="O304" s="361">
        <f t="shared" si="301"/>
        <v>1.3099208825296478</v>
      </c>
      <c r="P304" s="361">
        <f t="shared" si="301"/>
        <v>1.445039221562582</v>
      </c>
      <c r="Q304" s="361">
        <f t="shared" si="301"/>
        <v>1.5940950172667634</v>
      </c>
      <c r="R304" s="361">
        <f t="shared" si="301"/>
        <v>1.7585259182978312</v>
      </c>
      <c r="S304" s="361">
        <f t="shared" si="301"/>
        <v>1.9399178667702539</v>
      </c>
      <c r="T304" s="361">
        <f t="shared" si="301"/>
        <v>2.1400203947276069</v>
      </c>
      <c r="U304" s="361">
        <f t="shared" si="301"/>
        <v>2.3607634984437609</v>
      </c>
      <c r="V304" s="362">
        <f t="shared" si="301"/>
        <v>2.6042762533082366</v>
      </c>
      <c r="X304" s="351"/>
    </row>
    <row r="305" spans="3:24" ht="24.75" customHeight="1" x14ac:dyDescent="0.3">
      <c r="C305" s="353">
        <f>ABS(E305-Dashboard!$F$14)</f>
        <v>293.69557261128762</v>
      </c>
      <c r="D305" s="350">
        <f t="shared" si="267"/>
        <v>0.10325000000000084</v>
      </c>
      <c r="E305" s="359" cm="1">
        <f t="array" ref="E305">1000*SUM('DRE + DCF'!$L$36/M305,'DRE + DCF'!$N$36:$V$36/N305:V305,F305/V305)/Dashboard!$F$11</f>
        <v>390.68557261128763</v>
      </c>
      <c r="F305" s="359">
        <f t="shared" si="265"/>
        <v>43302312.189124629</v>
      </c>
      <c r="G305" s="359">
        <f>'DRE + DCF'!$W$31</f>
        <v>2791623.3540418856</v>
      </c>
      <c r="H305" s="359">
        <f>'DRE + DCF'!$W$32</f>
        <v>81081.931703745853</v>
      </c>
      <c r="I305" s="359">
        <f>-H305*('DRE + DCF'!$V$33+K305)/'DRE + DCF'!$V$33</f>
        <v>-90858.801614444121</v>
      </c>
      <c r="J305" s="359">
        <f>-'DRE + DCF'!$V$56*L305</f>
        <v>-1188924.4255577971</v>
      </c>
      <c r="K305" s="360">
        <f>(1+L305)/(1+Ke!$O$12)-1</f>
        <v>2.0000000000000018E-2</v>
      </c>
      <c r="L305" s="360">
        <f>'DRE + DCF'!$Y$31</f>
        <v>7.3550000000000004E-2</v>
      </c>
      <c r="M305" s="361">
        <f>(1+D305)^((5-Dashboard!$F$9)*3/12)</f>
        <v>1.0764787275511243</v>
      </c>
      <c r="N305" s="361">
        <f t="shared" ref="N305:V305" si="302">M305*(1+$D305)</f>
        <v>1.1876251561707789</v>
      </c>
      <c r="O305" s="361">
        <f t="shared" si="302"/>
        <v>1.3102474535454129</v>
      </c>
      <c r="P305" s="361">
        <f t="shared" si="302"/>
        <v>1.445530503123978</v>
      </c>
      <c r="Q305" s="361">
        <f t="shared" si="302"/>
        <v>1.59478152757153</v>
      </c>
      <c r="R305" s="361">
        <f t="shared" si="302"/>
        <v>1.7594427202932921</v>
      </c>
      <c r="S305" s="361">
        <f t="shared" si="302"/>
        <v>1.9411051811635762</v>
      </c>
      <c r="T305" s="361">
        <f t="shared" si="302"/>
        <v>2.1415242911187171</v>
      </c>
      <c r="U305" s="361">
        <f t="shared" si="302"/>
        <v>2.3626366741767266</v>
      </c>
      <c r="V305" s="362">
        <f t="shared" si="302"/>
        <v>2.6065789107854758</v>
      </c>
      <c r="X305" s="351"/>
    </row>
    <row r="306" spans="3:24" ht="24.75" customHeight="1" x14ac:dyDescent="0.3">
      <c r="C306" s="353">
        <f>ABS(E306-Dashboard!$F$14)</f>
        <v>292.62929508267285</v>
      </c>
      <c r="D306" s="350">
        <f t="shared" si="267"/>
        <v>0.10335000000000084</v>
      </c>
      <c r="E306" s="359" cm="1">
        <f t="array" ref="E306">1000*SUM('DRE + DCF'!$L$36/M306,'DRE + DCF'!$N$36:$V$36/N306:V306,F306/V306)/Dashboard!$F$11</f>
        <v>389.61929508267286</v>
      </c>
      <c r="F306" s="359">
        <f t="shared" si="265"/>
        <v>43191661.332651824</v>
      </c>
      <c r="G306" s="359">
        <f>'DRE + DCF'!$W$31</f>
        <v>2791623.3540418856</v>
      </c>
      <c r="H306" s="359">
        <f>'DRE + DCF'!$W$32</f>
        <v>81081.931703745853</v>
      </c>
      <c r="I306" s="359">
        <f>-H306*('DRE + DCF'!$V$33+K306)/'DRE + DCF'!$V$33</f>
        <v>-90858.801614444121</v>
      </c>
      <c r="J306" s="359">
        <f>-'DRE + DCF'!$V$56*L306</f>
        <v>-1188924.4255577971</v>
      </c>
      <c r="K306" s="360">
        <f>(1+L306)/(1+Ke!$O$12)-1</f>
        <v>2.0000000000000018E-2</v>
      </c>
      <c r="L306" s="360">
        <f>'DRE + DCF'!$Y$31</f>
        <v>7.3550000000000004E-2</v>
      </c>
      <c r="M306" s="361">
        <f>(1+D306)^((5-Dashboard!$F$9)*3/12)</f>
        <v>1.0765519067850695</v>
      </c>
      <c r="N306" s="361">
        <f t="shared" ref="N306:V306" si="303">M306*(1+$D306)</f>
        <v>1.1878135463513075</v>
      </c>
      <c r="O306" s="361">
        <f t="shared" si="303"/>
        <v>1.3105740763667162</v>
      </c>
      <c r="P306" s="361">
        <f t="shared" si="303"/>
        <v>1.4460219071592175</v>
      </c>
      <c r="Q306" s="361">
        <f t="shared" si="303"/>
        <v>1.5954682712641239</v>
      </c>
      <c r="R306" s="361">
        <f t="shared" si="303"/>
        <v>1.7603599170992728</v>
      </c>
      <c r="S306" s="361">
        <f t="shared" si="303"/>
        <v>1.9422931145314843</v>
      </c>
      <c r="T306" s="361">
        <f t="shared" si="303"/>
        <v>2.143029107918315</v>
      </c>
      <c r="U306" s="361">
        <f t="shared" si="303"/>
        <v>2.3645111662216749</v>
      </c>
      <c r="V306" s="362">
        <f t="shared" si="303"/>
        <v>2.6088833952506874</v>
      </c>
      <c r="X306" s="351"/>
    </row>
    <row r="307" spans="3:24" ht="24.75" customHeight="1" x14ac:dyDescent="0.3">
      <c r="C307" s="353">
        <f>ABS(E307-Dashboard!$F$14)</f>
        <v>291.56924353166369</v>
      </c>
      <c r="D307" s="350">
        <f t="shared" si="267"/>
        <v>0.10345000000000085</v>
      </c>
      <c r="E307" s="359" cm="1">
        <f t="array" ref="E307">1000*SUM('DRE + DCF'!$L$36/M307,'DRE + DCF'!$N$36:$V$36/N307:V307,F307/V307)/Dashboard!$F$11</f>
        <v>388.5592435316637</v>
      </c>
      <c r="F307" s="359">
        <f t="shared" si="265"/>
        <v>43081683.833667152</v>
      </c>
      <c r="G307" s="359">
        <f>'DRE + DCF'!$W$31</f>
        <v>2791623.3540418856</v>
      </c>
      <c r="H307" s="359">
        <f>'DRE + DCF'!$W$32</f>
        <v>81081.931703745853</v>
      </c>
      <c r="I307" s="359">
        <f>-H307*('DRE + DCF'!$V$33+K307)/'DRE + DCF'!$V$33</f>
        <v>-90858.801614444121</v>
      </c>
      <c r="J307" s="359">
        <f>-'DRE + DCF'!$V$56*L307</f>
        <v>-1188924.4255577971</v>
      </c>
      <c r="K307" s="360">
        <f>(1+L307)/(1+Ke!$O$12)-1</f>
        <v>2.0000000000000018E-2</v>
      </c>
      <c r="L307" s="360">
        <f>'DRE + DCF'!$Y$31</f>
        <v>7.3550000000000004E-2</v>
      </c>
      <c r="M307" s="361">
        <f>(1+D307)^((5-Dashboard!$F$9)*3/12)</f>
        <v>1.0766250843609189</v>
      </c>
      <c r="N307" s="361">
        <f t="shared" ref="N307:V307" si="304">M307*(1+$D307)</f>
        <v>1.1880019493380569</v>
      </c>
      <c r="O307" s="361">
        <f t="shared" si="304"/>
        <v>1.31090075099708</v>
      </c>
      <c r="P307" s="361">
        <f t="shared" si="304"/>
        <v>1.4465134336877292</v>
      </c>
      <c r="Q307" s="361">
        <f t="shared" si="304"/>
        <v>1.5961552484027262</v>
      </c>
      <c r="R307" s="361">
        <f t="shared" si="304"/>
        <v>1.7612775088499897</v>
      </c>
      <c r="S307" s="361">
        <f t="shared" si="304"/>
        <v>1.9434816671405228</v>
      </c>
      <c r="T307" s="361">
        <f t="shared" si="304"/>
        <v>2.1445348456062119</v>
      </c>
      <c r="U307" s="361">
        <f t="shared" si="304"/>
        <v>2.3663869753841764</v>
      </c>
      <c r="V307" s="362">
        <f t="shared" si="304"/>
        <v>2.6111897079876716</v>
      </c>
      <c r="X307" s="351"/>
    </row>
    <row r="308" spans="3:24" ht="24.75" customHeight="1" x14ac:dyDescent="0.3">
      <c r="C308" s="353">
        <f>ABS(E308-Dashboard!$F$14)</f>
        <v>290.51535887280312</v>
      </c>
      <c r="D308" s="350">
        <f t="shared" si="267"/>
        <v>0.10355000000000085</v>
      </c>
      <c r="E308" s="359" cm="1">
        <f t="array" ref="E308">1000*SUM('DRE + DCF'!$L$36/M308,'DRE + DCF'!$N$36:$V$36/N308:V308,F308/V308)/Dashboard!$F$11</f>
        <v>387.50535887280313</v>
      </c>
      <c r="F308" s="359">
        <f t="shared" si="265"/>
        <v>42972373.151428416</v>
      </c>
      <c r="G308" s="359">
        <f>'DRE + DCF'!$W$31</f>
        <v>2791623.3540418856</v>
      </c>
      <c r="H308" s="359">
        <f>'DRE + DCF'!$W$32</f>
        <v>81081.931703745853</v>
      </c>
      <c r="I308" s="359">
        <f>-H308*('DRE + DCF'!$V$33+K308)/'DRE + DCF'!$V$33</f>
        <v>-90858.801614444121</v>
      </c>
      <c r="J308" s="359">
        <f>-'DRE + DCF'!$V$56*L308</f>
        <v>-1188924.4255577971</v>
      </c>
      <c r="K308" s="360">
        <f>(1+L308)/(1+Ke!$O$12)-1</f>
        <v>2.0000000000000018E-2</v>
      </c>
      <c r="L308" s="360">
        <f>'DRE + DCF'!$Y$31</f>
        <v>7.3550000000000004E-2</v>
      </c>
      <c r="M308" s="361">
        <f>(1+D308)^((5-Dashboard!$F$9)*3/12)</f>
        <v>1.07669826027886</v>
      </c>
      <c r="N308" s="361">
        <f t="shared" ref="N308:V308" si="305">M308*(1+$D308)</f>
        <v>1.1881903651307368</v>
      </c>
      <c r="O308" s="361">
        <f t="shared" si="305"/>
        <v>1.3112274774400257</v>
      </c>
      <c r="P308" s="361">
        <f t="shared" si="305"/>
        <v>1.4470050827289416</v>
      </c>
      <c r="Q308" s="361">
        <f t="shared" si="305"/>
        <v>1.5968424590455248</v>
      </c>
      <c r="R308" s="361">
        <f t="shared" si="305"/>
        <v>1.7621954956796904</v>
      </c>
      <c r="S308" s="361">
        <f t="shared" si="305"/>
        <v>1.944670839257324</v>
      </c>
      <c r="T308" s="361">
        <f t="shared" si="305"/>
        <v>2.1460415046624215</v>
      </c>
      <c r="U308" s="361">
        <f t="shared" si="305"/>
        <v>2.3682641024702171</v>
      </c>
      <c r="V308" s="362">
        <f t="shared" si="305"/>
        <v>2.6134978502810102</v>
      </c>
      <c r="X308" s="351"/>
    </row>
    <row r="309" spans="3:24" ht="24.75" customHeight="1" x14ac:dyDescent="0.3">
      <c r="C309" s="353">
        <f>ABS(E309-Dashboard!$F$14)</f>
        <v>289.4675827928744</v>
      </c>
      <c r="D309" s="350">
        <f t="shared" si="267"/>
        <v>0.10365000000000085</v>
      </c>
      <c r="E309" s="359" cm="1">
        <f t="array" ref="E309">1000*SUM('DRE + DCF'!$L$36/M309,'DRE + DCF'!$N$36:$V$36/N309:V309,F309/V309)/Dashboard!$F$11</f>
        <v>386.4575827928744</v>
      </c>
      <c r="F309" s="359">
        <f t="shared" si="265"/>
        <v>42863722.831371874</v>
      </c>
      <c r="G309" s="359">
        <f>'DRE + DCF'!$W$31</f>
        <v>2791623.3540418856</v>
      </c>
      <c r="H309" s="359">
        <f>'DRE + DCF'!$W$32</f>
        <v>81081.931703745853</v>
      </c>
      <c r="I309" s="359">
        <f>-H309*('DRE + DCF'!$V$33+K309)/'DRE + DCF'!$V$33</f>
        <v>-90858.801614444121</v>
      </c>
      <c r="J309" s="359">
        <f>-'DRE + DCF'!$V$56*L309</f>
        <v>-1188924.4255577971</v>
      </c>
      <c r="K309" s="360">
        <f>(1+L309)/(1+Ke!$O$12)-1</f>
        <v>2.0000000000000018E-2</v>
      </c>
      <c r="L309" s="360">
        <f>'DRE + DCF'!$Y$31</f>
        <v>7.3550000000000004E-2</v>
      </c>
      <c r="M309" s="361">
        <f>(1+D309)^((5-Dashboard!$F$9)*3/12)</f>
        <v>1.0767714345390809</v>
      </c>
      <c r="N309" s="361">
        <f t="shared" ref="N309:V309" si="306">M309*(1+$D309)</f>
        <v>1.1883787937290575</v>
      </c>
      <c r="O309" s="361">
        <f t="shared" si="306"/>
        <v>1.3115542556990754</v>
      </c>
      <c r="P309" s="361">
        <f t="shared" si="306"/>
        <v>1.4474968543022857</v>
      </c>
      <c r="Q309" s="361">
        <f t="shared" si="306"/>
        <v>1.5975299032507189</v>
      </c>
      <c r="R309" s="361">
        <f t="shared" si="306"/>
        <v>1.7631138777226574</v>
      </c>
      <c r="S309" s="361">
        <f t="shared" si="306"/>
        <v>1.9458606311486124</v>
      </c>
      <c r="T309" s="361">
        <f t="shared" si="306"/>
        <v>2.1475490855671677</v>
      </c>
      <c r="U309" s="361">
        <f t="shared" si="306"/>
        <v>2.3701425482862066</v>
      </c>
      <c r="V309" s="362">
        <f t="shared" si="306"/>
        <v>2.6158078234160742</v>
      </c>
      <c r="X309" s="351"/>
    </row>
    <row r="310" spans="3:24" ht="24.75" customHeight="1" x14ac:dyDescent="0.3">
      <c r="C310" s="353">
        <f>ABS(E310-Dashboard!$F$14)</f>
        <v>288.42585773818001</v>
      </c>
      <c r="D310" s="350">
        <f t="shared" si="267"/>
        <v>0.10375000000000086</v>
      </c>
      <c r="E310" s="359" cm="1">
        <f t="array" ref="E310">1000*SUM('DRE + DCF'!$L$36/M310,'DRE + DCF'!$N$36:$V$36/N310:V310,F310/V310)/Dashboard!$F$11</f>
        <v>385.41585773818002</v>
      </c>
      <c r="F310" s="359">
        <f t="shared" si="265"/>
        <v>42755726.503689036</v>
      </c>
      <c r="G310" s="359">
        <f>'DRE + DCF'!$W$31</f>
        <v>2791623.3540418856</v>
      </c>
      <c r="H310" s="359">
        <f>'DRE + DCF'!$W$32</f>
        <v>81081.931703745853</v>
      </c>
      <c r="I310" s="359">
        <f>-H310*('DRE + DCF'!$V$33+K310)/'DRE + DCF'!$V$33</f>
        <v>-90858.801614444121</v>
      </c>
      <c r="J310" s="359">
        <f>-'DRE + DCF'!$V$56*L310</f>
        <v>-1188924.4255577971</v>
      </c>
      <c r="K310" s="360">
        <f>(1+L310)/(1+Ke!$O$12)-1</f>
        <v>2.0000000000000018E-2</v>
      </c>
      <c r="L310" s="360">
        <f>'DRE + DCF'!$Y$31</f>
        <v>7.3550000000000004E-2</v>
      </c>
      <c r="M310" s="361">
        <f>(1+D310)^((5-Dashboard!$F$9)*3/12)</f>
        <v>1.0768446071417694</v>
      </c>
      <c r="N310" s="361">
        <f t="shared" ref="N310:V310" si="307">M310*(1+$D310)</f>
        <v>1.188567235132729</v>
      </c>
      <c r="O310" s="361">
        <f t="shared" si="307"/>
        <v>1.3118810857777508</v>
      </c>
      <c r="P310" s="361">
        <f t="shared" si="307"/>
        <v>1.4479887484271936</v>
      </c>
      <c r="Q310" s="361">
        <f t="shared" si="307"/>
        <v>1.5982175810765162</v>
      </c>
      <c r="R310" s="361">
        <f t="shared" si="307"/>
        <v>1.7640326551132062</v>
      </c>
      <c r="S310" s="361">
        <f t="shared" si="307"/>
        <v>1.9470510430812029</v>
      </c>
      <c r="T310" s="361">
        <f t="shared" si="307"/>
        <v>2.1490575888008796</v>
      </c>
      <c r="U310" s="361">
        <f t="shared" si="307"/>
        <v>2.3720223136389729</v>
      </c>
      <c r="V310" s="362">
        <f t="shared" si="307"/>
        <v>2.6181196286790183</v>
      </c>
      <c r="X310" s="351"/>
    </row>
    <row r="311" spans="3:24" ht="24.75" customHeight="1" x14ac:dyDescent="0.3">
      <c r="C311" s="353">
        <f>ABS(E311-Dashboard!$F$14)</f>
        <v>287.39012690207039</v>
      </c>
      <c r="D311" s="350">
        <f t="shared" si="267"/>
        <v>0.10385000000000086</v>
      </c>
      <c r="E311" s="359" cm="1">
        <f t="array" ref="E311">1000*SUM('DRE + DCF'!$L$36/M311,'DRE + DCF'!$N$36:$V$36/N311:V311,F311/V311)/Dashboard!$F$11</f>
        <v>384.3801269020704</v>
      </c>
      <c r="F311" s="359">
        <f t="shared" si="265"/>
        <v>42648377.881931551</v>
      </c>
      <c r="G311" s="359">
        <f>'DRE + DCF'!$W$31</f>
        <v>2791623.3540418856</v>
      </c>
      <c r="H311" s="359">
        <f>'DRE + DCF'!$W$32</f>
        <v>81081.931703745853</v>
      </c>
      <c r="I311" s="359">
        <f>-H311*('DRE + DCF'!$V$33+K311)/'DRE + DCF'!$V$33</f>
        <v>-90858.801614444121</v>
      </c>
      <c r="J311" s="359">
        <f>-'DRE + DCF'!$V$56*L311</f>
        <v>-1188924.4255577971</v>
      </c>
      <c r="K311" s="360">
        <f>(1+L311)/(1+Ke!$O$12)-1</f>
        <v>2.0000000000000018E-2</v>
      </c>
      <c r="L311" s="360">
        <f>'DRE + DCF'!$Y$31</f>
        <v>7.3550000000000004E-2</v>
      </c>
      <c r="M311" s="361">
        <f>(1+D311)^((5-Dashboard!$F$9)*3/12)</f>
        <v>1.0769177780871129</v>
      </c>
      <c r="N311" s="361">
        <f t="shared" ref="N311:V311" si="308">M311*(1+$D311)</f>
        <v>1.1887556893414606</v>
      </c>
      <c r="O311" s="361">
        <f t="shared" si="308"/>
        <v>1.3122079676795724</v>
      </c>
      <c r="P311" s="361">
        <f t="shared" si="308"/>
        <v>1.4484807651230971</v>
      </c>
      <c r="Q311" s="361">
        <f t="shared" si="308"/>
        <v>1.5989054925811319</v>
      </c>
      <c r="R311" s="361">
        <f t="shared" si="308"/>
        <v>1.764951827985684</v>
      </c>
      <c r="S311" s="361">
        <f t="shared" si="308"/>
        <v>1.9482420753219989</v>
      </c>
      <c r="T311" s="361">
        <f t="shared" si="308"/>
        <v>2.15056701484419</v>
      </c>
      <c r="U311" s="361">
        <f t="shared" si="308"/>
        <v>2.3739033993357612</v>
      </c>
      <c r="V311" s="362">
        <f t="shared" si="308"/>
        <v>2.6204332673567823</v>
      </c>
      <c r="X311" s="351"/>
    </row>
    <row r="312" spans="3:24" ht="24.75" customHeight="1" x14ac:dyDescent="0.3">
      <c r="C312" s="353">
        <f>ABS(E312-Dashboard!$F$14)</f>
        <v>286.3603342127189</v>
      </c>
      <c r="D312" s="350">
        <f t="shared" si="267"/>
        <v>0.10395000000000086</v>
      </c>
      <c r="E312" s="359" cm="1">
        <f t="array" ref="E312">1000*SUM('DRE + DCF'!$L$36/M312,'DRE + DCF'!$N$36:$V$36/N312:V312,F312/V312)/Dashboard!$F$11</f>
        <v>383.35033421271891</v>
      </c>
      <c r="F312" s="359">
        <f t="shared" si="265"/>
        <v>42541670.761643693</v>
      </c>
      <c r="G312" s="359">
        <f>'DRE + DCF'!$W$31</f>
        <v>2791623.3540418856</v>
      </c>
      <c r="H312" s="359">
        <f>'DRE + DCF'!$W$32</f>
        <v>81081.931703745853</v>
      </c>
      <c r="I312" s="359">
        <f>-H312*('DRE + DCF'!$V$33+K312)/'DRE + DCF'!$V$33</f>
        <v>-90858.801614444121</v>
      </c>
      <c r="J312" s="359">
        <f>-'DRE + DCF'!$V$56*L312</f>
        <v>-1188924.4255577971</v>
      </c>
      <c r="K312" s="360">
        <f>(1+L312)/(1+Ke!$O$12)-1</f>
        <v>2.0000000000000018E-2</v>
      </c>
      <c r="L312" s="360">
        <f>'DRE + DCF'!$Y$31</f>
        <v>7.3550000000000004E-2</v>
      </c>
      <c r="M312" s="361">
        <f>(1+D312)^((5-Dashboard!$F$9)*3/12)</f>
        <v>1.0769909473752994</v>
      </c>
      <c r="N312" s="361">
        <f t="shared" ref="N312:V312" si="309">M312*(1+$D312)</f>
        <v>1.1889441563549628</v>
      </c>
      <c r="O312" s="361">
        <f t="shared" si="309"/>
        <v>1.3125349014080623</v>
      </c>
      <c r="P312" s="361">
        <f t="shared" si="309"/>
        <v>1.4489729044094315</v>
      </c>
      <c r="Q312" s="361">
        <f t="shared" si="309"/>
        <v>1.5995936378227931</v>
      </c>
      <c r="R312" s="361">
        <f t="shared" si="309"/>
        <v>1.7658713964744739</v>
      </c>
      <c r="S312" s="361">
        <f t="shared" si="309"/>
        <v>1.949433728137997</v>
      </c>
      <c r="T312" s="361">
        <f t="shared" si="309"/>
        <v>2.1520773641779436</v>
      </c>
      <c r="U312" s="361">
        <f t="shared" si="309"/>
        <v>2.3757858061842425</v>
      </c>
      <c r="V312" s="362">
        <f t="shared" si="309"/>
        <v>2.6227487407370966</v>
      </c>
      <c r="X312" s="351"/>
    </row>
    <row r="313" spans="3:24" ht="24.75" customHeight="1" x14ac:dyDescent="0.3">
      <c r="C313" s="353">
        <f>ABS(E313-Dashboard!$F$14)</f>
        <v>285.33642432113709</v>
      </c>
      <c r="D313" s="350">
        <f t="shared" si="267"/>
        <v>0.10405000000000086</v>
      </c>
      <c r="E313" s="359" cm="1">
        <f t="array" ref="E313">1000*SUM('DRE + DCF'!$L$36/M313,'DRE + DCF'!$N$36:$V$36/N313:V313,F313/V313)/Dashboard!$F$11</f>
        <v>382.3264243211371</v>
      </c>
      <c r="F313" s="359">
        <f t="shared" si="265"/>
        <v>42435599.019021638</v>
      </c>
      <c r="G313" s="359">
        <f>'DRE + DCF'!$W$31</f>
        <v>2791623.3540418856</v>
      </c>
      <c r="H313" s="359">
        <f>'DRE + DCF'!$W$32</f>
        <v>81081.931703745853</v>
      </c>
      <c r="I313" s="359">
        <f>-H313*('DRE + DCF'!$V$33+K313)/'DRE + DCF'!$V$33</f>
        <v>-90858.801614444121</v>
      </c>
      <c r="J313" s="359">
        <f>-'DRE + DCF'!$V$56*L313</f>
        <v>-1188924.4255577971</v>
      </c>
      <c r="K313" s="360">
        <f>(1+L313)/(1+Ke!$O$12)-1</f>
        <v>2.0000000000000018E-2</v>
      </c>
      <c r="L313" s="360">
        <f>'DRE + DCF'!$Y$31</f>
        <v>7.3550000000000004E-2</v>
      </c>
      <c r="M313" s="361">
        <f>(1+D313)^((5-Dashboard!$F$9)*3/12)</f>
        <v>1.0770641150065163</v>
      </c>
      <c r="N313" s="361">
        <f t="shared" ref="N313:V313" si="310">M313*(1+$D313)</f>
        <v>1.1891326361729453</v>
      </c>
      <c r="O313" s="361">
        <f t="shared" si="310"/>
        <v>1.3128618869667412</v>
      </c>
      <c r="P313" s="361">
        <f t="shared" si="310"/>
        <v>1.4494651663056317</v>
      </c>
      <c r="Q313" s="361">
        <f t="shared" si="310"/>
        <v>1.600282016859734</v>
      </c>
      <c r="R313" s="361">
        <f t="shared" si="310"/>
        <v>1.7667913607139907</v>
      </c>
      <c r="S313" s="361">
        <f t="shared" si="310"/>
        <v>1.9506260017962829</v>
      </c>
      <c r="T313" s="361">
        <f t="shared" si="310"/>
        <v>2.1535886372831876</v>
      </c>
      <c r="U313" s="361">
        <f t="shared" si="310"/>
        <v>2.377669534992505</v>
      </c>
      <c r="V313" s="362">
        <f t="shared" si="310"/>
        <v>2.6250660501084773</v>
      </c>
      <c r="X313" s="351"/>
    </row>
    <row r="314" spans="3:24" ht="24.75" customHeight="1" x14ac:dyDescent="0.3">
      <c r="C314" s="353">
        <f>ABS(E314-Dashboard!$F$14)</f>
        <v>284.31834258942479</v>
      </c>
      <c r="D314" s="350">
        <f t="shared" si="267"/>
        <v>0.10415000000000087</v>
      </c>
      <c r="E314" s="359" cm="1">
        <f t="array" ref="E314">1000*SUM('DRE + DCF'!$L$36/M314,'DRE + DCF'!$N$36:$V$36/N314:V314,F314/V314)/Dashboard!$F$11</f>
        <v>381.3083425894248</v>
      </c>
      <c r="F314" s="359">
        <f t="shared" si="265"/>
        <v>42330156.609599113</v>
      </c>
      <c r="G314" s="359">
        <f>'DRE + DCF'!$W$31</f>
        <v>2791623.3540418856</v>
      </c>
      <c r="H314" s="359">
        <f>'DRE + DCF'!$W$32</f>
        <v>81081.931703745853</v>
      </c>
      <c r="I314" s="359">
        <f>-H314*('DRE + DCF'!$V$33+K314)/'DRE + DCF'!$V$33</f>
        <v>-90858.801614444121</v>
      </c>
      <c r="J314" s="359">
        <f>-'DRE + DCF'!$V$56*L314</f>
        <v>-1188924.4255577971</v>
      </c>
      <c r="K314" s="360">
        <f>(1+L314)/(1+Ke!$O$12)-1</f>
        <v>2.0000000000000018E-2</v>
      </c>
      <c r="L314" s="360">
        <f>'DRE + DCF'!$Y$31</f>
        <v>7.3550000000000004E-2</v>
      </c>
      <c r="M314" s="361">
        <f>(1+D314)^((5-Dashboard!$F$9)*3/12)</f>
        <v>1.0771372809809512</v>
      </c>
      <c r="N314" s="361">
        <f t="shared" ref="N314:V314" si="311">M314*(1+$D314)</f>
        <v>1.1893211287951182</v>
      </c>
      <c r="O314" s="361">
        <f t="shared" si="311"/>
        <v>1.3131889243591308</v>
      </c>
      <c r="P314" s="361">
        <f t="shared" si="311"/>
        <v>1.4499575508311353</v>
      </c>
      <c r="Q314" s="361">
        <f t="shared" si="311"/>
        <v>1.6009706297501993</v>
      </c>
      <c r="R314" s="361">
        <f t="shared" si="311"/>
        <v>1.7677117208386839</v>
      </c>
      <c r="S314" s="361">
        <f t="shared" si="311"/>
        <v>1.9518188965640344</v>
      </c>
      <c r="T314" s="361">
        <f t="shared" si="311"/>
        <v>2.1551008346411802</v>
      </c>
      <c r="U314" s="361">
        <f t="shared" si="311"/>
        <v>2.379554586569061</v>
      </c>
      <c r="V314" s="362">
        <f t="shared" si="311"/>
        <v>2.6273851967602306</v>
      </c>
      <c r="X314" s="351"/>
    </row>
    <row r="315" spans="3:24" ht="24.75" customHeight="1" x14ac:dyDescent="0.3">
      <c r="C315" s="353">
        <f>ABS(E315-Dashboard!$F$14)</f>
        <v>283.30603507924945</v>
      </c>
      <c r="D315" s="350">
        <f t="shared" si="267"/>
        <v>0.10425000000000087</v>
      </c>
      <c r="E315" s="359" cm="1">
        <f t="array" ref="E315">1000*SUM('DRE + DCF'!$L$36/M315,'DRE + DCF'!$N$36:$V$36/N315:V315,F315/V315)/Dashboard!$F$11</f>
        <v>380.29603507924946</v>
      </c>
      <c r="F315" s="359">
        <f t="shared" si="265"/>
        <v>42225337.566958636</v>
      </c>
      <c r="G315" s="359">
        <f>'DRE + DCF'!$W$31</f>
        <v>2791623.3540418856</v>
      </c>
      <c r="H315" s="359">
        <f>'DRE + DCF'!$W$32</f>
        <v>81081.931703745853</v>
      </c>
      <c r="I315" s="359">
        <f>-H315*('DRE + DCF'!$V$33+K315)/'DRE + DCF'!$V$33</f>
        <v>-90858.801614444121</v>
      </c>
      <c r="J315" s="359">
        <f>-'DRE + DCF'!$V$56*L315</f>
        <v>-1188924.4255577971</v>
      </c>
      <c r="K315" s="360">
        <f>(1+L315)/(1+Ke!$O$12)-1</f>
        <v>2.0000000000000018E-2</v>
      </c>
      <c r="L315" s="360">
        <f>'DRE + DCF'!$Y$31</f>
        <v>7.3550000000000004E-2</v>
      </c>
      <c r="M315" s="361">
        <f>(1+D315)^((5-Dashboard!$F$9)*3/12)</f>
        <v>1.0772104452987918</v>
      </c>
      <c r="N315" s="361">
        <f t="shared" ref="N315:V315" si="312">M315*(1+$D315)</f>
        <v>1.1895096342211917</v>
      </c>
      <c r="O315" s="361">
        <f t="shared" si="312"/>
        <v>1.313516013588752</v>
      </c>
      <c r="P315" s="361">
        <f t="shared" si="312"/>
        <v>1.4504500580053805</v>
      </c>
      <c r="Q315" s="361">
        <f t="shared" si="312"/>
        <v>1.6016594765524426</v>
      </c>
      <c r="R315" s="361">
        <f t="shared" si="312"/>
        <v>1.7686324769830359</v>
      </c>
      <c r="S315" s="361">
        <f t="shared" si="312"/>
        <v>1.9530124127085189</v>
      </c>
      <c r="T315" s="361">
        <f t="shared" si="312"/>
        <v>2.1566139567333837</v>
      </c>
      <c r="U315" s="361">
        <f t="shared" si="312"/>
        <v>2.3814409617228409</v>
      </c>
      <c r="V315" s="362">
        <f t="shared" si="312"/>
        <v>2.6297061819824492</v>
      </c>
      <c r="X315" s="351"/>
    </row>
    <row r="316" spans="3:24" ht="24.75" customHeight="1" x14ac:dyDescent="0.3">
      <c r="C316" s="353">
        <f>ABS(E316-Dashboard!$F$14)</f>
        <v>282.29944854054878</v>
      </c>
      <c r="D316" s="350">
        <f t="shared" si="267"/>
        <v>0.10435000000000087</v>
      </c>
      <c r="E316" s="359" cm="1">
        <f t="array" ref="E316">1000*SUM('DRE + DCF'!$L$36/M316,'DRE + DCF'!$N$36:$V$36/N316:V316,F316/V316)/Dashboard!$F$11</f>
        <v>379.28944854054879</v>
      </c>
      <c r="F316" s="359">
        <f t="shared" si="265"/>
        <v>42121136.001467831</v>
      </c>
      <c r="G316" s="359">
        <f>'DRE + DCF'!$W$31</f>
        <v>2791623.3540418856</v>
      </c>
      <c r="H316" s="359">
        <f>'DRE + DCF'!$W$32</f>
        <v>81081.931703745853</v>
      </c>
      <c r="I316" s="359">
        <f>-H316*('DRE + DCF'!$V$33+K316)/'DRE + DCF'!$V$33</f>
        <v>-90858.801614444121</v>
      </c>
      <c r="J316" s="359">
        <f>-'DRE + DCF'!$V$56*L316</f>
        <v>-1188924.4255577971</v>
      </c>
      <c r="K316" s="360">
        <f>(1+L316)/(1+Ke!$O$12)-1</f>
        <v>2.0000000000000018E-2</v>
      </c>
      <c r="L316" s="360">
        <f>'DRE + DCF'!$Y$31</f>
        <v>7.3550000000000004E-2</v>
      </c>
      <c r="M316" s="361">
        <f>(1+D316)^((5-Dashboard!$F$9)*3/12)</f>
        <v>1.0772836079602257</v>
      </c>
      <c r="N316" s="361">
        <f t="shared" ref="N316:V316" si="313">M316*(1+$D316)</f>
        <v>1.1896981524508761</v>
      </c>
      <c r="O316" s="361">
        <f t="shared" si="313"/>
        <v>1.313843154659126</v>
      </c>
      <c r="P316" s="361">
        <f t="shared" si="313"/>
        <v>1.4509426878478069</v>
      </c>
      <c r="Q316" s="361">
        <f t="shared" si="313"/>
        <v>1.6023485573247267</v>
      </c>
      <c r="R316" s="361">
        <f t="shared" si="313"/>
        <v>1.7695536292815632</v>
      </c>
      <c r="S316" s="361">
        <f t="shared" si="313"/>
        <v>1.9542065504970958</v>
      </c>
      <c r="T316" s="361">
        <f t="shared" si="313"/>
        <v>2.1581280040414694</v>
      </c>
      <c r="U316" s="361">
        <f t="shared" si="313"/>
        <v>2.3833286612631985</v>
      </c>
      <c r="V316" s="362">
        <f t="shared" si="313"/>
        <v>2.6320290070660155</v>
      </c>
      <c r="X316" s="351"/>
    </row>
    <row r="317" spans="3:24" ht="24.75" customHeight="1" x14ac:dyDescent="0.3">
      <c r="C317" s="353">
        <f>ABS(E317-Dashboard!$F$14)</f>
        <v>281.29853040045356</v>
      </c>
      <c r="D317" s="350">
        <f t="shared" si="267"/>
        <v>0.10445000000000088</v>
      </c>
      <c r="E317" s="359" cm="1">
        <f t="array" ref="E317">1000*SUM('DRE + DCF'!$L$36/M317,'DRE + DCF'!$N$36:$V$36/N317:V317,F317/V317)/Dashboard!$F$11</f>
        <v>378.28853040045357</v>
      </c>
      <c r="F317" s="359">
        <f t="shared" si="265"/>
        <v>42017546.099040352</v>
      </c>
      <c r="G317" s="359">
        <f>'DRE + DCF'!$W$31</f>
        <v>2791623.3540418856</v>
      </c>
      <c r="H317" s="359">
        <f>'DRE + DCF'!$W$32</f>
        <v>81081.931703745853</v>
      </c>
      <c r="I317" s="359">
        <f>-H317*('DRE + DCF'!$V$33+K317)/'DRE + DCF'!$V$33</f>
        <v>-90858.801614444121</v>
      </c>
      <c r="J317" s="359">
        <f>-'DRE + DCF'!$V$56*L317</f>
        <v>-1188924.4255577971</v>
      </c>
      <c r="K317" s="360">
        <f>(1+L317)/(1+Ke!$O$12)-1</f>
        <v>2.0000000000000018E-2</v>
      </c>
      <c r="L317" s="360">
        <f>'DRE + DCF'!$Y$31</f>
        <v>7.3550000000000004E-2</v>
      </c>
      <c r="M317" s="361">
        <f>(1+D317)^((5-Dashboard!$F$9)*3/12)</f>
        <v>1.0773567689654402</v>
      </c>
      <c r="N317" s="361">
        <f t="shared" ref="N317:V317" si="314">M317*(1+$D317)</f>
        <v>1.1898866834838813</v>
      </c>
      <c r="O317" s="361">
        <f t="shared" si="314"/>
        <v>1.3141703475737736</v>
      </c>
      <c r="P317" s="361">
        <f t="shared" si="314"/>
        <v>1.4514354403778553</v>
      </c>
      <c r="Q317" s="361">
        <f t="shared" si="314"/>
        <v>1.6030378721253236</v>
      </c>
      <c r="R317" s="361">
        <f t="shared" si="314"/>
        <v>1.7704751778688148</v>
      </c>
      <c r="S317" s="361">
        <f t="shared" si="314"/>
        <v>1.9554013101972139</v>
      </c>
      <c r="T317" s="361">
        <f t="shared" si="314"/>
        <v>2.1596429770473144</v>
      </c>
      <c r="U317" s="361">
        <f t="shared" si="314"/>
        <v>2.3852176859999084</v>
      </c>
      <c r="V317" s="362">
        <f t="shared" si="314"/>
        <v>2.6343536733026007</v>
      </c>
      <c r="X317" s="351"/>
    </row>
    <row r="318" spans="3:24" ht="24.75" customHeight="1" x14ac:dyDescent="0.3">
      <c r="C318" s="353">
        <f>ABS(E318-Dashboard!$F$14)</f>
        <v>280.30322875242376</v>
      </c>
      <c r="D318" s="350">
        <f t="shared" si="267"/>
        <v>0.10455000000000088</v>
      </c>
      <c r="E318" s="359" cm="1">
        <f t="array" ref="E318">1000*SUM('DRE + DCF'!$L$36/M318,'DRE + DCF'!$N$36:$V$36/N318:V318,F318/V318)/Dashboard!$F$11</f>
        <v>377.29322875242377</v>
      </c>
      <c r="F318" s="359">
        <f t="shared" si="265"/>
        <v>41914562.119920671</v>
      </c>
      <c r="G318" s="359">
        <f>'DRE + DCF'!$W$31</f>
        <v>2791623.3540418856</v>
      </c>
      <c r="H318" s="359">
        <f>'DRE + DCF'!$W$32</f>
        <v>81081.931703745853</v>
      </c>
      <c r="I318" s="359">
        <f>-H318*('DRE + DCF'!$V$33+K318)/'DRE + DCF'!$V$33</f>
        <v>-90858.801614444121</v>
      </c>
      <c r="J318" s="359">
        <f>-'DRE + DCF'!$V$56*L318</f>
        <v>-1188924.4255577971</v>
      </c>
      <c r="K318" s="360">
        <f>(1+L318)/(1+Ke!$O$12)-1</f>
        <v>2.0000000000000018E-2</v>
      </c>
      <c r="L318" s="360">
        <f>'DRE + DCF'!$Y$31</f>
        <v>7.3550000000000004E-2</v>
      </c>
      <c r="M318" s="361">
        <f>(1+D318)^((5-Dashboard!$F$9)*3/12)</f>
        <v>1.0774299283146227</v>
      </c>
      <c r="N318" s="361">
        <f t="shared" ref="N318:V318" si="315">M318*(1+$D318)</f>
        <v>1.1900752273199173</v>
      </c>
      <c r="O318" s="361">
        <f t="shared" si="315"/>
        <v>1.3144975923362157</v>
      </c>
      <c r="P318" s="361">
        <f t="shared" si="315"/>
        <v>1.451928315614968</v>
      </c>
      <c r="Q318" s="361">
        <f t="shared" si="315"/>
        <v>1.6037274210125141</v>
      </c>
      <c r="R318" s="361">
        <f t="shared" si="315"/>
        <v>1.7713971228793737</v>
      </c>
      <c r="S318" s="361">
        <f t="shared" si="315"/>
        <v>1.9565966920764137</v>
      </c>
      <c r="T318" s="361">
        <f t="shared" si="315"/>
        <v>2.1611588762330043</v>
      </c>
      <c r="U318" s="361">
        <f t="shared" si="315"/>
        <v>2.3871080367431667</v>
      </c>
      <c r="V318" s="362">
        <f t="shared" si="315"/>
        <v>2.6366801819846666</v>
      </c>
      <c r="X318" s="351"/>
    </row>
    <row r="319" spans="3:24" ht="24.75" customHeight="1" x14ac:dyDescent="0.3">
      <c r="C319" s="353">
        <f>ABS(E319-Dashboard!$F$14)</f>
        <v>279.31349234559383</v>
      </c>
      <c r="D319" s="350">
        <f t="shared" si="267"/>
        <v>0.10465000000000088</v>
      </c>
      <c r="E319" s="359" cm="1">
        <f t="array" ref="E319">1000*SUM('DRE + DCF'!$L$36/M319,'DRE + DCF'!$N$36:$V$36/N319:V319,F319/V319)/Dashboard!$F$11</f>
        <v>376.30349234559384</v>
      </c>
      <c r="F319" s="359">
        <f t="shared" si="265"/>
        <v>41812178.397492349</v>
      </c>
      <c r="G319" s="359">
        <f>'DRE + DCF'!$W$31</f>
        <v>2791623.3540418856</v>
      </c>
      <c r="H319" s="359">
        <f>'DRE + DCF'!$W$32</f>
        <v>81081.931703745853</v>
      </c>
      <c r="I319" s="359">
        <f>-H319*('DRE + DCF'!$V$33+K319)/'DRE + DCF'!$V$33</f>
        <v>-90858.801614444121</v>
      </c>
      <c r="J319" s="359">
        <f>-'DRE + DCF'!$V$56*L319</f>
        <v>-1188924.4255577971</v>
      </c>
      <c r="K319" s="360">
        <f>(1+L319)/(1+Ke!$O$12)-1</f>
        <v>2.0000000000000018E-2</v>
      </c>
      <c r="L319" s="360">
        <f>'DRE + DCF'!$Y$31</f>
        <v>7.3550000000000004E-2</v>
      </c>
      <c r="M319" s="361">
        <f>(1+D319)^((5-Dashboard!$F$9)*3/12)</f>
        <v>1.0775030860079609</v>
      </c>
      <c r="N319" s="361">
        <f t="shared" ref="N319:V319" si="316">M319*(1+$D319)</f>
        <v>1.1902637839586949</v>
      </c>
      <c r="O319" s="361">
        <f t="shared" si="316"/>
        <v>1.3148248889499734</v>
      </c>
      <c r="P319" s="361">
        <f t="shared" si="316"/>
        <v>1.4524213135785893</v>
      </c>
      <c r="Q319" s="361">
        <f t="shared" si="316"/>
        <v>1.6044172040445899</v>
      </c>
      <c r="R319" s="361">
        <f t="shared" si="316"/>
        <v>1.7723194644478575</v>
      </c>
      <c r="S319" s="361">
        <f t="shared" si="316"/>
        <v>1.9577926964023271</v>
      </c>
      <c r="T319" s="361">
        <f t="shared" si="316"/>
        <v>2.1626757020808323</v>
      </c>
      <c r="U319" s="361">
        <f t="shared" si="316"/>
        <v>2.3889997143035933</v>
      </c>
      <c r="V319" s="362">
        <f t="shared" si="316"/>
        <v>2.6390085344054661</v>
      </c>
      <c r="X319" s="351"/>
    </row>
    <row r="320" spans="3:24" ht="24.75" customHeight="1" x14ac:dyDescent="0.3">
      <c r="C320" s="353">
        <f>ABS(E320-Dashboard!$F$14)</f>
        <v>278.32927057432374</v>
      </c>
      <c r="D320" s="350">
        <f t="shared" si="267"/>
        <v>0.10475000000000088</v>
      </c>
      <c r="E320" s="359" cm="1">
        <f t="array" ref="E320">1000*SUM('DRE + DCF'!$L$36/M320,'DRE + DCF'!$N$36:$V$36/N320:V320,F320/V320)/Dashboard!$F$11</f>
        <v>375.31927057432375</v>
      </c>
      <c r="F320" s="359">
        <f t="shared" si="265"/>
        <v>41710389.337109171</v>
      </c>
      <c r="G320" s="359">
        <f>'DRE + DCF'!$W$31</f>
        <v>2791623.3540418856</v>
      </c>
      <c r="H320" s="359">
        <f>'DRE + DCF'!$W$32</f>
        <v>81081.931703745853</v>
      </c>
      <c r="I320" s="359">
        <f>-H320*('DRE + DCF'!$V$33+K320)/'DRE + DCF'!$V$33</f>
        <v>-90858.801614444121</v>
      </c>
      <c r="J320" s="359">
        <f>-'DRE + DCF'!$V$56*L320</f>
        <v>-1188924.4255577971</v>
      </c>
      <c r="K320" s="360">
        <f>(1+L320)/(1+Ke!$O$12)-1</f>
        <v>2.0000000000000018E-2</v>
      </c>
      <c r="L320" s="360">
        <f>'DRE + DCF'!$Y$31</f>
        <v>7.3550000000000004E-2</v>
      </c>
      <c r="M320" s="361">
        <f>(1+D320)^((5-Dashboard!$F$9)*3/12)</f>
        <v>1.0775762420456418</v>
      </c>
      <c r="N320" s="361">
        <f t="shared" ref="N320:V320" si="317">M320*(1+$D320)</f>
        <v>1.1904523533999236</v>
      </c>
      <c r="O320" s="361">
        <f t="shared" si="317"/>
        <v>1.3151522374185665</v>
      </c>
      <c r="P320" s="361">
        <f t="shared" si="317"/>
        <v>1.4529144342881624</v>
      </c>
      <c r="Q320" s="361">
        <f t="shared" si="317"/>
        <v>1.6051072212798485</v>
      </c>
      <c r="R320" s="361">
        <f t="shared" si="317"/>
        <v>1.7732422027089139</v>
      </c>
      <c r="S320" s="361">
        <f t="shared" si="317"/>
        <v>1.9589893234426741</v>
      </c>
      <c r="T320" s="361">
        <f t="shared" si="317"/>
        <v>2.1641934550732955</v>
      </c>
      <c r="U320" s="361">
        <f t="shared" si="317"/>
        <v>2.3908927194922249</v>
      </c>
      <c r="V320" s="362">
        <f t="shared" si="317"/>
        <v>2.6413387318590376</v>
      </c>
      <c r="X320" s="351"/>
    </row>
    <row r="321" spans="3:24" ht="24.75" customHeight="1" x14ac:dyDescent="0.3">
      <c r="C321" s="353">
        <f>ABS(E321-Dashboard!$F$14)</f>
        <v>277.35051346794785</v>
      </c>
      <c r="D321" s="350">
        <f t="shared" si="267"/>
        <v>0.10485000000000089</v>
      </c>
      <c r="E321" s="359" cm="1">
        <f t="array" ref="E321">1000*SUM('DRE + DCF'!$L$36/M321,'DRE + DCF'!$N$36:$V$36/N321:V321,F321/V321)/Dashboard!$F$11</f>
        <v>374.34051346794786</v>
      </c>
      <c r="F321" s="359">
        <f t="shared" si="265"/>
        <v>41609189.414948739</v>
      </c>
      <c r="G321" s="359">
        <f>'DRE + DCF'!$W$31</f>
        <v>2791623.3540418856</v>
      </c>
      <c r="H321" s="359">
        <f>'DRE + DCF'!$W$32</f>
        <v>81081.931703745853</v>
      </c>
      <c r="I321" s="359">
        <f>-H321*('DRE + DCF'!$V$33+K321)/'DRE + DCF'!$V$33</f>
        <v>-90858.801614444121</v>
      </c>
      <c r="J321" s="359">
        <f>-'DRE + DCF'!$V$56*L321</f>
        <v>-1188924.4255577971</v>
      </c>
      <c r="K321" s="360">
        <f>(1+L321)/(1+Ke!$O$12)-1</f>
        <v>2.0000000000000018E-2</v>
      </c>
      <c r="L321" s="360">
        <f>'DRE + DCF'!$Y$31</f>
        <v>7.3550000000000004E-2</v>
      </c>
      <c r="M321" s="361">
        <f>(1+D321)^((5-Dashboard!$F$9)*3/12)</f>
        <v>1.0776493964278528</v>
      </c>
      <c r="N321" s="361">
        <f t="shared" ref="N321:V321" si="318">M321*(1+$D321)</f>
        <v>1.1906409356433141</v>
      </c>
      <c r="O321" s="361">
        <f t="shared" si="318"/>
        <v>1.3154796377455165</v>
      </c>
      <c r="P321" s="361">
        <f t="shared" si="318"/>
        <v>1.4534076777631348</v>
      </c>
      <c r="Q321" s="361">
        <f t="shared" si="318"/>
        <v>1.6057974727766007</v>
      </c>
      <c r="R321" s="361">
        <f t="shared" si="318"/>
        <v>1.7741653377972284</v>
      </c>
      <c r="S321" s="361">
        <f t="shared" si="318"/>
        <v>1.9601865734652693</v>
      </c>
      <c r="T321" s="361">
        <f t="shared" si="318"/>
        <v>2.1657121356931044</v>
      </c>
      <c r="U321" s="361">
        <f t="shared" si="318"/>
        <v>2.3927870531205282</v>
      </c>
      <c r="V321" s="362">
        <f t="shared" si="318"/>
        <v>2.6436707756402176</v>
      </c>
      <c r="X321" s="351"/>
    </row>
    <row r="322" spans="3:24" ht="24.75" customHeight="1" x14ac:dyDescent="0.3">
      <c r="C322" s="353">
        <f>ABS(E322-Dashboard!$F$14)</f>
        <v>276.37717168072101</v>
      </c>
      <c r="D322" s="350">
        <f t="shared" si="267"/>
        <v>0.10495000000000089</v>
      </c>
      <c r="E322" s="359" cm="1">
        <f t="array" ref="E322">1000*SUM('DRE + DCF'!$L$36/M322,'DRE + DCF'!$N$36:$V$36/N322:V322,F322/V322)/Dashboard!$F$11</f>
        <v>373.36717168072101</v>
      </c>
      <c r="F322" s="359">
        <f t="shared" si="265"/>
        <v>41508573.17688784</v>
      </c>
      <c r="G322" s="359">
        <f>'DRE + DCF'!$W$31</f>
        <v>2791623.3540418856</v>
      </c>
      <c r="H322" s="359">
        <f>'DRE + DCF'!$W$32</f>
        <v>81081.931703745853</v>
      </c>
      <c r="I322" s="359">
        <f>-H322*('DRE + DCF'!$V$33+K322)/'DRE + DCF'!$V$33</f>
        <v>-90858.801614444121</v>
      </c>
      <c r="J322" s="359">
        <f>-'DRE + DCF'!$V$56*L322</f>
        <v>-1188924.4255577971</v>
      </c>
      <c r="K322" s="360">
        <f>(1+L322)/(1+Ke!$O$12)-1</f>
        <v>2.0000000000000018E-2</v>
      </c>
      <c r="L322" s="360">
        <f>'DRE + DCF'!$Y$31</f>
        <v>7.3550000000000004E-2</v>
      </c>
      <c r="M322" s="361">
        <f>(1+D322)^((5-Dashboard!$F$9)*3/12)</f>
        <v>1.0777225491547817</v>
      </c>
      <c r="N322" s="361">
        <f t="shared" ref="N322:V322" si="319">M322*(1+$D322)</f>
        <v>1.1908295306885772</v>
      </c>
      <c r="O322" s="361">
        <f t="shared" si="319"/>
        <v>1.3158070899343446</v>
      </c>
      <c r="P322" s="361">
        <f t="shared" si="319"/>
        <v>1.4539010440229554</v>
      </c>
      <c r="Q322" s="361">
        <f t="shared" si="319"/>
        <v>1.606487958593166</v>
      </c>
      <c r="R322" s="361">
        <f t="shared" si="319"/>
        <v>1.7750888698475202</v>
      </c>
      <c r="S322" s="361">
        <f t="shared" si="319"/>
        <v>1.9613844467380193</v>
      </c>
      <c r="T322" s="361">
        <f t="shared" si="319"/>
        <v>2.1672317444231761</v>
      </c>
      <c r="U322" s="361">
        <f t="shared" si="319"/>
        <v>2.3946827160003905</v>
      </c>
      <c r="V322" s="362">
        <f t="shared" si="319"/>
        <v>2.6460046670446338</v>
      </c>
      <c r="X322" s="351"/>
    </row>
    <row r="323" spans="3:24" ht="24.75" customHeight="1" x14ac:dyDescent="0.3">
      <c r="C323" s="353">
        <f>ABS(E323-Dashboard!$F$14)</f>
        <v>275.40919648195757</v>
      </c>
      <c r="D323" s="350">
        <f t="shared" si="267"/>
        <v>0.10505000000000089</v>
      </c>
      <c r="E323" s="359" cm="1">
        <f t="array" ref="E323">1000*SUM('DRE + DCF'!$L$36/M323,'DRE + DCF'!$N$36:$V$36/N323:V323,F323/V323)/Dashboard!$F$11</f>
        <v>372.39919648195757</v>
      </c>
      <c r="F323" s="359">
        <f t="shared" si="265"/>
        <v>41408535.237399317</v>
      </c>
      <c r="G323" s="359">
        <f>'DRE + DCF'!$W$31</f>
        <v>2791623.3540418856</v>
      </c>
      <c r="H323" s="359">
        <f>'DRE + DCF'!$W$32</f>
        <v>81081.931703745853</v>
      </c>
      <c r="I323" s="359">
        <f>-H323*('DRE + DCF'!$V$33+K323)/'DRE + DCF'!$V$33</f>
        <v>-90858.801614444121</v>
      </c>
      <c r="J323" s="359">
        <f>-'DRE + DCF'!$V$56*L323</f>
        <v>-1188924.4255577971</v>
      </c>
      <c r="K323" s="360">
        <f>(1+L323)/(1+Ke!$O$12)-1</f>
        <v>2.0000000000000018E-2</v>
      </c>
      <c r="L323" s="360">
        <f>'DRE + DCF'!$Y$31</f>
        <v>7.3550000000000004E-2</v>
      </c>
      <c r="M323" s="361">
        <f>(1+D323)^((5-Dashboard!$F$9)*3/12)</f>
        <v>1.0777957002266152</v>
      </c>
      <c r="N323" s="361">
        <f t="shared" ref="N323:V323" si="320">M323*(1+$D323)</f>
        <v>1.1910181385354222</v>
      </c>
      <c r="O323" s="361">
        <f t="shared" si="320"/>
        <v>1.3161345939885694</v>
      </c>
      <c r="P323" s="361">
        <f t="shared" si="320"/>
        <v>1.4543945330870698</v>
      </c>
      <c r="Q323" s="361">
        <f t="shared" si="320"/>
        <v>1.6071786787878679</v>
      </c>
      <c r="R323" s="361">
        <f t="shared" si="320"/>
        <v>1.7760127989945349</v>
      </c>
      <c r="S323" s="361">
        <f t="shared" si="320"/>
        <v>1.9625829435289126</v>
      </c>
      <c r="T323" s="361">
        <f t="shared" si="320"/>
        <v>2.1687522817466269</v>
      </c>
      <c r="U323" s="361">
        <f t="shared" si="320"/>
        <v>2.3965797089441123</v>
      </c>
      <c r="V323" s="362">
        <f t="shared" si="320"/>
        <v>2.6483404073686936</v>
      </c>
      <c r="X323" s="351"/>
    </row>
    <row r="324" spans="3:24" ht="24.75" customHeight="1" x14ac:dyDescent="0.3">
      <c r="C324" s="353">
        <f>ABS(E324-Dashboard!$F$14)</f>
        <v>274.44653974635077</v>
      </c>
      <c r="D324" s="350">
        <f t="shared" si="267"/>
        <v>0.1051500000000009</v>
      </c>
      <c r="E324" s="359" cm="1">
        <f t="array" ref="E324">1000*SUM('DRE + DCF'!$L$36/M324,'DRE + DCF'!$N$36:$V$36/N324:V324,F324/V324)/Dashboard!$F$11</f>
        <v>371.43653974635077</v>
      </c>
      <c r="F324" s="359">
        <f t="shared" si="265"/>
        <v>41309070.278469816</v>
      </c>
      <c r="G324" s="359">
        <f>'DRE + DCF'!$W$31</f>
        <v>2791623.3540418856</v>
      </c>
      <c r="H324" s="359">
        <f>'DRE + DCF'!$W$32</f>
        <v>81081.931703745853</v>
      </c>
      <c r="I324" s="359">
        <f>-H324*('DRE + DCF'!$V$33+K324)/'DRE + DCF'!$V$33</f>
        <v>-90858.801614444121</v>
      </c>
      <c r="J324" s="359">
        <f>-'DRE + DCF'!$V$56*L324</f>
        <v>-1188924.4255577971</v>
      </c>
      <c r="K324" s="360">
        <f>(1+L324)/(1+Ke!$O$12)-1</f>
        <v>2.0000000000000018E-2</v>
      </c>
      <c r="L324" s="360">
        <f>'DRE + DCF'!$Y$31</f>
        <v>7.3550000000000004E-2</v>
      </c>
      <c r="M324" s="361">
        <f>(1+D324)^((5-Dashboard!$F$9)*3/12)</f>
        <v>1.0778688496435407</v>
      </c>
      <c r="N324" s="361">
        <f t="shared" ref="N324:V324" si="321">M324*(1+$D324)</f>
        <v>1.19120675918356</v>
      </c>
      <c r="O324" s="361">
        <f t="shared" si="321"/>
        <v>1.3164621499117124</v>
      </c>
      <c r="P324" s="361">
        <f t="shared" si="321"/>
        <v>1.4548881449749302</v>
      </c>
      <c r="Q324" s="361">
        <f t="shared" si="321"/>
        <v>1.6078696334190457</v>
      </c>
      <c r="R324" s="361">
        <f t="shared" si="321"/>
        <v>1.7769371253730599</v>
      </c>
      <c r="S324" s="361">
        <f t="shared" si="321"/>
        <v>1.9637820641060388</v>
      </c>
      <c r="T324" s="361">
        <f t="shared" si="321"/>
        <v>2.1702737481467906</v>
      </c>
      <c r="U324" s="361">
        <f t="shared" si="321"/>
        <v>2.3984780327644279</v>
      </c>
      <c r="V324" s="362">
        <f t="shared" si="321"/>
        <v>2.65067799790961</v>
      </c>
      <c r="X324" s="351"/>
    </row>
    <row r="325" spans="3:24" ht="24.75" customHeight="1" x14ac:dyDescent="0.3">
      <c r="C325" s="353">
        <f>ABS(E325-Dashboard!$F$14)</f>
        <v>273.48915394448312</v>
      </c>
      <c r="D325" s="350">
        <f t="shared" si="267"/>
        <v>0.1052500000000009</v>
      </c>
      <c r="E325" s="359" cm="1">
        <f t="array" ref="E325">1000*SUM('DRE + DCF'!$L$36/M325,'DRE + DCF'!$N$36:$V$36/N325:V325,F325/V325)/Dashboard!$F$11</f>
        <v>370.47915394448313</v>
      </c>
      <c r="F325" s="359">
        <f t="shared" si="265"/>
        <v>41210173.048538014</v>
      </c>
      <c r="G325" s="359">
        <f>'DRE + DCF'!$W$31</f>
        <v>2791623.3540418856</v>
      </c>
      <c r="H325" s="359">
        <f>'DRE + DCF'!$W$32</f>
        <v>81081.931703745853</v>
      </c>
      <c r="I325" s="359">
        <f>-H325*('DRE + DCF'!$V$33+K325)/'DRE + DCF'!$V$33</f>
        <v>-90858.801614444121</v>
      </c>
      <c r="J325" s="359">
        <f>-'DRE + DCF'!$V$56*L325</f>
        <v>-1188924.4255577971</v>
      </c>
      <c r="K325" s="360">
        <f>(1+L325)/(1+Ke!$O$12)-1</f>
        <v>2.0000000000000018E-2</v>
      </c>
      <c r="L325" s="360">
        <f>'DRE + DCF'!$Y$31</f>
        <v>7.3550000000000004E-2</v>
      </c>
      <c r="M325" s="361">
        <f>(1+D325)^((5-Dashboard!$F$9)*3/12)</f>
        <v>1.0779419974057451</v>
      </c>
      <c r="N325" s="361">
        <f t="shared" ref="N325:V325" si="322">M325*(1+$D325)</f>
        <v>1.1913953926327008</v>
      </c>
      <c r="O325" s="361">
        <f t="shared" si="322"/>
        <v>1.3167897577072936</v>
      </c>
      <c r="P325" s="361">
        <f t="shared" si="322"/>
        <v>1.4553818797059874</v>
      </c>
      <c r="Q325" s="361">
        <f t="shared" si="322"/>
        <v>1.6085608225450441</v>
      </c>
      <c r="R325" s="361">
        <f t="shared" si="322"/>
        <v>1.7778618491179115</v>
      </c>
      <c r="S325" s="361">
        <f t="shared" si="322"/>
        <v>1.9649818087375732</v>
      </c>
      <c r="T325" s="361">
        <f t="shared" si="322"/>
        <v>2.1717961441072049</v>
      </c>
      <c r="U325" s="361">
        <f t="shared" si="322"/>
        <v>2.4003776882744905</v>
      </c>
      <c r="V325" s="362">
        <f t="shared" si="322"/>
        <v>2.653017439965383</v>
      </c>
      <c r="X325" s="351"/>
    </row>
    <row r="326" spans="3:24" ht="24.75" customHeight="1" x14ac:dyDescent="0.3">
      <c r="C326" s="353">
        <f>ABS(E326-Dashboard!$F$14)</f>
        <v>272.53699213351007</v>
      </c>
      <c r="D326" s="350">
        <f t="shared" si="267"/>
        <v>0.1053500000000009</v>
      </c>
      <c r="E326" s="359" cm="1">
        <f t="array" ref="E326">1000*SUM('DRE + DCF'!$L$36/M326,'DRE + DCF'!$N$36:$V$36/N326:V326,F326/V326)/Dashboard!$F$11</f>
        <v>369.52699213351008</v>
      </c>
      <c r="F326" s="359">
        <f t="shared" si="265"/>
        <v>41111838.361452878</v>
      </c>
      <c r="G326" s="359">
        <f>'DRE + DCF'!$W$31</f>
        <v>2791623.3540418856</v>
      </c>
      <c r="H326" s="359">
        <f>'DRE + DCF'!$W$32</f>
        <v>81081.931703745853</v>
      </c>
      <c r="I326" s="359">
        <f>-H326*('DRE + DCF'!$V$33+K326)/'DRE + DCF'!$V$33</f>
        <v>-90858.801614444121</v>
      </c>
      <c r="J326" s="359">
        <f>-'DRE + DCF'!$V$56*L326</f>
        <v>-1188924.4255577971</v>
      </c>
      <c r="K326" s="360">
        <f>(1+L326)/(1+Ke!$O$12)-1</f>
        <v>2.0000000000000018E-2</v>
      </c>
      <c r="L326" s="360">
        <f>'DRE + DCF'!$Y$31</f>
        <v>7.3550000000000004E-2</v>
      </c>
      <c r="M326" s="361">
        <f>(1+D326)^((5-Dashboard!$F$9)*3/12)</f>
        <v>1.078015143513416</v>
      </c>
      <c r="N326" s="361">
        <f t="shared" ref="N326:V326" si="323">M326*(1+$D326)</f>
        <v>1.1915840388825554</v>
      </c>
      <c r="O326" s="361">
        <f t="shared" si="323"/>
        <v>1.3171174173788338</v>
      </c>
      <c r="P326" s="361">
        <f t="shared" si="323"/>
        <v>1.4558757372996951</v>
      </c>
      <c r="Q326" s="361">
        <f t="shared" si="323"/>
        <v>1.6092522462242194</v>
      </c>
      <c r="R326" s="361">
        <f t="shared" si="323"/>
        <v>1.7787869703639423</v>
      </c>
      <c r="S326" s="361">
        <f t="shared" si="323"/>
        <v>1.9661821776917854</v>
      </c>
      <c r="T326" s="361">
        <f t="shared" si="323"/>
        <v>2.173319470111617</v>
      </c>
      <c r="U326" s="361">
        <f t="shared" si="323"/>
        <v>2.4022786762878781</v>
      </c>
      <c r="V326" s="362">
        <f t="shared" si="323"/>
        <v>2.6553587348348082</v>
      </c>
      <c r="X326" s="351"/>
    </row>
    <row r="327" spans="3:24" ht="24.75" customHeight="1" x14ac:dyDescent="0.3">
      <c r="C327" s="353">
        <f>ABS(E327-Dashboard!$F$14)</f>
        <v>271.59000794802091</v>
      </c>
      <c r="D327" s="350">
        <f t="shared" si="267"/>
        <v>0.1054500000000009</v>
      </c>
      <c r="E327" s="359" cm="1">
        <f t="array" ref="E327">1000*SUM('DRE + DCF'!$L$36/M327,'DRE + DCF'!$N$36:$V$36/N327:V327,F327/V327)/Dashboard!$F$11</f>
        <v>368.58000794802092</v>
      </c>
      <c r="F327" s="359">
        <f t="shared" si="265"/>
        <v>41014061.095451422</v>
      </c>
      <c r="G327" s="359">
        <f>'DRE + DCF'!$W$31</f>
        <v>2791623.3540418856</v>
      </c>
      <c r="H327" s="359">
        <f>'DRE + DCF'!$W$32</f>
        <v>81081.931703745853</v>
      </c>
      <c r="I327" s="359">
        <f>-H327*('DRE + DCF'!$V$33+K327)/'DRE + DCF'!$V$33</f>
        <v>-90858.801614444121</v>
      </c>
      <c r="J327" s="359">
        <f>-'DRE + DCF'!$V$56*L327</f>
        <v>-1188924.4255577971</v>
      </c>
      <c r="K327" s="360">
        <f>(1+L327)/(1+Ke!$O$12)-1</f>
        <v>2.0000000000000018E-2</v>
      </c>
      <c r="L327" s="360">
        <f>'DRE + DCF'!$Y$31</f>
        <v>7.3550000000000004E-2</v>
      </c>
      <c r="M327" s="361">
        <f>(1+D327)^((5-Dashboard!$F$9)*3/12)</f>
        <v>1.0780882879667402</v>
      </c>
      <c r="N327" s="361">
        <f t="shared" ref="N327:V327" si="324">M327*(1+$D327)</f>
        <v>1.191772697932834</v>
      </c>
      <c r="O327" s="361">
        <f t="shared" si="324"/>
        <v>1.3174451289298525</v>
      </c>
      <c r="P327" s="361">
        <f t="shared" si="324"/>
        <v>1.4563697177755068</v>
      </c>
      <c r="Q327" s="361">
        <f t="shared" si="324"/>
        <v>1.6099439045149353</v>
      </c>
      <c r="R327" s="361">
        <f t="shared" si="324"/>
        <v>1.7797124892460368</v>
      </c>
      <c r="S327" s="361">
        <f t="shared" si="324"/>
        <v>1.9673831712370329</v>
      </c>
      <c r="T327" s="361">
        <f t="shared" si="324"/>
        <v>2.1748437266439797</v>
      </c>
      <c r="U327" s="361">
        <f t="shared" si="324"/>
        <v>2.4041809976185893</v>
      </c>
      <c r="V327" s="362">
        <f t="shared" si="324"/>
        <v>2.657701883817472</v>
      </c>
      <c r="X327" s="351"/>
    </row>
    <row r="328" spans="3:24" ht="24.75" customHeight="1" x14ac:dyDescent="0.3">
      <c r="C328" s="353">
        <f>ABS(E328-Dashboard!$F$14)</f>
        <v>270.64815559107001</v>
      </c>
      <c r="D328" s="350">
        <f t="shared" si="267"/>
        <v>0.10555000000000091</v>
      </c>
      <c r="E328" s="359" cm="1">
        <f t="array" ref="E328">1000*SUM('DRE + DCF'!$L$36/M328,'DRE + DCF'!$N$36:$V$36/N328:V328,F328/V328)/Dashboard!$F$11</f>
        <v>367.63815559107002</v>
      </c>
      <c r="F328" s="359">
        <f t="shared" si="265"/>
        <v>40916836.192155793</v>
      </c>
      <c r="G328" s="359">
        <f>'DRE + DCF'!$W$31</f>
        <v>2791623.3540418856</v>
      </c>
      <c r="H328" s="359">
        <f>'DRE + DCF'!$W$32</f>
        <v>81081.931703745853</v>
      </c>
      <c r="I328" s="359">
        <f>-H328*('DRE + DCF'!$V$33+K328)/'DRE + DCF'!$V$33</f>
        <v>-90858.801614444121</v>
      </c>
      <c r="J328" s="359">
        <f>-'DRE + DCF'!$V$56*L328</f>
        <v>-1188924.4255577971</v>
      </c>
      <c r="K328" s="360">
        <f>(1+L328)/(1+Ke!$O$12)-1</f>
        <v>2.0000000000000018E-2</v>
      </c>
      <c r="L328" s="360">
        <f>'DRE + DCF'!$Y$31</f>
        <v>7.3550000000000004E-2</v>
      </c>
      <c r="M328" s="361">
        <f>(1+D328)^((5-Dashboard!$F$9)*3/12)</f>
        <v>1.0781614307659049</v>
      </c>
      <c r="N328" s="361">
        <f t="shared" ref="N328:V328" si="325">M328*(1+$D328)</f>
        <v>1.1919613697832472</v>
      </c>
      <c r="O328" s="361">
        <f t="shared" si="325"/>
        <v>1.3177728923638701</v>
      </c>
      <c r="P328" s="361">
        <f t="shared" si="325"/>
        <v>1.4568638211528777</v>
      </c>
      <c r="Q328" s="361">
        <f t="shared" si="325"/>
        <v>1.6106357974755654</v>
      </c>
      <c r="R328" s="361">
        <f t="shared" si="325"/>
        <v>1.7806384058991127</v>
      </c>
      <c r="S328" s="361">
        <f t="shared" si="325"/>
        <v>1.9685847896417656</v>
      </c>
      <c r="T328" s="361">
        <f t="shared" si="325"/>
        <v>2.1763689141884557</v>
      </c>
      <c r="U328" s="361">
        <f t="shared" si="325"/>
        <v>2.4060846530810491</v>
      </c>
      <c r="V328" s="362">
        <f t="shared" si="325"/>
        <v>2.6600468882137562</v>
      </c>
      <c r="X328" s="351"/>
    </row>
    <row r="329" spans="3:24" ht="24.75" customHeight="1" x14ac:dyDescent="0.3">
      <c r="C329" s="353">
        <f>ABS(E329-Dashboard!$F$14)</f>
        <v>269.71138982537553</v>
      </c>
      <c r="D329" s="350">
        <f t="shared" si="267"/>
        <v>0.10565000000000091</v>
      </c>
      <c r="E329" s="359" cm="1">
        <f t="array" ref="E329">1000*SUM('DRE + DCF'!$L$36/M329,'DRE + DCF'!$N$36:$V$36/N329:V329,F329/V329)/Dashboard!$F$11</f>
        <v>366.70138982537554</v>
      </c>
      <c r="F329" s="359">
        <f t="shared" si="265"/>
        <v>40820158.655588843</v>
      </c>
      <c r="G329" s="359">
        <f>'DRE + DCF'!$W$31</f>
        <v>2791623.3540418856</v>
      </c>
      <c r="H329" s="359">
        <f>'DRE + DCF'!$W$32</f>
        <v>81081.931703745853</v>
      </c>
      <c r="I329" s="359">
        <f>-H329*('DRE + DCF'!$V$33+K329)/'DRE + DCF'!$V$33</f>
        <v>-90858.801614444121</v>
      </c>
      <c r="J329" s="359">
        <f>-'DRE + DCF'!$V$56*L329</f>
        <v>-1188924.4255577971</v>
      </c>
      <c r="K329" s="360">
        <f>(1+L329)/(1+Ke!$O$12)-1</f>
        <v>2.0000000000000018E-2</v>
      </c>
      <c r="L329" s="360">
        <f>'DRE + DCF'!$Y$31</f>
        <v>7.3550000000000004E-2</v>
      </c>
      <c r="M329" s="361">
        <f>(1+D329)^((5-Dashboard!$F$9)*3/12)</f>
        <v>1.0782345719110971</v>
      </c>
      <c r="N329" s="361">
        <f t="shared" ref="N329:V329" si="326">M329*(1+$D329)</f>
        <v>1.1921500544335055</v>
      </c>
      <c r="O329" s="361">
        <f t="shared" si="326"/>
        <v>1.3181007076844065</v>
      </c>
      <c r="P329" s="361">
        <f t="shared" si="326"/>
        <v>1.4573580474512653</v>
      </c>
      <c r="Q329" s="361">
        <f t="shared" si="326"/>
        <v>1.6113279251644927</v>
      </c>
      <c r="R329" s="361">
        <f t="shared" si="326"/>
        <v>1.7815647204581229</v>
      </c>
      <c r="S329" s="361">
        <f t="shared" si="326"/>
        <v>1.9697870331745251</v>
      </c>
      <c r="T329" s="361">
        <f t="shared" si="326"/>
        <v>2.1778950332294156</v>
      </c>
      <c r="U329" s="361">
        <f t="shared" si="326"/>
        <v>2.4079896434901054</v>
      </c>
      <c r="V329" s="362">
        <f t="shared" si="326"/>
        <v>2.6623937493248371</v>
      </c>
      <c r="X329" s="351"/>
    </row>
    <row r="330" spans="3:24" ht="24.75" customHeight="1" x14ac:dyDescent="0.3">
      <c r="C330" s="353">
        <f>ABS(E330-Dashboard!$F$14)</f>
        <v>268.77966596468178</v>
      </c>
      <c r="D330" s="350">
        <f t="shared" si="267"/>
        <v>0.10575000000000091</v>
      </c>
      <c r="E330" s="359" cm="1">
        <f t="array" ref="E330">1000*SUM('DRE + DCF'!$L$36/M330,'DRE + DCF'!$N$36:$V$36/N330:V330,F330/V330)/Dashboard!$F$11</f>
        <v>365.76966596468179</v>
      </c>
      <c r="F330" s="359">
        <f t="shared" si="265"/>
        <v>40724023.551208235</v>
      </c>
      <c r="G330" s="359">
        <f>'DRE + DCF'!$W$31</f>
        <v>2791623.3540418856</v>
      </c>
      <c r="H330" s="359">
        <f>'DRE + DCF'!$W$32</f>
        <v>81081.931703745853</v>
      </c>
      <c r="I330" s="359">
        <f>-H330*('DRE + DCF'!$V$33+K330)/'DRE + DCF'!$V$33</f>
        <v>-90858.801614444121</v>
      </c>
      <c r="J330" s="359">
        <f>-'DRE + DCF'!$V$56*L330</f>
        <v>-1188924.4255577971</v>
      </c>
      <c r="K330" s="360">
        <f>(1+L330)/(1+Ke!$O$12)-1</f>
        <v>2.0000000000000018E-2</v>
      </c>
      <c r="L330" s="360">
        <f>'DRE + DCF'!$Y$31</f>
        <v>7.3550000000000004E-2</v>
      </c>
      <c r="M330" s="361">
        <f>(1+D330)^((5-Dashboard!$F$9)*3/12)</f>
        <v>1.0783077114025039</v>
      </c>
      <c r="N330" s="361">
        <f t="shared" ref="N330:V330" si="327">M330*(1+$D330)</f>
        <v>1.1923387518833197</v>
      </c>
      <c r="O330" s="361">
        <f t="shared" si="327"/>
        <v>1.3184285748949818</v>
      </c>
      <c r="P330" s="361">
        <f t="shared" si="327"/>
        <v>1.4578523966901273</v>
      </c>
      <c r="Q330" s="361">
        <f t="shared" si="327"/>
        <v>1.6120202876401095</v>
      </c>
      <c r="R330" s="361">
        <f t="shared" si="327"/>
        <v>1.7824914330580526</v>
      </c>
      <c r="S330" s="361">
        <f t="shared" si="327"/>
        <v>1.9709899021039432</v>
      </c>
      <c r="T330" s="361">
        <f t="shared" si="327"/>
        <v>2.1794220842514371</v>
      </c>
      <c r="U330" s="361">
        <f t="shared" si="327"/>
        <v>2.4098959696610285</v>
      </c>
      <c r="V330" s="362">
        <f t="shared" si="327"/>
        <v>2.6647424684526846</v>
      </c>
      <c r="X330" s="351"/>
    </row>
    <row r="331" spans="3:24" ht="24.75" customHeight="1" x14ac:dyDescent="0.3">
      <c r="C331" s="353">
        <f>ABS(E331-Dashboard!$F$14)</f>
        <v>267.85293986528183</v>
      </c>
      <c r="D331" s="350">
        <f t="shared" si="267"/>
        <v>0.10585000000000092</v>
      </c>
      <c r="E331" s="359" cm="1">
        <f t="array" ref="E331">1000*SUM('DRE + DCF'!$L$36/M331,'DRE + DCF'!$N$36:$V$36/N331:V331,F331/V331)/Dashboard!$F$11</f>
        <v>364.84293986528183</v>
      </c>
      <c r="F331" s="359">
        <f t="shared" si="265"/>
        <v>40628426.004958346</v>
      </c>
      <c r="G331" s="359">
        <f>'DRE + DCF'!$W$31</f>
        <v>2791623.3540418856</v>
      </c>
      <c r="H331" s="359">
        <f>'DRE + DCF'!$W$32</f>
        <v>81081.931703745853</v>
      </c>
      <c r="I331" s="359">
        <f>-H331*('DRE + DCF'!$V$33+K331)/'DRE + DCF'!$V$33</f>
        <v>-90858.801614444121</v>
      </c>
      <c r="J331" s="359">
        <f>-'DRE + DCF'!$V$56*L331</f>
        <v>-1188924.4255577971</v>
      </c>
      <c r="K331" s="360">
        <f>(1+L331)/(1+Ke!$O$12)-1</f>
        <v>2.0000000000000018E-2</v>
      </c>
      <c r="L331" s="360">
        <f>'DRE + DCF'!$Y$31</f>
        <v>7.3550000000000004E-2</v>
      </c>
      <c r="M331" s="361">
        <f>(1+D331)^((5-Dashboard!$F$9)*3/12)</f>
        <v>1.078380849240312</v>
      </c>
      <c r="N331" s="361">
        <f t="shared" ref="N331:V331" si="328">M331*(1+$D331)</f>
        <v>1.1925274621324</v>
      </c>
      <c r="O331" s="361">
        <f t="shared" si="328"/>
        <v>1.3187564939991157</v>
      </c>
      <c r="P331" s="361">
        <f t="shared" si="328"/>
        <v>1.4583468688889232</v>
      </c>
      <c r="Q331" s="361">
        <f t="shared" si="328"/>
        <v>1.612712884960817</v>
      </c>
      <c r="R331" s="361">
        <f t="shared" si="328"/>
        <v>1.783418543833921</v>
      </c>
      <c r="S331" s="361">
        <f t="shared" si="328"/>
        <v>1.9721933966987431</v>
      </c>
      <c r="T331" s="361">
        <f t="shared" si="328"/>
        <v>2.1809500677393068</v>
      </c>
      <c r="U331" s="361">
        <f t="shared" si="328"/>
        <v>2.4118036324095145</v>
      </c>
      <c r="V331" s="362">
        <f t="shared" si="328"/>
        <v>2.6670930469000638</v>
      </c>
      <c r="X331" s="351"/>
    </row>
    <row r="332" spans="3:24" ht="24.75" customHeight="1" x14ac:dyDescent="0.3">
      <c r="C332" s="353">
        <f>ABS(E332-Dashboard!$F$14)</f>
        <v>266.93116791769671</v>
      </c>
      <c r="D332" s="350">
        <f t="shared" si="267"/>
        <v>0.10595000000000092</v>
      </c>
      <c r="E332" s="359" cm="1">
        <f t="array" ref="E332">1000*SUM('DRE + DCF'!$L$36/M332,'DRE + DCF'!$N$36:$V$36/N332:V332,F332/V332)/Dashboard!$F$11</f>
        <v>363.92116791769672</v>
      </c>
      <c r="F332" s="359">
        <f t="shared" si="265"/>
        <v>40533361.202339798</v>
      </c>
      <c r="G332" s="359">
        <f>'DRE + DCF'!$W$31</f>
        <v>2791623.3540418856</v>
      </c>
      <c r="H332" s="359">
        <f>'DRE + DCF'!$W$32</f>
        <v>81081.931703745853</v>
      </c>
      <c r="I332" s="359">
        <f>-H332*('DRE + DCF'!$V$33+K332)/'DRE + DCF'!$V$33</f>
        <v>-90858.801614444121</v>
      </c>
      <c r="J332" s="359">
        <f>-'DRE + DCF'!$V$56*L332</f>
        <v>-1188924.4255577971</v>
      </c>
      <c r="K332" s="360">
        <f>(1+L332)/(1+Ke!$O$12)-1</f>
        <v>2.0000000000000018E-2</v>
      </c>
      <c r="L332" s="360">
        <f>'DRE + DCF'!$Y$31</f>
        <v>7.3550000000000004E-2</v>
      </c>
      <c r="M332" s="361">
        <f>(1+D332)^((5-Dashboard!$F$9)*3/12)</f>
        <v>1.0784539854247084</v>
      </c>
      <c r="N332" s="361">
        <f t="shared" ref="N332:V332" si="329">M332*(1+$D332)</f>
        <v>1.1927161851804571</v>
      </c>
      <c r="O332" s="361">
        <f t="shared" si="329"/>
        <v>1.3190844650003275</v>
      </c>
      <c r="P332" s="361">
        <f t="shared" si="329"/>
        <v>1.4588414640671135</v>
      </c>
      <c r="Q332" s="361">
        <f t="shared" si="329"/>
        <v>1.6134057171850253</v>
      </c>
      <c r="R332" s="361">
        <f t="shared" si="329"/>
        <v>1.7843460529207802</v>
      </c>
      <c r="S332" s="361">
        <f t="shared" si="329"/>
        <v>1.9733975172277385</v>
      </c>
      <c r="T332" s="361">
        <f t="shared" si="329"/>
        <v>2.1824789841780192</v>
      </c>
      <c r="U332" s="361">
        <f t="shared" si="329"/>
        <v>2.4137126325516824</v>
      </c>
      <c r="V332" s="362">
        <f t="shared" si="329"/>
        <v>2.6694454859705354</v>
      </c>
      <c r="X332" s="351"/>
    </row>
    <row r="333" spans="3:24" ht="24.75" customHeight="1" x14ac:dyDescent="0.3">
      <c r="C333" s="353">
        <f>ABS(E333-Dashboard!$F$14)</f>
        <v>266.01430703850804</v>
      </c>
      <c r="D333" s="350">
        <f t="shared" si="267"/>
        <v>0.10605000000000092</v>
      </c>
      <c r="E333" s="359" cm="1">
        <f t="array" ref="E333">1000*SUM('DRE + DCF'!$L$36/M333,'DRE + DCF'!$N$36:$V$36/N333:V333,F333/V333)/Dashboard!$F$11</f>
        <v>363.00430703850805</v>
      </c>
      <c r="F333" s="359">
        <f t="shared" si="265"/>
        <v>40438824.387496077</v>
      </c>
      <c r="G333" s="359">
        <f>'DRE + DCF'!$W$31</f>
        <v>2791623.3540418856</v>
      </c>
      <c r="H333" s="359">
        <f>'DRE + DCF'!$W$32</f>
        <v>81081.931703745853</v>
      </c>
      <c r="I333" s="359">
        <f>-H333*('DRE + DCF'!$V$33+K333)/'DRE + DCF'!$V$33</f>
        <v>-90858.801614444121</v>
      </c>
      <c r="J333" s="359">
        <f>-'DRE + DCF'!$V$56*L333</f>
        <v>-1188924.4255577971</v>
      </c>
      <c r="K333" s="360">
        <f>(1+L333)/(1+Ke!$O$12)-1</f>
        <v>2.0000000000000018E-2</v>
      </c>
      <c r="L333" s="360">
        <f>'DRE + DCF'!$Y$31</f>
        <v>7.3550000000000004E-2</v>
      </c>
      <c r="M333" s="361">
        <f>(1+D333)^((5-Dashboard!$F$9)*3/12)</f>
        <v>1.0785271199558801</v>
      </c>
      <c r="N333" s="361">
        <f t="shared" ref="N333:V333" si="330">M333*(1+$D333)</f>
        <v>1.1929049210272022</v>
      </c>
      <c r="O333" s="361">
        <f t="shared" si="330"/>
        <v>1.3194124879021381</v>
      </c>
      <c r="P333" s="361">
        <f t="shared" si="330"/>
        <v>1.4593361822441608</v>
      </c>
      <c r="Q333" s="361">
        <f t="shared" si="330"/>
        <v>1.6140987843711554</v>
      </c>
      <c r="R333" s="361">
        <f t="shared" si="330"/>
        <v>1.7852739604537178</v>
      </c>
      <c r="S333" s="361">
        <f t="shared" si="330"/>
        <v>1.9746022639598362</v>
      </c>
      <c r="T333" s="361">
        <f t="shared" si="330"/>
        <v>2.1840088340527783</v>
      </c>
      <c r="U333" s="361">
        <f t="shared" si="330"/>
        <v>2.4156229709040775</v>
      </c>
      <c r="V333" s="362">
        <f t="shared" si="330"/>
        <v>2.6717997869684571</v>
      </c>
      <c r="X333" s="351"/>
    </row>
    <row r="334" spans="3:24" ht="24.75" customHeight="1" x14ac:dyDescent="0.3">
      <c r="C334" s="353">
        <f>ABS(E334-Dashboard!$F$14)</f>
        <v>265.10231466234046</v>
      </c>
      <c r="D334" s="350">
        <f t="shared" si="267"/>
        <v>0.10615000000000092</v>
      </c>
      <c r="E334" s="359" cm="1">
        <f t="array" ref="E334">1000*SUM('DRE + DCF'!$L$36/M334,'DRE + DCF'!$N$36:$V$36/N334:V334,F334/V334)/Dashboard!$F$11</f>
        <v>362.09231466234047</v>
      </c>
      <c r="F334" s="359">
        <f t="shared" ref="F334:F397" si="331">AVERAGE(SUM(G334:J334)*(1+L334)/(D334-L334),G334*(1+L334)*(1-L334/D334)/(D334-L334))</f>
        <v>40344810.862316996</v>
      </c>
      <c r="G334" s="359">
        <f>'DRE + DCF'!$W$31</f>
        <v>2791623.3540418856</v>
      </c>
      <c r="H334" s="359">
        <f>'DRE + DCF'!$W$32</f>
        <v>81081.931703745853</v>
      </c>
      <c r="I334" s="359">
        <f>-H334*('DRE + DCF'!$V$33+K334)/'DRE + DCF'!$V$33</f>
        <v>-90858.801614444121</v>
      </c>
      <c r="J334" s="359">
        <f>-'DRE + DCF'!$V$56*L334</f>
        <v>-1188924.4255577971</v>
      </c>
      <c r="K334" s="360">
        <f>(1+L334)/(1+Ke!$O$12)-1</f>
        <v>2.0000000000000018E-2</v>
      </c>
      <c r="L334" s="360">
        <f>'DRE + DCF'!$Y$31</f>
        <v>7.3550000000000004E-2</v>
      </c>
      <c r="M334" s="361">
        <f>(1+D334)^((5-Dashboard!$F$9)*3/12)</f>
        <v>1.0786002528340137</v>
      </c>
      <c r="N334" s="361">
        <f t="shared" ref="N334:V334" si="332">M334*(1+$D334)</f>
        <v>1.1930936696723453</v>
      </c>
      <c r="O334" s="361">
        <f t="shared" si="332"/>
        <v>1.3197405627080658</v>
      </c>
      <c r="P334" s="361">
        <f t="shared" si="332"/>
        <v>1.4598310234395282</v>
      </c>
      <c r="Q334" s="361">
        <f t="shared" si="332"/>
        <v>1.6147920865776353</v>
      </c>
      <c r="R334" s="361">
        <f t="shared" si="332"/>
        <v>1.7862022665678527</v>
      </c>
      <c r="S334" s="361">
        <f t="shared" si="332"/>
        <v>1.9758076371640318</v>
      </c>
      <c r="T334" s="361">
        <f t="shared" si="332"/>
        <v>2.1855396178489954</v>
      </c>
      <c r="U334" s="361">
        <f t="shared" si="332"/>
        <v>2.4175346482836679</v>
      </c>
      <c r="V334" s="362">
        <f t="shared" si="332"/>
        <v>2.6741559511989812</v>
      </c>
      <c r="X334" s="351"/>
    </row>
    <row r="335" spans="3:24" ht="24.75" customHeight="1" x14ac:dyDescent="0.3">
      <c r="C335" s="353">
        <f>ABS(E335-Dashboard!$F$14)</f>
        <v>264.19514873399135</v>
      </c>
      <c r="D335" s="350">
        <f t="shared" ref="D335:D398" si="333">D334+0.0001</f>
        <v>0.10625000000000093</v>
      </c>
      <c r="E335" s="359" cm="1">
        <f t="array" ref="E335">1000*SUM('DRE + DCF'!$L$36/M335,'DRE + DCF'!$N$36:$V$36/N335:V335,F335/V335)/Dashboard!$F$11</f>
        <v>361.18514873399135</v>
      </c>
      <c r="F335" s="359">
        <f t="shared" si="331"/>
        <v>40251315.985558547</v>
      </c>
      <c r="G335" s="359">
        <f>'DRE + DCF'!$W$31</f>
        <v>2791623.3540418856</v>
      </c>
      <c r="H335" s="359">
        <f>'DRE + DCF'!$W$32</f>
        <v>81081.931703745853</v>
      </c>
      <c r="I335" s="359">
        <f>-H335*('DRE + DCF'!$V$33+K335)/'DRE + DCF'!$V$33</f>
        <v>-90858.801614444121</v>
      </c>
      <c r="J335" s="359">
        <f>-'DRE + DCF'!$V$56*L335</f>
        <v>-1188924.4255577971</v>
      </c>
      <c r="K335" s="360">
        <f>(1+L335)/(1+Ke!$O$12)-1</f>
        <v>2.0000000000000018E-2</v>
      </c>
      <c r="L335" s="360">
        <f>'DRE + DCF'!$Y$31</f>
        <v>7.3550000000000004E-2</v>
      </c>
      <c r="M335" s="361">
        <f>(1+D335)^((5-Dashboard!$F$9)*3/12)</f>
        <v>1.0786733840592964</v>
      </c>
      <c r="N335" s="361">
        <f t="shared" ref="N335:V335" si="334">M335*(1+$D335)</f>
        <v>1.1932824311155974</v>
      </c>
      <c r="O335" s="361">
        <f t="shared" si="334"/>
        <v>1.3200686894216307</v>
      </c>
      <c r="P335" s="361">
        <f t="shared" si="334"/>
        <v>1.46032598767268</v>
      </c>
      <c r="Q335" s="361">
        <f t="shared" si="334"/>
        <v>1.6154856238629034</v>
      </c>
      <c r="R335" s="361">
        <f t="shared" si="334"/>
        <v>1.7871309713983383</v>
      </c>
      <c r="S335" s="361">
        <f t="shared" si="334"/>
        <v>1.9770136371094134</v>
      </c>
      <c r="T335" s="361">
        <f t="shared" si="334"/>
        <v>2.18707133605229</v>
      </c>
      <c r="U335" s="361">
        <f t="shared" si="334"/>
        <v>2.4194476655078478</v>
      </c>
      <c r="V335" s="362">
        <f t="shared" si="334"/>
        <v>2.6765139799680586</v>
      </c>
      <c r="X335" s="351"/>
    </row>
    <row r="336" spans="3:24" ht="24.75" customHeight="1" x14ac:dyDescent="0.3">
      <c r="C336" s="353">
        <f>ABS(E336-Dashboard!$F$14)</f>
        <v>263.29276770070334</v>
      </c>
      <c r="D336" s="350">
        <f t="shared" si="333"/>
        <v>0.10635000000000093</v>
      </c>
      <c r="E336" s="359" cm="1">
        <f t="array" ref="E336">1000*SUM('DRE + DCF'!$L$36/M336,'DRE + DCF'!$N$36:$V$36/N336:V336,F336/V336)/Dashboard!$F$11</f>
        <v>360.28276770070335</v>
      </c>
      <c r="F336" s="359">
        <f t="shared" si="331"/>
        <v>40158335.171978921</v>
      </c>
      <c r="G336" s="359">
        <f>'DRE + DCF'!$W$31</f>
        <v>2791623.3540418856</v>
      </c>
      <c r="H336" s="359">
        <f>'DRE + DCF'!$W$32</f>
        <v>81081.931703745853</v>
      </c>
      <c r="I336" s="359">
        <f>-H336*('DRE + DCF'!$V$33+K336)/'DRE + DCF'!$V$33</f>
        <v>-90858.801614444121</v>
      </c>
      <c r="J336" s="359">
        <f>-'DRE + DCF'!$V$56*L336</f>
        <v>-1188924.4255577971</v>
      </c>
      <c r="K336" s="360">
        <f>(1+L336)/(1+Ke!$O$12)-1</f>
        <v>2.0000000000000018E-2</v>
      </c>
      <c r="L336" s="360">
        <f>'DRE + DCF'!$Y$31</f>
        <v>7.3550000000000004E-2</v>
      </c>
      <c r="M336" s="361">
        <f>(1+D336)^((5-Dashboard!$F$9)*3/12)</f>
        <v>1.0787465136319145</v>
      </c>
      <c r="N336" s="361">
        <f t="shared" ref="N336:V336" si="335">M336*(1+$D336)</f>
        <v>1.1934712053566696</v>
      </c>
      <c r="O336" s="361">
        <f t="shared" si="335"/>
        <v>1.3203968680463525</v>
      </c>
      <c r="P336" s="361">
        <f t="shared" si="335"/>
        <v>1.4608210749630832</v>
      </c>
      <c r="Q336" s="361">
        <f t="shared" si="335"/>
        <v>1.6161793962854083</v>
      </c>
      <c r="R336" s="361">
        <f t="shared" si="335"/>
        <v>1.7880600750803628</v>
      </c>
      <c r="S336" s="361">
        <f t="shared" si="335"/>
        <v>1.9782202640651609</v>
      </c>
      <c r="T336" s="361">
        <f t="shared" si="335"/>
        <v>2.1886039891484925</v>
      </c>
      <c r="U336" s="361">
        <f t="shared" si="335"/>
        <v>2.4213620233944364</v>
      </c>
      <c r="V336" s="362">
        <f t="shared" si="335"/>
        <v>2.6788738745824365</v>
      </c>
      <c r="X336" s="351"/>
    </row>
    <row r="337" spans="3:24" ht="24.75" customHeight="1" x14ac:dyDescent="0.3">
      <c r="C337" s="353">
        <f>ABS(E337-Dashboard!$F$14)</f>
        <v>262.39513050457856</v>
      </c>
      <c r="D337" s="350">
        <f t="shared" si="333"/>
        <v>0.10645000000000093</v>
      </c>
      <c r="E337" s="359" cm="1">
        <f t="array" ref="E337">1000*SUM('DRE + DCF'!$L$36/M337,'DRE + DCF'!$N$36:$V$36/N337:V337,F337/V337)/Dashboard!$F$11</f>
        <v>359.38513050457857</v>
      </c>
      <c r="F337" s="359">
        <f t="shared" si="331"/>
        <v>40065863.891490161</v>
      </c>
      <c r="G337" s="359">
        <f>'DRE + DCF'!$W$31</f>
        <v>2791623.3540418856</v>
      </c>
      <c r="H337" s="359">
        <f>'DRE + DCF'!$W$32</f>
        <v>81081.931703745853</v>
      </c>
      <c r="I337" s="359">
        <f>-H337*('DRE + DCF'!$V$33+K337)/'DRE + DCF'!$V$33</f>
        <v>-90858.801614444121</v>
      </c>
      <c r="J337" s="359">
        <f>-'DRE + DCF'!$V$56*L337</f>
        <v>-1188924.4255577971</v>
      </c>
      <c r="K337" s="360">
        <f>(1+L337)/(1+Ke!$O$12)-1</f>
        <v>2.0000000000000018E-2</v>
      </c>
      <c r="L337" s="360">
        <f>'DRE + DCF'!$Y$31</f>
        <v>7.3550000000000004E-2</v>
      </c>
      <c r="M337" s="361">
        <f>(1+D337)^((5-Dashboard!$F$9)*3/12)</f>
        <v>1.0788196415520552</v>
      </c>
      <c r="N337" s="361">
        <f t="shared" ref="N337:V337" si="336">M337*(1+$D337)</f>
        <v>1.1936599923952727</v>
      </c>
      <c r="O337" s="361">
        <f t="shared" si="336"/>
        <v>1.3207250985857506</v>
      </c>
      <c r="P337" s="361">
        <f t="shared" si="336"/>
        <v>1.4613162853302051</v>
      </c>
      <c r="Q337" s="361">
        <f t="shared" si="336"/>
        <v>1.616873403903607</v>
      </c>
      <c r="R337" s="361">
        <f t="shared" si="336"/>
        <v>1.7889895777491476</v>
      </c>
      <c r="S337" s="361">
        <f t="shared" si="336"/>
        <v>1.9794275183005463</v>
      </c>
      <c r="T337" s="361">
        <f t="shared" si="336"/>
        <v>2.1901375776236414</v>
      </c>
      <c r="U337" s="361">
        <f t="shared" si="336"/>
        <v>2.4232777227616804</v>
      </c>
      <c r="V337" s="362">
        <f t="shared" si="336"/>
        <v>2.6812356363496637</v>
      </c>
      <c r="X337" s="351"/>
    </row>
    <row r="338" spans="3:24" ht="24.75" customHeight="1" x14ac:dyDescent="0.3">
      <c r="C338" s="353">
        <f>ABS(E338-Dashboard!$F$14)</f>
        <v>261.50219657513105</v>
      </c>
      <c r="D338" s="350">
        <f t="shared" si="333"/>
        <v>0.10655000000000094</v>
      </c>
      <c r="E338" s="359" cm="1">
        <f t="array" ref="E338">1000*SUM('DRE + DCF'!$L$36/M338,'DRE + DCF'!$N$36:$V$36/N338:V338,F338/V338)/Dashboard!$F$11</f>
        <v>358.49219657513106</v>
      </c>
      <c r="F338" s="359">
        <f t="shared" si="331"/>
        <v>39973897.668325283</v>
      </c>
      <c r="G338" s="359">
        <f>'DRE + DCF'!$W$31</f>
        <v>2791623.3540418856</v>
      </c>
      <c r="H338" s="359">
        <f>'DRE + DCF'!$W$32</f>
        <v>81081.931703745853</v>
      </c>
      <c r="I338" s="359">
        <f>-H338*('DRE + DCF'!$V$33+K338)/'DRE + DCF'!$V$33</f>
        <v>-90858.801614444121</v>
      </c>
      <c r="J338" s="359">
        <f>-'DRE + DCF'!$V$56*L338</f>
        <v>-1188924.4255577971</v>
      </c>
      <c r="K338" s="360">
        <f>(1+L338)/(1+Ke!$O$12)-1</f>
        <v>2.0000000000000018E-2</v>
      </c>
      <c r="L338" s="360">
        <f>'DRE + DCF'!$Y$31</f>
        <v>7.3550000000000004E-2</v>
      </c>
      <c r="M338" s="361">
        <f>(1+D338)^((5-Dashboard!$F$9)*3/12)</f>
        <v>1.0788927678199047</v>
      </c>
      <c r="N338" s="361">
        <f t="shared" ref="N338:V338" si="337">M338*(1+$D338)</f>
        <v>1.1938487922311167</v>
      </c>
      <c r="O338" s="361">
        <f t="shared" si="337"/>
        <v>1.3210533810433434</v>
      </c>
      <c r="P338" s="361">
        <f t="shared" si="337"/>
        <v>1.4618116187935128</v>
      </c>
      <c r="Q338" s="361">
        <f t="shared" si="337"/>
        <v>1.6175676467759632</v>
      </c>
      <c r="R338" s="361">
        <f t="shared" si="337"/>
        <v>1.7899194795399438</v>
      </c>
      <c r="S338" s="361">
        <f t="shared" si="337"/>
        <v>1.9806354000849267</v>
      </c>
      <c r="T338" s="361">
        <f t="shared" si="337"/>
        <v>2.1916721019639778</v>
      </c>
      <c r="U338" s="361">
        <f t="shared" si="337"/>
        <v>2.4251947644282419</v>
      </c>
      <c r="V338" s="362">
        <f t="shared" si="337"/>
        <v>2.6835992665780735</v>
      </c>
      <c r="X338" s="351"/>
    </row>
    <row r="339" spans="3:24" ht="24.75" customHeight="1" x14ac:dyDescent="0.3">
      <c r="C339" s="353">
        <f>ABS(E339-Dashboard!$F$14)</f>
        <v>260.61392582197027</v>
      </c>
      <c r="D339" s="350">
        <f t="shared" si="333"/>
        <v>0.10665000000000094</v>
      </c>
      <c r="E339" s="359" cm="1">
        <f t="array" ref="E339">1000*SUM('DRE + DCF'!$L$36/M339,'DRE + DCF'!$N$36:$V$36/N339:V339,F339/V339)/Dashboard!$F$11</f>
        <v>357.60392582197028</v>
      </c>
      <c r="F339" s="359">
        <f t="shared" si="331"/>
        <v>39882432.080220498</v>
      </c>
      <c r="G339" s="359">
        <f>'DRE + DCF'!$W$31</f>
        <v>2791623.3540418856</v>
      </c>
      <c r="H339" s="359">
        <f>'DRE + DCF'!$W$32</f>
        <v>81081.931703745853</v>
      </c>
      <c r="I339" s="359">
        <f>-H339*('DRE + DCF'!$V$33+K339)/'DRE + DCF'!$V$33</f>
        <v>-90858.801614444121</v>
      </c>
      <c r="J339" s="359">
        <f>-'DRE + DCF'!$V$56*L339</f>
        <v>-1188924.4255577971</v>
      </c>
      <c r="K339" s="360">
        <f>(1+L339)/(1+Ke!$O$12)-1</f>
        <v>2.0000000000000018E-2</v>
      </c>
      <c r="L339" s="360">
        <f>'DRE + DCF'!$Y$31</f>
        <v>7.3550000000000004E-2</v>
      </c>
      <c r="M339" s="361">
        <f>(1+D339)^((5-Dashboard!$F$9)*3/12)</f>
        <v>1.07896589243565</v>
      </c>
      <c r="N339" s="361">
        <f t="shared" ref="N339:V339" si="338">M339*(1+$D339)</f>
        <v>1.1940376048639132</v>
      </c>
      <c r="O339" s="361">
        <f t="shared" si="338"/>
        <v>1.3213817154226508</v>
      </c>
      <c r="P339" s="361">
        <f t="shared" si="338"/>
        <v>1.4623070753724778</v>
      </c>
      <c r="Q339" s="361">
        <f t="shared" si="338"/>
        <v>1.6182621249609541</v>
      </c>
      <c r="R339" s="361">
        <f t="shared" si="338"/>
        <v>1.7908497805880415</v>
      </c>
      <c r="S339" s="361">
        <f t="shared" si="338"/>
        <v>1.9818439096877578</v>
      </c>
      <c r="T339" s="361">
        <f t="shared" si="338"/>
        <v>2.1932075626559593</v>
      </c>
      <c r="U339" s="361">
        <f t="shared" si="338"/>
        <v>2.4271131492132194</v>
      </c>
      <c r="V339" s="362">
        <f t="shared" si="338"/>
        <v>2.6859647665768116</v>
      </c>
      <c r="X339" s="351"/>
    </row>
    <row r="340" spans="3:24" ht="24.75" customHeight="1" x14ac:dyDescent="0.3">
      <c r="C340" s="353">
        <f>ABS(E340-Dashboard!$F$14)</f>
        <v>259.7302786276212</v>
      </c>
      <c r="D340" s="350">
        <f t="shared" si="333"/>
        <v>0.10675000000000094</v>
      </c>
      <c r="E340" s="359" cm="1">
        <f t="array" ref="E340">1000*SUM('DRE + DCF'!$L$36/M340,'DRE + DCF'!$N$36:$V$36/N340:V340,F340/V340)/Dashboard!$F$11</f>
        <v>356.72027862762121</v>
      </c>
      <c r="F340" s="359">
        <f t="shared" si="331"/>
        <v>39791462.757612154</v>
      </c>
      <c r="G340" s="359">
        <f>'DRE + DCF'!$W$31</f>
        <v>2791623.3540418856</v>
      </c>
      <c r="H340" s="359">
        <f>'DRE + DCF'!$W$32</f>
        <v>81081.931703745853</v>
      </c>
      <c r="I340" s="359">
        <f>-H340*('DRE + DCF'!$V$33+K340)/'DRE + DCF'!$V$33</f>
        <v>-90858.801614444121</v>
      </c>
      <c r="J340" s="359">
        <f>-'DRE + DCF'!$V$56*L340</f>
        <v>-1188924.4255577971</v>
      </c>
      <c r="K340" s="360">
        <f>(1+L340)/(1+Ke!$O$12)-1</f>
        <v>2.0000000000000018E-2</v>
      </c>
      <c r="L340" s="360">
        <f>'DRE + DCF'!$Y$31</f>
        <v>7.3550000000000004E-2</v>
      </c>
      <c r="M340" s="361">
        <f>(1+D340)^((5-Dashboard!$F$9)*3/12)</f>
        <v>1.0790390153994776</v>
      </c>
      <c r="N340" s="361">
        <f t="shared" ref="N340:V340" si="339">M340*(1+$D340)</f>
        <v>1.1942264302933729</v>
      </c>
      <c r="O340" s="361">
        <f t="shared" si="339"/>
        <v>1.3217101017271917</v>
      </c>
      <c r="P340" s="361">
        <f t="shared" si="339"/>
        <v>1.4628026550865707</v>
      </c>
      <c r="Q340" s="361">
        <f t="shared" si="339"/>
        <v>1.6189568385170636</v>
      </c>
      <c r="R340" s="361">
        <f t="shared" si="339"/>
        <v>1.7917804810287619</v>
      </c>
      <c r="S340" s="361">
        <f t="shared" si="339"/>
        <v>1.9830530473785839</v>
      </c>
      <c r="T340" s="361">
        <f t="shared" si="339"/>
        <v>2.19474396018625</v>
      </c>
      <c r="U340" s="361">
        <f t="shared" si="339"/>
        <v>2.4290328779361343</v>
      </c>
      <c r="V340" s="362">
        <f t="shared" si="339"/>
        <v>2.6883321376558191</v>
      </c>
      <c r="X340" s="351"/>
    </row>
    <row r="341" spans="3:24" ht="24.75" customHeight="1" x14ac:dyDescent="0.3">
      <c r="C341" s="353">
        <f>ABS(E341-Dashboard!$F$14)</f>
        <v>258.85121584047101</v>
      </c>
      <c r="D341" s="350">
        <f t="shared" si="333"/>
        <v>0.10685000000000094</v>
      </c>
      <c r="E341" s="359" cm="1">
        <f t="array" ref="E341">1000*SUM('DRE + DCF'!$L$36/M341,'DRE + DCF'!$N$36:$V$36/N341:V341,F341/V341)/Dashboard!$F$11</f>
        <v>355.84121584047102</v>
      </c>
      <c r="F341" s="359">
        <f t="shared" si="331"/>
        <v>39700985.382848144</v>
      </c>
      <c r="G341" s="359">
        <f>'DRE + DCF'!$W$31</f>
        <v>2791623.3540418856</v>
      </c>
      <c r="H341" s="359">
        <f>'DRE + DCF'!$W$32</f>
        <v>81081.931703745853</v>
      </c>
      <c r="I341" s="359">
        <f>-H341*('DRE + DCF'!$V$33+K341)/'DRE + DCF'!$V$33</f>
        <v>-90858.801614444121</v>
      </c>
      <c r="J341" s="359">
        <f>-'DRE + DCF'!$V$56*L341</f>
        <v>-1188924.4255577971</v>
      </c>
      <c r="K341" s="360">
        <f>(1+L341)/(1+Ke!$O$12)-1</f>
        <v>2.0000000000000018E-2</v>
      </c>
      <c r="L341" s="360">
        <f>'DRE + DCF'!$Y$31</f>
        <v>7.3550000000000004E-2</v>
      </c>
      <c r="M341" s="361">
        <f>(1+D341)^((5-Dashboard!$F$9)*3/12)</f>
        <v>1.0791121367115739</v>
      </c>
      <c r="N341" s="361">
        <f t="shared" ref="N341:V341" si="340">M341*(1+$D341)</f>
        <v>1.1944152685192067</v>
      </c>
      <c r="O341" s="361">
        <f t="shared" si="340"/>
        <v>1.322038539960485</v>
      </c>
      <c r="P341" s="361">
        <f t="shared" si="340"/>
        <v>1.4632983579552641</v>
      </c>
      <c r="Q341" s="361">
        <f t="shared" si="340"/>
        <v>1.6196517875027856</v>
      </c>
      <c r="R341" s="361">
        <f t="shared" si="340"/>
        <v>1.7927115809974599</v>
      </c>
      <c r="S341" s="361">
        <f t="shared" si="340"/>
        <v>1.9842628134270401</v>
      </c>
      <c r="T341" s="361">
        <f t="shared" si="340"/>
        <v>2.1962812950417212</v>
      </c>
      <c r="U341" s="361">
        <f t="shared" si="340"/>
        <v>2.4309539514169312</v>
      </c>
      <c r="V341" s="362">
        <f t="shared" si="340"/>
        <v>2.6907013811258329</v>
      </c>
      <c r="X341" s="351"/>
    </row>
    <row r="342" spans="3:24" ht="24.75" customHeight="1" x14ac:dyDescent="0.3">
      <c r="C342" s="353">
        <f>ABS(E342-Dashboard!$F$14)</f>
        <v>257.97669876784238</v>
      </c>
      <c r="D342" s="350">
        <f t="shared" si="333"/>
        <v>0.10695000000000095</v>
      </c>
      <c r="E342" s="359" cm="1">
        <f t="array" ref="E342">1000*SUM('DRE + DCF'!$L$36/M342,'DRE + DCF'!$N$36:$V$36/N342:V342,F342/V342)/Dashboard!$F$11</f>
        <v>354.96669876784239</v>
      </c>
      <c r="F342" s="359">
        <f t="shared" si="331"/>
        <v>39610995.689413473</v>
      </c>
      <c r="G342" s="359">
        <f>'DRE + DCF'!$W$31</f>
        <v>2791623.3540418856</v>
      </c>
      <c r="H342" s="359">
        <f>'DRE + DCF'!$W$32</f>
        <v>81081.931703745853</v>
      </c>
      <c r="I342" s="359">
        <f>-H342*('DRE + DCF'!$V$33+K342)/'DRE + DCF'!$V$33</f>
        <v>-90858.801614444121</v>
      </c>
      <c r="J342" s="359">
        <f>-'DRE + DCF'!$V$56*L342</f>
        <v>-1188924.4255577971</v>
      </c>
      <c r="K342" s="360">
        <f>(1+L342)/(1+Ke!$O$12)-1</f>
        <v>2.0000000000000018E-2</v>
      </c>
      <c r="L342" s="360">
        <f>'DRE + DCF'!$Y$31</f>
        <v>7.3550000000000004E-2</v>
      </c>
      <c r="M342" s="361">
        <f>(1+D342)^((5-Dashboard!$F$9)*3/12)</f>
        <v>1.0791852563721256</v>
      </c>
      <c r="N342" s="361">
        <f t="shared" ref="N342:V342" si="341">M342*(1+$D342)</f>
        <v>1.1946041195411254</v>
      </c>
      <c r="O342" s="361">
        <f t="shared" si="341"/>
        <v>1.3223670301260499</v>
      </c>
      <c r="P342" s="361">
        <f t="shared" si="341"/>
        <v>1.4637941839980324</v>
      </c>
      <c r="Q342" s="361">
        <f t="shared" si="341"/>
        <v>1.6203469719766235</v>
      </c>
      <c r="R342" s="361">
        <f t="shared" si="341"/>
        <v>1.7936430806295249</v>
      </c>
      <c r="S342" s="361">
        <f t="shared" si="341"/>
        <v>1.9854732081028543</v>
      </c>
      <c r="T342" s="361">
        <f t="shared" si="341"/>
        <v>2.1978195677094567</v>
      </c>
      <c r="U342" s="361">
        <f t="shared" si="341"/>
        <v>2.4328763704759853</v>
      </c>
      <c r="V342" s="362">
        <f t="shared" si="341"/>
        <v>2.6930724982983945</v>
      </c>
      <c r="X342" s="351"/>
    </row>
    <row r="343" spans="3:24" ht="24.75" customHeight="1" x14ac:dyDescent="0.3">
      <c r="C343" s="353">
        <f>ABS(E343-Dashboard!$F$14)</f>
        <v>257.10668916919104</v>
      </c>
      <c r="D343" s="350">
        <f t="shared" si="333"/>
        <v>0.10705000000000095</v>
      </c>
      <c r="E343" s="359" cm="1">
        <f t="array" ref="E343">1000*SUM('DRE + DCF'!$L$36/M343,'DRE + DCF'!$N$36:$V$36/N343:V343,F343/V343)/Dashboard!$F$11</f>
        <v>354.09668916919105</v>
      </c>
      <c r="F343" s="359">
        <f t="shared" si="331"/>
        <v>39521489.461169682</v>
      </c>
      <c r="G343" s="359">
        <f>'DRE + DCF'!$W$31</f>
        <v>2791623.3540418856</v>
      </c>
      <c r="H343" s="359">
        <f>'DRE + DCF'!$W$32</f>
        <v>81081.931703745853</v>
      </c>
      <c r="I343" s="359">
        <f>-H343*('DRE + DCF'!$V$33+K343)/'DRE + DCF'!$V$33</f>
        <v>-90858.801614444121</v>
      </c>
      <c r="J343" s="359">
        <f>-'DRE + DCF'!$V$56*L343</f>
        <v>-1188924.4255577971</v>
      </c>
      <c r="K343" s="360">
        <f>(1+L343)/(1+Ke!$O$12)-1</f>
        <v>2.0000000000000018E-2</v>
      </c>
      <c r="L343" s="360">
        <f>'DRE + DCF'!$Y$31</f>
        <v>7.3550000000000004E-2</v>
      </c>
      <c r="M343" s="361">
        <f>(1+D343)^((5-Dashboard!$F$9)*3/12)</f>
        <v>1.0792583743813193</v>
      </c>
      <c r="N343" s="361">
        <f t="shared" ref="N343:V343" si="342">M343*(1+$D343)</f>
        <v>1.1947929833588407</v>
      </c>
      <c r="O343" s="361">
        <f t="shared" si="342"/>
        <v>1.3226955722274056</v>
      </c>
      <c r="P343" s="361">
        <f t="shared" si="342"/>
        <v>1.4642901332343508</v>
      </c>
      <c r="Q343" s="361">
        <f t="shared" si="342"/>
        <v>1.6210423919970893</v>
      </c>
      <c r="R343" s="361">
        <f t="shared" si="342"/>
        <v>1.7945749800603794</v>
      </c>
      <c r="S343" s="361">
        <f t="shared" si="342"/>
        <v>1.9866842316758448</v>
      </c>
      <c r="T343" s="361">
        <f t="shared" si="342"/>
        <v>2.1993587786767459</v>
      </c>
      <c r="U343" s="361">
        <f t="shared" si="342"/>
        <v>2.4348001359340938</v>
      </c>
      <c r="V343" s="362">
        <f t="shared" si="342"/>
        <v>2.6954454904858411</v>
      </c>
      <c r="X343" s="351"/>
    </row>
    <row r="344" spans="3:24" ht="24.75" customHeight="1" x14ac:dyDescent="0.3">
      <c r="C344" s="353">
        <f>ABS(E344-Dashboard!$F$14)</f>
        <v>256.24114924942489</v>
      </c>
      <c r="D344" s="350">
        <f t="shared" si="333"/>
        <v>0.10715000000000095</v>
      </c>
      <c r="E344" s="359" cm="1">
        <f t="array" ref="E344">1000*SUM('DRE + DCF'!$L$36/M344,'DRE + DCF'!$N$36:$V$36/N344:V344,F344/V344)/Dashboard!$F$11</f>
        <v>353.2311492494249</v>
      </c>
      <c r="F344" s="359">
        <f t="shared" si="331"/>
        <v>39432462.531607851</v>
      </c>
      <c r="G344" s="359">
        <f>'DRE + DCF'!$W$31</f>
        <v>2791623.3540418856</v>
      </c>
      <c r="H344" s="359">
        <f>'DRE + DCF'!$W$32</f>
        <v>81081.931703745853</v>
      </c>
      <c r="I344" s="359">
        <f>-H344*('DRE + DCF'!$V$33+K344)/'DRE + DCF'!$V$33</f>
        <v>-90858.801614444121</v>
      </c>
      <c r="J344" s="359">
        <f>-'DRE + DCF'!$V$56*L344</f>
        <v>-1188924.4255577971</v>
      </c>
      <c r="K344" s="360">
        <f>(1+L344)/(1+Ke!$O$12)-1</f>
        <v>2.0000000000000018E-2</v>
      </c>
      <c r="L344" s="360">
        <f>'DRE + DCF'!$Y$31</f>
        <v>7.3550000000000004E-2</v>
      </c>
      <c r="M344" s="361">
        <f>(1+D344)^((5-Dashboard!$F$9)*3/12)</f>
        <v>1.0793314907393412</v>
      </c>
      <c r="N344" s="361">
        <f t="shared" ref="N344:V344" si="343">M344*(1+$D344)</f>
        <v>1.1949818599720627</v>
      </c>
      <c r="O344" s="361">
        <f t="shared" si="343"/>
        <v>1.3230241662680704</v>
      </c>
      <c r="P344" s="361">
        <f t="shared" si="343"/>
        <v>1.4647862056836953</v>
      </c>
      <c r="Q344" s="361">
        <f t="shared" si="343"/>
        <v>1.6217380476227048</v>
      </c>
      <c r="R344" s="361">
        <f t="shared" si="343"/>
        <v>1.7955072794254792</v>
      </c>
      <c r="S344" s="361">
        <f t="shared" si="343"/>
        <v>1.9878958844159209</v>
      </c>
      <c r="T344" s="361">
        <f t="shared" si="343"/>
        <v>2.2008989284310889</v>
      </c>
      <c r="U344" s="361">
        <f t="shared" si="343"/>
        <v>2.4367252486124822</v>
      </c>
      <c r="V344" s="362">
        <f t="shared" si="343"/>
        <v>2.6978203590013119</v>
      </c>
      <c r="X344" s="351"/>
    </row>
    <row r="345" spans="3:24" ht="24.75" customHeight="1" x14ac:dyDescent="0.3">
      <c r="C345" s="353">
        <f>ABS(E345-Dashboard!$F$14)</f>
        <v>255.38004165234008</v>
      </c>
      <c r="D345" s="350">
        <f t="shared" si="333"/>
        <v>0.10725000000000096</v>
      </c>
      <c r="E345" s="359" cm="1">
        <f t="array" ref="E345">1000*SUM('DRE + DCF'!$L$36/M345,'DRE + DCF'!$N$36:$V$36/N345:V345,F345/V345)/Dashboard!$F$11</f>
        <v>352.37004165234009</v>
      </c>
      <c r="F345" s="359">
        <f t="shared" si="331"/>
        <v>39343910.783114828</v>
      </c>
      <c r="G345" s="359">
        <f>'DRE + DCF'!$W$31</f>
        <v>2791623.3540418856</v>
      </c>
      <c r="H345" s="359">
        <f>'DRE + DCF'!$W$32</f>
        <v>81081.931703745853</v>
      </c>
      <c r="I345" s="359">
        <f>-H345*('DRE + DCF'!$V$33+K345)/'DRE + DCF'!$V$33</f>
        <v>-90858.801614444121</v>
      </c>
      <c r="J345" s="359">
        <f>-'DRE + DCF'!$V$56*L345</f>
        <v>-1188924.4255577971</v>
      </c>
      <c r="K345" s="360">
        <f>(1+L345)/(1+Ke!$O$12)-1</f>
        <v>2.0000000000000018E-2</v>
      </c>
      <c r="L345" s="360">
        <f>'DRE + DCF'!$Y$31</f>
        <v>7.3550000000000004E-2</v>
      </c>
      <c r="M345" s="361">
        <f>(1+D345)^((5-Dashboard!$F$9)*3/12)</f>
        <v>1.079404605446378</v>
      </c>
      <c r="N345" s="361">
        <f t="shared" ref="N345:V345" si="344">M345*(1+$D345)</f>
        <v>1.1951707493805031</v>
      </c>
      <c r="O345" s="361">
        <f t="shared" si="344"/>
        <v>1.3233528122515632</v>
      </c>
      <c r="P345" s="361">
        <f t="shared" si="344"/>
        <v>1.4652824013655446</v>
      </c>
      <c r="Q345" s="361">
        <f t="shared" si="344"/>
        <v>1.6224339389120006</v>
      </c>
      <c r="R345" s="361">
        <f t="shared" si="344"/>
        <v>1.7964399788603143</v>
      </c>
      <c r="S345" s="361">
        <f t="shared" si="344"/>
        <v>1.9891081665930848</v>
      </c>
      <c r="T345" s="361">
        <f t="shared" si="344"/>
        <v>2.2024400174601948</v>
      </c>
      <c r="U345" s="361">
        <f t="shared" si="344"/>
        <v>2.4386517093328028</v>
      </c>
      <c r="V345" s="362">
        <f t="shared" si="344"/>
        <v>2.7001971051587481</v>
      </c>
      <c r="X345" s="351"/>
    </row>
    <row r="346" spans="3:24" ht="24.75" customHeight="1" x14ac:dyDescent="0.3">
      <c r="C346" s="353">
        <f>ABS(E346-Dashboard!$F$14)</f>
        <v>254.52332945417584</v>
      </c>
      <c r="D346" s="350">
        <f t="shared" si="333"/>
        <v>0.10735000000000096</v>
      </c>
      <c r="E346" s="359" cm="1">
        <f t="array" ref="E346">1000*SUM('DRE + DCF'!$L$36/M346,'DRE + DCF'!$N$36:$V$36/N346:V346,F346/V346)/Dashboard!$F$11</f>
        <v>351.51332945417585</v>
      </c>
      <c r="F346" s="359">
        <f t="shared" si="331"/>
        <v>39255830.14625255</v>
      </c>
      <c r="G346" s="359">
        <f>'DRE + DCF'!$W$31</f>
        <v>2791623.3540418856</v>
      </c>
      <c r="H346" s="359">
        <f>'DRE + DCF'!$W$32</f>
        <v>81081.931703745853</v>
      </c>
      <c r="I346" s="359">
        <f>-H346*('DRE + DCF'!$V$33+K346)/'DRE + DCF'!$V$33</f>
        <v>-90858.801614444121</v>
      </c>
      <c r="J346" s="359">
        <f>-'DRE + DCF'!$V$56*L346</f>
        <v>-1188924.4255577971</v>
      </c>
      <c r="K346" s="360">
        <f>(1+L346)/(1+Ke!$O$12)-1</f>
        <v>2.0000000000000018E-2</v>
      </c>
      <c r="L346" s="360">
        <f>'DRE + DCF'!$Y$31</f>
        <v>7.3550000000000004E-2</v>
      </c>
      <c r="M346" s="361">
        <f>(1+D346)^((5-Dashboard!$F$9)*3/12)</f>
        <v>1.0794777185026156</v>
      </c>
      <c r="N346" s="361">
        <f t="shared" ref="N346:V346" si="345">M346*(1+$D346)</f>
        <v>1.1953596515838725</v>
      </c>
      <c r="O346" s="361">
        <f t="shared" si="345"/>
        <v>1.3236815101814023</v>
      </c>
      <c r="P346" s="361">
        <f t="shared" si="345"/>
        <v>1.4657787202993771</v>
      </c>
      <c r="Q346" s="361">
        <f t="shared" si="345"/>
        <v>1.6231300659235166</v>
      </c>
      <c r="R346" s="361">
        <f t="shared" si="345"/>
        <v>1.7973730785004076</v>
      </c>
      <c r="S346" s="361">
        <f t="shared" si="345"/>
        <v>1.9903210784774281</v>
      </c>
      <c r="T346" s="361">
        <f t="shared" si="345"/>
        <v>2.2039820462519817</v>
      </c>
      <c r="U346" s="361">
        <f t="shared" si="345"/>
        <v>2.4405795189171342</v>
      </c>
      <c r="V346" s="362">
        <f t="shared" si="345"/>
        <v>2.702575730272891</v>
      </c>
      <c r="X346" s="351"/>
    </row>
    <row r="347" spans="3:24" ht="24.75" customHeight="1" x14ac:dyDescent="0.3">
      <c r="C347" s="353">
        <f>ABS(E347-Dashboard!$F$14)</f>
        <v>253.67097615728096</v>
      </c>
      <c r="D347" s="350">
        <f t="shared" si="333"/>
        <v>0.10745000000000096</v>
      </c>
      <c r="E347" s="359" cm="1">
        <f t="array" ref="E347">1000*SUM('DRE + DCF'!$L$36/M347,'DRE + DCF'!$N$36:$V$36/N347:V347,F347/V347)/Dashboard!$F$11</f>
        <v>350.66097615728097</v>
      </c>
      <c r="F347" s="359">
        <f t="shared" si="331"/>
        <v>39168216.59905006</v>
      </c>
      <c r="G347" s="359">
        <f>'DRE + DCF'!$W$31</f>
        <v>2791623.3540418856</v>
      </c>
      <c r="H347" s="359">
        <f>'DRE + DCF'!$W$32</f>
        <v>81081.931703745853</v>
      </c>
      <c r="I347" s="359">
        <f>-H347*('DRE + DCF'!$V$33+K347)/'DRE + DCF'!$V$33</f>
        <v>-90858.801614444121</v>
      </c>
      <c r="J347" s="359">
        <f>-'DRE + DCF'!$V$56*L347</f>
        <v>-1188924.4255577971</v>
      </c>
      <c r="K347" s="360">
        <f>(1+L347)/(1+Ke!$O$12)-1</f>
        <v>2.0000000000000018E-2</v>
      </c>
      <c r="L347" s="360">
        <f>'DRE + DCF'!$Y$31</f>
        <v>7.3550000000000004E-2</v>
      </c>
      <c r="M347" s="361">
        <f>(1+D347)^((5-Dashboard!$F$9)*3/12)</f>
        <v>1.079550829908241</v>
      </c>
      <c r="N347" s="361">
        <f t="shared" ref="N347:V347" si="346">M347*(1+$D347)</f>
        <v>1.1955485665818826</v>
      </c>
      <c r="O347" s="361">
        <f t="shared" si="346"/>
        <v>1.324010260061107</v>
      </c>
      <c r="P347" s="361">
        <f t="shared" si="346"/>
        <v>1.4662751625046742</v>
      </c>
      <c r="Q347" s="361">
        <f t="shared" si="346"/>
        <v>1.6238264287158028</v>
      </c>
      <c r="R347" s="361">
        <f t="shared" si="346"/>
        <v>1.7983065784813175</v>
      </c>
      <c r="S347" s="361">
        <f t="shared" si="346"/>
        <v>1.9915346203391366</v>
      </c>
      <c r="T347" s="361">
        <f t="shared" si="346"/>
        <v>2.2055250152945787</v>
      </c>
      <c r="U347" s="361">
        <f t="shared" si="346"/>
        <v>2.4425086781879832</v>
      </c>
      <c r="V347" s="362">
        <f t="shared" si="346"/>
        <v>2.7049562356592842</v>
      </c>
      <c r="X347" s="351"/>
    </row>
    <row r="348" spans="3:24" ht="24.75" customHeight="1" x14ac:dyDescent="0.3">
      <c r="C348" s="353">
        <f>ABS(E348-Dashboard!$F$14)</f>
        <v>252.82294568389318</v>
      </c>
      <c r="D348" s="350">
        <f t="shared" si="333"/>
        <v>0.10755000000000096</v>
      </c>
      <c r="E348" s="359" cm="1">
        <f t="array" ref="E348">1000*SUM('DRE + DCF'!$L$36/M348,'DRE + DCF'!$N$36:$V$36/N348:V348,F348/V348)/Dashboard!$F$11</f>
        <v>349.81294568389319</v>
      </c>
      <c r="F348" s="359">
        <f t="shared" si="331"/>
        <v>39081066.166307993</v>
      </c>
      <c r="G348" s="359">
        <f>'DRE + DCF'!$W$31</f>
        <v>2791623.3540418856</v>
      </c>
      <c r="H348" s="359">
        <f>'DRE + DCF'!$W$32</f>
        <v>81081.931703745853</v>
      </c>
      <c r="I348" s="359">
        <f>-H348*('DRE + DCF'!$V$33+K348)/'DRE + DCF'!$V$33</f>
        <v>-90858.801614444121</v>
      </c>
      <c r="J348" s="359">
        <f>-'DRE + DCF'!$V$56*L348</f>
        <v>-1188924.4255577971</v>
      </c>
      <c r="K348" s="360">
        <f>(1+L348)/(1+Ke!$O$12)-1</f>
        <v>2.0000000000000018E-2</v>
      </c>
      <c r="L348" s="360">
        <f>'DRE + DCF'!$Y$31</f>
        <v>7.3550000000000004E-2</v>
      </c>
      <c r="M348" s="361">
        <f>(1+D348)^((5-Dashboard!$F$9)*3/12)</f>
        <v>1.0796239396634402</v>
      </c>
      <c r="N348" s="361">
        <f t="shared" ref="N348:V348" si="347">M348*(1+$D348)</f>
        <v>1.1957374943742443</v>
      </c>
      <c r="O348" s="361">
        <f t="shared" si="347"/>
        <v>1.3243390618941953</v>
      </c>
      <c r="P348" s="361">
        <f t="shared" si="347"/>
        <v>1.4667717280009172</v>
      </c>
      <c r="Q348" s="361">
        <f t="shared" si="347"/>
        <v>1.6245230273474172</v>
      </c>
      <c r="R348" s="361">
        <f t="shared" si="347"/>
        <v>1.7992404789386334</v>
      </c>
      <c r="S348" s="361">
        <f t="shared" si="347"/>
        <v>1.992748792448485</v>
      </c>
      <c r="T348" s="361">
        <f t="shared" si="347"/>
        <v>2.2070689250763214</v>
      </c>
      <c r="U348" s="361">
        <f t="shared" si="347"/>
        <v>2.4444391879682819</v>
      </c>
      <c r="V348" s="362">
        <f t="shared" si="347"/>
        <v>2.7073386226342726</v>
      </c>
      <c r="X348" s="351"/>
    </row>
    <row r="349" spans="3:24" ht="24.75" customHeight="1" x14ac:dyDescent="0.3">
      <c r="C349" s="353">
        <f>ABS(E349-Dashboard!$F$14)</f>
        <v>251.97920237002666</v>
      </c>
      <c r="D349" s="350">
        <f t="shared" si="333"/>
        <v>0.10765000000000097</v>
      </c>
      <c r="E349" s="359" cm="1">
        <f t="array" ref="E349">1000*SUM('DRE + DCF'!$L$36/M349,'DRE + DCF'!$N$36:$V$36/N349:V349,F349/V349)/Dashboard!$F$11</f>
        <v>348.96920237002666</v>
      </c>
      <c r="F349" s="359">
        <f t="shared" si="331"/>
        <v>38994374.918915316</v>
      </c>
      <c r="G349" s="359">
        <f>'DRE + DCF'!$W$31</f>
        <v>2791623.3540418856</v>
      </c>
      <c r="H349" s="359">
        <f>'DRE + DCF'!$W$32</f>
        <v>81081.931703745853</v>
      </c>
      <c r="I349" s="359">
        <f>-H349*('DRE + DCF'!$V$33+K349)/'DRE + DCF'!$V$33</f>
        <v>-90858.801614444121</v>
      </c>
      <c r="J349" s="359">
        <f>-'DRE + DCF'!$V$56*L349</f>
        <v>-1188924.4255577971</v>
      </c>
      <c r="K349" s="360">
        <f>(1+L349)/(1+Ke!$O$12)-1</f>
        <v>2.0000000000000018E-2</v>
      </c>
      <c r="L349" s="360">
        <f>'DRE + DCF'!$Y$31</f>
        <v>7.3550000000000004E-2</v>
      </c>
      <c r="M349" s="361">
        <f>(1+D349)^((5-Dashboard!$F$9)*3/12)</f>
        <v>1.0796970477683994</v>
      </c>
      <c r="N349" s="361">
        <f t="shared" ref="N349:V349" si="348">M349*(1+$D349)</f>
        <v>1.1959264349606686</v>
      </c>
      <c r="O349" s="361">
        <f t="shared" si="348"/>
        <v>1.3246679156841856</v>
      </c>
      <c r="P349" s="361">
        <f t="shared" si="348"/>
        <v>1.4672684168075893</v>
      </c>
      <c r="Q349" s="361">
        <f t="shared" si="348"/>
        <v>1.6252198618769276</v>
      </c>
      <c r="R349" s="361">
        <f t="shared" si="348"/>
        <v>1.8001747800079804</v>
      </c>
      <c r="S349" s="361">
        <f t="shared" si="348"/>
        <v>1.9939635950758412</v>
      </c>
      <c r="T349" s="361">
        <f t="shared" si="348"/>
        <v>2.2086137760857572</v>
      </c>
      <c r="U349" s="361">
        <f t="shared" si="348"/>
        <v>2.446371049081391</v>
      </c>
      <c r="V349" s="362">
        <f t="shared" si="348"/>
        <v>2.7097228925150052</v>
      </c>
      <c r="X349" s="351"/>
    </row>
    <row r="350" spans="3:24" ht="24.75" customHeight="1" x14ac:dyDescent="0.3">
      <c r="C350" s="353">
        <f>ABS(E350-Dashboard!$F$14)</f>
        <v>251.13971095946789</v>
      </c>
      <c r="D350" s="350">
        <f t="shared" si="333"/>
        <v>0.10775000000000097</v>
      </c>
      <c r="E350" s="359" cm="1">
        <f t="array" ref="E350">1000*SUM('DRE + DCF'!$L$36/M350,'DRE + DCF'!$N$36:$V$36/N350:V350,F350/V350)/Dashboard!$F$11</f>
        <v>348.1297109594679</v>
      </c>
      <c r="F350" s="359">
        <f t="shared" si="331"/>
        <v>38908138.973178044</v>
      </c>
      <c r="G350" s="359">
        <f>'DRE + DCF'!$W$31</f>
        <v>2791623.3540418856</v>
      </c>
      <c r="H350" s="359">
        <f>'DRE + DCF'!$W$32</f>
        <v>81081.931703745853</v>
      </c>
      <c r="I350" s="359">
        <f>-H350*('DRE + DCF'!$V$33+K350)/'DRE + DCF'!$V$33</f>
        <v>-90858.801614444121</v>
      </c>
      <c r="J350" s="359">
        <f>-'DRE + DCF'!$V$56*L350</f>
        <v>-1188924.4255577971</v>
      </c>
      <c r="K350" s="360">
        <f>(1+L350)/(1+Ke!$O$12)-1</f>
        <v>2.0000000000000018E-2</v>
      </c>
      <c r="L350" s="360">
        <f>'DRE + DCF'!$Y$31</f>
        <v>7.3550000000000004E-2</v>
      </c>
      <c r="M350" s="361">
        <f>(1+D350)^((5-Dashboard!$F$9)*3/12)</f>
        <v>1.0797701542233047</v>
      </c>
      <c r="N350" s="361">
        <f t="shared" ref="N350:V350" si="349">M350*(1+$D350)</f>
        <v>1.1961153883408668</v>
      </c>
      <c r="O350" s="361">
        <f t="shared" si="349"/>
        <v>1.3249968214345964</v>
      </c>
      <c r="P350" s="361">
        <f t="shared" si="349"/>
        <v>1.4677652289441754</v>
      </c>
      <c r="Q350" s="361">
        <f t="shared" si="349"/>
        <v>1.6259169323629117</v>
      </c>
      <c r="R350" s="361">
        <f t="shared" si="349"/>
        <v>1.8011094818250168</v>
      </c>
      <c r="S350" s="361">
        <f t="shared" si="349"/>
        <v>1.995179028491664</v>
      </c>
      <c r="T350" s="361">
        <f t="shared" si="349"/>
        <v>2.2101595688116427</v>
      </c>
      <c r="U350" s="361">
        <f t="shared" si="349"/>
        <v>2.4483042623510993</v>
      </c>
      <c r="V350" s="362">
        <f t="shared" si="349"/>
        <v>2.7121090466194326</v>
      </c>
      <c r="X350" s="351"/>
    </row>
    <row r="351" spans="3:24" ht="24.75" customHeight="1" x14ac:dyDescent="0.3">
      <c r="C351" s="353">
        <f>ABS(E351-Dashboard!$F$14)</f>
        <v>250.30443659787471</v>
      </c>
      <c r="D351" s="350">
        <f t="shared" si="333"/>
        <v>0.10785000000000097</v>
      </c>
      <c r="E351" s="359" cm="1">
        <f t="array" ref="E351">1000*SUM('DRE + DCF'!$L$36/M351,'DRE + DCF'!$N$36:$V$36/N351:V351,F351/V351)/Dashboard!$F$11</f>
        <v>347.29443659787472</v>
      </c>
      <c r="F351" s="359">
        <f t="shared" si="331"/>
        <v>38822354.490159616</v>
      </c>
      <c r="G351" s="359">
        <f>'DRE + DCF'!$W$31</f>
        <v>2791623.3540418856</v>
      </c>
      <c r="H351" s="359">
        <f>'DRE + DCF'!$W$32</f>
        <v>81081.931703745853</v>
      </c>
      <c r="I351" s="359">
        <f>-H351*('DRE + DCF'!$V$33+K351)/'DRE + DCF'!$V$33</f>
        <v>-90858.801614444121</v>
      </c>
      <c r="J351" s="359">
        <f>-'DRE + DCF'!$V$56*L351</f>
        <v>-1188924.4255577971</v>
      </c>
      <c r="K351" s="360">
        <f>(1+L351)/(1+Ke!$O$12)-1</f>
        <v>2.0000000000000018E-2</v>
      </c>
      <c r="L351" s="360">
        <f>'DRE + DCF'!$Y$31</f>
        <v>7.3550000000000004E-2</v>
      </c>
      <c r="M351" s="361">
        <f>(1+D351)^((5-Dashboard!$F$9)*3/12)</f>
        <v>1.0798432590283427</v>
      </c>
      <c r="N351" s="361">
        <f t="shared" ref="N351:V351" si="350">M351*(1+$D351)</f>
        <v>1.1963043545145504</v>
      </c>
      <c r="O351" s="361">
        <f t="shared" si="350"/>
        <v>1.3253257791489457</v>
      </c>
      <c r="P351" s="361">
        <f t="shared" si="350"/>
        <v>1.4682621644301606</v>
      </c>
      <c r="Q351" s="361">
        <f t="shared" si="350"/>
        <v>1.6266142388639546</v>
      </c>
      <c r="R351" s="361">
        <f t="shared" si="350"/>
        <v>1.8020445845254336</v>
      </c>
      <c r="S351" s="361">
        <f t="shared" si="350"/>
        <v>1.9963950929665033</v>
      </c>
      <c r="T351" s="361">
        <f t="shared" si="350"/>
        <v>2.2117063037429423</v>
      </c>
      <c r="U351" s="361">
        <f t="shared" si="350"/>
        <v>2.4502388286016208</v>
      </c>
      <c r="V351" s="362">
        <f t="shared" si="350"/>
        <v>2.7144970862663076</v>
      </c>
      <c r="X351" s="351"/>
    </row>
    <row r="352" spans="3:24" ht="24.75" customHeight="1" x14ac:dyDescent="0.3">
      <c r="C352" s="353">
        <f>ABS(E352-Dashboard!$F$14)</f>
        <v>249.4733448269792</v>
      </c>
      <c r="D352" s="350">
        <f t="shared" si="333"/>
        <v>0.10795000000000098</v>
      </c>
      <c r="E352" s="359" cm="1">
        <f t="array" ref="E352">1000*SUM('DRE + DCF'!$L$36/M352,'DRE + DCF'!$N$36:$V$36/N352:V352,F352/V352)/Dashboard!$F$11</f>
        <v>346.46334482697921</v>
      </c>
      <c r="F352" s="359">
        <f t="shared" si="331"/>
        <v>38737017.675032869</v>
      </c>
      <c r="G352" s="359">
        <f>'DRE + DCF'!$W$31</f>
        <v>2791623.3540418856</v>
      </c>
      <c r="H352" s="359">
        <f>'DRE + DCF'!$W$32</f>
        <v>81081.931703745853</v>
      </c>
      <c r="I352" s="359">
        <f>-H352*('DRE + DCF'!$V$33+K352)/'DRE + DCF'!$V$33</f>
        <v>-90858.801614444121</v>
      </c>
      <c r="J352" s="359">
        <f>-'DRE + DCF'!$V$56*L352</f>
        <v>-1188924.4255577971</v>
      </c>
      <c r="K352" s="360">
        <f>(1+L352)/(1+Ke!$O$12)-1</f>
        <v>2.0000000000000018E-2</v>
      </c>
      <c r="L352" s="360">
        <f>'DRE + DCF'!$Y$31</f>
        <v>7.3550000000000004E-2</v>
      </c>
      <c r="M352" s="361">
        <f>(1+D352)^((5-Dashboard!$F$9)*3/12)</f>
        <v>1.0799163621836991</v>
      </c>
      <c r="N352" s="361">
        <f t="shared" ref="N352:V352" si="351">M352*(1+$D352)</f>
        <v>1.1964933334814305</v>
      </c>
      <c r="O352" s="361">
        <f t="shared" si="351"/>
        <v>1.3256547888307519</v>
      </c>
      <c r="P352" s="361">
        <f t="shared" si="351"/>
        <v>1.4687592232850328</v>
      </c>
      <c r="Q352" s="361">
        <f t="shared" si="351"/>
        <v>1.6273117814386535</v>
      </c>
      <c r="R352" s="361">
        <f t="shared" si="351"/>
        <v>1.8029800882449576</v>
      </c>
      <c r="S352" s="361">
        <f t="shared" si="351"/>
        <v>1.9976117887710023</v>
      </c>
      <c r="T352" s="361">
        <f t="shared" si="351"/>
        <v>2.2132539813688337</v>
      </c>
      <c r="U352" s="361">
        <f t="shared" si="351"/>
        <v>2.4521747486576011</v>
      </c>
      <c r="V352" s="362">
        <f t="shared" si="351"/>
        <v>2.7168870127751914</v>
      </c>
      <c r="X352" s="351"/>
    </row>
    <row r="353" spans="3:24" ht="24.75" customHeight="1" x14ac:dyDescent="0.3">
      <c r="C353" s="353">
        <f>ABS(E353-Dashboard!$F$14)</f>
        <v>248.6464015788909</v>
      </c>
      <c r="D353" s="350">
        <f t="shared" si="333"/>
        <v>0.10805000000000098</v>
      </c>
      <c r="E353" s="359" cm="1">
        <f t="array" ref="E353">1000*SUM('DRE + DCF'!$L$36/M353,'DRE + DCF'!$N$36:$V$36/N353:V353,F353/V353)/Dashboard!$F$11</f>
        <v>345.63640157889091</v>
      </c>
      <c r="F353" s="359">
        <f t="shared" si="331"/>
        <v>38652124.776443191</v>
      </c>
      <c r="G353" s="359">
        <f>'DRE + DCF'!$W$31</f>
        <v>2791623.3540418856</v>
      </c>
      <c r="H353" s="359">
        <f>'DRE + DCF'!$W$32</f>
        <v>81081.931703745853</v>
      </c>
      <c r="I353" s="359">
        <f>-H353*('DRE + DCF'!$V$33+K353)/'DRE + DCF'!$V$33</f>
        <v>-90858.801614444121</v>
      </c>
      <c r="J353" s="359">
        <f>-'DRE + DCF'!$V$56*L353</f>
        <v>-1188924.4255577971</v>
      </c>
      <c r="K353" s="360">
        <f>(1+L353)/(1+Ke!$O$12)-1</f>
        <v>2.0000000000000018E-2</v>
      </c>
      <c r="L353" s="360">
        <f>'DRE + DCF'!$Y$31</f>
        <v>7.3550000000000004E-2</v>
      </c>
      <c r="M353" s="361">
        <f>(1+D353)^((5-Dashboard!$F$9)*3/12)</f>
        <v>1.0799894636895604</v>
      </c>
      <c r="N353" s="361">
        <f t="shared" ref="N353:V353" si="352">M353*(1+$D353)</f>
        <v>1.1966823252412184</v>
      </c>
      <c r="O353" s="361">
        <f t="shared" si="352"/>
        <v>1.3259838504835331</v>
      </c>
      <c r="P353" s="361">
        <f t="shared" si="352"/>
        <v>1.46925640552828</v>
      </c>
      <c r="Q353" s="361">
        <f t="shared" si="352"/>
        <v>1.6280095601456119</v>
      </c>
      <c r="R353" s="361">
        <f t="shared" si="352"/>
        <v>1.8039159931193467</v>
      </c>
      <c r="S353" s="361">
        <f t="shared" si="352"/>
        <v>1.9988291161758938</v>
      </c>
      <c r="T353" s="361">
        <f t="shared" si="352"/>
        <v>2.2148026021787008</v>
      </c>
      <c r="U353" s="361">
        <f t="shared" si="352"/>
        <v>2.4541120233441114</v>
      </c>
      <c r="V353" s="362">
        <f t="shared" si="352"/>
        <v>2.7192788274664448</v>
      </c>
      <c r="X353" s="351"/>
    </row>
    <row r="354" spans="3:24" ht="24.75" customHeight="1" x14ac:dyDescent="0.3">
      <c r="C354" s="353">
        <f>ABS(E354-Dashboard!$F$14)</f>
        <v>247.8235731704977</v>
      </c>
      <c r="D354" s="350">
        <f t="shared" si="333"/>
        <v>0.10815000000000098</v>
      </c>
      <c r="E354" s="359" cm="1">
        <f t="array" ref="E354">1000*SUM('DRE + DCF'!$L$36/M354,'DRE + DCF'!$N$36:$V$36/N354:V354,F354/V354)/Dashboard!$F$11</f>
        <v>344.8135731704977</v>
      </c>
      <c r="F354" s="359">
        <f t="shared" si="331"/>
        <v>38567672.085882738</v>
      </c>
      <c r="G354" s="359">
        <f>'DRE + DCF'!$W$31</f>
        <v>2791623.3540418856</v>
      </c>
      <c r="H354" s="359">
        <f>'DRE + DCF'!$W$32</f>
        <v>81081.931703745853</v>
      </c>
      <c r="I354" s="359">
        <f>-H354*('DRE + DCF'!$V$33+K354)/'DRE + DCF'!$V$33</f>
        <v>-90858.801614444121</v>
      </c>
      <c r="J354" s="359">
        <f>-'DRE + DCF'!$V$56*L354</f>
        <v>-1188924.4255577971</v>
      </c>
      <c r="K354" s="360">
        <f>(1+L354)/(1+Ke!$O$12)-1</f>
        <v>2.0000000000000018E-2</v>
      </c>
      <c r="L354" s="360">
        <f>'DRE + DCF'!$Y$31</f>
        <v>7.3550000000000004E-2</v>
      </c>
      <c r="M354" s="361">
        <f>(1+D354)^((5-Dashboard!$F$9)*3/12)</f>
        <v>1.0800625635461127</v>
      </c>
      <c r="N354" s="361">
        <f t="shared" ref="N354:V354" si="353">M354*(1+$D354)</f>
        <v>1.196871329793626</v>
      </c>
      <c r="O354" s="361">
        <f t="shared" si="353"/>
        <v>1.326312964110808</v>
      </c>
      <c r="P354" s="361">
        <f t="shared" si="353"/>
        <v>1.4697537111793932</v>
      </c>
      <c r="Q354" s="361">
        <f t="shared" si="353"/>
        <v>1.6287075750434461</v>
      </c>
      <c r="R354" s="361">
        <f t="shared" si="353"/>
        <v>1.8048522992843965</v>
      </c>
      <c r="S354" s="361">
        <f t="shared" si="353"/>
        <v>2.0000470754520059</v>
      </c>
      <c r="T354" s="361">
        <f t="shared" si="353"/>
        <v>2.2163521666621424</v>
      </c>
      <c r="U354" s="361">
        <f t="shared" si="353"/>
        <v>2.4560506534866553</v>
      </c>
      <c r="V354" s="362">
        <f t="shared" si="353"/>
        <v>2.7216725316612398</v>
      </c>
      <c r="X354" s="351"/>
    </row>
    <row r="355" spans="3:24" ht="24.75" customHeight="1" x14ac:dyDescent="0.3">
      <c r="C355" s="353">
        <f>ABS(E355-Dashboard!$F$14)</f>
        <v>247.00482629796602</v>
      </c>
      <c r="D355" s="350">
        <f t="shared" si="333"/>
        <v>0.10825000000000098</v>
      </c>
      <c r="E355" s="359" cm="1">
        <f t="array" ref="E355">1000*SUM('DRE + DCF'!$L$36/M355,'DRE + DCF'!$N$36:$V$36/N355:V355,F355/V355)/Dashboard!$F$11</f>
        <v>343.99482629796603</v>
      </c>
      <c r="F355" s="359">
        <f t="shared" si="331"/>
        <v>38483655.937075429</v>
      </c>
      <c r="G355" s="359">
        <f>'DRE + DCF'!$W$31</f>
        <v>2791623.3540418856</v>
      </c>
      <c r="H355" s="359">
        <f>'DRE + DCF'!$W$32</f>
        <v>81081.931703745853</v>
      </c>
      <c r="I355" s="359">
        <f>-H355*('DRE + DCF'!$V$33+K355)/'DRE + DCF'!$V$33</f>
        <v>-90858.801614444121</v>
      </c>
      <c r="J355" s="359">
        <f>-'DRE + DCF'!$V$56*L355</f>
        <v>-1188924.4255577971</v>
      </c>
      <c r="K355" s="360">
        <f>(1+L355)/(1+Ke!$O$12)-1</f>
        <v>2.0000000000000018E-2</v>
      </c>
      <c r="L355" s="360">
        <f>'DRE + DCF'!$Y$31</f>
        <v>7.3550000000000004E-2</v>
      </c>
      <c r="M355" s="361">
        <f>(1+D355)^((5-Dashboard!$F$9)*3/12)</f>
        <v>1.0801356617535416</v>
      </c>
      <c r="N355" s="361">
        <f t="shared" ref="N355:V355" si="354">M355*(1+$D355)</f>
        <v>1.1970603471383636</v>
      </c>
      <c r="O355" s="361">
        <f t="shared" si="354"/>
        <v>1.3266421297160929</v>
      </c>
      <c r="P355" s="361">
        <f t="shared" si="354"/>
        <v>1.4702511402578613</v>
      </c>
      <c r="Q355" s="361">
        <f t="shared" si="354"/>
        <v>1.6294058261907765</v>
      </c>
      <c r="R355" s="361">
        <f t="shared" si="354"/>
        <v>1.8057890068759297</v>
      </c>
      <c r="S355" s="361">
        <f t="shared" si="354"/>
        <v>2.0012656668702511</v>
      </c>
      <c r="T355" s="361">
        <f t="shared" si="354"/>
        <v>2.2179026753089581</v>
      </c>
      <c r="U355" s="361">
        <f t="shared" si="354"/>
        <v>2.4579906399111553</v>
      </c>
      <c r="V355" s="362">
        <f t="shared" si="354"/>
        <v>2.7240681266815403</v>
      </c>
      <c r="X355" s="351"/>
    </row>
    <row r="356" spans="3:24" ht="24.75" customHeight="1" x14ac:dyDescent="0.3">
      <c r="C356" s="353">
        <f>ABS(E356-Dashboard!$F$14)</f>
        <v>246.19012803133131</v>
      </c>
      <c r="D356" s="350">
        <f t="shared" si="333"/>
        <v>0.10835000000000099</v>
      </c>
      <c r="E356" s="359" cm="1">
        <f t="array" ref="E356">1000*SUM('DRE + DCF'!$L$36/M356,'DRE + DCF'!$N$36:$V$36/N356:V356,F356/V356)/Dashboard!$F$11</f>
        <v>343.18012803133132</v>
      </c>
      <c r="F356" s="359">
        <f t="shared" si="331"/>
        <v>38400072.705372557</v>
      </c>
      <c r="G356" s="359">
        <f>'DRE + DCF'!$W$31</f>
        <v>2791623.3540418856</v>
      </c>
      <c r="H356" s="359">
        <f>'DRE + DCF'!$W$32</f>
        <v>81081.931703745853</v>
      </c>
      <c r="I356" s="359">
        <f>-H356*('DRE + DCF'!$V$33+K356)/'DRE + DCF'!$V$33</f>
        <v>-90858.801614444121</v>
      </c>
      <c r="J356" s="359">
        <f>-'DRE + DCF'!$V$56*L356</f>
        <v>-1188924.4255577971</v>
      </c>
      <c r="K356" s="360">
        <f>(1+L356)/(1+Ke!$O$12)-1</f>
        <v>2.0000000000000018E-2</v>
      </c>
      <c r="L356" s="360">
        <f>'DRE + DCF'!$Y$31</f>
        <v>7.3550000000000004E-2</v>
      </c>
      <c r="M356" s="361">
        <f>(1+D356)^((5-Dashboard!$F$9)*3/12)</f>
        <v>1.0802087583120334</v>
      </c>
      <c r="N356" s="361">
        <f t="shared" ref="N356:V356" si="355">M356*(1+$D356)</f>
        <v>1.1972493772751434</v>
      </c>
      <c r="O356" s="361">
        <f t="shared" si="355"/>
        <v>1.3269713473029063</v>
      </c>
      <c r="P356" s="361">
        <f t="shared" si="355"/>
        <v>1.4707486927831777</v>
      </c>
      <c r="Q356" s="361">
        <f t="shared" si="355"/>
        <v>1.6301043136462365</v>
      </c>
      <c r="R356" s="361">
        <f t="shared" si="355"/>
        <v>1.806726116029808</v>
      </c>
      <c r="S356" s="361">
        <f t="shared" si="355"/>
        <v>2.0024848907016395</v>
      </c>
      <c r="T356" s="361">
        <f t="shared" si="355"/>
        <v>2.219454128609164</v>
      </c>
      <c r="U356" s="361">
        <f t="shared" si="355"/>
        <v>2.4599319834439695</v>
      </c>
      <c r="V356" s="362">
        <f t="shared" si="355"/>
        <v>2.726465613850126</v>
      </c>
      <c r="X356" s="351"/>
    </row>
    <row r="357" spans="3:24" ht="24.75" customHeight="1" x14ac:dyDescent="0.3">
      <c r="C357" s="353">
        <f>ABS(E357-Dashboard!$F$14)</f>
        <v>245.37944580918412</v>
      </c>
      <c r="D357" s="350">
        <f t="shared" si="333"/>
        <v>0.10845000000000099</v>
      </c>
      <c r="E357" s="359" cm="1">
        <f t="array" ref="E357">1000*SUM('DRE + DCF'!$L$36/M357,'DRE + DCF'!$N$36:$V$36/N357:V357,F357/V357)/Dashboard!$F$11</f>
        <v>342.36944580918413</v>
      </c>
      <c r="F357" s="359">
        <f t="shared" si="331"/>
        <v>38316918.807158783</v>
      </c>
      <c r="G357" s="359">
        <f>'DRE + DCF'!$W$31</f>
        <v>2791623.3540418856</v>
      </c>
      <c r="H357" s="359">
        <f>'DRE + DCF'!$W$32</f>
        <v>81081.931703745853</v>
      </c>
      <c r="I357" s="359">
        <f>-H357*('DRE + DCF'!$V$33+K357)/'DRE + DCF'!$V$33</f>
        <v>-90858.801614444121</v>
      </c>
      <c r="J357" s="359">
        <f>-'DRE + DCF'!$V$56*L357</f>
        <v>-1188924.4255577971</v>
      </c>
      <c r="K357" s="360">
        <f>(1+L357)/(1+Ke!$O$12)-1</f>
        <v>2.0000000000000018E-2</v>
      </c>
      <c r="L357" s="360">
        <f>'DRE + DCF'!$Y$31</f>
        <v>7.3550000000000004E-2</v>
      </c>
      <c r="M357" s="361">
        <f>(1+D357)^((5-Dashboard!$F$9)*3/12)</f>
        <v>1.0802818532217742</v>
      </c>
      <c r="N357" s="361">
        <f t="shared" ref="N357:V357" si="356">M357*(1+$D357)</f>
        <v>1.1974384202036767</v>
      </c>
      <c r="O357" s="361">
        <f t="shared" si="356"/>
        <v>1.3273006168747667</v>
      </c>
      <c r="P357" s="361">
        <f t="shared" si="356"/>
        <v>1.4712463687748365</v>
      </c>
      <c r="Q357" s="361">
        <f t="shared" si="356"/>
        <v>1.630803037468469</v>
      </c>
      <c r="R357" s="361">
        <f t="shared" si="356"/>
        <v>1.8076636268819262</v>
      </c>
      <c r="S357" s="361">
        <f t="shared" si="356"/>
        <v>2.0037047472172729</v>
      </c>
      <c r="T357" s="361">
        <f t="shared" si="356"/>
        <v>2.2210065270529884</v>
      </c>
      <c r="U357" s="361">
        <f t="shared" si="356"/>
        <v>2.4618746849118871</v>
      </c>
      <c r="V357" s="362">
        <f t="shared" si="356"/>
        <v>2.7288649944905838</v>
      </c>
      <c r="X357" s="351"/>
    </row>
    <row r="358" spans="3:24" ht="24.75" customHeight="1" x14ac:dyDescent="0.3">
      <c r="C358" s="353">
        <f>ABS(E358-Dashboard!$F$14)</f>
        <v>244.57274743344755</v>
      </c>
      <c r="D358" s="350">
        <f t="shared" si="333"/>
        <v>0.10855000000000099</v>
      </c>
      <c r="E358" s="359" cm="1">
        <f t="array" ref="E358">1000*SUM('DRE + DCF'!$L$36/M358,'DRE + DCF'!$N$36:$V$36/N358:V358,F358/V358)/Dashboard!$F$11</f>
        <v>341.56274743344756</v>
      </c>
      <c r="F358" s="359">
        <f t="shared" si="331"/>
        <v>38234190.699268267</v>
      </c>
      <c r="G358" s="359">
        <f>'DRE + DCF'!$W$31</f>
        <v>2791623.3540418856</v>
      </c>
      <c r="H358" s="359">
        <f>'DRE + DCF'!$W$32</f>
        <v>81081.931703745853</v>
      </c>
      <c r="I358" s="359">
        <f>-H358*('DRE + DCF'!$V$33+K358)/'DRE + DCF'!$V$33</f>
        <v>-90858.801614444121</v>
      </c>
      <c r="J358" s="359">
        <f>-'DRE + DCF'!$V$56*L358</f>
        <v>-1188924.4255577971</v>
      </c>
      <c r="K358" s="360">
        <f>(1+L358)/(1+Ke!$O$12)-1</f>
        <v>2.0000000000000018E-2</v>
      </c>
      <c r="L358" s="360">
        <f>'DRE + DCF'!$Y$31</f>
        <v>7.3550000000000004E-2</v>
      </c>
      <c r="M358" s="361">
        <f>(1+D358)^((5-Dashboard!$F$9)*3/12)</f>
        <v>1.0803549464829496</v>
      </c>
      <c r="N358" s="361">
        <f t="shared" ref="N358:V358" si="357">M358*(1+$D358)</f>
        <v>1.1976274759236749</v>
      </c>
      <c r="O358" s="361">
        <f t="shared" si="357"/>
        <v>1.3276299384351911</v>
      </c>
      <c r="P358" s="361">
        <f t="shared" si="357"/>
        <v>1.4717441682523325</v>
      </c>
      <c r="Q358" s="361">
        <f t="shared" si="357"/>
        <v>1.6315019977161247</v>
      </c>
      <c r="R358" s="361">
        <f t="shared" si="357"/>
        <v>1.8086015395682118</v>
      </c>
      <c r="S358" s="361">
        <f t="shared" si="357"/>
        <v>2.0049252366883432</v>
      </c>
      <c r="T358" s="361">
        <f t="shared" si="357"/>
        <v>2.2225598711308647</v>
      </c>
      <c r="U358" s="361">
        <f t="shared" si="357"/>
        <v>2.4638187451421225</v>
      </c>
      <c r="V358" s="362">
        <f t="shared" si="357"/>
        <v>2.7312662699273025</v>
      </c>
      <c r="X358" s="351"/>
    </row>
    <row r="359" spans="3:24" ht="24.75" customHeight="1" x14ac:dyDescent="0.3">
      <c r="C359" s="353">
        <f>ABS(E359-Dashboard!$F$14)</f>
        <v>243.77000106424242</v>
      </c>
      <c r="D359" s="350">
        <f t="shared" si="333"/>
        <v>0.108650000000001</v>
      </c>
      <c r="E359" s="359" cm="1">
        <f t="array" ref="E359">1000*SUM('DRE + DCF'!$L$36/M359,'DRE + DCF'!$N$36:$V$36/N359:V359,F359/V359)/Dashboard!$F$11</f>
        <v>340.76000106424243</v>
      </c>
      <c r="F359" s="359">
        <f t="shared" si="331"/>
        <v>38151884.878410801</v>
      </c>
      <c r="G359" s="359">
        <f>'DRE + DCF'!$W$31</f>
        <v>2791623.3540418856</v>
      </c>
      <c r="H359" s="359">
        <f>'DRE + DCF'!$W$32</f>
        <v>81081.931703745853</v>
      </c>
      <c r="I359" s="359">
        <f>-H359*('DRE + DCF'!$V$33+K359)/'DRE + DCF'!$V$33</f>
        <v>-90858.801614444121</v>
      </c>
      <c r="J359" s="359">
        <f>-'DRE + DCF'!$V$56*L359</f>
        <v>-1188924.4255577971</v>
      </c>
      <c r="K359" s="360">
        <f>(1+L359)/(1+Ke!$O$12)-1</f>
        <v>2.0000000000000018E-2</v>
      </c>
      <c r="L359" s="360">
        <f>'DRE + DCF'!$Y$31</f>
        <v>7.3550000000000004E-2</v>
      </c>
      <c r="M359" s="361">
        <f>(1+D359)^((5-Dashboard!$F$9)*3/12)</f>
        <v>1.0804280380957456</v>
      </c>
      <c r="N359" s="361">
        <f t="shared" ref="N359:V359" si="358">M359*(1+$D359)</f>
        <v>1.1978165444348494</v>
      </c>
      <c r="O359" s="361">
        <f t="shared" si="358"/>
        <v>1.3279593119876971</v>
      </c>
      <c r="P359" s="361">
        <f t="shared" si="358"/>
        <v>1.4722420912351617</v>
      </c>
      <c r="Q359" s="361">
        <f t="shared" si="358"/>
        <v>1.6322011944478636</v>
      </c>
      <c r="R359" s="361">
        <f t="shared" si="358"/>
        <v>1.8095398542246257</v>
      </c>
      <c r="S359" s="361">
        <f t="shared" si="358"/>
        <v>2.0061463593861331</v>
      </c>
      <c r="T359" s="361">
        <f t="shared" si="358"/>
        <v>2.2241141613334383</v>
      </c>
      <c r="U359" s="361">
        <f t="shared" si="358"/>
        <v>2.4657641649623185</v>
      </c>
      <c r="V359" s="362">
        <f t="shared" si="358"/>
        <v>2.733669441485477</v>
      </c>
      <c r="X359" s="351"/>
    </row>
    <row r="360" spans="3:24" ht="24.75" customHeight="1" x14ac:dyDescent="0.3">
      <c r="C360" s="353">
        <f>ABS(E360-Dashboard!$F$14)</f>
        <v>242.97117521483892</v>
      </c>
      <c r="D360" s="350">
        <f t="shared" si="333"/>
        <v>0.108750000000001</v>
      </c>
      <c r="E360" s="359" cm="1">
        <f t="array" ref="E360">1000*SUM('DRE + DCF'!$L$36/M360,'DRE + DCF'!$N$36:$V$36/N360:V360,F360/V360)/Dashboard!$F$11</f>
        <v>339.96117521483893</v>
      </c>
      <c r="F360" s="359">
        <f t="shared" si="331"/>
        <v>38069997.880607694</v>
      </c>
      <c r="G360" s="359">
        <f>'DRE + DCF'!$W$31</f>
        <v>2791623.3540418856</v>
      </c>
      <c r="H360" s="359">
        <f>'DRE + DCF'!$W$32</f>
        <v>81081.931703745853</v>
      </c>
      <c r="I360" s="359">
        <f>-H360*('DRE + DCF'!$V$33+K360)/'DRE + DCF'!$V$33</f>
        <v>-90858.801614444121</v>
      </c>
      <c r="J360" s="359">
        <f>-'DRE + DCF'!$V$56*L360</f>
        <v>-1188924.4255577971</v>
      </c>
      <c r="K360" s="360">
        <f>(1+L360)/(1+Ke!$O$12)-1</f>
        <v>2.0000000000000018E-2</v>
      </c>
      <c r="L360" s="360">
        <f>'DRE + DCF'!$Y$31</f>
        <v>7.3550000000000004E-2</v>
      </c>
      <c r="M360" s="361">
        <f>(1+D360)^((5-Dashboard!$F$9)*3/12)</f>
        <v>1.0805011280603483</v>
      </c>
      <c r="N360" s="361">
        <f t="shared" ref="N360:V360" si="359">M360*(1+$D360)</f>
        <v>1.1980056257369123</v>
      </c>
      <c r="O360" s="361">
        <f t="shared" si="359"/>
        <v>1.3282887375358028</v>
      </c>
      <c r="P360" s="361">
        <f t="shared" si="359"/>
        <v>1.4727401377428226</v>
      </c>
      <c r="Q360" s="361">
        <f t="shared" si="359"/>
        <v>1.6329006277223561</v>
      </c>
      <c r="R360" s="361">
        <f t="shared" si="359"/>
        <v>1.810478570987164</v>
      </c>
      <c r="S360" s="361">
        <f t="shared" si="359"/>
        <v>2.00736811558202</v>
      </c>
      <c r="T360" s="361">
        <f t="shared" si="359"/>
        <v>2.2256693981515667</v>
      </c>
      <c r="U360" s="361">
        <f t="shared" si="359"/>
        <v>2.4677109452005519</v>
      </c>
      <c r="V360" s="362">
        <f t="shared" si="359"/>
        <v>2.7360745104911146</v>
      </c>
      <c r="X360" s="351"/>
    </row>
    <row r="361" spans="3:24" ht="24.75" customHeight="1" x14ac:dyDescent="0.3">
      <c r="C361" s="353">
        <f>ABS(E361-Dashboard!$F$14)</f>
        <v>242.17623874669687</v>
      </c>
      <c r="D361" s="350">
        <f t="shared" si="333"/>
        <v>0.108850000000001</v>
      </c>
      <c r="E361" s="359" cm="1">
        <f t="array" ref="E361">1000*SUM('DRE + DCF'!$L$36/M361,'DRE + DCF'!$N$36:$V$36/N361:V361,F361/V361)/Dashboard!$F$11</f>
        <v>339.16623874669688</v>
      </c>
      <c r="F361" s="359">
        <f t="shared" si="331"/>
        <v>37988526.280637234</v>
      </c>
      <c r="G361" s="359">
        <f>'DRE + DCF'!$W$31</f>
        <v>2791623.3540418856</v>
      </c>
      <c r="H361" s="359">
        <f>'DRE + DCF'!$W$32</f>
        <v>81081.931703745853</v>
      </c>
      <c r="I361" s="359">
        <f>-H361*('DRE + DCF'!$V$33+K361)/'DRE + DCF'!$V$33</f>
        <v>-90858.801614444121</v>
      </c>
      <c r="J361" s="359">
        <f>-'DRE + DCF'!$V$56*L361</f>
        <v>-1188924.4255577971</v>
      </c>
      <c r="K361" s="360">
        <f>(1+L361)/(1+Ke!$O$12)-1</f>
        <v>2.0000000000000018E-2</v>
      </c>
      <c r="L361" s="360">
        <f>'DRE + DCF'!$Y$31</f>
        <v>7.3550000000000004E-2</v>
      </c>
      <c r="M361" s="361">
        <f>(1+D361)^((5-Dashboard!$F$9)*3/12)</f>
        <v>1.0805742163769432</v>
      </c>
      <c r="N361" s="361">
        <f t="shared" ref="N361:V361" si="360">M361*(1+$D361)</f>
        <v>1.1981947198295746</v>
      </c>
      <c r="O361" s="361">
        <f t="shared" si="360"/>
        <v>1.328618215083025</v>
      </c>
      <c r="P361" s="361">
        <f t="shared" si="360"/>
        <v>1.4732383077948137</v>
      </c>
      <c r="Q361" s="361">
        <f t="shared" si="360"/>
        <v>1.6336002975982806</v>
      </c>
      <c r="R361" s="361">
        <f t="shared" si="360"/>
        <v>1.811417689991855</v>
      </c>
      <c r="S361" s="361">
        <f t="shared" si="360"/>
        <v>2.0085905055474704</v>
      </c>
      <c r="T361" s="361">
        <f t="shared" si="360"/>
        <v>2.2272255820763145</v>
      </c>
      <c r="U361" s="361">
        <f t="shared" si="360"/>
        <v>2.4696590866853234</v>
      </c>
      <c r="V361" s="362">
        <f t="shared" si="360"/>
        <v>2.7384814782710234</v>
      </c>
      <c r="X361" s="351"/>
    </row>
    <row r="362" spans="3:24" ht="24.75" customHeight="1" x14ac:dyDescent="0.3">
      <c r="C362" s="353">
        <f>ABS(E362-Dashboard!$F$14)</f>
        <v>241.38516086458606</v>
      </c>
      <c r="D362" s="350">
        <f t="shared" si="333"/>
        <v>0.108950000000001</v>
      </c>
      <c r="E362" s="359" cm="1">
        <f t="array" ref="E362">1000*SUM('DRE + DCF'!$L$36/M362,'DRE + DCF'!$N$36:$V$36/N362:V362,F362/V362)/Dashboard!$F$11</f>
        <v>338.37516086458606</v>
      </c>
      <c r="F362" s="359">
        <f t="shared" si="331"/>
        <v>37907466.691489533</v>
      </c>
      <c r="G362" s="359">
        <f>'DRE + DCF'!$W$31</f>
        <v>2791623.3540418856</v>
      </c>
      <c r="H362" s="359">
        <f>'DRE + DCF'!$W$32</f>
        <v>81081.931703745853</v>
      </c>
      <c r="I362" s="359">
        <f>-H362*('DRE + DCF'!$V$33+K362)/'DRE + DCF'!$V$33</f>
        <v>-90858.801614444121</v>
      </c>
      <c r="J362" s="359">
        <f>-'DRE + DCF'!$V$56*L362</f>
        <v>-1188924.4255577971</v>
      </c>
      <c r="K362" s="360">
        <f>(1+L362)/(1+Ke!$O$12)-1</f>
        <v>2.0000000000000018E-2</v>
      </c>
      <c r="L362" s="360">
        <f>'DRE + DCF'!$Y$31</f>
        <v>7.3550000000000004E-2</v>
      </c>
      <c r="M362" s="361">
        <f>(1+D362)^((5-Dashboard!$F$9)*3/12)</f>
        <v>1.080647303045716</v>
      </c>
      <c r="N362" s="361">
        <f t="shared" ref="N362:V362" si="361">M362*(1+$D362)</f>
        <v>1.1983838267125477</v>
      </c>
      <c r="O362" s="361">
        <f t="shared" si="361"/>
        <v>1.328947744632881</v>
      </c>
      <c r="P362" s="361">
        <f t="shared" si="361"/>
        <v>1.4737366014106348</v>
      </c>
      <c r="Q362" s="361">
        <f t="shared" si="361"/>
        <v>1.6343002041343249</v>
      </c>
      <c r="R362" s="361">
        <f t="shared" si="361"/>
        <v>1.8123572113747612</v>
      </c>
      <c r="S362" s="361">
        <f t="shared" si="361"/>
        <v>2.0098135295540431</v>
      </c>
      <c r="T362" s="361">
        <f t="shared" si="361"/>
        <v>2.228782713598958</v>
      </c>
      <c r="U362" s="361">
        <f t="shared" si="361"/>
        <v>2.4716085902455665</v>
      </c>
      <c r="V362" s="362">
        <f t="shared" si="361"/>
        <v>2.7408903461528236</v>
      </c>
      <c r="X362" s="351"/>
    </row>
    <row r="363" spans="3:24" ht="24.75" customHeight="1" x14ac:dyDescent="0.3">
      <c r="C363" s="353">
        <f>ABS(E363-Dashboard!$F$14)</f>
        <v>240.59791111179157</v>
      </c>
      <c r="D363" s="350">
        <f t="shared" si="333"/>
        <v>0.10905000000000101</v>
      </c>
      <c r="E363" s="359" cm="1">
        <f t="array" ref="E363">1000*SUM('DRE + DCF'!$L$36/M363,'DRE + DCF'!$N$36:$V$36/N363:V363,F363/V363)/Dashboard!$F$11</f>
        <v>337.58791111179158</v>
      </c>
      <c r="F363" s="359">
        <f t="shared" si="331"/>
        <v>37826815.76383058</v>
      </c>
      <c r="G363" s="359">
        <f>'DRE + DCF'!$W$31</f>
        <v>2791623.3540418856</v>
      </c>
      <c r="H363" s="359">
        <f>'DRE + DCF'!$W$32</f>
        <v>81081.931703745853</v>
      </c>
      <c r="I363" s="359">
        <f>-H363*('DRE + DCF'!$V$33+K363)/'DRE + DCF'!$V$33</f>
        <v>-90858.801614444121</v>
      </c>
      <c r="J363" s="359">
        <f>-'DRE + DCF'!$V$56*L363</f>
        <v>-1188924.4255577971</v>
      </c>
      <c r="K363" s="360">
        <f>(1+L363)/(1+Ke!$O$12)-1</f>
        <v>2.0000000000000018E-2</v>
      </c>
      <c r="L363" s="360">
        <f>'DRE + DCF'!$Y$31</f>
        <v>7.3550000000000004E-2</v>
      </c>
      <c r="M363" s="361">
        <f>(1+D363)^((5-Dashboard!$F$9)*3/12)</f>
        <v>1.080720388066853</v>
      </c>
      <c r="N363" s="361">
        <f t="shared" ref="N363:V363" si="362">M363*(1+$D363)</f>
        <v>1.1985729463855443</v>
      </c>
      <c r="O363" s="361">
        <f t="shared" si="362"/>
        <v>1.3292773261888891</v>
      </c>
      <c r="P363" s="361">
        <f t="shared" si="362"/>
        <v>1.4742350186097888</v>
      </c>
      <c r="Q363" s="361">
        <f t="shared" si="362"/>
        <v>1.6350003473891876</v>
      </c>
      <c r="R363" s="361">
        <f t="shared" si="362"/>
        <v>1.8132971352719802</v>
      </c>
      <c r="S363" s="361">
        <f t="shared" si="362"/>
        <v>2.0110371878733915</v>
      </c>
      <c r="T363" s="361">
        <f t="shared" si="362"/>
        <v>2.2303407932109867</v>
      </c>
      <c r="U363" s="361">
        <f t="shared" si="362"/>
        <v>2.4735594567106469</v>
      </c>
      <c r="V363" s="362">
        <f t="shared" si="362"/>
        <v>2.7433011154649454</v>
      </c>
      <c r="X363" s="351"/>
    </row>
    <row r="364" spans="3:24" ht="24.75" customHeight="1" x14ac:dyDescent="0.3">
      <c r="C364" s="353">
        <f>ABS(E364-Dashboard!$F$14)</f>
        <v>239.81445936539933</v>
      </c>
      <c r="D364" s="350">
        <f t="shared" si="333"/>
        <v>0.10915000000000101</v>
      </c>
      <c r="E364" s="359" cm="1">
        <f t="array" ref="E364">1000*SUM('DRE + DCF'!$L$36/M364,'DRE + DCF'!$N$36:$V$36/N364:V364,F364/V364)/Dashboard!$F$11</f>
        <v>336.80445936539934</v>
      </c>
      <c r="F364" s="359">
        <f t="shared" si="331"/>
        <v>37746570.18547532</v>
      </c>
      <c r="G364" s="359">
        <f>'DRE + DCF'!$W$31</f>
        <v>2791623.3540418856</v>
      </c>
      <c r="H364" s="359">
        <f>'DRE + DCF'!$W$32</f>
        <v>81081.931703745853</v>
      </c>
      <c r="I364" s="359">
        <f>-H364*('DRE + DCF'!$V$33+K364)/'DRE + DCF'!$V$33</f>
        <v>-90858.801614444121</v>
      </c>
      <c r="J364" s="359">
        <f>-'DRE + DCF'!$V$56*L364</f>
        <v>-1188924.4255577971</v>
      </c>
      <c r="K364" s="360">
        <f>(1+L364)/(1+Ke!$O$12)-1</f>
        <v>2.0000000000000018E-2</v>
      </c>
      <c r="L364" s="360">
        <f>'DRE + DCF'!$Y$31</f>
        <v>7.3550000000000004E-2</v>
      </c>
      <c r="M364" s="361">
        <f>(1+D364)^((5-Dashboard!$F$9)*3/12)</f>
        <v>1.0807934714405392</v>
      </c>
      <c r="N364" s="361">
        <f t="shared" ref="N364:V364" si="363">M364*(1+$D364)</f>
        <v>1.1987620788482751</v>
      </c>
      <c r="O364" s="361">
        <f t="shared" si="363"/>
        <v>1.3296069597545654</v>
      </c>
      <c r="P364" s="361">
        <f t="shared" si="363"/>
        <v>1.4747335594117776</v>
      </c>
      <c r="Q364" s="361">
        <f t="shared" si="363"/>
        <v>1.6357007274215747</v>
      </c>
      <c r="R364" s="361">
        <f t="shared" si="363"/>
        <v>1.8142374618196411</v>
      </c>
      <c r="S364" s="361">
        <f t="shared" si="363"/>
        <v>2.0122614807772568</v>
      </c>
      <c r="T364" s="361">
        <f t="shared" si="363"/>
        <v>2.2318998214040962</v>
      </c>
      <c r="U364" s="361">
        <f t="shared" si="363"/>
        <v>2.4755116869103553</v>
      </c>
      <c r="V364" s="362">
        <f t="shared" si="363"/>
        <v>2.7457137875366229</v>
      </c>
      <c r="X364" s="351"/>
    </row>
    <row r="365" spans="3:24" ht="24.75" customHeight="1" x14ac:dyDescent="0.3">
      <c r="C365" s="353">
        <f>ABS(E365-Dashboard!$F$14)</f>
        <v>239.03477583165909</v>
      </c>
      <c r="D365" s="350">
        <f t="shared" si="333"/>
        <v>0.10925000000000101</v>
      </c>
      <c r="E365" s="359" cm="1">
        <f t="array" ref="E365">1000*SUM('DRE + DCF'!$L$36/M365,'DRE + DCF'!$N$36:$V$36/N365:V365,F365/V365)/Dashboard!$F$11</f>
        <v>336.0247758316591</v>
      </c>
      <c r="F365" s="359">
        <f t="shared" si="331"/>
        <v>37666726.680869572</v>
      </c>
      <c r="G365" s="359">
        <f>'DRE + DCF'!$W$31</f>
        <v>2791623.3540418856</v>
      </c>
      <c r="H365" s="359">
        <f>'DRE + DCF'!$W$32</f>
        <v>81081.931703745853</v>
      </c>
      <c r="I365" s="359">
        <f>-H365*('DRE + DCF'!$V$33+K365)/'DRE + DCF'!$V$33</f>
        <v>-90858.801614444121</v>
      </c>
      <c r="J365" s="359">
        <f>-'DRE + DCF'!$V$56*L365</f>
        <v>-1188924.4255577971</v>
      </c>
      <c r="K365" s="360">
        <f>(1+L365)/(1+Ke!$O$12)-1</f>
        <v>2.0000000000000018E-2</v>
      </c>
      <c r="L365" s="360">
        <f>'DRE + DCF'!$Y$31</f>
        <v>7.3550000000000004E-2</v>
      </c>
      <c r="M365" s="361">
        <f>(1+D365)^((5-Dashboard!$F$9)*3/12)</f>
        <v>1.0808665531669608</v>
      </c>
      <c r="N365" s="361">
        <f t="shared" ref="N365:V365" si="364">M365*(1+$D365)</f>
        <v>1.1989512241004523</v>
      </c>
      <c r="O365" s="361">
        <f t="shared" si="364"/>
        <v>1.3299366453334278</v>
      </c>
      <c r="P365" s="361">
        <f t="shared" si="364"/>
        <v>1.475232223836106</v>
      </c>
      <c r="Q365" s="361">
        <f t="shared" si="364"/>
        <v>1.6364013442902019</v>
      </c>
      <c r="R365" s="361">
        <f t="shared" si="364"/>
        <v>1.815178191153908</v>
      </c>
      <c r="S365" s="361">
        <f t="shared" si="364"/>
        <v>2.013486408537474</v>
      </c>
      <c r="T365" s="361">
        <f t="shared" si="364"/>
        <v>2.2334597986701947</v>
      </c>
      <c r="U365" s="361">
        <f t="shared" si="364"/>
        <v>2.4774652816749154</v>
      </c>
      <c r="V365" s="362">
        <f t="shared" si="364"/>
        <v>2.7481283636979024</v>
      </c>
      <c r="X365" s="351"/>
    </row>
    <row r="366" spans="3:24" ht="24.75" customHeight="1" x14ac:dyDescent="0.3">
      <c r="C366" s="353">
        <f>ABS(E366-Dashboard!$F$14)</f>
        <v>238.25883104142622</v>
      </c>
      <c r="D366" s="350">
        <f t="shared" si="333"/>
        <v>0.10935000000000102</v>
      </c>
      <c r="E366" s="359" cm="1">
        <f t="array" ref="E366">1000*SUM('DRE + DCF'!$L$36/M366,'DRE + DCF'!$N$36:$V$36/N366:V366,F366/V366)/Dashboard!$F$11</f>
        <v>335.24883104142623</v>
      </c>
      <c r="F366" s="359">
        <f t="shared" si="331"/>
        <v>37587282.010580592</v>
      </c>
      <c r="G366" s="359">
        <f>'DRE + DCF'!$W$31</f>
        <v>2791623.3540418856</v>
      </c>
      <c r="H366" s="359">
        <f>'DRE + DCF'!$W$32</f>
        <v>81081.931703745853</v>
      </c>
      <c r="I366" s="359">
        <f>-H366*('DRE + DCF'!$V$33+K366)/'DRE + DCF'!$V$33</f>
        <v>-90858.801614444121</v>
      </c>
      <c r="J366" s="359">
        <f>-'DRE + DCF'!$V$56*L366</f>
        <v>-1188924.4255577971</v>
      </c>
      <c r="K366" s="360">
        <f>(1+L366)/(1+Ke!$O$12)-1</f>
        <v>2.0000000000000018E-2</v>
      </c>
      <c r="L366" s="360">
        <f>'DRE + DCF'!$Y$31</f>
        <v>7.3550000000000004E-2</v>
      </c>
      <c r="M366" s="361">
        <f>(1+D366)^((5-Dashboard!$F$9)*3/12)</f>
        <v>1.0809396332463033</v>
      </c>
      <c r="N366" s="361">
        <f t="shared" ref="N366:V366" si="365">M366*(1+$D366)</f>
        <v>1.1991403821417876</v>
      </c>
      <c r="O366" s="361">
        <f t="shared" si="365"/>
        <v>1.3302663829289934</v>
      </c>
      <c r="P366" s="361">
        <f t="shared" si="365"/>
        <v>1.47573101190228</v>
      </c>
      <c r="Q366" s="361">
        <f t="shared" si="365"/>
        <v>1.6371021980537956</v>
      </c>
      <c r="R366" s="361">
        <f t="shared" si="365"/>
        <v>1.8161193234109798</v>
      </c>
      <c r="S366" s="361">
        <f t="shared" si="365"/>
        <v>2.0147119714259722</v>
      </c>
      <c r="T366" s="361">
        <f t="shared" si="365"/>
        <v>2.2350207255014043</v>
      </c>
      <c r="U366" s="361">
        <f t="shared" si="365"/>
        <v>2.4794202418349851</v>
      </c>
      <c r="V366" s="362">
        <f t="shared" si="365"/>
        <v>2.7505448452796433</v>
      </c>
      <c r="X366" s="351"/>
    </row>
    <row r="367" spans="3:24" ht="24.75" customHeight="1" x14ac:dyDescent="0.3">
      <c r="C367" s="353">
        <f>ABS(E367-Dashboard!$F$14)</f>
        <v>237.48659584568082</v>
      </c>
      <c r="D367" s="350">
        <f t="shared" si="333"/>
        <v>0.10945000000000102</v>
      </c>
      <c r="E367" s="359" cm="1">
        <f t="array" ref="E367">1000*SUM('DRE + DCF'!$L$36/M367,'DRE + DCF'!$N$36:$V$36/N367:V367,F367/V367)/Dashboard!$F$11</f>
        <v>334.47659584568083</v>
      </c>
      <c r="F367" s="359">
        <f t="shared" si="331"/>
        <v>37508232.970796198</v>
      </c>
      <c r="G367" s="359">
        <f>'DRE + DCF'!$W$31</f>
        <v>2791623.3540418856</v>
      </c>
      <c r="H367" s="359">
        <f>'DRE + DCF'!$W$32</f>
        <v>81081.931703745853</v>
      </c>
      <c r="I367" s="359">
        <f>-H367*('DRE + DCF'!$V$33+K367)/'DRE + DCF'!$V$33</f>
        <v>-90858.801614444121</v>
      </c>
      <c r="J367" s="359">
        <f>-'DRE + DCF'!$V$56*L367</f>
        <v>-1188924.4255577971</v>
      </c>
      <c r="K367" s="360">
        <f>(1+L367)/(1+Ke!$O$12)-1</f>
        <v>2.0000000000000018E-2</v>
      </c>
      <c r="L367" s="360">
        <f>'DRE + DCF'!$Y$31</f>
        <v>7.3550000000000004E-2</v>
      </c>
      <c r="M367" s="361">
        <f>(1+D367)^((5-Dashboard!$F$9)*3/12)</f>
        <v>1.081012711678752</v>
      </c>
      <c r="N367" s="361">
        <f t="shared" ref="N367:V367" si="366">M367*(1+$D367)</f>
        <v>1.1993295529719925</v>
      </c>
      <c r="O367" s="361">
        <f t="shared" si="366"/>
        <v>1.3305961725447781</v>
      </c>
      <c r="P367" s="361">
        <f t="shared" si="366"/>
        <v>1.4762299236298053</v>
      </c>
      <c r="Q367" s="361">
        <f t="shared" si="366"/>
        <v>1.6378032887710889</v>
      </c>
      <c r="R367" s="361">
        <f t="shared" si="366"/>
        <v>1.8170608587270862</v>
      </c>
      <c r="S367" s="361">
        <f t="shared" si="366"/>
        <v>2.0159381697147674</v>
      </c>
      <c r="T367" s="361">
        <f t="shared" si="366"/>
        <v>2.2365826023900506</v>
      </c>
      <c r="U367" s="361">
        <f t="shared" si="366"/>
        <v>2.4813765682216435</v>
      </c>
      <c r="V367" s="362">
        <f t="shared" si="366"/>
        <v>2.7529632336135048</v>
      </c>
      <c r="X367" s="351"/>
    </row>
    <row r="368" spans="3:24" ht="24.75" customHeight="1" x14ac:dyDescent="0.3">
      <c r="C368" s="353">
        <f>ABS(E368-Dashboard!$F$14)</f>
        <v>236.71804141111687</v>
      </c>
      <c r="D368" s="350">
        <f t="shared" si="333"/>
        <v>0.10955000000000102</v>
      </c>
      <c r="E368" s="359" cm="1">
        <f t="array" ref="E368">1000*SUM('DRE + DCF'!$L$36/M368,'DRE + DCF'!$N$36:$V$36/N368:V368,F368/V368)/Dashboard!$F$11</f>
        <v>333.70804141111688</v>
      </c>
      <c r="F368" s="359">
        <f t="shared" si="331"/>
        <v>37429576.39283216</v>
      </c>
      <c r="G368" s="359">
        <f>'DRE + DCF'!$W$31</f>
        <v>2791623.3540418856</v>
      </c>
      <c r="H368" s="359">
        <f>'DRE + DCF'!$W$32</f>
        <v>81081.931703745853</v>
      </c>
      <c r="I368" s="359">
        <f>-H368*('DRE + DCF'!$V$33+K368)/'DRE + DCF'!$V$33</f>
        <v>-90858.801614444121</v>
      </c>
      <c r="J368" s="359">
        <f>-'DRE + DCF'!$V$56*L368</f>
        <v>-1188924.4255577971</v>
      </c>
      <c r="K368" s="360">
        <f>(1+L368)/(1+Ke!$O$12)-1</f>
        <v>2.0000000000000018E-2</v>
      </c>
      <c r="L368" s="360">
        <f>'DRE + DCF'!$Y$31</f>
        <v>7.3550000000000004E-2</v>
      </c>
      <c r="M368" s="361">
        <f>(1+D368)^((5-Dashboard!$F$9)*3/12)</f>
        <v>1.0810857884644929</v>
      </c>
      <c r="N368" s="361">
        <f t="shared" ref="N368:V368" si="367">M368*(1+$D368)</f>
        <v>1.1995187365907791</v>
      </c>
      <c r="O368" s="361">
        <f t="shared" si="367"/>
        <v>1.3309260141843</v>
      </c>
      <c r="P368" s="361">
        <f t="shared" si="367"/>
        <v>1.4767289590381913</v>
      </c>
      <c r="Q368" s="361">
        <f t="shared" si="367"/>
        <v>1.6385046165008266</v>
      </c>
      <c r="R368" s="361">
        <f t="shared" si="367"/>
        <v>1.8180027972384936</v>
      </c>
      <c r="S368" s="361">
        <f t="shared" si="367"/>
        <v>2.0171650036759723</v>
      </c>
      <c r="T368" s="361">
        <f t="shared" si="367"/>
        <v>2.2381454298286769</v>
      </c>
      <c r="U368" s="361">
        <f t="shared" si="367"/>
        <v>2.4833342616664105</v>
      </c>
      <c r="V368" s="362">
        <f t="shared" si="367"/>
        <v>2.7553835300319682</v>
      </c>
      <c r="X368" s="351"/>
    </row>
    <row r="369" spans="3:24" ht="24.75" customHeight="1" x14ac:dyDescent="0.3">
      <c r="C369" s="353">
        <f>ABS(E369-Dashboard!$F$14)</f>
        <v>235.95313921580919</v>
      </c>
      <c r="D369" s="350">
        <f t="shared" si="333"/>
        <v>0.10965000000000102</v>
      </c>
      <c r="E369" s="359" cm="1">
        <f t="array" ref="E369">1000*SUM('DRE + DCF'!$L$36/M369,'DRE + DCF'!$N$36:$V$36/N369:V369,F369/V369)/Dashboard!$F$11</f>
        <v>332.9431392158092</v>
      </c>
      <c r="F369" s="359">
        <f t="shared" si="331"/>
        <v>37351309.142647818</v>
      </c>
      <c r="G369" s="359">
        <f>'DRE + DCF'!$W$31</f>
        <v>2791623.3540418856</v>
      </c>
      <c r="H369" s="359">
        <f>'DRE + DCF'!$W$32</f>
        <v>81081.931703745853</v>
      </c>
      <c r="I369" s="359">
        <f>-H369*('DRE + DCF'!$V$33+K369)/'DRE + DCF'!$V$33</f>
        <v>-90858.801614444121</v>
      </c>
      <c r="J369" s="359">
        <f>-'DRE + DCF'!$V$56*L369</f>
        <v>-1188924.4255577971</v>
      </c>
      <c r="K369" s="360">
        <f>(1+L369)/(1+Ke!$O$12)-1</f>
        <v>2.0000000000000018E-2</v>
      </c>
      <c r="L369" s="360">
        <f>'DRE + DCF'!$Y$31</f>
        <v>7.3550000000000004E-2</v>
      </c>
      <c r="M369" s="361">
        <f>(1+D369)^((5-Dashboard!$F$9)*3/12)</f>
        <v>1.0811588636037113</v>
      </c>
      <c r="N369" s="361">
        <f t="shared" ref="N369:V369" si="368">M369*(1+$D369)</f>
        <v>1.1997079329978595</v>
      </c>
      <c r="O369" s="361">
        <f t="shared" si="368"/>
        <v>1.3312559078510762</v>
      </c>
      <c r="P369" s="361">
        <f t="shared" si="368"/>
        <v>1.4772281181469482</v>
      </c>
      <c r="Q369" s="361">
        <f t="shared" si="368"/>
        <v>1.6392061813017627</v>
      </c>
      <c r="R369" s="361">
        <f t="shared" si="368"/>
        <v>1.8189451390815028</v>
      </c>
      <c r="S369" s="361">
        <f t="shared" si="368"/>
        <v>2.0183924735817915</v>
      </c>
      <c r="T369" s="361">
        <f t="shared" si="368"/>
        <v>2.2397092083100372</v>
      </c>
      <c r="U369" s="361">
        <f t="shared" si="368"/>
        <v>2.4852933230012351</v>
      </c>
      <c r="V369" s="362">
        <f t="shared" si="368"/>
        <v>2.7578057358683234</v>
      </c>
      <c r="X369" s="351"/>
    </row>
    <row r="370" spans="3:24" ht="24.75" customHeight="1" x14ac:dyDescent="0.3">
      <c r="C370" s="353">
        <f>ABS(E370-Dashboard!$F$14)</f>
        <v>235.19186104495122</v>
      </c>
      <c r="D370" s="350">
        <f t="shared" si="333"/>
        <v>0.10975000000000103</v>
      </c>
      <c r="E370" s="359" cm="1">
        <f t="array" ref="E370">1000*SUM('DRE + DCF'!$L$36/M370,'DRE + DCF'!$N$36:$V$36/N370:V370,F370/V370)/Dashboard!$F$11</f>
        <v>332.18186104495123</v>
      </c>
      <c r="F370" s="359">
        <f t="shared" si="331"/>
        <v>37273428.120369695</v>
      </c>
      <c r="G370" s="359">
        <f>'DRE + DCF'!$W$31</f>
        <v>2791623.3540418856</v>
      </c>
      <c r="H370" s="359">
        <f>'DRE + DCF'!$W$32</f>
        <v>81081.931703745853</v>
      </c>
      <c r="I370" s="359">
        <f>-H370*('DRE + DCF'!$V$33+K370)/'DRE + DCF'!$V$33</f>
        <v>-90858.801614444121</v>
      </c>
      <c r="J370" s="359">
        <f>-'DRE + DCF'!$V$56*L370</f>
        <v>-1188924.4255577971</v>
      </c>
      <c r="K370" s="360">
        <f>(1+L370)/(1+Ke!$O$12)-1</f>
        <v>2.0000000000000018E-2</v>
      </c>
      <c r="L370" s="360">
        <f>'DRE + DCF'!$Y$31</f>
        <v>7.3550000000000004E-2</v>
      </c>
      <c r="M370" s="361">
        <f>(1+D370)^((5-Dashboard!$F$9)*3/12)</f>
        <v>1.0812319370965924</v>
      </c>
      <c r="N370" s="361">
        <f t="shared" ref="N370:V370" si="369">M370*(1+$D370)</f>
        <v>1.1998971421929445</v>
      </c>
      <c r="O370" s="361">
        <f t="shared" si="369"/>
        <v>1.3315858535486216</v>
      </c>
      <c r="P370" s="361">
        <f t="shared" si="369"/>
        <v>1.4777274009755843</v>
      </c>
      <c r="Q370" s="361">
        <f t="shared" si="369"/>
        <v>1.6399079832326564</v>
      </c>
      <c r="R370" s="361">
        <f t="shared" si="369"/>
        <v>1.8198878843924422</v>
      </c>
      <c r="S370" s="361">
        <f t="shared" si="369"/>
        <v>2.0196205797045148</v>
      </c>
      <c r="T370" s="361">
        <f t="shared" si="369"/>
        <v>2.2412739383270877</v>
      </c>
      <c r="U370" s="361">
        <f t="shared" si="369"/>
        <v>2.4872537530584879</v>
      </c>
      <c r="V370" s="362">
        <f t="shared" si="369"/>
        <v>2.7602298524566597</v>
      </c>
      <c r="X370" s="351"/>
    </row>
    <row r="371" spans="3:24" ht="24.75" customHeight="1" x14ac:dyDescent="0.3">
      <c r="C371" s="353">
        <f>ABS(E371-Dashboard!$F$14)</f>
        <v>234.43417898665888</v>
      </c>
      <c r="D371" s="350">
        <f t="shared" si="333"/>
        <v>0.10985000000000103</v>
      </c>
      <c r="E371" s="359" cm="1">
        <f t="array" ref="E371">1000*SUM('DRE + DCF'!$L$36/M371,'DRE + DCF'!$N$36:$V$36/N371:V371,F371/V371)/Dashboard!$F$11</f>
        <v>331.42417898665889</v>
      </c>
      <c r="F371" s="359">
        <f t="shared" si="331"/>
        <v>37195930.25982298</v>
      </c>
      <c r="G371" s="359">
        <f>'DRE + DCF'!$W$31</f>
        <v>2791623.3540418856</v>
      </c>
      <c r="H371" s="359">
        <f>'DRE + DCF'!$W$32</f>
        <v>81081.931703745853</v>
      </c>
      <c r="I371" s="359">
        <f>-H371*('DRE + DCF'!$V$33+K371)/'DRE + DCF'!$V$33</f>
        <v>-90858.801614444121</v>
      </c>
      <c r="J371" s="359">
        <f>-'DRE + DCF'!$V$56*L371</f>
        <v>-1188924.4255577971</v>
      </c>
      <c r="K371" s="360">
        <f>(1+L371)/(1+Ke!$O$12)-1</f>
        <v>2.0000000000000018E-2</v>
      </c>
      <c r="L371" s="360">
        <f>'DRE + DCF'!$Y$31</f>
        <v>7.3550000000000004E-2</v>
      </c>
      <c r="M371" s="361">
        <f>(1+D371)^((5-Dashboard!$F$9)*3/12)</f>
        <v>1.081305008943322</v>
      </c>
      <c r="N371" s="361">
        <f t="shared" ref="N371:V371" si="370">M371*(1+$D371)</f>
        <v>1.2000863641757471</v>
      </c>
      <c r="O371" s="361">
        <f t="shared" si="370"/>
        <v>1.3319158512804543</v>
      </c>
      <c r="P371" s="361">
        <f t="shared" si="370"/>
        <v>1.4782268075436138</v>
      </c>
      <c r="Q371" s="361">
        <f t="shared" si="370"/>
        <v>1.6406100223522815</v>
      </c>
      <c r="R371" s="361">
        <f t="shared" si="370"/>
        <v>1.8208310333076814</v>
      </c>
      <c r="S371" s="361">
        <f t="shared" si="370"/>
        <v>2.0208493223165322</v>
      </c>
      <c r="T371" s="361">
        <f t="shared" si="370"/>
        <v>2.2428396203730054</v>
      </c>
      <c r="U371" s="361">
        <f t="shared" si="370"/>
        <v>2.4892155526709825</v>
      </c>
      <c r="V371" s="362">
        <f t="shared" si="370"/>
        <v>2.7626558811318929</v>
      </c>
      <c r="X371" s="351"/>
    </row>
    <row r="372" spans="3:24" ht="24.75" customHeight="1" x14ac:dyDescent="0.3">
      <c r="C372" s="353">
        <f>ABS(E372-Dashboard!$F$14)</f>
        <v>233.680065427849</v>
      </c>
      <c r="D372" s="350">
        <f t="shared" si="333"/>
        <v>0.10995000000000103</v>
      </c>
      <c r="E372" s="359" cm="1">
        <f t="array" ref="E372">1000*SUM('DRE + DCF'!$L$36/M372,'DRE + DCF'!$N$36:$V$36/N372:V372,F372/V372)/Dashboard!$F$11</f>
        <v>330.67006542784901</v>
      </c>
      <c r="F372" s="359">
        <f t="shared" si="331"/>
        <v>37118812.528070726</v>
      </c>
      <c r="G372" s="359">
        <f>'DRE + DCF'!$W$31</f>
        <v>2791623.3540418856</v>
      </c>
      <c r="H372" s="359">
        <f>'DRE + DCF'!$W$32</f>
        <v>81081.931703745853</v>
      </c>
      <c r="I372" s="359">
        <f>-H372*('DRE + DCF'!$V$33+K372)/'DRE + DCF'!$V$33</f>
        <v>-90858.801614444121</v>
      </c>
      <c r="J372" s="359">
        <f>-'DRE + DCF'!$V$56*L372</f>
        <v>-1188924.4255577971</v>
      </c>
      <c r="K372" s="360">
        <f>(1+L372)/(1+Ke!$O$12)-1</f>
        <v>2.0000000000000018E-2</v>
      </c>
      <c r="L372" s="360">
        <f>'DRE + DCF'!$Y$31</f>
        <v>7.3550000000000004E-2</v>
      </c>
      <c r="M372" s="361">
        <f>(1+D372)^((5-Dashboard!$F$9)*3/12)</f>
        <v>1.0813780791440852</v>
      </c>
      <c r="N372" s="361">
        <f t="shared" ref="N372:V372" si="371">M372*(1+$D372)</f>
        <v>1.2002755989459786</v>
      </c>
      <c r="O372" s="361">
        <f t="shared" si="371"/>
        <v>1.3322459010500902</v>
      </c>
      <c r="P372" s="361">
        <f t="shared" si="371"/>
        <v>1.4787263378705491</v>
      </c>
      <c r="Q372" s="361">
        <f t="shared" si="371"/>
        <v>1.6413122987194175</v>
      </c>
      <c r="R372" s="361">
        <f t="shared" si="371"/>
        <v>1.8217745859636192</v>
      </c>
      <c r="S372" s="361">
        <f t="shared" si="371"/>
        <v>2.022078701690321</v>
      </c>
      <c r="T372" s="361">
        <f t="shared" si="371"/>
        <v>2.2444062549411741</v>
      </c>
      <c r="U372" s="361">
        <f t="shared" si="371"/>
        <v>2.4911787226719588</v>
      </c>
      <c r="V372" s="362">
        <f t="shared" si="371"/>
        <v>2.7650838232297437</v>
      </c>
      <c r="X372" s="351"/>
    </row>
    <row r="373" spans="3:24" ht="24.75" customHeight="1" x14ac:dyDescent="0.3">
      <c r="C373" s="353">
        <f>ABS(E373-Dashboard!$F$14)</f>
        <v>232.92949305018158</v>
      </c>
      <c r="D373" s="350">
        <f t="shared" si="333"/>
        <v>0.11005000000000104</v>
      </c>
      <c r="E373" s="359" cm="1">
        <f t="array" ref="E373">1000*SUM('DRE + DCF'!$L$36/M373,'DRE + DCF'!$N$36:$V$36/N373:V373,F373/V373)/Dashboard!$F$11</f>
        <v>329.91949305018159</v>
      </c>
      <c r="F373" s="359">
        <f t="shared" si="331"/>
        <v>37042071.924960569</v>
      </c>
      <c r="G373" s="359">
        <f>'DRE + DCF'!$W$31</f>
        <v>2791623.3540418856</v>
      </c>
      <c r="H373" s="359">
        <f>'DRE + DCF'!$W$32</f>
        <v>81081.931703745853</v>
      </c>
      <c r="I373" s="359">
        <f>-H373*('DRE + DCF'!$V$33+K373)/'DRE + DCF'!$V$33</f>
        <v>-90858.801614444121</v>
      </c>
      <c r="J373" s="359">
        <f>-'DRE + DCF'!$V$56*L373</f>
        <v>-1188924.4255577971</v>
      </c>
      <c r="K373" s="360">
        <f>(1+L373)/(1+Ke!$O$12)-1</f>
        <v>2.0000000000000018E-2</v>
      </c>
      <c r="L373" s="360">
        <f>'DRE + DCF'!$Y$31</f>
        <v>7.3550000000000004E-2</v>
      </c>
      <c r="M373" s="361">
        <f>(1+D373)^((5-Dashboard!$F$9)*3/12)</f>
        <v>1.0814511476990678</v>
      </c>
      <c r="N373" s="361">
        <f t="shared" ref="N373:V373" si="372">M373*(1+$D373)</f>
        <v>1.2004648465033514</v>
      </c>
      <c r="O373" s="361">
        <f t="shared" si="372"/>
        <v>1.3325760028610465</v>
      </c>
      <c r="P373" s="361">
        <f t="shared" si="372"/>
        <v>1.4792259919759061</v>
      </c>
      <c r="Q373" s="361">
        <f t="shared" si="372"/>
        <v>1.6420148123928562</v>
      </c>
      <c r="R373" s="361">
        <f t="shared" si="372"/>
        <v>1.8227185424966919</v>
      </c>
      <c r="S373" s="361">
        <f t="shared" si="372"/>
        <v>2.0233087180984546</v>
      </c>
      <c r="T373" s="361">
        <f t="shared" si="372"/>
        <v>2.2459738425251916</v>
      </c>
      <c r="U373" s="361">
        <f t="shared" si="372"/>
        <v>2.4931432638950914</v>
      </c>
      <c r="V373" s="362">
        <f t="shared" si="372"/>
        <v>2.7675136800867488</v>
      </c>
      <c r="X373" s="351"/>
    </row>
    <row r="374" spans="3:24" ht="24.75" customHeight="1" x14ac:dyDescent="0.3">
      <c r="C374" s="353">
        <f>ABS(E374-Dashboard!$F$14)</f>
        <v>232.18243482607022</v>
      </c>
      <c r="D374" s="350">
        <f t="shared" si="333"/>
        <v>0.11015000000000104</v>
      </c>
      <c r="E374" s="359" cm="1">
        <f t="array" ref="E374">1000*SUM('DRE + DCF'!$L$36/M374,'DRE + DCF'!$N$36:$V$36/N374:V374,F374/V374)/Dashboard!$F$11</f>
        <v>329.17243482607023</v>
      </c>
      <c r="F374" s="359">
        <f t="shared" si="331"/>
        <v>36965705.48267895</v>
      </c>
      <c r="G374" s="359">
        <f>'DRE + DCF'!$W$31</f>
        <v>2791623.3540418856</v>
      </c>
      <c r="H374" s="359">
        <f>'DRE + DCF'!$W$32</f>
        <v>81081.931703745853</v>
      </c>
      <c r="I374" s="359">
        <f>-H374*('DRE + DCF'!$V$33+K374)/'DRE + DCF'!$V$33</f>
        <v>-90858.801614444121</v>
      </c>
      <c r="J374" s="359">
        <f>-'DRE + DCF'!$V$56*L374</f>
        <v>-1188924.4255577971</v>
      </c>
      <c r="K374" s="360">
        <f>(1+L374)/(1+Ke!$O$12)-1</f>
        <v>2.0000000000000018E-2</v>
      </c>
      <c r="L374" s="360">
        <f>'DRE + DCF'!$Y$31</f>
        <v>7.3550000000000004E-2</v>
      </c>
      <c r="M374" s="361">
        <f>(1+D374)^((5-Dashboard!$F$9)*3/12)</f>
        <v>1.0815242146084549</v>
      </c>
      <c r="N374" s="361">
        <f t="shared" ref="N374:V374" si="373">M374*(1+$D374)</f>
        <v>1.2006541068475773</v>
      </c>
      <c r="O374" s="361">
        <f t="shared" si="373"/>
        <v>1.3329061567168392</v>
      </c>
      <c r="P374" s="361">
        <f t="shared" si="373"/>
        <v>1.4797257698792006</v>
      </c>
      <c r="Q374" s="361">
        <f t="shared" si="373"/>
        <v>1.6427175634313962</v>
      </c>
      <c r="R374" s="361">
        <f t="shared" si="373"/>
        <v>1.8236629030433662</v>
      </c>
      <c r="S374" s="361">
        <f t="shared" si="373"/>
        <v>2.0245393718135949</v>
      </c>
      <c r="T374" s="361">
        <f t="shared" si="373"/>
        <v>2.2475423836188644</v>
      </c>
      <c r="U374" s="361">
        <f t="shared" si="373"/>
        <v>2.4951091771744847</v>
      </c>
      <c r="V374" s="362">
        <f t="shared" si="373"/>
        <v>2.7699454530402567</v>
      </c>
      <c r="X374" s="351"/>
    </row>
    <row r="375" spans="3:24" ht="24.75" customHeight="1" x14ac:dyDescent="0.3">
      <c r="C375" s="353">
        <f>ABS(E375-Dashboard!$F$14)</f>
        <v>231.43886401475652</v>
      </c>
      <c r="D375" s="350">
        <f t="shared" si="333"/>
        <v>0.11025000000000104</v>
      </c>
      <c r="E375" s="359" cm="1">
        <f t="array" ref="E375">1000*SUM('DRE + DCF'!$L$36/M375,'DRE + DCF'!$N$36:$V$36/N375:V375,F375/V375)/Dashboard!$F$11</f>
        <v>328.42886401475653</v>
      </c>
      <c r="F375" s="359">
        <f t="shared" si="331"/>
        <v>36889710.265312552</v>
      </c>
      <c r="G375" s="359">
        <f>'DRE + DCF'!$W$31</f>
        <v>2791623.3540418856</v>
      </c>
      <c r="H375" s="359">
        <f>'DRE + DCF'!$W$32</f>
        <v>81081.931703745853</v>
      </c>
      <c r="I375" s="359">
        <f>-H375*('DRE + DCF'!$V$33+K375)/'DRE + DCF'!$V$33</f>
        <v>-90858.801614444121</v>
      </c>
      <c r="J375" s="359">
        <f>-'DRE + DCF'!$V$56*L375</f>
        <v>-1188924.4255577971</v>
      </c>
      <c r="K375" s="360">
        <f>(1+L375)/(1+Ke!$O$12)-1</f>
        <v>2.0000000000000018E-2</v>
      </c>
      <c r="L375" s="360">
        <f>'DRE + DCF'!$Y$31</f>
        <v>7.3550000000000004E-2</v>
      </c>
      <c r="M375" s="361">
        <f>(1+D375)^((5-Dashboard!$F$9)*3/12)</f>
        <v>1.0815972798724316</v>
      </c>
      <c r="N375" s="361">
        <f t="shared" ref="N375:V375" si="374">M375*(1+$D375)</f>
        <v>1.2008433799783684</v>
      </c>
      <c r="O375" s="361">
        <f t="shared" si="374"/>
        <v>1.3332363626209849</v>
      </c>
      <c r="P375" s="361">
        <f t="shared" si="374"/>
        <v>1.48022567159995</v>
      </c>
      <c r="Q375" s="361">
        <f t="shared" si="374"/>
        <v>1.6434205518938461</v>
      </c>
      <c r="R375" s="361">
        <f t="shared" si="374"/>
        <v>1.8246076677401444</v>
      </c>
      <c r="S375" s="361">
        <f t="shared" si="374"/>
        <v>2.0257706631084971</v>
      </c>
      <c r="T375" s="361">
        <f t="shared" si="374"/>
        <v>2.249111878716211</v>
      </c>
      <c r="U375" s="361">
        <f t="shared" si="374"/>
        <v>2.4970764633446758</v>
      </c>
      <c r="V375" s="362">
        <f t="shared" si="374"/>
        <v>2.7723791434284291</v>
      </c>
      <c r="X375" s="351"/>
    </row>
    <row r="376" spans="3:24" ht="24.75" customHeight="1" x14ac:dyDescent="0.3">
      <c r="C376" s="353">
        <f>ABS(E376-Dashboard!$F$14)</f>
        <v>230.69875415844933</v>
      </c>
      <c r="D376" s="350">
        <f t="shared" si="333"/>
        <v>0.11035000000000104</v>
      </c>
      <c r="E376" s="359" cm="1">
        <f t="array" ref="E376">1000*SUM('DRE + DCF'!$L$36/M376,'DRE + DCF'!$N$36:$V$36/N376:V376,F376/V376)/Dashboard!$F$11</f>
        <v>327.68875415844934</v>
      </c>
      <c r="F376" s="359">
        <f t="shared" si="331"/>
        <v>36814083.368416868</v>
      </c>
      <c r="G376" s="359">
        <f>'DRE + DCF'!$W$31</f>
        <v>2791623.3540418856</v>
      </c>
      <c r="H376" s="359">
        <f>'DRE + DCF'!$W$32</f>
        <v>81081.931703745853</v>
      </c>
      <c r="I376" s="359">
        <f>-H376*('DRE + DCF'!$V$33+K376)/'DRE + DCF'!$V$33</f>
        <v>-90858.801614444121</v>
      </c>
      <c r="J376" s="359">
        <f>-'DRE + DCF'!$V$56*L376</f>
        <v>-1188924.4255577971</v>
      </c>
      <c r="K376" s="360">
        <f>(1+L376)/(1+Ke!$O$12)-1</f>
        <v>2.0000000000000018E-2</v>
      </c>
      <c r="L376" s="360">
        <f>'DRE + DCF'!$Y$31</f>
        <v>7.3550000000000004E-2</v>
      </c>
      <c r="M376" s="361">
        <f>(1+D376)^((5-Dashboard!$F$9)*3/12)</f>
        <v>1.0816703434911834</v>
      </c>
      <c r="N376" s="361">
        <f t="shared" ref="N376:V376" si="375">M376*(1+$D376)</f>
        <v>1.2010326658954367</v>
      </c>
      <c r="O376" s="361">
        <f t="shared" si="375"/>
        <v>1.3335666205769994</v>
      </c>
      <c r="P376" s="361">
        <f t="shared" si="375"/>
        <v>1.4807256971576728</v>
      </c>
      <c r="Q376" s="361">
        <f t="shared" si="375"/>
        <v>1.6441237778390236</v>
      </c>
      <c r="R376" s="361">
        <f t="shared" si="375"/>
        <v>1.8255528367235616</v>
      </c>
      <c r="S376" s="361">
        <f t="shared" si="375"/>
        <v>2.0270025922560087</v>
      </c>
      <c r="T376" s="361">
        <f t="shared" si="375"/>
        <v>2.2506823283114614</v>
      </c>
      <c r="U376" s="361">
        <f t="shared" si="375"/>
        <v>2.4990451232406334</v>
      </c>
      <c r="V376" s="362">
        <f t="shared" si="375"/>
        <v>2.77481475259024</v>
      </c>
      <c r="X376" s="351"/>
    </row>
    <row r="377" spans="3:24" ht="24.75" customHeight="1" x14ac:dyDescent="0.3">
      <c r="C377" s="353">
        <f>ABS(E377-Dashboard!$F$14)</f>
        <v>229.96207907852477</v>
      </c>
      <c r="D377" s="350">
        <f t="shared" si="333"/>
        <v>0.11045000000000105</v>
      </c>
      <c r="E377" s="359" cm="1">
        <f t="array" ref="E377">1000*SUM('DRE + DCF'!$L$36/M377,'DRE + DCF'!$N$36:$V$36/N377:V377,F377/V377)/Dashboard!$F$11</f>
        <v>326.95207907852478</v>
      </c>
      <c r="F377" s="359">
        <f t="shared" si="331"/>
        <v>36738821.918591805</v>
      </c>
      <c r="G377" s="359">
        <f>'DRE + DCF'!$W$31</f>
        <v>2791623.3540418856</v>
      </c>
      <c r="H377" s="359">
        <f>'DRE + DCF'!$W$32</f>
        <v>81081.931703745853</v>
      </c>
      <c r="I377" s="359">
        <f>-H377*('DRE + DCF'!$V$33+K377)/'DRE + DCF'!$V$33</f>
        <v>-90858.801614444121</v>
      </c>
      <c r="J377" s="359">
        <f>-'DRE + DCF'!$V$56*L377</f>
        <v>-1188924.4255577971</v>
      </c>
      <c r="K377" s="360">
        <f>(1+L377)/(1+Ke!$O$12)-1</f>
        <v>2.0000000000000018E-2</v>
      </c>
      <c r="L377" s="360">
        <f>'DRE + DCF'!$Y$31</f>
        <v>7.3550000000000004E-2</v>
      </c>
      <c r="M377" s="361">
        <f>(1+D377)^((5-Dashboard!$F$9)*3/12)</f>
        <v>1.0817434054648956</v>
      </c>
      <c r="N377" s="361">
        <f t="shared" ref="N377:V377" si="376">M377*(1+$D377)</f>
        <v>1.2012219645984945</v>
      </c>
      <c r="O377" s="361">
        <f t="shared" si="376"/>
        <v>1.3338969305883994</v>
      </c>
      <c r="P377" s="361">
        <f t="shared" si="376"/>
        <v>1.4812258465718895</v>
      </c>
      <c r="Q377" s="361">
        <f t="shared" si="376"/>
        <v>1.6448272413257563</v>
      </c>
      <c r="R377" s="361">
        <f t="shared" si="376"/>
        <v>1.8264984101301878</v>
      </c>
      <c r="S377" s="361">
        <f t="shared" si="376"/>
        <v>2.0282351595290691</v>
      </c>
      <c r="T377" s="361">
        <f t="shared" si="376"/>
        <v>2.2522537328990571</v>
      </c>
      <c r="U377" s="361">
        <f t="shared" si="376"/>
        <v>2.5010151576977604</v>
      </c>
      <c r="V377" s="362">
        <f t="shared" si="376"/>
        <v>2.7772522818654806</v>
      </c>
      <c r="X377" s="351"/>
    </row>
    <row r="378" spans="3:24" ht="24.75" customHeight="1" x14ac:dyDescent="0.3">
      <c r="C378" s="353">
        <f>ABS(E378-Dashboard!$F$14)</f>
        <v>229.22881287179018</v>
      </c>
      <c r="D378" s="350">
        <f t="shared" si="333"/>
        <v>0.11055000000000105</v>
      </c>
      <c r="E378" s="359" cm="1">
        <f t="array" ref="E378">1000*SUM('DRE + DCF'!$L$36/M378,'DRE + DCF'!$N$36:$V$36/N378:V378,F378/V378)/Dashboard!$F$11</f>
        <v>326.21881287179019</v>
      </c>
      <c r="F378" s="359">
        <f t="shared" si="331"/>
        <v>36663923.073064163</v>
      </c>
      <c r="G378" s="359">
        <f>'DRE + DCF'!$W$31</f>
        <v>2791623.3540418856</v>
      </c>
      <c r="H378" s="359">
        <f>'DRE + DCF'!$W$32</f>
        <v>81081.931703745853</v>
      </c>
      <c r="I378" s="359">
        <f>-H378*('DRE + DCF'!$V$33+K378)/'DRE + DCF'!$V$33</f>
        <v>-90858.801614444121</v>
      </c>
      <c r="J378" s="359">
        <f>-'DRE + DCF'!$V$56*L378</f>
        <v>-1188924.4255577971</v>
      </c>
      <c r="K378" s="360">
        <f>(1+L378)/(1+Ke!$O$12)-1</f>
        <v>2.0000000000000018E-2</v>
      </c>
      <c r="L378" s="360">
        <f>'DRE + DCF'!$Y$31</f>
        <v>7.3550000000000004E-2</v>
      </c>
      <c r="M378" s="361">
        <f>(1+D378)^((5-Dashboard!$F$9)*3/12)</f>
        <v>1.0818164657937528</v>
      </c>
      <c r="N378" s="361">
        <f t="shared" ref="N378:V378" si="377">M378*(1+$D378)</f>
        <v>1.2014112760872533</v>
      </c>
      <c r="O378" s="361">
        <f t="shared" si="377"/>
        <v>1.3342272926587004</v>
      </c>
      <c r="P378" s="361">
        <f t="shared" si="377"/>
        <v>1.4817261198621212</v>
      </c>
      <c r="Q378" s="361">
        <f t="shared" si="377"/>
        <v>1.6455309424128803</v>
      </c>
      <c r="R378" s="361">
        <f t="shared" si="377"/>
        <v>1.827444388096626</v>
      </c>
      <c r="S378" s="361">
        <f t="shared" si="377"/>
        <v>2.0294683652007097</v>
      </c>
      <c r="T378" s="361">
        <f t="shared" si="377"/>
        <v>2.2538260929736502</v>
      </c>
      <c r="U378" s="361">
        <f t="shared" si="377"/>
        <v>2.5029865675518894</v>
      </c>
      <c r="V378" s="362">
        <f t="shared" si="377"/>
        <v>2.7796917325947534</v>
      </c>
      <c r="X378" s="351"/>
    </row>
    <row r="379" spans="3:24" ht="24.75" customHeight="1" x14ac:dyDescent="0.3">
      <c r="C379" s="353">
        <f>ABS(E379-Dashboard!$F$14)</f>
        <v>228.49892990680593</v>
      </c>
      <c r="D379" s="350">
        <f t="shared" si="333"/>
        <v>0.11065000000000105</v>
      </c>
      <c r="E379" s="359" cm="1">
        <f t="array" ref="E379">1000*SUM('DRE + DCF'!$L$36/M379,'DRE + DCF'!$N$36:$V$36/N379:V379,F379/V379)/Dashboard!$F$11</f>
        <v>325.48892990680594</v>
      </c>
      <c r="F379" s="359">
        <f t="shared" si="331"/>
        <v>36589384.019276842</v>
      </c>
      <c r="G379" s="359">
        <f>'DRE + DCF'!$W$31</f>
        <v>2791623.3540418856</v>
      </c>
      <c r="H379" s="359">
        <f>'DRE + DCF'!$W$32</f>
        <v>81081.931703745853</v>
      </c>
      <c r="I379" s="359">
        <f>-H379*('DRE + DCF'!$V$33+K379)/'DRE + DCF'!$V$33</f>
        <v>-90858.801614444121</v>
      </c>
      <c r="J379" s="359">
        <f>-'DRE + DCF'!$V$56*L379</f>
        <v>-1188924.4255577971</v>
      </c>
      <c r="K379" s="360">
        <f>(1+L379)/(1+Ke!$O$12)-1</f>
        <v>2.0000000000000018E-2</v>
      </c>
      <c r="L379" s="360">
        <f>'DRE + DCF'!$Y$31</f>
        <v>7.3550000000000004E-2</v>
      </c>
      <c r="M379" s="361">
        <f>(1+D379)^((5-Dashboard!$F$9)*3/12)</f>
        <v>1.081889524477941</v>
      </c>
      <c r="N379" s="361">
        <f t="shared" ref="N379:V379" si="378">M379*(1+$D379)</f>
        <v>1.2016006003614261</v>
      </c>
      <c r="O379" s="361">
        <f t="shared" si="378"/>
        <v>1.3345577067914192</v>
      </c>
      <c r="P379" s="361">
        <f t="shared" si="378"/>
        <v>1.482226517047891</v>
      </c>
      <c r="Q379" s="361">
        <f t="shared" si="378"/>
        <v>1.6462348811592415</v>
      </c>
      <c r="R379" s="361">
        <f t="shared" si="378"/>
        <v>1.8283907707595133</v>
      </c>
      <c r="S379" s="361">
        <f t="shared" si="378"/>
        <v>2.0307022095440552</v>
      </c>
      <c r="T379" s="361">
        <f t="shared" si="378"/>
        <v>2.2553994090301068</v>
      </c>
      <c r="U379" s="361">
        <f t="shared" si="378"/>
        <v>2.5049593536392907</v>
      </c>
      <c r="V379" s="362">
        <f t="shared" si="378"/>
        <v>2.7821331061194807</v>
      </c>
      <c r="X379" s="351"/>
    </row>
    <row r="380" spans="3:24" ht="24.75" customHeight="1" x14ac:dyDescent="0.3">
      <c r="C380" s="353">
        <f>ABS(E380-Dashboard!$F$14)</f>
        <v>227.77240482026798</v>
      </c>
      <c r="D380" s="350">
        <f t="shared" si="333"/>
        <v>0.11075000000000106</v>
      </c>
      <c r="E380" s="359" cm="1">
        <f t="array" ref="E380">1000*SUM('DRE + DCF'!$L$36/M380,'DRE + DCF'!$N$36:$V$36/N380:V380,F380/V380)/Dashboard!$F$11</f>
        <v>324.76240482026799</v>
      </c>
      <c r="F380" s="359">
        <f t="shared" si="331"/>
        <v>36515201.974484645</v>
      </c>
      <c r="G380" s="359">
        <f>'DRE + DCF'!$W$31</f>
        <v>2791623.3540418856</v>
      </c>
      <c r="H380" s="359">
        <f>'DRE + DCF'!$W$32</f>
        <v>81081.931703745853</v>
      </c>
      <c r="I380" s="359">
        <f>-H380*('DRE + DCF'!$V$33+K380)/'DRE + DCF'!$V$33</f>
        <v>-90858.801614444121</v>
      </c>
      <c r="J380" s="359">
        <f>-'DRE + DCF'!$V$56*L380</f>
        <v>-1188924.4255577971</v>
      </c>
      <c r="K380" s="360">
        <f>(1+L380)/(1+Ke!$O$12)-1</f>
        <v>2.0000000000000018E-2</v>
      </c>
      <c r="L380" s="360">
        <f>'DRE + DCF'!$Y$31</f>
        <v>7.3550000000000004E-2</v>
      </c>
      <c r="M380" s="361">
        <f>(1+D380)^((5-Dashboard!$F$9)*3/12)</f>
        <v>1.0819625815176446</v>
      </c>
      <c r="N380" s="361">
        <f t="shared" ref="N380:V380" si="379">M380*(1+$D380)</f>
        <v>1.2017899374207248</v>
      </c>
      <c r="O380" s="361">
        <f t="shared" si="379"/>
        <v>1.3348881729900712</v>
      </c>
      <c r="P380" s="361">
        <f t="shared" si="379"/>
        <v>1.482727038148723</v>
      </c>
      <c r="Q380" s="361">
        <f t="shared" si="379"/>
        <v>1.6469390576236955</v>
      </c>
      <c r="R380" s="361">
        <f t="shared" si="379"/>
        <v>1.8293375582555216</v>
      </c>
      <c r="S380" s="361">
        <f t="shared" si="379"/>
        <v>2.0319366928323226</v>
      </c>
      <c r="T380" s="361">
        <f t="shared" si="379"/>
        <v>2.2569736815635042</v>
      </c>
      <c r="U380" s="361">
        <f t="shared" si="379"/>
        <v>2.5069335167966647</v>
      </c>
      <c r="V380" s="362">
        <f t="shared" si="379"/>
        <v>2.7845764037818976</v>
      </c>
      <c r="X380" s="351"/>
    </row>
    <row r="381" spans="3:24" ht="24.75" customHeight="1" x14ac:dyDescent="0.3">
      <c r="C381" s="353">
        <f>ABS(E381-Dashboard!$F$14)</f>
        <v>227.04921251344803</v>
      </c>
      <c r="D381" s="350">
        <f t="shared" si="333"/>
        <v>0.11085000000000106</v>
      </c>
      <c r="E381" s="359" cm="1">
        <f t="array" ref="E381">1000*SUM('DRE + DCF'!$L$36/M381,'DRE + DCF'!$N$36:$V$36/N381:V381,F381/V381)/Dashboard!$F$11</f>
        <v>324.03921251344804</v>
      </c>
      <c r="F381" s="359">
        <f t="shared" si="331"/>
        <v>36441374.185356617</v>
      </c>
      <c r="G381" s="359">
        <f>'DRE + DCF'!$W$31</f>
        <v>2791623.3540418856</v>
      </c>
      <c r="H381" s="359">
        <f>'DRE + DCF'!$W$32</f>
        <v>81081.931703745853</v>
      </c>
      <c r="I381" s="359">
        <f>-H381*('DRE + DCF'!$V$33+K381)/'DRE + DCF'!$V$33</f>
        <v>-90858.801614444121</v>
      </c>
      <c r="J381" s="359">
        <f>-'DRE + DCF'!$V$56*L381</f>
        <v>-1188924.4255577971</v>
      </c>
      <c r="K381" s="360">
        <f>(1+L381)/(1+Ke!$O$12)-1</f>
        <v>2.0000000000000018E-2</v>
      </c>
      <c r="L381" s="360">
        <f>'DRE + DCF'!$Y$31</f>
        <v>7.3550000000000004E-2</v>
      </c>
      <c r="M381" s="361">
        <f>(1+D381)^((5-Dashboard!$F$9)*3/12)</f>
        <v>1.0820356369130488</v>
      </c>
      <c r="N381" s="361">
        <f t="shared" ref="N381:V381" si="380">M381*(1+$D381)</f>
        <v>1.2019792872648614</v>
      </c>
      <c r="O381" s="361">
        <f t="shared" si="380"/>
        <v>1.3352186912581725</v>
      </c>
      <c r="P381" s="361">
        <f t="shared" si="380"/>
        <v>1.4832276831841422</v>
      </c>
      <c r="Q381" s="361">
        <f t="shared" si="380"/>
        <v>1.6476434718651058</v>
      </c>
      <c r="R381" s="361">
        <f t="shared" si="380"/>
        <v>1.8302847507213544</v>
      </c>
      <c r="S381" s="361">
        <f t="shared" si="380"/>
        <v>2.0331718153388185</v>
      </c>
      <c r="T381" s="361">
        <f t="shared" si="380"/>
        <v>2.2585489110691288</v>
      </c>
      <c r="U381" s="361">
        <f t="shared" si="380"/>
        <v>2.5089090578611439</v>
      </c>
      <c r="V381" s="362">
        <f t="shared" si="380"/>
        <v>2.7870216269250543</v>
      </c>
      <c r="X381" s="351"/>
    </row>
    <row r="382" spans="3:24" ht="24.75" customHeight="1" x14ac:dyDescent="0.3">
      <c r="C382" s="353">
        <f>ABS(E382-Dashboard!$F$14)</f>
        <v>226.32932814869008</v>
      </c>
      <c r="D382" s="350">
        <f t="shared" si="333"/>
        <v>0.11095000000000106</v>
      </c>
      <c r="E382" s="359" cm="1">
        <f t="array" ref="E382">1000*SUM('DRE + DCF'!$L$36/M382,'DRE + DCF'!$N$36:$V$36/N382:V382,F382/V382)/Dashboard!$F$11</f>
        <v>323.31932814869009</v>
      </c>
      <c r="F382" s="359">
        <f t="shared" si="331"/>
        <v>36367897.927584715</v>
      </c>
      <c r="G382" s="359">
        <f>'DRE + DCF'!$W$31</f>
        <v>2791623.3540418856</v>
      </c>
      <c r="H382" s="359">
        <f>'DRE + DCF'!$W$32</f>
        <v>81081.931703745853</v>
      </c>
      <c r="I382" s="359">
        <f>-H382*('DRE + DCF'!$V$33+K382)/'DRE + DCF'!$V$33</f>
        <v>-90858.801614444121</v>
      </c>
      <c r="J382" s="359">
        <f>-'DRE + DCF'!$V$56*L382</f>
        <v>-1188924.4255577971</v>
      </c>
      <c r="K382" s="360">
        <f>(1+L382)/(1+Ke!$O$12)-1</f>
        <v>2.0000000000000018E-2</v>
      </c>
      <c r="L382" s="360">
        <f>'DRE + DCF'!$Y$31</f>
        <v>7.3550000000000004E-2</v>
      </c>
      <c r="M382" s="361">
        <f>(1+D382)^((5-Dashboard!$F$9)*3/12)</f>
        <v>1.0821086906643389</v>
      </c>
      <c r="N382" s="361">
        <f t="shared" ref="N382:V382" si="381">M382*(1+$D382)</f>
        <v>1.2021686498935484</v>
      </c>
      <c r="O382" s="361">
        <f t="shared" si="381"/>
        <v>1.3355492615992388</v>
      </c>
      <c r="P382" s="361">
        <f t="shared" si="381"/>
        <v>1.4837284521736758</v>
      </c>
      <c r="Q382" s="361">
        <f t="shared" si="381"/>
        <v>1.6483481239423465</v>
      </c>
      <c r="R382" s="361">
        <f t="shared" si="381"/>
        <v>1.8312323482937516</v>
      </c>
      <c r="S382" s="361">
        <f t="shared" si="381"/>
        <v>2.0344075773369452</v>
      </c>
      <c r="T382" s="361">
        <f t="shared" si="381"/>
        <v>2.2601250980424812</v>
      </c>
      <c r="U382" s="361">
        <f t="shared" si="381"/>
        <v>2.5108859776702968</v>
      </c>
      <c r="V382" s="362">
        <f t="shared" si="381"/>
        <v>2.7894687768928188</v>
      </c>
      <c r="X382" s="351"/>
    </row>
    <row r="383" spans="3:24" ht="24.75" customHeight="1" x14ac:dyDescent="0.3">
      <c r="C383" s="353">
        <f>ABS(E383-Dashboard!$F$14)</f>
        <v>225.61272714596305</v>
      </c>
      <c r="D383" s="350">
        <f t="shared" si="333"/>
        <v>0.11105000000000106</v>
      </c>
      <c r="E383" s="359" cm="1">
        <f t="array" ref="E383">1000*SUM('DRE + DCF'!$L$36/M383,'DRE + DCF'!$N$36:$V$36/N383:V383,F383/V383)/Dashboard!$F$11</f>
        <v>322.60272714596306</v>
      </c>
      <c r="F383" s="359">
        <f t="shared" si="331"/>
        <v>36294770.505498722</v>
      </c>
      <c r="G383" s="359">
        <f>'DRE + DCF'!$W$31</f>
        <v>2791623.3540418856</v>
      </c>
      <c r="H383" s="359">
        <f>'DRE + DCF'!$W$32</f>
        <v>81081.931703745853</v>
      </c>
      <c r="I383" s="359">
        <f>-H383*('DRE + DCF'!$V$33+K383)/'DRE + DCF'!$V$33</f>
        <v>-90858.801614444121</v>
      </c>
      <c r="J383" s="359">
        <f>-'DRE + DCF'!$V$56*L383</f>
        <v>-1188924.4255577971</v>
      </c>
      <c r="K383" s="360">
        <f>(1+L383)/(1+Ke!$O$12)-1</f>
        <v>2.0000000000000018E-2</v>
      </c>
      <c r="L383" s="360">
        <f>'DRE + DCF'!$Y$31</f>
        <v>7.3550000000000004E-2</v>
      </c>
      <c r="M383" s="361">
        <f>(1+D383)^((5-Dashboard!$F$9)*3/12)</f>
        <v>1.0821817427716995</v>
      </c>
      <c r="N383" s="361">
        <f t="shared" ref="N383:V383" si="382">M383*(1+$D383)</f>
        <v>1.2023580253064978</v>
      </c>
      <c r="O383" s="361">
        <f t="shared" si="382"/>
        <v>1.3358798840167856</v>
      </c>
      <c r="P383" s="361">
        <f t="shared" si="382"/>
        <v>1.4842293451368509</v>
      </c>
      <c r="Q383" s="361">
        <f t="shared" si="382"/>
        <v>1.6490530139142996</v>
      </c>
      <c r="R383" s="361">
        <f t="shared" si="382"/>
        <v>1.8321803511094841</v>
      </c>
      <c r="S383" s="361">
        <f t="shared" si="382"/>
        <v>2.0356439791001941</v>
      </c>
      <c r="T383" s="361">
        <f t="shared" si="382"/>
        <v>2.2617022429792728</v>
      </c>
      <c r="U383" s="361">
        <f t="shared" si="382"/>
        <v>2.5128642770621235</v>
      </c>
      <c r="V383" s="362">
        <f t="shared" si="382"/>
        <v>2.7919178550298747</v>
      </c>
      <c r="X383" s="351"/>
    </row>
    <row r="384" spans="3:24" ht="24.75" customHeight="1" x14ac:dyDescent="0.3">
      <c r="C384" s="353">
        <f>ABS(E384-Dashboard!$F$14)</f>
        <v>224.89938517946877</v>
      </c>
      <c r="D384" s="350">
        <f t="shared" si="333"/>
        <v>0.11115000000000107</v>
      </c>
      <c r="E384" s="359" cm="1">
        <f t="array" ref="E384">1000*SUM('DRE + DCF'!$L$36/M384,'DRE + DCF'!$N$36:$V$36/N384:V384,F384/V384)/Dashboard!$F$11</f>
        <v>321.88938517946877</v>
      </c>
      <c r="F384" s="359">
        <f t="shared" si="331"/>
        <v>36221989.251687363</v>
      </c>
      <c r="G384" s="359">
        <f>'DRE + DCF'!$W$31</f>
        <v>2791623.3540418856</v>
      </c>
      <c r="H384" s="359">
        <f>'DRE + DCF'!$W$32</f>
        <v>81081.931703745853</v>
      </c>
      <c r="I384" s="359">
        <f>-H384*('DRE + DCF'!$V$33+K384)/'DRE + DCF'!$V$33</f>
        <v>-90858.801614444121</v>
      </c>
      <c r="J384" s="359">
        <f>-'DRE + DCF'!$V$56*L384</f>
        <v>-1188924.4255577971</v>
      </c>
      <c r="K384" s="360">
        <f>(1+L384)/(1+Ke!$O$12)-1</f>
        <v>2.0000000000000018E-2</v>
      </c>
      <c r="L384" s="360">
        <f>'DRE + DCF'!$Y$31</f>
        <v>7.3550000000000004E-2</v>
      </c>
      <c r="M384" s="361">
        <f>(1+D384)^((5-Dashboard!$F$9)*3/12)</f>
        <v>1.0822547932353161</v>
      </c>
      <c r="N384" s="361">
        <f t="shared" ref="N384:V384" si="383">M384*(1+$D384)</f>
        <v>1.2025474135034226</v>
      </c>
      <c r="O384" s="361">
        <f t="shared" si="383"/>
        <v>1.3362105585143293</v>
      </c>
      <c r="P384" s="361">
        <f t="shared" si="383"/>
        <v>1.4847303620931984</v>
      </c>
      <c r="Q384" s="361">
        <f t="shared" si="383"/>
        <v>1.6497581418398588</v>
      </c>
      <c r="R384" s="361">
        <f t="shared" si="383"/>
        <v>1.8331287593053607</v>
      </c>
      <c r="S384" s="361">
        <f t="shared" si="383"/>
        <v>2.0368810209021535</v>
      </c>
      <c r="T384" s="361">
        <f t="shared" si="383"/>
        <v>2.2632803463754296</v>
      </c>
      <c r="U384" s="361">
        <f t="shared" si="383"/>
        <v>2.5148439568750609</v>
      </c>
      <c r="V384" s="362">
        <f t="shared" si="383"/>
        <v>2.7943688626817265</v>
      </c>
      <c r="X384" s="351"/>
    </row>
    <row r="385" spans="3:24" ht="24.75" customHeight="1" x14ac:dyDescent="0.3">
      <c r="C385" s="353">
        <f>ABS(E385-Dashboard!$F$14)</f>
        <v>224.18927817430381</v>
      </c>
      <c r="D385" s="350">
        <f t="shared" si="333"/>
        <v>0.11125000000000107</v>
      </c>
      <c r="E385" s="359" cm="1">
        <f t="array" ref="E385">1000*SUM('DRE + DCF'!$L$36/M385,'DRE + DCF'!$N$36:$V$36/N385:V385,F385/V385)/Dashboard!$F$11</f>
        <v>321.17927817430382</v>
      </c>
      <c r="F385" s="359">
        <f t="shared" si="331"/>
        <v>36149551.52662535</v>
      </c>
      <c r="G385" s="359">
        <f>'DRE + DCF'!$W$31</f>
        <v>2791623.3540418856</v>
      </c>
      <c r="H385" s="359">
        <f>'DRE + DCF'!$W$32</f>
        <v>81081.931703745853</v>
      </c>
      <c r="I385" s="359">
        <f>-H385*('DRE + DCF'!$V$33+K385)/'DRE + DCF'!$V$33</f>
        <v>-90858.801614444121</v>
      </c>
      <c r="J385" s="359">
        <f>-'DRE + DCF'!$V$56*L385</f>
        <v>-1188924.4255577971</v>
      </c>
      <c r="K385" s="360">
        <f>(1+L385)/(1+Ke!$O$12)-1</f>
        <v>2.0000000000000018E-2</v>
      </c>
      <c r="L385" s="360">
        <f>'DRE + DCF'!$Y$31</f>
        <v>7.3550000000000004E-2</v>
      </c>
      <c r="M385" s="361">
        <f>(1+D385)^((5-Dashboard!$F$9)*3/12)</f>
        <v>1.082327842055373</v>
      </c>
      <c r="N385" s="361">
        <f t="shared" ref="N385:V385" si="384">M385*(1+$D385)</f>
        <v>1.2027368144840342</v>
      </c>
      <c r="O385" s="361">
        <f t="shared" si="384"/>
        <v>1.3365412850953842</v>
      </c>
      <c r="P385" s="361">
        <f t="shared" si="384"/>
        <v>1.4852315030622469</v>
      </c>
      <c r="Q385" s="361">
        <f t="shared" si="384"/>
        <v>1.6504635077779233</v>
      </c>
      <c r="R385" s="361">
        <f t="shared" si="384"/>
        <v>1.8340775730182188</v>
      </c>
      <c r="S385" s="361">
        <f t="shared" si="384"/>
        <v>2.0381187030164973</v>
      </c>
      <c r="T385" s="361">
        <f t="shared" si="384"/>
        <v>2.2648594087270846</v>
      </c>
      <c r="U385" s="361">
        <f t="shared" si="384"/>
        <v>2.516825017947975</v>
      </c>
      <c r="V385" s="362">
        <f t="shared" si="384"/>
        <v>2.7968218011946897</v>
      </c>
      <c r="X385" s="351"/>
    </row>
    <row r="386" spans="3:24" ht="24.75" customHeight="1" x14ac:dyDescent="0.3">
      <c r="C386" s="353">
        <f>ABS(E386-Dashboard!$F$14)</f>
        <v>223.48238230317185</v>
      </c>
      <c r="D386" s="350">
        <f t="shared" si="333"/>
        <v>0.11135000000000107</v>
      </c>
      <c r="E386" s="359" cm="1">
        <f t="array" ref="E386">1000*SUM('DRE + DCF'!$L$36/M386,'DRE + DCF'!$N$36:$V$36/N386:V386,F386/V386)/Dashboard!$F$11</f>
        <v>320.47238230317186</v>
      </c>
      <c r="F386" s="359">
        <f t="shared" si="331"/>
        <v>36077454.718306407</v>
      </c>
      <c r="G386" s="359">
        <f>'DRE + DCF'!$W$31</f>
        <v>2791623.3540418856</v>
      </c>
      <c r="H386" s="359">
        <f>'DRE + DCF'!$W$32</f>
        <v>81081.931703745853</v>
      </c>
      <c r="I386" s="359">
        <f>-H386*('DRE + DCF'!$V$33+K386)/'DRE + DCF'!$V$33</f>
        <v>-90858.801614444121</v>
      </c>
      <c r="J386" s="359">
        <f>-'DRE + DCF'!$V$56*L386</f>
        <v>-1188924.4255577971</v>
      </c>
      <c r="K386" s="360">
        <f>(1+L386)/(1+Ke!$O$12)-1</f>
        <v>2.0000000000000018E-2</v>
      </c>
      <c r="L386" s="360">
        <f>'DRE + DCF'!$Y$31</f>
        <v>7.3550000000000004E-2</v>
      </c>
      <c r="M386" s="361">
        <f>(1+D386)^((5-Dashboard!$F$9)*3/12)</f>
        <v>1.0824008892320558</v>
      </c>
      <c r="N386" s="361">
        <f t="shared" ref="N386:V386" si="385">M386*(1+$D386)</f>
        <v>1.2029262282480464</v>
      </c>
      <c r="O386" s="361">
        <f t="shared" si="385"/>
        <v>1.3368720637634677</v>
      </c>
      <c r="P386" s="361">
        <f t="shared" si="385"/>
        <v>1.4857327680635313</v>
      </c>
      <c r="Q386" s="361">
        <f t="shared" si="385"/>
        <v>1.6511691117874072</v>
      </c>
      <c r="R386" s="361">
        <f t="shared" si="385"/>
        <v>1.835026792384937</v>
      </c>
      <c r="S386" s="361">
        <f t="shared" si="385"/>
        <v>2.0393570257170017</v>
      </c>
      <c r="T386" s="361">
        <f t="shared" si="385"/>
        <v>2.2664394305305922</v>
      </c>
      <c r="U386" s="361">
        <f t="shared" si="385"/>
        <v>2.5188074611201761</v>
      </c>
      <c r="V386" s="362">
        <f t="shared" si="385"/>
        <v>2.7992766719159108</v>
      </c>
      <c r="X386" s="351"/>
    </row>
    <row r="387" spans="3:24" ht="24.75" customHeight="1" x14ac:dyDescent="0.3">
      <c r="C387" s="353">
        <f>ABS(E387-Dashboard!$F$14)</f>
        <v>222.77867398315306</v>
      </c>
      <c r="D387" s="350">
        <f t="shared" si="333"/>
        <v>0.11145000000000108</v>
      </c>
      <c r="E387" s="359" cm="1">
        <f t="array" ref="E387">1000*SUM('DRE + DCF'!$L$36/M387,'DRE + DCF'!$N$36:$V$36/N387:V387,F387/V387)/Dashboard!$F$11</f>
        <v>319.76867398315306</v>
      </c>
      <c r="F387" s="359">
        <f t="shared" si="331"/>
        <v>36005696.241882041</v>
      </c>
      <c r="G387" s="359">
        <f>'DRE + DCF'!$W$31</f>
        <v>2791623.3540418856</v>
      </c>
      <c r="H387" s="359">
        <f>'DRE + DCF'!$W$32</f>
        <v>81081.931703745853</v>
      </c>
      <c r="I387" s="359">
        <f>-H387*('DRE + DCF'!$V$33+K387)/'DRE + DCF'!$V$33</f>
        <v>-90858.801614444121</v>
      </c>
      <c r="J387" s="359">
        <f>-'DRE + DCF'!$V$56*L387</f>
        <v>-1188924.4255577971</v>
      </c>
      <c r="K387" s="360">
        <f>(1+L387)/(1+Ke!$O$12)-1</f>
        <v>2.0000000000000018E-2</v>
      </c>
      <c r="L387" s="360">
        <f>'DRE + DCF'!$Y$31</f>
        <v>7.3550000000000004E-2</v>
      </c>
      <c r="M387" s="361">
        <f>(1+D387)^((5-Dashboard!$F$9)*3/12)</f>
        <v>1.0824739347655485</v>
      </c>
      <c r="N387" s="361">
        <f t="shared" ref="N387:V387" si="386">M387*(1+$D387)</f>
        <v>1.2031156547951702</v>
      </c>
      <c r="O387" s="361">
        <f t="shared" si="386"/>
        <v>1.3372028945220933</v>
      </c>
      <c r="P387" s="361">
        <f t="shared" si="386"/>
        <v>1.4862341571165822</v>
      </c>
      <c r="Q387" s="361">
        <f t="shared" si="386"/>
        <v>1.6518749539272271</v>
      </c>
      <c r="R387" s="361">
        <f t="shared" si="386"/>
        <v>1.8359764175424185</v>
      </c>
      <c r="S387" s="361">
        <f t="shared" si="386"/>
        <v>2.0405959892775232</v>
      </c>
      <c r="T387" s="361">
        <f t="shared" si="386"/>
        <v>2.2680204122825054</v>
      </c>
      <c r="U387" s="361">
        <f t="shared" si="386"/>
        <v>2.5207912872313933</v>
      </c>
      <c r="V387" s="362">
        <f t="shared" si="386"/>
        <v>2.801733476193335</v>
      </c>
      <c r="X387" s="351"/>
    </row>
    <row r="388" spans="3:24" ht="24.75" customHeight="1" x14ac:dyDescent="0.3">
      <c r="C388" s="353">
        <f>ABS(E388-Dashboard!$F$14)</f>
        <v>222.07812987251788</v>
      </c>
      <c r="D388" s="350">
        <f t="shared" si="333"/>
        <v>0.11155000000000108</v>
      </c>
      <c r="E388" s="359" cm="1">
        <f t="array" ref="E388">1000*SUM('DRE + DCF'!$L$36/M388,'DRE + DCF'!$N$36:$V$36/N388:V388,F388/V388)/Dashboard!$F$11</f>
        <v>319.06812987251789</v>
      </c>
      <c r="F388" s="359">
        <f t="shared" si="331"/>
        <v>35934273.539306067</v>
      </c>
      <c r="G388" s="359">
        <f>'DRE + DCF'!$W$31</f>
        <v>2791623.3540418856</v>
      </c>
      <c r="H388" s="359">
        <f>'DRE + DCF'!$W$32</f>
        <v>81081.931703745853</v>
      </c>
      <c r="I388" s="359">
        <f>-H388*('DRE + DCF'!$V$33+K388)/'DRE + DCF'!$V$33</f>
        <v>-90858.801614444121</v>
      </c>
      <c r="J388" s="359">
        <f>-'DRE + DCF'!$V$56*L388</f>
        <v>-1188924.4255577971</v>
      </c>
      <c r="K388" s="360">
        <f>(1+L388)/(1+Ke!$O$12)-1</f>
        <v>2.0000000000000018E-2</v>
      </c>
      <c r="L388" s="360">
        <f>'DRE + DCF'!$Y$31</f>
        <v>7.3550000000000004E-2</v>
      </c>
      <c r="M388" s="361">
        <f>(1+D388)^((5-Dashboard!$F$9)*3/12)</f>
        <v>1.0825469786560364</v>
      </c>
      <c r="N388" s="361">
        <f t="shared" ref="N388:V388" si="387">M388*(1+$D388)</f>
        <v>1.2033050941251187</v>
      </c>
      <c r="O388" s="361">
        <f t="shared" si="387"/>
        <v>1.3375337773747771</v>
      </c>
      <c r="P388" s="361">
        <f t="shared" si="387"/>
        <v>1.4867356702409349</v>
      </c>
      <c r="Q388" s="361">
        <f t="shared" si="387"/>
        <v>1.652581034256313</v>
      </c>
      <c r="R388" s="361">
        <f t="shared" si="387"/>
        <v>1.8369264486276067</v>
      </c>
      <c r="S388" s="361">
        <f t="shared" si="387"/>
        <v>2.0418355939720185</v>
      </c>
      <c r="T388" s="361">
        <f t="shared" si="387"/>
        <v>2.2696023544795993</v>
      </c>
      <c r="U388" s="361">
        <f t="shared" si="387"/>
        <v>2.5227764971218014</v>
      </c>
      <c r="V388" s="362">
        <f t="shared" si="387"/>
        <v>2.8041922153757413</v>
      </c>
      <c r="X388" s="351"/>
    </row>
    <row r="389" spans="3:24" ht="24.75" customHeight="1" x14ac:dyDescent="0.3">
      <c r="C389" s="353">
        <f>ABS(E389-Dashboard!$F$14)</f>
        <v>221.38072686759568</v>
      </c>
      <c r="D389" s="350">
        <f t="shared" si="333"/>
        <v>0.11165000000000108</v>
      </c>
      <c r="E389" s="359" cm="1">
        <f t="array" ref="E389">1000*SUM('DRE + DCF'!$L$36/M389,'DRE + DCF'!$N$36:$V$36/N389:V389,F389/V389)/Dashboard!$F$11</f>
        <v>318.37072686759569</v>
      </c>
      <c r="F389" s="359">
        <f t="shared" si="331"/>
        <v>35863184.078984678</v>
      </c>
      <c r="G389" s="359">
        <f>'DRE + DCF'!$W$31</f>
        <v>2791623.3540418856</v>
      </c>
      <c r="H389" s="359">
        <f>'DRE + DCF'!$W$32</f>
        <v>81081.931703745853</v>
      </c>
      <c r="I389" s="359">
        <f>-H389*('DRE + DCF'!$V$33+K389)/'DRE + DCF'!$V$33</f>
        <v>-90858.801614444121</v>
      </c>
      <c r="J389" s="359">
        <f>-'DRE + DCF'!$V$56*L389</f>
        <v>-1188924.4255577971</v>
      </c>
      <c r="K389" s="360">
        <f>(1+L389)/(1+Ke!$O$12)-1</f>
        <v>2.0000000000000018E-2</v>
      </c>
      <c r="L389" s="360">
        <f>'DRE + DCF'!$Y$31</f>
        <v>7.3550000000000004E-2</v>
      </c>
      <c r="M389" s="361">
        <f>(1+D389)^((5-Dashboard!$F$9)*3/12)</f>
        <v>1.082620020903704</v>
      </c>
      <c r="N389" s="361">
        <f t="shared" ref="N389:V389" si="388">M389*(1+$D389)</f>
        <v>1.2034945462376039</v>
      </c>
      <c r="O389" s="361">
        <f t="shared" si="388"/>
        <v>1.3378647123250338</v>
      </c>
      <c r="P389" s="361">
        <f t="shared" si="388"/>
        <v>1.4872373074561254</v>
      </c>
      <c r="Q389" s="361">
        <f t="shared" si="388"/>
        <v>1.6532873528336034</v>
      </c>
      <c r="R389" s="361">
        <f t="shared" si="388"/>
        <v>1.837876885777477</v>
      </c>
      <c r="S389" s="361">
        <f t="shared" si="388"/>
        <v>2.0430758400745344</v>
      </c>
      <c r="T389" s="361">
        <f t="shared" si="388"/>
        <v>2.2711852576188583</v>
      </c>
      <c r="U389" s="361">
        <f t="shared" si="388"/>
        <v>2.5247630916320065</v>
      </c>
      <c r="V389" s="362">
        <f t="shared" si="388"/>
        <v>2.8066528908127228</v>
      </c>
      <c r="X389" s="351"/>
    </row>
    <row r="390" spans="3:24" ht="24.75" customHeight="1" x14ac:dyDescent="0.3">
      <c r="C390" s="353">
        <f>ABS(E390-Dashboard!$F$14)</f>
        <v>220.68644209968954</v>
      </c>
      <c r="D390" s="350">
        <f t="shared" si="333"/>
        <v>0.11175000000000108</v>
      </c>
      <c r="E390" s="359" cm="1">
        <f t="array" ref="E390">1000*SUM('DRE + DCF'!$L$36/M390,'DRE + DCF'!$N$36:$V$36/N390:V390,F390/V390)/Dashboard!$F$11</f>
        <v>317.67644209968955</v>
      </c>
      <c r="F390" s="359">
        <f t="shared" si="331"/>
        <v>35792425.355431981</v>
      </c>
      <c r="G390" s="359">
        <f>'DRE + DCF'!$W$31</f>
        <v>2791623.3540418856</v>
      </c>
      <c r="H390" s="359">
        <f>'DRE + DCF'!$W$32</f>
        <v>81081.931703745853</v>
      </c>
      <c r="I390" s="359">
        <f>-H390*('DRE + DCF'!$V$33+K390)/'DRE + DCF'!$V$33</f>
        <v>-90858.801614444121</v>
      </c>
      <c r="J390" s="359">
        <f>-'DRE + DCF'!$V$56*L390</f>
        <v>-1188924.4255577971</v>
      </c>
      <c r="K390" s="360">
        <f>(1+L390)/(1+Ke!$O$12)-1</f>
        <v>2.0000000000000018E-2</v>
      </c>
      <c r="L390" s="360">
        <f>'DRE + DCF'!$Y$31</f>
        <v>7.3550000000000004E-2</v>
      </c>
      <c r="M390" s="361">
        <f>(1+D390)^((5-Dashboard!$F$9)*3/12)</f>
        <v>1.0826930615087365</v>
      </c>
      <c r="N390" s="361">
        <f t="shared" ref="N390:V390" si="389">M390*(1+$D390)</f>
        <v>1.203684011132339</v>
      </c>
      <c r="O390" s="361">
        <f t="shared" si="389"/>
        <v>1.3381956993763793</v>
      </c>
      <c r="P390" s="361">
        <f t="shared" si="389"/>
        <v>1.4877390687816912</v>
      </c>
      <c r="Q390" s="361">
        <f t="shared" si="389"/>
        <v>1.6539939097180467</v>
      </c>
      <c r="R390" s="361">
        <f t="shared" si="389"/>
        <v>1.8388277291290402</v>
      </c>
      <c r="S390" s="361">
        <f t="shared" si="389"/>
        <v>2.0443167278592127</v>
      </c>
      <c r="T390" s="361">
        <f t="shared" si="389"/>
        <v>2.2727691221974822</v>
      </c>
      <c r="U390" s="361">
        <f t="shared" si="389"/>
        <v>2.5267510716030532</v>
      </c>
      <c r="V390" s="362">
        <f t="shared" si="389"/>
        <v>2.8091155038546973</v>
      </c>
      <c r="X390" s="351"/>
    </row>
    <row r="391" spans="3:24" ht="24.75" customHeight="1" x14ac:dyDescent="0.3">
      <c r="C391" s="353">
        <f>ABS(E391-Dashboard!$F$14)</f>
        <v>219.99525293204175</v>
      </c>
      <c r="D391" s="350">
        <f t="shared" si="333"/>
        <v>0.11185000000000109</v>
      </c>
      <c r="E391" s="359" cm="1">
        <f t="array" ref="E391">1000*SUM('DRE + DCF'!$L$36/M391,'DRE + DCF'!$N$36:$V$36/N391:V391,F391/V391)/Dashboard!$F$11</f>
        <v>316.98525293204176</v>
      </c>
      <c r="F391" s="359">
        <f t="shared" si="331"/>
        <v>35721994.888930991</v>
      </c>
      <c r="G391" s="359">
        <f>'DRE + DCF'!$W$31</f>
        <v>2791623.3540418856</v>
      </c>
      <c r="H391" s="359">
        <f>'DRE + DCF'!$W$32</f>
        <v>81081.931703745853</v>
      </c>
      <c r="I391" s="359">
        <f>-H391*('DRE + DCF'!$V$33+K391)/'DRE + DCF'!$V$33</f>
        <v>-90858.801614444121</v>
      </c>
      <c r="J391" s="359">
        <f>-'DRE + DCF'!$V$56*L391</f>
        <v>-1188924.4255577971</v>
      </c>
      <c r="K391" s="360">
        <f>(1+L391)/(1+Ke!$O$12)-1</f>
        <v>2.0000000000000018E-2</v>
      </c>
      <c r="L391" s="360">
        <f>'DRE + DCF'!$Y$31</f>
        <v>7.3550000000000004E-2</v>
      </c>
      <c r="M391" s="361">
        <f>(1+D391)^((5-Dashboard!$F$9)*3/12)</f>
        <v>1.082766100471318</v>
      </c>
      <c r="N391" s="361">
        <f t="shared" ref="N391:V391" si="390">M391*(1+$D391)</f>
        <v>1.2038734888090361</v>
      </c>
      <c r="O391" s="361">
        <f t="shared" si="390"/>
        <v>1.3385267385323281</v>
      </c>
      <c r="P391" s="361">
        <f t="shared" si="390"/>
        <v>1.4882409542371704</v>
      </c>
      <c r="Q391" s="361">
        <f t="shared" si="390"/>
        <v>1.6547007049685996</v>
      </c>
      <c r="R391" s="361">
        <f t="shared" si="390"/>
        <v>1.8397789788193393</v>
      </c>
      <c r="S391" s="361">
        <f t="shared" si="390"/>
        <v>2.0455582576002844</v>
      </c>
      <c r="T391" s="361">
        <f t="shared" si="390"/>
        <v>2.2743539487128785</v>
      </c>
      <c r="U391" s="361">
        <f t="shared" si="390"/>
        <v>2.5287404378764164</v>
      </c>
      <c r="V391" s="362">
        <f t="shared" si="390"/>
        <v>2.8115800558528963</v>
      </c>
      <c r="X391" s="351"/>
    </row>
    <row r="392" spans="3:24" ht="24.75" customHeight="1" x14ac:dyDescent="0.3">
      <c r="C392" s="353">
        <f>ABS(E392-Dashboard!$F$14)</f>
        <v>219.30713695684403</v>
      </c>
      <c r="D392" s="350">
        <f t="shared" si="333"/>
        <v>0.11195000000000109</v>
      </c>
      <c r="E392" s="359" cm="1">
        <f t="array" ref="E392">1000*SUM('DRE + DCF'!$L$36/M392,'DRE + DCF'!$N$36:$V$36/N392:V392,F392/V392)/Dashboard!$F$11</f>
        <v>316.29713695684404</v>
      </c>
      <c r="F392" s="359">
        <f t="shared" si="331"/>
        <v>35651890.225199848</v>
      </c>
      <c r="G392" s="359">
        <f>'DRE + DCF'!$W$31</f>
        <v>2791623.3540418856</v>
      </c>
      <c r="H392" s="359">
        <f>'DRE + DCF'!$W$32</f>
        <v>81081.931703745853</v>
      </c>
      <c r="I392" s="359">
        <f>-H392*('DRE + DCF'!$V$33+K392)/'DRE + DCF'!$V$33</f>
        <v>-90858.801614444121</v>
      </c>
      <c r="J392" s="359">
        <f>-'DRE + DCF'!$V$56*L392</f>
        <v>-1188924.4255577971</v>
      </c>
      <c r="K392" s="360">
        <f>(1+L392)/(1+Ke!$O$12)-1</f>
        <v>2.0000000000000018E-2</v>
      </c>
      <c r="L392" s="360">
        <f>'DRE + DCF'!$Y$31</f>
        <v>7.3550000000000004E-2</v>
      </c>
      <c r="M392" s="361">
        <f>(1+D392)^((5-Dashboard!$F$9)*3/12)</f>
        <v>1.0828391377916335</v>
      </c>
      <c r="N392" s="361">
        <f t="shared" ref="N392:V392" si="391">M392*(1+$D392)</f>
        <v>1.204062979267408</v>
      </c>
      <c r="O392" s="361">
        <f t="shared" si="391"/>
        <v>1.3388578297963958</v>
      </c>
      <c r="P392" s="361">
        <f t="shared" si="391"/>
        <v>1.4887429638421037</v>
      </c>
      <c r="Q392" s="361">
        <f t="shared" si="391"/>
        <v>1.6554077386442287</v>
      </c>
      <c r="R392" s="361">
        <f t="shared" si="391"/>
        <v>1.840730634985452</v>
      </c>
      <c r="S392" s="361">
        <f t="shared" si="391"/>
        <v>2.0468004295720754</v>
      </c>
      <c r="T392" s="361">
        <f t="shared" si="391"/>
        <v>2.2759397376626715</v>
      </c>
      <c r="U392" s="361">
        <f t="shared" si="391"/>
        <v>2.5307311912940103</v>
      </c>
      <c r="V392" s="362">
        <f t="shared" si="391"/>
        <v>2.8140465481593777</v>
      </c>
      <c r="X392" s="351"/>
    </row>
    <row r="393" spans="3:24" ht="24.75" customHeight="1" x14ac:dyDescent="0.3">
      <c r="C393" s="353">
        <f>ABS(E393-Dashboard!$F$14)</f>
        <v>218.62207199229624</v>
      </c>
      <c r="D393" s="350">
        <f t="shared" si="333"/>
        <v>0.11205000000000109</v>
      </c>
      <c r="E393" s="359" cm="1">
        <f t="array" ref="E393">1000*SUM('DRE + DCF'!$L$36/M393,'DRE + DCF'!$N$36:$V$36/N393:V393,F393/V393)/Dashboard!$F$11</f>
        <v>315.61207199229625</v>
      </c>
      <c r="F393" s="359">
        <f t="shared" si="331"/>
        <v>35582108.935063258</v>
      </c>
      <c r="G393" s="359">
        <f>'DRE + DCF'!$W$31</f>
        <v>2791623.3540418856</v>
      </c>
      <c r="H393" s="359">
        <f>'DRE + DCF'!$W$32</f>
        <v>81081.931703745853</v>
      </c>
      <c r="I393" s="359">
        <f>-H393*('DRE + DCF'!$V$33+K393)/'DRE + DCF'!$V$33</f>
        <v>-90858.801614444121</v>
      </c>
      <c r="J393" s="359">
        <f>-'DRE + DCF'!$V$56*L393</f>
        <v>-1188924.4255577971</v>
      </c>
      <c r="K393" s="360">
        <f>(1+L393)/(1+Ke!$O$12)-1</f>
        <v>2.0000000000000018E-2</v>
      </c>
      <c r="L393" s="360">
        <f>'DRE + DCF'!$Y$31</f>
        <v>7.3550000000000004E-2</v>
      </c>
      <c r="M393" s="361">
        <f>(1+D393)^((5-Dashboard!$F$9)*3/12)</f>
        <v>1.0829121734698675</v>
      </c>
      <c r="N393" s="361">
        <f t="shared" ref="N393:V393" si="392">M393*(1+$D393)</f>
        <v>1.2042524825071672</v>
      </c>
      <c r="O393" s="361">
        <f t="shared" si="392"/>
        <v>1.3391889731720965</v>
      </c>
      <c r="P393" s="361">
        <f t="shared" si="392"/>
        <v>1.4892450976160314</v>
      </c>
      <c r="Q393" s="361">
        <f t="shared" si="392"/>
        <v>1.6561150108039093</v>
      </c>
      <c r="R393" s="361">
        <f t="shared" si="392"/>
        <v>1.8416826977644891</v>
      </c>
      <c r="S393" s="361">
        <f t="shared" si="392"/>
        <v>2.0480432440490022</v>
      </c>
      <c r="T393" s="361">
        <f t="shared" si="392"/>
        <v>2.2775264895446949</v>
      </c>
      <c r="U393" s="361">
        <f t="shared" si="392"/>
        <v>2.5327233326981804</v>
      </c>
      <c r="V393" s="362">
        <f t="shared" si="392"/>
        <v>2.8165149821270141</v>
      </c>
      <c r="X393" s="351"/>
    </row>
    <row r="394" spans="3:24" ht="24.75" customHeight="1" x14ac:dyDescent="0.3">
      <c r="C394" s="353">
        <f>ABS(E394-Dashboard!$F$14)</f>
        <v>217.94003607970853</v>
      </c>
      <c r="D394" s="350">
        <f t="shared" si="333"/>
        <v>0.1121500000000011</v>
      </c>
      <c r="E394" s="359" cm="1">
        <f t="array" ref="E394">1000*SUM('DRE + DCF'!$L$36/M394,'DRE + DCF'!$N$36:$V$36/N394:V394,F394/V394)/Dashboard!$F$11</f>
        <v>314.93003607970854</v>
      </c>
      <c r="F394" s="359">
        <f t="shared" si="331"/>
        <v>35512648.614129029</v>
      </c>
      <c r="G394" s="359">
        <f>'DRE + DCF'!$W$31</f>
        <v>2791623.3540418856</v>
      </c>
      <c r="H394" s="359">
        <f>'DRE + DCF'!$W$32</f>
        <v>81081.931703745853</v>
      </c>
      <c r="I394" s="359">
        <f>-H394*('DRE + DCF'!$V$33+K394)/'DRE + DCF'!$V$33</f>
        <v>-90858.801614444121</v>
      </c>
      <c r="J394" s="359">
        <f>-'DRE + DCF'!$V$56*L394</f>
        <v>-1188924.4255577971</v>
      </c>
      <c r="K394" s="360">
        <f>(1+L394)/(1+Ke!$O$12)-1</f>
        <v>2.0000000000000018E-2</v>
      </c>
      <c r="L394" s="360">
        <f>'DRE + DCF'!$Y$31</f>
        <v>7.3550000000000004E-2</v>
      </c>
      <c r="M394" s="361">
        <f>(1+D394)^((5-Dashboard!$F$9)*3/12)</f>
        <v>1.0829852075062045</v>
      </c>
      <c r="N394" s="361">
        <f t="shared" ref="N394:V394" si="393">M394*(1+$D394)</f>
        <v>1.2044419985280266</v>
      </c>
      <c r="O394" s="361">
        <f t="shared" si="393"/>
        <v>1.3395201686629461</v>
      </c>
      <c r="P394" s="361">
        <f t="shared" si="393"/>
        <v>1.489747355578497</v>
      </c>
      <c r="Q394" s="361">
        <f t="shared" si="393"/>
        <v>1.656822521506627</v>
      </c>
      <c r="R394" s="361">
        <f t="shared" si="393"/>
        <v>1.842635167293597</v>
      </c>
      <c r="S394" s="361">
        <f t="shared" si="393"/>
        <v>2.0492867013055758</v>
      </c>
      <c r="T394" s="361">
        <f t="shared" si="393"/>
        <v>2.2791142048569983</v>
      </c>
      <c r="U394" s="361">
        <f t="shared" si="393"/>
        <v>2.5347168629317132</v>
      </c>
      <c r="V394" s="362">
        <f t="shared" si="393"/>
        <v>2.8189853591095075</v>
      </c>
      <c r="X394" s="351"/>
    </row>
    <row r="395" spans="3:24" ht="24.75" customHeight="1" x14ac:dyDescent="0.3">
      <c r="C395" s="353">
        <f>ABS(E395-Dashboard!$F$14)</f>
        <v>217.26100748065045</v>
      </c>
      <c r="D395" s="350">
        <f t="shared" si="333"/>
        <v>0.1122500000000011</v>
      </c>
      <c r="E395" s="359" cm="1">
        <f t="array" ref="E395">1000*SUM('DRE + DCF'!$L$36/M395,'DRE + DCF'!$N$36:$V$36/N395:V395,F395/V395)/Dashboard!$F$11</f>
        <v>314.25100748065046</v>
      </c>
      <c r="F395" s="359">
        <f t="shared" si="331"/>
        <v>35443506.882469587</v>
      </c>
      <c r="G395" s="359">
        <f>'DRE + DCF'!$W$31</f>
        <v>2791623.3540418856</v>
      </c>
      <c r="H395" s="359">
        <f>'DRE + DCF'!$W$32</f>
        <v>81081.931703745853</v>
      </c>
      <c r="I395" s="359">
        <f>-H395*('DRE + DCF'!$V$33+K395)/'DRE + DCF'!$V$33</f>
        <v>-90858.801614444121</v>
      </c>
      <c r="J395" s="359">
        <f>-'DRE + DCF'!$V$56*L395</f>
        <v>-1188924.4255577971</v>
      </c>
      <c r="K395" s="360">
        <f>(1+L395)/(1+Ke!$O$12)-1</f>
        <v>2.0000000000000018E-2</v>
      </c>
      <c r="L395" s="360">
        <f>'DRE + DCF'!$Y$31</f>
        <v>7.3550000000000004E-2</v>
      </c>
      <c r="M395" s="361">
        <f>(1+D395)^((5-Dashboard!$F$9)*3/12)</f>
        <v>1.0830582399008295</v>
      </c>
      <c r="N395" s="361">
        <f t="shared" ref="N395:V395" si="394">M395*(1+$D395)</f>
        <v>1.2046315273296988</v>
      </c>
      <c r="O395" s="361">
        <f t="shared" si="394"/>
        <v>1.3398514162724589</v>
      </c>
      <c r="P395" s="361">
        <f t="shared" si="394"/>
        <v>1.4902497377490438</v>
      </c>
      <c r="Q395" s="361">
        <f t="shared" si="394"/>
        <v>1.6575302708113755</v>
      </c>
      <c r="R395" s="361">
        <f t="shared" si="394"/>
        <v>1.8435880437099541</v>
      </c>
      <c r="S395" s="361">
        <f t="shared" si="394"/>
        <v>2.0505308016163983</v>
      </c>
      <c r="T395" s="361">
        <f t="shared" si="394"/>
        <v>2.2807028840978414</v>
      </c>
      <c r="U395" s="361">
        <f t="shared" si="394"/>
        <v>2.5367117828378265</v>
      </c>
      <c r="V395" s="362">
        <f t="shared" si="394"/>
        <v>2.8214576804613754</v>
      </c>
      <c r="X395" s="351"/>
    </row>
    <row r="396" spans="3:24" ht="24.75" customHeight="1" x14ac:dyDescent="0.3">
      <c r="C396" s="353">
        <f>ABS(E396-Dashboard!$F$14)</f>
        <v>216.58496467414284</v>
      </c>
      <c r="D396" s="350">
        <f t="shared" si="333"/>
        <v>0.1123500000000011</v>
      </c>
      <c r="E396" s="359" cm="1">
        <f t="array" ref="E396">1000*SUM('DRE + DCF'!$L$36/M396,'DRE + DCF'!$N$36:$V$36/N396:V396,F396/V396)/Dashboard!$F$11</f>
        <v>313.57496467414285</v>
      </c>
      <c r="F396" s="359">
        <f t="shared" si="331"/>
        <v>35374681.38430845</v>
      </c>
      <c r="G396" s="359">
        <f>'DRE + DCF'!$W$31</f>
        <v>2791623.3540418856</v>
      </c>
      <c r="H396" s="359">
        <f>'DRE + DCF'!$W$32</f>
        <v>81081.931703745853</v>
      </c>
      <c r="I396" s="359">
        <f>-H396*('DRE + DCF'!$V$33+K396)/'DRE + DCF'!$V$33</f>
        <v>-90858.801614444121</v>
      </c>
      <c r="J396" s="359">
        <f>-'DRE + DCF'!$V$56*L396</f>
        <v>-1188924.4255577971</v>
      </c>
      <c r="K396" s="360">
        <f>(1+L396)/(1+Ke!$O$12)-1</f>
        <v>2.0000000000000018E-2</v>
      </c>
      <c r="L396" s="360">
        <f>'DRE + DCF'!$Y$31</f>
        <v>7.3550000000000004E-2</v>
      </c>
      <c r="M396" s="361">
        <f>(1+D396)^((5-Dashboard!$F$9)*3/12)</f>
        <v>1.0831312706539264</v>
      </c>
      <c r="N396" s="361">
        <f t="shared" ref="N396:V396" si="395">M396*(1+$D396)</f>
        <v>1.2048210689118963</v>
      </c>
      <c r="O396" s="361">
        <f t="shared" si="395"/>
        <v>1.3401827160041491</v>
      </c>
      <c r="P396" s="361">
        <f t="shared" si="395"/>
        <v>1.4907522441472167</v>
      </c>
      <c r="Q396" s="361">
        <f t="shared" si="395"/>
        <v>1.658238258777158</v>
      </c>
      <c r="R396" s="361">
        <f t="shared" si="395"/>
        <v>1.8445413271507736</v>
      </c>
      <c r="S396" s="361">
        <f t="shared" si="395"/>
        <v>2.0517755452561648</v>
      </c>
      <c r="T396" s="361">
        <f t="shared" si="395"/>
        <v>2.2822925277656969</v>
      </c>
      <c r="U396" s="361">
        <f t="shared" si="395"/>
        <v>2.5387080932601753</v>
      </c>
      <c r="V396" s="362">
        <f t="shared" si="395"/>
        <v>2.8239319475379587</v>
      </c>
      <c r="X396" s="351"/>
    </row>
    <row r="397" spans="3:24" ht="24.75" customHeight="1" x14ac:dyDescent="0.3">
      <c r="C397" s="353">
        <f>ABS(E397-Dashboard!$F$14)</f>
        <v>215.91188635389233</v>
      </c>
      <c r="D397" s="350">
        <f t="shared" si="333"/>
        <v>0.1124500000000011</v>
      </c>
      <c r="E397" s="359" cm="1">
        <f t="array" ref="E397">1000*SUM('DRE + DCF'!$L$36/M397,'DRE + DCF'!$N$36:$V$36/N397:V397,F397/V397)/Dashboard!$F$11</f>
        <v>312.90188635389234</v>
      </c>
      <c r="F397" s="359">
        <f t="shared" si="331"/>
        <v>35306169.787711501</v>
      </c>
      <c r="G397" s="359">
        <f>'DRE + DCF'!$W$31</f>
        <v>2791623.3540418856</v>
      </c>
      <c r="H397" s="359">
        <f>'DRE + DCF'!$W$32</f>
        <v>81081.931703745853</v>
      </c>
      <c r="I397" s="359">
        <f>-H397*('DRE + DCF'!$V$33+K397)/'DRE + DCF'!$V$33</f>
        <v>-90858.801614444121</v>
      </c>
      <c r="J397" s="359">
        <f>-'DRE + DCF'!$V$56*L397</f>
        <v>-1188924.4255577971</v>
      </c>
      <c r="K397" s="360">
        <f>(1+L397)/(1+Ke!$O$12)-1</f>
        <v>2.0000000000000018E-2</v>
      </c>
      <c r="L397" s="360">
        <f>'DRE + DCF'!$Y$31</f>
        <v>7.3550000000000004E-2</v>
      </c>
      <c r="M397" s="361">
        <f>(1+D397)^((5-Dashboard!$F$9)*3/12)</f>
        <v>1.0832042997656799</v>
      </c>
      <c r="N397" s="361">
        <f t="shared" ref="N397:V397" si="396">M397*(1+$D397)</f>
        <v>1.2050106232743318</v>
      </c>
      <c r="O397" s="361">
        <f t="shared" si="396"/>
        <v>1.3405140678615317</v>
      </c>
      <c r="P397" s="361">
        <f t="shared" si="396"/>
        <v>1.4912548747925625</v>
      </c>
      <c r="Q397" s="361">
        <f t="shared" si="396"/>
        <v>1.6589464854629876</v>
      </c>
      <c r="R397" s="361">
        <f t="shared" si="396"/>
        <v>1.8454950177533023</v>
      </c>
      <c r="S397" s="361">
        <f t="shared" si="396"/>
        <v>2.0530209324996629</v>
      </c>
      <c r="T397" s="361">
        <f t="shared" si="396"/>
        <v>2.2838831363592522</v>
      </c>
      <c r="U397" s="361">
        <f t="shared" si="396"/>
        <v>2.5407057950428524</v>
      </c>
      <c r="V397" s="362">
        <f t="shared" si="396"/>
        <v>2.826408161695424</v>
      </c>
      <c r="X397" s="351"/>
    </row>
    <row r="398" spans="3:24" ht="24.75" customHeight="1" x14ac:dyDescent="0.3">
      <c r="C398" s="353">
        <f>ABS(E398-Dashboard!$F$14)</f>
        <v>215.2417514255697</v>
      </c>
      <c r="D398" s="350">
        <f t="shared" si="333"/>
        <v>0.11255000000000111</v>
      </c>
      <c r="E398" s="359" cm="1">
        <f t="array" ref="E398">1000*SUM('DRE + DCF'!$L$36/M398,'DRE + DCF'!$N$36:$V$36/N398:V398,F398/V398)/Dashboard!$F$11</f>
        <v>312.23175142556971</v>
      </c>
      <c r="F398" s="359">
        <f t="shared" ref="F398:F461" si="397">AVERAGE(SUM(G398:J398)*(1+L398)/(D398-L398),G398*(1+L398)*(1-L398/D398)/(D398-L398))</f>
        <v>35237969.784283005</v>
      </c>
      <c r="G398" s="359">
        <f>'DRE + DCF'!$W$31</f>
        <v>2791623.3540418856</v>
      </c>
      <c r="H398" s="359">
        <f>'DRE + DCF'!$W$32</f>
        <v>81081.931703745853</v>
      </c>
      <c r="I398" s="359">
        <f>-H398*('DRE + DCF'!$V$33+K398)/'DRE + DCF'!$V$33</f>
        <v>-90858.801614444121</v>
      </c>
      <c r="J398" s="359">
        <f>-'DRE + DCF'!$V$56*L398</f>
        <v>-1188924.4255577971</v>
      </c>
      <c r="K398" s="360">
        <f>(1+L398)/(1+Ke!$O$12)-1</f>
        <v>2.0000000000000018E-2</v>
      </c>
      <c r="L398" s="360">
        <f>'DRE + DCF'!$Y$31</f>
        <v>7.3550000000000004E-2</v>
      </c>
      <c r="M398" s="361">
        <f>(1+D398)^((5-Dashboard!$F$9)*3/12)</f>
        <v>1.0832773272362746</v>
      </c>
      <c r="N398" s="361">
        <f t="shared" ref="N398:V398" si="398">M398*(1+$D398)</f>
        <v>1.2052001904167184</v>
      </c>
      <c r="O398" s="361">
        <f t="shared" si="398"/>
        <v>1.3408454718481213</v>
      </c>
      <c r="P398" s="361">
        <f t="shared" si="398"/>
        <v>1.4917576297046287</v>
      </c>
      <c r="Q398" s="361">
        <f t="shared" si="398"/>
        <v>1.6596549509278862</v>
      </c>
      <c r="R398" s="361">
        <f t="shared" si="398"/>
        <v>1.8464491156548215</v>
      </c>
      <c r="S398" s="361">
        <f t="shared" si="398"/>
        <v>2.0542669636217736</v>
      </c>
      <c r="T398" s="361">
        <f t="shared" si="398"/>
        <v>2.2854747103774065</v>
      </c>
      <c r="U398" s="361">
        <f t="shared" si="398"/>
        <v>2.5427048890303858</v>
      </c>
      <c r="V398" s="362">
        <f t="shared" si="398"/>
        <v>2.8288863242907585</v>
      </c>
      <c r="X398" s="351"/>
    </row>
    <row r="399" spans="3:24" ht="24.75" customHeight="1" x14ac:dyDescent="0.3">
      <c r="C399" s="353">
        <f>ABS(E399-Dashboard!$F$14)</f>
        <v>214.57453900412844</v>
      </c>
      <c r="D399" s="350">
        <f t="shared" ref="D399:D462" si="399">D398+0.0001</f>
        <v>0.11265000000000111</v>
      </c>
      <c r="E399" s="359" cm="1">
        <f t="array" ref="E399">1000*SUM('DRE + DCF'!$L$36/M399,'DRE + DCF'!$N$36:$V$36/N399:V399,F399/V399)/Dashboard!$F$11</f>
        <v>311.56453900412845</v>
      </c>
      <c r="F399" s="359">
        <f t="shared" si="397"/>
        <v>35170079.088866264</v>
      </c>
      <c r="G399" s="359">
        <f>'DRE + DCF'!$W$31</f>
        <v>2791623.3540418856</v>
      </c>
      <c r="H399" s="359">
        <f>'DRE + DCF'!$W$32</f>
        <v>81081.931703745853</v>
      </c>
      <c r="I399" s="359">
        <f>-H399*('DRE + DCF'!$V$33+K399)/'DRE + DCF'!$V$33</f>
        <v>-90858.801614444121</v>
      </c>
      <c r="J399" s="359">
        <f>-'DRE + DCF'!$V$56*L399</f>
        <v>-1188924.4255577971</v>
      </c>
      <c r="K399" s="360">
        <f>(1+L399)/(1+Ke!$O$12)-1</f>
        <v>2.0000000000000018E-2</v>
      </c>
      <c r="L399" s="360">
        <f>'DRE + DCF'!$Y$31</f>
        <v>7.3550000000000004E-2</v>
      </c>
      <c r="M399" s="361">
        <f>(1+D399)^((5-Dashboard!$F$9)*3/12)</f>
        <v>1.0833503530658946</v>
      </c>
      <c r="N399" s="361">
        <f t="shared" ref="N399:V399" si="400">M399*(1+$D399)</f>
        <v>1.2053897703387686</v>
      </c>
      <c r="O399" s="361">
        <f t="shared" si="400"/>
        <v>1.3411769279674322</v>
      </c>
      <c r="P399" s="361">
        <f t="shared" si="400"/>
        <v>1.4922605089029648</v>
      </c>
      <c r="Q399" s="361">
        <f t="shared" si="400"/>
        <v>1.6603636552308854</v>
      </c>
      <c r="R399" s="361">
        <f t="shared" si="400"/>
        <v>1.8474036209926463</v>
      </c>
      <c r="S399" s="361">
        <f t="shared" si="400"/>
        <v>2.05551363889747</v>
      </c>
      <c r="T399" s="361">
        <f t="shared" si="400"/>
        <v>2.2870672503192719</v>
      </c>
      <c r="U399" s="361">
        <f t="shared" si="400"/>
        <v>2.5447053760677401</v>
      </c>
      <c r="V399" s="362">
        <f t="shared" si="400"/>
        <v>2.8313664366817735</v>
      </c>
      <c r="X399" s="351"/>
    </row>
    <row r="400" spans="3:24" ht="24.75" customHeight="1" x14ac:dyDescent="0.3">
      <c r="C400" s="353">
        <f>ABS(E400-Dashboard!$F$14)</f>
        <v>213.91022841116495</v>
      </c>
      <c r="D400" s="350">
        <f t="shared" si="399"/>
        <v>0.11275000000000111</v>
      </c>
      <c r="E400" s="359" cm="1">
        <f t="array" ref="E400">1000*SUM('DRE + DCF'!$L$36/M400,'DRE + DCF'!$N$36:$V$36/N400:V400,F400/V400)/Dashboard!$F$11</f>
        <v>310.90022841116496</v>
      </c>
      <c r="F400" s="359">
        <f t="shared" si="397"/>
        <v>35102495.439248912</v>
      </c>
      <c r="G400" s="359">
        <f>'DRE + DCF'!$W$31</f>
        <v>2791623.3540418856</v>
      </c>
      <c r="H400" s="359">
        <f>'DRE + DCF'!$W$32</f>
        <v>81081.931703745853</v>
      </c>
      <c r="I400" s="359">
        <f>-H400*('DRE + DCF'!$V$33+K400)/'DRE + DCF'!$V$33</f>
        <v>-90858.801614444121</v>
      </c>
      <c r="J400" s="359">
        <f>-'DRE + DCF'!$V$56*L400</f>
        <v>-1188924.4255577971</v>
      </c>
      <c r="K400" s="360">
        <f>(1+L400)/(1+Ke!$O$12)-1</f>
        <v>2.0000000000000018E-2</v>
      </c>
      <c r="L400" s="360">
        <f>'DRE + DCF'!$Y$31</f>
        <v>7.3550000000000004E-2</v>
      </c>
      <c r="M400" s="361">
        <f>(1+D400)^((5-Dashboard!$F$9)*3/12)</f>
        <v>1.0834233772547244</v>
      </c>
      <c r="N400" s="361">
        <f t="shared" ref="N400:V400" si="401">M400*(1+$D400)</f>
        <v>1.2055793630401956</v>
      </c>
      <c r="O400" s="361">
        <f t="shared" si="401"/>
        <v>1.341508436222979</v>
      </c>
      <c r="P400" s="361">
        <f t="shared" si="401"/>
        <v>1.4927635124071212</v>
      </c>
      <c r="Q400" s="361">
        <f t="shared" si="401"/>
        <v>1.6610725984310257</v>
      </c>
      <c r="R400" s="361">
        <f t="shared" si="401"/>
        <v>1.8483585339041255</v>
      </c>
      <c r="S400" s="361">
        <f t="shared" si="401"/>
        <v>2.0567609586018176</v>
      </c>
      <c r="T400" s="361">
        <f t="shared" si="401"/>
        <v>2.2886607566841746</v>
      </c>
      <c r="U400" s="361">
        <f t="shared" si="401"/>
        <v>2.5467072570003175</v>
      </c>
      <c r="V400" s="362">
        <f t="shared" si="401"/>
        <v>2.8338485002271061</v>
      </c>
      <c r="X400" s="351"/>
    </row>
    <row r="401" spans="3:24" ht="24.75" customHeight="1" x14ac:dyDescent="0.3">
      <c r="C401" s="353">
        <f>ABS(E401-Dashboard!$F$14)</f>
        <v>213.2487991723184</v>
      </c>
      <c r="D401" s="350">
        <f t="shared" si="399"/>
        <v>0.11285000000000112</v>
      </c>
      <c r="E401" s="359" cm="1">
        <f t="array" ref="E401">1000*SUM('DRE + DCF'!$L$36/M401,'DRE + DCF'!$N$36:$V$36/N401:V401,F401/V401)/Dashboard!$F$11</f>
        <v>310.23879917231841</v>
      </c>
      <c r="F401" s="359">
        <f t="shared" si="397"/>
        <v>35035216.595872603</v>
      </c>
      <c r="G401" s="359">
        <f>'DRE + DCF'!$W$31</f>
        <v>2791623.3540418856</v>
      </c>
      <c r="H401" s="359">
        <f>'DRE + DCF'!$W$32</f>
        <v>81081.931703745853</v>
      </c>
      <c r="I401" s="359">
        <f>-H401*('DRE + DCF'!$V$33+K401)/'DRE + DCF'!$V$33</f>
        <v>-90858.801614444121</v>
      </c>
      <c r="J401" s="359">
        <f>-'DRE + DCF'!$V$56*L401</f>
        <v>-1188924.4255577971</v>
      </c>
      <c r="K401" s="360">
        <f>(1+L401)/(1+Ke!$O$12)-1</f>
        <v>2.0000000000000018E-2</v>
      </c>
      <c r="L401" s="360">
        <f>'DRE + DCF'!$Y$31</f>
        <v>7.3550000000000004E-2</v>
      </c>
      <c r="M401" s="361">
        <f>(1+D401)^((5-Dashboard!$F$9)*3/12)</f>
        <v>1.0834963998029485</v>
      </c>
      <c r="N401" s="361">
        <f t="shared" ref="N401:V401" si="402">M401*(1+$D401)</f>
        <v>1.2057689685207127</v>
      </c>
      <c r="O401" s="361">
        <f t="shared" si="402"/>
        <v>1.3418399966182766</v>
      </c>
      <c r="P401" s="361">
        <f t="shared" si="402"/>
        <v>1.4932666402366508</v>
      </c>
      <c r="Q401" s="361">
        <f t="shared" si="402"/>
        <v>1.6617817805873587</v>
      </c>
      <c r="R401" s="361">
        <f t="shared" si="402"/>
        <v>1.8493138545266441</v>
      </c>
      <c r="S401" s="361">
        <f t="shared" si="402"/>
        <v>2.0580089230099783</v>
      </c>
      <c r="T401" s="361">
        <f t="shared" si="402"/>
        <v>2.290255229971657</v>
      </c>
      <c r="U401" s="361">
        <f t="shared" si="402"/>
        <v>2.5487105326739612</v>
      </c>
      <c r="V401" s="362">
        <f t="shared" si="402"/>
        <v>2.836332516286221</v>
      </c>
      <c r="X401" s="351"/>
    </row>
    <row r="402" spans="3:24" ht="24.75" customHeight="1" x14ac:dyDescent="0.3">
      <c r="C402" s="353">
        <f>ABS(E402-Dashboard!$F$14)</f>
        <v>212.59023101471246</v>
      </c>
      <c r="D402" s="350">
        <f t="shared" si="399"/>
        <v>0.11295000000000112</v>
      </c>
      <c r="E402" s="359" cm="1">
        <f t="array" ref="E402">1000*SUM('DRE + DCF'!$L$36/M402,'DRE + DCF'!$N$36:$V$36/N402:V402,F402/V402)/Dashboard!$F$11</f>
        <v>309.58023101471247</v>
      </c>
      <c r="F402" s="359">
        <f t="shared" si="397"/>
        <v>34968240.341547206</v>
      </c>
      <c r="G402" s="359">
        <f>'DRE + DCF'!$W$31</f>
        <v>2791623.3540418856</v>
      </c>
      <c r="H402" s="359">
        <f>'DRE + DCF'!$W$32</f>
        <v>81081.931703745853</v>
      </c>
      <c r="I402" s="359">
        <f>-H402*('DRE + DCF'!$V$33+K402)/'DRE + DCF'!$V$33</f>
        <v>-90858.801614444121</v>
      </c>
      <c r="J402" s="359">
        <f>-'DRE + DCF'!$V$56*L402</f>
        <v>-1188924.4255577971</v>
      </c>
      <c r="K402" s="360">
        <f>(1+L402)/(1+Ke!$O$12)-1</f>
        <v>2.0000000000000018E-2</v>
      </c>
      <c r="L402" s="360">
        <f>'DRE + DCF'!$Y$31</f>
        <v>7.3550000000000004E-2</v>
      </c>
      <c r="M402" s="361">
        <f>(1+D402)^((5-Dashboard!$F$9)*3/12)</f>
        <v>1.0835694207107507</v>
      </c>
      <c r="N402" s="361">
        <f t="shared" ref="N402:V402" si="403">M402*(1+$D402)</f>
        <v>1.2059585867800313</v>
      </c>
      <c r="O402" s="361">
        <f t="shared" si="403"/>
        <v>1.3421716091568374</v>
      </c>
      <c r="P402" s="361">
        <f t="shared" si="403"/>
        <v>1.4937698924111038</v>
      </c>
      <c r="Q402" s="361">
        <f t="shared" si="403"/>
        <v>1.6624912017589397</v>
      </c>
      <c r="R402" s="361">
        <f t="shared" si="403"/>
        <v>1.8502695829976139</v>
      </c>
      <c r="S402" s="361">
        <f t="shared" si="403"/>
        <v>2.0592575323971967</v>
      </c>
      <c r="T402" s="361">
        <f t="shared" si="403"/>
        <v>2.2918506706814625</v>
      </c>
      <c r="U402" s="361">
        <f t="shared" si="403"/>
        <v>2.5507152039349363</v>
      </c>
      <c r="V402" s="362">
        <f t="shared" si="403"/>
        <v>2.8388184862193904</v>
      </c>
      <c r="X402" s="351"/>
    </row>
    <row r="403" spans="3:24" ht="24.75" customHeight="1" x14ac:dyDescent="0.3">
      <c r="C403" s="353">
        <f>ABS(E403-Dashboard!$F$14)</f>
        <v>211.93450386442976</v>
      </c>
      <c r="D403" s="350">
        <f t="shared" si="399"/>
        <v>0.11305000000000112</v>
      </c>
      <c r="E403" s="359" cm="1">
        <f t="array" ref="E403">1000*SUM('DRE + DCF'!$L$36/M403,'DRE + DCF'!$N$36:$V$36/N403:V403,F403/V403)/Dashboard!$F$11</f>
        <v>308.92450386442977</v>
      </c>
      <c r="F403" s="359">
        <f t="shared" si="397"/>
        <v>34901564.481169254</v>
      </c>
      <c r="G403" s="359">
        <f>'DRE + DCF'!$W$31</f>
        <v>2791623.3540418856</v>
      </c>
      <c r="H403" s="359">
        <f>'DRE + DCF'!$W$32</f>
        <v>81081.931703745853</v>
      </c>
      <c r="I403" s="359">
        <f>-H403*('DRE + DCF'!$V$33+K403)/'DRE + DCF'!$V$33</f>
        <v>-90858.801614444121</v>
      </c>
      <c r="J403" s="359">
        <f>-'DRE + DCF'!$V$56*L403</f>
        <v>-1188924.4255577971</v>
      </c>
      <c r="K403" s="360">
        <f>(1+L403)/(1+Ke!$O$12)-1</f>
        <v>2.0000000000000018E-2</v>
      </c>
      <c r="L403" s="360">
        <f>'DRE + DCF'!$Y$31</f>
        <v>7.3550000000000004E-2</v>
      </c>
      <c r="M403" s="361">
        <f>(1+D403)^((5-Dashboard!$F$9)*3/12)</f>
        <v>1.0836424399783158</v>
      </c>
      <c r="N403" s="361">
        <f t="shared" ref="N403:V403" si="404">M403*(1+$D403)</f>
        <v>1.2061482178178657</v>
      </c>
      <c r="O403" s="361">
        <f t="shared" si="404"/>
        <v>1.3425032738421769</v>
      </c>
      <c r="P403" s="361">
        <f t="shared" si="404"/>
        <v>1.4942732689500366</v>
      </c>
      <c r="Q403" s="361">
        <f t="shared" si="404"/>
        <v>1.6632008620048402</v>
      </c>
      <c r="R403" s="361">
        <f t="shared" si="404"/>
        <v>1.8512257194544894</v>
      </c>
      <c r="S403" s="361">
        <f t="shared" si="404"/>
        <v>2.0605067870388218</v>
      </c>
      <c r="T403" s="361">
        <f t="shared" si="404"/>
        <v>2.2934470793135633</v>
      </c>
      <c r="U403" s="361">
        <f t="shared" si="404"/>
        <v>2.5527212716299643</v>
      </c>
      <c r="V403" s="362">
        <f t="shared" si="404"/>
        <v>2.8413064113877349</v>
      </c>
      <c r="X403" s="351"/>
    </row>
    <row r="404" spans="3:24" ht="24.75" customHeight="1" x14ac:dyDescent="0.3">
      <c r="C404" s="353">
        <f>ABS(E404-Dashboard!$F$14)</f>
        <v>211.28159784403181</v>
      </c>
      <c r="D404" s="350">
        <f t="shared" si="399"/>
        <v>0.11315000000000112</v>
      </c>
      <c r="E404" s="359" cm="1">
        <f t="array" ref="E404">1000*SUM('DRE + DCF'!$L$36/M404,'DRE + DCF'!$N$36:$V$36/N404:V404,F404/V404)/Dashboard!$F$11</f>
        <v>308.27159784403182</v>
      </c>
      <c r="F404" s="359">
        <f t="shared" si="397"/>
        <v>34835186.841444701</v>
      </c>
      <c r="G404" s="359">
        <f>'DRE + DCF'!$W$31</f>
        <v>2791623.3540418856</v>
      </c>
      <c r="H404" s="359">
        <f>'DRE + DCF'!$W$32</f>
        <v>81081.931703745853</v>
      </c>
      <c r="I404" s="359">
        <f>-H404*('DRE + DCF'!$V$33+K404)/'DRE + DCF'!$V$33</f>
        <v>-90858.801614444121</v>
      </c>
      <c r="J404" s="359">
        <f>-'DRE + DCF'!$V$56*L404</f>
        <v>-1188924.4255577971</v>
      </c>
      <c r="K404" s="360">
        <f>(1+L404)/(1+Ke!$O$12)-1</f>
        <v>2.0000000000000018E-2</v>
      </c>
      <c r="L404" s="360">
        <f>'DRE + DCF'!$Y$31</f>
        <v>7.3550000000000004E-2</v>
      </c>
      <c r="M404" s="361">
        <f>(1+D404)^((5-Dashboard!$F$9)*3/12)</f>
        <v>1.0837154576058274</v>
      </c>
      <c r="N404" s="361">
        <f t="shared" ref="N404:V404" si="405">M404*(1+$D404)</f>
        <v>1.2063378616339282</v>
      </c>
      <c r="O404" s="361">
        <f t="shared" si="405"/>
        <v>1.3428349906778085</v>
      </c>
      <c r="P404" s="361">
        <f t="shared" si="405"/>
        <v>1.4947767698730041</v>
      </c>
      <c r="Q404" s="361">
        <f t="shared" si="405"/>
        <v>1.6639107613841364</v>
      </c>
      <c r="R404" s="361">
        <f t="shared" si="405"/>
        <v>1.8521822640347534</v>
      </c>
      <c r="S404" s="361">
        <f t="shared" si="405"/>
        <v>2.0617566872102882</v>
      </c>
      <c r="T404" s="361">
        <f t="shared" si="405"/>
        <v>2.2950444563681347</v>
      </c>
      <c r="U404" s="361">
        <f t="shared" si="405"/>
        <v>2.5547287366061919</v>
      </c>
      <c r="V404" s="362">
        <f t="shared" si="405"/>
        <v>2.8437962931531855</v>
      </c>
      <c r="X404" s="351"/>
    </row>
    <row r="405" spans="3:24" ht="24.75" customHeight="1" x14ac:dyDescent="0.3">
      <c r="C405" s="353">
        <f>ABS(E405-Dashboard!$F$14)</f>
        <v>210.63149327011081</v>
      </c>
      <c r="D405" s="350">
        <f t="shared" si="399"/>
        <v>0.11325000000000113</v>
      </c>
      <c r="E405" s="359" cm="1">
        <f t="array" ref="E405">1000*SUM('DRE + DCF'!$L$36/M405,'DRE + DCF'!$N$36:$V$36/N405:V405,F405/V405)/Dashboard!$F$11</f>
        <v>307.62149327011082</v>
      </c>
      <c r="F405" s="359">
        <f t="shared" si="397"/>
        <v>34769105.270615846</v>
      </c>
      <c r="G405" s="359">
        <f>'DRE + DCF'!$W$31</f>
        <v>2791623.3540418856</v>
      </c>
      <c r="H405" s="359">
        <f>'DRE + DCF'!$W$32</f>
        <v>81081.931703745853</v>
      </c>
      <c r="I405" s="359">
        <f>-H405*('DRE + DCF'!$V$33+K405)/'DRE + DCF'!$V$33</f>
        <v>-90858.801614444121</v>
      </c>
      <c r="J405" s="359">
        <f>-'DRE + DCF'!$V$56*L405</f>
        <v>-1188924.4255577971</v>
      </c>
      <c r="K405" s="360">
        <f>(1+L405)/(1+Ke!$O$12)-1</f>
        <v>2.0000000000000018E-2</v>
      </c>
      <c r="L405" s="360">
        <f>'DRE + DCF'!$Y$31</f>
        <v>7.3550000000000004E-2</v>
      </c>
      <c r="M405" s="361">
        <f>(1+D405)^((5-Dashboard!$F$9)*3/12)</f>
        <v>1.0837884735934702</v>
      </c>
      <c r="N405" s="361">
        <f t="shared" ref="N405:V405" si="406">M405*(1+$D405)</f>
        <v>1.206527518227932</v>
      </c>
      <c r="O405" s="361">
        <f t="shared" si="406"/>
        <v>1.3431667596672467</v>
      </c>
      <c r="P405" s="361">
        <f t="shared" si="406"/>
        <v>1.4952803951995641</v>
      </c>
      <c r="Q405" s="361">
        <f t="shared" si="406"/>
        <v>1.6646208999559164</v>
      </c>
      <c r="R405" s="361">
        <f t="shared" si="406"/>
        <v>1.853139216875926</v>
      </c>
      <c r="S405" s="361">
        <f t="shared" si="406"/>
        <v>2.0630072331871268</v>
      </c>
      <c r="T405" s="361">
        <f t="shared" si="406"/>
        <v>2.2966428023455712</v>
      </c>
      <c r="U405" s="361">
        <f t="shared" si="406"/>
        <v>2.5567375997112096</v>
      </c>
      <c r="V405" s="362">
        <f t="shared" si="406"/>
        <v>2.8462881328785072</v>
      </c>
      <c r="X405" s="351"/>
    </row>
    <row r="406" spans="3:24" ht="24.75" customHeight="1" x14ac:dyDescent="0.3">
      <c r="C406" s="353">
        <f>ABS(E406-Dashboard!$F$14)</f>
        <v>209.98417065088091</v>
      </c>
      <c r="D406" s="350">
        <f t="shared" si="399"/>
        <v>0.11335000000000113</v>
      </c>
      <c r="E406" s="359" cm="1">
        <f t="array" ref="E406">1000*SUM('DRE + DCF'!$L$36/M406,'DRE + DCF'!$N$36:$V$36/N406:V406,F406/V406)/Dashboard!$F$11</f>
        <v>306.97417065088092</v>
      </c>
      <c r="F406" s="359">
        <f t="shared" si="397"/>
        <v>34703317.638192341</v>
      </c>
      <c r="G406" s="359">
        <f>'DRE + DCF'!$W$31</f>
        <v>2791623.3540418856</v>
      </c>
      <c r="H406" s="359">
        <f>'DRE + DCF'!$W$32</f>
        <v>81081.931703745853</v>
      </c>
      <c r="I406" s="359">
        <f>-H406*('DRE + DCF'!$V$33+K406)/'DRE + DCF'!$V$33</f>
        <v>-90858.801614444121</v>
      </c>
      <c r="J406" s="359">
        <f>-'DRE + DCF'!$V$56*L406</f>
        <v>-1188924.4255577971</v>
      </c>
      <c r="K406" s="360">
        <f>(1+L406)/(1+Ke!$O$12)-1</f>
        <v>2.0000000000000018E-2</v>
      </c>
      <c r="L406" s="360">
        <f>'DRE + DCF'!$Y$31</f>
        <v>7.3550000000000004E-2</v>
      </c>
      <c r="M406" s="361">
        <f>(1+D406)^((5-Dashboard!$F$9)*3/12)</f>
        <v>1.0838614879414279</v>
      </c>
      <c r="N406" s="361">
        <f t="shared" ref="N406:V406" si="407">M406*(1+$D406)</f>
        <v>1.2067171875995901</v>
      </c>
      <c r="O406" s="361">
        <f t="shared" si="407"/>
        <v>1.343498580814005</v>
      </c>
      <c r="P406" s="361">
        <f t="shared" si="407"/>
        <v>1.4957841449492739</v>
      </c>
      <c r="Q406" s="361">
        <f t="shared" si="407"/>
        <v>1.6653312777792759</v>
      </c>
      <c r="R406" s="361">
        <f t="shared" si="407"/>
        <v>1.8540965781155587</v>
      </c>
      <c r="S406" s="361">
        <f t="shared" si="407"/>
        <v>2.0642584252449594</v>
      </c>
      <c r="T406" s="361">
        <f t="shared" si="407"/>
        <v>2.298242117746478</v>
      </c>
      <c r="U406" s="361">
        <f t="shared" si="407"/>
        <v>2.5587478617930439</v>
      </c>
      <c r="V406" s="362">
        <f t="shared" si="407"/>
        <v>2.8487819319272885</v>
      </c>
      <c r="X406" s="351"/>
    </row>
    <row r="407" spans="3:24" ht="24.75" customHeight="1" x14ac:dyDescent="0.3">
      <c r="C407" s="353">
        <f>ABS(E407-Dashboard!$F$14)</f>
        <v>209.33961068380466</v>
      </c>
      <c r="D407" s="350">
        <f t="shared" si="399"/>
        <v>0.11345000000000113</v>
      </c>
      <c r="E407" s="359" cm="1">
        <f t="array" ref="E407">1000*SUM('DRE + DCF'!$L$36/M407,'DRE + DCF'!$N$36:$V$36/N407:V407,F407/V407)/Dashboard!$F$11</f>
        <v>306.32961068380467</v>
      </c>
      <c r="F407" s="359">
        <f t="shared" si="397"/>
        <v>34637821.834686294</v>
      </c>
      <c r="G407" s="359">
        <f>'DRE + DCF'!$W$31</f>
        <v>2791623.3540418856</v>
      </c>
      <c r="H407" s="359">
        <f>'DRE + DCF'!$W$32</f>
        <v>81081.931703745853</v>
      </c>
      <c r="I407" s="359">
        <f>-H407*('DRE + DCF'!$V$33+K407)/'DRE + DCF'!$V$33</f>
        <v>-90858.801614444121</v>
      </c>
      <c r="J407" s="359">
        <f>-'DRE + DCF'!$V$56*L407</f>
        <v>-1188924.4255577971</v>
      </c>
      <c r="K407" s="360">
        <f>(1+L407)/(1+Ke!$O$12)-1</f>
        <v>2.0000000000000018E-2</v>
      </c>
      <c r="L407" s="360">
        <f>'DRE + DCF'!$Y$31</f>
        <v>7.3550000000000004E-2</v>
      </c>
      <c r="M407" s="361">
        <f>(1+D407)^((5-Dashboard!$F$9)*3/12)</f>
        <v>1.0839345006498851</v>
      </c>
      <c r="N407" s="361">
        <f t="shared" ref="N407:V407" si="408">M407*(1+$D407)</f>
        <v>1.2069068697486158</v>
      </c>
      <c r="O407" s="361">
        <f t="shared" si="408"/>
        <v>1.3438304541215977</v>
      </c>
      <c r="P407" s="361">
        <f t="shared" si="408"/>
        <v>1.4962880191416945</v>
      </c>
      <c r="Q407" s="361">
        <f t="shared" si="408"/>
        <v>1.6660418949133216</v>
      </c>
      <c r="R407" s="361">
        <f t="shared" si="408"/>
        <v>1.8550543478912398</v>
      </c>
      <c r="S407" s="361">
        <f t="shared" si="408"/>
        <v>2.0655102636595033</v>
      </c>
      <c r="T407" s="361">
        <f t="shared" si="408"/>
        <v>2.2998424030716764</v>
      </c>
      <c r="U407" s="361">
        <f t="shared" si="408"/>
        <v>2.5607595237001606</v>
      </c>
      <c r="V407" s="362">
        <f t="shared" si="408"/>
        <v>2.8512776916639466</v>
      </c>
      <c r="X407" s="351"/>
    </row>
    <row r="408" spans="3:24" ht="24.75" customHeight="1" x14ac:dyDescent="0.3">
      <c r="C408" s="353">
        <f>ABS(E408-Dashboard!$F$14)</f>
        <v>208.69779425325561</v>
      </c>
      <c r="D408" s="350">
        <f t="shared" si="399"/>
        <v>0.11355000000000114</v>
      </c>
      <c r="E408" s="359" cm="1">
        <f t="array" ref="E408">1000*SUM('DRE + DCF'!$L$36/M408,'DRE + DCF'!$N$36:$V$36/N408:V408,F408/V408)/Dashboard!$F$11</f>
        <v>305.68779425325562</v>
      </c>
      <c r="F408" s="359">
        <f t="shared" si="397"/>
        <v>34572615.771351285</v>
      </c>
      <c r="G408" s="359">
        <f>'DRE + DCF'!$W$31</f>
        <v>2791623.3540418856</v>
      </c>
      <c r="H408" s="359">
        <f>'DRE + DCF'!$W$32</f>
        <v>81081.931703745853</v>
      </c>
      <c r="I408" s="359">
        <f>-H408*('DRE + DCF'!$V$33+K408)/'DRE + DCF'!$V$33</f>
        <v>-90858.801614444121</v>
      </c>
      <c r="J408" s="359">
        <f>-'DRE + DCF'!$V$56*L408</f>
        <v>-1188924.4255577971</v>
      </c>
      <c r="K408" s="360">
        <f>(1+L408)/(1+Ke!$O$12)-1</f>
        <v>2.0000000000000018E-2</v>
      </c>
      <c r="L408" s="360">
        <f>'DRE + DCF'!$Y$31</f>
        <v>7.3550000000000004E-2</v>
      </c>
      <c r="M408" s="361">
        <f>(1+D408)^((5-Dashboard!$F$9)*3/12)</f>
        <v>1.0840075117190253</v>
      </c>
      <c r="N408" s="361">
        <f t="shared" ref="N408:V408" si="409">M408*(1+$D408)</f>
        <v>1.2070965646747218</v>
      </c>
      <c r="O408" s="361">
        <f t="shared" si="409"/>
        <v>1.3441623795935378</v>
      </c>
      <c r="P408" s="361">
        <f t="shared" si="409"/>
        <v>1.4967920177963856</v>
      </c>
      <c r="Q408" s="361">
        <f t="shared" si="409"/>
        <v>1.6667527514171669</v>
      </c>
      <c r="R408" s="361">
        <f t="shared" si="409"/>
        <v>1.8560125263405882</v>
      </c>
      <c r="S408" s="361">
        <f t="shared" si="409"/>
        <v>2.0667627487065641</v>
      </c>
      <c r="T408" s="361">
        <f t="shared" si="409"/>
        <v>2.3014436588221967</v>
      </c>
      <c r="U408" s="361">
        <f t="shared" si="409"/>
        <v>2.5627725862814597</v>
      </c>
      <c r="V408" s="362">
        <f t="shared" si="409"/>
        <v>2.8537754134537225</v>
      </c>
      <c r="X408" s="351"/>
    </row>
    <row r="409" spans="3:24" ht="24.75" customHeight="1" x14ac:dyDescent="0.3">
      <c r="C409" s="353">
        <f>ABS(E409-Dashboard!$F$14)</f>
        <v>208.05870242821391</v>
      </c>
      <c r="D409" s="350">
        <f t="shared" si="399"/>
        <v>0.11365000000000114</v>
      </c>
      <c r="E409" s="359" cm="1">
        <f t="array" ref="E409">1000*SUM('DRE + DCF'!$L$36/M409,'DRE + DCF'!$N$36:$V$36/N409:V409,F409/V409)/Dashboard!$F$11</f>
        <v>305.04870242821391</v>
      </c>
      <c r="F409" s="359">
        <f t="shared" si="397"/>
        <v>34507697.379925288</v>
      </c>
      <c r="G409" s="359">
        <f>'DRE + DCF'!$W$31</f>
        <v>2791623.3540418856</v>
      </c>
      <c r="H409" s="359">
        <f>'DRE + DCF'!$W$32</f>
        <v>81081.931703745853</v>
      </c>
      <c r="I409" s="359">
        <f>-H409*('DRE + DCF'!$V$33+K409)/'DRE + DCF'!$V$33</f>
        <v>-90858.801614444121</v>
      </c>
      <c r="J409" s="359">
        <f>-'DRE + DCF'!$V$56*L409</f>
        <v>-1188924.4255577971</v>
      </c>
      <c r="K409" s="360">
        <f>(1+L409)/(1+Ke!$O$12)-1</f>
        <v>2.0000000000000018E-2</v>
      </c>
      <c r="L409" s="360">
        <f>'DRE + DCF'!$Y$31</f>
        <v>7.3550000000000004E-2</v>
      </c>
      <c r="M409" s="361">
        <f>(1+D409)^((5-Dashboard!$F$9)*3/12)</f>
        <v>1.084080521149033</v>
      </c>
      <c r="N409" s="361">
        <f t="shared" ref="N409:V409" si="410">M409*(1+$D409)</f>
        <v>1.2072862723776219</v>
      </c>
      <c r="O409" s="361">
        <f t="shared" si="410"/>
        <v>1.3444943572333399</v>
      </c>
      <c r="P409" s="361">
        <f t="shared" si="410"/>
        <v>1.4972961409329104</v>
      </c>
      <c r="Q409" s="361">
        <f t="shared" si="410"/>
        <v>1.6674638473499375</v>
      </c>
      <c r="R409" s="361">
        <f t="shared" si="410"/>
        <v>1.8569711136012597</v>
      </c>
      <c r="S409" s="361">
        <f t="shared" si="410"/>
        <v>2.068015880662045</v>
      </c>
      <c r="T409" s="361">
        <f t="shared" si="410"/>
        <v>2.3030458854992886</v>
      </c>
      <c r="U409" s="361">
        <f t="shared" si="410"/>
        <v>2.5647870503862853</v>
      </c>
      <c r="V409" s="362">
        <f t="shared" si="410"/>
        <v>2.8562750986626897</v>
      </c>
      <c r="X409" s="351"/>
    </row>
    <row r="410" spans="3:24" ht="24.75" customHeight="1" x14ac:dyDescent="0.3">
      <c r="C410" s="353">
        <f>ABS(E410-Dashboard!$F$14)</f>
        <v>207.42231645999885</v>
      </c>
      <c r="D410" s="350">
        <f t="shared" si="399"/>
        <v>0.11375000000000114</v>
      </c>
      <c r="E410" s="359" cm="1">
        <f t="array" ref="E410">1000*SUM('DRE + DCF'!$L$36/M410,'DRE + DCF'!$N$36:$V$36/N410:V410,F410/V410)/Dashboard!$F$11</f>
        <v>304.41231645999886</v>
      </c>
      <c r="F410" s="359">
        <f t="shared" si="397"/>
        <v>34443064.61237742</v>
      </c>
      <c r="G410" s="359">
        <f>'DRE + DCF'!$W$31</f>
        <v>2791623.3540418856</v>
      </c>
      <c r="H410" s="359">
        <f>'DRE + DCF'!$W$32</f>
        <v>81081.931703745853</v>
      </c>
      <c r="I410" s="359">
        <f>-H410*('DRE + DCF'!$V$33+K410)/'DRE + DCF'!$V$33</f>
        <v>-90858.801614444121</v>
      </c>
      <c r="J410" s="359">
        <f>-'DRE + DCF'!$V$56*L410</f>
        <v>-1188924.4255577971</v>
      </c>
      <c r="K410" s="360">
        <f>(1+L410)/(1+Ke!$O$12)-1</f>
        <v>2.0000000000000018E-2</v>
      </c>
      <c r="L410" s="360">
        <f>'DRE + DCF'!$Y$31</f>
        <v>7.3550000000000004E-2</v>
      </c>
      <c r="M410" s="361">
        <f>(1+D410)^((5-Dashboard!$F$9)*3/12)</f>
        <v>1.0841535289400916</v>
      </c>
      <c r="N410" s="361">
        <f t="shared" ref="N410:V410" si="411">M410*(1+$D410)</f>
        <v>1.2074759928570282</v>
      </c>
      <c r="O410" s="361">
        <f t="shared" si="411"/>
        <v>1.3448263870445165</v>
      </c>
      <c r="P410" s="361">
        <f t="shared" si="411"/>
        <v>1.4978003885708318</v>
      </c>
      <c r="Q410" s="361">
        <f t="shared" si="411"/>
        <v>1.6681751827707656</v>
      </c>
      <c r="R410" s="361">
        <f t="shared" si="411"/>
        <v>1.857930109810942</v>
      </c>
      <c r="S410" s="361">
        <f t="shared" si="411"/>
        <v>2.0692696598019387</v>
      </c>
      <c r="T410" s="361">
        <f t="shared" si="411"/>
        <v>2.3046490836044113</v>
      </c>
      <c r="U410" s="361">
        <f t="shared" si="411"/>
        <v>2.5668029168644155</v>
      </c>
      <c r="V410" s="362">
        <f t="shared" si="411"/>
        <v>2.8587767486577458</v>
      </c>
      <c r="X410" s="351"/>
    </row>
    <row r="411" spans="3:24" ht="24.75" customHeight="1" x14ac:dyDescent="0.3">
      <c r="C411" s="353">
        <f>ABS(E411-Dashboard!$F$14)</f>
        <v>206.78861778003244</v>
      </c>
      <c r="D411" s="350">
        <f t="shared" si="399"/>
        <v>0.11385000000000114</v>
      </c>
      <c r="E411" s="359" cm="1">
        <f t="array" ref="E411">1000*SUM('DRE + DCF'!$L$36/M411,'DRE + DCF'!$N$36:$V$36/N411:V411,F411/V411)/Dashboard!$F$11</f>
        <v>303.77861778003245</v>
      </c>
      <c r="F411" s="359">
        <f t="shared" si="397"/>
        <v>34378715.440658495</v>
      </c>
      <c r="G411" s="359">
        <f>'DRE + DCF'!$W$31</f>
        <v>2791623.3540418856</v>
      </c>
      <c r="H411" s="359">
        <f>'DRE + DCF'!$W$32</f>
        <v>81081.931703745853</v>
      </c>
      <c r="I411" s="359">
        <f>-H411*('DRE + DCF'!$V$33+K411)/'DRE + DCF'!$V$33</f>
        <v>-90858.801614444121</v>
      </c>
      <c r="J411" s="359">
        <f>-'DRE + DCF'!$V$56*L411</f>
        <v>-1188924.4255577971</v>
      </c>
      <c r="K411" s="360">
        <f>(1+L411)/(1+Ke!$O$12)-1</f>
        <v>2.0000000000000018E-2</v>
      </c>
      <c r="L411" s="360">
        <f>'DRE + DCF'!$Y$31</f>
        <v>7.3550000000000004E-2</v>
      </c>
      <c r="M411" s="361">
        <f>(1+D411)^((5-Dashboard!$F$9)*3/12)</f>
        <v>1.0842265350923859</v>
      </c>
      <c r="N411" s="361">
        <f t="shared" ref="N411:V411" si="412">M411*(1+$D411)</f>
        <v>1.2076657261126551</v>
      </c>
      <c r="O411" s="361">
        <f t="shared" si="412"/>
        <v>1.3451584690305822</v>
      </c>
      <c r="P411" s="361">
        <f t="shared" si="412"/>
        <v>1.4983047607297155</v>
      </c>
      <c r="Q411" s="361">
        <f t="shared" si="412"/>
        <v>1.6688867577387954</v>
      </c>
      <c r="R411" s="361">
        <f t="shared" si="412"/>
        <v>1.858889515107359</v>
      </c>
      <c r="S411" s="361">
        <f t="shared" si="412"/>
        <v>2.070524086402334</v>
      </c>
      <c r="T411" s="361">
        <f t="shared" si="412"/>
        <v>2.3062532536392419</v>
      </c>
      <c r="U411" s="361">
        <f t="shared" si="412"/>
        <v>2.568820186566072</v>
      </c>
      <c r="V411" s="362">
        <f t="shared" si="412"/>
        <v>2.8612803648066221</v>
      </c>
      <c r="X411" s="351"/>
    </row>
    <row r="412" spans="3:24" ht="24.75" customHeight="1" x14ac:dyDescent="0.3">
      <c r="C412" s="353">
        <f>ABS(E412-Dashboard!$F$14)</f>
        <v>206.1575879976383</v>
      </c>
      <c r="D412" s="350">
        <f t="shared" si="399"/>
        <v>0.11395000000000115</v>
      </c>
      <c r="E412" s="359" cm="1">
        <f t="array" ref="E412">1000*SUM('DRE + DCF'!$L$36/M412,'DRE + DCF'!$N$36:$V$36/N412:V412,F412/V412)/Dashboard!$F$11</f>
        <v>303.14758799763831</v>
      </c>
      <c r="F412" s="359">
        <f t="shared" si="397"/>
        <v>34314647.856455222</v>
      </c>
      <c r="G412" s="359">
        <f>'DRE + DCF'!$W$31</f>
        <v>2791623.3540418856</v>
      </c>
      <c r="H412" s="359">
        <f>'DRE + DCF'!$W$32</f>
        <v>81081.931703745853</v>
      </c>
      <c r="I412" s="359">
        <f>-H412*('DRE + DCF'!$V$33+K412)/'DRE + DCF'!$V$33</f>
        <v>-90858.801614444121</v>
      </c>
      <c r="J412" s="359">
        <f>-'DRE + DCF'!$V$56*L412</f>
        <v>-1188924.4255577971</v>
      </c>
      <c r="K412" s="360">
        <f>(1+L412)/(1+Ke!$O$12)-1</f>
        <v>2.0000000000000018E-2</v>
      </c>
      <c r="L412" s="360">
        <f>'DRE + DCF'!$Y$31</f>
        <v>7.3550000000000004E-2</v>
      </c>
      <c r="M412" s="361">
        <f>(1+D412)^((5-Dashboard!$F$9)*3/12)</f>
        <v>1.0842995396060988</v>
      </c>
      <c r="N412" s="361">
        <f t="shared" ref="N412:V412" si="413">M412*(1+$D412)</f>
        <v>1.207855472144215</v>
      </c>
      <c r="O412" s="361">
        <f t="shared" si="413"/>
        <v>1.3454906031950495</v>
      </c>
      <c r="P412" s="361">
        <f t="shared" si="413"/>
        <v>1.498809257429127</v>
      </c>
      <c r="Q412" s="361">
        <f t="shared" si="413"/>
        <v>1.6695985723131777</v>
      </c>
      <c r="R412" s="361">
        <f t="shared" si="413"/>
        <v>1.8598493296282661</v>
      </c>
      <c r="S412" s="361">
        <f t="shared" si="413"/>
        <v>2.0717791607394092</v>
      </c>
      <c r="T412" s="361">
        <f t="shared" si="413"/>
        <v>2.3078583961056669</v>
      </c>
      <c r="U412" s="361">
        <f t="shared" si="413"/>
        <v>2.5708388603419103</v>
      </c>
      <c r="V412" s="362">
        <f t="shared" si="413"/>
        <v>2.863785948477874</v>
      </c>
      <c r="X412" s="351"/>
    </row>
    <row r="413" spans="3:24" ht="24.75" customHeight="1" x14ac:dyDescent="0.3">
      <c r="C413" s="353">
        <f>ABS(E413-Dashboard!$F$14)</f>
        <v>205.52920889787106</v>
      </c>
      <c r="D413" s="350">
        <f t="shared" si="399"/>
        <v>0.11405000000000115</v>
      </c>
      <c r="E413" s="359" cm="1">
        <f t="array" ref="E413">1000*SUM('DRE + DCF'!$L$36/M413,'DRE + DCF'!$N$36:$V$36/N413:V413,F413/V413)/Dashboard!$F$11</f>
        <v>302.51920889787107</v>
      </c>
      <c r="F413" s="359">
        <f t="shared" si="397"/>
        <v>34250859.870948046</v>
      </c>
      <c r="G413" s="359">
        <f>'DRE + DCF'!$W$31</f>
        <v>2791623.3540418856</v>
      </c>
      <c r="H413" s="359">
        <f>'DRE + DCF'!$W$32</f>
        <v>81081.931703745853</v>
      </c>
      <c r="I413" s="359">
        <f>-H413*('DRE + DCF'!$V$33+K413)/'DRE + DCF'!$V$33</f>
        <v>-90858.801614444121</v>
      </c>
      <c r="J413" s="359">
        <f>-'DRE + DCF'!$V$56*L413</f>
        <v>-1188924.4255577971</v>
      </c>
      <c r="K413" s="360">
        <f>(1+L413)/(1+Ke!$O$12)-1</f>
        <v>2.0000000000000018E-2</v>
      </c>
      <c r="L413" s="360">
        <f>'DRE + DCF'!$Y$31</f>
        <v>7.3550000000000004E-2</v>
      </c>
      <c r="M413" s="361">
        <f>(1+D413)^((5-Dashboard!$F$9)*3/12)</f>
        <v>1.084372542481415</v>
      </c>
      <c r="N413" s="361">
        <f t="shared" ref="N413:V413" si="414">M413*(1+$D413)</f>
        <v>1.2080452309514216</v>
      </c>
      <c r="O413" s="361">
        <f t="shared" si="414"/>
        <v>1.3458227895414325</v>
      </c>
      <c r="P413" s="361">
        <f t="shared" si="414"/>
        <v>1.4993138786886344</v>
      </c>
      <c r="Q413" s="361">
        <f t="shared" si="414"/>
        <v>1.6703106265530747</v>
      </c>
      <c r="R413" s="361">
        <f t="shared" si="414"/>
        <v>1.8608095535114548</v>
      </c>
      <c r="S413" s="361">
        <f t="shared" si="414"/>
        <v>2.0730348830894383</v>
      </c>
      <c r="T413" s="361">
        <f t="shared" si="414"/>
        <v>2.3094645115057908</v>
      </c>
      <c r="U413" s="361">
        <f t="shared" si="414"/>
        <v>2.5728589390430288</v>
      </c>
      <c r="V413" s="362">
        <f t="shared" si="414"/>
        <v>2.866293501040889</v>
      </c>
      <c r="X413" s="351"/>
    </row>
    <row r="414" spans="3:24" ht="24.75" customHeight="1" x14ac:dyDescent="0.3">
      <c r="C414" s="353">
        <f>ABS(E414-Dashboard!$F$14)</f>
        <v>204.90346243937887</v>
      </c>
      <c r="D414" s="350">
        <f t="shared" si="399"/>
        <v>0.11415000000000115</v>
      </c>
      <c r="E414" s="359" cm="1">
        <f t="array" ref="E414">1000*SUM('DRE + DCF'!$L$36/M414,'DRE + DCF'!$N$36:$V$36/N414:V414,F414/V414)/Dashboard!$F$11</f>
        <v>301.89346243937888</v>
      </c>
      <c r="F414" s="359">
        <f t="shared" si="397"/>
        <v>34187349.514572576</v>
      </c>
      <c r="G414" s="359">
        <f>'DRE + DCF'!$W$31</f>
        <v>2791623.3540418856</v>
      </c>
      <c r="H414" s="359">
        <f>'DRE + DCF'!$W$32</f>
        <v>81081.931703745853</v>
      </c>
      <c r="I414" s="359">
        <f>-H414*('DRE + DCF'!$V$33+K414)/'DRE + DCF'!$V$33</f>
        <v>-90858.801614444121</v>
      </c>
      <c r="J414" s="359">
        <f>-'DRE + DCF'!$V$56*L414</f>
        <v>-1188924.4255577971</v>
      </c>
      <c r="K414" s="360">
        <f>(1+L414)/(1+Ke!$O$12)-1</f>
        <v>2.0000000000000018E-2</v>
      </c>
      <c r="L414" s="360">
        <f>'DRE + DCF'!$Y$31</f>
        <v>7.3550000000000004E-2</v>
      </c>
      <c r="M414" s="361">
        <f>(1+D414)^((5-Dashboard!$F$9)*3/12)</f>
        <v>1.0844455437185181</v>
      </c>
      <c r="N414" s="361">
        <f t="shared" ref="N414:V414" si="415">M414*(1+$D414)</f>
        <v>1.2082350025339881</v>
      </c>
      <c r="O414" s="361">
        <f t="shared" si="415"/>
        <v>1.3461550280732442</v>
      </c>
      <c r="P414" s="361">
        <f t="shared" si="415"/>
        <v>1.4998186245278065</v>
      </c>
      <c r="Q414" s="361">
        <f t="shared" si="415"/>
        <v>1.6710229205176572</v>
      </c>
      <c r="R414" s="361">
        <f t="shared" si="415"/>
        <v>1.8617701868947496</v>
      </c>
      <c r="S414" s="361">
        <f t="shared" si="415"/>
        <v>2.0742912537287874</v>
      </c>
      <c r="T414" s="361">
        <f t="shared" si="415"/>
        <v>2.3110716003419309</v>
      </c>
      <c r="U414" s="361">
        <f t="shared" si="415"/>
        <v>2.5748804235209648</v>
      </c>
      <c r="V414" s="362">
        <f t="shared" si="415"/>
        <v>2.8688030238658859</v>
      </c>
      <c r="X414" s="351"/>
    </row>
    <row r="415" spans="3:24" ht="24.75" customHeight="1" x14ac:dyDescent="0.3">
      <c r="C415" s="353">
        <f>ABS(E415-Dashboard!$F$14)</f>
        <v>204.28033075229769</v>
      </c>
      <c r="D415" s="350">
        <f t="shared" si="399"/>
        <v>0.11425000000000116</v>
      </c>
      <c r="E415" s="359" cm="1">
        <f t="array" ref="E415">1000*SUM('DRE + DCF'!$L$36/M415,'DRE + DCF'!$N$36:$V$36/N415:V415,F415/V415)/Dashboard!$F$11</f>
        <v>301.2703307522977</v>
      </c>
      <c r="F415" s="359">
        <f t="shared" si="397"/>
        <v>34124114.836784519</v>
      </c>
      <c r="G415" s="359">
        <f>'DRE + DCF'!$W$31</f>
        <v>2791623.3540418856</v>
      </c>
      <c r="H415" s="359">
        <f>'DRE + DCF'!$W$32</f>
        <v>81081.931703745853</v>
      </c>
      <c r="I415" s="359">
        <f>-H415*('DRE + DCF'!$V$33+K415)/'DRE + DCF'!$V$33</f>
        <v>-90858.801614444121</v>
      </c>
      <c r="J415" s="359">
        <f>-'DRE + DCF'!$V$56*L415</f>
        <v>-1188924.4255577971</v>
      </c>
      <c r="K415" s="360">
        <f>(1+L415)/(1+Ke!$O$12)-1</f>
        <v>2.0000000000000018E-2</v>
      </c>
      <c r="L415" s="360">
        <f>'DRE + DCF'!$Y$31</f>
        <v>7.3550000000000004E-2</v>
      </c>
      <c r="M415" s="361">
        <f>(1+D415)^((5-Dashboard!$F$9)*3/12)</f>
        <v>1.0845185433175915</v>
      </c>
      <c r="N415" s="361">
        <f t="shared" ref="N415:V415" si="416">M415*(1+$D415)</f>
        <v>1.2084247868916274</v>
      </c>
      <c r="O415" s="361">
        <f t="shared" si="416"/>
        <v>1.346487318793997</v>
      </c>
      <c r="P415" s="361">
        <f t="shared" si="416"/>
        <v>1.5003234949662125</v>
      </c>
      <c r="Q415" s="361">
        <f t="shared" si="416"/>
        <v>1.6717354542661038</v>
      </c>
      <c r="R415" s="361">
        <f t="shared" si="416"/>
        <v>1.8627312299160079</v>
      </c>
      <c r="S415" s="361">
        <f t="shared" si="416"/>
        <v>2.0755482729339136</v>
      </c>
      <c r="T415" s="361">
        <f t="shared" si="416"/>
        <v>2.3126796631166155</v>
      </c>
      <c r="U415" s="361">
        <f t="shared" si="416"/>
        <v>2.5769033146276912</v>
      </c>
      <c r="V415" s="362">
        <f t="shared" si="416"/>
        <v>2.8713145183239077</v>
      </c>
      <c r="X415" s="351"/>
    </row>
    <row r="416" spans="3:24" ht="24.75" customHeight="1" x14ac:dyDescent="0.3">
      <c r="C416" s="353">
        <f>ABS(E416-Dashboard!$F$14)</f>
        <v>203.65979613617407</v>
      </c>
      <c r="D416" s="350">
        <f t="shared" si="399"/>
        <v>0.11435000000000116</v>
      </c>
      <c r="E416" s="359" cm="1">
        <f t="array" ref="E416">1000*SUM('DRE + DCF'!$L$36/M416,'DRE + DCF'!$N$36:$V$36/N416:V416,F416/V416)/Dashboard!$F$11</f>
        <v>300.64979613617407</v>
      </c>
      <c r="F416" s="359">
        <f t="shared" si="397"/>
        <v>34061153.905828074</v>
      </c>
      <c r="G416" s="359">
        <f>'DRE + DCF'!$W$31</f>
        <v>2791623.3540418856</v>
      </c>
      <c r="H416" s="359">
        <f>'DRE + DCF'!$W$32</f>
        <v>81081.931703745853</v>
      </c>
      <c r="I416" s="359">
        <f>-H416*('DRE + DCF'!$V$33+K416)/'DRE + DCF'!$V$33</f>
        <v>-90858.801614444121</v>
      </c>
      <c r="J416" s="359">
        <f>-'DRE + DCF'!$V$56*L416</f>
        <v>-1188924.4255577971</v>
      </c>
      <c r="K416" s="360">
        <f>(1+L416)/(1+Ke!$O$12)-1</f>
        <v>2.0000000000000018E-2</v>
      </c>
      <c r="L416" s="360">
        <f>'DRE + DCF'!$Y$31</f>
        <v>7.3550000000000004E-2</v>
      </c>
      <c r="M416" s="361">
        <f>(1+D416)^((5-Dashboard!$F$9)*3/12)</f>
        <v>1.0845915412788194</v>
      </c>
      <c r="N416" s="361">
        <f t="shared" ref="N416:V416" si="417">M416*(1+$D416)</f>
        <v>1.2086145840240536</v>
      </c>
      <c r="O416" s="361">
        <f t="shared" si="417"/>
        <v>1.3468196617072055</v>
      </c>
      <c r="P416" s="361">
        <f t="shared" si="417"/>
        <v>1.5008284900234259</v>
      </c>
      <c r="Q416" s="361">
        <f t="shared" si="417"/>
        <v>1.6724482278576063</v>
      </c>
      <c r="R416" s="361">
        <f t="shared" si="417"/>
        <v>1.8636926827131253</v>
      </c>
      <c r="S416" s="361">
        <f t="shared" si="417"/>
        <v>2.0768059409813731</v>
      </c>
      <c r="T416" s="361">
        <f t="shared" si="417"/>
        <v>2.3142887003325954</v>
      </c>
      <c r="U416" s="361">
        <f t="shared" si="417"/>
        <v>2.57892761321563</v>
      </c>
      <c r="V416" s="362">
        <f t="shared" si="417"/>
        <v>2.8738279857868401</v>
      </c>
      <c r="X416" s="351"/>
    </row>
    <row r="417" spans="3:24" ht="24.75" customHeight="1" x14ac:dyDescent="0.3">
      <c r="C417" s="353">
        <f>ABS(E417-Dashboard!$F$14)</f>
        <v>203.0418410579216</v>
      </c>
      <c r="D417" s="350">
        <f t="shared" si="399"/>
        <v>0.11445000000000116</v>
      </c>
      <c r="E417" s="359" cm="1">
        <f t="array" ref="E417">1000*SUM('DRE + DCF'!$L$36/M417,'DRE + DCF'!$N$36:$V$36/N417:V417,F417/V417)/Dashboard!$F$11</f>
        <v>300.03184105792161</v>
      </c>
      <c r="F417" s="359">
        <f t="shared" si="397"/>
        <v>33998464.808507659</v>
      </c>
      <c r="G417" s="359">
        <f>'DRE + DCF'!$W$31</f>
        <v>2791623.3540418856</v>
      </c>
      <c r="H417" s="359">
        <f>'DRE + DCF'!$W$32</f>
        <v>81081.931703745853</v>
      </c>
      <c r="I417" s="359">
        <f>-H417*('DRE + DCF'!$V$33+K417)/'DRE + DCF'!$V$33</f>
        <v>-90858.801614444121</v>
      </c>
      <c r="J417" s="359">
        <f>-'DRE + DCF'!$V$56*L417</f>
        <v>-1188924.4255577971</v>
      </c>
      <c r="K417" s="360">
        <f>(1+L417)/(1+Ke!$O$12)-1</f>
        <v>2.0000000000000018E-2</v>
      </c>
      <c r="L417" s="360">
        <f>'DRE + DCF'!$Y$31</f>
        <v>7.3550000000000004E-2</v>
      </c>
      <c r="M417" s="361">
        <f>(1+D417)^((5-Dashboard!$F$9)*3/12)</f>
        <v>1.0846645376023853</v>
      </c>
      <c r="N417" s="361">
        <f t="shared" ref="N417:V417" si="418">M417*(1+$D417)</f>
        <v>1.2088043939309794</v>
      </c>
      <c r="O417" s="361">
        <f t="shared" si="418"/>
        <v>1.3471520568163813</v>
      </c>
      <c r="P417" s="361">
        <f t="shared" si="418"/>
        <v>1.5013336097190175</v>
      </c>
      <c r="Q417" s="361">
        <f t="shared" si="418"/>
        <v>1.6731612413513606</v>
      </c>
      <c r="R417" s="361">
        <f t="shared" si="418"/>
        <v>1.8646545454240255</v>
      </c>
      <c r="S417" s="361">
        <f t="shared" si="418"/>
        <v>2.078064258147807</v>
      </c>
      <c r="T417" s="361">
        <f t="shared" si="418"/>
        <v>2.3158987124928259</v>
      </c>
      <c r="U417" s="361">
        <f t="shared" si="418"/>
        <v>2.580953320137632</v>
      </c>
      <c r="V417" s="362">
        <f t="shared" si="418"/>
        <v>2.8763434276273867</v>
      </c>
      <c r="X417" s="351"/>
    </row>
    <row r="418" spans="3:24" ht="24.75" customHeight="1" x14ac:dyDescent="0.3">
      <c r="C418" s="353">
        <f>ABS(E418-Dashboard!$F$14)</f>
        <v>202.42644814980417</v>
      </c>
      <c r="D418" s="350">
        <f t="shared" si="399"/>
        <v>0.11455000000000116</v>
      </c>
      <c r="E418" s="359" cm="1">
        <f t="array" ref="E418">1000*SUM('DRE + DCF'!$L$36/M418,'DRE + DCF'!$N$36:$V$36/N418:V418,F418/V418)/Dashboard!$F$11</f>
        <v>299.41644814980418</v>
      </c>
      <c r="F418" s="359">
        <f t="shared" si="397"/>
        <v>33936045.649963066</v>
      </c>
      <c r="G418" s="359">
        <f>'DRE + DCF'!$W$31</f>
        <v>2791623.3540418856</v>
      </c>
      <c r="H418" s="359">
        <f>'DRE + DCF'!$W$32</f>
        <v>81081.931703745853</v>
      </c>
      <c r="I418" s="359">
        <f>-H418*('DRE + DCF'!$V$33+K418)/'DRE + DCF'!$V$33</f>
        <v>-90858.801614444121</v>
      </c>
      <c r="J418" s="359">
        <f>-'DRE + DCF'!$V$56*L418</f>
        <v>-1188924.4255577971</v>
      </c>
      <c r="K418" s="360">
        <f>(1+L418)/(1+Ke!$O$12)-1</f>
        <v>2.0000000000000018E-2</v>
      </c>
      <c r="L418" s="360">
        <f>'DRE + DCF'!$Y$31</f>
        <v>7.3550000000000004E-2</v>
      </c>
      <c r="M418" s="361">
        <f>(1+D418)^((5-Dashboard!$F$9)*3/12)</f>
        <v>1.0847375322884734</v>
      </c>
      <c r="N418" s="361">
        <f t="shared" ref="N418:V418" si="419">M418*(1+$D418)</f>
        <v>1.2089942166121193</v>
      </c>
      <c r="O418" s="361">
        <f t="shared" si="419"/>
        <v>1.347484504125039</v>
      </c>
      <c r="P418" s="361">
        <f t="shared" si="419"/>
        <v>1.5018388540725638</v>
      </c>
      <c r="Q418" s="361">
        <f t="shared" si="419"/>
        <v>1.6738744948065778</v>
      </c>
      <c r="R418" s="361">
        <f t="shared" si="419"/>
        <v>1.8656168181866735</v>
      </c>
      <c r="S418" s="361">
        <f t="shared" si="419"/>
        <v>2.0793232247099591</v>
      </c>
      <c r="T418" s="361">
        <f t="shared" si="419"/>
        <v>2.3175097001004876</v>
      </c>
      <c r="U418" s="361">
        <f t="shared" si="419"/>
        <v>2.5829804362470012</v>
      </c>
      <c r="V418" s="362">
        <f t="shared" si="419"/>
        <v>2.8788608452190987</v>
      </c>
      <c r="X418" s="351"/>
    </row>
    <row r="419" spans="3:24" ht="24.75" customHeight="1" x14ac:dyDescent="0.3">
      <c r="C419" s="353">
        <f>ABS(E419-Dashboard!$F$14)</f>
        <v>201.81360020745171</v>
      </c>
      <c r="D419" s="350">
        <f t="shared" si="399"/>
        <v>0.11465000000000117</v>
      </c>
      <c r="E419" s="359" cm="1">
        <f t="array" ref="E419">1000*SUM('DRE + DCF'!$L$36/M419,'DRE + DCF'!$N$36:$V$36/N419:V419,F419/V419)/Dashboard!$F$11</f>
        <v>298.80360020745172</v>
      </c>
      <c r="F419" s="359">
        <f t="shared" si="397"/>
        <v>33873894.553447805</v>
      </c>
      <c r="G419" s="359">
        <f>'DRE + DCF'!$W$31</f>
        <v>2791623.3540418856</v>
      </c>
      <c r="H419" s="359">
        <f>'DRE + DCF'!$W$32</f>
        <v>81081.931703745853</v>
      </c>
      <c r="I419" s="359">
        <f>-H419*('DRE + DCF'!$V$33+K419)/'DRE + DCF'!$V$33</f>
        <v>-90858.801614444121</v>
      </c>
      <c r="J419" s="359">
        <f>-'DRE + DCF'!$V$56*L419</f>
        <v>-1188924.4255577971</v>
      </c>
      <c r="K419" s="360">
        <f>(1+L419)/(1+Ke!$O$12)-1</f>
        <v>2.0000000000000018E-2</v>
      </c>
      <c r="L419" s="360">
        <f>'DRE + DCF'!$Y$31</f>
        <v>7.3550000000000004E-2</v>
      </c>
      <c r="M419" s="361">
        <f>(1+D419)^((5-Dashboard!$F$9)*3/12)</f>
        <v>1.0848105253372664</v>
      </c>
      <c r="N419" s="361">
        <f t="shared" ref="N419:V419" si="420">M419*(1+$D419)</f>
        <v>1.2091840520671853</v>
      </c>
      <c r="O419" s="361">
        <f t="shared" si="420"/>
        <v>1.3478170036366897</v>
      </c>
      <c r="P419" s="361">
        <f t="shared" si="420"/>
        <v>1.5023442231036379</v>
      </c>
      <c r="Q419" s="361">
        <f t="shared" si="420"/>
        <v>1.6745879882824719</v>
      </c>
      <c r="R419" s="361">
        <f t="shared" si="420"/>
        <v>1.8665795011390593</v>
      </c>
      <c r="S419" s="361">
        <f t="shared" si="420"/>
        <v>2.080582840944655</v>
      </c>
      <c r="T419" s="361">
        <f t="shared" si="420"/>
        <v>2.3191216636589624</v>
      </c>
      <c r="U419" s="361">
        <f t="shared" si="420"/>
        <v>2.5850089623974655</v>
      </c>
      <c r="V419" s="362">
        <f t="shared" si="420"/>
        <v>2.881380239936338</v>
      </c>
      <c r="X419" s="351"/>
    </row>
    <row r="420" spans="3:24" ht="24.75" customHeight="1" x14ac:dyDescent="0.3">
      <c r="C420" s="353">
        <f>ABS(E420-Dashboard!$F$14)</f>
        <v>201.20328018790019</v>
      </c>
      <c r="D420" s="350">
        <f t="shared" si="399"/>
        <v>0.11475000000000117</v>
      </c>
      <c r="E420" s="359" cm="1">
        <f t="array" ref="E420">1000*SUM('DRE + DCF'!$L$36/M420,'DRE + DCF'!$N$36:$V$36/N420:V420,F420/V420)/Dashboard!$F$11</f>
        <v>298.1932801879002</v>
      </c>
      <c r="F420" s="359">
        <f t="shared" si="397"/>
        <v>33812009.660110697</v>
      </c>
      <c r="G420" s="359">
        <f>'DRE + DCF'!$W$31</f>
        <v>2791623.3540418856</v>
      </c>
      <c r="H420" s="359">
        <f>'DRE + DCF'!$W$32</f>
        <v>81081.931703745853</v>
      </c>
      <c r="I420" s="359">
        <f>-H420*('DRE + DCF'!$V$33+K420)/'DRE + DCF'!$V$33</f>
        <v>-90858.801614444121</v>
      </c>
      <c r="J420" s="359">
        <f>-'DRE + DCF'!$V$56*L420</f>
        <v>-1188924.4255577971</v>
      </c>
      <c r="K420" s="360">
        <f>(1+L420)/(1+Ke!$O$12)-1</f>
        <v>2.0000000000000018E-2</v>
      </c>
      <c r="L420" s="360">
        <f>'DRE + DCF'!$Y$31</f>
        <v>7.3550000000000004E-2</v>
      </c>
      <c r="M420" s="361">
        <f>(1+D420)^((5-Dashboard!$F$9)*3/12)</f>
        <v>1.0848835167489486</v>
      </c>
      <c r="N420" s="361">
        <f t="shared" ref="N420:V420" si="421">M420*(1+$D420)</f>
        <v>1.2093739002958916</v>
      </c>
      <c r="O420" s="361">
        <f t="shared" si="421"/>
        <v>1.3481495553548468</v>
      </c>
      <c r="P420" s="361">
        <f t="shared" si="421"/>
        <v>1.5028497168318171</v>
      </c>
      <c r="Q420" s="361">
        <f t="shared" si="421"/>
        <v>1.67530172183827</v>
      </c>
      <c r="R420" s="361">
        <f t="shared" si="421"/>
        <v>1.8675425944192134</v>
      </c>
      <c r="S420" s="361">
        <f t="shared" si="421"/>
        <v>2.0818431071288206</v>
      </c>
      <c r="T420" s="361">
        <f t="shared" si="421"/>
        <v>2.3207346036718555</v>
      </c>
      <c r="U420" s="361">
        <f t="shared" si="421"/>
        <v>2.5870388994432036</v>
      </c>
      <c r="V420" s="362">
        <f t="shared" si="421"/>
        <v>2.8839016131543143</v>
      </c>
      <c r="X420" s="351"/>
    </row>
    <row r="421" spans="3:24" ht="24.75" customHeight="1" x14ac:dyDescent="0.3">
      <c r="C421" s="353">
        <f>ABS(E421-Dashboard!$F$14)</f>
        <v>200.5954712076641</v>
      </c>
      <c r="D421" s="350">
        <f t="shared" si="399"/>
        <v>0.11485000000000117</v>
      </c>
      <c r="E421" s="359" cm="1">
        <f t="array" ref="E421">1000*SUM('DRE + DCF'!$L$36/M421,'DRE + DCF'!$N$36:$V$36/N421:V421,F421/V421)/Dashboard!$F$11</f>
        <v>297.58547120766411</v>
      </c>
      <c r="F421" s="359">
        <f t="shared" si="397"/>
        <v>33750389.128780678</v>
      </c>
      <c r="G421" s="359">
        <f>'DRE + DCF'!$W$31</f>
        <v>2791623.3540418856</v>
      </c>
      <c r="H421" s="359">
        <f>'DRE + DCF'!$W$32</f>
        <v>81081.931703745853</v>
      </c>
      <c r="I421" s="359">
        <f>-H421*('DRE + DCF'!$V$33+K421)/'DRE + DCF'!$V$33</f>
        <v>-90858.801614444121</v>
      </c>
      <c r="J421" s="359">
        <f>-'DRE + DCF'!$V$56*L421</f>
        <v>-1188924.4255577971</v>
      </c>
      <c r="K421" s="360">
        <f>(1+L421)/(1+Ke!$O$12)-1</f>
        <v>2.0000000000000018E-2</v>
      </c>
      <c r="L421" s="360">
        <f>'DRE + DCF'!$Y$31</f>
        <v>7.3550000000000004E-2</v>
      </c>
      <c r="M421" s="361">
        <f>(1+D421)^((5-Dashboard!$F$9)*3/12)</f>
        <v>1.0849565065237032</v>
      </c>
      <c r="N421" s="361">
        <f t="shared" ref="N421:V421" si="422">M421*(1+$D421)</f>
        <v>1.209563761297952</v>
      </c>
      <c r="O421" s="361">
        <f t="shared" si="422"/>
        <v>1.3484821592830232</v>
      </c>
      <c r="P421" s="361">
        <f t="shared" si="422"/>
        <v>1.50335533527668</v>
      </c>
      <c r="Q421" s="361">
        <f t="shared" si="422"/>
        <v>1.6760156955332086</v>
      </c>
      <c r="R421" s="361">
        <f t="shared" si="422"/>
        <v>1.8685060981651997</v>
      </c>
      <c r="S421" s="361">
        <f t="shared" si="422"/>
        <v>2.0831040235394753</v>
      </c>
      <c r="T421" s="361">
        <f t="shared" si="422"/>
        <v>2.3223485206429868</v>
      </c>
      <c r="U421" s="361">
        <f t="shared" si="422"/>
        <v>2.5890702482388366</v>
      </c>
      <c r="V421" s="362">
        <f t="shared" si="422"/>
        <v>2.88642496624907</v>
      </c>
      <c r="X421" s="351"/>
    </row>
    <row r="422" spans="3:24" ht="24.75" customHeight="1" x14ac:dyDescent="0.3">
      <c r="C422" s="353">
        <f>ABS(E422-Dashboard!$F$14)</f>
        <v>199.99015654083496</v>
      </c>
      <c r="D422" s="350">
        <f t="shared" si="399"/>
        <v>0.11495000000000118</v>
      </c>
      <c r="E422" s="359" cm="1">
        <f t="array" ref="E422">1000*SUM('DRE + DCF'!$L$36/M422,'DRE + DCF'!$N$36:$V$36/N422:V422,F422/V422)/Dashboard!$F$11</f>
        <v>296.98015654083497</v>
      </c>
      <c r="F422" s="359">
        <f t="shared" si="397"/>
        <v>33689031.1357546</v>
      </c>
      <c r="G422" s="359">
        <f>'DRE + DCF'!$W$31</f>
        <v>2791623.3540418856</v>
      </c>
      <c r="H422" s="359">
        <f>'DRE + DCF'!$W$32</f>
        <v>81081.931703745853</v>
      </c>
      <c r="I422" s="359">
        <f>-H422*('DRE + DCF'!$V$33+K422)/'DRE + DCF'!$V$33</f>
        <v>-90858.801614444121</v>
      </c>
      <c r="J422" s="359">
        <f>-'DRE + DCF'!$V$56*L422</f>
        <v>-1188924.4255577971</v>
      </c>
      <c r="K422" s="360">
        <f>(1+L422)/(1+Ke!$O$12)-1</f>
        <v>2.0000000000000018E-2</v>
      </c>
      <c r="L422" s="360">
        <f>'DRE + DCF'!$Y$31</f>
        <v>7.3550000000000004E-2</v>
      </c>
      <c r="M422" s="361">
        <f>(1+D422)^((5-Dashboard!$F$9)*3/12)</f>
        <v>1.0850294946617143</v>
      </c>
      <c r="N422" s="361">
        <f t="shared" ref="N422:V422" si="423">M422*(1+$D422)</f>
        <v>1.2097536350730798</v>
      </c>
      <c r="O422" s="361">
        <f t="shared" si="423"/>
        <v>1.3488148154247317</v>
      </c>
      <c r="P422" s="361">
        <f t="shared" si="423"/>
        <v>1.5038610784578061</v>
      </c>
      <c r="Q422" s="361">
        <f t="shared" si="423"/>
        <v>1.6767299094265329</v>
      </c>
      <c r="R422" s="361">
        <f t="shared" si="423"/>
        <v>1.8694700125151149</v>
      </c>
      <c r="S422" s="361">
        <f t="shared" si="423"/>
        <v>2.0843655904537295</v>
      </c>
      <c r="T422" s="361">
        <f t="shared" si="423"/>
        <v>2.3239634150763884</v>
      </c>
      <c r="U422" s="361">
        <f t="shared" si="423"/>
        <v>2.5911030096394221</v>
      </c>
      <c r="V422" s="362">
        <f t="shared" si="423"/>
        <v>2.8889503005974766</v>
      </c>
      <c r="X422" s="351"/>
    </row>
    <row r="423" spans="3:24" ht="24.75" customHeight="1" x14ac:dyDescent="0.3">
      <c r="C423" s="353">
        <f>ABS(E423-Dashboard!$F$14)</f>
        <v>199.38731961720782</v>
      </c>
      <c r="D423" s="350">
        <f t="shared" si="399"/>
        <v>0.11505000000000118</v>
      </c>
      <c r="E423" s="359" cm="1">
        <f t="array" ref="E423">1000*SUM('DRE + DCF'!$L$36/M423,'DRE + DCF'!$N$36:$V$36/N423:V423,F423/V423)/Dashboard!$F$11</f>
        <v>296.37731961720783</v>
      </c>
      <c r="F423" s="359">
        <f t="shared" si="397"/>
        <v>33627933.874588273</v>
      </c>
      <c r="G423" s="359">
        <f>'DRE + DCF'!$W$31</f>
        <v>2791623.3540418856</v>
      </c>
      <c r="H423" s="359">
        <f>'DRE + DCF'!$W$32</f>
        <v>81081.931703745853</v>
      </c>
      <c r="I423" s="359">
        <f>-H423*('DRE + DCF'!$V$33+K423)/'DRE + DCF'!$V$33</f>
        <v>-90858.801614444121</v>
      </c>
      <c r="J423" s="359">
        <f>-'DRE + DCF'!$V$56*L423</f>
        <v>-1188924.4255577971</v>
      </c>
      <c r="K423" s="360">
        <f>(1+L423)/(1+Ke!$O$12)-1</f>
        <v>2.0000000000000018E-2</v>
      </c>
      <c r="L423" s="360">
        <f>'DRE + DCF'!$Y$31</f>
        <v>7.3550000000000004E-2</v>
      </c>
      <c r="M423" s="361">
        <f>(1+D423)^((5-Dashboard!$F$9)*3/12)</f>
        <v>1.0851024811631647</v>
      </c>
      <c r="N423" s="361">
        <f t="shared" ref="N423:V423" si="424">M423*(1+$D423)</f>
        <v>1.2099435216209879</v>
      </c>
      <c r="O423" s="361">
        <f t="shared" si="424"/>
        <v>1.349147523783484</v>
      </c>
      <c r="P423" s="361">
        <f t="shared" si="424"/>
        <v>1.5043669463947755</v>
      </c>
      <c r="Q423" s="361">
        <f t="shared" si="424"/>
        <v>1.6774443635774963</v>
      </c>
      <c r="R423" s="361">
        <f t="shared" si="424"/>
        <v>1.8704343376070893</v>
      </c>
      <c r="S423" s="361">
        <f t="shared" si="424"/>
        <v>2.0856278081487871</v>
      </c>
      <c r="T423" s="361">
        <f t="shared" si="424"/>
        <v>2.3255792874763075</v>
      </c>
      <c r="U423" s="361">
        <f t="shared" si="424"/>
        <v>2.5931371845004594</v>
      </c>
      <c r="V423" s="362">
        <f t="shared" si="424"/>
        <v>2.8914776175772405</v>
      </c>
      <c r="X423" s="351"/>
    </row>
    <row r="424" spans="3:24" ht="24.75" customHeight="1" x14ac:dyDescent="0.3">
      <c r="C424" s="353">
        <f>ABS(E424-Dashboard!$F$14)</f>
        <v>198.78694402043328</v>
      </c>
      <c r="D424" s="350">
        <f t="shared" si="399"/>
        <v>0.11515000000000118</v>
      </c>
      <c r="E424" s="359" cm="1">
        <f t="array" ref="E424">1000*SUM('DRE + DCF'!$L$36/M424,'DRE + DCF'!$N$36:$V$36/N424:V424,F424/V424)/Dashboard!$F$11</f>
        <v>295.77694402043329</v>
      </c>
      <c r="F424" s="359">
        <f t="shared" si="397"/>
        <v>33567095.555890307</v>
      </c>
      <c r="G424" s="359">
        <f>'DRE + DCF'!$W$31</f>
        <v>2791623.3540418856</v>
      </c>
      <c r="H424" s="359">
        <f>'DRE + DCF'!$W$32</f>
        <v>81081.931703745853</v>
      </c>
      <c r="I424" s="359">
        <f>-H424*('DRE + DCF'!$V$33+K424)/'DRE + DCF'!$V$33</f>
        <v>-90858.801614444121</v>
      </c>
      <c r="J424" s="359">
        <f>-'DRE + DCF'!$V$56*L424</f>
        <v>-1188924.4255577971</v>
      </c>
      <c r="K424" s="360">
        <f>(1+L424)/(1+Ke!$O$12)-1</f>
        <v>2.0000000000000018E-2</v>
      </c>
      <c r="L424" s="360">
        <f>'DRE + DCF'!$Y$31</f>
        <v>7.3550000000000004E-2</v>
      </c>
      <c r="M424" s="361">
        <f>(1+D424)^((5-Dashboard!$F$9)*3/12)</f>
        <v>1.0851754660282382</v>
      </c>
      <c r="N424" s="361">
        <f t="shared" ref="N424:V424" si="425">M424*(1+$D424)</f>
        <v>1.2101334209413912</v>
      </c>
      <c r="O424" s="361">
        <f t="shared" si="425"/>
        <v>1.3494802843627938</v>
      </c>
      <c r="P424" s="361">
        <f t="shared" si="425"/>
        <v>1.5048729391071711</v>
      </c>
      <c r="Q424" s="361">
        <f t="shared" si="425"/>
        <v>1.6781590580453636</v>
      </c>
      <c r="R424" s="361">
        <f t="shared" si="425"/>
        <v>1.8713990735792891</v>
      </c>
      <c r="S424" s="361">
        <f t="shared" si="425"/>
        <v>2.0868906769019464</v>
      </c>
      <c r="T424" s="361">
        <f t="shared" si="425"/>
        <v>2.3271961383472082</v>
      </c>
      <c r="U424" s="361">
        <f t="shared" si="425"/>
        <v>2.5951727736778918</v>
      </c>
      <c r="V424" s="362">
        <f t="shared" si="425"/>
        <v>2.894006918566904</v>
      </c>
      <c r="X424" s="351"/>
    </row>
    <row r="425" spans="3:24" ht="24.75" customHeight="1" x14ac:dyDescent="0.3">
      <c r="C425" s="353">
        <f>ABS(E425-Dashboard!$F$14)</f>
        <v>198.18901348619755</v>
      </c>
      <c r="D425" s="350">
        <f t="shared" si="399"/>
        <v>0.11525000000000118</v>
      </c>
      <c r="E425" s="359" cm="1">
        <f t="array" ref="E425">1000*SUM('DRE + DCF'!$L$36/M425,'DRE + DCF'!$N$36:$V$36/N425:V425,F425/V425)/Dashboard!$F$11</f>
        <v>295.17901348619756</v>
      </c>
      <c r="F425" s="359">
        <f t="shared" si="397"/>
        <v>33506514.407119047</v>
      </c>
      <c r="G425" s="359">
        <f>'DRE + DCF'!$W$31</f>
        <v>2791623.3540418856</v>
      </c>
      <c r="H425" s="359">
        <f>'DRE + DCF'!$W$32</f>
        <v>81081.931703745853</v>
      </c>
      <c r="I425" s="359">
        <f>-H425*('DRE + DCF'!$V$33+K425)/'DRE + DCF'!$V$33</f>
        <v>-90858.801614444121</v>
      </c>
      <c r="J425" s="359">
        <f>-'DRE + DCF'!$V$56*L425</f>
        <v>-1188924.4255577971</v>
      </c>
      <c r="K425" s="360">
        <f>(1+L425)/(1+Ke!$O$12)-1</f>
        <v>2.0000000000000018E-2</v>
      </c>
      <c r="L425" s="360">
        <f>'DRE + DCF'!$Y$31</f>
        <v>7.3550000000000004E-2</v>
      </c>
      <c r="M425" s="361">
        <f>(1+D425)^((5-Dashboard!$F$9)*3/12)</f>
        <v>1.0852484492571184</v>
      </c>
      <c r="N425" s="361">
        <f t="shared" ref="N425:V425" si="426">M425*(1+$D425)</f>
        <v>1.2103233330340026</v>
      </c>
      <c r="O425" s="361">
        <f t="shared" si="426"/>
        <v>1.3498130971661728</v>
      </c>
      <c r="P425" s="361">
        <f t="shared" si="426"/>
        <v>1.5053790566145759</v>
      </c>
      <c r="Q425" s="361">
        <f t="shared" si="426"/>
        <v>1.6788739928894076</v>
      </c>
      <c r="R425" s="361">
        <f t="shared" si="426"/>
        <v>1.8723642205699138</v>
      </c>
      <c r="S425" s="361">
        <f t="shared" si="426"/>
        <v>2.0881541969905988</v>
      </c>
      <c r="T425" s="361">
        <f t="shared" si="426"/>
        <v>2.3288139681937676</v>
      </c>
      <c r="U425" s="361">
        <f t="shared" si="426"/>
        <v>2.5972097780281023</v>
      </c>
      <c r="V425" s="362">
        <f t="shared" si="426"/>
        <v>2.8965382049458444</v>
      </c>
      <c r="X425" s="351"/>
    </row>
    <row r="426" spans="3:24" ht="24.75" customHeight="1" x14ac:dyDescent="0.3">
      <c r="C426" s="353">
        <f>ABS(E426-Dashboard!$F$14)</f>
        <v>197.59351190042861</v>
      </c>
      <c r="D426" s="350">
        <f t="shared" si="399"/>
        <v>0.11535000000000119</v>
      </c>
      <c r="E426" s="359" cm="1">
        <f t="array" ref="E426">1000*SUM('DRE + DCF'!$L$36/M426,'DRE + DCF'!$N$36:$V$36/N426:V426,F426/V426)/Dashboard!$F$11</f>
        <v>294.58351190042862</v>
      </c>
      <c r="F426" s="359">
        <f t="shared" si="397"/>
        <v>33446188.672382426</v>
      </c>
      <c r="G426" s="359">
        <f>'DRE + DCF'!$W$31</f>
        <v>2791623.3540418856</v>
      </c>
      <c r="H426" s="359">
        <f>'DRE + DCF'!$W$32</f>
        <v>81081.931703745853</v>
      </c>
      <c r="I426" s="359">
        <f>-H426*('DRE + DCF'!$V$33+K426)/'DRE + DCF'!$V$33</f>
        <v>-90858.801614444121</v>
      </c>
      <c r="J426" s="359">
        <f>-'DRE + DCF'!$V$56*L426</f>
        <v>-1188924.4255577971</v>
      </c>
      <c r="K426" s="360">
        <f>(1+L426)/(1+Ke!$O$12)-1</f>
        <v>2.0000000000000018E-2</v>
      </c>
      <c r="L426" s="360">
        <f>'DRE + DCF'!$Y$31</f>
        <v>7.3550000000000004E-2</v>
      </c>
      <c r="M426" s="361">
        <f>(1+D426)^((5-Dashboard!$F$9)*3/12)</f>
        <v>1.0853214308499883</v>
      </c>
      <c r="N426" s="361">
        <f t="shared" ref="N426:V426" si="427">M426*(1+$D426)</f>
        <v>1.2105132578985358</v>
      </c>
      <c r="O426" s="361">
        <f t="shared" si="427"/>
        <v>1.3501459621971332</v>
      </c>
      <c r="P426" s="361">
        <f t="shared" si="427"/>
        <v>1.5058852989365741</v>
      </c>
      <c r="Q426" s="361">
        <f t="shared" si="427"/>
        <v>1.6795891681689097</v>
      </c>
      <c r="R426" s="361">
        <f t="shared" si="427"/>
        <v>1.8733297787171954</v>
      </c>
      <c r="S426" s="361">
        <f t="shared" si="427"/>
        <v>2.0894183686922263</v>
      </c>
      <c r="T426" s="361">
        <f t="shared" si="427"/>
        <v>2.3304327775208771</v>
      </c>
      <c r="U426" s="361">
        <f t="shared" si="427"/>
        <v>2.599248198407913</v>
      </c>
      <c r="V426" s="362">
        <f t="shared" si="427"/>
        <v>2.8990714780942688</v>
      </c>
      <c r="X426" s="351"/>
    </row>
    <row r="427" spans="3:24" ht="24.75" customHeight="1" x14ac:dyDescent="0.3">
      <c r="C427" s="353">
        <f>ABS(E427-Dashboard!$F$14)</f>
        <v>197.00042329752563</v>
      </c>
      <c r="D427" s="350">
        <f t="shared" si="399"/>
        <v>0.11545000000000119</v>
      </c>
      <c r="E427" s="359" cm="1">
        <f t="array" ref="E427">1000*SUM('DRE + DCF'!$L$36/M427,'DRE + DCF'!$N$36:$V$36/N427:V427,F427/V427)/Dashboard!$F$11</f>
        <v>293.99042329752564</v>
      </c>
      <c r="F427" s="359">
        <f t="shared" si="397"/>
        <v>33386116.61224056</v>
      </c>
      <c r="G427" s="359">
        <f>'DRE + DCF'!$W$31</f>
        <v>2791623.3540418856</v>
      </c>
      <c r="H427" s="359">
        <f>'DRE + DCF'!$W$32</f>
        <v>81081.931703745853</v>
      </c>
      <c r="I427" s="359">
        <f>-H427*('DRE + DCF'!$V$33+K427)/'DRE + DCF'!$V$33</f>
        <v>-90858.801614444121</v>
      </c>
      <c r="J427" s="359">
        <f>-'DRE + DCF'!$V$56*L427</f>
        <v>-1188924.4255577971</v>
      </c>
      <c r="K427" s="360">
        <f>(1+L427)/(1+Ke!$O$12)-1</f>
        <v>2.0000000000000018E-2</v>
      </c>
      <c r="L427" s="360">
        <f>'DRE + DCF'!$Y$31</f>
        <v>7.3550000000000004E-2</v>
      </c>
      <c r="M427" s="361">
        <f>(1+D427)^((5-Dashboard!$F$9)*3/12)</f>
        <v>1.0853944108070315</v>
      </c>
      <c r="N427" s="361">
        <f t="shared" ref="N427:V427" si="428">M427*(1+$D427)</f>
        <v>1.2107031955347045</v>
      </c>
      <c r="O427" s="361">
        <f t="shared" si="428"/>
        <v>1.3504788794591875</v>
      </c>
      <c r="P427" s="361">
        <f t="shared" si="428"/>
        <v>1.5063916660927523</v>
      </c>
      <c r="Q427" s="361">
        <f t="shared" si="428"/>
        <v>1.6803045839431623</v>
      </c>
      <c r="R427" s="361">
        <f t="shared" si="428"/>
        <v>1.8742957481594023</v>
      </c>
      <c r="S427" s="361">
        <f t="shared" si="428"/>
        <v>2.0906831922844074</v>
      </c>
      <c r="T427" s="361">
        <f t="shared" si="428"/>
        <v>2.3320525668336445</v>
      </c>
      <c r="U427" s="361">
        <f t="shared" si="428"/>
        <v>2.6012880356745915</v>
      </c>
      <c r="V427" s="362">
        <f t="shared" si="428"/>
        <v>2.9016067393932263</v>
      </c>
      <c r="X427" s="351"/>
    </row>
    <row r="428" spans="3:24" ht="24.75" customHeight="1" x14ac:dyDescent="0.3">
      <c r="C428" s="353">
        <f>ABS(E428-Dashboard!$F$14)</f>
        <v>196.40973185861617</v>
      </c>
      <c r="D428" s="350">
        <f t="shared" si="399"/>
        <v>0.11555000000000119</v>
      </c>
      <c r="E428" s="359" cm="1">
        <f t="array" ref="E428">1000*SUM('DRE + DCF'!$L$36/M428,'DRE + DCF'!$N$36:$V$36/N428:V428,F428/V428)/Dashboard!$F$11</f>
        <v>293.39973185861618</v>
      </c>
      <c r="F428" s="359">
        <f t="shared" si="397"/>
        <v>33326296.503511272</v>
      </c>
      <c r="G428" s="359">
        <f>'DRE + DCF'!$W$31</f>
        <v>2791623.3540418856</v>
      </c>
      <c r="H428" s="359">
        <f>'DRE + DCF'!$W$32</f>
        <v>81081.931703745853</v>
      </c>
      <c r="I428" s="359">
        <f>-H428*('DRE + DCF'!$V$33+K428)/'DRE + DCF'!$V$33</f>
        <v>-90858.801614444121</v>
      </c>
      <c r="J428" s="359">
        <f>-'DRE + DCF'!$V$56*L428</f>
        <v>-1188924.4255577971</v>
      </c>
      <c r="K428" s="360">
        <f>(1+L428)/(1+Ke!$O$12)-1</f>
        <v>2.0000000000000018E-2</v>
      </c>
      <c r="L428" s="360">
        <f>'DRE + DCF'!$Y$31</f>
        <v>7.3550000000000004E-2</v>
      </c>
      <c r="M428" s="361">
        <f>(1+D428)^((5-Dashboard!$F$9)*3/12)</f>
        <v>1.0854673891284312</v>
      </c>
      <c r="N428" s="361">
        <f t="shared" ref="N428:V428" si="429">M428*(1+$D428)</f>
        <v>1.2108931459422227</v>
      </c>
      <c r="O428" s="361">
        <f t="shared" si="429"/>
        <v>1.350811848955848</v>
      </c>
      <c r="P428" s="361">
        <f t="shared" si="429"/>
        <v>1.5068981581026979</v>
      </c>
      <c r="Q428" s="361">
        <f t="shared" si="429"/>
        <v>1.6810202402714665</v>
      </c>
      <c r="R428" s="361">
        <f t="shared" si="429"/>
        <v>1.8752621290348364</v>
      </c>
      <c r="S428" s="361">
        <f t="shared" si="429"/>
        <v>2.0919486680448141</v>
      </c>
      <c r="T428" s="361">
        <f t="shared" si="429"/>
        <v>2.3336733366373945</v>
      </c>
      <c r="U428" s="361">
        <f t="shared" si="429"/>
        <v>2.6033292906858483</v>
      </c>
      <c r="V428" s="362">
        <f t="shared" si="429"/>
        <v>2.9041439902246009</v>
      </c>
      <c r="X428" s="351"/>
    </row>
    <row r="429" spans="3:24" ht="24.75" customHeight="1" x14ac:dyDescent="0.3">
      <c r="C429" s="353">
        <f>ABS(E429-Dashboard!$F$14)</f>
        <v>195.82142190983745</v>
      </c>
      <c r="D429" s="350">
        <f t="shared" si="399"/>
        <v>0.1156500000000012</v>
      </c>
      <c r="E429" s="359" cm="1">
        <f t="array" ref="E429">1000*SUM('DRE + DCF'!$L$36/M429,'DRE + DCF'!$N$36:$V$36/N429:V429,F429/V429)/Dashboard!$F$11</f>
        <v>292.81142190983746</v>
      </c>
      <c r="F429" s="359">
        <f t="shared" si="397"/>
        <v>33266726.639078353</v>
      </c>
      <c r="G429" s="359">
        <f>'DRE + DCF'!$W$31</f>
        <v>2791623.3540418856</v>
      </c>
      <c r="H429" s="359">
        <f>'DRE + DCF'!$W$32</f>
        <v>81081.931703745853</v>
      </c>
      <c r="I429" s="359">
        <f>-H429*('DRE + DCF'!$V$33+K429)/'DRE + DCF'!$V$33</f>
        <v>-90858.801614444121</v>
      </c>
      <c r="J429" s="359">
        <f>-'DRE + DCF'!$V$56*L429</f>
        <v>-1188924.4255577971</v>
      </c>
      <c r="K429" s="360">
        <f>(1+L429)/(1+Ke!$O$12)-1</f>
        <v>2.0000000000000018E-2</v>
      </c>
      <c r="L429" s="360">
        <f>'DRE + DCF'!$Y$31</f>
        <v>7.3550000000000004E-2</v>
      </c>
      <c r="M429" s="361">
        <f>(1+D429)^((5-Dashboard!$F$9)*3/12)</f>
        <v>1.0855403658143707</v>
      </c>
      <c r="N429" s="361">
        <f t="shared" ref="N429:V429" si="430">M429*(1+$D429)</f>
        <v>1.2110831091208039</v>
      </c>
      <c r="O429" s="361">
        <f t="shared" si="430"/>
        <v>1.3511448706906262</v>
      </c>
      <c r="P429" s="361">
        <f t="shared" si="430"/>
        <v>1.5074047749859987</v>
      </c>
      <c r="Q429" s="361">
        <f t="shared" si="430"/>
        <v>1.6817361372131312</v>
      </c>
      <c r="R429" s="361">
        <f t="shared" si="430"/>
        <v>1.8762289214818317</v>
      </c>
      <c r="S429" s="361">
        <f t="shared" si="430"/>
        <v>2.0932147962512078</v>
      </c>
      <c r="T429" s="361">
        <f t="shared" si="430"/>
        <v>2.3352950874376623</v>
      </c>
      <c r="U429" s="361">
        <f t="shared" si="430"/>
        <v>2.6053719642998305</v>
      </c>
      <c r="V429" s="362">
        <f t="shared" si="430"/>
        <v>2.9066832319711091</v>
      </c>
      <c r="X429" s="351"/>
    </row>
    <row r="430" spans="3:24" ht="24.75" customHeight="1" x14ac:dyDescent="0.3">
      <c r="C430" s="353">
        <f>ABS(E430-Dashboard!$F$14)</f>
        <v>195.23547792064056</v>
      </c>
      <c r="D430" s="350">
        <f t="shared" si="399"/>
        <v>0.1157500000000012</v>
      </c>
      <c r="E430" s="359" cm="1">
        <f t="array" ref="E430">1000*SUM('DRE + DCF'!$L$36/M430,'DRE + DCF'!$N$36:$V$36/N430:V430,F430/V430)/Dashboard!$F$11</f>
        <v>292.22547792064057</v>
      </c>
      <c r="F430" s="359">
        <f t="shared" si="397"/>
        <v>33207405.32770247</v>
      </c>
      <c r="G430" s="359">
        <f>'DRE + DCF'!$W$31</f>
        <v>2791623.3540418856</v>
      </c>
      <c r="H430" s="359">
        <f>'DRE + DCF'!$W$32</f>
        <v>81081.931703745853</v>
      </c>
      <c r="I430" s="359">
        <f>-H430*('DRE + DCF'!$V$33+K430)/'DRE + DCF'!$V$33</f>
        <v>-90858.801614444121</v>
      </c>
      <c r="J430" s="359">
        <f>-'DRE + DCF'!$V$56*L430</f>
        <v>-1188924.4255577971</v>
      </c>
      <c r="K430" s="360">
        <f>(1+L430)/(1+Ke!$O$12)-1</f>
        <v>2.0000000000000018E-2</v>
      </c>
      <c r="L430" s="360">
        <f>'DRE + DCF'!$Y$31</f>
        <v>7.3550000000000004E-2</v>
      </c>
      <c r="M430" s="361">
        <f>(1+D430)^((5-Dashboard!$F$9)*3/12)</f>
        <v>1.0856133408650335</v>
      </c>
      <c r="N430" s="361">
        <f t="shared" ref="N430:V430" si="431">M430*(1+$D430)</f>
        <v>1.2112730850701623</v>
      </c>
      <c r="O430" s="361">
        <f t="shared" si="431"/>
        <v>1.3514779446670349</v>
      </c>
      <c r="P430" s="361">
        <f t="shared" si="431"/>
        <v>1.5079115167622457</v>
      </c>
      <c r="Q430" s="361">
        <f t="shared" si="431"/>
        <v>1.6824522748274773</v>
      </c>
      <c r="R430" s="361">
        <f t="shared" si="431"/>
        <v>1.8771961256387597</v>
      </c>
      <c r="S430" s="361">
        <f t="shared" si="431"/>
        <v>2.0944815771814485</v>
      </c>
      <c r="T430" s="361">
        <f t="shared" si="431"/>
        <v>2.3369178197402034</v>
      </c>
      <c r="U430" s="361">
        <f t="shared" si="431"/>
        <v>2.6074160573751346</v>
      </c>
      <c r="V430" s="362">
        <f t="shared" si="431"/>
        <v>2.9092244660163096</v>
      </c>
      <c r="X430" s="351"/>
    </row>
    <row r="431" spans="3:24" ht="24.75" customHeight="1" x14ac:dyDescent="0.3">
      <c r="C431" s="353">
        <f>ABS(E431-Dashboard!$F$14)</f>
        <v>194.65188450212037</v>
      </c>
      <c r="D431" s="350">
        <f t="shared" si="399"/>
        <v>0.1158500000000012</v>
      </c>
      <c r="E431" s="359" cm="1">
        <f t="array" ref="E431">1000*SUM('DRE + DCF'!$L$36/M431,'DRE + DCF'!$N$36:$V$36/N431:V431,F431/V431)/Dashboard!$F$11</f>
        <v>291.64188450212038</v>
      </c>
      <c r="F431" s="359">
        <f t="shared" si="397"/>
        <v>33148330.893834863</v>
      </c>
      <c r="G431" s="359">
        <f>'DRE + DCF'!$W$31</f>
        <v>2791623.3540418856</v>
      </c>
      <c r="H431" s="359">
        <f>'DRE + DCF'!$W$32</f>
        <v>81081.931703745853</v>
      </c>
      <c r="I431" s="359">
        <f>-H431*('DRE + DCF'!$V$33+K431)/'DRE + DCF'!$V$33</f>
        <v>-90858.801614444121</v>
      </c>
      <c r="J431" s="359">
        <f>-'DRE + DCF'!$V$56*L431</f>
        <v>-1188924.4255577971</v>
      </c>
      <c r="K431" s="360">
        <f>(1+L431)/(1+Ke!$O$12)-1</f>
        <v>2.0000000000000018E-2</v>
      </c>
      <c r="L431" s="360">
        <f>'DRE + DCF'!$Y$31</f>
        <v>7.3550000000000004E-2</v>
      </c>
      <c r="M431" s="361">
        <f>(1+D431)^((5-Dashboard!$F$9)*3/12)</f>
        <v>1.0856863142806024</v>
      </c>
      <c r="N431" s="361">
        <f t="shared" ref="N431:V431" si="432">M431*(1+$D431)</f>
        <v>1.2114630737900114</v>
      </c>
      <c r="O431" s="361">
        <f t="shared" si="432"/>
        <v>1.3518110708885855</v>
      </c>
      <c r="P431" s="361">
        <f t="shared" si="432"/>
        <v>1.5084183834510296</v>
      </c>
      <c r="Q431" s="361">
        <f t="shared" si="432"/>
        <v>1.683168653173833</v>
      </c>
      <c r="R431" s="361">
        <f t="shared" si="432"/>
        <v>1.8781637416440236</v>
      </c>
      <c r="S431" s="361">
        <f t="shared" si="432"/>
        <v>2.0957490111134858</v>
      </c>
      <c r="T431" s="361">
        <f t="shared" si="432"/>
        <v>2.3385415340509854</v>
      </c>
      <c r="U431" s="361">
        <f t="shared" si="432"/>
        <v>2.6094615707707947</v>
      </c>
      <c r="V431" s="362">
        <f t="shared" si="432"/>
        <v>2.911767693744594</v>
      </c>
      <c r="X431" s="351"/>
    </row>
    <row r="432" spans="3:24" ht="24.75" customHeight="1" x14ac:dyDescent="0.3">
      <c r="C432" s="353">
        <f>ABS(E432-Dashboard!$F$14)</f>
        <v>194.07062640536765</v>
      </c>
      <c r="D432" s="350">
        <f t="shared" si="399"/>
        <v>0.1159500000000012</v>
      </c>
      <c r="E432" s="359" cm="1">
        <f t="array" ref="E432">1000*SUM('DRE + DCF'!$L$36/M432,'DRE + DCF'!$N$36:$V$36/N432:V432,F432/V432)/Dashboard!$F$11</f>
        <v>291.06062640536766</v>
      </c>
      <c r="F432" s="359">
        <f t="shared" si="397"/>
        <v>33089501.677433584</v>
      </c>
      <c r="G432" s="359">
        <f>'DRE + DCF'!$W$31</f>
        <v>2791623.3540418856</v>
      </c>
      <c r="H432" s="359">
        <f>'DRE + DCF'!$W$32</f>
        <v>81081.931703745853</v>
      </c>
      <c r="I432" s="359">
        <f>-H432*('DRE + DCF'!$V$33+K432)/'DRE + DCF'!$V$33</f>
        <v>-90858.801614444121</v>
      </c>
      <c r="J432" s="359">
        <f>-'DRE + DCF'!$V$56*L432</f>
        <v>-1188924.4255577971</v>
      </c>
      <c r="K432" s="360">
        <f>(1+L432)/(1+Ke!$O$12)-1</f>
        <v>2.0000000000000018E-2</v>
      </c>
      <c r="L432" s="360">
        <f>'DRE + DCF'!$Y$31</f>
        <v>7.3550000000000004E-2</v>
      </c>
      <c r="M432" s="361">
        <f>(1+D432)^((5-Dashboard!$F$9)*3/12)</f>
        <v>1.0857592860612606</v>
      </c>
      <c r="N432" s="361">
        <f t="shared" ref="N432:V432" si="433">M432*(1+$D432)</f>
        <v>1.2116530752800649</v>
      </c>
      <c r="O432" s="361">
        <f t="shared" si="433"/>
        <v>1.3521442493587899</v>
      </c>
      <c r="P432" s="361">
        <f t="shared" si="433"/>
        <v>1.5089253750719431</v>
      </c>
      <c r="Q432" s="361">
        <f t="shared" si="433"/>
        <v>1.6838852723115365</v>
      </c>
      <c r="R432" s="361">
        <f t="shared" si="433"/>
        <v>1.879131769636061</v>
      </c>
      <c r="S432" s="361">
        <f t="shared" si="433"/>
        <v>2.0970170983253644</v>
      </c>
      <c r="T432" s="361">
        <f t="shared" si="433"/>
        <v>2.3401662308761928</v>
      </c>
      <c r="U432" s="361">
        <f t="shared" si="433"/>
        <v>2.6115085053462899</v>
      </c>
      <c r="V432" s="362">
        <f t="shared" si="433"/>
        <v>2.9143129165411952</v>
      </c>
      <c r="X432" s="351"/>
    </row>
    <row r="433" spans="3:24" ht="24.75" customHeight="1" x14ac:dyDescent="0.3">
      <c r="C433" s="353">
        <f>ABS(E433-Dashboard!$F$14)</f>
        <v>193.49168851984507</v>
      </c>
      <c r="D433" s="350">
        <f t="shared" si="399"/>
        <v>0.11605000000000121</v>
      </c>
      <c r="E433" s="359" cm="1">
        <f t="array" ref="E433">1000*SUM('DRE + DCF'!$L$36/M433,'DRE + DCF'!$N$36:$V$36/N433:V433,F433/V433)/Dashboard!$F$11</f>
        <v>290.48168851984508</v>
      </c>
      <c r="F433" s="359">
        <f t="shared" si="397"/>
        <v>33030916.033782363</v>
      </c>
      <c r="G433" s="359">
        <f>'DRE + DCF'!$W$31</f>
        <v>2791623.3540418856</v>
      </c>
      <c r="H433" s="359">
        <f>'DRE + DCF'!$W$32</f>
        <v>81081.931703745853</v>
      </c>
      <c r="I433" s="359">
        <f>-H433*('DRE + DCF'!$V$33+K433)/'DRE + DCF'!$V$33</f>
        <v>-90858.801614444121</v>
      </c>
      <c r="J433" s="359">
        <f>-'DRE + DCF'!$V$56*L433</f>
        <v>-1188924.4255577971</v>
      </c>
      <c r="K433" s="360">
        <f>(1+L433)/(1+Ke!$O$12)-1</f>
        <v>2.0000000000000018E-2</v>
      </c>
      <c r="L433" s="360">
        <f>'DRE + DCF'!$Y$31</f>
        <v>7.3550000000000004E-2</v>
      </c>
      <c r="M433" s="361">
        <f>(1+D433)^((5-Dashboard!$F$9)*3/12)</f>
        <v>1.0858322562071918</v>
      </c>
      <c r="N433" s="361">
        <f t="shared" ref="N433:V433" si="434">M433*(1+$D433)</f>
        <v>1.2118430895400378</v>
      </c>
      <c r="O433" s="361">
        <f t="shared" si="434"/>
        <v>1.3524774800811608</v>
      </c>
      <c r="P433" s="361">
        <f t="shared" si="434"/>
        <v>1.5094324916445812</v>
      </c>
      <c r="Q433" s="361">
        <f t="shared" si="434"/>
        <v>1.6846021322999367</v>
      </c>
      <c r="R433" s="361">
        <f t="shared" si="434"/>
        <v>1.8801002097533466</v>
      </c>
      <c r="S433" s="361">
        <f t="shared" si="434"/>
        <v>2.098285839095225</v>
      </c>
      <c r="T433" s="361">
        <f t="shared" si="434"/>
        <v>2.3417919107222285</v>
      </c>
      <c r="U433" s="361">
        <f t="shared" si="434"/>
        <v>2.6135568619615461</v>
      </c>
      <c r="V433" s="362">
        <f t="shared" si="434"/>
        <v>2.9168601357921871</v>
      </c>
      <c r="X433" s="351"/>
    </row>
    <row r="434" spans="3:24" ht="24.75" customHeight="1" x14ac:dyDescent="0.3">
      <c r="C434" s="353">
        <f>ABS(E434-Dashboard!$F$14)</f>
        <v>192.91505587178693</v>
      </c>
      <c r="D434" s="350">
        <f t="shared" si="399"/>
        <v>0.11615000000000121</v>
      </c>
      <c r="E434" s="359" cm="1">
        <f t="array" ref="E434">1000*SUM('DRE + DCF'!$L$36/M434,'DRE + DCF'!$N$36:$V$36/N434:V434,F434/V434)/Dashboard!$F$11</f>
        <v>289.90505587178694</v>
      </c>
      <c r="F434" s="359">
        <f t="shared" si="397"/>
        <v>32972572.333312005</v>
      </c>
      <c r="G434" s="359">
        <f>'DRE + DCF'!$W$31</f>
        <v>2791623.3540418856</v>
      </c>
      <c r="H434" s="359">
        <f>'DRE + DCF'!$W$32</f>
        <v>81081.931703745853</v>
      </c>
      <c r="I434" s="359">
        <f>-H434*('DRE + DCF'!$V$33+K434)/'DRE + DCF'!$V$33</f>
        <v>-90858.801614444121</v>
      </c>
      <c r="J434" s="359">
        <f>-'DRE + DCF'!$V$56*L434</f>
        <v>-1188924.4255577971</v>
      </c>
      <c r="K434" s="360">
        <f>(1+L434)/(1+Ke!$O$12)-1</f>
        <v>2.0000000000000018E-2</v>
      </c>
      <c r="L434" s="360">
        <f>'DRE + DCF'!$Y$31</f>
        <v>7.3550000000000004E-2</v>
      </c>
      <c r="M434" s="361">
        <f>(1+D434)^((5-Dashboard!$F$9)*3/12)</f>
        <v>1.0859052247185783</v>
      </c>
      <c r="N434" s="361">
        <f t="shared" ref="N434:V434" si="435">M434*(1+$D434)</f>
        <v>1.2120331165696425</v>
      </c>
      <c r="O434" s="361">
        <f t="shared" si="435"/>
        <v>1.3528107630592081</v>
      </c>
      <c r="P434" s="361">
        <f t="shared" si="435"/>
        <v>1.5099397331885369</v>
      </c>
      <c r="Q434" s="361">
        <f t="shared" si="435"/>
        <v>1.6853192331983875</v>
      </c>
      <c r="R434" s="361">
        <f t="shared" si="435"/>
        <v>1.8810690621343824</v>
      </c>
      <c r="S434" s="361">
        <f t="shared" si="435"/>
        <v>2.0995552337012935</v>
      </c>
      <c r="T434" s="361">
        <f t="shared" si="435"/>
        <v>2.3434185740957014</v>
      </c>
      <c r="U434" s="361">
        <f t="shared" si="435"/>
        <v>2.6156066414769201</v>
      </c>
      <c r="V434" s="362">
        <f t="shared" si="435"/>
        <v>2.9194093528844678</v>
      </c>
      <c r="X434" s="351"/>
    </row>
    <row r="435" spans="3:24" ht="24.75" customHeight="1" x14ac:dyDescent="0.3">
      <c r="C435" s="353">
        <f>ABS(E435-Dashboard!$F$14)</f>
        <v>192.34071362261778</v>
      </c>
      <c r="D435" s="350">
        <f t="shared" si="399"/>
        <v>0.11625000000000121</v>
      </c>
      <c r="E435" s="359" cm="1">
        <f t="array" ref="E435">1000*SUM('DRE + DCF'!$L$36/M435,'DRE + DCF'!$N$36:$V$36/N435:V435,F435/V435)/Dashboard!$F$11</f>
        <v>289.33071362261779</v>
      </c>
      <c r="F435" s="359">
        <f t="shared" si="397"/>
        <v>32914468.961424313</v>
      </c>
      <c r="G435" s="359">
        <f>'DRE + DCF'!$W$31</f>
        <v>2791623.3540418856</v>
      </c>
      <c r="H435" s="359">
        <f>'DRE + DCF'!$W$32</f>
        <v>81081.931703745853</v>
      </c>
      <c r="I435" s="359">
        <f>-H435*('DRE + DCF'!$V$33+K435)/'DRE + DCF'!$V$33</f>
        <v>-90858.801614444121</v>
      </c>
      <c r="J435" s="359">
        <f>-'DRE + DCF'!$V$56*L435</f>
        <v>-1188924.4255577971</v>
      </c>
      <c r="K435" s="360">
        <f>(1+L435)/(1+Ke!$O$12)-1</f>
        <v>2.0000000000000018E-2</v>
      </c>
      <c r="L435" s="360">
        <f>'DRE + DCF'!$Y$31</f>
        <v>7.3550000000000004E-2</v>
      </c>
      <c r="M435" s="361">
        <f>(1+D435)^((5-Dashboard!$F$9)*3/12)</f>
        <v>1.0859781915956035</v>
      </c>
      <c r="N435" s="361">
        <f t="shared" ref="N435:V435" si="436">M435*(1+$D435)</f>
        <v>1.2122231563685939</v>
      </c>
      <c r="O435" s="361">
        <f t="shared" si="436"/>
        <v>1.3531440982964444</v>
      </c>
      <c r="P435" s="361">
        <f t="shared" si="436"/>
        <v>1.5104470997234078</v>
      </c>
      <c r="Q435" s="361">
        <f t="shared" si="436"/>
        <v>1.686036575066256</v>
      </c>
      <c r="R435" s="361">
        <f t="shared" si="436"/>
        <v>1.8820383269177106</v>
      </c>
      <c r="S435" s="361">
        <f t="shared" si="436"/>
        <v>2.1008252824218969</v>
      </c>
      <c r="T435" s="361">
        <f t="shared" si="436"/>
        <v>2.3450462215034453</v>
      </c>
      <c r="U435" s="361">
        <f t="shared" si="436"/>
        <v>2.6176578447532237</v>
      </c>
      <c r="V435" s="362">
        <f t="shared" si="436"/>
        <v>2.9219605692057895</v>
      </c>
      <c r="X435" s="351"/>
    </row>
    <row r="436" spans="3:24" ht="24.75" customHeight="1" x14ac:dyDescent="0.3">
      <c r="C436" s="353">
        <f>ABS(E436-Dashboard!$F$14)</f>
        <v>191.76864706739718</v>
      </c>
      <c r="D436" s="350">
        <f t="shared" si="399"/>
        <v>0.11635000000000122</v>
      </c>
      <c r="E436" s="359" cm="1">
        <f t="array" ref="E436">1000*SUM('DRE + DCF'!$L$36/M436,'DRE + DCF'!$N$36:$V$36/N436:V436,F436/V436)/Dashboard!$F$11</f>
        <v>288.75864706739719</v>
      </c>
      <c r="F436" s="359">
        <f t="shared" si="397"/>
        <v>32856604.318318434</v>
      </c>
      <c r="G436" s="359">
        <f>'DRE + DCF'!$W$31</f>
        <v>2791623.3540418856</v>
      </c>
      <c r="H436" s="359">
        <f>'DRE + DCF'!$W$32</f>
        <v>81081.931703745853</v>
      </c>
      <c r="I436" s="359">
        <f>-H436*('DRE + DCF'!$V$33+K436)/'DRE + DCF'!$V$33</f>
        <v>-90858.801614444121</v>
      </c>
      <c r="J436" s="359">
        <f>-'DRE + DCF'!$V$56*L436</f>
        <v>-1188924.4255577971</v>
      </c>
      <c r="K436" s="360">
        <f>(1+L436)/(1+Ke!$O$12)-1</f>
        <v>2.0000000000000018E-2</v>
      </c>
      <c r="L436" s="360">
        <f>'DRE + DCF'!$Y$31</f>
        <v>7.3550000000000004E-2</v>
      </c>
      <c r="M436" s="361">
        <f>(1+D436)^((5-Dashboard!$F$9)*3/12)</f>
        <v>1.0860511568384505</v>
      </c>
      <c r="N436" s="361">
        <f t="shared" ref="N436:V436" si="437">M436*(1+$D436)</f>
        <v>1.2124132089366058</v>
      </c>
      <c r="O436" s="361">
        <f t="shared" si="437"/>
        <v>1.3534774857963814</v>
      </c>
      <c r="P436" s="361">
        <f t="shared" si="437"/>
        <v>1.5109545912687921</v>
      </c>
      <c r="Q436" s="361">
        <f t="shared" si="437"/>
        <v>1.6867541579629179</v>
      </c>
      <c r="R436" s="361">
        <f t="shared" si="437"/>
        <v>1.8830080042419055</v>
      </c>
      <c r="S436" s="361">
        <f t="shared" si="437"/>
        <v>2.1020959855354535</v>
      </c>
      <c r="T436" s="361">
        <f t="shared" si="437"/>
        <v>2.3466748534525061</v>
      </c>
      <c r="U436" s="361">
        <f t="shared" si="437"/>
        <v>2.6197104726517084</v>
      </c>
      <c r="V436" s="362">
        <f t="shared" si="437"/>
        <v>2.9245137861447379</v>
      </c>
      <c r="X436" s="351"/>
    </row>
    <row r="437" spans="3:24" ht="24.75" customHeight="1" x14ac:dyDescent="0.3">
      <c r="C437" s="353">
        <f>ABS(E437-Dashboard!$F$14)</f>
        <v>191.19884163328362</v>
      </c>
      <c r="D437" s="350">
        <f t="shared" si="399"/>
        <v>0.11645000000000122</v>
      </c>
      <c r="E437" s="359" cm="1">
        <f t="array" ref="E437">1000*SUM('DRE + DCF'!$L$36/M437,'DRE + DCF'!$N$36:$V$36/N437:V437,F437/V437)/Dashboard!$F$11</f>
        <v>288.18884163328363</v>
      </c>
      <c r="F437" s="359">
        <f t="shared" si="397"/>
        <v>32798976.81881965</v>
      </c>
      <c r="G437" s="359">
        <f>'DRE + DCF'!$W$31</f>
        <v>2791623.3540418856</v>
      </c>
      <c r="H437" s="359">
        <f>'DRE + DCF'!$W$32</f>
        <v>81081.931703745853</v>
      </c>
      <c r="I437" s="359">
        <f>-H437*('DRE + DCF'!$V$33+K437)/'DRE + DCF'!$V$33</f>
        <v>-90858.801614444121</v>
      </c>
      <c r="J437" s="359">
        <f>-'DRE + DCF'!$V$56*L437</f>
        <v>-1188924.4255577971</v>
      </c>
      <c r="K437" s="360">
        <f>(1+L437)/(1+Ke!$O$12)-1</f>
        <v>2.0000000000000018E-2</v>
      </c>
      <c r="L437" s="360">
        <f>'DRE + DCF'!$Y$31</f>
        <v>7.3550000000000004E-2</v>
      </c>
      <c r="M437" s="361">
        <f>(1+D437)^((5-Dashboard!$F$9)*3/12)</f>
        <v>1.0861241204473022</v>
      </c>
      <c r="N437" s="361">
        <f t="shared" ref="N437:V437" si="438">M437*(1+$D437)</f>
        <v>1.2126032742733919</v>
      </c>
      <c r="O437" s="361">
        <f t="shared" si="438"/>
        <v>1.3538109255625299</v>
      </c>
      <c r="P437" s="361">
        <f t="shared" si="438"/>
        <v>1.5114622078442883</v>
      </c>
      <c r="Q437" s="361">
        <f t="shared" si="438"/>
        <v>1.6874719819477577</v>
      </c>
      <c r="R437" s="361">
        <f t="shared" si="438"/>
        <v>1.8839780942455762</v>
      </c>
      <c r="S437" s="361">
        <f t="shared" si="438"/>
        <v>2.103367343320476</v>
      </c>
      <c r="T437" s="361">
        <f t="shared" si="438"/>
        <v>2.3483044704501483</v>
      </c>
      <c r="U437" s="361">
        <f t="shared" si="438"/>
        <v>2.6217645260340712</v>
      </c>
      <c r="V437" s="362">
        <f t="shared" si="438"/>
        <v>2.927069005090742</v>
      </c>
      <c r="X437" s="351"/>
    </row>
    <row r="438" spans="3:24" ht="24.75" customHeight="1" x14ac:dyDescent="0.3">
      <c r="C438" s="353">
        <f>ABS(E438-Dashboard!$F$14)</f>
        <v>190.63128287802067</v>
      </c>
      <c r="D438" s="350">
        <f t="shared" si="399"/>
        <v>0.11655000000000122</v>
      </c>
      <c r="E438" s="359" cm="1">
        <f t="array" ref="E438">1000*SUM('DRE + DCF'!$L$36/M438,'DRE + DCF'!$N$36:$V$36/N438:V438,F438/V438)/Dashboard!$F$11</f>
        <v>287.62128287802068</v>
      </c>
      <c r="F438" s="359">
        <f t="shared" si="397"/>
        <v>32741584.892210566</v>
      </c>
      <c r="G438" s="359">
        <f>'DRE + DCF'!$W$31</f>
        <v>2791623.3540418856</v>
      </c>
      <c r="H438" s="359">
        <f>'DRE + DCF'!$W$32</f>
        <v>81081.931703745853</v>
      </c>
      <c r="I438" s="359">
        <f>-H438*('DRE + DCF'!$V$33+K438)/'DRE + DCF'!$V$33</f>
        <v>-90858.801614444121</v>
      </c>
      <c r="J438" s="359">
        <f>-'DRE + DCF'!$V$56*L438</f>
        <v>-1188924.4255577971</v>
      </c>
      <c r="K438" s="360">
        <f>(1+L438)/(1+Ke!$O$12)-1</f>
        <v>2.0000000000000018E-2</v>
      </c>
      <c r="L438" s="360">
        <f>'DRE + DCF'!$Y$31</f>
        <v>7.3550000000000004E-2</v>
      </c>
      <c r="M438" s="361">
        <f>(1+D438)^((5-Dashboard!$F$9)*3/12)</f>
        <v>1.0861970824223417</v>
      </c>
      <c r="N438" s="361">
        <f t="shared" ref="N438:V438" si="439">M438*(1+$D438)</f>
        <v>1.2127933523786669</v>
      </c>
      <c r="O438" s="361">
        <f t="shared" si="439"/>
        <v>1.3541444175984021</v>
      </c>
      <c r="P438" s="361">
        <f t="shared" si="439"/>
        <v>1.5119699494694976</v>
      </c>
      <c r="Q438" s="361">
        <f t="shared" si="439"/>
        <v>1.6881900470801694</v>
      </c>
      <c r="R438" s="361">
        <f t="shared" si="439"/>
        <v>1.8849485970673652</v>
      </c>
      <c r="S438" s="361">
        <f t="shared" si="439"/>
        <v>2.1046393560555692</v>
      </c>
      <c r="T438" s="361">
        <f t="shared" si="439"/>
        <v>2.3499350730038486</v>
      </c>
      <c r="U438" s="361">
        <f t="shared" si="439"/>
        <v>2.6238200057624503</v>
      </c>
      <c r="V438" s="362">
        <f t="shared" si="439"/>
        <v>2.9296262274340674</v>
      </c>
      <c r="X438" s="351"/>
    </row>
    <row r="439" spans="3:24" ht="24.75" customHeight="1" x14ac:dyDescent="0.3">
      <c r="C439" s="353">
        <f>ABS(E439-Dashboard!$F$14)</f>
        <v>190.06595648844387</v>
      </c>
      <c r="D439" s="350">
        <f t="shared" si="399"/>
        <v>0.11665000000000122</v>
      </c>
      <c r="E439" s="359" cm="1">
        <f t="array" ref="E439">1000*SUM('DRE + DCF'!$L$36/M439,'DRE + DCF'!$N$36:$V$36/N439:V439,F439/V439)/Dashboard!$F$11</f>
        <v>287.05595648844388</v>
      </c>
      <c r="F439" s="359">
        <f t="shared" si="397"/>
        <v>32684426.982064605</v>
      </c>
      <c r="G439" s="359">
        <f>'DRE + DCF'!$W$31</f>
        <v>2791623.3540418856</v>
      </c>
      <c r="H439" s="359">
        <f>'DRE + DCF'!$W$32</f>
        <v>81081.931703745853</v>
      </c>
      <c r="I439" s="359">
        <f>-H439*('DRE + DCF'!$V$33+K439)/'DRE + DCF'!$V$33</f>
        <v>-90858.801614444121</v>
      </c>
      <c r="J439" s="359">
        <f>-'DRE + DCF'!$V$56*L439</f>
        <v>-1188924.4255577971</v>
      </c>
      <c r="K439" s="360">
        <f>(1+L439)/(1+Ke!$O$12)-1</f>
        <v>2.0000000000000018E-2</v>
      </c>
      <c r="L439" s="360">
        <f>'DRE + DCF'!$Y$31</f>
        <v>7.3550000000000004E-2</v>
      </c>
      <c r="M439" s="361">
        <f>(1+D439)^((5-Dashboard!$F$9)*3/12)</f>
        <v>1.0862700427637515</v>
      </c>
      <c r="N439" s="361">
        <f t="shared" ref="N439:V439" si="440">M439*(1+$D439)</f>
        <v>1.2129834432521445</v>
      </c>
      <c r="O439" s="361">
        <f t="shared" si="440"/>
        <v>1.3544779619075087</v>
      </c>
      <c r="P439" s="361">
        <f t="shared" si="440"/>
        <v>1.5124778161640213</v>
      </c>
      <c r="Q439" s="361">
        <f t="shared" si="440"/>
        <v>1.6889083534195564</v>
      </c>
      <c r="R439" s="361">
        <f t="shared" si="440"/>
        <v>1.8859195128459498</v>
      </c>
      <c r="S439" s="361">
        <f t="shared" si="440"/>
        <v>2.1059120240194322</v>
      </c>
      <c r="T439" s="361">
        <f t="shared" si="440"/>
        <v>2.3515666616213018</v>
      </c>
      <c r="U439" s="361">
        <f t="shared" si="440"/>
        <v>2.6258769126994297</v>
      </c>
      <c r="V439" s="362">
        <f t="shared" si="440"/>
        <v>2.9321854545658215</v>
      </c>
      <c r="X439" s="351"/>
    </row>
    <row r="440" spans="3:24" ht="24.75" customHeight="1" x14ac:dyDescent="0.3">
      <c r="C440" s="353">
        <f>ABS(E440-Dashboard!$F$14)</f>
        <v>189.50284827900839</v>
      </c>
      <c r="D440" s="350">
        <f t="shared" si="399"/>
        <v>0.11675000000000123</v>
      </c>
      <c r="E440" s="359" cm="1">
        <f t="array" ref="E440">1000*SUM('DRE + DCF'!$L$36/M440,'DRE + DCF'!$N$36:$V$36/N440:V440,F440/V440)/Dashboard!$F$11</f>
        <v>286.4928482790084</v>
      </c>
      <c r="F440" s="359">
        <f t="shared" si="397"/>
        <v>32627501.546081841</v>
      </c>
      <c r="G440" s="359">
        <f>'DRE + DCF'!$W$31</f>
        <v>2791623.3540418856</v>
      </c>
      <c r="H440" s="359">
        <f>'DRE + DCF'!$W$32</f>
        <v>81081.931703745853</v>
      </c>
      <c r="I440" s="359">
        <f>-H440*('DRE + DCF'!$V$33+K440)/'DRE + DCF'!$V$33</f>
        <v>-90858.801614444121</v>
      </c>
      <c r="J440" s="359">
        <f>-'DRE + DCF'!$V$56*L440</f>
        <v>-1188924.4255577971</v>
      </c>
      <c r="K440" s="360">
        <f>(1+L440)/(1+Ke!$O$12)-1</f>
        <v>2.0000000000000018E-2</v>
      </c>
      <c r="L440" s="360">
        <f>'DRE + DCF'!$Y$31</f>
        <v>7.3550000000000004E-2</v>
      </c>
      <c r="M440" s="361">
        <f>(1+D440)^((5-Dashboard!$F$9)*3/12)</f>
        <v>1.0863430014717148</v>
      </c>
      <c r="N440" s="361">
        <f t="shared" ref="N440:V440" si="441">M440*(1+$D440)</f>
        <v>1.213173546893539</v>
      </c>
      <c r="O440" s="361">
        <f t="shared" si="441"/>
        <v>1.3548115584933611</v>
      </c>
      <c r="P440" s="361">
        <f t="shared" si="441"/>
        <v>1.5129858079474627</v>
      </c>
      <c r="Q440" s="361">
        <f t="shared" si="441"/>
        <v>1.6896269010253309</v>
      </c>
      <c r="R440" s="361">
        <f t="shared" si="441"/>
        <v>1.8868908417200403</v>
      </c>
      <c r="S440" s="361">
        <f t="shared" si="441"/>
        <v>2.1071853474908573</v>
      </c>
      <c r="T440" s="361">
        <f t="shared" si="441"/>
        <v>2.3531992368104175</v>
      </c>
      <c r="U440" s="361">
        <f t="shared" si="441"/>
        <v>2.6279352477080367</v>
      </c>
      <c r="V440" s="362">
        <f t="shared" si="441"/>
        <v>2.9347466878779533</v>
      </c>
      <c r="X440" s="351"/>
    </row>
    <row r="441" spans="3:24" ht="24.75" customHeight="1" x14ac:dyDescent="0.3">
      <c r="C441" s="353">
        <f>ABS(E441-Dashboard!$F$14)</f>
        <v>188.9419441903363</v>
      </c>
      <c r="D441" s="350">
        <f t="shared" si="399"/>
        <v>0.11685000000000123</v>
      </c>
      <c r="E441" s="359" cm="1">
        <f t="array" ref="E441">1000*SUM('DRE + DCF'!$L$36/M441,'DRE + DCF'!$N$36:$V$36/N441:V441,F441/V441)/Dashboard!$F$11</f>
        <v>285.93194419033631</v>
      </c>
      <c r="F441" s="359">
        <f t="shared" si="397"/>
        <v>32570807.055927102</v>
      </c>
      <c r="G441" s="359">
        <f>'DRE + DCF'!$W$31</f>
        <v>2791623.3540418856</v>
      </c>
      <c r="H441" s="359">
        <f>'DRE + DCF'!$W$32</f>
        <v>81081.931703745853</v>
      </c>
      <c r="I441" s="359">
        <f>-H441*('DRE + DCF'!$V$33+K441)/'DRE + DCF'!$V$33</f>
        <v>-90858.801614444121</v>
      </c>
      <c r="J441" s="359">
        <f>-'DRE + DCF'!$V$56*L441</f>
        <v>-1188924.4255577971</v>
      </c>
      <c r="K441" s="360">
        <f>(1+L441)/(1+Ke!$O$12)-1</f>
        <v>2.0000000000000018E-2</v>
      </c>
      <c r="L441" s="360">
        <f>'DRE + DCF'!$Y$31</f>
        <v>7.3550000000000004E-2</v>
      </c>
      <c r="M441" s="361">
        <f>(1+D441)^((5-Dashboard!$F$9)*3/12)</f>
        <v>1.0864159585464144</v>
      </c>
      <c r="N441" s="361">
        <f t="shared" ref="N441:V441" si="442">M441*(1+$D441)</f>
        <v>1.2133636633025642</v>
      </c>
      <c r="O441" s="361">
        <f t="shared" si="442"/>
        <v>1.3551452073594703</v>
      </c>
      <c r="P441" s="361">
        <f t="shared" si="442"/>
        <v>1.5134939248394261</v>
      </c>
      <c r="Q441" s="361">
        <f t="shared" si="442"/>
        <v>1.6903456899569149</v>
      </c>
      <c r="R441" s="361">
        <f t="shared" si="442"/>
        <v>1.8878625838283825</v>
      </c>
      <c r="S441" s="361">
        <f t="shared" si="442"/>
        <v>2.1084593267487315</v>
      </c>
      <c r="T441" s="361">
        <f t="shared" si="442"/>
        <v>2.3548327990793232</v>
      </c>
      <c r="U441" s="361">
        <f t="shared" si="442"/>
        <v>2.629995011651745</v>
      </c>
      <c r="V441" s="362">
        <f t="shared" si="442"/>
        <v>2.9373099287632547</v>
      </c>
      <c r="X441" s="351"/>
    </row>
    <row r="442" spans="3:24" ht="24.75" customHeight="1" x14ac:dyDescent="0.3">
      <c r="C442" s="353">
        <f>ABS(E442-Dashboard!$F$14)</f>
        <v>188.3832302877849</v>
      </c>
      <c r="D442" s="350">
        <f t="shared" si="399"/>
        <v>0.11695000000000123</v>
      </c>
      <c r="E442" s="359" cm="1">
        <f t="array" ref="E442">1000*SUM('DRE + DCF'!$L$36/M442,'DRE + DCF'!$N$36:$V$36/N442:V442,F442/V442)/Dashboard!$F$11</f>
        <v>285.37323028778491</v>
      </c>
      <c r="F442" s="359">
        <f t="shared" si="397"/>
        <v>32514341.997070253</v>
      </c>
      <c r="G442" s="359">
        <f>'DRE + DCF'!$W$31</f>
        <v>2791623.3540418856</v>
      </c>
      <c r="H442" s="359">
        <f>'DRE + DCF'!$W$32</f>
        <v>81081.931703745853</v>
      </c>
      <c r="I442" s="359">
        <f>-H442*('DRE + DCF'!$V$33+K442)/'DRE + DCF'!$V$33</f>
        <v>-90858.801614444121</v>
      </c>
      <c r="J442" s="359">
        <f>-'DRE + DCF'!$V$56*L442</f>
        <v>-1188924.4255577971</v>
      </c>
      <c r="K442" s="360">
        <f>(1+L442)/(1+Ke!$O$12)-1</f>
        <v>2.0000000000000018E-2</v>
      </c>
      <c r="L442" s="360">
        <f>'DRE + DCF'!$Y$31</f>
        <v>7.3550000000000004E-2</v>
      </c>
      <c r="M442" s="361">
        <f>(1+D442)^((5-Dashboard!$F$9)*3/12)</f>
        <v>1.0864889139880332</v>
      </c>
      <c r="N442" s="361">
        <f t="shared" ref="N442:V442" si="443">M442*(1+$D442)</f>
        <v>1.213553792478935</v>
      </c>
      <c r="O442" s="361">
        <f t="shared" si="443"/>
        <v>1.3554789085093479</v>
      </c>
      <c r="P442" s="361">
        <f t="shared" si="443"/>
        <v>1.5140021668595178</v>
      </c>
      <c r="Q442" s="361">
        <f t="shared" si="443"/>
        <v>1.6910647202737403</v>
      </c>
      <c r="R442" s="361">
        <f t="shared" si="443"/>
        <v>1.8888347393097564</v>
      </c>
      <c r="S442" s="361">
        <f t="shared" si="443"/>
        <v>2.1097339620720348</v>
      </c>
      <c r="T442" s="361">
        <f t="shared" si="443"/>
        <v>2.3564673489363619</v>
      </c>
      <c r="U442" s="361">
        <f t="shared" si="443"/>
        <v>2.6320562053944725</v>
      </c>
      <c r="V442" s="362">
        <f t="shared" si="443"/>
        <v>2.9398751786153592</v>
      </c>
      <c r="X442" s="351"/>
    </row>
    <row r="443" spans="3:24" ht="24.75" customHeight="1" x14ac:dyDescent="0.3">
      <c r="C443" s="353">
        <f>ABS(E443-Dashboard!$F$14)</f>
        <v>187.82669276003418</v>
      </c>
      <c r="D443" s="350">
        <f t="shared" si="399"/>
        <v>0.11705000000000124</v>
      </c>
      <c r="E443" s="359" cm="1">
        <f t="array" ref="E443">1000*SUM('DRE + DCF'!$L$36/M443,'DRE + DCF'!$N$36:$V$36/N443:V443,F443/V443)/Dashboard!$F$11</f>
        <v>284.81669276003419</v>
      </c>
      <c r="F443" s="359">
        <f t="shared" si="397"/>
        <v>32458104.868628755</v>
      </c>
      <c r="G443" s="359">
        <f>'DRE + DCF'!$W$31</f>
        <v>2791623.3540418856</v>
      </c>
      <c r="H443" s="359">
        <f>'DRE + DCF'!$W$32</f>
        <v>81081.931703745853</v>
      </c>
      <c r="I443" s="359">
        <f>-H443*('DRE + DCF'!$V$33+K443)/'DRE + DCF'!$V$33</f>
        <v>-90858.801614444121</v>
      </c>
      <c r="J443" s="359">
        <f>-'DRE + DCF'!$V$56*L443</f>
        <v>-1188924.4255577971</v>
      </c>
      <c r="K443" s="360">
        <f>(1+L443)/(1+Ke!$O$12)-1</f>
        <v>2.0000000000000018E-2</v>
      </c>
      <c r="L443" s="360">
        <f>'DRE + DCF'!$Y$31</f>
        <v>7.3550000000000004E-2</v>
      </c>
      <c r="M443" s="361">
        <f>(1+D443)^((5-Dashboard!$F$9)*3/12)</f>
        <v>1.0865618677967535</v>
      </c>
      <c r="N443" s="361">
        <f t="shared" ref="N443:V443" si="444">M443*(1+$D443)</f>
        <v>1.2137439344223648</v>
      </c>
      <c r="O443" s="361">
        <f t="shared" si="444"/>
        <v>1.3558126619465041</v>
      </c>
      <c r="P443" s="361">
        <f t="shared" si="444"/>
        <v>1.5145105340273439</v>
      </c>
      <c r="Q443" s="361">
        <f t="shared" si="444"/>
        <v>1.6917839920352464</v>
      </c>
      <c r="R443" s="361">
        <f t="shared" si="444"/>
        <v>1.8898073083029741</v>
      </c>
      <c r="S443" s="361">
        <f t="shared" si="444"/>
        <v>2.1110092537398395</v>
      </c>
      <c r="T443" s="361">
        <f t="shared" si="444"/>
        <v>2.3581028868900904</v>
      </c>
      <c r="U443" s="361">
        <f t="shared" si="444"/>
        <v>2.6341188298005784</v>
      </c>
      <c r="V443" s="362">
        <f t="shared" si="444"/>
        <v>2.9424424388287393</v>
      </c>
      <c r="X443" s="351"/>
    </row>
    <row r="444" spans="3:24" ht="24.75" customHeight="1" x14ac:dyDescent="0.3">
      <c r="C444" s="353">
        <f>ABS(E444-Dashboard!$F$14)</f>
        <v>187.27231791769327</v>
      </c>
      <c r="D444" s="350">
        <f t="shared" si="399"/>
        <v>0.11715000000000124</v>
      </c>
      <c r="E444" s="359" cm="1">
        <f t="array" ref="E444">1000*SUM('DRE + DCF'!$L$36/M444,'DRE + DCF'!$N$36:$V$36/N444:V444,F444/V444)/Dashboard!$F$11</f>
        <v>284.26231791769328</v>
      </c>
      <c r="F444" s="359">
        <f t="shared" si="397"/>
        <v>32402094.183212336</v>
      </c>
      <c r="G444" s="359">
        <f>'DRE + DCF'!$W$31</f>
        <v>2791623.3540418856</v>
      </c>
      <c r="H444" s="359">
        <f>'DRE + DCF'!$W$32</f>
        <v>81081.931703745853</v>
      </c>
      <c r="I444" s="359">
        <f>-H444*('DRE + DCF'!$V$33+K444)/'DRE + DCF'!$V$33</f>
        <v>-90858.801614444121</v>
      </c>
      <c r="J444" s="359">
        <f>-'DRE + DCF'!$V$56*L444</f>
        <v>-1188924.4255577971</v>
      </c>
      <c r="K444" s="360">
        <f>(1+L444)/(1+Ke!$O$12)-1</f>
        <v>2.0000000000000018E-2</v>
      </c>
      <c r="L444" s="360">
        <f>'DRE + DCF'!$Y$31</f>
        <v>7.3550000000000004E-2</v>
      </c>
      <c r="M444" s="361">
        <f>(1+D444)^((5-Dashboard!$F$9)*3/12)</f>
        <v>1.0866348199727585</v>
      </c>
      <c r="N444" s="361">
        <f t="shared" ref="N444:V444" si="445">M444*(1+$D444)</f>
        <v>1.2139340891325685</v>
      </c>
      <c r="O444" s="361">
        <f t="shared" si="445"/>
        <v>1.3561464676744504</v>
      </c>
      <c r="P444" s="361">
        <f t="shared" si="445"/>
        <v>1.5150190263625138</v>
      </c>
      <c r="Q444" s="361">
        <f t="shared" si="445"/>
        <v>1.6925035053008841</v>
      </c>
      <c r="R444" s="361">
        <f t="shared" si="445"/>
        <v>1.8907802909468847</v>
      </c>
      <c r="S444" s="361">
        <f t="shared" si="445"/>
        <v>2.1122852020313143</v>
      </c>
      <c r="T444" s="361">
        <f t="shared" si="445"/>
        <v>2.3597394134492853</v>
      </c>
      <c r="U444" s="361">
        <f t="shared" si="445"/>
        <v>2.6361828857348719</v>
      </c>
      <c r="V444" s="362">
        <f t="shared" si="445"/>
        <v>2.9450117107987155</v>
      </c>
      <c r="X444" s="351"/>
    </row>
    <row r="445" spans="3:24" ht="24.75" customHeight="1" x14ac:dyDescent="0.3">
      <c r="C445" s="353">
        <f>ABS(E445-Dashboard!$F$14)</f>
        <v>186.72009219192608</v>
      </c>
      <c r="D445" s="350">
        <f t="shared" si="399"/>
        <v>0.11725000000000124</v>
      </c>
      <c r="E445" s="359" cm="1">
        <f t="array" ref="E445">1000*SUM('DRE + DCF'!$L$36/M445,'DRE + DCF'!$N$36:$V$36/N445:V445,F445/V445)/Dashboard!$F$11</f>
        <v>283.71009219192609</v>
      </c>
      <c r="F445" s="359">
        <f t="shared" si="397"/>
        <v>32346308.466769774</v>
      </c>
      <c r="G445" s="359">
        <f>'DRE + DCF'!$W$31</f>
        <v>2791623.3540418856</v>
      </c>
      <c r="H445" s="359">
        <f>'DRE + DCF'!$W$32</f>
        <v>81081.931703745853</v>
      </c>
      <c r="I445" s="359">
        <f>-H445*('DRE + DCF'!$V$33+K445)/'DRE + DCF'!$V$33</f>
        <v>-90858.801614444121</v>
      </c>
      <c r="J445" s="359">
        <f>-'DRE + DCF'!$V$56*L445</f>
        <v>-1188924.4255577971</v>
      </c>
      <c r="K445" s="360">
        <f>(1+L445)/(1+Ke!$O$12)-1</f>
        <v>2.0000000000000018E-2</v>
      </c>
      <c r="L445" s="360">
        <f>'DRE + DCF'!$Y$31</f>
        <v>7.3550000000000004E-2</v>
      </c>
      <c r="M445" s="361">
        <f>(1+D445)^((5-Dashboard!$F$9)*3/12)</f>
        <v>1.0867077705162307</v>
      </c>
      <c r="N445" s="361">
        <f t="shared" ref="N445:V445" si="446">M445*(1+$D445)</f>
        <v>1.21412425660926</v>
      </c>
      <c r="O445" s="361">
        <f t="shared" si="446"/>
        <v>1.3564803256966973</v>
      </c>
      <c r="P445" s="361">
        <f t="shared" si="446"/>
        <v>1.5155276438846366</v>
      </c>
      <c r="Q445" s="361">
        <f t="shared" si="446"/>
        <v>1.693223260130112</v>
      </c>
      <c r="R445" s="361">
        <f t="shared" si="446"/>
        <v>1.8917536873803698</v>
      </c>
      <c r="S445" s="361">
        <f t="shared" si="446"/>
        <v>2.1135618072257203</v>
      </c>
      <c r="T445" s="361">
        <f t="shared" si="446"/>
        <v>2.3613769291229385</v>
      </c>
      <c r="U445" s="361">
        <f t="shared" si="446"/>
        <v>2.6382483740626057</v>
      </c>
      <c r="V445" s="362">
        <f t="shared" si="446"/>
        <v>2.9475829959214495</v>
      </c>
      <c r="X445" s="351"/>
    </row>
    <row r="446" spans="3:24" ht="24.75" customHeight="1" x14ac:dyDescent="0.3">
      <c r="C446" s="353">
        <f>ABS(E446-Dashboard!$F$14)</f>
        <v>186.1700021330966</v>
      </c>
      <c r="D446" s="350">
        <f t="shared" si="399"/>
        <v>0.11735000000000124</v>
      </c>
      <c r="E446" s="359" cm="1">
        <f t="array" ref="E446">1000*SUM('DRE + DCF'!$L$36/M446,'DRE + DCF'!$N$36:$V$36/N446:V446,F446/V446)/Dashboard!$F$11</f>
        <v>283.16000213309661</v>
      </c>
      <c r="F446" s="359">
        <f t="shared" si="397"/>
        <v>32290746.258437816</v>
      </c>
      <c r="G446" s="359">
        <f>'DRE + DCF'!$W$31</f>
        <v>2791623.3540418856</v>
      </c>
      <c r="H446" s="359">
        <f>'DRE + DCF'!$W$32</f>
        <v>81081.931703745853</v>
      </c>
      <c r="I446" s="359">
        <f>-H446*('DRE + DCF'!$V$33+K446)/'DRE + DCF'!$V$33</f>
        <v>-90858.801614444121</v>
      </c>
      <c r="J446" s="359">
        <f>-'DRE + DCF'!$V$56*L446</f>
        <v>-1188924.4255577971</v>
      </c>
      <c r="K446" s="360">
        <f>(1+L446)/(1+Ke!$O$12)-1</f>
        <v>2.0000000000000018E-2</v>
      </c>
      <c r="L446" s="360">
        <f>'DRE + DCF'!$Y$31</f>
        <v>7.3550000000000004E-2</v>
      </c>
      <c r="M446" s="361">
        <f>(1+D446)^((5-Dashboard!$F$9)*3/12)</f>
        <v>1.0867807194273527</v>
      </c>
      <c r="N446" s="361">
        <f t="shared" ref="N446:V446" si="447">M446*(1+$D446)</f>
        <v>1.2143144368521537</v>
      </c>
      <c r="O446" s="361">
        <f t="shared" si="447"/>
        <v>1.3568142360167554</v>
      </c>
      <c r="P446" s="361">
        <f t="shared" si="447"/>
        <v>1.5160363866133233</v>
      </c>
      <c r="Q446" s="361">
        <f t="shared" si="447"/>
        <v>1.6939432565823986</v>
      </c>
      <c r="R446" s="361">
        <f t="shared" si="447"/>
        <v>1.8927274977423452</v>
      </c>
      <c r="S446" s="361">
        <f t="shared" si="447"/>
        <v>2.1148390696024117</v>
      </c>
      <c r="T446" s="361">
        <f t="shared" si="447"/>
        <v>2.3630154344202574</v>
      </c>
      <c r="U446" s="361">
        <f t="shared" si="447"/>
        <v>2.6403152956494775</v>
      </c>
      <c r="V446" s="362">
        <f t="shared" si="447"/>
        <v>2.9501562955939469</v>
      </c>
      <c r="X446" s="351"/>
    </row>
    <row r="447" spans="3:24" ht="24.75" customHeight="1" x14ac:dyDescent="0.3">
      <c r="C447" s="353">
        <f>ABS(E447-Dashboard!$F$14)</f>
        <v>185.62203440943074</v>
      </c>
      <c r="D447" s="350">
        <f t="shared" si="399"/>
        <v>0.11745000000000125</v>
      </c>
      <c r="E447" s="359" cm="1">
        <f t="array" ref="E447">1000*SUM('DRE + DCF'!$L$36/M447,'DRE + DCF'!$N$36:$V$36/N447:V447,F447/V447)/Dashboard!$F$11</f>
        <v>282.61203440943075</v>
      </c>
      <c r="F447" s="359">
        <f t="shared" si="397"/>
        <v>32235406.110392138</v>
      </c>
      <c r="G447" s="359">
        <f>'DRE + DCF'!$W$31</f>
        <v>2791623.3540418856</v>
      </c>
      <c r="H447" s="359">
        <f>'DRE + DCF'!$W$32</f>
        <v>81081.931703745853</v>
      </c>
      <c r="I447" s="359">
        <f>-H447*('DRE + DCF'!$V$33+K447)/'DRE + DCF'!$V$33</f>
        <v>-90858.801614444121</v>
      </c>
      <c r="J447" s="359">
        <f>-'DRE + DCF'!$V$56*L447</f>
        <v>-1188924.4255577971</v>
      </c>
      <c r="K447" s="360">
        <f>(1+L447)/(1+Ke!$O$12)-1</f>
        <v>2.0000000000000018E-2</v>
      </c>
      <c r="L447" s="360">
        <f>'DRE + DCF'!$Y$31</f>
        <v>7.3550000000000004E-2</v>
      </c>
      <c r="M447" s="361">
        <f>(1+D447)^((5-Dashboard!$F$9)*3/12)</f>
        <v>1.0868536667063073</v>
      </c>
      <c r="N447" s="361">
        <f t="shared" ref="N447:V447" si="448">M447*(1+$D447)</f>
        <v>1.2145046298609643</v>
      </c>
      <c r="O447" s="361">
        <f t="shared" si="448"/>
        <v>1.357148198638136</v>
      </c>
      <c r="P447" s="361">
        <f t="shared" si="448"/>
        <v>1.5165452545681866</v>
      </c>
      <c r="Q447" s="361">
        <f t="shared" si="448"/>
        <v>1.6946634947172219</v>
      </c>
      <c r="R447" s="361">
        <f t="shared" si="448"/>
        <v>1.8937017221717616</v>
      </c>
      <c r="S447" s="361">
        <f t="shared" si="448"/>
        <v>2.1161169894408371</v>
      </c>
      <c r="T447" s="361">
        <f t="shared" si="448"/>
        <v>2.3646549298506661</v>
      </c>
      <c r="U447" s="361">
        <f t="shared" si="448"/>
        <v>2.6423836513616297</v>
      </c>
      <c r="V447" s="362">
        <f t="shared" si="448"/>
        <v>2.9527316112140563</v>
      </c>
      <c r="X447" s="351"/>
    </row>
    <row r="448" spans="3:24" ht="24.75" customHeight="1" x14ac:dyDescent="0.3">
      <c r="C448" s="353">
        <f>ABS(E448-Dashboard!$F$14)</f>
        <v>185.07617580569826</v>
      </c>
      <c r="D448" s="350">
        <f t="shared" si="399"/>
        <v>0.11755000000000125</v>
      </c>
      <c r="E448" s="359" cm="1">
        <f t="array" ref="E448">1000*SUM('DRE + DCF'!$L$36/M448,'DRE + DCF'!$N$36:$V$36/N448:V448,F448/V448)/Dashboard!$F$11</f>
        <v>282.06617580569826</v>
      </c>
      <c r="F448" s="359">
        <f t="shared" si="397"/>
        <v>32180286.587700319</v>
      </c>
      <c r="G448" s="359">
        <f>'DRE + DCF'!$W$31</f>
        <v>2791623.3540418856</v>
      </c>
      <c r="H448" s="359">
        <f>'DRE + DCF'!$W$32</f>
        <v>81081.931703745853</v>
      </c>
      <c r="I448" s="359">
        <f>-H448*('DRE + DCF'!$V$33+K448)/'DRE + DCF'!$V$33</f>
        <v>-90858.801614444121</v>
      </c>
      <c r="J448" s="359">
        <f>-'DRE + DCF'!$V$56*L448</f>
        <v>-1188924.4255577971</v>
      </c>
      <c r="K448" s="360">
        <f>(1+L448)/(1+Ke!$O$12)-1</f>
        <v>2.0000000000000018E-2</v>
      </c>
      <c r="L448" s="360">
        <f>'DRE + DCF'!$Y$31</f>
        <v>7.3550000000000004E-2</v>
      </c>
      <c r="M448" s="361">
        <f>(1+D448)^((5-Dashboard!$F$9)*3/12)</f>
        <v>1.0869266123532768</v>
      </c>
      <c r="N448" s="361">
        <f t="shared" ref="N448:V448" si="449">M448*(1+$D448)</f>
        <v>1.2146948356354057</v>
      </c>
      <c r="O448" s="361">
        <f t="shared" si="449"/>
        <v>1.3574822135643489</v>
      </c>
      <c r="P448" s="361">
        <f t="shared" si="449"/>
        <v>1.5170542477688398</v>
      </c>
      <c r="Q448" s="361">
        <f t="shared" si="449"/>
        <v>1.6953839745940686</v>
      </c>
      <c r="R448" s="361">
        <f t="shared" si="449"/>
        <v>1.8946763608076034</v>
      </c>
      <c r="S448" s="361">
        <f t="shared" si="449"/>
        <v>2.1173955670205395</v>
      </c>
      <c r="T448" s="361">
        <f t="shared" si="449"/>
        <v>2.3662954159238065</v>
      </c>
      <c r="U448" s="361">
        <f t="shared" si="449"/>
        <v>2.6444534420656529</v>
      </c>
      <c r="V448" s="362">
        <f t="shared" si="449"/>
        <v>2.9553089441804734</v>
      </c>
      <c r="X448" s="351"/>
    </row>
    <row r="449" spans="3:24" ht="24.75" customHeight="1" x14ac:dyDescent="0.3">
      <c r="C449" s="353">
        <f>ABS(E449-Dashboard!$F$14)</f>
        <v>184.53241322191104</v>
      </c>
      <c r="D449" s="350">
        <f t="shared" si="399"/>
        <v>0.11765000000000125</v>
      </c>
      <c r="E449" s="359" cm="1">
        <f t="array" ref="E449">1000*SUM('DRE + DCF'!$L$36/M449,'DRE + DCF'!$N$36:$V$36/N449:V449,F449/V449)/Dashboard!$F$11</f>
        <v>281.52241322191105</v>
      </c>
      <c r="F449" s="359">
        <f t="shared" si="397"/>
        <v>32125386.268176824</v>
      </c>
      <c r="G449" s="359">
        <f>'DRE + DCF'!$W$31</f>
        <v>2791623.3540418856</v>
      </c>
      <c r="H449" s="359">
        <f>'DRE + DCF'!$W$32</f>
        <v>81081.931703745853</v>
      </c>
      <c r="I449" s="359">
        <f>-H449*('DRE + DCF'!$V$33+K449)/'DRE + DCF'!$V$33</f>
        <v>-90858.801614444121</v>
      </c>
      <c r="J449" s="359">
        <f>-'DRE + DCF'!$V$56*L449</f>
        <v>-1188924.4255577971</v>
      </c>
      <c r="K449" s="360">
        <f>(1+L449)/(1+Ke!$O$12)-1</f>
        <v>2.0000000000000018E-2</v>
      </c>
      <c r="L449" s="360">
        <f>'DRE + DCF'!$Y$31</f>
        <v>7.3550000000000004E-2</v>
      </c>
      <c r="M449" s="361">
        <f>(1+D449)^((5-Dashboard!$F$9)*3/12)</f>
        <v>1.086999556368444</v>
      </c>
      <c r="N449" s="361">
        <f t="shared" ref="N449:V449" si="450">M449*(1+$D449)</f>
        <v>1.2148850541751928</v>
      </c>
      <c r="O449" s="361">
        <f t="shared" si="450"/>
        <v>1.3578162807989056</v>
      </c>
      <c r="P449" s="361">
        <f t="shared" si="450"/>
        <v>1.5175633662348984</v>
      </c>
      <c r="Q449" s="361">
        <f t="shared" si="450"/>
        <v>1.696104696272436</v>
      </c>
      <c r="R449" s="361">
        <f t="shared" si="450"/>
        <v>1.89565141378889</v>
      </c>
      <c r="S449" s="361">
        <f t="shared" si="450"/>
        <v>2.1186748026211553</v>
      </c>
      <c r="T449" s="361">
        <f t="shared" si="450"/>
        <v>2.3679368931495368</v>
      </c>
      <c r="U449" s="361">
        <f t="shared" si="450"/>
        <v>2.6465246686285826</v>
      </c>
      <c r="V449" s="362">
        <f t="shared" si="450"/>
        <v>2.9578882958927384</v>
      </c>
      <c r="X449" s="351"/>
    </row>
    <row r="450" spans="3:24" ht="24.75" customHeight="1" x14ac:dyDescent="0.3">
      <c r="C450" s="353">
        <f>ABS(E450-Dashboard!$F$14)</f>
        <v>183.99073367203971</v>
      </c>
      <c r="D450" s="350">
        <f t="shared" si="399"/>
        <v>0.11775000000000126</v>
      </c>
      <c r="E450" s="359" cm="1">
        <f t="array" ref="E450">1000*SUM('DRE + DCF'!$L$36/M450,'DRE + DCF'!$N$36:$V$36/N450:V450,F450/V450)/Dashboard!$F$11</f>
        <v>280.98073367203972</v>
      </c>
      <c r="F450" s="359">
        <f t="shared" si="397"/>
        <v>32070703.742239945</v>
      </c>
      <c r="G450" s="359">
        <f>'DRE + DCF'!$W$31</f>
        <v>2791623.3540418856</v>
      </c>
      <c r="H450" s="359">
        <f>'DRE + DCF'!$W$32</f>
        <v>81081.931703745853</v>
      </c>
      <c r="I450" s="359">
        <f>-H450*('DRE + DCF'!$V$33+K450)/'DRE + DCF'!$V$33</f>
        <v>-90858.801614444121</v>
      </c>
      <c r="J450" s="359">
        <f>-'DRE + DCF'!$V$56*L450</f>
        <v>-1188924.4255577971</v>
      </c>
      <c r="K450" s="360">
        <f>(1+L450)/(1+Ke!$O$12)-1</f>
        <v>2.0000000000000018E-2</v>
      </c>
      <c r="L450" s="360">
        <f>'DRE + DCF'!$Y$31</f>
        <v>7.3550000000000004E-2</v>
      </c>
      <c r="M450" s="361">
        <f>(1+D450)^((5-Dashboard!$F$9)*3/12)</f>
        <v>1.0870724987519915</v>
      </c>
      <c r="N450" s="361">
        <f t="shared" ref="N450:V450" si="451">M450*(1+$D450)</f>
        <v>1.21507528548004</v>
      </c>
      <c r="O450" s="361">
        <f t="shared" si="451"/>
        <v>1.3581504003453162</v>
      </c>
      <c r="P450" s="361">
        <f t="shared" si="451"/>
        <v>1.5180726099859789</v>
      </c>
      <c r="Q450" s="361">
        <f t="shared" si="451"/>
        <v>1.6968256598118301</v>
      </c>
      <c r="R450" s="361">
        <f t="shared" si="451"/>
        <v>1.8966268812546754</v>
      </c>
      <c r="S450" s="361">
        <f t="shared" si="451"/>
        <v>2.1199546965224161</v>
      </c>
      <c r="T450" s="361">
        <f t="shared" si="451"/>
        <v>2.3695793620379333</v>
      </c>
      <c r="U450" s="361">
        <f t="shared" si="451"/>
        <v>2.648597331917903</v>
      </c>
      <c r="V450" s="362">
        <f t="shared" si="451"/>
        <v>2.9604696677512399</v>
      </c>
      <c r="X450" s="351"/>
    </row>
    <row r="451" spans="3:24" ht="24.75" customHeight="1" x14ac:dyDescent="0.3">
      <c r="C451" s="353">
        <f>ABS(E451-Dashboard!$F$14)</f>
        <v>183.45112428274837</v>
      </c>
      <c r="D451" s="350">
        <f t="shared" si="399"/>
        <v>0.11785000000000126</v>
      </c>
      <c r="E451" s="359" cm="1">
        <f t="array" ref="E451">1000*SUM('DRE + DCF'!$L$36/M451,'DRE + DCF'!$N$36:$V$36/N451:V451,F451/V451)/Dashboard!$F$11</f>
        <v>280.44112428274838</v>
      </c>
      <c r="F451" s="359">
        <f t="shared" si="397"/>
        <v>32016237.612770673</v>
      </c>
      <c r="G451" s="359">
        <f>'DRE + DCF'!$W$31</f>
        <v>2791623.3540418856</v>
      </c>
      <c r="H451" s="359">
        <f>'DRE + DCF'!$W$32</f>
        <v>81081.931703745853</v>
      </c>
      <c r="I451" s="359">
        <f>-H451*('DRE + DCF'!$V$33+K451)/'DRE + DCF'!$V$33</f>
        <v>-90858.801614444121</v>
      </c>
      <c r="J451" s="359">
        <f>-'DRE + DCF'!$V$56*L451</f>
        <v>-1188924.4255577971</v>
      </c>
      <c r="K451" s="360">
        <f>(1+L451)/(1+Ke!$O$12)-1</f>
        <v>2.0000000000000018E-2</v>
      </c>
      <c r="L451" s="360">
        <f>'DRE + DCF'!$Y$31</f>
        <v>7.3550000000000004E-2</v>
      </c>
      <c r="M451" s="361">
        <f>(1+D451)^((5-Dashboard!$F$9)*3/12)</f>
        <v>1.0871454395041014</v>
      </c>
      <c r="N451" s="361">
        <f t="shared" ref="N451:V451" si="452">M451*(1+$D451)</f>
        <v>1.2152655295496613</v>
      </c>
      <c r="O451" s="361">
        <f t="shared" si="452"/>
        <v>1.3584845722070904</v>
      </c>
      <c r="P451" s="361">
        <f t="shared" si="452"/>
        <v>1.5185819790416979</v>
      </c>
      <c r="Q451" s="361">
        <f t="shared" si="452"/>
        <v>1.697546865271764</v>
      </c>
      <c r="R451" s="361">
        <f t="shared" si="452"/>
        <v>1.8976027633440438</v>
      </c>
      <c r="S451" s="361">
        <f t="shared" si="452"/>
        <v>2.1212352490041417</v>
      </c>
      <c r="T451" s="361">
        <f t="shared" si="452"/>
        <v>2.3712228230992829</v>
      </c>
      <c r="U451" s="361">
        <f t="shared" si="452"/>
        <v>2.6506714328015364</v>
      </c>
      <c r="V451" s="362">
        <f t="shared" si="452"/>
        <v>2.963053061157201</v>
      </c>
      <c r="X451" s="351"/>
    </row>
    <row r="452" spans="3:24" ht="24.75" customHeight="1" x14ac:dyDescent="0.3">
      <c r="C452" s="353">
        <f>ABS(E452-Dashboard!$F$14)</f>
        <v>182.91357229214333</v>
      </c>
      <c r="D452" s="350">
        <f t="shared" si="399"/>
        <v>0.11795000000000126</v>
      </c>
      <c r="E452" s="359" cm="1">
        <f t="array" ref="E452">1000*SUM('DRE + DCF'!$L$36/M452,'DRE + DCF'!$N$36:$V$36/N452:V452,F452/V452)/Dashboard!$F$11</f>
        <v>279.90357229214334</v>
      </c>
      <c r="F452" s="359">
        <f t="shared" si="397"/>
        <v>31961986.494973477</v>
      </c>
      <c r="G452" s="359">
        <f>'DRE + DCF'!$W$31</f>
        <v>2791623.3540418856</v>
      </c>
      <c r="H452" s="359">
        <f>'DRE + DCF'!$W$32</f>
        <v>81081.931703745853</v>
      </c>
      <c r="I452" s="359">
        <f>-H452*('DRE + DCF'!$V$33+K452)/'DRE + DCF'!$V$33</f>
        <v>-90858.801614444121</v>
      </c>
      <c r="J452" s="359">
        <f>-'DRE + DCF'!$V$56*L452</f>
        <v>-1188924.4255577971</v>
      </c>
      <c r="K452" s="360">
        <f>(1+L452)/(1+Ke!$O$12)-1</f>
        <v>2.0000000000000018E-2</v>
      </c>
      <c r="L452" s="360">
        <f>'DRE + DCF'!$Y$31</f>
        <v>7.3550000000000004E-2</v>
      </c>
      <c r="M452" s="361">
        <f>(1+D452)^((5-Dashboard!$F$9)*3/12)</f>
        <v>1.0872183786249561</v>
      </c>
      <c r="N452" s="361">
        <f t="shared" ref="N452:V452" si="453">M452*(1+$D452)</f>
        <v>1.2154557863837712</v>
      </c>
      <c r="O452" s="361">
        <f t="shared" si="453"/>
        <v>1.3588187963877385</v>
      </c>
      <c r="P452" s="361">
        <f t="shared" si="453"/>
        <v>1.5190914734216741</v>
      </c>
      <c r="Q452" s="361">
        <f t="shared" si="453"/>
        <v>1.6982683127117626</v>
      </c>
      <c r="R452" s="361">
        <f t="shared" si="453"/>
        <v>1.8985790601961172</v>
      </c>
      <c r="S452" s="361">
        <f t="shared" si="453"/>
        <v>2.1225164603462519</v>
      </c>
      <c r="T452" s="361">
        <f t="shared" si="453"/>
        <v>2.372867276844095</v>
      </c>
      <c r="U452" s="361">
        <f t="shared" si="453"/>
        <v>2.6527469721478592</v>
      </c>
      <c r="V452" s="362">
        <f t="shared" si="453"/>
        <v>2.9656384775127025</v>
      </c>
      <c r="X452" s="351"/>
    </row>
    <row r="453" spans="3:24" ht="24.75" customHeight="1" x14ac:dyDescent="0.3">
      <c r="C453" s="353">
        <f>ABS(E453-Dashboard!$F$14)</f>
        <v>182.37806504854217</v>
      </c>
      <c r="D453" s="350">
        <f t="shared" si="399"/>
        <v>0.11805000000000127</v>
      </c>
      <c r="E453" s="359" cm="1">
        <f t="array" ref="E453">1000*SUM('DRE + DCF'!$L$36/M453,'DRE + DCF'!$N$36:$V$36/N453:V453,F453/V453)/Dashboard!$F$11</f>
        <v>279.36806504854218</v>
      </c>
      <c r="F453" s="359">
        <f t="shared" si="397"/>
        <v>31907949.01623895</v>
      </c>
      <c r="G453" s="359">
        <f>'DRE + DCF'!$W$31</f>
        <v>2791623.3540418856</v>
      </c>
      <c r="H453" s="359">
        <f>'DRE + DCF'!$W$32</f>
        <v>81081.931703745853</v>
      </c>
      <c r="I453" s="359">
        <f>-H453*('DRE + DCF'!$V$33+K453)/'DRE + DCF'!$V$33</f>
        <v>-90858.801614444121</v>
      </c>
      <c r="J453" s="359">
        <f>-'DRE + DCF'!$V$56*L453</f>
        <v>-1188924.4255577971</v>
      </c>
      <c r="K453" s="360">
        <f>(1+L453)/(1+Ke!$O$12)-1</f>
        <v>2.0000000000000018E-2</v>
      </c>
      <c r="L453" s="360">
        <f>'DRE + DCF'!$Y$31</f>
        <v>7.3550000000000004E-2</v>
      </c>
      <c r="M453" s="361">
        <f>(1+D453)^((5-Dashboard!$F$9)*3/12)</f>
        <v>1.0872913161147384</v>
      </c>
      <c r="N453" s="361">
        <f t="shared" ref="N453:V453" si="454">M453*(1+$D453)</f>
        <v>1.2156460559820848</v>
      </c>
      <c r="O453" s="361">
        <f t="shared" si="454"/>
        <v>1.3591530728907715</v>
      </c>
      <c r="P453" s="361">
        <f t="shared" si="454"/>
        <v>1.5196010931455288</v>
      </c>
      <c r="Q453" s="361">
        <f t="shared" si="454"/>
        <v>1.6989900021913604</v>
      </c>
      <c r="R453" s="361">
        <f t="shared" si="454"/>
        <v>1.8995557719500529</v>
      </c>
      <c r="S453" s="361">
        <f t="shared" si="454"/>
        <v>2.1237983308287589</v>
      </c>
      <c r="T453" s="361">
        <f t="shared" si="454"/>
        <v>2.3745127237830967</v>
      </c>
      <c r="U453" s="361">
        <f t="shared" si="454"/>
        <v>2.6548239508256946</v>
      </c>
      <c r="V453" s="362">
        <f t="shared" si="454"/>
        <v>2.9682259182206714</v>
      </c>
      <c r="X453" s="351"/>
    </row>
    <row r="454" spans="3:24" ht="24.75" customHeight="1" x14ac:dyDescent="0.3">
      <c r="C454" s="353">
        <f>ABS(E454-Dashboard!$F$14)</f>
        <v>181.84459000925699</v>
      </c>
      <c r="D454" s="350">
        <f t="shared" si="399"/>
        <v>0.11815000000000127</v>
      </c>
      <c r="E454" s="359" cm="1">
        <f t="array" ref="E454">1000*SUM('DRE + DCF'!$L$36/M454,'DRE + DCF'!$N$36:$V$36/N454:V454,F454/V454)/Dashboard!$F$11</f>
        <v>278.834590009257</v>
      </c>
      <c r="F454" s="359">
        <f t="shared" si="397"/>
        <v>31854123.816008285</v>
      </c>
      <c r="G454" s="359">
        <f>'DRE + DCF'!$W$31</f>
        <v>2791623.3540418856</v>
      </c>
      <c r="H454" s="359">
        <f>'DRE + DCF'!$W$32</f>
        <v>81081.931703745853</v>
      </c>
      <c r="I454" s="359">
        <f>-H454*('DRE + DCF'!$V$33+K454)/'DRE + DCF'!$V$33</f>
        <v>-90858.801614444121</v>
      </c>
      <c r="J454" s="359">
        <f>-'DRE + DCF'!$V$56*L454</f>
        <v>-1188924.4255577971</v>
      </c>
      <c r="K454" s="360">
        <f>(1+L454)/(1+Ke!$O$12)-1</f>
        <v>2.0000000000000018E-2</v>
      </c>
      <c r="L454" s="360">
        <f>'DRE + DCF'!$Y$31</f>
        <v>7.3550000000000004E-2</v>
      </c>
      <c r="M454" s="361">
        <f>(1+D454)^((5-Dashboard!$F$9)*3/12)</f>
        <v>1.0873642519736304</v>
      </c>
      <c r="N454" s="361">
        <f t="shared" ref="N454:V454" si="455">M454*(1+$D454)</f>
        <v>1.2158363383443163</v>
      </c>
      <c r="O454" s="361">
        <f t="shared" si="455"/>
        <v>1.3594874017196987</v>
      </c>
      <c r="P454" s="361">
        <f t="shared" si="455"/>
        <v>1.520110838232883</v>
      </c>
      <c r="Q454" s="361">
        <f t="shared" si="455"/>
        <v>1.6997119337701001</v>
      </c>
      <c r="R454" s="361">
        <f t="shared" si="455"/>
        <v>1.9005328987450396</v>
      </c>
      <c r="S454" s="361">
        <f t="shared" si="455"/>
        <v>2.1250808607317686</v>
      </c>
      <c r="T454" s="361">
        <f t="shared" si="455"/>
        <v>2.37615916442723</v>
      </c>
      <c r="U454" s="361">
        <f t="shared" si="455"/>
        <v>2.6569023697043104</v>
      </c>
      <c r="V454" s="362">
        <f t="shared" si="455"/>
        <v>2.9708153846848782</v>
      </c>
      <c r="X454" s="351"/>
    </row>
    <row r="455" spans="3:24" ht="24.75" customHeight="1" x14ac:dyDescent="0.3">
      <c r="C455" s="353">
        <f>ABS(E455-Dashboard!$F$14)</f>
        <v>181.31313473939503</v>
      </c>
      <c r="D455" s="350">
        <f t="shared" si="399"/>
        <v>0.11825000000000127</v>
      </c>
      <c r="E455" s="359" cm="1">
        <f t="array" ref="E455">1000*SUM('DRE + DCF'!$L$36/M455,'DRE + DCF'!$N$36:$V$36/N455:V455,F455/V455)/Dashboard!$F$11</f>
        <v>278.30313473939503</v>
      </c>
      <c r="F455" s="359">
        <f t="shared" si="397"/>
        <v>31800509.545639601</v>
      </c>
      <c r="G455" s="359">
        <f>'DRE + DCF'!$W$31</f>
        <v>2791623.3540418856</v>
      </c>
      <c r="H455" s="359">
        <f>'DRE + DCF'!$W$32</f>
        <v>81081.931703745853</v>
      </c>
      <c r="I455" s="359">
        <f>-H455*('DRE + DCF'!$V$33+K455)/'DRE + DCF'!$V$33</f>
        <v>-90858.801614444121</v>
      </c>
      <c r="J455" s="359">
        <f>-'DRE + DCF'!$V$56*L455</f>
        <v>-1188924.4255577971</v>
      </c>
      <c r="K455" s="360">
        <f>(1+L455)/(1+Ke!$O$12)-1</f>
        <v>2.0000000000000018E-2</v>
      </c>
      <c r="L455" s="360">
        <f>'DRE + DCF'!$Y$31</f>
        <v>7.3550000000000004E-2</v>
      </c>
      <c r="M455" s="361">
        <f>(1+D455)^((5-Dashboard!$F$9)*3/12)</f>
        <v>1.0874371862018144</v>
      </c>
      <c r="N455" s="361">
        <f t="shared" ref="N455:V455" si="456">M455*(1+$D455)</f>
        <v>1.2160266334701804</v>
      </c>
      <c r="O455" s="361">
        <f t="shared" si="456"/>
        <v>1.3598217828780308</v>
      </c>
      <c r="P455" s="361">
        <f t="shared" si="456"/>
        <v>1.5206207087033596</v>
      </c>
      <c r="Q455" s="361">
        <f t="shared" si="456"/>
        <v>1.700434107507534</v>
      </c>
      <c r="R455" s="361">
        <f t="shared" si="456"/>
        <v>1.9015104407203021</v>
      </c>
      <c r="S455" s="361">
        <f t="shared" si="456"/>
        <v>2.1263640503354804</v>
      </c>
      <c r="T455" s="361">
        <f t="shared" si="456"/>
        <v>2.3778065992876538</v>
      </c>
      <c r="U455" s="361">
        <f t="shared" si="456"/>
        <v>2.658982229653422</v>
      </c>
      <c r="V455" s="362">
        <f t="shared" si="456"/>
        <v>2.9734068783099428</v>
      </c>
      <c r="X455" s="351"/>
    </row>
    <row r="456" spans="3:24" ht="24.75" customHeight="1" x14ac:dyDescent="0.3">
      <c r="C456" s="353">
        <f>ABS(E456-Dashboard!$F$14)</f>
        <v>180.78368691067465</v>
      </c>
      <c r="D456" s="350">
        <f t="shared" si="399"/>
        <v>0.11835000000000127</v>
      </c>
      <c r="E456" s="359" cm="1">
        <f t="array" ref="E456">1000*SUM('DRE + DCF'!$L$36/M456,'DRE + DCF'!$N$36:$V$36/N456:V456,F456/V456)/Dashboard!$F$11</f>
        <v>277.77368691067466</v>
      </c>
      <c r="F456" s="359">
        <f t="shared" si="397"/>
        <v>31747104.868276</v>
      </c>
      <c r="G456" s="359">
        <f>'DRE + DCF'!$W$31</f>
        <v>2791623.3540418856</v>
      </c>
      <c r="H456" s="359">
        <f>'DRE + DCF'!$W$32</f>
        <v>81081.931703745853</v>
      </c>
      <c r="I456" s="359">
        <f>-H456*('DRE + DCF'!$V$33+K456)/'DRE + DCF'!$V$33</f>
        <v>-90858.801614444121</v>
      </c>
      <c r="J456" s="359">
        <f>-'DRE + DCF'!$V$56*L456</f>
        <v>-1188924.4255577971</v>
      </c>
      <c r="K456" s="360">
        <f>(1+L456)/(1+Ke!$O$12)-1</f>
        <v>2.0000000000000018E-2</v>
      </c>
      <c r="L456" s="360">
        <f>'DRE + DCF'!$Y$31</f>
        <v>7.3550000000000004E-2</v>
      </c>
      <c r="M456" s="361">
        <f>(1+D456)^((5-Dashboard!$F$9)*3/12)</f>
        <v>1.0875101187994727</v>
      </c>
      <c r="N456" s="361">
        <f t="shared" ref="N456:V456" si="457">M456*(1+$D456)</f>
        <v>1.2162169413593917</v>
      </c>
      <c r="O456" s="361">
        <f t="shared" si="457"/>
        <v>1.3601562163692773</v>
      </c>
      <c r="P456" s="361">
        <f t="shared" si="457"/>
        <v>1.5211307045765829</v>
      </c>
      <c r="Q456" s="361">
        <f t="shared" si="457"/>
        <v>1.7011565234632235</v>
      </c>
      <c r="R456" s="361">
        <f t="shared" si="457"/>
        <v>1.9024883980150982</v>
      </c>
      <c r="S456" s="361">
        <f t="shared" si="457"/>
        <v>2.1276478999201873</v>
      </c>
      <c r="T456" s="361">
        <f t="shared" si="457"/>
        <v>2.3794550288757441</v>
      </c>
      <c r="U456" s="361">
        <f t="shared" si="457"/>
        <v>2.6610635315431916</v>
      </c>
      <c r="V456" s="362">
        <f t="shared" si="457"/>
        <v>2.9760004005013316</v>
      </c>
      <c r="X456" s="351"/>
    </row>
    <row r="457" spans="3:24" ht="24.75" customHeight="1" x14ac:dyDescent="0.3">
      <c r="C457" s="353">
        <f>ABS(E457-Dashboard!$F$14)</f>
        <v>180.25623430025666</v>
      </c>
      <c r="D457" s="350">
        <f t="shared" si="399"/>
        <v>0.11845000000000128</v>
      </c>
      <c r="E457" s="359" cm="1">
        <f t="array" ref="E457">1000*SUM('DRE + DCF'!$L$36/M457,'DRE + DCF'!$N$36:$V$36/N457:V457,F457/V457)/Dashboard!$F$11</f>
        <v>277.24623430025667</v>
      </c>
      <c r="F457" s="359">
        <f t="shared" si="397"/>
        <v>31693908.458715431</v>
      </c>
      <c r="G457" s="359">
        <f>'DRE + DCF'!$W$31</f>
        <v>2791623.3540418856</v>
      </c>
      <c r="H457" s="359">
        <f>'DRE + DCF'!$W$32</f>
        <v>81081.931703745853</v>
      </c>
      <c r="I457" s="359">
        <f>-H457*('DRE + DCF'!$V$33+K457)/'DRE + DCF'!$V$33</f>
        <v>-90858.801614444121</v>
      </c>
      <c r="J457" s="359">
        <f>-'DRE + DCF'!$V$56*L457</f>
        <v>-1188924.4255577971</v>
      </c>
      <c r="K457" s="360">
        <f>(1+L457)/(1+Ke!$O$12)-1</f>
        <v>2.0000000000000018E-2</v>
      </c>
      <c r="L457" s="360">
        <f>'DRE + DCF'!$Y$31</f>
        <v>7.3550000000000004E-2</v>
      </c>
      <c r="M457" s="361">
        <f>(1+D457)^((5-Dashboard!$F$9)*3/12)</f>
        <v>1.0875830497667875</v>
      </c>
      <c r="N457" s="361">
        <f t="shared" ref="N457:V457" si="458">M457*(1+$D457)</f>
        <v>1.2164072620116648</v>
      </c>
      <c r="O457" s="361">
        <f t="shared" si="458"/>
        <v>1.3604907021969481</v>
      </c>
      <c r="P457" s="361">
        <f t="shared" si="458"/>
        <v>1.5216408258721783</v>
      </c>
      <c r="Q457" s="361">
        <f t="shared" si="458"/>
        <v>1.7018791816967398</v>
      </c>
      <c r="R457" s="361">
        <f t="shared" si="458"/>
        <v>1.9034667707687207</v>
      </c>
      <c r="S457" s="361">
        <f t="shared" si="458"/>
        <v>2.1289324097662781</v>
      </c>
      <c r="T457" s="361">
        <f t="shared" si="458"/>
        <v>2.3811044537030965</v>
      </c>
      <c r="U457" s="361">
        <f t="shared" si="458"/>
        <v>2.6631462762442313</v>
      </c>
      <c r="V457" s="362">
        <f t="shared" si="458"/>
        <v>2.9785959526653638</v>
      </c>
      <c r="X457" s="351"/>
    </row>
    <row r="458" spans="3:24" ht="24.75" customHeight="1" x14ac:dyDescent="0.3">
      <c r="C458" s="353">
        <f>ABS(E458-Dashboard!$F$14)</f>
        <v>179.73076478959274</v>
      </c>
      <c r="D458" s="350">
        <f t="shared" si="399"/>
        <v>0.11855000000000128</v>
      </c>
      <c r="E458" s="359" cm="1">
        <f t="array" ref="E458">1000*SUM('DRE + DCF'!$L$36/M458,'DRE + DCF'!$N$36:$V$36/N458:V458,F458/V458)/Dashboard!$F$11</f>
        <v>276.72076478959275</v>
      </c>
      <c r="F458" s="359">
        <f t="shared" si="397"/>
        <v>31640919.003282271</v>
      </c>
      <c r="G458" s="359">
        <f>'DRE + DCF'!$W$31</f>
        <v>2791623.3540418856</v>
      </c>
      <c r="H458" s="359">
        <f>'DRE + DCF'!$W$32</f>
        <v>81081.931703745853</v>
      </c>
      <c r="I458" s="359">
        <f>-H458*('DRE + DCF'!$V$33+K458)/'DRE + DCF'!$V$33</f>
        <v>-90858.801614444121</v>
      </c>
      <c r="J458" s="359">
        <f>-'DRE + DCF'!$V$56*L458</f>
        <v>-1188924.4255577971</v>
      </c>
      <c r="K458" s="360">
        <f>(1+L458)/(1+Ke!$O$12)-1</f>
        <v>2.0000000000000018E-2</v>
      </c>
      <c r="L458" s="360">
        <f>'DRE + DCF'!$Y$31</f>
        <v>7.3550000000000004E-2</v>
      </c>
      <c r="M458" s="361">
        <f>(1+D458)^((5-Dashboard!$F$9)*3/12)</f>
        <v>1.0876559791039413</v>
      </c>
      <c r="N458" s="361">
        <f t="shared" ref="N458:V458" si="459">M458*(1+$D458)</f>
        <v>1.216597595426715</v>
      </c>
      <c r="O458" s="361">
        <f t="shared" si="459"/>
        <v>1.3608252403645535</v>
      </c>
      <c r="P458" s="361">
        <f t="shared" si="459"/>
        <v>1.5221510726097731</v>
      </c>
      <c r="Q458" s="361">
        <f t="shared" si="459"/>
        <v>1.7026020822676637</v>
      </c>
      <c r="R458" s="361">
        <f t="shared" si="459"/>
        <v>1.9044455591204974</v>
      </c>
      <c r="S458" s="361">
        <f t="shared" si="459"/>
        <v>2.1302175801542349</v>
      </c>
      <c r="T458" s="361">
        <f t="shared" si="459"/>
        <v>2.3827548742815221</v>
      </c>
      <c r="U458" s="361">
        <f t="shared" si="459"/>
        <v>2.6652304646275997</v>
      </c>
      <c r="V458" s="362">
        <f t="shared" si="459"/>
        <v>2.9811935362092052</v>
      </c>
      <c r="X458" s="351"/>
    </row>
    <row r="459" spans="3:24" ht="24.75" customHeight="1" x14ac:dyDescent="0.3">
      <c r="C459" s="353">
        <f>ABS(E459-Dashboard!$F$14)</f>
        <v>179.20726636328754</v>
      </c>
      <c r="D459" s="350">
        <f t="shared" si="399"/>
        <v>0.11865000000000128</v>
      </c>
      <c r="E459" s="359" cm="1">
        <f t="array" ref="E459">1000*SUM('DRE + DCF'!$L$36/M459,'DRE + DCF'!$N$36:$V$36/N459:V459,F459/V459)/Dashboard!$F$11</f>
        <v>276.19726636328755</v>
      </c>
      <c r="F459" s="359">
        <f t="shared" si="397"/>
        <v>31588135.199700579</v>
      </c>
      <c r="G459" s="359">
        <f>'DRE + DCF'!$W$31</f>
        <v>2791623.3540418856</v>
      </c>
      <c r="H459" s="359">
        <f>'DRE + DCF'!$W$32</f>
        <v>81081.931703745853</v>
      </c>
      <c r="I459" s="359">
        <f>-H459*('DRE + DCF'!$V$33+K459)/'DRE + DCF'!$V$33</f>
        <v>-90858.801614444121</v>
      </c>
      <c r="J459" s="359">
        <f>-'DRE + DCF'!$V$56*L459</f>
        <v>-1188924.4255577971</v>
      </c>
      <c r="K459" s="360">
        <f>(1+L459)/(1+Ke!$O$12)-1</f>
        <v>2.0000000000000018E-2</v>
      </c>
      <c r="L459" s="360">
        <f>'DRE + DCF'!$Y$31</f>
        <v>7.3550000000000004E-2</v>
      </c>
      <c r="M459" s="361">
        <f>(1+D459)^((5-Dashboard!$F$9)*3/12)</f>
        <v>1.087728906811116</v>
      </c>
      <c r="N459" s="361">
        <f t="shared" ref="N459:V459" si="460">M459*(1+$D459)</f>
        <v>1.2167879416042562</v>
      </c>
      <c r="O459" s="361">
        <f t="shared" si="460"/>
        <v>1.3611598308756028</v>
      </c>
      <c r="P459" s="361">
        <f t="shared" si="460"/>
        <v>1.5226614448089948</v>
      </c>
      <c r="Q459" s="361">
        <f t="shared" si="460"/>
        <v>1.7033252252355839</v>
      </c>
      <c r="R459" s="361">
        <f t="shared" si="460"/>
        <v>1.905424763209788</v>
      </c>
      <c r="S459" s="361">
        <f t="shared" si="460"/>
        <v>2.1315034113646316</v>
      </c>
      <c r="T459" s="361">
        <f t="shared" si="460"/>
        <v>2.3844062911230477</v>
      </c>
      <c r="U459" s="361">
        <f t="shared" si="460"/>
        <v>2.6673160975648003</v>
      </c>
      <c r="V459" s="362">
        <f t="shared" si="460"/>
        <v>2.983793152540867</v>
      </c>
      <c r="X459" s="351"/>
    </row>
    <row r="460" spans="3:24" ht="24.75" customHeight="1" x14ac:dyDescent="0.3">
      <c r="C460" s="353">
        <f>ABS(E460-Dashboard!$F$14)</f>
        <v>178.68572710797548</v>
      </c>
      <c r="D460" s="350">
        <f t="shared" si="399"/>
        <v>0.11875000000000129</v>
      </c>
      <c r="E460" s="359" cm="1">
        <f t="array" ref="E460">1000*SUM('DRE + DCF'!$L$36/M460,'DRE + DCF'!$N$36:$V$36/N460:V460,F460/V460)/Dashboard!$F$11</f>
        <v>275.67572710797549</v>
      </c>
      <c r="F460" s="359">
        <f t="shared" si="397"/>
        <v>31535555.756969057</v>
      </c>
      <c r="G460" s="359">
        <f>'DRE + DCF'!$W$31</f>
        <v>2791623.3540418856</v>
      </c>
      <c r="H460" s="359">
        <f>'DRE + DCF'!$W$32</f>
        <v>81081.931703745853</v>
      </c>
      <c r="I460" s="359">
        <f>-H460*('DRE + DCF'!$V$33+K460)/'DRE + DCF'!$V$33</f>
        <v>-90858.801614444121</v>
      </c>
      <c r="J460" s="359">
        <f>-'DRE + DCF'!$V$56*L460</f>
        <v>-1188924.4255577971</v>
      </c>
      <c r="K460" s="360">
        <f>(1+L460)/(1+Ke!$O$12)-1</f>
        <v>2.0000000000000018E-2</v>
      </c>
      <c r="L460" s="360">
        <f>'DRE + DCF'!$Y$31</f>
        <v>7.3550000000000004E-2</v>
      </c>
      <c r="M460" s="361">
        <f>(1+D460)^((5-Dashboard!$F$9)*3/12)</f>
        <v>1.0878018328884937</v>
      </c>
      <c r="N460" s="361">
        <f t="shared" ref="N460:V460" si="461">M460*(1+$D460)</f>
        <v>1.2169783005440038</v>
      </c>
      <c r="O460" s="361">
        <f t="shared" si="461"/>
        <v>1.3614944737336057</v>
      </c>
      <c r="P460" s="361">
        <f t="shared" si="461"/>
        <v>1.523171942489473</v>
      </c>
      <c r="Q460" s="361">
        <f t="shared" si="461"/>
        <v>1.7040486106600998</v>
      </c>
      <c r="R460" s="361">
        <f t="shared" si="461"/>
        <v>1.9064043831759887</v>
      </c>
      <c r="S460" s="361">
        <f t="shared" si="461"/>
        <v>2.1327899036781397</v>
      </c>
      <c r="T460" s="361">
        <f t="shared" si="461"/>
        <v>2.3860587047399213</v>
      </c>
      <c r="U460" s="361">
        <f t="shared" si="461"/>
        <v>2.6694031759277901</v>
      </c>
      <c r="V460" s="362">
        <f t="shared" si="461"/>
        <v>2.9863948030692185</v>
      </c>
      <c r="X460" s="351"/>
    </row>
    <row r="461" spans="3:24" ht="24.75" customHeight="1" x14ac:dyDescent="0.3">
      <c r="C461" s="353">
        <f>ABS(E461-Dashboard!$F$14)</f>
        <v>178.16613521121445</v>
      </c>
      <c r="D461" s="350">
        <f t="shared" si="399"/>
        <v>0.11885000000000129</v>
      </c>
      <c r="E461" s="359" cm="1">
        <f t="array" ref="E461">1000*SUM('DRE + DCF'!$L$36/M461,'DRE + DCF'!$N$36:$V$36/N461:V461,F461/V461)/Dashboard!$F$11</f>
        <v>275.15613521121446</v>
      </c>
      <c r="F461" s="359">
        <f t="shared" si="397"/>
        <v>31483179.395237669</v>
      </c>
      <c r="G461" s="359">
        <f>'DRE + DCF'!$W$31</f>
        <v>2791623.3540418856</v>
      </c>
      <c r="H461" s="359">
        <f>'DRE + DCF'!$W$32</f>
        <v>81081.931703745853</v>
      </c>
      <c r="I461" s="359">
        <f>-H461*('DRE + DCF'!$V$33+K461)/'DRE + DCF'!$V$33</f>
        <v>-90858.801614444121</v>
      </c>
      <c r="J461" s="359">
        <f>-'DRE + DCF'!$V$56*L461</f>
        <v>-1188924.4255577971</v>
      </c>
      <c r="K461" s="360">
        <f>(1+L461)/(1+Ke!$O$12)-1</f>
        <v>2.0000000000000018E-2</v>
      </c>
      <c r="L461" s="360">
        <f>'DRE + DCF'!$Y$31</f>
        <v>7.3550000000000004E-2</v>
      </c>
      <c r="M461" s="361">
        <f>(1+D461)^((5-Dashboard!$F$9)*3/12)</f>
        <v>1.0878747573362566</v>
      </c>
      <c r="N461" s="361">
        <f t="shared" ref="N461:V461" si="462">M461*(1+$D461)</f>
        <v>1.217168672245672</v>
      </c>
      <c r="O461" s="361">
        <f t="shared" si="462"/>
        <v>1.3618291689420716</v>
      </c>
      <c r="P461" s="361">
        <f t="shared" si="462"/>
        <v>1.5236825656708386</v>
      </c>
      <c r="Q461" s="361">
        <f t="shared" si="462"/>
        <v>1.7047722386008197</v>
      </c>
      <c r="R461" s="361">
        <f t="shared" si="462"/>
        <v>1.9073844191585292</v>
      </c>
      <c r="S461" s="361">
        <f t="shared" si="462"/>
        <v>2.1340770573755226</v>
      </c>
      <c r="T461" s="361">
        <f t="shared" si="462"/>
        <v>2.3877121156446059</v>
      </c>
      <c r="U461" s="361">
        <f t="shared" si="462"/>
        <v>2.6714917005889705</v>
      </c>
      <c r="V461" s="362">
        <f t="shared" si="462"/>
        <v>2.9889984892039729</v>
      </c>
      <c r="X461" s="351"/>
    </row>
    <row r="462" spans="3:24" ht="24.75" customHeight="1" x14ac:dyDescent="0.3">
      <c r="C462" s="353">
        <f>ABS(E462-Dashboard!$F$14)</f>
        <v>177.64847896039197</v>
      </c>
      <c r="D462" s="350">
        <f t="shared" si="399"/>
        <v>0.11895000000000129</v>
      </c>
      <c r="E462" s="359" cm="1">
        <f t="array" ref="E462">1000*SUM('DRE + DCF'!$L$36/M462,'DRE + DCF'!$N$36:$V$36/N462:V462,F462/V462)/Dashboard!$F$11</f>
        <v>274.63847896039198</v>
      </c>
      <c r="F462" s="359">
        <f t="shared" ref="F462:F525" si="463">AVERAGE(SUM(G462:J462)*(1+L462)/(D462-L462),G462*(1+L462)*(1-L462/D462)/(D462-L462))</f>
        <v>31431004.845685862</v>
      </c>
      <c r="G462" s="359">
        <f>'DRE + DCF'!$W$31</f>
        <v>2791623.3540418856</v>
      </c>
      <c r="H462" s="359">
        <f>'DRE + DCF'!$W$32</f>
        <v>81081.931703745853</v>
      </c>
      <c r="I462" s="359">
        <f>-H462*('DRE + DCF'!$V$33+K462)/'DRE + DCF'!$V$33</f>
        <v>-90858.801614444121</v>
      </c>
      <c r="J462" s="359">
        <f>-'DRE + DCF'!$V$56*L462</f>
        <v>-1188924.4255577971</v>
      </c>
      <c r="K462" s="360">
        <f>(1+L462)/(1+Ke!$O$12)-1</f>
        <v>2.0000000000000018E-2</v>
      </c>
      <c r="L462" s="360">
        <f>'DRE + DCF'!$Y$31</f>
        <v>7.3550000000000004E-2</v>
      </c>
      <c r="M462" s="361">
        <f>(1+D462)^((5-Dashboard!$F$9)*3/12)</f>
        <v>1.0879476801545869</v>
      </c>
      <c r="N462" s="361">
        <f t="shared" ref="N462:V462" si="464">M462*(1+$D462)</f>
        <v>1.2173590567089763</v>
      </c>
      <c r="O462" s="361">
        <f t="shared" si="464"/>
        <v>1.3621639165045105</v>
      </c>
      <c r="P462" s="361">
        <f t="shared" si="464"/>
        <v>1.5241933143727238</v>
      </c>
      <c r="Q462" s="361">
        <f t="shared" si="464"/>
        <v>1.705496109117361</v>
      </c>
      <c r="R462" s="361">
        <f t="shared" si="464"/>
        <v>1.9083648712968733</v>
      </c>
      <c r="S462" s="361">
        <f t="shared" si="464"/>
        <v>2.1353648727376386</v>
      </c>
      <c r="T462" s="361">
        <f t="shared" si="464"/>
        <v>2.3893665243497835</v>
      </c>
      <c r="U462" s="361">
        <f t="shared" si="464"/>
        <v>2.6735816724211929</v>
      </c>
      <c r="V462" s="362">
        <f t="shared" si="464"/>
        <v>2.9916042123556972</v>
      </c>
      <c r="X462" s="351"/>
    </row>
    <row r="463" spans="3:24" ht="24.75" customHeight="1" x14ac:dyDescent="0.3">
      <c r="C463" s="353">
        <f>ABS(E463-Dashboard!$F$14)</f>
        <v>177.13274674164649</v>
      </c>
      <c r="D463" s="350">
        <f t="shared" ref="D463:D526" si="465">D462+0.0001</f>
        <v>0.11905000000000129</v>
      </c>
      <c r="E463" s="359" cm="1">
        <f t="array" ref="E463">1000*SUM('DRE + DCF'!$L$36/M463,'DRE + DCF'!$N$36:$V$36/N463:V463,F463/V463)/Dashboard!$F$11</f>
        <v>274.12274674164649</v>
      </c>
      <c r="F463" s="359">
        <f t="shared" si="463"/>
        <v>31379030.850402385</v>
      </c>
      <c r="G463" s="359">
        <f>'DRE + DCF'!$W$31</f>
        <v>2791623.3540418856</v>
      </c>
      <c r="H463" s="359">
        <f>'DRE + DCF'!$W$32</f>
        <v>81081.931703745853</v>
      </c>
      <c r="I463" s="359">
        <f>-H463*('DRE + DCF'!$V$33+K463)/'DRE + DCF'!$V$33</f>
        <v>-90858.801614444121</v>
      </c>
      <c r="J463" s="359">
        <f>-'DRE + DCF'!$V$56*L463</f>
        <v>-1188924.4255577971</v>
      </c>
      <c r="K463" s="360">
        <f>(1+L463)/(1+Ke!$O$12)-1</f>
        <v>2.0000000000000018E-2</v>
      </c>
      <c r="L463" s="360">
        <f>'DRE + DCF'!$Y$31</f>
        <v>7.3550000000000004E-2</v>
      </c>
      <c r="M463" s="361">
        <f>(1+D463)^((5-Dashboard!$F$9)*3/12)</f>
        <v>1.0880206013436664</v>
      </c>
      <c r="N463" s="361">
        <f t="shared" ref="N463:V463" si="466">M463*(1+$D463)</f>
        <v>1.2175494539336311</v>
      </c>
      <c r="O463" s="361">
        <f t="shared" si="466"/>
        <v>1.3624987164244313</v>
      </c>
      <c r="P463" s="361">
        <f t="shared" si="466"/>
        <v>1.5247041886147614</v>
      </c>
      <c r="Q463" s="361">
        <f t="shared" si="466"/>
        <v>1.7062202222693506</v>
      </c>
      <c r="R463" s="361">
        <f t="shared" si="466"/>
        <v>1.9093457397305189</v>
      </c>
      <c r="S463" s="361">
        <f t="shared" si="466"/>
        <v>2.1366533500454397</v>
      </c>
      <c r="T463" s="361">
        <f t="shared" si="466"/>
        <v>2.3910219313683516</v>
      </c>
      <c r="U463" s="361">
        <f t="shared" si="466"/>
        <v>2.6756730922977567</v>
      </c>
      <c r="V463" s="362">
        <f t="shared" si="466"/>
        <v>2.994211973935808</v>
      </c>
      <c r="X463" s="351"/>
    </row>
    <row r="464" spans="3:24" ht="24.75" customHeight="1" x14ac:dyDescent="0.3">
      <c r="C464" s="353">
        <f>ABS(E464-Dashboard!$F$14)</f>
        <v>176.61892703880278</v>
      </c>
      <c r="D464" s="350">
        <f t="shared" si="465"/>
        <v>0.1191500000000013</v>
      </c>
      <c r="E464" s="359" cm="1">
        <f t="array" ref="E464">1000*SUM('DRE + DCF'!$L$36/M464,'DRE + DCF'!$N$36:$V$36/N464:V464,F464/V464)/Dashboard!$F$11</f>
        <v>273.60892703880279</v>
      </c>
      <c r="F464" s="359">
        <f t="shared" si="463"/>
        <v>31327256.162266716</v>
      </c>
      <c r="G464" s="359">
        <f>'DRE + DCF'!$W$31</f>
        <v>2791623.3540418856</v>
      </c>
      <c r="H464" s="359">
        <f>'DRE + DCF'!$W$32</f>
        <v>81081.931703745853</v>
      </c>
      <c r="I464" s="359">
        <f>-H464*('DRE + DCF'!$V$33+K464)/'DRE + DCF'!$V$33</f>
        <v>-90858.801614444121</v>
      </c>
      <c r="J464" s="359">
        <f>-'DRE + DCF'!$V$56*L464</f>
        <v>-1188924.4255577971</v>
      </c>
      <c r="K464" s="360">
        <f>(1+L464)/(1+Ke!$O$12)-1</f>
        <v>2.0000000000000018E-2</v>
      </c>
      <c r="L464" s="360">
        <f>'DRE + DCF'!$Y$31</f>
        <v>7.3550000000000004E-2</v>
      </c>
      <c r="M464" s="361">
        <f>(1+D464)^((5-Dashboard!$F$9)*3/12)</f>
        <v>1.0880935209036771</v>
      </c>
      <c r="N464" s="361">
        <f t="shared" ref="N464:V464" si="467">M464*(1+$D464)</f>
        <v>1.2177398639193515</v>
      </c>
      <c r="O464" s="361">
        <f t="shared" si="467"/>
        <v>1.3628335687053437</v>
      </c>
      <c r="P464" s="361">
        <f t="shared" si="467"/>
        <v>1.525215188416587</v>
      </c>
      <c r="Q464" s="361">
        <f t="shared" si="467"/>
        <v>1.7069445781164252</v>
      </c>
      <c r="R464" s="361">
        <f t="shared" si="467"/>
        <v>1.9103270245989994</v>
      </c>
      <c r="S464" s="361">
        <f t="shared" si="467"/>
        <v>2.1379424895799723</v>
      </c>
      <c r="T464" s="361">
        <f t="shared" si="467"/>
        <v>2.3926783372134288</v>
      </c>
      <c r="U464" s="361">
        <f t="shared" si="467"/>
        <v>2.6777659610924118</v>
      </c>
      <c r="V464" s="362">
        <f t="shared" si="467"/>
        <v>2.996821775356576</v>
      </c>
      <c r="X464" s="351"/>
    </row>
    <row r="465" spans="3:24" ht="24.75" customHeight="1" x14ac:dyDescent="0.3">
      <c r="C465" s="353">
        <f>ABS(E465-Dashboard!$F$14)</f>
        <v>176.10700843232109</v>
      </c>
      <c r="D465" s="350">
        <f t="shared" si="465"/>
        <v>0.1192500000000013</v>
      </c>
      <c r="E465" s="359" cm="1">
        <f t="array" ref="E465">1000*SUM('DRE + DCF'!$L$36/M465,'DRE + DCF'!$N$36:$V$36/N465:V465,F465/V465)/Dashboard!$F$11</f>
        <v>273.0970084323211</v>
      </c>
      <c r="F465" s="359">
        <f t="shared" si="463"/>
        <v>31275679.544832017</v>
      </c>
      <c r="G465" s="359">
        <f>'DRE + DCF'!$W$31</f>
        <v>2791623.3540418856</v>
      </c>
      <c r="H465" s="359">
        <f>'DRE + DCF'!$W$32</f>
        <v>81081.931703745853</v>
      </c>
      <c r="I465" s="359">
        <f>-H465*('DRE + DCF'!$V$33+K465)/'DRE + DCF'!$V$33</f>
        <v>-90858.801614444121</v>
      </c>
      <c r="J465" s="359">
        <f>-'DRE + DCF'!$V$56*L465</f>
        <v>-1188924.4255577971</v>
      </c>
      <c r="K465" s="360">
        <f>(1+L465)/(1+Ke!$O$12)-1</f>
        <v>2.0000000000000018E-2</v>
      </c>
      <c r="L465" s="360">
        <f>'DRE + DCF'!$Y$31</f>
        <v>7.3550000000000004E-2</v>
      </c>
      <c r="M465" s="361">
        <f>(1+D465)^((5-Dashboard!$F$9)*3/12)</f>
        <v>1.0881664388348011</v>
      </c>
      <c r="N465" s="361">
        <f t="shared" ref="N465:V465" si="468">M465*(1+$D465)</f>
        <v>1.2179302866658528</v>
      </c>
      <c r="O465" s="361">
        <f t="shared" si="468"/>
        <v>1.3631684733507574</v>
      </c>
      <c r="P465" s="361">
        <f t="shared" si="468"/>
        <v>1.5257263137978372</v>
      </c>
      <c r="Q465" s="361">
        <f t="shared" si="468"/>
        <v>1.7076691767182315</v>
      </c>
      <c r="R465" s="361">
        <f t="shared" si="468"/>
        <v>1.9113087260418831</v>
      </c>
      <c r="S465" s="361">
        <f t="shared" si="468"/>
        <v>2.1392322916223803</v>
      </c>
      <c r="T465" s="361">
        <f t="shared" si="468"/>
        <v>2.394335742398352</v>
      </c>
      <c r="U465" s="361">
        <f t="shared" si="468"/>
        <v>2.6798602796793589</v>
      </c>
      <c r="V465" s="362">
        <f t="shared" si="468"/>
        <v>2.9994336180311261</v>
      </c>
      <c r="X465" s="351"/>
    </row>
    <row r="466" spans="3:24" ht="24.75" customHeight="1" x14ac:dyDescent="0.3">
      <c r="C466" s="353">
        <f>ABS(E466-Dashboard!$F$14)</f>
        <v>175.5969795982607</v>
      </c>
      <c r="D466" s="350">
        <f t="shared" si="465"/>
        <v>0.1193500000000013</v>
      </c>
      <c r="E466" s="359" cm="1">
        <f t="array" ref="E466">1000*SUM('DRE + DCF'!$L$36/M466,'DRE + DCF'!$N$36:$V$36/N466:V466,F466/V466)/Dashboard!$F$11</f>
        <v>272.58697959826071</v>
      </c>
      <c r="F466" s="359">
        <f t="shared" si="463"/>
        <v>31224299.772209607</v>
      </c>
      <c r="G466" s="359">
        <f>'DRE + DCF'!$W$31</f>
        <v>2791623.3540418856</v>
      </c>
      <c r="H466" s="359">
        <f>'DRE + DCF'!$W$32</f>
        <v>81081.931703745853</v>
      </c>
      <c r="I466" s="359">
        <f>-H466*('DRE + DCF'!$V$33+K466)/'DRE + DCF'!$V$33</f>
        <v>-90858.801614444121</v>
      </c>
      <c r="J466" s="359">
        <f>-'DRE + DCF'!$V$56*L466</f>
        <v>-1188924.4255577971</v>
      </c>
      <c r="K466" s="360">
        <f>(1+L466)/(1+Ke!$O$12)-1</f>
        <v>2.0000000000000018E-2</v>
      </c>
      <c r="L466" s="360">
        <f>'DRE + DCF'!$Y$31</f>
        <v>7.3550000000000004E-2</v>
      </c>
      <c r="M466" s="361">
        <f>(1+D466)^((5-Dashboard!$F$9)*3/12)</f>
        <v>1.0882393551372203</v>
      </c>
      <c r="N466" s="361">
        <f t="shared" ref="N466:V466" si="469">M466*(1+$D466)</f>
        <v>1.2181207221728489</v>
      </c>
      <c r="O466" s="361">
        <f t="shared" si="469"/>
        <v>1.3635034303641802</v>
      </c>
      <c r="P466" s="361">
        <f t="shared" si="469"/>
        <v>1.526237564778147</v>
      </c>
      <c r="Q466" s="361">
        <f t="shared" si="469"/>
        <v>1.708394018134421</v>
      </c>
      <c r="R466" s="361">
        <f t="shared" si="469"/>
        <v>1.9122908441987665</v>
      </c>
      <c r="S466" s="361">
        <f t="shared" si="469"/>
        <v>2.1405227564538918</v>
      </c>
      <c r="T466" s="361">
        <f t="shared" si="469"/>
        <v>2.3959941474366668</v>
      </c>
      <c r="U466" s="361">
        <f t="shared" si="469"/>
        <v>2.6819560489332366</v>
      </c>
      <c r="V466" s="362">
        <f t="shared" si="469"/>
        <v>3.0020475033734222</v>
      </c>
      <c r="X466" s="351"/>
    </row>
    <row r="467" spans="3:24" ht="24.75" customHeight="1" x14ac:dyDescent="0.3">
      <c r="C467" s="353">
        <f>ABS(E467-Dashboard!$F$14)</f>
        <v>175.08882930725503</v>
      </c>
      <c r="D467" s="350">
        <f t="shared" si="465"/>
        <v>0.11945000000000131</v>
      </c>
      <c r="E467" s="359" cm="1">
        <f t="array" ref="E467">1000*SUM('DRE + DCF'!$L$36/M467,'DRE + DCF'!$N$36:$V$36/N467:V467,F467/V467)/Dashboard!$F$11</f>
        <v>272.07882930725503</v>
      </c>
      <c r="F467" s="359">
        <f t="shared" si="463"/>
        <v>31173115.628954969</v>
      </c>
      <c r="G467" s="359">
        <f>'DRE + DCF'!$W$31</f>
        <v>2791623.3540418856</v>
      </c>
      <c r="H467" s="359">
        <f>'DRE + DCF'!$W$32</f>
        <v>81081.931703745853</v>
      </c>
      <c r="I467" s="359">
        <f>-H467*('DRE + DCF'!$V$33+K467)/'DRE + DCF'!$V$33</f>
        <v>-90858.801614444121</v>
      </c>
      <c r="J467" s="359">
        <f>-'DRE + DCF'!$V$56*L467</f>
        <v>-1188924.4255577971</v>
      </c>
      <c r="K467" s="360">
        <f>(1+L467)/(1+Ke!$O$12)-1</f>
        <v>2.0000000000000018E-2</v>
      </c>
      <c r="L467" s="360">
        <f>'DRE + DCF'!$Y$31</f>
        <v>7.3550000000000004E-2</v>
      </c>
      <c r="M467" s="361">
        <f>(1+D467)^((5-Dashboard!$F$9)*3/12)</f>
        <v>1.0883122698111165</v>
      </c>
      <c r="N467" s="361">
        <f t="shared" ref="N467:V467" si="470">M467*(1+$D467)</f>
        <v>1.218311170440056</v>
      </c>
      <c r="O467" s="361">
        <f t="shared" si="470"/>
        <v>1.3638384397491223</v>
      </c>
      <c r="P467" s="361">
        <f t="shared" si="470"/>
        <v>1.5267489413771569</v>
      </c>
      <c r="Q467" s="361">
        <f t="shared" si="470"/>
        <v>1.7091191024246604</v>
      </c>
      <c r="R467" s="361">
        <f t="shared" si="470"/>
        <v>1.9132733792092884</v>
      </c>
      <c r="S467" s="361">
        <f t="shared" si="470"/>
        <v>2.1418138843558405</v>
      </c>
      <c r="T467" s="361">
        <f t="shared" si="470"/>
        <v>2.3976535528421485</v>
      </c>
      <c r="U467" s="361">
        <f t="shared" si="470"/>
        <v>2.6840532697291466</v>
      </c>
      <c r="V467" s="362">
        <f t="shared" si="470"/>
        <v>3.0046634327982971</v>
      </c>
      <c r="X467" s="351"/>
    </row>
    <row r="468" spans="3:24" ht="24.75" customHeight="1" x14ac:dyDescent="0.3">
      <c r="C468" s="353">
        <f>ABS(E468-Dashboard!$F$14)</f>
        <v>174.58254642350221</v>
      </c>
      <c r="D468" s="350">
        <f t="shared" si="465"/>
        <v>0.11955000000000131</v>
      </c>
      <c r="E468" s="359" cm="1">
        <f t="array" ref="E468">1000*SUM('DRE + DCF'!$L$36/M468,'DRE + DCF'!$N$36:$V$36/N468:V468,F468/V468)/Dashboard!$F$11</f>
        <v>271.57254642350222</v>
      </c>
      <c r="F468" s="359">
        <f t="shared" si="463"/>
        <v>31122125.909955196</v>
      </c>
      <c r="G468" s="359">
        <f>'DRE + DCF'!$W$31</f>
        <v>2791623.3540418856</v>
      </c>
      <c r="H468" s="359">
        <f>'DRE + DCF'!$W$32</f>
        <v>81081.931703745853</v>
      </c>
      <c r="I468" s="359">
        <f>-H468*('DRE + DCF'!$V$33+K468)/'DRE + DCF'!$V$33</f>
        <v>-90858.801614444121</v>
      </c>
      <c r="J468" s="359">
        <f>-'DRE + DCF'!$V$56*L468</f>
        <v>-1188924.4255577971</v>
      </c>
      <c r="K468" s="360">
        <f>(1+L468)/(1+Ke!$O$12)-1</f>
        <v>2.0000000000000018E-2</v>
      </c>
      <c r="L468" s="360">
        <f>'DRE + DCF'!$Y$31</f>
        <v>7.3550000000000004E-2</v>
      </c>
      <c r="M468" s="361">
        <f>(1+D468)^((5-Dashboard!$F$9)*3/12)</f>
        <v>1.0883851828566713</v>
      </c>
      <c r="N468" s="361">
        <f t="shared" ref="N468:V468" si="471">M468*(1+$D468)</f>
        <v>1.2185016314671879</v>
      </c>
      <c r="O468" s="361">
        <f t="shared" si="471"/>
        <v>1.3641735015090919</v>
      </c>
      <c r="P468" s="361">
        <f t="shared" si="471"/>
        <v>1.5272604436145056</v>
      </c>
      <c r="Q468" s="361">
        <f t="shared" si="471"/>
        <v>1.7098444296486219</v>
      </c>
      <c r="R468" s="361">
        <f t="shared" si="471"/>
        <v>1.9142563312131171</v>
      </c>
      <c r="S468" s="361">
        <f t="shared" si="471"/>
        <v>2.143105675609648</v>
      </c>
      <c r="T468" s="361">
        <f t="shared" si="471"/>
        <v>2.3993139591287842</v>
      </c>
      <c r="U468" s="361">
        <f t="shared" si="471"/>
        <v>2.6861519429426335</v>
      </c>
      <c r="V468" s="362">
        <f t="shared" si="471"/>
        <v>3.0072814077214289</v>
      </c>
      <c r="X468" s="351"/>
    </row>
    <row r="469" spans="3:24" ht="24.75" customHeight="1" x14ac:dyDescent="0.3">
      <c r="C469" s="353">
        <f>ABS(E469-Dashboard!$F$14)</f>
        <v>174.07811990376723</v>
      </c>
      <c r="D469" s="350">
        <f t="shared" si="465"/>
        <v>0.11965000000000131</v>
      </c>
      <c r="E469" s="359" cm="1">
        <f t="array" ref="E469">1000*SUM('DRE + DCF'!$L$36/M469,'DRE + DCF'!$N$36:$V$36/N469:V469,F469/V469)/Dashboard!$F$11</f>
        <v>271.06811990376724</v>
      </c>
      <c r="F469" s="359">
        <f t="shared" si="463"/>
        <v>31071329.420317985</v>
      </c>
      <c r="G469" s="359">
        <f>'DRE + DCF'!$W$31</f>
        <v>2791623.3540418856</v>
      </c>
      <c r="H469" s="359">
        <f>'DRE + DCF'!$W$32</f>
        <v>81081.931703745853</v>
      </c>
      <c r="I469" s="359">
        <f>-H469*('DRE + DCF'!$V$33+K469)/'DRE + DCF'!$V$33</f>
        <v>-90858.801614444121</v>
      </c>
      <c r="J469" s="359">
        <f>-'DRE + DCF'!$V$56*L469</f>
        <v>-1188924.4255577971</v>
      </c>
      <c r="K469" s="360">
        <f>(1+L469)/(1+Ke!$O$12)-1</f>
        <v>2.0000000000000018E-2</v>
      </c>
      <c r="L469" s="360">
        <f>'DRE + DCF'!$Y$31</f>
        <v>7.3550000000000004E-2</v>
      </c>
      <c r="M469" s="361">
        <f>(1+D469)^((5-Dashboard!$F$9)*3/12)</f>
        <v>1.0884580942740669</v>
      </c>
      <c r="N469" s="361">
        <f t="shared" ref="N469:V469" si="472">M469*(1+$D469)</f>
        <v>1.2186921052539605</v>
      </c>
      <c r="O469" s="361">
        <f t="shared" si="472"/>
        <v>1.3645086156475985</v>
      </c>
      <c r="P469" s="361">
        <f t="shared" si="472"/>
        <v>1.5277720715098355</v>
      </c>
      <c r="Q469" s="361">
        <f t="shared" si="472"/>
        <v>1.7105699998659893</v>
      </c>
      <c r="R469" s="361">
        <f t="shared" si="472"/>
        <v>1.9152397003499573</v>
      </c>
      <c r="S469" s="361">
        <f t="shared" si="472"/>
        <v>2.1443981304968323</v>
      </c>
      <c r="T469" s="361">
        <f t="shared" si="472"/>
        <v>2.4009753668107812</v>
      </c>
      <c r="U469" s="361">
        <f t="shared" si="472"/>
        <v>2.6882520694496943</v>
      </c>
      <c r="V469" s="362">
        <f t="shared" si="472"/>
        <v>3.009901429559354</v>
      </c>
      <c r="X469" s="351"/>
    </row>
    <row r="470" spans="3:24" ht="24.75" customHeight="1" x14ac:dyDescent="0.3">
      <c r="C470" s="353">
        <f>ABS(E470-Dashboard!$F$14)</f>
        <v>173.57553879639818</v>
      </c>
      <c r="D470" s="350">
        <f t="shared" si="465"/>
        <v>0.11975000000000131</v>
      </c>
      <c r="E470" s="359" cm="1">
        <f t="array" ref="E470">1000*SUM('DRE + DCF'!$L$36/M470,'DRE + DCF'!$N$36:$V$36/N470:V470,F470/V470)/Dashboard!$F$11</f>
        <v>270.56553879639819</v>
      </c>
      <c r="F470" s="359">
        <f t="shared" si="463"/>
        <v>31020724.975261942</v>
      </c>
      <c r="G470" s="359">
        <f>'DRE + DCF'!$W$31</f>
        <v>2791623.3540418856</v>
      </c>
      <c r="H470" s="359">
        <f>'DRE + DCF'!$W$32</f>
        <v>81081.931703745853</v>
      </c>
      <c r="I470" s="359">
        <f>-H470*('DRE + DCF'!$V$33+K470)/'DRE + DCF'!$V$33</f>
        <v>-90858.801614444121</v>
      </c>
      <c r="J470" s="359">
        <f>-'DRE + DCF'!$V$56*L470</f>
        <v>-1188924.4255577971</v>
      </c>
      <c r="K470" s="360">
        <f>(1+L470)/(1+Ke!$O$12)-1</f>
        <v>2.0000000000000018E-2</v>
      </c>
      <c r="L470" s="360">
        <f>'DRE + DCF'!$Y$31</f>
        <v>7.3550000000000004E-2</v>
      </c>
      <c r="M470" s="361">
        <f>(1+D470)^((5-Dashboard!$F$9)*3/12)</f>
        <v>1.088531004063485</v>
      </c>
      <c r="N470" s="361">
        <f t="shared" ref="N470:V470" si="473">M470*(1+$D470)</f>
        <v>1.2188825918000887</v>
      </c>
      <c r="O470" s="361">
        <f t="shared" si="473"/>
        <v>1.3648437821681509</v>
      </c>
      <c r="P470" s="361">
        <f t="shared" si="473"/>
        <v>1.5282838250827888</v>
      </c>
      <c r="Q470" s="361">
        <f t="shared" si="473"/>
        <v>1.7112958131364548</v>
      </c>
      <c r="R470" s="361">
        <f t="shared" si="473"/>
        <v>1.9162234867595476</v>
      </c>
      <c r="S470" s="361">
        <f t="shared" si="473"/>
        <v>2.1456912492990061</v>
      </c>
      <c r="T470" s="361">
        <f t="shared" si="473"/>
        <v>2.4026377764025648</v>
      </c>
      <c r="U470" s="361">
        <f t="shared" si="473"/>
        <v>2.6903536501267751</v>
      </c>
      <c r="V470" s="362">
        <f t="shared" si="473"/>
        <v>3.0125234997294599</v>
      </c>
      <c r="X470" s="351"/>
    </row>
    <row r="471" spans="3:24" ht="24.75" customHeight="1" x14ac:dyDescent="0.3">
      <c r="C471" s="353">
        <f>ABS(E471-Dashboard!$F$14)</f>
        <v>173.07479224035359</v>
      </c>
      <c r="D471" s="350">
        <f t="shared" si="465"/>
        <v>0.11985000000000132</v>
      </c>
      <c r="E471" s="359" cm="1">
        <f t="array" ref="E471">1000*SUM('DRE + DCF'!$L$36/M471,'DRE + DCF'!$N$36:$V$36/N471:V471,F471/V471)/Dashboard!$F$11</f>
        <v>270.0647922403536</v>
      </c>
      <c r="F471" s="359">
        <f t="shared" si="463"/>
        <v>30970311.400008395</v>
      </c>
      <c r="G471" s="359">
        <f>'DRE + DCF'!$W$31</f>
        <v>2791623.3540418856</v>
      </c>
      <c r="H471" s="359">
        <f>'DRE + DCF'!$W$32</f>
        <v>81081.931703745853</v>
      </c>
      <c r="I471" s="359">
        <f>-H471*('DRE + DCF'!$V$33+K471)/'DRE + DCF'!$V$33</f>
        <v>-90858.801614444121</v>
      </c>
      <c r="J471" s="359">
        <f>-'DRE + DCF'!$V$56*L471</f>
        <v>-1188924.4255577971</v>
      </c>
      <c r="K471" s="360">
        <f>(1+L471)/(1+Ke!$O$12)-1</f>
        <v>2.0000000000000018E-2</v>
      </c>
      <c r="L471" s="360">
        <f>'DRE + DCF'!$Y$31</f>
        <v>7.3550000000000004E-2</v>
      </c>
      <c r="M471" s="361">
        <f>(1+D471)^((5-Dashboard!$F$9)*3/12)</f>
        <v>1.0886039122251072</v>
      </c>
      <c r="N471" s="361">
        <f t="shared" ref="N471:V471" si="474">M471*(1+$D471)</f>
        <v>1.2190730911052878</v>
      </c>
      <c r="O471" s="361">
        <f t="shared" si="474"/>
        <v>1.3651790010742582</v>
      </c>
      <c r="P471" s="361">
        <f t="shared" si="474"/>
        <v>1.5287957043530098</v>
      </c>
      <c r="Q471" s="361">
        <f t="shared" si="474"/>
        <v>1.71202186951972</v>
      </c>
      <c r="R471" s="361">
        <f t="shared" si="474"/>
        <v>1.9172076905816609</v>
      </c>
      <c r="S471" s="361">
        <f t="shared" si="474"/>
        <v>2.1469850322978754</v>
      </c>
      <c r="T471" s="361">
        <f t="shared" si="474"/>
        <v>2.4043011884187786</v>
      </c>
      <c r="U471" s="361">
        <f t="shared" si="474"/>
        <v>2.6924566858507726</v>
      </c>
      <c r="V471" s="362">
        <f t="shared" si="474"/>
        <v>3.0151476196499911</v>
      </c>
      <c r="X471" s="351"/>
    </row>
    <row r="472" spans="3:24" ht="24.75" customHeight="1" x14ac:dyDescent="0.3">
      <c r="C472" s="353">
        <f>ABS(E472-Dashboard!$F$14)</f>
        <v>172.57586946424391</v>
      </c>
      <c r="D472" s="350">
        <f t="shared" si="465"/>
        <v>0.11995000000000132</v>
      </c>
      <c r="E472" s="359" cm="1">
        <f t="array" ref="E472">1000*SUM('DRE + DCF'!$L$36/M472,'DRE + DCF'!$N$36:$V$36/N472:V472,F472/V472)/Dashboard!$F$11</f>
        <v>269.56586946424392</v>
      </c>
      <c r="F472" s="359">
        <f t="shared" si="463"/>
        <v>30920087.529674582</v>
      </c>
      <c r="G472" s="359">
        <f>'DRE + DCF'!$W$31</f>
        <v>2791623.3540418856</v>
      </c>
      <c r="H472" s="359">
        <f>'DRE + DCF'!$W$32</f>
        <v>81081.931703745853</v>
      </c>
      <c r="I472" s="359">
        <f>-H472*('DRE + DCF'!$V$33+K472)/'DRE + DCF'!$V$33</f>
        <v>-90858.801614444121</v>
      </c>
      <c r="J472" s="359">
        <f>-'DRE + DCF'!$V$56*L472</f>
        <v>-1188924.4255577971</v>
      </c>
      <c r="K472" s="360">
        <f>(1+L472)/(1+Ke!$O$12)-1</f>
        <v>2.0000000000000018E-2</v>
      </c>
      <c r="L472" s="360">
        <f>'DRE + DCF'!$Y$31</f>
        <v>7.3550000000000004E-2</v>
      </c>
      <c r="M472" s="361">
        <f>(1+D472)^((5-Dashboard!$F$9)*3/12)</f>
        <v>1.0886768187591154</v>
      </c>
      <c r="N472" s="361">
        <f t="shared" ref="N472:V472" si="475">M472*(1+$D472)</f>
        <v>1.2192636031692727</v>
      </c>
      <c r="O472" s="361">
        <f t="shared" si="475"/>
        <v>1.3655142723694287</v>
      </c>
      <c r="P472" s="361">
        <f t="shared" si="475"/>
        <v>1.5293077093401435</v>
      </c>
      <c r="Q472" s="361">
        <f t="shared" si="475"/>
        <v>1.7127481690754958</v>
      </c>
      <c r="R472" s="361">
        <f t="shared" si="475"/>
        <v>1.9181923119561037</v>
      </c>
      <c r="S472" s="361">
        <f t="shared" si="475"/>
        <v>2.1482794797752409</v>
      </c>
      <c r="T472" s="361">
        <f t="shared" si="475"/>
        <v>2.405965603374284</v>
      </c>
      <c r="U472" s="361">
        <f t="shared" si="475"/>
        <v>2.6945611774990326</v>
      </c>
      <c r="V472" s="362">
        <f t="shared" si="475"/>
        <v>3.017773790740045</v>
      </c>
      <c r="X472" s="351"/>
    </row>
    <row r="473" spans="3:24" ht="24.75" customHeight="1" x14ac:dyDescent="0.3">
      <c r="C473" s="353">
        <f>ABS(E473-Dashboard!$F$14)</f>
        <v>172.07875978538408</v>
      </c>
      <c r="D473" s="350">
        <f t="shared" si="465"/>
        <v>0.12005000000000132</v>
      </c>
      <c r="E473" s="359" cm="1">
        <f t="array" ref="E473">1000*SUM('DRE + DCF'!$L$36/M473,'DRE + DCF'!$N$36:$V$36/N473:V473,F473/V473)/Dashboard!$F$11</f>
        <v>269.06875978538409</v>
      </c>
      <c r="F473" s="359">
        <f t="shared" si="463"/>
        <v>30870052.209168203</v>
      </c>
      <c r="G473" s="359">
        <f>'DRE + DCF'!$W$31</f>
        <v>2791623.3540418856</v>
      </c>
      <c r="H473" s="359">
        <f>'DRE + DCF'!$W$32</f>
        <v>81081.931703745853</v>
      </c>
      <c r="I473" s="359">
        <f>-H473*('DRE + DCF'!$V$33+K473)/'DRE + DCF'!$V$33</f>
        <v>-90858.801614444121</v>
      </c>
      <c r="J473" s="359">
        <f>-'DRE + DCF'!$V$56*L473</f>
        <v>-1188924.4255577971</v>
      </c>
      <c r="K473" s="360">
        <f>(1+L473)/(1+Ke!$O$12)-1</f>
        <v>2.0000000000000018E-2</v>
      </c>
      <c r="L473" s="360">
        <f>'DRE + DCF'!$Y$31</f>
        <v>7.3550000000000004E-2</v>
      </c>
      <c r="M473" s="361">
        <f>(1+D473)^((5-Dashboard!$F$9)*3/12)</f>
        <v>1.0887497236656909</v>
      </c>
      <c r="N473" s="361">
        <f t="shared" ref="N473:V473" si="476">M473*(1+$D473)</f>
        <v>1.2194541279917586</v>
      </c>
      <c r="O473" s="361">
        <f t="shared" si="476"/>
        <v>1.3658495960571708</v>
      </c>
      <c r="P473" s="361">
        <f t="shared" si="476"/>
        <v>1.5298198400638361</v>
      </c>
      <c r="Q473" s="361">
        <f t="shared" si="476"/>
        <v>1.7134747118635016</v>
      </c>
      <c r="R473" s="361">
        <f t="shared" si="476"/>
        <v>1.9191773510227172</v>
      </c>
      <c r="S473" s="361">
        <f t="shared" si="476"/>
        <v>2.1495745920129972</v>
      </c>
      <c r="T473" s="361">
        <f t="shared" si="476"/>
        <v>2.4076310217841601</v>
      </c>
      <c r="U473" s="361">
        <f t="shared" si="476"/>
        <v>2.6966671259493515</v>
      </c>
      <c r="V473" s="362">
        <f t="shared" si="476"/>
        <v>3.0204020144195747</v>
      </c>
      <c r="X473" s="351"/>
    </row>
    <row r="474" spans="3:24" ht="24.75" customHeight="1" x14ac:dyDescent="0.3">
      <c r="C474" s="353">
        <f>ABS(E474-Dashboard!$F$14)</f>
        <v>171.58345260885869</v>
      </c>
      <c r="D474" s="350">
        <f t="shared" si="465"/>
        <v>0.12015000000000133</v>
      </c>
      <c r="E474" s="359" cm="1">
        <f t="array" ref="E474">1000*SUM('DRE + DCF'!$L$36/M474,'DRE + DCF'!$N$36:$V$36/N474:V474,F474/V474)/Dashboard!$F$11</f>
        <v>268.5734526088587</v>
      </c>
      <c r="F474" s="359">
        <f t="shared" si="463"/>
        <v>30820204.29308331</v>
      </c>
      <c r="G474" s="359">
        <f>'DRE + DCF'!$W$31</f>
        <v>2791623.3540418856</v>
      </c>
      <c r="H474" s="359">
        <f>'DRE + DCF'!$W$32</f>
        <v>81081.931703745853</v>
      </c>
      <c r="I474" s="359">
        <f>-H474*('DRE + DCF'!$V$33+K474)/'DRE + DCF'!$V$33</f>
        <v>-90858.801614444121</v>
      </c>
      <c r="J474" s="359">
        <f>-'DRE + DCF'!$V$56*L474</f>
        <v>-1188924.4255577971</v>
      </c>
      <c r="K474" s="360">
        <f>(1+L474)/(1+Ke!$O$12)-1</f>
        <v>2.0000000000000018E-2</v>
      </c>
      <c r="L474" s="360">
        <f>'DRE + DCF'!$Y$31</f>
        <v>7.3550000000000004E-2</v>
      </c>
      <c r="M474" s="361">
        <f>(1+D474)^((5-Dashboard!$F$9)*3/12)</f>
        <v>1.0888226269450156</v>
      </c>
      <c r="N474" s="361">
        <f t="shared" ref="N474:V474" si="477">M474*(1+$D474)</f>
        <v>1.2196446655724607</v>
      </c>
      <c r="O474" s="361">
        <f t="shared" si="477"/>
        <v>1.3661849721409933</v>
      </c>
      <c r="P474" s="361">
        <f t="shared" si="477"/>
        <v>1.5303320965437355</v>
      </c>
      <c r="Q474" s="361">
        <f t="shared" si="477"/>
        <v>1.7142014979434672</v>
      </c>
      <c r="R474" s="361">
        <f t="shared" si="477"/>
        <v>1.9201628079213771</v>
      </c>
      <c r="S474" s="361">
        <f t="shared" si="477"/>
        <v>2.1508703692931332</v>
      </c>
      <c r="T474" s="361">
        <f t="shared" si="477"/>
        <v>2.4092974441637058</v>
      </c>
      <c r="U474" s="361">
        <f t="shared" si="477"/>
        <v>2.6987745320799781</v>
      </c>
      <c r="V474" s="362">
        <f t="shared" si="477"/>
        <v>3.0230322921093911</v>
      </c>
      <c r="X474" s="351"/>
    </row>
    <row r="475" spans="3:24" ht="24.75" customHeight="1" x14ac:dyDescent="0.3">
      <c r="C475" s="353">
        <f>ABS(E475-Dashboard!$F$14)</f>
        <v>171.08993742659891</v>
      </c>
      <c r="D475" s="350">
        <f t="shared" si="465"/>
        <v>0.12025000000000133</v>
      </c>
      <c r="E475" s="359" cm="1">
        <f t="array" ref="E475">1000*SUM('DRE + DCF'!$L$36/M475,'DRE + DCF'!$N$36:$V$36/N475:V475,F475/V475)/Dashboard!$F$11</f>
        <v>268.07993742659892</v>
      </c>
      <c r="F475" s="359">
        <f t="shared" si="463"/>
        <v>30770542.645597577</v>
      </c>
      <c r="G475" s="359">
        <f>'DRE + DCF'!$W$31</f>
        <v>2791623.3540418856</v>
      </c>
      <c r="H475" s="359">
        <f>'DRE + DCF'!$W$32</f>
        <v>81081.931703745853</v>
      </c>
      <c r="I475" s="359">
        <f>-H475*('DRE + DCF'!$V$33+K475)/'DRE + DCF'!$V$33</f>
        <v>-90858.801614444121</v>
      </c>
      <c r="J475" s="359">
        <f>-'DRE + DCF'!$V$56*L475</f>
        <v>-1188924.4255577971</v>
      </c>
      <c r="K475" s="360">
        <f>(1+L475)/(1+Ke!$O$12)-1</f>
        <v>2.0000000000000018E-2</v>
      </c>
      <c r="L475" s="360">
        <f>'DRE + DCF'!$Y$31</f>
        <v>7.3550000000000004E-2</v>
      </c>
      <c r="M475" s="361">
        <f>(1+D475)^((5-Dashboard!$F$9)*3/12)</f>
        <v>1.088895528597271</v>
      </c>
      <c r="N475" s="361">
        <f t="shared" ref="N475:V475" si="478">M475*(1+$D475)</f>
        <v>1.2198352159110943</v>
      </c>
      <c r="O475" s="361">
        <f t="shared" si="478"/>
        <v>1.3665204006244049</v>
      </c>
      <c r="P475" s="361">
        <f t="shared" si="478"/>
        <v>1.5308444787994915</v>
      </c>
      <c r="Q475" s="361">
        <f t="shared" si="478"/>
        <v>1.7149285273751322</v>
      </c>
      <c r="R475" s="361">
        <f t="shared" si="478"/>
        <v>1.9211486827919941</v>
      </c>
      <c r="S475" s="361">
        <f t="shared" si="478"/>
        <v>2.1521668118977337</v>
      </c>
      <c r="T475" s="361">
        <f t="shared" si="478"/>
        <v>2.410964871028439</v>
      </c>
      <c r="U475" s="361">
        <f t="shared" si="478"/>
        <v>2.700883396769612</v>
      </c>
      <c r="V475" s="362">
        <f t="shared" si="478"/>
        <v>3.0256646252311614</v>
      </c>
      <c r="X475" s="351"/>
    </row>
    <row r="476" spans="3:24" ht="24.75" customHeight="1" x14ac:dyDescent="0.3">
      <c r="C476" s="353">
        <f>ABS(E476-Dashboard!$F$14)</f>
        <v>170.5982038164716</v>
      </c>
      <c r="D476" s="350">
        <f t="shared" si="465"/>
        <v>0.12035000000000133</v>
      </c>
      <c r="E476" s="359" cm="1">
        <f t="array" ref="E476">1000*SUM('DRE + DCF'!$L$36/M476,'DRE + DCF'!$N$36:$V$36/N476:V476,F476/V476)/Dashboard!$F$11</f>
        <v>267.58820381647161</v>
      </c>
      <c r="F476" s="359">
        <f t="shared" si="463"/>
        <v>30721066.140370823</v>
      </c>
      <c r="G476" s="359">
        <f>'DRE + DCF'!$W$31</f>
        <v>2791623.3540418856</v>
      </c>
      <c r="H476" s="359">
        <f>'DRE + DCF'!$W$32</f>
        <v>81081.931703745853</v>
      </c>
      <c r="I476" s="359">
        <f>-H476*('DRE + DCF'!$V$33+K476)/'DRE + DCF'!$V$33</f>
        <v>-90858.801614444121</v>
      </c>
      <c r="J476" s="359">
        <f>-'DRE + DCF'!$V$56*L476</f>
        <v>-1188924.4255577971</v>
      </c>
      <c r="K476" s="360">
        <f>(1+L476)/(1+Ke!$O$12)-1</f>
        <v>2.0000000000000018E-2</v>
      </c>
      <c r="L476" s="360">
        <f>'DRE + DCF'!$Y$31</f>
        <v>7.3550000000000004E-2</v>
      </c>
      <c r="M476" s="361">
        <f>(1+D476)^((5-Dashboard!$F$9)*3/12)</f>
        <v>1.0889684286226389</v>
      </c>
      <c r="N476" s="361">
        <f t="shared" ref="N476:V476" si="479">M476*(1+$D476)</f>
        <v>1.220025779007375</v>
      </c>
      <c r="O476" s="361">
        <f t="shared" si="479"/>
        <v>1.3668558815109142</v>
      </c>
      <c r="P476" s="361">
        <f t="shared" si="479"/>
        <v>1.5313569868507544</v>
      </c>
      <c r="Q476" s="361">
        <f t="shared" si="479"/>
        <v>1.7156558002182447</v>
      </c>
      <c r="R476" s="361">
        <f t="shared" si="479"/>
        <v>1.9221349757745128</v>
      </c>
      <c r="S476" s="361">
        <f t="shared" si="479"/>
        <v>2.1534639201089778</v>
      </c>
      <c r="T476" s="361">
        <f t="shared" si="479"/>
        <v>2.4126333028940961</v>
      </c>
      <c r="U476" s="361">
        <f t="shared" si="479"/>
        <v>2.7029937208974038</v>
      </c>
      <c r="V476" s="362">
        <f t="shared" si="479"/>
        <v>3.0282990152074096</v>
      </c>
      <c r="X476" s="351"/>
    </row>
    <row r="477" spans="3:24" ht="24.75" customHeight="1" x14ac:dyDescent="0.3">
      <c r="C477" s="353">
        <f>ABS(E477-Dashboard!$F$14)</f>
        <v>170.10824144137956</v>
      </c>
      <c r="D477" s="350">
        <f t="shared" si="465"/>
        <v>0.12045000000000133</v>
      </c>
      <c r="E477" s="359" cm="1">
        <f t="array" ref="E477">1000*SUM('DRE + DCF'!$L$36/M477,'DRE + DCF'!$N$36:$V$36/N477:V477,F477/V477)/Dashboard!$F$11</f>
        <v>267.09824144137957</v>
      </c>
      <c r="F477" s="359">
        <f t="shared" si="463"/>
        <v>30671773.660444885</v>
      </c>
      <c r="G477" s="359">
        <f>'DRE + DCF'!$W$31</f>
        <v>2791623.3540418856</v>
      </c>
      <c r="H477" s="359">
        <f>'DRE + DCF'!$W$32</f>
        <v>81081.931703745853</v>
      </c>
      <c r="I477" s="359">
        <f>-H477*('DRE + DCF'!$V$33+K477)/'DRE + DCF'!$V$33</f>
        <v>-90858.801614444121</v>
      </c>
      <c r="J477" s="359">
        <f>-'DRE + DCF'!$V$56*L477</f>
        <v>-1188924.4255577971</v>
      </c>
      <c r="K477" s="360">
        <f>(1+L477)/(1+Ke!$O$12)-1</f>
        <v>2.0000000000000018E-2</v>
      </c>
      <c r="L477" s="360">
        <f>'DRE + DCF'!$Y$31</f>
        <v>7.3550000000000004E-2</v>
      </c>
      <c r="M477" s="361">
        <f>(1+D477)^((5-Dashboard!$F$9)*3/12)</f>
        <v>1.0890413270213002</v>
      </c>
      <c r="N477" s="361">
        <f t="shared" ref="N477:V477" si="480">M477*(1+$D477)</f>
        <v>1.2202163548610172</v>
      </c>
      <c r="O477" s="361">
        <f t="shared" si="480"/>
        <v>1.3671914148040283</v>
      </c>
      <c r="P477" s="361">
        <f t="shared" si="480"/>
        <v>1.5318696207171751</v>
      </c>
      <c r="Q477" s="361">
        <f t="shared" si="480"/>
        <v>1.7163833165325608</v>
      </c>
      <c r="R477" s="361">
        <f t="shared" si="480"/>
        <v>1.9231216870089101</v>
      </c>
      <c r="S477" s="361">
        <f t="shared" si="480"/>
        <v>2.1547616942091357</v>
      </c>
      <c r="T477" s="361">
        <f t="shared" si="480"/>
        <v>2.4143027402766286</v>
      </c>
      <c r="U477" s="361">
        <f t="shared" si="480"/>
        <v>2.7051055053429516</v>
      </c>
      <c r="V477" s="362">
        <f t="shared" si="480"/>
        <v>3.0309354634615135</v>
      </c>
      <c r="X477" s="351"/>
    </row>
    <row r="478" spans="3:24" ht="24.75" customHeight="1" x14ac:dyDescent="0.3">
      <c r="C478" s="353">
        <f>ABS(E478-Dashboard!$F$14)</f>
        <v>169.62004004837269</v>
      </c>
      <c r="D478" s="350">
        <f t="shared" si="465"/>
        <v>0.12055000000000134</v>
      </c>
      <c r="E478" s="359" cm="1">
        <f t="array" ref="E478">1000*SUM('DRE + DCF'!$L$36/M478,'DRE + DCF'!$N$36:$V$36/N478:V478,F478/V478)/Dashboard!$F$11</f>
        <v>266.6100400483727</v>
      </c>
      <c r="F478" s="359">
        <f t="shared" si="463"/>
        <v>30622664.098144703</v>
      </c>
      <c r="G478" s="359">
        <f>'DRE + DCF'!$W$31</f>
        <v>2791623.3540418856</v>
      </c>
      <c r="H478" s="359">
        <f>'DRE + DCF'!$W$32</f>
        <v>81081.931703745853</v>
      </c>
      <c r="I478" s="359">
        <f>-H478*('DRE + DCF'!$V$33+K478)/'DRE + DCF'!$V$33</f>
        <v>-90858.801614444121</v>
      </c>
      <c r="J478" s="359">
        <f>-'DRE + DCF'!$V$56*L478</f>
        <v>-1188924.4255577971</v>
      </c>
      <c r="K478" s="360">
        <f>(1+L478)/(1+Ke!$O$12)-1</f>
        <v>2.0000000000000018E-2</v>
      </c>
      <c r="L478" s="360">
        <f>'DRE + DCF'!$Y$31</f>
        <v>7.3550000000000004E-2</v>
      </c>
      <c r="M478" s="361">
        <f>(1+D478)^((5-Dashboard!$F$9)*3/12)</f>
        <v>1.089114223793437</v>
      </c>
      <c r="N478" s="361">
        <f t="shared" ref="N478:V478" si="481">M478*(1+$D478)</f>
        <v>1.2204069434717373</v>
      </c>
      <c r="O478" s="361">
        <f t="shared" si="481"/>
        <v>1.3675270005072568</v>
      </c>
      <c r="P478" s="361">
        <f t="shared" si="481"/>
        <v>1.5323823804184085</v>
      </c>
      <c r="Q478" s="361">
        <f t="shared" si="481"/>
        <v>1.7171110763778497</v>
      </c>
      <c r="R478" s="361">
        <f t="shared" si="481"/>
        <v>1.9241088166352016</v>
      </c>
      <c r="S478" s="361">
        <f t="shared" si="481"/>
        <v>2.1560601344805774</v>
      </c>
      <c r="T478" s="361">
        <f t="shared" si="481"/>
        <v>2.4159731836922136</v>
      </c>
      <c r="U478" s="361">
        <f t="shared" si="481"/>
        <v>2.7072187509863128</v>
      </c>
      <c r="V478" s="362">
        <f t="shared" si="481"/>
        <v>3.0335739714177161</v>
      </c>
      <c r="X478" s="351"/>
    </row>
    <row r="479" spans="3:24" ht="24.75" customHeight="1" x14ac:dyDescent="0.3">
      <c r="C479" s="353">
        <f>ABS(E479-Dashboard!$F$14)</f>
        <v>169.1335894677718</v>
      </c>
      <c r="D479" s="350">
        <f t="shared" si="465"/>
        <v>0.12065000000000134</v>
      </c>
      <c r="E479" s="359" cm="1">
        <f t="array" ref="E479">1000*SUM('DRE + DCF'!$L$36/M479,'DRE + DCF'!$N$36:$V$36/N479:V479,F479/V479)/Dashboard!$F$11</f>
        <v>266.12358946777181</v>
      </c>
      <c r="F479" s="359">
        <f t="shared" si="463"/>
        <v>30573736.354980722</v>
      </c>
      <c r="G479" s="359">
        <f>'DRE + DCF'!$W$31</f>
        <v>2791623.3540418856</v>
      </c>
      <c r="H479" s="359">
        <f>'DRE + DCF'!$W$32</f>
        <v>81081.931703745853</v>
      </c>
      <c r="I479" s="359">
        <f>-H479*('DRE + DCF'!$V$33+K479)/'DRE + DCF'!$V$33</f>
        <v>-90858.801614444121</v>
      </c>
      <c r="J479" s="359">
        <f>-'DRE + DCF'!$V$56*L479</f>
        <v>-1188924.4255577971</v>
      </c>
      <c r="K479" s="360">
        <f>(1+L479)/(1+Ke!$O$12)-1</f>
        <v>2.0000000000000018E-2</v>
      </c>
      <c r="L479" s="360">
        <f>'DRE + DCF'!$Y$31</f>
        <v>7.3550000000000004E-2</v>
      </c>
      <c r="M479" s="361">
        <f>(1+D479)^((5-Dashboard!$F$9)*3/12)</f>
        <v>1.0891871189392306</v>
      </c>
      <c r="N479" s="361">
        <f t="shared" ref="N479:V479" si="482">M479*(1+$D479)</f>
        <v>1.2205975448392501</v>
      </c>
      <c r="O479" s="361">
        <f t="shared" si="482"/>
        <v>1.3678626386241071</v>
      </c>
      <c r="P479" s="361">
        <f t="shared" si="482"/>
        <v>1.5328952659741073</v>
      </c>
      <c r="Q479" s="361">
        <f t="shared" si="482"/>
        <v>1.7178390798138852</v>
      </c>
      <c r="R479" s="361">
        <f t="shared" si="482"/>
        <v>1.9250963647934325</v>
      </c>
      <c r="S479" s="361">
        <f t="shared" si="482"/>
        <v>2.1573592412057625</v>
      </c>
      <c r="T479" s="361">
        <f t="shared" si="482"/>
        <v>2.4176446336572406</v>
      </c>
      <c r="U479" s="361">
        <f t="shared" si="482"/>
        <v>2.7093334587079898</v>
      </c>
      <c r="V479" s="362">
        <f t="shared" si="482"/>
        <v>3.0362145405011121</v>
      </c>
      <c r="X479" s="351"/>
    </row>
    <row r="480" spans="3:24" ht="24.75" customHeight="1" x14ac:dyDescent="0.3">
      <c r="C480" s="353">
        <f>ABS(E480-Dashboard!$F$14)</f>
        <v>168.64887961230221</v>
      </c>
      <c r="D480" s="350">
        <f t="shared" si="465"/>
        <v>0.12075000000000134</v>
      </c>
      <c r="E480" s="359" cm="1">
        <f t="array" ref="E480">1000*SUM('DRE + DCF'!$L$36/M480,'DRE + DCF'!$N$36:$V$36/N480:V480,F480/V480)/Dashboard!$F$11</f>
        <v>265.63887961230222</v>
      </c>
      <c r="F480" s="359">
        <f t="shared" si="463"/>
        <v>30524989.341552518</v>
      </c>
      <c r="G480" s="359">
        <f>'DRE + DCF'!$W$31</f>
        <v>2791623.3540418856</v>
      </c>
      <c r="H480" s="359">
        <f>'DRE + DCF'!$W$32</f>
        <v>81081.931703745853</v>
      </c>
      <c r="I480" s="359">
        <f>-H480*('DRE + DCF'!$V$33+K480)/'DRE + DCF'!$V$33</f>
        <v>-90858.801614444121</v>
      </c>
      <c r="J480" s="359">
        <f>-'DRE + DCF'!$V$56*L480</f>
        <v>-1188924.4255577971</v>
      </c>
      <c r="K480" s="360">
        <f>(1+L480)/(1+Ke!$O$12)-1</f>
        <v>2.0000000000000018E-2</v>
      </c>
      <c r="L480" s="360">
        <f>'DRE + DCF'!$Y$31</f>
        <v>7.3550000000000004E-2</v>
      </c>
      <c r="M480" s="361">
        <f>(1+D480)^((5-Dashboard!$F$9)*3/12)</f>
        <v>1.0892600124588621</v>
      </c>
      <c r="N480" s="361">
        <f t="shared" ref="N480:V480" si="483">M480*(1+$D480)</f>
        <v>1.220788158963271</v>
      </c>
      <c r="O480" s="361">
        <f t="shared" si="483"/>
        <v>1.3681983291580875</v>
      </c>
      <c r="P480" s="361">
        <f t="shared" si="483"/>
        <v>1.5334082774039282</v>
      </c>
      <c r="Q480" s="361">
        <f t="shared" si="483"/>
        <v>1.7185673269004544</v>
      </c>
      <c r="R480" s="361">
        <f t="shared" si="483"/>
        <v>1.9260843316236864</v>
      </c>
      <c r="S480" s="361">
        <f t="shared" si="483"/>
        <v>2.1586590146672489</v>
      </c>
      <c r="T480" s="361">
        <f t="shared" si="483"/>
        <v>2.4193170906883217</v>
      </c>
      <c r="U480" s="361">
        <f t="shared" si="483"/>
        <v>2.7114496293889396</v>
      </c>
      <c r="V480" s="362">
        <f t="shared" si="483"/>
        <v>3.0388571721376576</v>
      </c>
      <c r="X480" s="351"/>
    </row>
    <row r="481" spans="3:24" ht="24.75" customHeight="1" x14ac:dyDescent="0.3">
      <c r="C481" s="353">
        <f>ABS(E481-Dashboard!$F$14)</f>
        <v>168.16590047623896</v>
      </c>
      <c r="D481" s="350">
        <f t="shared" si="465"/>
        <v>0.12085000000000135</v>
      </c>
      <c r="E481" s="359" cm="1">
        <f t="array" ref="E481">1000*SUM('DRE + DCF'!$L$36/M481,'DRE + DCF'!$N$36:$V$36/N481:V481,F481/V481)/Dashboard!$F$11</f>
        <v>265.15590047623897</v>
      </c>
      <c r="F481" s="359">
        <f t="shared" si="463"/>
        <v>30476421.977453589</v>
      </c>
      <c r="G481" s="359">
        <f>'DRE + DCF'!$W$31</f>
        <v>2791623.3540418856</v>
      </c>
      <c r="H481" s="359">
        <f>'DRE + DCF'!$W$32</f>
        <v>81081.931703745853</v>
      </c>
      <c r="I481" s="359">
        <f>-H481*('DRE + DCF'!$V$33+K481)/'DRE + DCF'!$V$33</f>
        <v>-90858.801614444121</v>
      </c>
      <c r="J481" s="359">
        <f>-'DRE + DCF'!$V$56*L481</f>
        <v>-1188924.4255577971</v>
      </c>
      <c r="K481" s="360">
        <f>(1+L481)/(1+Ke!$O$12)-1</f>
        <v>2.0000000000000018E-2</v>
      </c>
      <c r="L481" s="360">
        <f>'DRE + DCF'!$Y$31</f>
        <v>7.3550000000000004E-2</v>
      </c>
      <c r="M481" s="361">
        <f>(1+D481)^((5-Dashboard!$F$9)*3/12)</f>
        <v>1.0893329043525133</v>
      </c>
      <c r="N481" s="361">
        <f t="shared" ref="N481:V481" si="484">M481*(1+$D481)</f>
        <v>1.2209787858435159</v>
      </c>
      <c r="O481" s="361">
        <f t="shared" si="484"/>
        <v>1.3685340721127064</v>
      </c>
      <c r="P481" s="361">
        <f t="shared" si="484"/>
        <v>1.5339214147275286</v>
      </c>
      <c r="Q481" s="361">
        <f t="shared" si="484"/>
        <v>1.7192958176973523</v>
      </c>
      <c r="R481" s="361">
        <f t="shared" si="484"/>
        <v>1.9270727172660795</v>
      </c>
      <c r="S481" s="361">
        <f t="shared" si="484"/>
        <v>2.1599594551476877</v>
      </c>
      <c r="T481" s="361">
        <f t="shared" si="484"/>
        <v>2.4209905553022883</v>
      </c>
      <c r="U481" s="361">
        <f t="shared" si="484"/>
        <v>2.7135672639105728</v>
      </c>
      <c r="V481" s="362">
        <f t="shared" si="484"/>
        <v>3.0415018677541688</v>
      </c>
      <c r="X481" s="351"/>
    </row>
    <row r="482" spans="3:24" ht="24.75" customHeight="1" x14ac:dyDescent="0.3">
      <c r="C482" s="353">
        <f>ABS(E482-Dashboard!$F$14)</f>
        <v>167.68464213456178</v>
      </c>
      <c r="D482" s="350">
        <f t="shared" si="465"/>
        <v>0.12095000000000135</v>
      </c>
      <c r="E482" s="359" cm="1">
        <f t="array" ref="E482">1000*SUM('DRE + DCF'!$L$36/M482,'DRE + DCF'!$N$36:$V$36/N482:V482,F482/V482)/Dashboard!$F$11</f>
        <v>264.67464213456179</v>
      </c>
      <c r="F482" s="359">
        <f t="shared" si="463"/>
        <v>30428033.191177394</v>
      </c>
      <c r="G482" s="359">
        <f>'DRE + DCF'!$W$31</f>
        <v>2791623.3540418856</v>
      </c>
      <c r="H482" s="359">
        <f>'DRE + DCF'!$W$32</f>
        <v>81081.931703745853</v>
      </c>
      <c r="I482" s="359">
        <f>-H482*('DRE + DCF'!$V$33+K482)/'DRE + DCF'!$V$33</f>
        <v>-90858.801614444121</v>
      </c>
      <c r="J482" s="359">
        <f>-'DRE + DCF'!$V$56*L482</f>
        <v>-1188924.4255577971</v>
      </c>
      <c r="K482" s="360">
        <f>(1+L482)/(1+Ke!$O$12)-1</f>
        <v>2.0000000000000018E-2</v>
      </c>
      <c r="L482" s="360">
        <f>'DRE + DCF'!$Y$31</f>
        <v>7.3550000000000004E-2</v>
      </c>
      <c r="M482" s="361">
        <f>(1+D482)^((5-Dashboard!$F$9)*3/12)</f>
        <v>1.0894057946203652</v>
      </c>
      <c r="N482" s="361">
        <f t="shared" ref="N482:V482" si="485">M482*(1+$D482)</f>
        <v>1.2211694254797001</v>
      </c>
      <c r="O482" s="361">
        <f t="shared" si="485"/>
        <v>1.3688698674914717</v>
      </c>
      <c r="P482" s="361">
        <f t="shared" si="485"/>
        <v>1.5344346779645672</v>
      </c>
      <c r="Q482" s="361">
        <f t="shared" si="485"/>
        <v>1.7200245522643838</v>
      </c>
      <c r="R482" s="361">
        <f t="shared" si="485"/>
        <v>1.9280615218607635</v>
      </c>
      <c r="S482" s="361">
        <f t="shared" si="485"/>
        <v>2.1612605629298258</v>
      </c>
      <c r="T482" s="361">
        <f t="shared" si="485"/>
        <v>2.4226650280161914</v>
      </c>
      <c r="U482" s="361">
        <f t="shared" si="485"/>
        <v>2.7156863631547532</v>
      </c>
      <c r="V482" s="362">
        <f t="shared" si="485"/>
        <v>3.0441486287783244</v>
      </c>
      <c r="X482" s="351"/>
    </row>
    <row r="483" spans="3:24" ht="24.75" customHeight="1" x14ac:dyDescent="0.3">
      <c r="C483" s="353">
        <f>ABS(E483-Dashboard!$F$14)</f>
        <v>167.20509474212338</v>
      </c>
      <c r="D483" s="350">
        <f t="shared" si="465"/>
        <v>0.12105000000000135</v>
      </c>
      <c r="E483" s="359" cm="1">
        <f t="array" ref="E483">1000*SUM('DRE + DCF'!$L$36/M483,'DRE + DCF'!$N$36:$V$36/N483:V483,F483/V483)/Dashboard!$F$11</f>
        <v>264.19509474212339</v>
      </c>
      <c r="F483" s="359">
        <f t="shared" si="463"/>
        <v>30379821.920024589</v>
      </c>
      <c r="G483" s="359">
        <f>'DRE + DCF'!$W$31</f>
        <v>2791623.3540418856</v>
      </c>
      <c r="H483" s="359">
        <f>'DRE + DCF'!$W$32</f>
        <v>81081.931703745853</v>
      </c>
      <c r="I483" s="359">
        <f>-H483*('DRE + DCF'!$V$33+K483)/'DRE + DCF'!$V$33</f>
        <v>-90858.801614444121</v>
      </c>
      <c r="J483" s="359">
        <f>-'DRE + DCF'!$V$56*L483</f>
        <v>-1188924.4255577971</v>
      </c>
      <c r="K483" s="360">
        <f>(1+L483)/(1+Ke!$O$12)-1</f>
        <v>2.0000000000000018E-2</v>
      </c>
      <c r="L483" s="360">
        <f>'DRE + DCF'!$Y$31</f>
        <v>7.3550000000000004E-2</v>
      </c>
      <c r="M483" s="361">
        <f>(1+D483)^((5-Dashboard!$F$9)*3/12)</f>
        <v>1.0894786832625993</v>
      </c>
      <c r="N483" s="361">
        <f t="shared" ref="N483:V483" si="486">M483*(1+$D483)</f>
        <v>1.2213600778715386</v>
      </c>
      <c r="O483" s="361">
        <f t="shared" si="486"/>
        <v>1.36920571529789</v>
      </c>
      <c r="P483" s="361">
        <f t="shared" si="486"/>
        <v>1.5349480671347016</v>
      </c>
      <c r="Q483" s="361">
        <f t="shared" si="486"/>
        <v>1.7207535306613593</v>
      </c>
      <c r="R483" s="361">
        <f t="shared" si="486"/>
        <v>1.9290507455479193</v>
      </c>
      <c r="S483" s="361">
        <f t="shared" si="486"/>
        <v>2.1625623382964978</v>
      </c>
      <c r="T483" s="361">
        <f t="shared" si="486"/>
        <v>2.4243405093472918</v>
      </c>
      <c r="U483" s="361">
        <f t="shared" si="486"/>
        <v>2.7178069280037849</v>
      </c>
      <c r="V483" s="362">
        <f t="shared" si="486"/>
        <v>3.0467974566386471</v>
      </c>
      <c r="X483" s="351"/>
    </row>
    <row r="484" spans="3:24" ht="24.75" customHeight="1" x14ac:dyDescent="0.3">
      <c r="C484" s="353">
        <f>ABS(E484-Dashboard!$F$14)</f>
        <v>166.72724853282324</v>
      </c>
      <c r="D484" s="350">
        <f t="shared" si="465"/>
        <v>0.12115000000000135</v>
      </c>
      <c r="E484" s="359" cm="1">
        <f t="array" ref="E484">1000*SUM('DRE + DCF'!$L$36/M484,'DRE + DCF'!$N$36:$V$36/N484:V484,F484/V484)/Dashboard!$F$11</f>
        <v>263.71724853282325</v>
      </c>
      <c r="F484" s="359">
        <f t="shared" si="463"/>
        <v>30331787.110011384</v>
      </c>
      <c r="G484" s="359">
        <f>'DRE + DCF'!$W$31</f>
        <v>2791623.3540418856</v>
      </c>
      <c r="H484" s="359">
        <f>'DRE + DCF'!$W$32</f>
        <v>81081.931703745853</v>
      </c>
      <c r="I484" s="359">
        <f>-H484*('DRE + DCF'!$V$33+K484)/'DRE + DCF'!$V$33</f>
        <v>-90858.801614444121</v>
      </c>
      <c r="J484" s="359">
        <f>-'DRE + DCF'!$V$56*L484</f>
        <v>-1188924.4255577971</v>
      </c>
      <c r="K484" s="360">
        <f>(1+L484)/(1+Ke!$O$12)-1</f>
        <v>2.0000000000000018E-2</v>
      </c>
      <c r="L484" s="360">
        <f>'DRE + DCF'!$Y$31</f>
        <v>7.3550000000000004E-2</v>
      </c>
      <c r="M484" s="361">
        <f>(1+D484)^((5-Dashboard!$F$9)*3/12)</f>
        <v>1.0895515702793968</v>
      </c>
      <c r="N484" s="361">
        <f t="shared" ref="N484:V484" si="487">M484*(1+$D484)</f>
        <v>1.2215507430187471</v>
      </c>
      <c r="O484" s="361">
        <f t="shared" si="487"/>
        <v>1.36954161553547</v>
      </c>
      <c r="P484" s="361">
        <f t="shared" si="487"/>
        <v>1.5354615822575941</v>
      </c>
      <c r="Q484" s="361">
        <f t="shared" si="487"/>
        <v>1.7214827529481038</v>
      </c>
      <c r="R484" s="361">
        <f t="shared" si="487"/>
        <v>1.930040388467769</v>
      </c>
      <c r="S484" s="361">
        <f t="shared" si="487"/>
        <v>2.1638647815306422</v>
      </c>
      <c r="T484" s="361">
        <f t="shared" si="487"/>
        <v>2.4260169998130827</v>
      </c>
      <c r="U484" s="361">
        <f t="shared" si="487"/>
        <v>2.7199289593404412</v>
      </c>
      <c r="V484" s="362">
        <f t="shared" si="487"/>
        <v>3.0494483527645397</v>
      </c>
      <c r="X484" s="351"/>
    </row>
    <row r="485" spans="3:24" ht="24.75" customHeight="1" x14ac:dyDescent="0.3">
      <c r="C485" s="353">
        <f>ABS(E485-Dashboard!$F$14)</f>
        <v>166.25109381879668</v>
      </c>
      <c r="D485" s="350">
        <f t="shared" si="465"/>
        <v>0.12125000000000136</v>
      </c>
      <c r="E485" s="359" cm="1">
        <f t="array" ref="E485">1000*SUM('DRE + DCF'!$L$36/M485,'DRE + DCF'!$N$36:$V$36/N485:V485,F485/V485)/Dashboard!$F$11</f>
        <v>263.24109381879668</v>
      </c>
      <c r="F485" s="359">
        <f t="shared" si="463"/>
        <v>30283927.715779066</v>
      </c>
      <c r="G485" s="359">
        <f>'DRE + DCF'!$W$31</f>
        <v>2791623.3540418856</v>
      </c>
      <c r="H485" s="359">
        <f>'DRE + DCF'!$W$32</f>
        <v>81081.931703745853</v>
      </c>
      <c r="I485" s="359">
        <f>-H485*('DRE + DCF'!$V$33+K485)/'DRE + DCF'!$V$33</f>
        <v>-90858.801614444121</v>
      </c>
      <c r="J485" s="359">
        <f>-'DRE + DCF'!$V$56*L485</f>
        <v>-1188924.4255577971</v>
      </c>
      <c r="K485" s="360">
        <f>(1+L485)/(1+Ke!$O$12)-1</f>
        <v>2.0000000000000018E-2</v>
      </c>
      <c r="L485" s="360">
        <f>'DRE + DCF'!$Y$31</f>
        <v>7.3550000000000004E-2</v>
      </c>
      <c r="M485" s="361">
        <f>(1+D485)^((5-Dashboard!$F$9)*3/12)</f>
        <v>1.0896244556709387</v>
      </c>
      <c r="N485" s="361">
        <f t="shared" ref="N485:V485" si="488">M485*(1+$D485)</f>
        <v>1.2217414209210415</v>
      </c>
      <c r="O485" s="361">
        <f t="shared" si="488"/>
        <v>1.3698775682077196</v>
      </c>
      <c r="P485" s="361">
        <f t="shared" si="488"/>
        <v>1.5359752233529076</v>
      </c>
      <c r="Q485" s="361">
        <f t="shared" si="488"/>
        <v>1.7222122191844498</v>
      </c>
      <c r="R485" s="361">
        <f t="shared" si="488"/>
        <v>1.9310304507605667</v>
      </c>
      <c r="S485" s="361">
        <f t="shared" si="488"/>
        <v>2.1651678929152882</v>
      </c>
      <c r="T485" s="361">
        <f t="shared" si="488"/>
        <v>2.42769449993127</v>
      </c>
      <c r="U485" s="361">
        <f t="shared" si="488"/>
        <v>2.7220524580479397</v>
      </c>
      <c r="V485" s="362">
        <f t="shared" si="488"/>
        <v>3.0521013185862564</v>
      </c>
      <c r="X485" s="351"/>
    </row>
    <row r="486" spans="3:24" ht="24.75" customHeight="1" x14ac:dyDescent="0.3">
      <c r="C486" s="353">
        <f>ABS(E486-Dashboard!$F$14)</f>
        <v>165.77662098961139</v>
      </c>
      <c r="D486" s="350">
        <f t="shared" si="465"/>
        <v>0.12135000000000136</v>
      </c>
      <c r="E486" s="359" cm="1">
        <f t="array" ref="E486">1000*SUM('DRE + DCF'!$L$36/M486,'DRE + DCF'!$N$36:$V$36/N486:V486,F486/V486)/Dashboard!$F$11</f>
        <v>262.7666209896114</v>
      </c>
      <c r="F486" s="359">
        <f t="shared" si="463"/>
        <v>30236242.700504668</v>
      </c>
      <c r="G486" s="359">
        <f>'DRE + DCF'!$W$31</f>
        <v>2791623.3540418856</v>
      </c>
      <c r="H486" s="359">
        <f>'DRE + DCF'!$W$32</f>
        <v>81081.931703745853</v>
      </c>
      <c r="I486" s="359">
        <f>-H486*('DRE + DCF'!$V$33+K486)/'DRE + DCF'!$V$33</f>
        <v>-90858.801614444121</v>
      </c>
      <c r="J486" s="359">
        <f>-'DRE + DCF'!$V$56*L486</f>
        <v>-1188924.4255577971</v>
      </c>
      <c r="K486" s="360">
        <f>(1+L486)/(1+Ke!$O$12)-1</f>
        <v>2.0000000000000018E-2</v>
      </c>
      <c r="L486" s="360">
        <f>'DRE + DCF'!$Y$31</f>
        <v>7.3550000000000004E-2</v>
      </c>
      <c r="M486" s="361">
        <f>(1+D486)^((5-Dashboard!$F$9)*3/12)</f>
        <v>1.0896973394374063</v>
      </c>
      <c r="N486" s="361">
        <f t="shared" ref="N486:V486" si="489">M486*(1+$D486)</f>
        <v>1.2219321115781372</v>
      </c>
      <c r="O486" s="361">
        <f t="shared" si="489"/>
        <v>1.3702135733181457</v>
      </c>
      <c r="P486" s="361">
        <f t="shared" si="489"/>
        <v>1.5364889904403047</v>
      </c>
      <c r="Q486" s="361">
        <f t="shared" si="489"/>
        <v>1.7229419294302379</v>
      </c>
      <c r="R486" s="361">
        <f t="shared" si="489"/>
        <v>1.9320209325665998</v>
      </c>
      <c r="S486" s="361">
        <f t="shared" si="489"/>
        <v>2.1664716727335596</v>
      </c>
      <c r="T486" s="361">
        <f t="shared" si="489"/>
        <v>2.4293730102197801</v>
      </c>
      <c r="U486" s="361">
        <f t="shared" si="489"/>
        <v>2.724177425009954</v>
      </c>
      <c r="V486" s="362">
        <f t="shared" si="489"/>
        <v>3.0547563555349155</v>
      </c>
      <c r="X486" s="351"/>
    </row>
    <row r="487" spans="3:24" ht="24.75" customHeight="1" x14ac:dyDescent="0.3">
      <c r="C487" s="353">
        <f>ABS(E487-Dashboard!$F$14)</f>
        <v>165.30382051147456</v>
      </c>
      <c r="D487" s="350">
        <f t="shared" si="465"/>
        <v>0.12145000000000136</v>
      </c>
      <c r="E487" s="359" cm="1">
        <f t="array" ref="E487">1000*SUM('DRE + DCF'!$L$36/M487,'DRE + DCF'!$N$36:$V$36/N487:V487,F487/V487)/Dashboard!$F$11</f>
        <v>262.29382051147456</v>
      </c>
      <c r="F487" s="359">
        <f t="shared" si="463"/>
        <v>30188731.035812743</v>
      </c>
      <c r="G487" s="359">
        <f>'DRE + DCF'!$W$31</f>
        <v>2791623.3540418856</v>
      </c>
      <c r="H487" s="359">
        <f>'DRE + DCF'!$W$32</f>
        <v>81081.931703745853</v>
      </c>
      <c r="I487" s="359">
        <f>-H487*('DRE + DCF'!$V$33+K487)/'DRE + DCF'!$V$33</f>
        <v>-90858.801614444121</v>
      </c>
      <c r="J487" s="359">
        <f>-'DRE + DCF'!$V$56*L487</f>
        <v>-1188924.4255577971</v>
      </c>
      <c r="K487" s="360">
        <f>(1+L487)/(1+Ke!$O$12)-1</f>
        <v>2.0000000000000018E-2</v>
      </c>
      <c r="L487" s="360">
        <f>'DRE + DCF'!$Y$31</f>
        <v>7.3550000000000004E-2</v>
      </c>
      <c r="M487" s="361">
        <f>(1+D487)^((5-Dashboard!$F$9)*3/12)</f>
        <v>1.0897702215789808</v>
      </c>
      <c r="N487" s="361">
        <f t="shared" ref="N487:V487" si="490">M487*(1+$D487)</f>
        <v>1.2221228149897496</v>
      </c>
      <c r="O487" s="361">
        <f t="shared" si="490"/>
        <v>1.3705496308702565</v>
      </c>
      <c r="P487" s="361">
        <f t="shared" si="490"/>
        <v>1.5370028835394511</v>
      </c>
      <c r="Q487" s="361">
        <f t="shared" si="490"/>
        <v>1.7236718837453195</v>
      </c>
      <c r="R487" s="361">
        <f t="shared" si="490"/>
        <v>1.933011834026191</v>
      </c>
      <c r="S487" s="361">
        <f t="shared" si="490"/>
        <v>2.1677761212686746</v>
      </c>
      <c r="T487" s="361">
        <f t="shared" si="490"/>
        <v>2.4310525311967579</v>
      </c>
      <c r="U487" s="361">
        <f t="shared" si="490"/>
        <v>2.7263038611106074</v>
      </c>
      <c r="V487" s="362">
        <f t="shared" si="490"/>
        <v>3.0574134650424947</v>
      </c>
      <c r="X487" s="351"/>
    </row>
    <row r="488" spans="3:24" ht="24.75" customHeight="1" x14ac:dyDescent="0.3">
      <c r="C488" s="353">
        <f>ABS(E488-Dashboard!$F$14)</f>
        <v>164.83268292644971</v>
      </c>
      <c r="D488" s="350">
        <f t="shared" si="465"/>
        <v>0.12155000000000137</v>
      </c>
      <c r="E488" s="359" cm="1">
        <f t="array" ref="E488">1000*SUM('DRE + DCF'!$L$36/M488,'DRE + DCF'!$N$36:$V$36/N488:V488,F488/V488)/Dashboard!$F$11</f>
        <v>261.82268292644972</v>
      </c>
      <c r="F488" s="359">
        <f t="shared" si="463"/>
        <v>30141391.7016882</v>
      </c>
      <c r="G488" s="359">
        <f>'DRE + DCF'!$W$31</f>
        <v>2791623.3540418856</v>
      </c>
      <c r="H488" s="359">
        <f>'DRE + DCF'!$W$32</f>
        <v>81081.931703745853</v>
      </c>
      <c r="I488" s="359">
        <f>-H488*('DRE + DCF'!$V$33+K488)/'DRE + DCF'!$V$33</f>
        <v>-90858.801614444121</v>
      </c>
      <c r="J488" s="359">
        <f>-'DRE + DCF'!$V$56*L488</f>
        <v>-1188924.4255577971</v>
      </c>
      <c r="K488" s="360">
        <f>(1+L488)/(1+Ke!$O$12)-1</f>
        <v>2.0000000000000018E-2</v>
      </c>
      <c r="L488" s="360">
        <f>'DRE + DCF'!$Y$31</f>
        <v>7.3550000000000004E-2</v>
      </c>
      <c r="M488" s="361">
        <f>(1+D488)^((5-Dashboard!$F$9)*3/12)</f>
        <v>1.0898431020958437</v>
      </c>
      <c r="N488" s="361">
        <f t="shared" ref="N488:V488" si="491">M488*(1+$D488)</f>
        <v>1.222313531155595</v>
      </c>
      <c r="O488" s="361">
        <f t="shared" si="491"/>
        <v>1.3708857408675592</v>
      </c>
      <c r="P488" s="361">
        <f t="shared" si="491"/>
        <v>1.5375169026700128</v>
      </c>
      <c r="Q488" s="361">
        <f t="shared" si="491"/>
        <v>1.7244020821895549</v>
      </c>
      <c r="R488" s="361">
        <f t="shared" si="491"/>
        <v>1.9340031552796977</v>
      </c>
      <c r="S488" s="361">
        <f t="shared" si="491"/>
        <v>2.1690812388039475</v>
      </c>
      <c r="T488" s="361">
        <f t="shared" si="491"/>
        <v>2.4327330633805704</v>
      </c>
      <c r="U488" s="361">
        <f t="shared" si="491"/>
        <v>2.7284317672344822</v>
      </c>
      <c r="V488" s="362">
        <f t="shared" si="491"/>
        <v>3.0600726485418375</v>
      </c>
      <c r="X488" s="351"/>
    </row>
    <row r="489" spans="3:24" ht="24.75" customHeight="1" x14ac:dyDescent="0.3">
      <c r="C489" s="353">
        <f>ABS(E489-Dashboard!$F$14)</f>
        <v>164.36319885168353</v>
      </c>
      <c r="D489" s="350">
        <f t="shared" si="465"/>
        <v>0.12165000000000137</v>
      </c>
      <c r="E489" s="359" cm="1">
        <f t="array" ref="E489">1000*SUM('DRE + DCF'!$L$36/M489,'DRE + DCF'!$N$36:$V$36/N489:V489,F489/V489)/Dashboard!$F$11</f>
        <v>261.35319885168354</v>
      </c>
      <c r="F489" s="359">
        <f t="shared" si="463"/>
        <v>30094223.686390325</v>
      </c>
      <c r="G489" s="359">
        <f>'DRE + DCF'!$W$31</f>
        <v>2791623.3540418856</v>
      </c>
      <c r="H489" s="359">
        <f>'DRE + DCF'!$W$32</f>
        <v>81081.931703745853</v>
      </c>
      <c r="I489" s="359">
        <f>-H489*('DRE + DCF'!$V$33+K489)/'DRE + DCF'!$V$33</f>
        <v>-90858.801614444121</v>
      </c>
      <c r="J489" s="359">
        <f>-'DRE + DCF'!$V$56*L489</f>
        <v>-1188924.4255577971</v>
      </c>
      <c r="K489" s="360">
        <f>(1+L489)/(1+Ke!$O$12)-1</f>
        <v>2.0000000000000018E-2</v>
      </c>
      <c r="L489" s="360">
        <f>'DRE + DCF'!$Y$31</f>
        <v>7.3550000000000004E-2</v>
      </c>
      <c r="M489" s="361">
        <f>(1+D489)^((5-Dashboard!$F$9)*3/12)</f>
        <v>1.0899159809881753</v>
      </c>
      <c r="N489" s="361">
        <f t="shared" ref="N489:V489" si="492">M489*(1+$D489)</f>
        <v>1.2225042600753884</v>
      </c>
      <c r="O489" s="361">
        <f t="shared" si="492"/>
        <v>1.3712219033135611</v>
      </c>
      <c r="P489" s="361">
        <f t="shared" si="492"/>
        <v>1.5380310478516577</v>
      </c>
      <c r="Q489" s="361">
        <f t="shared" si="492"/>
        <v>1.725132524822814</v>
      </c>
      <c r="R489" s="361">
        <f t="shared" si="492"/>
        <v>1.9349948964675117</v>
      </c>
      <c r="S489" s="361">
        <f t="shared" si="492"/>
        <v>2.1703870256227873</v>
      </c>
      <c r="T489" s="361">
        <f t="shared" si="492"/>
        <v>2.4344146072898023</v>
      </c>
      <c r="U489" s="361">
        <f t="shared" si="492"/>
        <v>2.73056114426661</v>
      </c>
      <c r="V489" s="362">
        <f t="shared" si="492"/>
        <v>3.0627339074666469</v>
      </c>
      <c r="X489" s="351"/>
    </row>
    <row r="490" spans="3:24" ht="24.75" customHeight="1" x14ac:dyDescent="0.3">
      <c r="C490" s="353">
        <f>ABS(E490-Dashboard!$F$14)</f>
        <v>163.8953589786417</v>
      </c>
      <c r="D490" s="350">
        <f t="shared" si="465"/>
        <v>0.12175000000000137</v>
      </c>
      <c r="E490" s="359" cm="1">
        <f t="array" ref="E490">1000*SUM('DRE + DCF'!$L$36/M490,'DRE + DCF'!$N$36:$V$36/N490:V490,F490/V490)/Dashboard!$F$11</f>
        <v>260.8853589786417</v>
      </c>
      <c r="F490" s="359">
        <f t="shared" si="463"/>
        <v>30047225.98636771</v>
      </c>
      <c r="G490" s="359">
        <f>'DRE + DCF'!$W$31</f>
        <v>2791623.3540418856</v>
      </c>
      <c r="H490" s="359">
        <f>'DRE + DCF'!$W$32</f>
        <v>81081.931703745853</v>
      </c>
      <c r="I490" s="359">
        <f>-H490*('DRE + DCF'!$V$33+K490)/'DRE + DCF'!$V$33</f>
        <v>-90858.801614444121</v>
      </c>
      <c r="J490" s="359">
        <f>-'DRE + DCF'!$V$56*L490</f>
        <v>-1188924.4255577971</v>
      </c>
      <c r="K490" s="360">
        <f>(1+L490)/(1+Ke!$O$12)-1</f>
        <v>2.0000000000000018E-2</v>
      </c>
      <c r="L490" s="360">
        <f>'DRE + DCF'!$Y$31</f>
        <v>7.3550000000000004E-2</v>
      </c>
      <c r="M490" s="361">
        <f>(1+D490)^((5-Dashboard!$F$9)*3/12)</f>
        <v>1.0899888582561574</v>
      </c>
      <c r="N490" s="361">
        <f t="shared" ref="N490:V490" si="493">M490*(1+$D490)</f>
        <v>1.222695001748846</v>
      </c>
      <c r="O490" s="361">
        <f t="shared" si="493"/>
        <v>1.3715581182117698</v>
      </c>
      <c r="P490" s="361">
        <f t="shared" si="493"/>
        <v>1.5385453191040546</v>
      </c>
      <c r="Q490" s="361">
        <f t="shared" si="493"/>
        <v>1.7258632117049753</v>
      </c>
      <c r="R490" s="361">
        <f t="shared" si="493"/>
        <v>1.9359870577300584</v>
      </c>
      <c r="S490" s="361">
        <f t="shared" si="493"/>
        <v>2.1716934820086955</v>
      </c>
      <c r="T490" s="361">
        <f t="shared" si="493"/>
        <v>2.4360971634432573</v>
      </c>
      <c r="U490" s="361">
        <f t="shared" si="493"/>
        <v>2.7326919930924771</v>
      </c>
      <c r="V490" s="362">
        <f t="shared" si="493"/>
        <v>3.06539724325149</v>
      </c>
      <c r="X490" s="351"/>
    </row>
    <row r="491" spans="3:24" ht="24.75" customHeight="1" x14ac:dyDescent="0.3">
      <c r="C491" s="353">
        <f>ABS(E491-Dashboard!$F$14)</f>
        <v>163.42915407235506</v>
      </c>
      <c r="D491" s="350">
        <f t="shared" si="465"/>
        <v>0.12185000000000137</v>
      </c>
      <c r="E491" s="359" cm="1">
        <f t="array" ref="E491">1000*SUM('DRE + DCF'!$L$36/M491,'DRE + DCF'!$N$36:$V$36/N491:V491,F491/V491)/Dashboard!$F$11</f>
        <v>260.41915407235507</v>
      </c>
      <c r="F491" s="359">
        <f t="shared" si="463"/>
        <v>30000397.606174409</v>
      </c>
      <c r="G491" s="359">
        <f>'DRE + DCF'!$W$31</f>
        <v>2791623.3540418856</v>
      </c>
      <c r="H491" s="359">
        <f>'DRE + DCF'!$W$32</f>
        <v>81081.931703745853</v>
      </c>
      <c r="I491" s="359">
        <f>-H491*('DRE + DCF'!$V$33+K491)/'DRE + DCF'!$V$33</f>
        <v>-90858.801614444121</v>
      </c>
      <c r="J491" s="359">
        <f>-'DRE + DCF'!$V$56*L491</f>
        <v>-1188924.4255577971</v>
      </c>
      <c r="K491" s="360">
        <f>(1+L491)/(1+Ke!$O$12)-1</f>
        <v>2.0000000000000018E-2</v>
      </c>
      <c r="L491" s="360">
        <f>'DRE + DCF'!$Y$31</f>
        <v>7.3550000000000004E-2</v>
      </c>
      <c r="M491" s="361">
        <f>(1+D491)^((5-Dashboard!$F$9)*3/12)</f>
        <v>1.0900617338999705</v>
      </c>
      <c r="N491" s="361">
        <f t="shared" ref="N491:V491" si="494">M491*(1+$D491)</f>
        <v>1.2228857561756834</v>
      </c>
      <c r="O491" s="361">
        <f t="shared" si="494"/>
        <v>1.371894385565692</v>
      </c>
      <c r="P491" s="361">
        <f t="shared" si="494"/>
        <v>1.5390597164468733</v>
      </c>
      <c r="Q491" s="361">
        <f t="shared" si="494"/>
        <v>1.7265941428959268</v>
      </c>
      <c r="R491" s="361">
        <f t="shared" si="494"/>
        <v>1.9369796392077978</v>
      </c>
      <c r="S491" s="361">
        <f t="shared" si="494"/>
        <v>2.1730006082452706</v>
      </c>
      <c r="T491" s="361">
        <f t="shared" si="494"/>
        <v>2.4377807323599598</v>
      </c>
      <c r="U491" s="361">
        <f t="shared" si="494"/>
        <v>2.7348243145980242</v>
      </c>
      <c r="V491" s="362">
        <f t="shared" si="494"/>
        <v>3.0680626573317973</v>
      </c>
      <c r="X491" s="351"/>
    </row>
    <row r="492" spans="3:24" ht="24.75" customHeight="1" x14ac:dyDescent="0.3">
      <c r="C492" s="353">
        <f>ABS(E492-Dashboard!$F$14)</f>
        <v>162.96457497067382</v>
      </c>
      <c r="D492" s="350">
        <f t="shared" si="465"/>
        <v>0.12195000000000138</v>
      </c>
      <c r="E492" s="359" cm="1">
        <f t="array" ref="E492">1000*SUM('DRE + DCF'!$L$36/M492,'DRE + DCF'!$N$36:$V$36/N492:V492,F492/V492)/Dashboard!$F$11</f>
        <v>259.95457497067383</v>
      </c>
      <c r="F492" s="359">
        <f t="shared" si="463"/>
        <v>29953737.558387</v>
      </c>
      <c r="G492" s="359">
        <f>'DRE + DCF'!$W$31</f>
        <v>2791623.3540418856</v>
      </c>
      <c r="H492" s="359">
        <f>'DRE + DCF'!$W$32</f>
        <v>81081.931703745853</v>
      </c>
      <c r="I492" s="359">
        <f>-H492*('DRE + DCF'!$V$33+K492)/'DRE + DCF'!$V$33</f>
        <v>-90858.801614444121</v>
      </c>
      <c r="J492" s="359">
        <f>-'DRE + DCF'!$V$56*L492</f>
        <v>-1188924.4255577971</v>
      </c>
      <c r="K492" s="360">
        <f>(1+L492)/(1+Ke!$O$12)-1</f>
        <v>2.0000000000000018E-2</v>
      </c>
      <c r="L492" s="360">
        <f>'DRE + DCF'!$Y$31</f>
        <v>7.3550000000000004E-2</v>
      </c>
      <c r="M492" s="361">
        <f>(1+D492)^((5-Dashboard!$F$9)*3/12)</f>
        <v>1.0901346079197958</v>
      </c>
      <c r="N492" s="361">
        <f t="shared" ref="N492:V492" si="495">M492*(1+$D492)</f>
        <v>1.2230765233556162</v>
      </c>
      <c r="O492" s="361">
        <f t="shared" si="495"/>
        <v>1.3722307053788352</v>
      </c>
      <c r="P492" s="361">
        <f t="shared" si="495"/>
        <v>1.539574239899786</v>
      </c>
      <c r="Q492" s="361">
        <f t="shared" si="495"/>
        <v>1.727325318455567</v>
      </c>
      <c r="R492" s="361">
        <f t="shared" si="495"/>
        <v>1.9379726410412257</v>
      </c>
      <c r="S492" s="361">
        <f t="shared" si="495"/>
        <v>2.1743084046162058</v>
      </c>
      <c r="T492" s="361">
        <f t="shared" si="495"/>
        <v>2.4394653145591549</v>
      </c>
      <c r="U492" s="361">
        <f t="shared" si="495"/>
        <v>2.7369581096696471</v>
      </c>
      <c r="V492" s="362">
        <f t="shared" si="495"/>
        <v>3.0707301511438643</v>
      </c>
      <c r="X492" s="351"/>
    </row>
    <row r="493" spans="3:24" ht="24.75" customHeight="1" x14ac:dyDescent="0.3">
      <c r="C493" s="353">
        <f>ABS(E493-Dashboard!$F$14)</f>
        <v>162.50161258353216</v>
      </c>
      <c r="D493" s="350">
        <f t="shared" si="465"/>
        <v>0.12205000000000138</v>
      </c>
      <c r="E493" s="359" cm="1">
        <f t="array" ref="E493">1000*SUM('DRE + DCF'!$L$36/M493,'DRE + DCF'!$N$36:$V$36/N493:V493,F493/V493)/Dashboard!$F$11</f>
        <v>259.49161258353217</v>
      </c>
      <c r="F493" s="359">
        <f t="shared" si="463"/>
        <v>29907244.863522708</v>
      </c>
      <c r="G493" s="359">
        <f>'DRE + DCF'!$W$31</f>
        <v>2791623.3540418856</v>
      </c>
      <c r="H493" s="359">
        <f>'DRE + DCF'!$W$32</f>
        <v>81081.931703745853</v>
      </c>
      <c r="I493" s="359">
        <f>-H493*('DRE + DCF'!$V$33+K493)/'DRE + DCF'!$V$33</f>
        <v>-90858.801614444121</v>
      </c>
      <c r="J493" s="359">
        <f>-'DRE + DCF'!$V$56*L493</f>
        <v>-1188924.4255577971</v>
      </c>
      <c r="K493" s="360">
        <f>(1+L493)/(1+Ke!$O$12)-1</f>
        <v>2.0000000000000018E-2</v>
      </c>
      <c r="L493" s="360">
        <f>'DRE + DCF'!$Y$31</f>
        <v>7.3550000000000004E-2</v>
      </c>
      <c r="M493" s="361">
        <f>(1+D493)^((5-Dashboard!$F$9)*3/12)</f>
        <v>1.0902074803158139</v>
      </c>
      <c r="N493" s="361">
        <f t="shared" ref="N493:V493" si="496">M493*(1+$D493)</f>
        <v>1.2232673032883605</v>
      </c>
      <c r="O493" s="361">
        <f t="shared" si="496"/>
        <v>1.3725670776547065</v>
      </c>
      <c r="P493" s="361">
        <f t="shared" si="496"/>
        <v>1.5400888894824654</v>
      </c>
      <c r="Q493" s="361">
        <f t="shared" si="496"/>
        <v>1.7280567384438024</v>
      </c>
      <c r="R493" s="361">
        <f t="shared" si="496"/>
        <v>1.9389660633708707</v>
      </c>
      <c r="S493" s="361">
        <f t="shared" si="496"/>
        <v>2.1756168714052881</v>
      </c>
      <c r="T493" s="361">
        <f t="shared" si="496"/>
        <v>2.4411509105603066</v>
      </c>
      <c r="U493" s="361">
        <f t="shared" si="496"/>
        <v>2.7390933791941952</v>
      </c>
      <c r="V493" s="362">
        <f t="shared" si="496"/>
        <v>3.0733997261248502</v>
      </c>
      <c r="X493" s="351"/>
    </row>
    <row r="494" spans="3:24" ht="24.75" customHeight="1" x14ac:dyDescent="0.3">
      <c r="C494" s="353">
        <f>ABS(E494-Dashboard!$F$14)</f>
        <v>162.04025789222084</v>
      </c>
      <c r="D494" s="350">
        <f t="shared" si="465"/>
        <v>0.12215000000000138</v>
      </c>
      <c r="E494" s="359" cm="1">
        <f t="array" ref="E494">1000*SUM('DRE + DCF'!$L$36/M494,'DRE + DCF'!$N$36:$V$36/N494:V494,F494/V494)/Dashboard!$F$11</f>
        <v>259.03025789222085</v>
      </c>
      <c r="F494" s="359">
        <f t="shared" si="463"/>
        <v>29860918.549958568</v>
      </c>
      <c r="G494" s="359">
        <f>'DRE + DCF'!$W$31</f>
        <v>2791623.3540418856</v>
      </c>
      <c r="H494" s="359">
        <f>'DRE + DCF'!$W$32</f>
        <v>81081.931703745853</v>
      </c>
      <c r="I494" s="359">
        <f>-H494*('DRE + DCF'!$V$33+K494)/'DRE + DCF'!$V$33</f>
        <v>-90858.801614444121</v>
      </c>
      <c r="J494" s="359">
        <f>-'DRE + DCF'!$V$56*L494</f>
        <v>-1188924.4255577971</v>
      </c>
      <c r="K494" s="360">
        <f>(1+L494)/(1+Ke!$O$12)-1</f>
        <v>2.0000000000000018E-2</v>
      </c>
      <c r="L494" s="360">
        <f>'DRE + DCF'!$Y$31</f>
        <v>7.3550000000000004E-2</v>
      </c>
      <c r="M494" s="361">
        <f>(1+D494)^((5-Dashboard!$F$9)*3/12)</f>
        <v>1.0902803510882062</v>
      </c>
      <c r="N494" s="361">
        <f t="shared" ref="N494:V494" si="497">M494*(1+$D494)</f>
        <v>1.2234580959736321</v>
      </c>
      <c r="O494" s="361">
        <f t="shared" si="497"/>
        <v>1.3729035023968128</v>
      </c>
      <c r="P494" s="361">
        <f t="shared" si="497"/>
        <v>1.5406036652145854</v>
      </c>
      <c r="Q494" s="361">
        <f t="shared" si="497"/>
        <v>1.7287884029205489</v>
      </c>
      <c r="R494" s="361">
        <f t="shared" si="497"/>
        <v>1.9399599063372963</v>
      </c>
      <c r="S494" s="361">
        <f t="shared" si="497"/>
        <v>2.1769260088963995</v>
      </c>
      <c r="T494" s="361">
        <f t="shared" si="497"/>
        <v>2.4428375208830975</v>
      </c>
      <c r="U494" s="361">
        <f t="shared" si="497"/>
        <v>2.7412301240589709</v>
      </c>
      <c r="V494" s="362">
        <f t="shared" si="497"/>
        <v>3.0760713837127778</v>
      </c>
      <c r="X494" s="351"/>
    </row>
    <row r="495" spans="3:24" ht="24.75" customHeight="1" x14ac:dyDescent="0.3">
      <c r="C495" s="353">
        <f>ABS(E495-Dashboard!$F$14)</f>
        <v>161.58050194866922</v>
      </c>
      <c r="D495" s="350">
        <f t="shared" si="465"/>
        <v>0.12225000000000139</v>
      </c>
      <c r="E495" s="359" cm="1">
        <f t="array" ref="E495">1000*SUM('DRE + DCF'!$L$36/M495,'DRE + DCF'!$N$36:$V$36/N495:V495,F495/V495)/Dashboard!$F$11</f>
        <v>258.57050194866923</v>
      </c>
      <c r="F495" s="359">
        <f t="shared" si="463"/>
        <v>29814757.653851546</v>
      </c>
      <c r="G495" s="359">
        <f>'DRE + DCF'!$W$31</f>
        <v>2791623.3540418856</v>
      </c>
      <c r="H495" s="359">
        <f>'DRE + DCF'!$W$32</f>
        <v>81081.931703745853</v>
      </c>
      <c r="I495" s="359">
        <f>-H495*('DRE + DCF'!$V$33+K495)/'DRE + DCF'!$V$33</f>
        <v>-90858.801614444121</v>
      </c>
      <c r="J495" s="359">
        <f>-'DRE + DCF'!$V$56*L495</f>
        <v>-1188924.4255577971</v>
      </c>
      <c r="K495" s="360">
        <f>(1+L495)/(1+Ke!$O$12)-1</f>
        <v>2.0000000000000018E-2</v>
      </c>
      <c r="L495" s="360">
        <f>'DRE + DCF'!$Y$31</f>
        <v>7.3550000000000004E-2</v>
      </c>
      <c r="M495" s="361">
        <f>(1+D495)^((5-Dashboard!$F$9)*3/12)</f>
        <v>1.0903532202371533</v>
      </c>
      <c r="N495" s="361">
        <f t="shared" ref="N495:V495" si="498">M495*(1+$D495)</f>
        <v>1.2236489014111467</v>
      </c>
      <c r="O495" s="361">
        <f t="shared" si="498"/>
        <v>1.373239979608661</v>
      </c>
      <c r="P495" s="361">
        <f t="shared" si="498"/>
        <v>1.5411185671158216</v>
      </c>
      <c r="Q495" s="361">
        <f t="shared" si="498"/>
        <v>1.7295203119457327</v>
      </c>
      <c r="R495" s="361">
        <f t="shared" si="498"/>
        <v>1.9409541700811008</v>
      </c>
      <c r="S495" s="361">
        <f t="shared" si="498"/>
        <v>2.1782358173735181</v>
      </c>
      <c r="T495" s="361">
        <f t="shared" si="498"/>
        <v>2.4445251460474338</v>
      </c>
      <c r="U495" s="361">
        <f t="shared" si="498"/>
        <v>2.7433683451517359</v>
      </c>
      <c r="V495" s="362">
        <f t="shared" si="498"/>
        <v>3.078745125346539</v>
      </c>
      <c r="X495" s="351"/>
    </row>
    <row r="496" spans="3:24" ht="24.75" customHeight="1" x14ac:dyDescent="0.3">
      <c r="C496" s="353">
        <f>ABS(E496-Dashboard!$F$14)</f>
        <v>161.12233587473622</v>
      </c>
      <c r="D496" s="350">
        <f t="shared" si="465"/>
        <v>0.12235000000000139</v>
      </c>
      <c r="E496" s="359" cm="1">
        <f t="array" ref="E496">1000*SUM('DRE + DCF'!$L$36/M496,'DRE + DCF'!$N$36:$V$36/N496:V496,F496/V496)/Dashboard!$F$11</f>
        <v>258.11233587473623</v>
      </c>
      <c r="F496" s="359">
        <f t="shared" si="463"/>
        <v>29768761.219059616</v>
      </c>
      <c r="G496" s="359">
        <f>'DRE + DCF'!$W$31</f>
        <v>2791623.3540418856</v>
      </c>
      <c r="H496" s="359">
        <f>'DRE + DCF'!$W$32</f>
        <v>81081.931703745853</v>
      </c>
      <c r="I496" s="359">
        <f>-H496*('DRE + DCF'!$V$33+K496)/'DRE + DCF'!$V$33</f>
        <v>-90858.801614444121</v>
      </c>
      <c r="J496" s="359">
        <f>-'DRE + DCF'!$V$56*L496</f>
        <v>-1188924.4255577971</v>
      </c>
      <c r="K496" s="360">
        <f>(1+L496)/(1+Ke!$O$12)-1</f>
        <v>2.0000000000000018E-2</v>
      </c>
      <c r="L496" s="360">
        <f>'DRE + DCF'!$Y$31</f>
        <v>7.3550000000000004E-2</v>
      </c>
      <c r="M496" s="361">
        <f>(1+D496)^((5-Dashboard!$F$9)*3/12)</f>
        <v>1.0904260877628358</v>
      </c>
      <c r="N496" s="361">
        <f t="shared" ref="N496:V496" si="499">M496*(1+$D496)</f>
        <v>1.2238397196006201</v>
      </c>
      <c r="O496" s="361">
        <f t="shared" si="499"/>
        <v>1.3735765092937575</v>
      </c>
      <c r="P496" s="361">
        <f t="shared" si="499"/>
        <v>1.5416335952058504</v>
      </c>
      <c r="Q496" s="361">
        <f t="shared" si="499"/>
        <v>1.7302524655792881</v>
      </c>
      <c r="R496" s="361">
        <f t="shared" si="499"/>
        <v>1.9419488547429162</v>
      </c>
      <c r="S496" s="361">
        <f t="shared" si="499"/>
        <v>2.1795462971207145</v>
      </c>
      <c r="T496" s="361">
        <f t="shared" si="499"/>
        <v>2.4462137865734368</v>
      </c>
      <c r="U496" s="361">
        <f t="shared" si="499"/>
        <v>2.7455080433607</v>
      </c>
      <c r="V496" s="362">
        <f t="shared" si="499"/>
        <v>3.0814209524658853</v>
      </c>
      <c r="X496" s="351"/>
    </row>
    <row r="497" spans="3:24" ht="24.75" customHeight="1" x14ac:dyDescent="0.3">
      <c r="C497" s="353">
        <f>ABS(E497-Dashboard!$F$14)</f>
        <v>160.66575086150851</v>
      </c>
      <c r="D497" s="350">
        <f t="shared" si="465"/>
        <v>0.12245000000000139</v>
      </c>
      <c r="E497" s="359" cm="1">
        <f t="array" ref="E497">1000*SUM('DRE + DCF'!$L$36/M497,'DRE + DCF'!$N$36:$V$36/N497:V497,F497/V497)/Dashboard!$F$11</f>
        <v>257.65575086150852</v>
      </c>
      <c r="F497" s="359">
        <f t="shared" si="463"/>
        <v>29722928.297063872</v>
      </c>
      <c r="G497" s="359">
        <f>'DRE + DCF'!$W$31</f>
        <v>2791623.3540418856</v>
      </c>
      <c r="H497" s="359">
        <f>'DRE + DCF'!$W$32</f>
        <v>81081.931703745853</v>
      </c>
      <c r="I497" s="359">
        <f>-H497*('DRE + DCF'!$V$33+K497)/'DRE + DCF'!$V$33</f>
        <v>-90858.801614444121</v>
      </c>
      <c r="J497" s="359">
        <f>-'DRE + DCF'!$V$56*L497</f>
        <v>-1188924.4255577971</v>
      </c>
      <c r="K497" s="360">
        <f>(1+L497)/(1+Ke!$O$12)-1</f>
        <v>2.0000000000000018E-2</v>
      </c>
      <c r="L497" s="360">
        <f>'DRE + DCF'!$Y$31</f>
        <v>7.3550000000000004E-2</v>
      </c>
      <c r="M497" s="361">
        <f>(1+D497)^((5-Dashboard!$F$9)*3/12)</f>
        <v>1.090498953665435</v>
      </c>
      <c r="N497" s="361">
        <f t="shared" ref="N497:V497" si="500">M497*(1+$D497)</f>
        <v>1.2240305505417692</v>
      </c>
      <c r="O497" s="361">
        <f t="shared" si="500"/>
        <v>1.3739130914556108</v>
      </c>
      <c r="P497" s="361">
        <f t="shared" si="500"/>
        <v>1.5421487495043524</v>
      </c>
      <c r="Q497" s="361">
        <f t="shared" si="500"/>
        <v>1.7309848638811627</v>
      </c>
      <c r="R497" s="361">
        <f t="shared" si="500"/>
        <v>1.9429439604634136</v>
      </c>
      <c r="S497" s="361">
        <f t="shared" si="500"/>
        <v>2.1808574484221617</v>
      </c>
      <c r="T497" s="361">
        <f t="shared" si="500"/>
        <v>2.4479034429814588</v>
      </c>
      <c r="U497" s="361">
        <f t="shared" si="500"/>
        <v>2.7476492195745421</v>
      </c>
      <c r="V497" s="362">
        <f t="shared" si="500"/>
        <v>3.0840988665114488</v>
      </c>
      <c r="X497" s="351"/>
    </row>
    <row r="498" spans="3:24" ht="24.75" customHeight="1" x14ac:dyDescent="0.3">
      <c r="C498" s="353">
        <f>ABS(E498-Dashboard!$F$14)</f>
        <v>160.21073816861093</v>
      </c>
      <c r="D498" s="350">
        <f t="shared" si="465"/>
        <v>0.12255000000000139</v>
      </c>
      <c r="E498" s="359" cm="1">
        <f t="array" ref="E498">1000*SUM('DRE + DCF'!$L$36/M498,'DRE + DCF'!$N$36:$V$36/N498:V498,F498/V498)/Dashboard!$F$11</f>
        <v>257.20073816861094</v>
      </c>
      <c r="F498" s="359">
        <f t="shared" si="463"/>
        <v>29677257.946891509</v>
      </c>
      <c r="G498" s="359">
        <f>'DRE + DCF'!$W$31</f>
        <v>2791623.3540418856</v>
      </c>
      <c r="H498" s="359">
        <f>'DRE + DCF'!$W$32</f>
        <v>81081.931703745853</v>
      </c>
      <c r="I498" s="359">
        <f>-H498*('DRE + DCF'!$V$33+K498)/'DRE + DCF'!$V$33</f>
        <v>-90858.801614444121</v>
      </c>
      <c r="J498" s="359">
        <f>-'DRE + DCF'!$V$56*L498</f>
        <v>-1188924.4255577971</v>
      </c>
      <c r="K498" s="360">
        <f>(1+L498)/(1+Ke!$O$12)-1</f>
        <v>2.0000000000000018E-2</v>
      </c>
      <c r="L498" s="360">
        <f>'DRE + DCF'!$Y$31</f>
        <v>7.3550000000000004E-2</v>
      </c>
      <c r="M498" s="361">
        <f>(1+D498)^((5-Dashboard!$F$9)*3/12)</f>
        <v>1.0905718179451314</v>
      </c>
      <c r="N498" s="361">
        <f t="shared" ref="N498:V498" si="501">M498*(1+$D498)</f>
        <v>1.2242213942343088</v>
      </c>
      <c r="O498" s="361">
        <f t="shared" si="501"/>
        <v>1.3742497260977251</v>
      </c>
      <c r="P498" s="361">
        <f t="shared" si="501"/>
        <v>1.5426640300310033</v>
      </c>
      <c r="Q498" s="361">
        <f t="shared" si="501"/>
        <v>1.7317175069113051</v>
      </c>
      <c r="R498" s="361">
        <f t="shared" si="501"/>
        <v>1.943939487383288</v>
      </c>
      <c r="S498" s="361">
        <f t="shared" si="501"/>
        <v>2.1821692715621128</v>
      </c>
      <c r="T498" s="361">
        <f t="shared" si="501"/>
        <v>2.4495941157920531</v>
      </c>
      <c r="U498" s="361">
        <f t="shared" si="501"/>
        <v>2.7497918746823728</v>
      </c>
      <c r="V498" s="362">
        <f t="shared" si="501"/>
        <v>3.0867788689247018</v>
      </c>
      <c r="X498" s="351"/>
    </row>
    <row r="499" spans="3:24" ht="24.75" customHeight="1" x14ac:dyDescent="0.3">
      <c r="C499" s="353">
        <f>ABS(E499-Dashboard!$F$14)</f>
        <v>159.75728912351951</v>
      </c>
      <c r="D499" s="350">
        <f t="shared" si="465"/>
        <v>0.1226500000000014</v>
      </c>
      <c r="E499" s="359" cm="1">
        <f t="array" ref="E499">1000*SUM('DRE + DCF'!$L$36/M499,'DRE + DCF'!$N$36:$V$36/N499:V499,F499/V499)/Dashboard!$F$11</f>
        <v>256.74728912351952</v>
      </c>
      <c r="F499" s="359">
        <f t="shared" si="463"/>
        <v>29631749.235039819</v>
      </c>
      <c r="G499" s="359">
        <f>'DRE + DCF'!$W$31</f>
        <v>2791623.3540418856</v>
      </c>
      <c r="H499" s="359">
        <f>'DRE + DCF'!$W$32</f>
        <v>81081.931703745853</v>
      </c>
      <c r="I499" s="359">
        <f>-H499*('DRE + DCF'!$V$33+K499)/'DRE + DCF'!$V$33</f>
        <v>-90858.801614444121</v>
      </c>
      <c r="J499" s="359">
        <f>-'DRE + DCF'!$V$56*L499</f>
        <v>-1188924.4255577971</v>
      </c>
      <c r="K499" s="360">
        <f>(1+L499)/(1+Ke!$O$12)-1</f>
        <v>2.0000000000000018E-2</v>
      </c>
      <c r="L499" s="360">
        <f>'DRE + DCF'!$Y$31</f>
        <v>7.3550000000000004E-2</v>
      </c>
      <c r="M499" s="361">
        <f>(1+D499)^((5-Dashboard!$F$9)*3/12)</f>
        <v>1.0906446806021055</v>
      </c>
      <c r="N499" s="361">
        <f t="shared" ref="N499:V499" si="502">M499*(1+$D499)</f>
        <v>1.2244122506779553</v>
      </c>
      <c r="O499" s="361">
        <f t="shared" si="502"/>
        <v>1.3745864132236083</v>
      </c>
      <c r="P499" s="361">
        <f t="shared" si="502"/>
        <v>1.5431794368054859</v>
      </c>
      <c r="Q499" s="361">
        <f t="shared" si="502"/>
        <v>1.732450394729681</v>
      </c>
      <c r="R499" s="361">
        <f t="shared" si="502"/>
        <v>1.9449354356432789</v>
      </c>
      <c r="S499" s="361">
        <f t="shared" si="502"/>
        <v>2.1834817668249298</v>
      </c>
      <c r="T499" s="361">
        <f t="shared" si="502"/>
        <v>2.4512858055260107</v>
      </c>
      <c r="U499" s="361">
        <f t="shared" si="502"/>
        <v>2.7519360095737797</v>
      </c>
      <c r="V499" s="362">
        <f t="shared" si="502"/>
        <v>3.0894609611480077</v>
      </c>
      <c r="X499" s="351"/>
    </row>
    <row r="500" spans="3:24" ht="24.75" customHeight="1" x14ac:dyDescent="0.3">
      <c r="C500" s="353">
        <f>ABS(E500-Dashboard!$F$14)</f>
        <v>159.30539512088762</v>
      </c>
      <c r="D500" s="350">
        <f t="shared" si="465"/>
        <v>0.1227500000000014</v>
      </c>
      <c r="E500" s="359" cm="1">
        <f t="array" ref="E500">1000*SUM('DRE + DCF'!$L$36/M500,'DRE + DCF'!$N$36:$V$36/N500:V500,F500/V500)/Dashboard!$F$11</f>
        <v>256.29539512088763</v>
      </c>
      <c r="F500" s="359">
        <f t="shared" si="463"/>
        <v>29586401.235401034</v>
      </c>
      <c r="G500" s="359">
        <f>'DRE + DCF'!$W$31</f>
        <v>2791623.3540418856</v>
      </c>
      <c r="H500" s="359">
        <f>'DRE + DCF'!$W$32</f>
        <v>81081.931703745853</v>
      </c>
      <c r="I500" s="359">
        <f>-H500*('DRE + DCF'!$V$33+K500)/'DRE + DCF'!$V$33</f>
        <v>-90858.801614444121</v>
      </c>
      <c r="J500" s="359">
        <f>-'DRE + DCF'!$V$56*L500</f>
        <v>-1188924.4255577971</v>
      </c>
      <c r="K500" s="360">
        <f>(1+L500)/(1+Ke!$O$12)-1</f>
        <v>2.0000000000000018E-2</v>
      </c>
      <c r="L500" s="360">
        <f>'DRE + DCF'!$Y$31</f>
        <v>7.3550000000000004E-2</v>
      </c>
      <c r="M500" s="361">
        <f>(1+D500)^((5-Dashboard!$F$9)*3/12)</f>
        <v>1.0907175416365382</v>
      </c>
      <c r="N500" s="361">
        <f t="shared" ref="N500:V500" si="503">M500*(1+$D500)</f>
        <v>1.224603119872425</v>
      </c>
      <c r="O500" s="361">
        <f t="shared" si="503"/>
        <v>1.3749231528367669</v>
      </c>
      <c r="P500" s="361">
        <f t="shared" si="503"/>
        <v>1.543694969847482</v>
      </c>
      <c r="Q500" s="361">
        <f t="shared" si="503"/>
        <v>1.7331835273962626</v>
      </c>
      <c r="R500" s="361">
        <f t="shared" si="503"/>
        <v>1.9459318053841563</v>
      </c>
      <c r="S500" s="361">
        <f t="shared" si="503"/>
        <v>2.1847949344950646</v>
      </c>
      <c r="T500" s="361">
        <f t="shared" si="503"/>
        <v>2.4529785127043371</v>
      </c>
      <c r="U500" s="361">
        <f t="shared" si="503"/>
        <v>2.7540816251387983</v>
      </c>
      <c r="V500" s="362">
        <f t="shared" si="503"/>
        <v>3.09214514462459</v>
      </c>
      <c r="X500" s="351"/>
    </row>
    <row r="501" spans="3:24" ht="24.75" customHeight="1" x14ac:dyDescent="0.3">
      <c r="C501" s="353">
        <f>ABS(E501-Dashboard!$F$14)</f>
        <v>158.85504762187878</v>
      </c>
      <c r="D501" s="350">
        <f t="shared" si="465"/>
        <v>0.1228500000000014</v>
      </c>
      <c r="E501" s="359" cm="1">
        <f t="array" ref="E501">1000*SUM('DRE + DCF'!$L$36/M501,'DRE + DCF'!$N$36:$V$36/N501:V501,F501/V501)/Dashboard!$F$11</f>
        <v>255.84504762187876</v>
      </c>
      <c r="F501" s="359">
        <f t="shared" si="463"/>
        <v>29541213.029188141</v>
      </c>
      <c r="G501" s="359">
        <f>'DRE + DCF'!$W$31</f>
        <v>2791623.3540418856</v>
      </c>
      <c r="H501" s="359">
        <f>'DRE + DCF'!$W$32</f>
        <v>81081.931703745853</v>
      </c>
      <c r="I501" s="359">
        <f>-H501*('DRE + DCF'!$V$33+K501)/'DRE + DCF'!$V$33</f>
        <v>-90858.801614444121</v>
      </c>
      <c r="J501" s="359">
        <f>-'DRE + DCF'!$V$56*L501</f>
        <v>-1188924.4255577971</v>
      </c>
      <c r="K501" s="360">
        <f>(1+L501)/(1+Ke!$O$12)-1</f>
        <v>2.0000000000000018E-2</v>
      </c>
      <c r="L501" s="360">
        <f>'DRE + DCF'!$Y$31</f>
        <v>7.3550000000000004E-2</v>
      </c>
      <c r="M501" s="361">
        <f>(1+D501)^((5-Dashboard!$F$9)*3/12)</f>
        <v>1.0907904010486102</v>
      </c>
      <c r="N501" s="361">
        <f t="shared" ref="N501:V501" si="504">M501*(1+$D501)</f>
        <v>1.2247940018174337</v>
      </c>
      <c r="O501" s="361">
        <f t="shared" si="504"/>
        <v>1.3752599449407072</v>
      </c>
      <c r="P501" s="361">
        <f t="shared" si="504"/>
        <v>1.5442106291766751</v>
      </c>
      <c r="Q501" s="361">
        <f t="shared" si="504"/>
        <v>1.7339169049710319</v>
      </c>
      <c r="R501" s="361">
        <f t="shared" si="504"/>
        <v>1.9469285967467258</v>
      </c>
      <c r="S501" s="361">
        <f t="shared" si="504"/>
        <v>2.1861087748570638</v>
      </c>
      <c r="T501" s="361">
        <f t="shared" si="504"/>
        <v>2.4546722378482571</v>
      </c>
      <c r="U501" s="361">
        <f t="shared" si="504"/>
        <v>2.7562287222679189</v>
      </c>
      <c r="V501" s="362">
        <f t="shared" si="504"/>
        <v>3.0948314207985366</v>
      </c>
      <c r="X501" s="351"/>
    </row>
    <row r="502" spans="3:24" ht="24.75" customHeight="1" x14ac:dyDescent="0.3">
      <c r="C502" s="353">
        <f>ABS(E502-Dashboard!$F$14)</f>
        <v>158.40623815350637</v>
      </c>
      <c r="D502" s="350">
        <f t="shared" si="465"/>
        <v>0.12295000000000141</v>
      </c>
      <c r="E502" s="359" cm="1">
        <f t="array" ref="E502">1000*SUM('DRE + DCF'!$L$36/M502,'DRE + DCF'!$N$36:$V$36/N502:V502,F502/V502)/Dashboard!$F$11</f>
        <v>255.39623815350637</v>
      </c>
      <c r="F502" s="359">
        <f t="shared" si="463"/>
        <v>29496183.704861555</v>
      </c>
      <c r="G502" s="359">
        <f>'DRE + DCF'!$W$31</f>
        <v>2791623.3540418856</v>
      </c>
      <c r="H502" s="359">
        <f>'DRE + DCF'!$W$32</f>
        <v>81081.931703745853</v>
      </c>
      <c r="I502" s="359">
        <f>-H502*('DRE + DCF'!$V$33+K502)/'DRE + DCF'!$V$33</f>
        <v>-90858.801614444121</v>
      </c>
      <c r="J502" s="359">
        <f>-'DRE + DCF'!$V$56*L502</f>
        <v>-1188924.4255577971</v>
      </c>
      <c r="K502" s="360">
        <f>(1+L502)/(1+Ke!$O$12)-1</f>
        <v>2.0000000000000018E-2</v>
      </c>
      <c r="L502" s="360">
        <f>'DRE + DCF'!$Y$31</f>
        <v>7.3550000000000004E-2</v>
      </c>
      <c r="M502" s="361">
        <f>(1+D502)^((5-Dashboard!$F$9)*3/12)</f>
        <v>1.0908632588385019</v>
      </c>
      <c r="N502" s="361">
        <f t="shared" ref="N502:V502" si="505">M502*(1+$D502)</f>
        <v>1.2249848965126973</v>
      </c>
      <c r="O502" s="361">
        <f t="shared" si="505"/>
        <v>1.3755967895389352</v>
      </c>
      <c r="P502" s="361">
        <f t="shared" si="505"/>
        <v>1.5447264148127493</v>
      </c>
      <c r="Q502" s="361">
        <f t="shared" si="505"/>
        <v>1.734650527513979</v>
      </c>
      <c r="R502" s="361">
        <f t="shared" si="505"/>
        <v>1.9479258098718253</v>
      </c>
      <c r="S502" s="361">
        <f t="shared" si="505"/>
        <v>2.1874232881955691</v>
      </c>
      <c r="T502" s="361">
        <f t="shared" si="505"/>
        <v>2.4563669814792175</v>
      </c>
      <c r="U502" s="361">
        <f t="shared" si="505"/>
        <v>2.7583773018520907</v>
      </c>
      <c r="V502" s="362">
        <f t="shared" si="505"/>
        <v>3.0975197911148094</v>
      </c>
      <c r="X502" s="351"/>
    </row>
    <row r="503" spans="3:24" ht="24.75" customHeight="1" x14ac:dyDescent="0.3">
      <c r="C503" s="353">
        <f>ABS(E503-Dashboard!$F$14)</f>
        <v>157.95895830798332</v>
      </c>
      <c r="D503" s="350">
        <f t="shared" si="465"/>
        <v>0.12305000000000141</v>
      </c>
      <c r="E503" s="359" cm="1">
        <f t="array" ref="E503">1000*SUM('DRE + DCF'!$L$36/M503,'DRE + DCF'!$N$36:$V$36/N503:V503,F503/V503)/Dashboard!$F$11</f>
        <v>254.9489583079833</v>
      </c>
      <c r="F503" s="359">
        <f t="shared" si="463"/>
        <v>29451312.358056702</v>
      </c>
      <c r="G503" s="359">
        <f>'DRE + DCF'!$W$31</f>
        <v>2791623.3540418856</v>
      </c>
      <c r="H503" s="359">
        <f>'DRE + DCF'!$W$32</f>
        <v>81081.931703745853</v>
      </c>
      <c r="I503" s="359">
        <f>-H503*('DRE + DCF'!$V$33+K503)/'DRE + DCF'!$V$33</f>
        <v>-90858.801614444121</v>
      </c>
      <c r="J503" s="359">
        <f>-'DRE + DCF'!$V$56*L503</f>
        <v>-1188924.4255577971</v>
      </c>
      <c r="K503" s="360">
        <f>(1+L503)/(1+Ke!$O$12)-1</f>
        <v>2.0000000000000018E-2</v>
      </c>
      <c r="L503" s="360">
        <f>'DRE + DCF'!$Y$31</f>
        <v>7.3550000000000004E-2</v>
      </c>
      <c r="M503" s="361">
        <f>(1+D503)^((5-Dashboard!$F$9)*3/12)</f>
        <v>1.0909361150063939</v>
      </c>
      <c r="N503" s="361">
        <f t="shared" ref="N503:V503" si="506">M503*(1+$D503)</f>
        <v>1.2251758039579321</v>
      </c>
      <c r="O503" s="361">
        <f t="shared" si="506"/>
        <v>1.3759336866349574</v>
      </c>
      <c r="P503" s="361">
        <f t="shared" si="506"/>
        <v>1.545242326775391</v>
      </c>
      <c r="Q503" s="361">
        <f t="shared" si="506"/>
        <v>1.7353843950851051</v>
      </c>
      <c r="R503" s="361">
        <f t="shared" si="506"/>
        <v>1.9489234449003299</v>
      </c>
      <c r="S503" s="361">
        <f t="shared" si="506"/>
        <v>2.1887384747953185</v>
      </c>
      <c r="T503" s="361">
        <f t="shared" si="506"/>
        <v>2.4580627441188856</v>
      </c>
      <c r="U503" s="361">
        <f t="shared" si="506"/>
        <v>2.760527364782718</v>
      </c>
      <c r="V503" s="362">
        <f t="shared" si="506"/>
        <v>3.1002102570192354</v>
      </c>
      <c r="X503" s="351"/>
    </row>
    <row r="504" spans="3:24" ht="24.75" customHeight="1" x14ac:dyDescent="0.3">
      <c r="C504" s="353">
        <f>ABS(E504-Dashboard!$F$14)</f>
        <v>157.51319974207729</v>
      </c>
      <c r="D504" s="350">
        <f t="shared" si="465"/>
        <v>0.12315000000000141</v>
      </c>
      <c r="E504" s="359" cm="1">
        <f t="array" ref="E504">1000*SUM('DRE + DCF'!$L$36/M504,'DRE + DCF'!$N$36:$V$36/N504:V504,F504/V504)/Dashboard!$F$11</f>
        <v>254.5031997420773</v>
      </c>
      <c r="F504" s="359">
        <f t="shared" si="463"/>
        <v>29406598.091512457</v>
      </c>
      <c r="G504" s="359">
        <f>'DRE + DCF'!$W$31</f>
        <v>2791623.3540418856</v>
      </c>
      <c r="H504" s="359">
        <f>'DRE + DCF'!$W$32</f>
        <v>81081.931703745853</v>
      </c>
      <c r="I504" s="359">
        <f>-H504*('DRE + DCF'!$V$33+K504)/'DRE + DCF'!$V$33</f>
        <v>-90858.801614444121</v>
      </c>
      <c r="J504" s="359">
        <f>-'DRE + DCF'!$V$56*L504</f>
        <v>-1188924.4255577971</v>
      </c>
      <c r="K504" s="360">
        <f>(1+L504)/(1+Ke!$O$12)-1</f>
        <v>2.0000000000000018E-2</v>
      </c>
      <c r="L504" s="360">
        <f>'DRE + DCF'!$Y$31</f>
        <v>7.3550000000000004E-2</v>
      </c>
      <c r="M504" s="361">
        <f>(1+D504)^((5-Dashboard!$F$9)*3/12)</f>
        <v>1.091008969552467</v>
      </c>
      <c r="N504" s="361">
        <f t="shared" ref="N504:V504" si="507">M504*(1+$D504)</f>
        <v>1.2253667241528547</v>
      </c>
      <c r="O504" s="361">
        <f t="shared" si="507"/>
        <v>1.3762706362322805</v>
      </c>
      <c r="P504" s="361">
        <f t="shared" si="507"/>
        <v>1.5457583650842879</v>
      </c>
      <c r="Q504" s="361">
        <f t="shared" si="507"/>
        <v>1.7361185077444201</v>
      </c>
      <c r="R504" s="361">
        <f t="shared" si="507"/>
        <v>1.949921501973148</v>
      </c>
      <c r="S504" s="361">
        <f t="shared" si="507"/>
        <v>2.1900543349411441</v>
      </c>
      <c r="T504" s="361">
        <f t="shared" si="507"/>
        <v>2.4597595262891492</v>
      </c>
      <c r="U504" s="361">
        <f t="shared" si="507"/>
        <v>2.7626789119516615</v>
      </c>
      <c r="V504" s="362">
        <f t="shared" si="507"/>
        <v>3.1029028199585125</v>
      </c>
      <c r="X504" s="351"/>
    </row>
    <row r="505" spans="3:24" ht="24.75" customHeight="1" x14ac:dyDescent="0.3">
      <c r="C505" s="353">
        <f>ABS(E505-Dashboard!$F$14)</f>
        <v>157.0689541764761</v>
      </c>
      <c r="D505" s="350">
        <f t="shared" si="465"/>
        <v>0.12325000000000141</v>
      </c>
      <c r="E505" s="359" cm="1">
        <f t="array" ref="E505">1000*SUM('DRE + DCF'!$L$36/M505,'DRE + DCF'!$N$36:$V$36/N505:V505,F505/V505)/Dashboard!$F$11</f>
        <v>254.05895417647608</v>
      </c>
      <c r="F505" s="359">
        <f t="shared" si="463"/>
        <v>29362040.015000463</v>
      </c>
      <c r="G505" s="359">
        <f>'DRE + DCF'!$W$31</f>
        <v>2791623.3540418856</v>
      </c>
      <c r="H505" s="359">
        <f>'DRE + DCF'!$W$32</f>
        <v>81081.931703745853</v>
      </c>
      <c r="I505" s="359">
        <f>-H505*('DRE + DCF'!$V$33+K505)/'DRE + DCF'!$V$33</f>
        <v>-90858.801614444121</v>
      </c>
      <c r="J505" s="359">
        <f>-'DRE + DCF'!$V$56*L505</f>
        <v>-1188924.4255577971</v>
      </c>
      <c r="K505" s="360">
        <f>(1+L505)/(1+Ke!$O$12)-1</f>
        <v>2.0000000000000018E-2</v>
      </c>
      <c r="L505" s="360">
        <f>'DRE + DCF'!$Y$31</f>
        <v>7.3550000000000004E-2</v>
      </c>
      <c r="M505" s="361">
        <f>(1+D505)^((5-Dashboard!$F$9)*3/12)</f>
        <v>1.0910818224769014</v>
      </c>
      <c r="N505" s="361">
        <f t="shared" ref="N505:V505" si="508">M505*(1+$D505)</f>
        <v>1.2255576570971811</v>
      </c>
      <c r="O505" s="361">
        <f t="shared" si="508"/>
        <v>1.3766076383344104</v>
      </c>
      <c r="P505" s="361">
        <f t="shared" si="508"/>
        <v>1.5462745297591283</v>
      </c>
      <c r="Q505" s="361">
        <f t="shared" si="508"/>
        <v>1.7368528655519431</v>
      </c>
      <c r="R505" s="361">
        <f t="shared" si="508"/>
        <v>1.9509199812312226</v>
      </c>
      <c r="S505" s="361">
        <f t="shared" si="508"/>
        <v>2.1913708689179736</v>
      </c>
      <c r="T505" s="361">
        <f t="shared" si="508"/>
        <v>2.4614573285121168</v>
      </c>
      <c r="U505" s="361">
        <f t="shared" si="508"/>
        <v>2.7648319442512386</v>
      </c>
      <c r="V505" s="362">
        <f t="shared" si="508"/>
        <v>3.1055974813802076</v>
      </c>
      <c r="X505" s="351"/>
    </row>
    <row r="506" spans="3:24" ht="24.75" customHeight="1" x14ac:dyDescent="0.3">
      <c r="C506" s="353">
        <f>ABS(E506-Dashboard!$F$14)</f>
        <v>156.62621339515817</v>
      </c>
      <c r="D506" s="350">
        <f t="shared" si="465"/>
        <v>0.12335000000000142</v>
      </c>
      <c r="E506" s="359" cm="1">
        <f t="array" ref="E506">1000*SUM('DRE + DCF'!$L$36/M506,'DRE + DCF'!$N$36:$V$36/N506:V506,F506/V506)/Dashboard!$F$11</f>
        <v>253.61621339515818</v>
      </c>
      <c r="F506" s="359">
        <f t="shared" si="463"/>
        <v>29317637.245255262</v>
      </c>
      <c r="G506" s="359">
        <f>'DRE + DCF'!$W$31</f>
        <v>2791623.3540418856</v>
      </c>
      <c r="H506" s="359">
        <f>'DRE + DCF'!$W$32</f>
        <v>81081.931703745853</v>
      </c>
      <c r="I506" s="359">
        <f>-H506*('DRE + DCF'!$V$33+K506)/'DRE + DCF'!$V$33</f>
        <v>-90858.801614444121</v>
      </c>
      <c r="J506" s="359">
        <f>-'DRE + DCF'!$V$56*L506</f>
        <v>-1188924.4255577971</v>
      </c>
      <c r="K506" s="360">
        <f>(1+L506)/(1+Ke!$O$12)-1</f>
        <v>2.0000000000000018E-2</v>
      </c>
      <c r="L506" s="360">
        <f>'DRE + DCF'!$Y$31</f>
        <v>7.3550000000000004E-2</v>
      </c>
      <c r="M506" s="361">
        <f>(1+D506)^((5-Dashboard!$F$9)*3/12)</f>
        <v>1.0911546737798776</v>
      </c>
      <c r="N506" s="361">
        <f t="shared" ref="N506:V506" si="509">M506*(1+$D506)</f>
        <v>1.225748602790627</v>
      </c>
      <c r="O506" s="361">
        <f t="shared" si="509"/>
        <v>1.3769446929448526</v>
      </c>
      <c r="P506" s="361">
        <f t="shared" si="509"/>
        <v>1.546790820819602</v>
      </c>
      <c r="Q506" s="361">
        <f t="shared" si="509"/>
        <v>1.737587468567702</v>
      </c>
      <c r="R506" s="361">
        <f t="shared" si="509"/>
        <v>1.9519188828155305</v>
      </c>
      <c r="S506" s="361">
        <f t="shared" si="509"/>
        <v>2.1926880770108288</v>
      </c>
      <c r="T506" s="361">
        <f t="shared" si="509"/>
        <v>2.4631561513101174</v>
      </c>
      <c r="U506" s="361">
        <f t="shared" si="509"/>
        <v>2.766986462574224</v>
      </c>
      <c r="V506" s="362">
        <f t="shared" si="509"/>
        <v>3.1082942427327582</v>
      </c>
      <c r="X506" s="351"/>
    </row>
    <row r="507" spans="3:24" ht="24.75" customHeight="1" x14ac:dyDescent="0.3">
      <c r="C507" s="353">
        <f>ABS(E507-Dashboard!$F$14)</f>
        <v>156.18496924477239</v>
      </c>
      <c r="D507" s="350">
        <f t="shared" si="465"/>
        <v>0.12345000000000142</v>
      </c>
      <c r="E507" s="359" cm="1">
        <f t="array" ref="E507">1000*SUM('DRE + DCF'!$L$36/M507,'DRE + DCF'!$N$36:$V$36/N507:V507,F507/V507)/Dashboard!$F$11</f>
        <v>253.1749692447724</v>
      </c>
      <c r="F507" s="359">
        <f t="shared" si="463"/>
        <v>29273388.905905295</v>
      </c>
      <c r="G507" s="359">
        <f>'DRE + DCF'!$W$31</f>
        <v>2791623.3540418856</v>
      </c>
      <c r="H507" s="359">
        <f>'DRE + DCF'!$W$32</f>
        <v>81081.931703745853</v>
      </c>
      <c r="I507" s="359">
        <f>-H507*('DRE + DCF'!$V$33+K507)/'DRE + DCF'!$V$33</f>
        <v>-90858.801614444121</v>
      </c>
      <c r="J507" s="359">
        <f>-'DRE + DCF'!$V$56*L507</f>
        <v>-1188924.4255577971</v>
      </c>
      <c r="K507" s="360">
        <f>(1+L507)/(1+Ke!$O$12)-1</f>
        <v>2.0000000000000018E-2</v>
      </c>
      <c r="L507" s="360">
        <f>'DRE + DCF'!$Y$31</f>
        <v>7.3550000000000004E-2</v>
      </c>
      <c r="M507" s="361">
        <f>(1+D507)^((5-Dashboard!$F$9)*3/12)</f>
        <v>1.0912275234615763</v>
      </c>
      <c r="N507" s="361">
        <f t="shared" ref="N507:V507" si="510">M507*(1+$D507)</f>
        <v>1.2259395612329094</v>
      </c>
      <c r="O507" s="361">
        <f t="shared" si="510"/>
        <v>1.3772818000671136</v>
      </c>
      <c r="P507" s="361">
        <f t="shared" si="510"/>
        <v>1.5473072382854007</v>
      </c>
      <c r="Q507" s="361">
        <f t="shared" si="510"/>
        <v>1.7383223168517357</v>
      </c>
      <c r="R507" s="361">
        <f t="shared" si="510"/>
        <v>1.9529182068670849</v>
      </c>
      <c r="S507" s="361">
        <f t="shared" si="510"/>
        <v>2.1940059595048291</v>
      </c>
      <c r="T507" s="361">
        <f t="shared" si="510"/>
        <v>2.4648559952057032</v>
      </c>
      <c r="U507" s="361">
        <f t="shared" si="510"/>
        <v>2.7691424678138508</v>
      </c>
      <c r="V507" s="362">
        <f t="shared" si="510"/>
        <v>3.1109931054654747</v>
      </c>
      <c r="X507" s="351"/>
    </row>
    <row r="508" spans="3:24" ht="24.75" customHeight="1" x14ac:dyDescent="0.3">
      <c r="C508" s="353">
        <f>ABS(E508-Dashboard!$F$14)</f>
        <v>155.74521363402482</v>
      </c>
      <c r="D508" s="350">
        <f t="shared" si="465"/>
        <v>0.12355000000000142</v>
      </c>
      <c r="E508" s="359" cm="1">
        <f t="array" ref="E508">1000*SUM('DRE + DCF'!$L$36/M508,'DRE + DCF'!$N$36:$V$36/N508:V508,F508/V508)/Dashboard!$F$11</f>
        <v>252.7352136340248</v>
      </c>
      <c r="F508" s="359">
        <f t="shared" si="463"/>
        <v>29229294.127404723</v>
      </c>
      <c r="G508" s="359">
        <f>'DRE + DCF'!$W$31</f>
        <v>2791623.3540418856</v>
      </c>
      <c r="H508" s="359">
        <f>'DRE + DCF'!$W$32</f>
        <v>81081.931703745853</v>
      </c>
      <c r="I508" s="359">
        <f>-H508*('DRE + DCF'!$V$33+K508)/'DRE + DCF'!$V$33</f>
        <v>-90858.801614444121</v>
      </c>
      <c r="J508" s="359">
        <f>-'DRE + DCF'!$V$56*L508</f>
        <v>-1188924.4255577971</v>
      </c>
      <c r="K508" s="360">
        <f>(1+L508)/(1+Ke!$O$12)-1</f>
        <v>2.0000000000000018E-2</v>
      </c>
      <c r="L508" s="360">
        <f>'DRE + DCF'!$Y$31</f>
        <v>7.3550000000000004E-2</v>
      </c>
      <c r="M508" s="361">
        <f>(1+D508)^((5-Dashboard!$F$9)*3/12)</f>
        <v>1.0913003715221776</v>
      </c>
      <c r="N508" s="361">
        <f t="shared" ref="N508:V508" si="511">M508*(1+$D508)</f>
        <v>1.2261305324237441</v>
      </c>
      <c r="O508" s="361">
        <f t="shared" si="511"/>
        <v>1.3776189597046995</v>
      </c>
      <c r="P508" s="361">
        <f t="shared" si="511"/>
        <v>1.5478237821762171</v>
      </c>
      <c r="Q508" s="361">
        <f t="shared" si="511"/>
        <v>1.7390574104640908</v>
      </c>
      <c r="R508" s="361">
        <f t="shared" si="511"/>
        <v>1.9539179535269315</v>
      </c>
      <c r="S508" s="361">
        <f t="shared" si="511"/>
        <v>2.1953245166851865</v>
      </c>
      <c r="T508" s="361">
        <f t="shared" si="511"/>
        <v>2.4665568607216444</v>
      </c>
      <c r="U508" s="361">
        <f t="shared" si="511"/>
        <v>2.7712999608638071</v>
      </c>
      <c r="V508" s="362">
        <f t="shared" si="511"/>
        <v>3.1136940710285343</v>
      </c>
      <c r="X508" s="351"/>
    </row>
    <row r="509" spans="3:24" ht="24.75" customHeight="1" x14ac:dyDescent="0.3">
      <c r="C509" s="353">
        <f>ABS(E509-Dashboard!$F$14)</f>
        <v>155.30693853307207</v>
      </c>
      <c r="D509" s="350">
        <f t="shared" si="465"/>
        <v>0.12365000000000143</v>
      </c>
      <c r="E509" s="359" cm="1">
        <f t="array" ref="E509">1000*SUM('DRE + DCF'!$L$36/M509,'DRE + DCF'!$N$36:$V$36/N509:V509,F509/V509)/Dashboard!$F$11</f>
        <v>252.29693853307208</v>
      </c>
      <c r="F509" s="359">
        <f t="shared" si="463"/>
        <v>29185352.046966046</v>
      </c>
      <c r="G509" s="359">
        <f>'DRE + DCF'!$W$31</f>
        <v>2791623.3540418856</v>
      </c>
      <c r="H509" s="359">
        <f>'DRE + DCF'!$W$32</f>
        <v>81081.931703745853</v>
      </c>
      <c r="I509" s="359">
        <f>-H509*('DRE + DCF'!$V$33+K509)/'DRE + DCF'!$V$33</f>
        <v>-90858.801614444121</v>
      </c>
      <c r="J509" s="359">
        <f>-'DRE + DCF'!$V$56*L509</f>
        <v>-1188924.4255577971</v>
      </c>
      <c r="K509" s="360">
        <f>(1+L509)/(1+Ke!$O$12)-1</f>
        <v>2.0000000000000018E-2</v>
      </c>
      <c r="L509" s="360">
        <f>'DRE + DCF'!$Y$31</f>
        <v>7.3550000000000004E-2</v>
      </c>
      <c r="M509" s="361">
        <f>(1+D509)^((5-Dashboard!$F$9)*3/12)</f>
        <v>1.0913732179618618</v>
      </c>
      <c r="N509" s="361">
        <f t="shared" ref="N509:V509" si="512">M509*(1+$D509)</f>
        <v>1.2263215163628476</v>
      </c>
      <c r="O509" s="361">
        <f t="shared" si="512"/>
        <v>1.3779561718611153</v>
      </c>
      <c r="P509" s="361">
        <f t="shared" si="512"/>
        <v>1.5483404525117441</v>
      </c>
      <c r="Q509" s="361">
        <f t="shared" si="512"/>
        <v>1.7397927494648233</v>
      </c>
      <c r="R509" s="361">
        <f t="shared" si="512"/>
        <v>1.9549181229361512</v>
      </c>
      <c r="S509" s="361">
        <f t="shared" si="512"/>
        <v>2.196643748837209</v>
      </c>
      <c r="T509" s="361">
        <f t="shared" si="512"/>
        <v>2.4682587483809328</v>
      </c>
      <c r="U509" s="361">
        <f t="shared" si="512"/>
        <v>2.7734589426182388</v>
      </c>
      <c r="V509" s="362">
        <f t="shared" si="512"/>
        <v>3.1163971408729876</v>
      </c>
      <c r="X509" s="351"/>
    </row>
    <row r="510" spans="3:24" ht="24.75" customHeight="1" x14ac:dyDescent="0.3">
      <c r="C510" s="353">
        <f>ABS(E510-Dashboard!$F$14)</f>
        <v>154.87013597292264</v>
      </c>
      <c r="D510" s="350">
        <f t="shared" si="465"/>
        <v>0.12375000000000143</v>
      </c>
      <c r="E510" s="359" cm="1">
        <f t="array" ref="E510">1000*SUM('DRE + DCF'!$L$36/M510,'DRE + DCF'!$N$36:$V$36/N510:V510,F510/V510)/Dashboard!$F$11</f>
        <v>251.86013597292262</v>
      </c>
      <c r="F510" s="359">
        <f t="shared" si="463"/>
        <v>29141561.808493536</v>
      </c>
      <c r="G510" s="359">
        <f>'DRE + DCF'!$W$31</f>
        <v>2791623.3540418856</v>
      </c>
      <c r="H510" s="359">
        <f>'DRE + DCF'!$W$32</f>
        <v>81081.931703745853</v>
      </c>
      <c r="I510" s="359">
        <f>-H510*('DRE + DCF'!$V$33+K510)/'DRE + DCF'!$V$33</f>
        <v>-90858.801614444121</v>
      </c>
      <c r="J510" s="359">
        <f>-'DRE + DCF'!$V$56*L510</f>
        <v>-1188924.4255577971</v>
      </c>
      <c r="K510" s="360">
        <f>(1+L510)/(1+Ke!$O$12)-1</f>
        <v>2.0000000000000018E-2</v>
      </c>
      <c r="L510" s="360">
        <f>'DRE + DCF'!$Y$31</f>
        <v>7.3550000000000004E-2</v>
      </c>
      <c r="M510" s="361">
        <f>(1+D510)^((5-Dashboard!$F$9)*3/12)</f>
        <v>1.0914460627808096</v>
      </c>
      <c r="N510" s="361">
        <f t="shared" ref="N510:V510" si="513">M510*(1+$D510)</f>
        <v>1.2265125130499361</v>
      </c>
      <c r="O510" s="361">
        <f t="shared" si="513"/>
        <v>1.3782934365398674</v>
      </c>
      <c r="P510" s="361">
        <f t="shared" si="513"/>
        <v>1.5488572493116779</v>
      </c>
      <c r="Q510" s="361">
        <f t="shared" si="513"/>
        <v>1.7405283339140001</v>
      </c>
      <c r="R510" s="361">
        <f t="shared" si="513"/>
        <v>1.9559187152358599</v>
      </c>
      <c r="S510" s="361">
        <f t="shared" si="513"/>
        <v>2.1979636562463001</v>
      </c>
      <c r="T510" s="361">
        <f t="shared" si="513"/>
        <v>2.4699616587067825</v>
      </c>
      <c r="U510" s="361">
        <f t="shared" si="513"/>
        <v>2.77561941397175</v>
      </c>
      <c r="V510" s="362">
        <f t="shared" si="513"/>
        <v>3.1191023164507579</v>
      </c>
      <c r="X510" s="351"/>
    </row>
    <row r="511" spans="3:24" ht="24.75" customHeight="1" x14ac:dyDescent="0.3">
      <c r="C511" s="353">
        <f>ABS(E511-Dashboard!$F$14)</f>
        <v>154.4347980448448</v>
      </c>
      <c r="D511" s="350">
        <f t="shared" si="465"/>
        <v>0.12385000000000143</v>
      </c>
      <c r="E511" s="359" cm="1">
        <f t="array" ref="E511">1000*SUM('DRE + DCF'!$L$36/M511,'DRE + DCF'!$N$36:$V$36/N511:V511,F511/V511)/Dashboard!$F$11</f>
        <v>251.42479804484478</v>
      </c>
      <c r="F511" s="359">
        <f t="shared" si="463"/>
        <v>29097922.562517446</v>
      </c>
      <c r="G511" s="359">
        <f>'DRE + DCF'!$W$31</f>
        <v>2791623.3540418856</v>
      </c>
      <c r="H511" s="359">
        <f>'DRE + DCF'!$W$32</f>
        <v>81081.931703745853</v>
      </c>
      <c r="I511" s="359">
        <f>-H511*('DRE + DCF'!$V$33+K511)/'DRE + DCF'!$V$33</f>
        <v>-90858.801614444121</v>
      </c>
      <c r="J511" s="359">
        <f>-'DRE + DCF'!$V$56*L511</f>
        <v>-1188924.4255577971</v>
      </c>
      <c r="K511" s="360">
        <f>(1+L511)/(1+Ke!$O$12)-1</f>
        <v>2.0000000000000018E-2</v>
      </c>
      <c r="L511" s="360">
        <f>'DRE + DCF'!$Y$31</f>
        <v>7.3550000000000004E-2</v>
      </c>
      <c r="M511" s="361">
        <f>(1+D511)^((5-Dashboard!$F$9)*3/12)</f>
        <v>1.0915189059792008</v>
      </c>
      <c r="N511" s="361">
        <f t="shared" ref="N511:V511" si="514">M511*(1+$D511)</f>
        <v>1.2267035224847262</v>
      </c>
      <c r="O511" s="361">
        <f t="shared" si="514"/>
        <v>1.3786307537444613</v>
      </c>
      <c r="P511" s="361">
        <f t="shared" si="514"/>
        <v>1.5493741725957146</v>
      </c>
      <c r="Q511" s="361">
        <f t="shared" si="514"/>
        <v>1.7412641638716959</v>
      </c>
      <c r="R511" s="361">
        <f t="shared" si="514"/>
        <v>1.9569197305672077</v>
      </c>
      <c r="S511" s="361">
        <f t="shared" si="514"/>
        <v>2.1992842391979588</v>
      </c>
      <c r="T511" s="361">
        <f t="shared" si="514"/>
        <v>2.4716655922226289</v>
      </c>
      <c r="U511" s="361">
        <f t="shared" si="514"/>
        <v>2.777781375819405</v>
      </c>
      <c r="V511" s="362">
        <f t="shared" si="514"/>
        <v>3.1218095992146422</v>
      </c>
      <c r="X511" s="351"/>
    </row>
    <row r="512" spans="3:24" ht="24.75" customHeight="1" x14ac:dyDescent="0.3">
      <c r="C512" s="353">
        <f>ABS(E512-Dashboard!$F$14)</f>
        <v>154.00091689978194</v>
      </c>
      <c r="D512" s="350">
        <f t="shared" si="465"/>
        <v>0.12395000000000143</v>
      </c>
      <c r="E512" s="359" cm="1">
        <f t="array" ref="E512">1000*SUM('DRE + DCF'!$L$36/M512,'DRE + DCF'!$N$36:$V$36/N512:V512,F512/V512)/Dashboard!$F$11</f>
        <v>250.99091689978195</v>
      </c>
      <c r="F512" s="359">
        <f t="shared" si="463"/>
        <v>29054433.46612902</v>
      </c>
      <c r="G512" s="359">
        <f>'DRE + DCF'!$W$31</f>
        <v>2791623.3540418856</v>
      </c>
      <c r="H512" s="359">
        <f>'DRE + DCF'!$W$32</f>
        <v>81081.931703745853</v>
      </c>
      <c r="I512" s="359">
        <f>-H512*('DRE + DCF'!$V$33+K512)/'DRE + DCF'!$V$33</f>
        <v>-90858.801614444121</v>
      </c>
      <c r="J512" s="359">
        <f>-'DRE + DCF'!$V$56*L512</f>
        <v>-1188924.4255577971</v>
      </c>
      <c r="K512" s="360">
        <f>(1+L512)/(1+Ke!$O$12)-1</f>
        <v>2.0000000000000018E-2</v>
      </c>
      <c r="L512" s="360">
        <f>'DRE + DCF'!$Y$31</f>
        <v>7.3550000000000004E-2</v>
      </c>
      <c r="M512" s="361">
        <f>(1+D512)^((5-Dashboard!$F$9)*3/12)</f>
        <v>1.0915917475572159</v>
      </c>
      <c r="N512" s="361">
        <f t="shared" ref="N512:V512" si="515">M512*(1+$D512)</f>
        <v>1.2268945446669342</v>
      </c>
      <c r="O512" s="361">
        <f t="shared" si="515"/>
        <v>1.3789681234784024</v>
      </c>
      <c r="P512" s="361">
        <f t="shared" si="515"/>
        <v>1.5498912223835521</v>
      </c>
      <c r="Q512" s="361">
        <f t="shared" si="515"/>
        <v>1.7420002393979954</v>
      </c>
      <c r="R512" s="361">
        <f t="shared" si="515"/>
        <v>1.9579211690713794</v>
      </c>
      <c r="S512" s="361">
        <f t="shared" si="515"/>
        <v>2.2006054979777794</v>
      </c>
      <c r="T512" s="361">
        <f t="shared" si="515"/>
        <v>2.4733705494521279</v>
      </c>
      <c r="U512" s="361">
        <f t="shared" si="515"/>
        <v>2.7799448290567224</v>
      </c>
      <c r="V512" s="362">
        <f t="shared" si="515"/>
        <v>3.1245189906183066</v>
      </c>
      <c r="X512" s="351"/>
    </row>
    <row r="513" spans="3:24" ht="24.75" customHeight="1" x14ac:dyDescent="0.3">
      <c r="C513" s="353">
        <f>ABS(E513-Dashboard!$F$14)</f>
        <v>153.56848474777433</v>
      </c>
      <c r="D513" s="350">
        <f t="shared" si="465"/>
        <v>0.12405000000000144</v>
      </c>
      <c r="E513" s="359" cm="1">
        <f t="array" ref="E513">1000*SUM('DRE + DCF'!$L$36/M513,'DRE + DCF'!$N$36:$V$36/N513:V513,F513/V513)/Dashboard!$F$11</f>
        <v>250.55848474777434</v>
      </c>
      <c r="F513" s="359">
        <f t="shared" si="463"/>
        <v>29011093.68291625</v>
      </c>
      <c r="G513" s="359">
        <f>'DRE + DCF'!$W$31</f>
        <v>2791623.3540418856</v>
      </c>
      <c r="H513" s="359">
        <f>'DRE + DCF'!$W$32</f>
        <v>81081.931703745853</v>
      </c>
      <c r="I513" s="359">
        <f>-H513*('DRE + DCF'!$V$33+K513)/'DRE + DCF'!$V$33</f>
        <v>-90858.801614444121</v>
      </c>
      <c r="J513" s="359">
        <f>-'DRE + DCF'!$V$56*L513</f>
        <v>-1188924.4255577971</v>
      </c>
      <c r="K513" s="360">
        <f>(1+L513)/(1+Ke!$O$12)-1</f>
        <v>2.0000000000000018E-2</v>
      </c>
      <c r="L513" s="360">
        <f>'DRE + DCF'!$Y$31</f>
        <v>7.3550000000000004E-2</v>
      </c>
      <c r="M513" s="361">
        <f>(1+D513)^((5-Dashboard!$F$9)*3/12)</f>
        <v>1.0916645875150353</v>
      </c>
      <c r="N513" s="361">
        <f t="shared" ref="N513:V513" si="516">M513*(1+$D513)</f>
        <v>1.2270855795962767</v>
      </c>
      <c r="O513" s="361">
        <f t="shared" si="516"/>
        <v>1.3793055457451966</v>
      </c>
      <c r="P513" s="361">
        <f t="shared" si="516"/>
        <v>1.55040839869489</v>
      </c>
      <c r="Q513" s="361">
        <f t="shared" si="516"/>
        <v>1.7427365605529932</v>
      </c>
      <c r="R513" s="361">
        <f t="shared" si="516"/>
        <v>1.9589230308895944</v>
      </c>
      <c r="S513" s="361">
        <f t="shared" si="516"/>
        <v>2.2019274328714511</v>
      </c>
      <c r="T513" s="361">
        <f t="shared" si="516"/>
        <v>2.4750765309191576</v>
      </c>
      <c r="U513" s="361">
        <f t="shared" si="516"/>
        <v>2.7821097745796823</v>
      </c>
      <c r="V513" s="362">
        <f t="shared" si="516"/>
        <v>3.1272304921162957</v>
      </c>
      <c r="X513" s="351"/>
    </row>
    <row r="514" spans="3:24" ht="24.75" customHeight="1" x14ac:dyDescent="0.3">
      <c r="C514" s="353">
        <f>ABS(E514-Dashboard!$F$14)</f>
        <v>153.13749385738794</v>
      </c>
      <c r="D514" s="350">
        <f t="shared" si="465"/>
        <v>0.12415000000000144</v>
      </c>
      <c r="E514" s="359" cm="1">
        <f t="array" ref="E514">1000*SUM('DRE + DCF'!$L$36/M514,'DRE + DCF'!$N$36:$V$36/N514:V514,F514/V514)/Dashboard!$F$11</f>
        <v>250.12749385738795</v>
      </c>
      <c r="F514" s="359">
        <f t="shared" si="463"/>
        <v>28967902.382900417</v>
      </c>
      <c r="G514" s="359">
        <f>'DRE + DCF'!$W$31</f>
        <v>2791623.3540418856</v>
      </c>
      <c r="H514" s="359">
        <f>'DRE + DCF'!$W$32</f>
        <v>81081.931703745853</v>
      </c>
      <c r="I514" s="359">
        <f>-H514*('DRE + DCF'!$V$33+K514)/'DRE + DCF'!$V$33</f>
        <v>-90858.801614444121</v>
      </c>
      <c r="J514" s="359">
        <f>-'DRE + DCF'!$V$56*L514</f>
        <v>-1188924.4255577971</v>
      </c>
      <c r="K514" s="360">
        <f>(1+L514)/(1+Ke!$O$12)-1</f>
        <v>2.0000000000000018E-2</v>
      </c>
      <c r="L514" s="360">
        <f>'DRE + DCF'!$Y$31</f>
        <v>7.3550000000000004E-2</v>
      </c>
      <c r="M514" s="361">
        <f>(1+D514)^((5-Dashboard!$F$9)*3/12)</f>
        <v>1.0917374258528387</v>
      </c>
      <c r="N514" s="361">
        <f t="shared" ref="N514:V514" si="517">M514*(1+$D514)</f>
        <v>1.2272766272724704</v>
      </c>
      <c r="O514" s="361">
        <f t="shared" si="517"/>
        <v>1.3796430205483496</v>
      </c>
      <c r="P514" s="361">
        <f t="shared" si="517"/>
        <v>1.5509257015494293</v>
      </c>
      <c r="Q514" s="361">
        <f t="shared" si="517"/>
        <v>1.7434731273967934</v>
      </c>
      <c r="R514" s="361">
        <f t="shared" si="517"/>
        <v>1.9599253161631081</v>
      </c>
      <c r="S514" s="361">
        <f t="shared" si="517"/>
        <v>2.2032500441647609</v>
      </c>
      <c r="T514" s="361">
        <f t="shared" si="517"/>
        <v>2.4767835371478193</v>
      </c>
      <c r="U514" s="361">
        <f t="shared" si="517"/>
        <v>2.7842762132847247</v>
      </c>
      <c r="V514" s="362">
        <f t="shared" si="517"/>
        <v>3.1299441051640278</v>
      </c>
      <c r="X514" s="351"/>
    </row>
    <row r="515" spans="3:24" ht="24.75" customHeight="1" x14ac:dyDescent="0.3">
      <c r="C515" s="353">
        <f>ABS(E515-Dashboard!$F$14)</f>
        <v>152.7079365551507</v>
      </c>
      <c r="D515" s="350">
        <f t="shared" si="465"/>
        <v>0.12425000000000144</v>
      </c>
      <c r="E515" s="359" cm="1">
        <f t="array" ref="E515">1000*SUM('DRE + DCF'!$L$36/M515,'DRE + DCF'!$N$36:$V$36/N515:V515,F515/V515)/Dashboard!$F$11</f>
        <v>249.6979365551507</v>
      </c>
      <c r="F515" s="359">
        <f t="shared" si="463"/>
        <v>28924858.742473342</v>
      </c>
      <c r="G515" s="359">
        <f>'DRE + DCF'!$W$31</f>
        <v>2791623.3540418856</v>
      </c>
      <c r="H515" s="359">
        <f>'DRE + DCF'!$W$32</f>
        <v>81081.931703745853</v>
      </c>
      <c r="I515" s="359">
        <f>-H515*('DRE + DCF'!$V$33+K515)/'DRE + DCF'!$V$33</f>
        <v>-90858.801614444121</v>
      </c>
      <c r="J515" s="359">
        <f>-'DRE + DCF'!$V$56*L515</f>
        <v>-1188924.4255577971</v>
      </c>
      <c r="K515" s="360">
        <f>(1+L515)/(1+Ke!$O$12)-1</f>
        <v>2.0000000000000018E-2</v>
      </c>
      <c r="L515" s="360">
        <f>'DRE + DCF'!$Y$31</f>
        <v>7.3550000000000004E-2</v>
      </c>
      <c r="M515" s="361">
        <f>(1+D515)^((5-Dashboard!$F$9)*3/12)</f>
        <v>1.0918102625708068</v>
      </c>
      <c r="N515" s="361">
        <f t="shared" ref="N515:V515" si="518">M515*(1+$D515)</f>
        <v>1.2274676876952313</v>
      </c>
      <c r="O515" s="361">
        <f t="shared" si="518"/>
        <v>1.3799805478913656</v>
      </c>
      <c r="P515" s="361">
        <f t="shared" si="518"/>
        <v>1.5514431309668699</v>
      </c>
      <c r="Q515" s="361">
        <f t="shared" si="518"/>
        <v>1.7442099399895059</v>
      </c>
      <c r="R515" s="361">
        <f t="shared" si="518"/>
        <v>1.9609280250332046</v>
      </c>
      <c r="S515" s="361">
        <f t="shared" si="518"/>
        <v>2.2045733321435832</v>
      </c>
      <c r="T515" s="361">
        <f t="shared" si="518"/>
        <v>2.4784915686624269</v>
      </c>
      <c r="U515" s="361">
        <f t="shared" si="518"/>
        <v>2.7864441460687375</v>
      </c>
      <c r="V515" s="362">
        <f t="shared" si="518"/>
        <v>3.1326598312177825</v>
      </c>
      <c r="X515" s="351"/>
    </row>
    <row r="516" spans="3:24" ht="24.75" customHeight="1" x14ac:dyDescent="0.3">
      <c r="C516" s="353">
        <f>ABS(E516-Dashboard!$F$14)</f>
        <v>152.27980522499291</v>
      </c>
      <c r="D516" s="350">
        <f t="shared" si="465"/>
        <v>0.12435000000000145</v>
      </c>
      <c r="E516" s="359" cm="1">
        <f t="array" ref="E516">1000*SUM('DRE + DCF'!$L$36/M516,'DRE + DCF'!$N$36:$V$36/N516:V516,F516/V516)/Dashboard!$F$11</f>
        <v>249.26980522499292</v>
      </c>
      <c r="F516" s="359">
        <f t="shared" si="463"/>
        <v>28881961.944335409</v>
      </c>
      <c r="G516" s="359">
        <f>'DRE + DCF'!$W$31</f>
        <v>2791623.3540418856</v>
      </c>
      <c r="H516" s="359">
        <f>'DRE + DCF'!$W$32</f>
        <v>81081.931703745853</v>
      </c>
      <c r="I516" s="359">
        <f>-H516*('DRE + DCF'!$V$33+K516)/'DRE + DCF'!$V$33</f>
        <v>-90858.801614444121</v>
      </c>
      <c r="J516" s="359">
        <f>-'DRE + DCF'!$V$56*L516</f>
        <v>-1188924.4255577971</v>
      </c>
      <c r="K516" s="360">
        <f>(1+L516)/(1+Ke!$O$12)-1</f>
        <v>2.0000000000000018E-2</v>
      </c>
      <c r="L516" s="360">
        <f>'DRE + DCF'!$Y$31</f>
        <v>7.3550000000000004E-2</v>
      </c>
      <c r="M516" s="361">
        <f>(1+D516)^((5-Dashboard!$F$9)*3/12)</f>
        <v>1.0918830976691192</v>
      </c>
      <c r="N516" s="361">
        <f t="shared" ref="N516:V516" si="519">M516*(1+$D516)</f>
        <v>1.2276587608642757</v>
      </c>
      <c r="O516" s="361">
        <f t="shared" si="519"/>
        <v>1.3803181277777503</v>
      </c>
      <c r="P516" s="361">
        <f t="shared" si="519"/>
        <v>1.5519606869669156</v>
      </c>
      <c r="Q516" s="361">
        <f t="shared" si="519"/>
        <v>1.7449469983912538</v>
      </c>
      <c r="R516" s="361">
        <f t="shared" si="519"/>
        <v>1.9619311576412088</v>
      </c>
      <c r="S516" s="361">
        <f t="shared" si="519"/>
        <v>2.2058972970938959</v>
      </c>
      <c r="T516" s="361">
        <f t="shared" si="519"/>
        <v>2.4802006259875253</v>
      </c>
      <c r="U516" s="361">
        <f t="shared" si="519"/>
        <v>2.7886135738290778</v>
      </c>
      <c r="V516" s="362">
        <f t="shared" si="519"/>
        <v>3.1353776717347279</v>
      </c>
      <c r="X516" s="351"/>
    </row>
    <row r="517" spans="3:24" ht="24.75" customHeight="1" x14ac:dyDescent="0.3">
      <c r="C517" s="353">
        <f>ABS(E517-Dashboard!$F$14)</f>
        <v>151.85309230769701</v>
      </c>
      <c r="D517" s="350">
        <f t="shared" si="465"/>
        <v>0.12445000000000145</v>
      </c>
      <c r="E517" s="359" cm="1">
        <f t="array" ref="E517">1000*SUM('DRE + DCF'!$L$36/M517,'DRE + DCF'!$N$36:$V$36/N517:V517,F517/V517)/Dashboard!$F$11</f>
        <v>248.84309230769702</v>
      </c>
      <c r="F517" s="359">
        <f t="shared" si="463"/>
        <v>28839211.177434314</v>
      </c>
      <c r="G517" s="359">
        <f>'DRE + DCF'!$W$31</f>
        <v>2791623.3540418856</v>
      </c>
      <c r="H517" s="359">
        <f>'DRE + DCF'!$W$32</f>
        <v>81081.931703745853</v>
      </c>
      <c r="I517" s="359">
        <f>-H517*('DRE + DCF'!$V$33+K517)/'DRE + DCF'!$V$33</f>
        <v>-90858.801614444121</v>
      </c>
      <c r="J517" s="359">
        <f>-'DRE + DCF'!$V$56*L517</f>
        <v>-1188924.4255577971</v>
      </c>
      <c r="K517" s="360">
        <f>(1+L517)/(1+Ke!$O$12)-1</f>
        <v>2.0000000000000018E-2</v>
      </c>
      <c r="L517" s="360">
        <f>'DRE + DCF'!$Y$31</f>
        <v>7.3550000000000004E-2</v>
      </c>
      <c r="M517" s="361">
        <f>(1+D517)^((5-Dashboard!$F$9)*3/12)</f>
        <v>1.0919559311479561</v>
      </c>
      <c r="N517" s="361">
        <f t="shared" ref="N517:V517" si="520">M517*(1+$D517)</f>
        <v>1.2278498467793209</v>
      </c>
      <c r="O517" s="361">
        <f t="shared" si="520"/>
        <v>1.3806557602110092</v>
      </c>
      <c r="P517" s="361">
        <f t="shared" si="520"/>
        <v>1.5524783695692714</v>
      </c>
      <c r="Q517" s="361">
        <f t="shared" si="520"/>
        <v>1.7456843026621696</v>
      </c>
      <c r="R517" s="361">
        <f t="shared" si="520"/>
        <v>1.9629347141284792</v>
      </c>
      <c r="S517" s="361">
        <f t="shared" si="520"/>
        <v>2.2072219393017716</v>
      </c>
      <c r="T517" s="361">
        <f t="shared" si="520"/>
        <v>2.4819107096478805</v>
      </c>
      <c r="U517" s="361">
        <f t="shared" si="520"/>
        <v>2.7907844974635632</v>
      </c>
      <c r="V517" s="362">
        <f t="shared" si="520"/>
        <v>3.1380976281729076</v>
      </c>
      <c r="X517" s="351"/>
    </row>
    <row r="518" spans="3:24" ht="24.75" customHeight="1" x14ac:dyDescent="0.3">
      <c r="C518" s="353">
        <f>ABS(E518-Dashboard!$F$14)</f>
        <v>151.42779030035263</v>
      </c>
      <c r="D518" s="350">
        <f t="shared" si="465"/>
        <v>0.12455000000000145</v>
      </c>
      <c r="E518" s="359" cm="1">
        <f t="array" ref="E518">1000*SUM('DRE + DCF'!$L$36/M518,'DRE + DCF'!$N$36:$V$36/N518:V518,F518/V518)/Dashboard!$F$11</f>
        <v>248.41779030035264</v>
      </c>
      <c r="F518" s="359">
        <f t="shared" si="463"/>
        <v>28796605.636904493</v>
      </c>
      <c r="G518" s="359">
        <f>'DRE + DCF'!$W$31</f>
        <v>2791623.3540418856</v>
      </c>
      <c r="H518" s="359">
        <f>'DRE + DCF'!$W$32</f>
        <v>81081.931703745853</v>
      </c>
      <c r="I518" s="359">
        <f>-H518*('DRE + DCF'!$V$33+K518)/'DRE + DCF'!$V$33</f>
        <v>-90858.801614444121</v>
      </c>
      <c r="J518" s="359">
        <f>-'DRE + DCF'!$V$56*L518</f>
        <v>-1188924.4255577971</v>
      </c>
      <c r="K518" s="360">
        <f>(1+L518)/(1+Ke!$O$12)-1</f>
        <v>2.0000000000000018E-2</v>
      </c>
      <c r="L518" s="360">
        <f>'DRE + DCF'!$Y$31</f>
        <v>7.3550000000000004E-2</v>
      </c>
      <c r="M518" s="361">
        <f>(1+D518)^((5-Dashboard!$F$9)*3/12)</f>
        <v>1.0920287630074976</v>
      </c>
      <c r="N518" s="361">
        <f t="shared" ref="N518:V518" si="521">M518*(1+$D518)</f>
        <v>1.2280409454400831</v>
      </c>
      <c r="O518" s="361">
        <f t="shared" si="521"/>
        <v>1.3809934451946473</v>
      </c>
      <c r="P518" s="361">
        <f t="shared" si="521"/>
        <v>1.5529961787936426</v>
      </c>
      <c r="Q518" s="361">
        <f t="shared" si="521"/>
        <v>1.7464218528623932</v>
      </c>
      <c r="R518" s="361">
        <f t="shared" si="521"/>
        <v>1.9639386946364068</v>
      </c>
      <c r="S518" s="361">
        <f t="shared" si="521"/>
        <v>2.2085472590533741</v>
      </c>
      <c r="T518" s="361">
        <f t="shared" si="521"/>
        <v>2.4836218201684752</v>
      </c>
      <c r="U518" s="361">
        <f t="shared" si="521"/>
        <v>2.7929569178704625</v>
      </c>
      <c r="V518" s="362">
        <f t="shared" si="521"/>
        <v>3.1408197019912327</v>
      </c>
      <c r="X518" s="351"/>
    </row>
    <row r="519" spans="3:24" ht="24.75" customHeight="1" x14ac:dyDescent="0.3">
      <c r="C519" s="353">
        <f>ABS(E519-Dashboard!$F$14)</f>
        <v>151.00389175581734</v>
      </c>
      <c r="D519" s="350">
        <f t="shared" si="465"/>
        <v>0.12465000000000145</v>
      </c>
      <c r="E519" s="359" cm="1">
        <f t="array" ref="E519">1000*SUM('DRE + DCF'!$L$36/M519,'DRE + DCF'!$N$36:$V$36/N519:V519,F519/V519)/Dashboard!$F$11</f>
        <v>247.99389175581732</v>
      </c>
      <c r="F519" s="359">
        <f t="shared" si="463"/>
        <v>28754144.524007313</v>
      </c>
      <c r="G519" s="359">
        <f>'DRE + DCF'!$W$31</f>
        <v>2791623.3540418856</v>
      </c>
      <c r="H519" s="359">
        <f>'DRE + DCF'!$W$32</f>
        <v>81081.931703745853</v>
      </c>
      <c r="I519" s="359">
        <f>-H519*('DRE + DCF'!$V$33+K519)/'DRE + DCF'!$V$33</f>
        <v>-90858.801614444121</v>
      </c>
      <c r="J519" s="359">
        <f>-'DRE + DCF'!$V$56*L519</f>
        <v>-1188924.4255577971</v>
      </c>
      <c r="K519" s="360">
        <f>(1+L519)/(1+Ke!$O$12)-1</f>
        <v>2.0000000000000018E-2</v>
      </c>
      <c r="L519" s="360">
        <f>'DRE + DCF'!$Y$31</f>
        <v>7.3550000000000004E-2</v>
      </c>
      <c r="M519" s="361">
        <f>(1+D519)^((5-Dashboard!$F$9)*3/12)</f>
        <v>1.0921015932479237</v>
      </c>
      <c r="N519" s="361">
        <f t="shared" ref="N519:V519" si="522">M519*(1+$D519)</f>
        <v>1.228232056846279</v>
      </c>
      <c r="O519" s="361">
        <f t="shared" si="522"/>
        <v>1.3813311827321695</v>
      </c>
      <c r="P519" s="361">
        <f t="shared" si="522"/>
        <v>1.5535141146597364</v>
      </c>
      <c r="Q519" s="361">
        <f t="shared" si="522"/>
        <v>1.7471596490520749</v>
      </c>
      <c r="R519" s="361">
        <f t="shared" si="522"/>
        <v>1.9649430993064185</v>
      </c>
      <c r="S519" s="361">
        <f t="shared" si="522"/>
        <v>2.2098732566349666</v>
      </c>
      <c r="T519" s="361">
        <f t="shared" si="522"/>
        <v>2.4853339580745186</v>
      </c>
      <c r="U519" s="361">
        <f t="shared" si="522"/>
        <v>2.7951308359485112</v>
      </c>
      <c r="V519" s="362">
        <f t="shared" si="522"/>
        <v>3.1435438946494974</v>
      </c>
      <c r="X519" s="351"/>
    </row>
    <row r="520" spans="3:24" ht="24.75" customHeight="1" x14ac:dyDescent="0.3">
      <c r="C520" s="353">
        <f>ABS(E520-Dashboard!$F$14)</f>
        <v>150.58138928218477</v>
      </c>
      <c r="D520" s="350">
        <f t="shared" si="465"/>
        <v>0.12475000000000146</v>
      </c>
      <c r="E520" s="359" cm="1">
        <f t="array" ref="E520">1000*SUM('DRE + DCF'!$L$36/M520,'DRE + DCF'!$N$36:$V$36/N520:V520,F520/V520)/Dashboard!$F$11</f>
        <v>247.57138928218478</v>
      </c>
      <c r="F520" s="359">
        <f t="shared" si="463"/>
        <v>28711827.046071909</v>
      </c>
      <c r="G520" s="359">
        <f>'DRE + DCF'!$W$31</f>
        <v>2791623.3540418856</v>
      </c>
      <c r="H520" s="359">
        <f>'DRE + DCF'!$W$32</f>
        <v>81081.931703745853</v>
      </c>
      <c r="I520" s="359">
        <f>-H520*('DRE + DCF'!$V$33+K520)/'DRE + DCF'!$V$33</f>
        <v>-90858.801614444121</v>
      </c>
      <c r="J520" s="359">
        <f>-'DRE + DCF'!$V$56*L520</f>
        <v>-1188924.4255577971</v>
      </c>
      <c r="K520" s="360">
        <f>(1+L520)/(1+Ke!$O$12)-1</f>
        <v>2.0000000000000018E-2</v>
      </c>
      <c r="L520" s="360">
        <f>'DRE + DCF'!$Y$31</f>
        <v>7.3550000000000004E-2</v>
      </c>
      <c r="M520" s="361">
        <f>(1+D520)^((5-Dashboard!$F$9)*3/12)</f>
        <v>1.0921744218694143</v>
      </c>
      <c r="N520" s="361">
        <f t="shared" ref="N520:V520" si="523">M520*(1+$D520)</f>
        <v>1.2284231809976254</v>
      </c>
      <c r="O520" s="361">
        <f t="shared" si="523"/>
        <v>1.381668972827081</v>
      </c>
      <c r="P520" s="361">
        <f t="shared" si="523"/>
        <v>1.5540321771872614</v>
      </c>
      <c r="Q520" s="361">
        <f t="shared" si="523"/>
        <v>1.7478976912913746</v>
      </c>
      <c r="R520" s="361">
        <f t="shared" si="523"/>
        <v>1.9659479282799761</v>
      </c>
      <c r="S520" s="361">
        <f t="shared" si="523"/>
        <v>2.2111999323329061</v>
      </c>
      <c r="T520" s="361">
        <f t="shared" si="523"/>
        <v>2.4870471238914393</v>
      </c>
      <c r="U520" s="361">
        <f t="shared" si="523"/>
        <v>2.7973062525969001</v>
      </c>
      <c r="V520" s="362">
        <f t="shared" si="523"/>
        <v>3.1462702076083677</v>
      </c>
      <c r="X520" s="351"/>
    </row>
    <row r="521" spans="3:24" ht="24.75" customHeight="1" x14ac:dyDescent="0.3">
      <c r="C521" s="353">
        <f>ABS(E521-Dashboard!$F$14)</f>
        <v>150.16027554225832</v>
      </c>
      <c r="D521" s="350">
        <f t="shared" si="465"/>
        <v>0.12485000000000146</v>
      </c>
      <c r="E521" s="359" cm="1">
        <f t="array" ref="E521">1000*SUM('DRE + DCF'!$L$36/M521,'DRE + DCF'!$N$36:$V$36/N521:V521,F521/V521)/Dashboard!$F$11</f>
        <v>247.1502755422583</v>
      </c>
      <c r="F521" s="359">
        <f t="shared" si="463"/>
        <v>28669652.416436743</v>
      </c>
      <c r="G521" s="359">
        <f>'DRE + DCF'!$W$31</f>
        <v>2791623.3540418856</v>
      </c>
      <c r="H521" s="359">
        <f>'DRE + DCF'!$W$32</f>
        <v>81081.931703745853</v>
      </c>
      <c r="I521" s="359">
        <f>-H521*('DRE + DCF'!$V$33+K521)/'DRE + DCF'!$V$33</f>
        <v>-90858.801614444121</v>
      </c>
      <c r="J521" s="359">
        <f>-'DRE + DCF'!$V$56*L521</f>
        <v>-1188924.4255577971</v>
      </c>
      <c r="K521" s="360">
        <f>(1+L521)/(1+Ke!$O$12)-1</f>
        <v>2.0000000000000018E-2</v>
      </c>
      <c r="L521" s="360">
        <f>'DRE + DCF'!$Y$31</f>
        <v>7.3550000000000004E-2</v>
      </c>
      <c r="M521" s="361">
        <f>(1+D521)^((5-Dashboard!$F$9)*3/12)</f>
        <v>1.0922472488721493</v>
      </c>
      <c r="N521" s="361">
        <f t="shared" ref="N521:V521" si="524">M521*(1+$D521)</f>
        <v>1.2286143178938387</v>
      </c>
      <c r="O521" s="361">
        <f t="shared" si="524"/>
        <v>1.3820068154828862</v>
      </c>
      <c r="P521" s="361">
        <f t="shared" si="524"/>
        <v>1.5545503663959266</v>
      </c>
      <c r="Q521" s="361">
        <f t="shared" si="524"/>
        <v>1.7486359796404602</v>
      </c>
      <c r="R521" s="361">
        <f t="shared" si="524"/>
        <v>1.9669531816985744</v>
      </c>
      <c r="S521" s="361">
        <f t="shared" si="524"/>
        <v>2.212527286433644</v>
      </c>
      <c r="T521" s="361">
        <f t="shared" si="524"/>
        <v>2.4887613181448875</v>
      </c>
      <c r="U521" s="361">
        <f t="shared" si="524"/>
        <v>2.7994831687152804</v>
      </c>
      <c r="V521" s="362">
        <f t="shared" si="524"/>
        <v>3.1489986423293872</v>
      </c>
      <c r="X521" s="351"/>
    </row>
    <row r="522" spans="3:24" ht="24.75" customHeight="1" x14ac:dyDescent="0.3">
      <c r="C522" s="353">
        <f>ABS(E522-Dashboard!$F$14)</f>
        <v>149.74054325303064</v>
      </c>
      <c r="D522" s="350">
        <f t="shared" si="465"/>
        <v>0.12495000000000146</v>
      </c>
      <c r="E522" s="359" cm="1">
        <f t="array" ref="E522">1000*SUM('DRE + DCF'!$L$36/M522,'DRE + DCF'!$N$36:$V$36/N522:V522,F522/V522)/Dashboard!$F$11</f>
        <v>246.73054325303062</v>
      </c>
      <c r="F522" s="359">
        <f t="shared" si="463"/>
        <v>28627619.854391839</v>
      </c>
      <c r="G522" s="359">
        <f>'DRE + DCF'!$W$31</f>
        <v>2791623.3540418856</v>
      </c>
      <c r="H522" s="359">
        <f>'DRE + DCF'!$W$32</f>
        <v>81081.931703745853</v>
      </c>
      <c r="I522" s="359">
        <f>-H522*('DRE + DCF'!$V$33+K522)/'DRE + DCF'!$V$33</f>
        <v>-90858.801614444121</v>
      </c>
      <c r="J522" s="359">
        <f>-'DRE + DCF'!$V$56*L522</f>
        <v>-1188924.4255577971</v>
      </c>
      <c r="K522" s="360">
        <f>(1+L522)/(1+Ke!$O$12)-1</f>
        <v>2.0000000000000018E-2</v>
      </c>
      <c r="L522" s="360">
        <f>'DRE + DCF'!$Y$31</f>
        <v>7.3550000000000004E-2</v>
      </c>
      <c r="M522" s="361">
        <f>(1+D522)^((5-Dashboard!$F$9)*3/12)</f>
        <v>1.0923200742563086</v>
      </c>
      <c r="N522" s="361">
        <f t="shared" ref="N522:V522" si="525">M522*(1+$D522)</f>
        <v>1.228805467534636</v>
      </c>
      <c r="O522" s="361">
        <f t="shared" si="525"/>
        <v>1.3823447107030906</v>
      </c>
      <c r="P522" s="361">
        <f t="shared" si="525"/>
        <v>1.5550686823054438</v>
      </c>
      <c r="Q522" s="361">
        <f t="shared" si="525"/>
        <v>1.7493745141595112</v>
      </c>
      <c r="R522" s="361">
        <f t="shared" si="525"/>
        <v>1.9679588597037447</v>
      </c>
      <c r="S522" s="361">
        <f t="shared" si="525"/>
        <v>2.2138553192237307</v>
      </c>
      <c r="T522" s="361">
        <f t="shared" si="525"/>
        <v>2.490476541360739</v>
      </c>
      <c r="U522" s="361">
        <f t="shared" si="525"/>
        <v>2.801661585203767</v>
      </c>
      <c r="V522" s="362">
        <f t="shared" si="525"/>
        <v>3.1517292002749815</v>
      </c>
      <c r="X522" s="351"/>
    </row>
    <row r="523" spans="3:24" ht="24.75" customHeight="1" x14ac:dyDescent="0.3">
      <c r="C523" s="353">
        <f>ABS(E523-Dashboard!$F$14)</f>
        <v>149.32218518516999</v>
      </c>
      <c r="D523" s="350">
        <f t="shared" si="465"/>
        <v>0.12505000000000147</v>
      </c>
      <c r="E523" s="359" cm="1">
        <f t="array" ref="E523">1000*SUM('DRE + DCF'!$L$36/M523,'DRE + DCF'!$N$36:$V$36/N523:V523,F523/V523)/Dashboard!$F$11</f>
        <v>246.31218518516999</v>
      </c>
      <c r="F523" s="359">
        <f t="shared" si="463"/>
        <v>28585728.585121669</v>
      </c>
      <c r="G523" s="359">
        <f>'DRE + DCF'!$W$31</f>
        <v>2791623.3540418856</v>
      </c>
      <c r="H523" s="359">
        <f>'DRE + DCF'!$W$32</f>
        <v>81081.931703745853</v>
      </c>
      <c r="I523" s="359">
        <f>-H523*('DRE + DCF'!$V$33+K523)/'DRE + DCF'!$V$33</f>
        <v>-90858.801614444121</v>
      </c>
      <c r="J523" s="359">
        <f>-'DRE + DCF'!$V$56*L523</f>
        <v>-1188924.4255577971</v>
      </c>
      <c r="K523" s="360">
        <f>(1+L523)/(1+Ke!$O$12)-1</f>
        <v>2.0000000000000018E-2</v>
      </c>
      <c r="L523" s="360">
        <f>'DRE + DCF'!$Y$31</f>
        <v>7.3550000000000004E-2</v>
      </c>
      <c r="M523" s="361">
        <f>(1+D523)^((5-Dashboard!$F$9)*3/12)</f>
        <v>1.0923928980220723</v>
      </c>
      <c r="N523" s="361">
        <f t="shared" ref="N523:V523" si="526">M523*(1+$D523)</f>
        <v>1.2289966299197339</v>
      </c>
      <c r="O523" s="361">
        <f t="shared" si="526"/>
        <v>1.3826826584911984</v>
      </c>
      <c r="P523" s="361">
        <f t="shared" si="526"/>
        <v>1.5555871249355249</v>
      </c>
      <c r="Q523" s="361">
        <f t="shared" si="526"/>
        <v>1.7501132949087146</v>
      </c>
      <c r="R523" s="361">
        <f t="shared" si="526"/>
        <v>1.9689649624370518</v>
      </c>
      <c r="S523" s="361">
        <f t="shared" si="526"/>
        <v>2.2151840309898079</v>
      </c>
      <c r="T523" s="361">
        <f t="shared" si="526"/>
        <v>2.4921927940650863</v>
      </c>
      <c r="U523" s="361">
        <f t="shared" si="526"/>
        <v>2.8038415029629289</v>
      </c>
      <c r="V523" s="362">
        <f t="shared" si="526"/>
        <v>3.1544618829084472</v>
      </c>
      <c r="X523" s="351"/>
    </row>
    <row r="524" spans="3:24" ht="24.75" customHeight="1" x14ac:dyDescent="0.3">
      <c r="C524" s="353">
        <f>ABS(E524-Dashboard!$F$14)</f>
        <v>148.90519416251169</v>
      </c>
      <c r="D524" s="350">
        <f t="shared" si="465"/>
        <v>0.12515000000000145</v>
      </c>
      <c r="E524" s="359" cm="1">
        <f t="array" ref="E524">1000*SUM('DRE + DCF'!$L$36/M524,'DRE + DCF'!$N$36:$V$36/N524:V524,F524/V524)/Dashboard!$F$11</f>
        <v>245.8951941625117</v>
      </c>
      <c r="F524" s="359">
        <f t="shared" si="463"/>
        <v>28543977.83964872</v>
      </c>
      <c r="G524" s="359">
        <f>'DRE + DCF'!$W$31</f>
        <v>2791623.3540418856</v>
      </c>
      <c r="H524" s="359">
        <f>'DRE + DCF'!$W$32</f>
        <v>81081.931703745853</v>
      </c>
      <c r="I524" s="359">
        <f>-H524*('DRE + DCF'!$V$33+K524)/'DRE + DCF'!$V$33</f>
        <v>-90858.801614444121</v>
      </c>
      <c r="J524" s="359">
        <f>-'DRE + DCF'!$V$56*L524</f>
        <v>-1188924.4255577971</v>
      </c>
      <c r="K524" s="360">
        <f>(1+L524)/(1+Ke!$O$12)-1</f>
        <v>2.0000000000000018E-2</v>
      </c>
      <c r="L524" s="360">
        <f>'DRE + DCF'!$Y$31</f>
        <v>7.3550000000000004E-2</v>
      </c>
      <c r="M524" s="361">
        <f>(1+D524)^((5-Dashboard!$F$9)*3/12)</f>
        <v>1.09246572016962</v>
      </c>
      <c r="N524" s="361">
        <f t="shared" ref="N524:V524" si="527">M524*(1+$D524)</f>
        <v>1.2291878050488494</v>
      </c>
      <c r="O524" s="361">
        <f t="shared" si="527"/>
        <v>1.3830206588507146</v>
      </c>
      <c r="P524" s="361">
        <f t="shared" si="527"/>
        <v>1.5561056943058835</v>
      </c>
      <c r="Q524" s="361">
        <f t="shared" si="527"/>
        <v>1.750852321948267</v>
      </c>
      <c r="R524" s="361">
        <f t="shared" si="527"/>
        <v>1.9699714900400951</v>
      </c>
      <c r="S524" s="361">
        <f t="shared" si="527"/>
        <v>2.216513422018616</v>
      </c>
      <c r="T524" s="361">
        <f t="shared" si="527"/>
        <v>2.4939100767842488</v>
      </c>
      <c r="U524" s="361">
        <f t="shared" si="527"/>
        <v>2.806022922893801</v>
      </c>
      <c r="V524" s="362">
        <f t="shared" si="527"/>
        <v>3.1571966916939642</v>
      </c>
      <c r="X524" s="351"/>
    </row>
    <row r="525" spans="3:24" ht="24.75" customHeight="1" x14ac:dyDescent="0.3">
      <c r="C525" s="353">
        <f>ABS(E525-Dashboard!$F$14)</f>
        <v>148.48956306155594</v>
      </c>
      <c r="D525" s="350">
        <f t="shared" si="465"/>
        <v>0.12525000000000144</v>
      </c>
      <c r="E525" s="359" cm="1">
        <f t="array" ref="E525">1000*SUM('DRE + DCF'!$L$36/M525,'DRE + DCF'!$N$36:$V$36/N525:V525,F525/V525)/Dashboard!$F$11</f>
        <v>245.47956306155592</v>
      </c>
      <c r="F525" s="359">
        <f t="shared" si="463"/>
        <v>28502366.854777686</v>
      </c>
      <c r="G525" s="359">
        <f>'DRE + DCF'!$W$31</f>
        <v>2791623.3540418856</v>
      </c>
      <c r="H525" s="359">
        <f>'DRE + DCF'!$W$32</f>
        <v>81081.931703745853</v>
      </c>
      <c r="I525" s="359">
        <f>-H525*('DRE + DCF'!$V$33+K525)/'DRE + DCF'!$V$33</f>
        <v>-90858.801614444121</v>
      </c>
      <c r="J525" s="359">
        <f>-'DRE + DCF'!$V$56*L525</f>
        <v>-1188924.4255577971</v>
      </c>
      <c r="K525" s="360">
        <f>(1+L525)/(1+Ke!$O$12)-1</f>
        <v>2.0000000000000018E-2</v>
      </c>
      <c r="L525" s="360">
        <f>'DRE + DCF'!$Y$31</f>
        <v>7.3550000000000004E-2</v>
      </c>
      <c r="M525" s="361">
        <f>(1+D525)^((5-Dashboard!$F$9)*3/12)</f>
        <v>1.0925385406991313</v>
      </c>
      <c r="N525" s="361">
        <f t="shared" ref="N525:V525" si="528">M525*(1+$D525)</f>
        <v>1.2293789929216989</v>
      </c>
      <c r="O525" s="361">
        <f t="shared" si="528"/>
        <v>1.3833587117851436</v>
      </c>
      <c r="P525" s="361">
        <f t="shared" si="528"/>
        <v>1.5566243904362347</v>
      </c>
      <c r="Q525" s="361">
        <f t="shared" si="528"/>
        <v>1.7515915953383754</v>
      </c>
      <c r="R525" s="361">
        <f t="shared" si="528"/>
        <v>1.9709784426545094</v>
      </c>
      <c r="S525" s="361">
        <f t="shared" si="528"/>
        <v>2.2178434925969897</v>
      </c>
      <c r="T525" s="361">
        <f t="shared" si="528"/>
        <v>2.4956283900447658</v>
      </c>
      <c r="U525" s="361">
        <f t="shared" si="528"/>
        <v>2.8082058458978763</v>
      </c>
      <c r="V525" s="362">
        <f t="shared" si="528"/>
        <v>3.1599336280965891</v>
      </c>
      <c r="X525" s="351"/>
    </row>
    <row r="526" spans="3:24" ht="24.75" customHeight="1" x14ac:dyDescent="0.3">
      <c r="C526" s="353">
        <f>ABS(E526-Dashboard!$F$14)</f>
        <v>148.0752848109712</v>
      </c>
      <c r="D526" s="350">
        <f t="shared" si="465"/>
        <v>0.12535000000000143</v>
      </c>
      <c r="E526" s="359" cm="1">
        <f t="array" ref="E526">1000*SUM('DRE + DCF'!$L$36/M526,'DRE + DCF'!$N$36:$V$36/N526:V526,F526/V526)/Dashboard!$F$11</f>
        <v>245.06528481097118</v>
      </c>
      <c r="F526" s="359">
        <f t="shared" ref="F526:F589" si="529">AVERAGE(SUM(G526:J526)*(1+L526)/(D526-L526),G526*(1+L526)*(1-L526/D526)/(D526-L526))</f>
        <v>28460894.873040356</v>
      </c>
      <c r="G526" s="359">
        <f>'DRE + DCF'!$W$31</f>
        <v>2791623.3540418856</v>
      </c>
      <c r="H526" s="359">
        <f>'DRE + DCF'!$W$32</f>
        <v>81081.931703745853</v>
      </c>
      <c r="I526" s="359">
        <f>-H526*('DRE + DCF'!$V$33+K526)/'DRE + DCF'!$V$33</f>
        <v>-90858.801614444121</v>
      </c>
      <c r="J526" s="359">
        <f>-'DRE + DCF'!$V$56*L526</f>
        <v>-1188924.4255577971</v>
      </c>
      <c r="K526" s="360">
        <f>(1+L526)/(1+Ke!$O$12)-1</f>
        <v>2.0000000000000018E-2</v>
      </c>
      <c r="L526" s="360">
        <f>'DRE + DCF'!$Y$31</f>
        <v>7.3550000000000004E-2</v>
      </c>
      <c r="M526" s="361">
        <f>(1+D526)^((5-Dashboard!$F$9)*3/12)</f>
        <v>1.092611359610786</v>
      </c>
      <c r="N526" s="361">
        <f t="shared" ref="N526:V526" si="530">M526*(1+$D526)</f>
        <v>1.2295701935379997</v>
      </c>
      <c r="O526" s="361">
        <f t="shared" si="530"/>
        <v>1.3836968172979898</v>
      </c>
      <c r="P526" s="361">
        <f t="shared" si="530"/>
        <v>1.5571432133462948</v>
      </c>
      <c r="Q526" s="361">
        <f t="shared" si="530"/>
        <v>1.7523311151392551</v>
      </c>
      <c r="R526" s="361">
        <f t="shared" si="530"/>
        <v>1.9719858204219631</v>
      </c>
      <c r="S526" s="361">
        <f t="shared" si="530"/>
        <v>2.2191742430118588</v>
      </c>
      <c r="T526" s="361">
        <f t="shared" si="530"/>
        <v>2.4973477343733985</v>
      </c>
      <c r="U526" s="361">
        <f t="shared" si="530"/>
        <v>2.8103902728771075</v>
      </c>
      <c r="V526" s="362">
        <f t="shared" si="530"/>
        <v>3.1626726935822571</v>
      </c>
      <c r="X526" s="351"/>
    </row>
    <row r="527" spans="3:24" ht="24.75" customHeight="1" x14ac:dyDescent="0.3">
      <c r="C527" s="353">
        <f>ABS(E527-Dashboard!$F$14)</f>
        <v>147.6623523911029</v>
      </c>
      <c r="D527" s="350">
        <f t="shared" ref="D527:D590" si="531">D526+0.0001</f>
        <v>0.12545000000000142</v>
      </c>
      <c r="E527" s="359" cm="1">
        <f t="array" ref="E527">1000*SUM('DRE + DCF'!$L$36/M527,'DRE + DCF'!$N$36:$V$36/N527:V527,F527/V527)/Dashboard!$F$11</f>
        <v>244.65235239110291</v>
      </c>
      <c r="F527" s="359">
        <f t="shared" si="529"/>
        <v>28419561.142641049</v>
      </c>
      <c r="G527" s="359">
        <f>'DRE + DCF'!$W$31</f>
        <v>2791623.3540418856</v>
      </c>
      <c r="H527" s="359">
        <f>'DRE + DCF'!$W$32</f>
        <v>81081.931703745853</v>
      </c>
      <c r="I527" s="359">
        <f>-H527*('DRE + DCF'!$V$33+K527)/'DRE + DCF'!$V$33</f>
        <v>-90858.801614444121</v>
      </c>
      <c r="J527" s="359">
        <f>-'DRE + DCF'!$V$56*L527</f>
        <v>-1188924.4255577971</v>
      </c>
      <c r="K527" s="360">
        <f>(1+L527)/(1+Ke!$O$12)-1</f>
        <v>2.0000000000000018E-2</v>
      </c>
      <c r="L527" s="360">
        <f>'DRE + DCF'!$Y$31</f>
        <v>7.3550000000000004E-2</v>
      </c>
      <c r="M527" s="361">
        <f>(1+D527)^((5-Dashboard!$F$9)*3/12)</f>
        <v>1.0926841769047642</v>
      </c>
      <c r="N527" s="361">
        <f t="shared" ref="N527:V527" si="532">M527*(1+$D527)</f>
        <v>1.2297614068974683</v>
      </c>
      <c r="O527" s="361">
        <f t="shared" si="532"/>
        <v>1.3840349753927574</v>
      </c>
      <c r="P527" s="361">
        <f t="shared" si="532"/>
        <v>1.5576621630557808</v>
      </c>
      <c r="Q527" s="361">
        <f t="shared" si="532"/>
        <v>1.7530708814111307</v>
      </c>
      <c r="R527" s="361">
        <f t="shared" si="532"/>
        <v>1.9729936234841594</v>
      </c>
      <c r="S527" s="361">
        <f t="shared" si="532"/>
        <v>2.22050567355025</v>
      </c>
      <c r="T527" s="361">
        <f t="shared" si="532"/>
        <v>2.4990681102971317</v>
      </c>
      <c r="U527" s="361">
        <f t="shared" si="532"/>
        <v>2.8125762047339102</v>
      </c>
      <c r="V527" s="362">
        <f t="shared" si="532"/>
        <v>3.165413889617783</v>
      </c>
      <c r="X527" s="351"/>
    </row>
    <row r="528" spans="3:24" ht="24.75" customHeight="1" x14ac:dyDescent="0.3">
      <c r="C528" s="353">
        <f>ABS(E528-Dashboard!$F$14)</f>
        <v>147.25075883348859</v>
      </c>
      <c r="D528" s="350">
        <f t="shared" si="531"/>
        <v>0.12555000000000141</v>
      </c>
      <c r="E528" s="359" cm="1">
        <f t="array" ref="E528">1000*SUM('DRE + DCF'!$L$36/M528,'DRE + DCF'!$N$36:$V$36/N528:V528,F528/V528)/Dashboard!$F$11</f>
        <v>244.24075883348857</v>
      </c>
      <c r="F528" s="359">
        <f t="shared" si="529"/>
        <v>28378364.917402796</v>
      </c>
      <c r="G528" s="359">
        <f>'DRE + DCF'!$W$31</f>
        <v>2791623.3540418856</v>
      </c>
      <c r="H528" s="359">
        <f>'DRE + DCF'!$W$32</f>
        <v>81081.931703745853</v>
      </c>
      <c r="I528" s="359">
        <f>-H528*('DRE + DCF'!$V$33+K528)/'DRE + DCF'!$V$33</f>
        <v>-90858.801614444121</v>
      </c>
      <c r="J528" s="359">
        <f>-'DRE + DCF'!$V$56*L528</f>
        <v>-1188924.4255577971</v>
      </c>
      <c r="K528" s="360">
        <f>(1+L528)/(1+Ke!$O$12)-1</f>
        <v>2.0000000000000018E-2</v>
      </c>
      <c r="L528" s="360">
        <f>'DRE + DCF'!$Y$31</f>
        <v>7.3550000000000004E-2</v>
      </c>
      <c r="M528" s="361">
        <f>(1+D528)^((5-Dashboard!$F$9)*3/12)</f>
        <v>1.092756992581245</v>
      </c>
      <c r="N528" s="361">
        <f t="shared" ref="N528:V528" si="533">M528*(1+$D528)</f>
        <v>1.2299526329998218</v>
      </c>
      <c r="O528" s="361">
        <f t="shared" si="533"/>
        <v>1.3843731860729511</v>
      </c>
      <c r="P528" s="361">
        <f t="shared" si="533"/>
        <v>1.5581812395844121</v>
      </c>
      <c r="Q528" s="361">
        <f t="shared" si="533"/>
        <v>1.7538108942142372</v>
      </c>
      <c r="R528" s="361">
        <f t="shared" si="533"/>
        <v>1.9740018519828371</v>
      </c>
      <c r="S528" s="361">
        <f t="shared" si="533"/>
        <v>2.2218377844992849</v>
      </c>
      <c r="T528" s="361">
        <f t="shared" si="533"/>
        <v>2.5007895183431734</v>
      </c>
      <c r="U528" s="361">
        <f t="shared" si="533"/>
        <v>2.8147636423711622</v>
      </c>
      <c r="V528" s="362">
        <f t="shared" si="533"/>
        <v>3.1681572176708657</v>
      </c>
      <c r="X528" s="351"/>
    </row>
    <row r="529" spans="3:24" ht="24.75" customHeight="1" x14ac:dyDescent="0.3">
      <c r="C529" s="353">
        <f>ABS(E529-Dashboard!$F$14)</f>
        <v>146.84049722037804</v>
      </c>
      <c r="D529" s="350">
        <f t="shared" si="531"/>
        <v>0.1256500000000014</v>
      </c>
      <c r="E529" s="359" cm="1">
        <f t="array" ref="E529">1000*SUM('DRE + DCF'!$L$36/M529,'DRE + DCF'!$N$36:$V$36/N529:V529,F529/V529)/Dashboard!$F$11</f>
        <v>243.83049722037802</v>
      </c>
      <c r="F529" s="359">
        <f t="shared" si="529"/>
        <v>28337305.456714004</v>
      </c>
      <c r="G529" s="359">
        <f>'DRE + DCF'!$W$31</f>
        <v>2791623.3540418856</v>
      </c>
      <c r="H529" s="359">
        <f>'DRE + DCF'!$W$32</f>
        <v>81081.931703745853</v>
      </c>
      <c r="I529" s="359">
        <f>-H529*('DRE + DCF'!$V$33+K529)/'DRE + DCF'!$V$33</f>
        <v>-90858.801614444121</v>
      </c>
      <c r="J529" s="359">
        <f>-'DRE + DCF'!$V$56*L529</f>
        <v>-1188924.4255577971</v>
      </c>
      <c r="K529" s="360">
        <f>(1+L529)/(1+Ke!$O$12)-1</f>
        <v>2.0000000000000018E-2</v>
      </c>
      <c r="L529" s="360">
        <f>'DRE + DCF'!$Y$31</f>
        <v>7.3550000000000004E-2</v>
      </c>
      <c r="M529" s="361">
        <f>(1+D529)^((5-Dashboard!$F$9)*3/12)</f>
        <v>1.0928298066404085</v>
      </c>
      <c r="N529" s="361">
        <f t="shared" ref="N529:V529" si="534">M529*(1+$D529)</f>
        <v>1.2301438718447772</v>
      </c>
      <c r="O529" s="361">
        <f t="shared" si="534"/>
        <v>1.3847114493420751</v>
      </c>
      <c r="P529" s="361">
        <f t="shared" si="534"/>
        <v>1.5587004429519087</v>
      </c>
      <c r="Q529" s="361">
        <f t="shared" si="534"/>
        <v>1.7545511536088181</v>
      </c>
      <c r="R529" s="361">
        <f t="shared" si="534"/>
        <v>1.9750105060597685</v>
      </c>
      <c r="S529" s="361">
        <f t="shared" si="534"/>
        <v>2.2231705761461811</v>
      </c>
      <c r="T529" s="361">
        <f t="shared" si="534"/>
        <v>2.502511959038952</v>
      </c>
      <c r="U529" s="361">
        <f t="shared" si="534"/>
        <v>2.8169525866921998</v>
      </c>
      <c r="V529" s="362">
        <f t="shared" si="534"/>
        <v>3.1709026792100787</v>
      </c>
      <c r="X529" s="351"/>
    </row>
    <row r="530" spans="3:24" ht="24.75" customHeight="1" x14ac:dyDescent="0.3">
      <c r="C530" s="353">
        <f>ABS(E530-Dashboard!$F$14)</f>
        <v>146.43156068425873</v>
      </c>
      <c r="D530" s="350">
        <f t="shared" si="531"/>
        <v>0.12575000000000139</v>
      </c>
      <c r="E530" s="359" cm="1">
        <f t="array" ref="E530">1000*SUM('DRE + DCF'!$L$36/M530,'DRE + DCF'!$N$36:$V$36/N530:V530,F530/V530)/Dashboard!$F$11</f>
        <v>243.42156068425874</v>
      </c>
      <c r="F530" s="359">
        <f t="shared" si="529"/>
        <v>28296382.025475845</v>
      </c>
      <c r="G530" s="359">
        <f>'DRE + DCF'!$W$31</f>
        <v>2791623.3540418856</v>
      </c>
      <c r="H530" s="359">
        <f>'DRE + DCF'!$W$32</f>
        <v>81081.931703745853</v>
      </c>
      <c r="I530" s="359">
        <f>-H530*('DRE + DCF'!$V$33+K530)/'DRE + DCF'!$V$33</f>
        <v>-90858.801614444121</v>
      </c>
      <c r="J530" s="359">
        <f>-'DRE + DCF'!$V$56*L530</f>
        <v>-1188924.4255577971</v>
      </c>
      <c r="K530" s="360">
        <f>(1+L530)/(1+Ke!$O$12)-1</f>
        <v>2.0000000000000018E-2</v>
      </c>
      <c r="L530" s="360">
        <f>'DRE + DCF'!$Y$31</f>
        <v>7.3550000000000004E-2</v>
      </c>
      <c r="M530" s="361">
        <f>(1+D530)^((5-Dashboard!$F$9)*3/12)</f>
        <v>1.092902619082434</v>
      </c>
      <c r="N530" s="361">
        <f t="shared" ref="N530:V530" si="535">M530*(1+$D530)</f>
        <v>1.2303351234320516</v>
      </c>
      <c r="O530" s="361">
        <f t="shared" si="535"/>
        <v>1.3850497652036338</v>
      </c>
      <c r="P530" s="361">
        <f t="shared" si="535"/>
        <v>1.5592197731779927</v>
      </c>
      <c r="Q530" s="361">
        <f t="shared" si="535"/>
        <v>1.7552916596551273</v>
      </c>
      <c r="R530" s="361">
        <f t="shared" si="535"/>
        <v>1.976019585856762</v>
      </c>
      <c r="S530" s="361">
        <f t="shared" si="535"/>
        <v>2.2245040487782526</v>
      </c>
      <c r="T530" s="361">
        <f t="shared" si="535"/>
        <v>2.5042354329121208</v>
      </c>
      <c r="U530" s="361">
        <f t="shared" si="535"/>
        <v>2.8191430386008234</v>
      </c>
      <c r="V530" s="362">
        <f t="shared" si="535"/>
        <v>3.1736502757048806</v>
      </c>
      <c r="X530" s="351"/>
    </row>
    <row r="531" spans="3:24" ht="24.75" customHeight="1" x14ac:dyDescent="0.3">
      <c r="C531" s="353">
        <f>ABS(E531-Dashboard!$F$14)</f>
        <v>146.02394240738715</v>
      </c>
      <c r="D531" s="350">
        <f t="shared" si="531"/>
        <v>0.12585000000000138</v>
      </c>
      <c r="E531" s="359" cm="1">
        <f t="array" ref="E531">1000*SUM('DRE + DCF'!$L$36/M531,'DRE + DCF'!$N$36:$V$36/N531:V531,F531/V531)/Dashboard!$F$11</f>
        <v>243.01394240738716</v>
      </c>
      <c r="F531" s="359">
        <f t="shared" si="529"/>
        <v>28255593.894050166</v>
      </c>
      <c r="G531" s="359">
        <f>'DRE + DCF'!$W$31</f>
        <v>2791623.3540418856</v>
      </c>
      <c r="H531" s="359">
        <f>'DRE + DCF'!$W$32</f>
        <v>81081.931703745853</v>
      </c>
      <c r="I531" s="359">
        <f>-H531*('DRE + DCF'!$V$33+K531)/'DRE + DCF'!$V$33</f>
        <v>-90858.801614444121</v>
      </c>
      <c r="J531" s="359">
        <f>-'DRE + DCF'!$V$56*L531</f>
        <v>-1188924.4255577971</v>
      </c>
      <c r="K531" s="360">
        <f>(1+L531)/(1+Ke!$O$12)-1</f>
        <v>2.0000000000000018E-2</v>
      </c>
      <c r="L531" s="360">
        <f>'DRE + DCF'!$Y$31</f>
        <v>7.3550000000000004E-2</v>
      </c>
      <c r="M531" s="361">
        <f>(1+D531)^((5-Dashboard!$F$9)*3/12)</f>
        <v>1.0929754299075014</v>
      </c>
      <c r="N531" s="361">
        <f t="shared" ref="N531:V531" si="536">M531*(1+$D531)</f>
        <v>1.2305263877613619</v>
      </c>
      <c r="O531" s="361">
        <f t="shared" si="536"/>
        <v>1.3853881336611309</v>
      </c>
      <c r="P531" s="361">
        <f t="shared" si="536"/>
        <v>1.559739230282386</v>
      </c>
      <c r="Q531" s="361">
        <f t="shared" si="536"/>
        <v>1.7560324124134263</v>
      </c>
      <c r="R531" s="361">
        <f t="shared" si="536"/>
        <v>1.9770290915156583</v>
      </c>
      <c r="S531" s="361">
        <f t="shared" si="536"/>
        <v>2.2258382026829064</v>
      </c>
      <c r="T531" s="361">
        <f t="shared" si="536"/>
        <v>2.5059599404905533</v>
      </c>
      <c r="U531" s="361">
        <f t="shared" si="536"/>
        <v>2.8213349990012926</v>
      </c>
      <c r="V531" s="362">
        <f t="shared" si="536"/>
        <v>3.1764000086256092</v>
      </c>
      <c r="X531" s="351"/>
    </row>
    <row r="532" spans="3:24" ht="24.75" customHeight="1" x14ac:dyDescent="0.3">
      <c r="C532" s="353">
        <f>ABS(E532-Dashboard!$F$14)</f>
        <v>145.61763562132478</v>
      </c>
      <c r="D532" s="350">
        <f t="shared" si="531"/>
        <v>0.12595000000000137</v>
      </c>
      <c r="E532" s="359" cm="1">
        <f t="array" ref="E532">1000*SUM('DRE + DCF'!$L$36/M532,'DRE + DCF'!$N$36:$V$36/N532:V532,F532/V532)/Dashboard!$F$11</f>
        <v>242.60763562132476</v>
      </c>
      <c r="F532" s="359">
        <f t="shared" si="529"/>
        <v>28214940.338208038</v>
      </c>
      <c r="G532" s="359">
        <f>'DRE + DCF'!$W$31</f>
        <v>2791623.3540418856</v>
      </c>
      <c r="H532" s="359">
        <f>'DRE + DCF'!$W$32</f>
        <v>81081.931703745853</v>
      </c>
      <c r="I532" s="359">
        <f>-H532*('DRE + DCF'!$V$33+K532)/'DRE + DCF'!$V$33</f>
        <v>-90858.801614444121</v>
      </c>
      <c r="J532" s="359">
        <f>-'DRE + DCF'!$V$56*L532</f>
        <v>-1188924.4255577971</v>
      </c>
      <c r="K532" s="360">
        <f>(1+L532)/(1+Ke!$O$12)-1</f>
        <v>2.0000000000000018E-2</v>
      </c>
      <c r="L532" s="360">
        <f>'DRE + DCF'!$Y$31</f>
        <v>7.3550000000000004E-2</v>
      </c>
      <c r="M532" s="361">
        <f>(1+D532)^((5-Dashboard!$F$9)*3/12)</f>
        <v>1.0930482391157899</v>
      </c>
      <c r="N532" s="361">
        <f t="shared" ref="N532:V532" si="537">M532*(1+$D532)</f>
        <v>1.230717664832425</v>
      </c>
      <c r="O532" s="361">
        <f t="shared" si="537"/>
        <v>1.3857265547180706</v>
      </c>
      <c r="P532" s="361">
        <f t="shared" si="537"/>
        <v>1.5602588142848135</v>
      </c>
      <c r="Q532" s="361">
        <f t="shared" si="537"/>
        <v>1.756773411943988</v>
      </c>
      <c r="R532" s="361">
        <f t="shared" si="537"/>
        <v>1.9780390231783356</v>
      </c>
      <c r="S532" s="361">
        <f t="shared" si="537"/>
        <v>2.2271730381476496</v>
      </c>
      <c r="T532" s="361">
        <f t="shared" si="537"/>
        <v>2.5076854823023491</v>
      </c>
      <c r="U532" s="361">
        <f t="shared" si="537"/>
        <v>2.8235284687983335</v>
      </c>
      <c r="V532" s="362">
        <f t="shared" si="537"/>
        <v>3.1791518794434874</v>
      </c>
      <c r="X532" s="351"/>
    </row>
    <row r="533" spans="3:24" ht="24.75" customHeight="1" x14ac:dyDescent="0.3">
      <c r="C533" s="353">
        <f>ABS(E533-Dashboard!$F$14)</f>
        <v>145.21263360648044</v>
      </c>
      <c r="D533" s="350">
        <f t="shared" si="531"/>
        <v>0.12605000000000136</v>
      </c>
      <c r="E533" s="359" cm="1">
        <f t="array" ref="E533">1000*SUM('DRE + DCF'!$L$36/M533,'DRE + DCF'!$N$36:$V$36/N533:V533,F533/V533)/Dashboard!$F$11</f>
        <v>242.20263360648042</v>
      </c>
      <c r="F533" s="359">
        <f t="shared" si="529"/>
        <v>28174420.63907887</v>
      </c>
      <c r="G533" s="359">
        <f>'DRE + DCF'!$W$31</f>
        <v>2791623.3540418856</v>
      </c>
      <c r="H533" s="359">
        <f>'DRE + DCF'!$W$32</f>
        <v>81081.931703745853</v>
      </c>
      <c r="I533" s="359">
        <f>-H533*('DRE + DCF'!$V$33+K533)/'DRE + DCF'!$V$33</f>
        <v>-90858.801614444121</v>
      </c>
      <c r="J533" s="359">
        <f>-'DRE + DCF'!$V$56*L533</f>
        <v>-1188924.4255577971</v>
      </c>
      <c r="K533" s="360">
        <f>(1+L533)/(1+Ke!$O$12)-1</f>
        <v>2.0000000000000018E-2</v>
      </c>
      <c r="L533" s="360">
        <f>'DRE + DCF'!$Y$31</f>
        <v>7.3550000000000004E-2</v>
      </c>
      <c r="M533" s="361">
        <f>(1+D533)^((5-Dashboard!$F$9)*3/12)</f>
        <v>1.0931210467074788</v>
      </c>
      <c r="N533" s="361">
        <f t="shared" ref="N533:V533" si="538">M533*(1+$D533)</f>
        <v>1.2309089546449579</v>
      </c>
      <c r="O533" s="361">
        <f t="shared" si="538"/>
        <v>1.3860650283779565</v>
      </c>
      <c r="P533" s="361">
        <f t="shared" si="538"/>
        <v>1.5607785252049997</v>
      </c>
      <c r="Q533" s="361">
        <f t="shared" si="538"/>
        <v>1.757514658307092</v>
      </c>
      <c r="R533" s="361">
        <f t="shared" si="538"/>
        <v>1.9790493809867034</v>
      </c>
      <c r="S533" s="361">
        <f t="shared" si="538"/>
        <v>2.2285085554600799</v>
      </c>
      <c r="T533" s="361">
        <f t="shared" si="538"/>
        <v>2.5094120588758257</v>
      </c>
      <c r="U533" s="361">
        <f t="shared" si="538"/>
        <v>2.825723448897127</v>
      </c>
      <c r="V533" s="362">
        <f t="shared" si="538"/>
        <v>3.1819058896306136</v>
      </c>
      <c r="X533" s="351"/>
    </row>
    <row r="534" spans="3:24" ht="24.75" customHeight="1" x14ac:dyDescent="0.3">
      <c r="C534" s="353">
        <f>ABS(E534-Dashboard!$F$14)</f>
        <v>144.80892969165615</v>
      </c>
      <c r="D534" s="350">
        <f t="shared" si="531"/>
        <v>0.12615000000000134</v>
      </c>
      <c r="E534" s="359" cm="1">
        <f t="array" ref="E534">1000*SUM('DRE + DCF'!$L$36/M534,'DRE + DCF'!$N$36:$V$36/N534:V534,F534/V534)/Dashboard!$F$11</f>
        <v>241.79892969165613</v>
      </c>
      <c r="F534" s="359">
        <f t="shared" si="529"/>
        <v>28134034.083100121</v>
      </c>
      <c r="G534" s="359">
        <f>'DRE + DCF'!$W$31</f>
        <v>2791623.3540418856</v>
      </c>
      <c r="H534" s="359">
        <f>'DRE + DCF'!$W$32</f>
        <v>81081.931703745853</v>
      </c>
      <c r="I534" s="359">
        <f>-H534*('DRE + DCF'!$V$33+K534)/'DRE + DCF'!$V$33</f>
        <v>-90858.801614444121</v>
      </c>
      <c r="J534" s="359">
        <f>-'DRE + DCF'!$V$56*L534</f>
        <v>-1188924.4255577971</v>
      </c>
      <c r="K534" s="360">
        <f>(1+L534)/(1+Ke!$O$12)-1</f>
        <v>2.0000000000000018E-2</v>
      </c>
      <c r="L534" s="360">
        <f>'DRE + DCF'!$Y$31</f>
        <v>7.3550000000000004E-2</v>
      </c>
      <c r="M534" s="361">
        <f>(1+D534)^((5-Dashboard!$F$9)*3/12)</f>
        <v>1.093193852682748</v>
      </c>
      <c r="N534" s="361">
        <f t="shared" ref="N534:V534" si="539">M534*(1+$D534)</f>
        <v>1.2311002571986782</v>
      </c>
      <c r="O534" s="361">
        <f t="shared" si="539"/>
        <v>1.386403554644293</v>
      </c>
      <c r="P534" s="361">
        <f t="shared" si="539"/>
        <v>1.5612983630626724</v>
      </c>
      <c r="Q534" s="361">
        <f t="shared" si="539"/>
        <v>1.7582561515630306</v>
      </c>
      <c r="R534" s="361">
        <f t="shared" si="539"/>
        <v>1.9800601650827092</v>
      </c>
      <c r="S534" s="361">
        <f t="shared" si="539"/>
        <v>2.2298447549078957</v>
      </c>
      <c r="T534" s="361">
        <f t="shared" si="539"/>
        <v>2.5111396707395297</v>
      </c>
      <c r="U534" s="361">
        <f t="shared" si="539"/>
        <v>2.8279199402033246</v>
      </c>
      <c r="V534" s="362">
        <f t="shared" si="539"/>
        <v>3.1846620406599779</v>
      </c>
      <c r="X534" s="351"/>
    </row>
    <row r="535" spans="3:24" ht="24.75" customHeight="1" x14ac:dyDescent="0.3">
      <c r="C535" s="353">
        <f>ABS(E535-Dashboard!$F$14)</f>
        <v>144.40651725359982</v>
      </c>
      <c r="D535" s="350">
        <f t="shared" si="531"/>
        <v>0.12625000000000133</v>
      </c>
      <c r="E535" s="359" cm="1">
        <f t="array" ref="E535">1000*SUM('DRE + DCF'!$L$36/M535,'DRE + DCF'!$N$36:$V$36/N535:V535,F535/V535)/Dashboard!$F$11</f>
        <v>241.3965172535998</v>
      </c>
      <c r="F535" s="359">
        <f t="shared" si="529"/>
        <v>28093779.961967528</v>
      </c>
      <c r="G535" s="359">
        <f>'DRE + DCF'!$W$31</f>
        <v>2791623.3540418856</v>
      </c>
      <c r="H535" s="359">
        <f>'DRE + DCF'!$W$32</f>
        <v>81081.931703745853</v>
      </c>
      <c r="I535" s="359">
        <f>-H535*('DRE + DCF'!$V$33+K535)/'DRE + DCF'!$V$33</f>
        <v>-90858.801614444121</v>
      </c>
      <c r="J535" s="359">
        <f>-'DRE + DCF'!$V$56*L535</f>
        <v>-1188924.4255577971</v>
      </c>
      <c r="K535" s="360">
        <f>(1+L535)/(1+Ke!$O$12)-1</f>
        <v>2.0000000000000018E-2</v>
      </c>
      <c r="L535" s="360">
        <f>'DRE + DCF'!$Y$31</f>
        <v>7.3550000000000004E-2</v>
      </c>
      <c r="M535" s="361">
        <f>(1+D535)^((5-Dashboard!$F$9)*3/12)</f>
        <v>1.0932666570417768</v>
      </c>
      <c r="N535" s="361">
        <f t="shared" ref="N535:V535" si="540">M535*(1+$D535)</f>
        <v>1.2312915724933027</v>
      </c>
      <c r="O535" s="361">
        <f t="shared" si="540"/>
        <v>1.3867421335205838</v>
      </c>
      <c r="P535" s="361">
        <f t="shared" si="540"/>
        <v>1.5618183278775593</v>
      </c>
      <c r="Q535" s="361">
        <f t="shared" si="540"/>
        <v>1.7589978917721032</v>
      </c>
      <c r="R535" s="361">
        <f t="shared" si="540"/>
        <v>1.9810713756083336</v>
      </c>
      <c r="S535" s="361">
        <f t="shared" si="540"/>
        <v>2.2311816367788881</v>
      </c>
      <c r="T535" s="361">
        <f t="shared" si="540"/>
        <v>2.5128683184222256</v>
      </c>
      <c r="U535" s="361">
        <f t="shared" si="540"/>
        <v>2.8301179436230348</v>
      </c>
      <c r="V535" s="362">
        <f t="shared" si="540"/>
        <v>3.1874203340054468</v>
      </c>
      <c r="X535" s="351"/>
    </row>
    <row r="536" spans="3:24" ht="24.75" customHeight="1" x14ac:dyDescent="0.3">
      <c r="C536" s="353">
        <f>ABS(E536-Dashboard!$F$14)</f>
        <v>144.00538971656169</v>
      </c>
      <c r="D536" s="350">
        <f t="shared" si="531"/>
        <v>0.12635000000000132</v>
      </c>
      <c r="E536" s="359" cm="1">
        <f t="array" ref="E536">1000*SUM('DRE + DCF'!$L$36/M536,'DRE + DCF'!$N$36:$V$36/N536:V536,F536/V536)/Dashboard!$F$11</f>
        <v>240.9953897165617</v>
      </c>
      <c r="F536" s="359">
        <f t="shared" si="529"/>
        <v>28053657.572585981</v>
      </c>
      <c r="G536" s="359">
        <f>'DRE + DCF'!$W$31</f>
        <v>2791623.3540418856</v>
      </c>
      <c r="H536" s="359">
        <f>'DRE + DCF'!$W$32</f>
        <v>81081.931703745853</v>
      </c>
      <c r="I536" s="359">
        <f>-H536*('DRE + DCF'!$V$33+K536)/'DRE + DCF'!$V$33</f>
        <v>-90858.801614444121</v>
      </c>
      <c r="J536" s="359">
        <f>-'DRE + DCF'!$V$56*L536</f>
        <v>-1188924.4255577971</v>
      </c>
      <c r="K536" s="360">
        <f>(1+L536)/(1+Ke!$O$12)-1</f>
        <v>2.0000000000000018E-2</v>
      </c>
      <c r="L536" s="360">
        <f>'DRE + DCF'!$Y$31</f>
        <v>7.3550000000000004E-2</v>
      </c>
      <c r="M536" s="361">
        <f>(1+D536)^((5-Dashboard!$F$9)*3/12)</f>
        <v>1.0933394597847446</v>
      </c>
      <c r="N536" s="361">
        <f t="shared" ref="N536:V536" si="541">M536*(1+$D536)</f>
        <v>1.2314829005285484</v>
      </c>
      <c r="O536" s="361">
        <f t="shared" si="541"/>
        <v>1.3870807650103321</v>
      </c>
      <c r="P536" s="361">
        <f t="shared" si="541"/>
        <v>1.5623384196693892</v>
      </c>
      <c r="Q536" s="361">
        <f t="shared" si="541"/>
        <v>1.7597398789946186</v>
      </c>
      <c r="R536" s="361">
        <f t="shared" si="541"/>
        <v>1.9820830127055908</v>
      </c>
      <c r="S536" s="361">
        <f t="shared" si="541"/>
        <v>2.2325192013609447</v>
      </c>
      <c r="T536" s="361">
        <f t="shared" si="541"/>
        <v>2.5145980024529031</v>
      </c>
      <c r="U536" s="361">
        <f t="shared" si="541"/>
        <v>2.8323174600628307</v>
      </c>
      <c r="V536" s="362">
        <f t="shared" si="541"/>
        <v>3.1901807711417729</v>
      </c>
      <c r="X536" s="351"/>
    </row>
    <row r="537" spans="3:24" ht="24.75" customHeight="1" x14ac:dyDescent="0.3">
      <c r="C537" s="353">
        <f>ABS(E537-Dashboard!$F$14)</f>
        <v>143.60554055185639</v>
      </c>
      <c r="D537" s="350">
        <f t="shared" si="531"/>
        <v>0.12645000000000131</v>
      </c>
      <c r="E537" s="359" cm="1">
        <f t="array" ref="E537">1000*SUM('DRE + DCF'!$L$36/M537,'DRE + DCF'!$N$36:$V$36/N537:V537,F537/V537)/Dashboard!$F$11</f>
        <v>240.5955405518564</v>
      </c>
      <c r="F537" s="359">
        <f t="shared" si="529"/>
        <v>28013666.217020869</v>
      </c>
      <c r="G537" s="359">
        <f>'DRE + DCF'!$W$31</f>
        <v>2791623.3540418856</v>
      </c>
      <c r="H537" s="359">
        <f>'DRE + DCF'!$W$32</f>
        <v>81081.931703745853</v>
      </c>
      <c r="I537" s="359">
        <f>-H537*('DRE + DCF'!$V$33+K537)/'DRE + DCF'!$V$33</f>
        <v>-90858.801614444121</v>
      </c>
      <c r="J537" s="359">
        <f>-'DRE + DCF'!$V$56*L537</f>
        <v>-1188924.4255577971</v>
      </c>
      <c r="K537" s="360">
        <f>(1+L537)/(1+Ke!$O$12)-1</f>
        <v>2.0000000000000018E-2</v>
      </c>
      <c r="L537" s="360">
        <f>'DRE + DCF'!$Y$31</f>
        <v>7.3550000000000004E-2</v>
      </c>
      <c r="M537" s="361">
        <f>(1+D537)^((5-Dashboard!$F$9)*3/12)</f>
        <v>1.0934122609118306</v>
      </c>
      <c r="N537" s="361">
        <f t="shared" ref="N537:V537" si="542">M537*(1+$D537)</f>
        <v>1.2316742413041331</v>
      </c>
      <c r="O537" s="361">
        <f t="shared" si="542"/>
        <v>1.3874194491170422</v>
      </c>
      <c r="P537" s="361">
        <f t="shared" si="542"/>
        <v>1.562858638457894</v>
      </c>
      <c r="Q537" s="361">
        <f t="shared" si="542"/>
        <v>1.7604821132908968</v>
      </c>
      <c r="R537" s="361">
        <f t="shared" si="542"/>
        <v>1.9830950765165329</v>
      </c>
      <c r="S537" s="361">
        <f t="shared" si="542"/>
        <v>2.2338574489420511</v>
      </c>
      <c r="T537" s="361">
        <f t="shared" si="542"/>
        <v>2.5163287233607763</v>
      </c>
      <c r="U537" s="361">
        <f t="shared" si="542"/>
        <v>2.8345184904297498</v>
      </c>
      <c r="V537" s="362">
        <f t="shared" si="542"/>
        <v>3.1929433535445955</v>
      </c>
      <c r="X537" s="351"/>
    </row>
    <row r="538" spans="3:24" ht="24.75" customHeight="1" x14ac:dyDescent="0.3">
      <c r="C538" s="353">
        <f>ABS(E538-Dashboard!$F$14)</f>
        <v>143.20696327743013</v>
      </c>
      <c r="D538" s="350">
        <f t="shared" si="531"/>
        <v>0.1265500000000013</v>
      </c>
      <c r="E538" s="359" cm="1">
        <f t="array" ref="E538">1000*SUM('DRE + DCF'!$L$36/M538,'DRE + DCF'!$N$36:$V$36/N538:V538,F538/V538)/Dashboard!$F$11</f>
        <v>240.19696327743014</v>
      </c>
      <c r="F538" s="359">
        <f t="shared" si="529"/>
        <v>27973805.202450037</v>
      </c>
      <c r="G538" s="359">
        <f>'DRE + DCF'!$W$31</f>
        <v>2791623.3540418856</v>
      </c>
      <c r="H538" s="359">
        <f>'DRE + DCF'!$W$32</f>
        <v>81081.931703745853</v>
      </c>
      <c r="I538" s="359">
        <f>-H538*('DRE + DCF'!$V$33+K538)/'DRE + DCF'!$V$33</f>
        <v>-90858.801614444121</v>
      </c>
      <c r="J538" s="359">
        <f>-'DRE + DCF'!$V$56*L538</f>
        <v>-1188924.4255577971</v>
      </c>
      <c r="K538" s="360">
        <f>(1+L538)/(1+Ke!$O$12)-1</f>
        <v>2.0000000000000018E-2</v>
      </c>
      <c r="L538" s="360">
        <f>'DRE + DCF'!$Y$31</f>
        <v>7.3550000000000004E-2</v>
      </c>
      <c r="M538" s="361">
        <f>(1+D538)^((5-Dashboard!$F$9)*3/12)</f>
        <v>1.0934850604232143</v>
      </c>
      <c r="N538" s="361">
        <f t="shared" ref="N538:V538" si="543">M538*(1+$D538)</f>
        <v>1.2318655948197734</v>
      </c>
      <c r="O538" s="361">
        <f t="shared" si="543"/>
        <v>1.3877581858442174</v>
      </c>
      <c r="P538" s="361">
        <f t="shared" si="543"/>
        <v>1.563378984262805</v>
      </c>
      <c r="Q538" s="361">
        <f t="shared" si="543"/>
        <v>1.761224594721265</v>
      </c>
      <c r="R538" s="361">
        <f t="shared" si="543"/>
        <v>1.9841075671832433</v>
      </c>
      <c r="S538" s="361">
        <f t="shared" si="543"/>
        <v>2.2351963798102852</v>
      </c>
      <c r="T538" s="361">
        <f t="shared" si="543"/>
        <v>2.5180604816752794</v>
      </c>
      <c r="U538" s="361">
        <f t="shared" si="543"/>
        <v>2.8367210356312893</v>
      </c>
      <c r="V538" s="362">
        <f t="shared" si="543"/>
        <v>3.1957080826904325</v>
      </c>
      <c r="X538" s="351"/>
    </row>
    <row r="539" spans="3:24" ht="24.75" customHeight="1" x14ac:dyDescent="0.3">
      <c r="C539" s="353">
        <f>ABS(E539-Dashboard!$F$14)</f>
        <v>142.8096514574317</v>
      </c>
      <c r="D539" s="350">
        <f t="shared" si="531"/>
        <v>0.12665000000000129</v>
      </c>
      <c r="E539" s="359" cm="1">
        <f t="array" ref="E539">1000*SUM('DRE + DCF'!$L$36/M539,'DRE + DCF'!$N$36:$V$36/N539:V539,F539/V539)/Dashboard!$F$11</f>
        <v>239.79965145743171</v>
      </c>
      <c r="F539" s="359">
        <f t="shared" si="529"/>
        <v>27934073.841116242</v>
      </c>
      <c r="G539" s="359">
        <f>'DRE + DCF'!$W$31</f>
        <v>2791623.3540418856</v>
      </c>
      <c r="H539" s="359">
        <f>'DRE + DCF'!$W$32</f>
        <v>81081.931703745853</v>
      </c>
      <c r="I539" s="359">
        <f>-H539*('DRE + DCF'!$V$33+K539)/'DRE + DCF'!$V$33</f>
        <v>-90858.801614444121</v>
      </c>
      <c r="J539" s="359">
        <f>-'DRE + DCF'!$V$56*L539</f>
        <v>-1188924.4255577971</v>
      </c>
      <c r="K539" s="360">
        <f>(1+L539)/(1+Ke!$O$12)-1</f>
        <v>2.0000000000000018E-2</v>
      </c>
      <c r="L539" s="360">
        <f>'DRE + DCF'!$Y$31</f>
        <v>7.3550000000000004E-2</v>
      </c>
      <c r="M539" s="361">
        <f>(1+D539)^((5-Dashboard!$F$9)*3/12)</f>
        <v>1.0935578583190746</v>
      </c>
      <c r="N539" s="361">
        <f t="shared" ref="N539:V539" si="544">M539*(1+$D539)</f>
        <v>1.2320569610751868</v>
      </c>
      <c r="O539" s="361">
        <f t="shared" si="544"/>
        <v>1.3880969751953607</v>
      </c>
      <c r="P539" s="361">
        <f t="shared" si="544"/>
        <v>1.5638994571038549</v>
      </c>
      <c r="Q539" s="361">
        <f t="shared" si="544"/>
        <v>1.7619673233460602</v>
      </c>
      <c r="R539" s="361">
        <f t="shared" si="544"/>
        <v>1.985120484847841</v>
      </c>
      <c r="S539" s="361">
        <f t="shared" si="544"/>
        <v>2.2365359942538228</v>
      </c>
      <c r="T539" s="361">
        <f t="shared" si="544"/>
        <v>2.5197932779260723</v>
      </c>
      <c r="U539" s="361">
        <f t="shared" si="544"/>
        <v>2.8389250965754127</v>
      </c>
      <c r="V539" s="362">
        <f t="shared" si="544"/>
        <v>3.1984749600566924</v>
      </c>
      <c r="X539" s="351"/>
    </row>
    <row r="540" spans="3:24" ht="24.75" customHeight="1" x14ac:dyDescent="0.3">
      <c r="C540" s="353">
        <f>ABS(E540-Dashboard!$F$14)</f>
        <v>142.41359870178951</v>
      </c>
      <c r="D540" s="350">
        <f t="shared" si="531"/>
        <v>0.12675000000000128</v>
      </c>
      <c r="E540" s="359" cm="1">
        <f t="array" ref="E540">1000*SUM('DRE + DCF'!$L$36/M540,'DRE + DCF'!$N$36:$V$36/N540:V540,F540/V540)/Dashboard!$F$11</f>
        <v>239.40359870178952</v>
      </c>
      <c r="F540" s="359">
        <f t="shared" si="529"/>
        <v>27894471.45028016</v>
      </c>
      <c r="G540" s="359">
        <f>'DRE + DCF'!$W$31</f>
        <v>2791623.3540418856</v>
      </c>
      <c r="H540" s="359">
        <f>'DRE + DCF'!$W$32</f>
        <v>81081.931703745853</v>
      </c>
      <c r="I540" s="359">
        <f>-H540*('DRE + DCF'!$V$33+K540)/'DRE + DCF'!$V$33</f>
        <v>-90858.801614444121</v>
      </c>
      <c r="J540" s="359">
        <f>-'DRE + DCF'!$V$56*L540</f>
        <v>-1188924.4255577971</v>
      </c>
      <c r="K540" s="360">
        <f>(1+L540)/(1+Ke!$O$12)-1</f>
        <v>2.0000000000000018E-2</v>
      </c>
      <c r="L540" s="360">
        <f>'DRE + DCF'!$Y$31</f>
        <v>7.3550000000000004E-2</v>
      </c>
      <c r="M540" s="361">
        <f>(1+D540)^((5-Dashboard!$F$9)*3/12)</f>
        <v>1.0936306545995913</v>
      </c>
      <c r="N540" s="361">
        <f t="shared" ref="N540:V540" si="545">M540*(1+$D540)</f>
        <v>1.2322483400700908</v>
      </c>
      <c r="O540" s="361">
        <f t="shared" si="545"/>
        <v>1.3884358171739763</v>
      </c>
      <c r="P540" s="361">
        <f t="shared" si="545"/>
        <v>1.5644200570007796</v>
      </c>
      <c r="Q540" s="361">
        <f t="shared" si="545"/>
        <v>1.7627102992256303</v>
      </c>
      <c r="R540" s="361">
        <f t="shared" si="545"/>
        <v>1.9861338296524811</v>
      </c>
      <c r="S540" s="361">
        <f t="shared" si="545"/>
        <v>2.2378762925609355</v>
      </c>
      <c r="T540" s="361">
        <f t="shared" si="545"/>
        <v>2.521527112643037</v>
      </c>
      <c r="U540" s="361">
        <f t="shared" si="545"/>
        <v>2.8411306741705449</v>
      </c>
      <c r="V540" s="362">
        <f t="shared" si="545"/>
        <v>3.2012439871216651</v>
      </c>
      <c r="X540" s="351"/>
    </row>
    <row r="541" spans="3:24" ht="24.75" customHeight="1" x14ac:dyDescent="0.3">
      <c r="C541" s="353">
        <f>ABS(E541-Dashboard!$F$14)</f>
        <v>142.01879866579219</v>
      </c>
      <c r="D541" s="350">
        <f t="shared" si="531"/>
        <v>0.12685000000000127</v>
      </c>
      <c r="E541" s="359" cm="1">
        <f t="array" ref="E541">1000*SUM('DRE + DCF'!$L$36/M541,'DRE + DCF'!$N$36:$V$36/N541:V541,F541/V541)/Dashboard!$F$11</f>
        <v>239.0087986657922</v>
      </c>
      <c r="F541" s="359">
        <f t="shared" si="529"/>
        <v>27854997.352173917</v>
      </c>
      <c r="G541" s="359">
        <f>'DRE + DCF'!$W$31</f>
        <v>2791623.3540418856</v>
      </c>
      <c r="H541" s="359">
        <f>'DRE + DCF'!$W$32</f>
        <v>81081.931703745853</v>
      </c>
      <c r="I541" s="359">
        <f>-H541*('DRE + DCF'!$V$33+K541)/'DRE + DCF'!$V$33</f>
        <v>-90858.801614444121</v>
      </c>
      <c r="J541" s="359">
        <f>-'DRE + DCF'!$V$56*L541</f>
        <v>-1188924.4255577971</v>
      </c>
      <c r="K541" s="360">
        <f>(1+L541)/(1+Ke!$O$12)-1</f>
        <v>2.0000000000000018E-2</v>
      </c>
      <c r="L541" s="360">
        <f>'DRE + DCF'!$Y$31</f>
        <v>7.3550000000000004E-2</v>
      </c>
      <c r="M541" s="361">
        <f>(1+D541)^((5-Dashboard!$F$9)*3/12)</f>
        <v>1.0937034492649431</v>
      </c>
      <c r="N541" s="361">
        <f t="shared" ref="N541:V541" si="546">M541*(1+$D541)</f>
        <v>1.2324397318042024</v>
      </c>
      <c r="O541" s="361">
        <f t="shared" si="546"/>
        <v>1.3887747117835669</v>
      </c>
      <c r="P541" s="361">
        <f t="shared" si="546"/>
        <v>1.564940783973314</v>
      </c>
      <c r="Q541" s="361">
        <f t="shared" si="546"/>
        <v>1.7634535224203309</v>
      </c>
      <c r="R541" s="361">
        <f t="shared" si="546"/>
        <v>1.9871476017393521</v>
      </c>
      <c r="S541" s="361">
        <f t="shared" si="546"/>
        <v>2.2392172750199912</v>
      </c>
      <c r="T541" s="361">
        <f t="shared" si="546"/>
        <v>2.52326198635628</v>
      </c>
      <c r="U541" s="361">
        <f t="shared" si="546"/>
        <v>2.843337769325577</v>
      </c>
      <c r="V541" s="362">
        <f t="shared" si="546"/>
        <v>3.2040151653645301</v>
      </c>
      <c r="X541" s="351"/>
    </row>
    <row r="542" spans="3:24" ht="24.75" customHeight="1" x14ac:dyDescent="0.3">
      <c r="C542" s="353">
        <f>ABS(E542-Dashboard!$F$14)</f>
        <v>141.62524504967473</v>
      </c>
      <c r="D542" s="350">
        <f t="shared" si="531"/>
        <v>0.12695000000000126</v>
      </c>
      <c r="E542" s="359" cm="1">
        <f t="array" ref="E542">1000*SUM('DRE + DCF'!$L$36/M542,'DRE + DCF'!$N$36:$V$36/N542:V542,F542/V542)/Dashboard!$F$11</f>
        <v>238.61524504967474</v>
      </c>
      <c r="F542" s="359">
        <f t="shared" si="529"/>
        <v>27815650.873955138</v>
      </c>
      <c r="G542" s="359">
        <f>'DRE + DCF'!$W$31</f>
        <v>2791623.3540418856</v>
      </c>
      <c r="H542" s="359">
        <f>'DRE + DCF'!$W$32</f>
        <v>81081.931703745853</v>
      </c>
      <c r="I542" s="359">
        <f>-H542*('DRE + DCF'!$V$33+K542)/'DRE + DCF'!$V$33</f>
        <v>-90858.801614444121</v>
      </c>
      <c r="J542" s="359">
        <f>-'DRE + DCF'!$V$56*L542</f>
        <v>-1188924.4255577971</v>
      </c>
      <c r="K542" s="360">
        <f>(1+L542)/(1+Ke!$O$12)-1</f>
        <v>2.0000000000000018E-2</v>
      </c>
      <c r="L542" s="360">
        <f>'DRE + DCF'!$Y$31</f>
        <v>7.3550000000000004E-2</v>
      </c>
      <c r="M542" s="361">
        <f>(1+D542)^((5-Dashboard!$F$9)*3/12)</f>
        <v>1.0937762423153095</v>
      </c>
      <c r="N542" s="361">
        <f t="shared" ref="N542:V542" si="547">M542*(1+$D542)</f>
        <v>1.2326311362772393</v>
      </c>
      <c r="O542" s="361">
        <f t="shared" si="547"/>
        <v>1.3891136590276363</v>
      </c>
      <c r="P542" s="361">
        <f t="shared" si="547"/>
        <v>1.5654616380411963</v>
      </c>
      <c r="Q542" s="361">
        <f t="shared" si="547"/>
        <v>1.7641969929905281</v>
      </c>
      <c r="R542" s="361">
        <f t="shared" si="547"/>
        <v>1.9881618012506779</v>
      </c>
      <c r="S542" s="361">
        <f t="shared" si="547"/>
        <v>2.240558941919454</v>
      </c>
      <c r="T542" s="361">
        <f t="shared" si="547"/>
        <v>2.5249978995961313</v>
      </c>
      <c r="U542" s="361">
        <f t="shared" si="547"/>
        <v>2.8455463829498631</v>
      </c>
      <c r="V542" s="362">
        <f t="shared" si="547"/>
        <v>3.2067884962653519</v>
      </c>
      <c r="X542" s="351"/>
    </row>
    <row r="543" spans="3:24" ht="24.75" customHeight="1" x14ac:dyDescent="0.3">
      <c r="C543" s="353">
        <f>ABS(E543-Dashboard!$F$14)</f>
        <v>141.23293159820929</v>
      </c>
      <c r="D543" s="350">
        <f t="shared" si="531"/>
        <v>0.12705000000000125</v>
      </c>
      <c r="E543" s="359" cm="1">
        <f t="array" ref="E543">1000*SUM('DRE + DCF'!$L$36/M543,'DRE + DCF'!$N$36:$V$36/N543:V543,F543/V543)/Dashboard!$F$11</f>
        <v>238.22293159820927</v>
      </c>
      <c r="F543" s="359">
        <f t="shared" si="529"/>
        <v>27776431.347661521</v>
      </c>
      <c r="G543" s="359">
        <f>'DRE + DCF'!$W$31</f>
        <v>2791623.3540418856</v>
      </c>
      <c r="H543" s="359">
        <f>'DRE + DCF'!$W$32</f>
        <v>81081.931703745853</v>
      </c>
      <c r="I543" s="359">
        <f>-H543*('DRE + DCF'!$V$33+K543)/'DRE + DCF'!$V$33</f>
        <v>-90858.801614444121</v>
      </c>
      <c r="J543" s="359">
        <f>-'DRE + DCF'!$V$56*L543</f>
        <v>-1188924.4255577971</v>
      </c>
      <c r="K543" s="360">
        <f>(1+L543)/(1+Ke!$O$12)-1</f>
        <v>2.0000000000000018E-2</v>
      </c>
      <c r="L543" s="360">
        <f>'DRE + DCF'!$Y$31</f>
        <v>7.3550000000000004E-2</v>
      </c>
      <c r="M543" s="361">
        <f>(1+D543)^((5-Dashboard!$F$9)*3/12)</f>
        <v>1.0938490337508693</v>
      </c>
      <c r="N543" s="361">
        <f t="shared" ref="N543:V543" si="548">M543*(1+$D543)</f>
        <v>1.2328225534889186</v>
      </c>
      <c r="O543" s="361">
        <f t="shared" si="548"/>
        <v>1.3894526589096872</v>
      </c>
      <c r="P543" s="361">
        <f t="shared" si="548"/>
        <v>1.5659826192241646</v>
      </c>
      <c r="Q543" s="361">
        <f t="shared" si="548"/>
        <v>1.7649407109965967</v>
      </c>
      <c r="R543" s="361">
        <f t="shared" si="548"/>
        <v>1.9891764283287163</v>
      </c>
      <c r="S543" s="361">
        <f t="shared" si="548"/>
        <v>2.2419012935478824</v>
      </c>
      <c r="T543" s="361">
        <f t="shared" si="548"/>
        <v>2.5267348528931435</v>
      </c>
      <c r="U543" s="361">
        <f t="shared" si="548"/>
        <v>2.8477565159532205</v>
      </c>
      <c r="V543" s="362">
        <f t="shared" si="548"/>
        <v>3.2095639813050805</v>
      </c>
      <c r="X543" s="351"/>
    </row>
    <row r="544" spans="3:24" ht="24.75" customHeight="1" x14ac:dyDescent="0.3">
      <c r="C544" s="353">
        <f>ABS(E544-Dashboard!$F$14)</f>
        <v>140.84185210029921</v>
      </c>
      <c r="D544" s="350">
        <f t="shared" si="531"/>
        <v>0.12715000000000123</v>
      </c>
      <c r="E544" s="359" cm="1">
        <f t="array" ref="E544">1000*SUM('DRE + DCF'!$L$36/M544,'DRE + DCF'!$N$36:$V$36/N544:V544,F544/V544)/Dashboard!$F$11</f>
        <v>237.83185210029919</v>
      </c>
      <c r="F544" s="359">
        <f t="shared" si="529"/>
        <v>27737338.110165875</v>
      </c>
      <c r="G544" s="359">
        <f>'DRE + DCF'!$W$31</f>
        <v>2791623.3540418856</v>
      </c>
      <c r="H544" s="359">
        <f>'DRE + DCF'!$W$32</f>
        <v>81081.931703745853</v>
      </c>
      <c r="I544" s="359">
        <f>-H544*('DRE + DCF'!$V$33+K544)/'DRE + DCF'!$V$33</f>
        <v>-90858.801614444121</v>
      </c>
      <c r="J544" s="359">
        <f>-'DRE + DCF'!$V$56*L544</f>
        <v>-1188924.4255577971</v>
      </c>
      <c r="K544" s="360">
        <f>(1+L544)/(1+Ke!$O$12)-1</f>
        <v>2.0000000000000018E-2</v>
      </c>
      <c r="L544" s="360">
        <f>'DRE + DCF'!$Y$31</f>
        <v>7.3550000000000004E-2</v>
      </c>
      <c r="M544" s="361">
        <f>(1+D544)^((5-Dashboard!$F$9)*3/12)</f>
        <v>1.093921823571802</v>
      </c>
      <c r="N544" s="361">
        <f t="shared" ref="N544:V544" si="549">M544*(1+$D544)</f>
        <v>1.233013983438958</v>
      </c>
      <c r="O544" s="361">
        <f t="shared" si="549"/>
        <v>1.389791711433223</v>
      </c>
      <c r="P544" s="361">
        <f t="shared" si="549"/>
        <v>1.5665037275419589</v>
      </c>
      <c r="Q544" s="361">
        <f t="shared" si="549"/>
        <v>1.7656846764989209</v>
      </c>
      <c r="R544" s="361">
        <f t="shared" si="549"/>
        <v>1.9901914831157608</v>
      </c>
      <c r="S544" s="361">
        <f t="shared" si="549"/>
        <v>2.243244330193932</v>
      </c>
      <c r="T544" s="361">
        <f t="shared" si="549"/>
        <v>2.5284728467780933</v>
      </c>
      <c r="U544" s="361">
        <f t="shared" si="549"/>
        <v>2.8499681692459307</v>
      </c>
      <c r="V544" s="362">
        <f t="shared" si="549"/>
        <v>3.2123416219655541</v>
      </c>
      <c r="X544" s="351"/>
    </row>
    <row r="545" spans="3:24" ht="24.75" customHeight="1" x14ac:dyDescent="0.3">
      <c r="C545" s="353">
        <f>ABS(E545-Dashboard!$F$14)</f>
        <v>140.45200038857922</v>
      </c>
      <c r="D545" s="350">
        <f t="shared" si="531"/>
        <v>0.12725000000000122</v>
      </c>
      <c r="E545" s="359" cm="1">
        <f t="array" ref="E545">1000*SUM('DRE + DCF'!$L$36/M545,'DRE + DCF'!$N$36:$V$36/N545:V545,F545/V545)/Dashboard!$F$11</f>
        <v>237.4420003885792</v>
      </c>
      <c r="F545" s="359">
        <f t="shared" si="529"/>
        <v>27698370.503131725</v>
      </c>
      <c r="G545" s="359">
        <f>'DRE + DCF'!$W$31</f>
        <v>2791623.3540418856</v>
      </c>
      <c r="H545" s="359">
        <f>'DRE + DCF'!$W$32</f>
        <v>81081.931703745853</v>
      </c>
      <c r="I545" s="359">
        <f>-H545*('DRE + DCF'!$V$33+K545)/'DRE + DCF'!$V$33</f>
        <v>-90858.801614444121</v>
      </c>
      <c r="J545" s="359">
        <f>-'DRE + DCF'!$V$56*L545</f>
        <v>-1188924.4255577971</v>
      </c>
      <c r="K545" s="360">
        <f>(1+L545)/(1+Ke!$O$12)-1</f>
        <v>2.0000000000000018E-2</v>
      </c>
      <c r="L545" s="360">
        <f>'DRE + DCF'!$Y$31</f>
        <v>7.3550000000000004E-2</v>
      </c>
      <c r="M545" s="361">
        <f>(1+D545)^((5-Dashboard!$F$9)*3/12)</f>
        <v>1.0939946117782862</v>
      </c>
      <c r="N545" s="361">
        <f t="shared" ref="N545:V545" si="550">M545*(1+$D545)</f>
        <v>1.2332054261270744</v>
      </c>
      <c r="O545" s="361">
        <f t="shared" si="550"/>
        <v>1.3901308166017461</v>
      </c>
      <c r="P545" s="361">
        <f t="shared" si="550"/>
        <v>1.56702496301432</v>
      </c>
      <c r="Q545" s="361">
        <f t="shared" si="550"/>
        <v>1.7664288895578941</v>
      </c>
      <c r="R545" s="361">
        <f t="shared" si="550"/>
        <v>1.9912069657541382</v>
      </c>
      <c r="S545" s="361">
        <f t="shared" si="550"/>
        <v>2.2445880521463546</v>
      </c>
      <c r="T545" s="361">
        <f t="shared" si="550"/>
        <v>2.5302118817819808</v>
      </c>
      <c r="U545" s="361">
        <f t="shared" si="550"/>
        <v>2.8521813437387409</v>
      </c>
      <c r="V545" s="362">
        <f t="shared" si="550"/>
        <v>3.2151214197294991</v>
      </c>
      <c r="X545" s="351"/>
    </row>
    <row r="546" spans="3:24" ht="24.75" customHeight="1" x14ac:dyDescent="0.3">
      <c r="C546" s="353">
        <f>ABS(E546-Dashboard!$F$14)</f>
        <v>140.06337033901883</v>
      </c>
      <c r="D546" s="350">
        <f t="shared" si="531"/>
        <v>0.12735000000000121</v>
      </c>
      <c r="E546" s="359" cm="1">
        <f t="array" ref="E546">1000*SUM('DRE + DCF'!$L$36/M546,'DRE + DCF'!$N$36:$V$36/N546:V546,F546/V546)/Dashboard!$F$11</f>
        <v>237.05337033901881</v>
      </c>
      <c r="F546" s="359">
        <f t="shared" si="529"/>
        <v>27659527.872969329</v>
      </c>
      <c r="G546" s="359">
        <f>'DRE + DCF'!$W$31</f>
        <v>2791623.3540418856</v>
      </c>
      <c r="H546" s="359">
        <f>'DRE + DCF'!$W$32</f>
        <v>81081.931703745853</v>
      </c>
      <c r="I546" s="359">
        <f>-H546*('DRE + DCF'!$V$33+K546)/'DRE + DCF'!$V$33</f>
        <v>-90858.801614444121</v>
      </c>
      <c r="J546" s="359">
        <f>-'DRE + DCF'!$V$56*L546</f>
        <v>-1188924.4255577971</v>
      </c>
      <c r="K546" s="360">
        <f>(1+L546)/(1+Ke!$O$12)-1</f>
        <v>2.0000000000000018E-2</v>
      </c>
      <c r="L546" s="360">
        <f>'DRE + DCF'!$Y$31</f>
        <v>7.3550000000000004E-2</v>
      </c>
      <c r="M546" s="361">
        <f>(1+D546)^((5-Dashboard!$F$9)*3/12)</f>
        <v>1.0940673983705014</v>
      </c>
      <c r="N546" s="361">
        <f t="shared" ref="N546:V546" si="551">M546*(1+$D546)</f>
        <v>1.2333968815529861</v>
      </c>
      <c r="O546" s="361">
        <f t="shared" si="551"/>
        <v>1.3904699744187603</v>
      </c>
      <c r="P546" s="361">
        <f t="shared" si="551"/>
        <v>1.5675463256609912</v>
      </c>
      <c r="Q546" s="361">
        <f t="shared" si="551"/>
        <v>1.7671733502339202</v>
      </c>
      <c r="R546" s="361">
        <f t="shared" si="551"/>
        <v>1.992222876386212</v>
      </c>
      <c r="S546" s="361">
        <f t="shared" si="551"/>
        <v>2.2459324596939982</v>
      </c>
      <c r="T546" s="361">
        <f t="shared" si="551"/>
        <v>2.5319519584360317</v>
      </c>
      <c r="U546" s="361">
        <f t="shared" si="551"/>
        <v>2.8543960403428632</v>
      </c>
      <c r="V546" s="362">
        <f t="shared" si="551"/>
        <v>3.21790337608053</v>
      </c>
      <c r="X546" s="351"/>
    </row>
    <row r="547" spans="3:24" ht="24.75" customHeight="1" x14ac:dyDescent="0.3">
      <c r="C547" s="353">
        <f>ABS(E547-Dashboard!$F$14)</f>
        <v>139.67595587053086</v>
      </c>
      <c r="D547" s="350">
        <f t="shared" si="531"/>
        <v>0.1274500000000012</v>
      </c>
      <c r="E547" s="359" cm="1">
        <f t="array" ref="E547">1000*SUM('DRE + DCF'!$L$36/M547,'DRE + DCF'!$N$36:$V$36/N547:V547,F547/V547)/Dashboard!$F$11</f>
        <v>236.66595587053084</v>
      </c>
      <c r="F547" s="359">
        <f t="shared" si="529"/>
        <v>27620809.57079228</v>
      </c>
      <c r="G547" s="359">
        <f>'DRE + DCF'!$W$31</f>
        <v>2791623.3540418856</v>
      </c>
      <c r="H547" s="359">
        <f>'DRE + DCF'!$W$32</f>
        <v>81081.931703745853</v>
      </c>
      <c r="I547" s="359">
        <f>-H547*('DRE + DCF'!$V$33+K547)/'DRE + DCF'!$V$33</f>
        <v>-90858.801614444121</v>
      </c>
      <c r="J547" s="359">
        <f>-'DRE + DCF'!$V$56*L547</f>
        <v>-1188924.4255577971</v>
      </c>
      <c r="K547" s="360">
        <f>(1+L547)/(1+Ke!$O$12)-1</f>
        <v>2.0000000000000018E-2</v>
      </c>
      <c r="L547" s="360">
        <f>'DRE + DCF'!$Y$31</f>
        <v>7.3550000000000004E-2</v>
      </c>
      <c r="M547" s="361">
        <f>(1+D547)^((5-Dashboard!$F$9)*3/12)</f>
        <v>1.0941401833486264</v>
      </c>
      <c r="N547" s="361">
        <f t="shared" ref="N547:V547" si="552">M547*(1+$D547)</f>
        <v>1.2335883497164102</v>
      </c>
      <c r="O547" s="361">
        <f t="shared" si="552"/>
        <v>1.3908091848877682</v>
      </c>
      <c r="P547" s="361">
        <f t="shared" si="552"/>
        <v>1.5680678155017158</v>
      </c>
      <c r="Q547" s="361">
        <f t="shared" si="552"/>
        <v>1.7679180585874112</v>
      </c>
      <c r="R547" s="361">
        <f t="shared" si="552"/>
        <v>1.993239215154379</v>
      </c>
      <c r="S547" s="361">
        <f t="shared" si="552"/>
        <v>2.2472775531258069</v>
      </c>
      <c r="T547" s="361">
        <f t="shared" si="552"/>
        <v>2.5336930772716935</v>
      </c>
      <c r="U547" s="361">
        <f t="shared" si="552"/>
        <v>2.8566122599699737</v>
      </c>
      <c r="V547" s="362">
        <f t="shared" si="552"/>
        <v>3.2206874925031501</v>
      </c>
      <c r="X547" s="351"/>
    </row>
    <row r="548" spans="3:24" ht="24.75" customHeight="1" x14ac:dyDescent="0.3">
      <c r="C548" s="353">
        <f>ABS(E548-Dashboard!$F$14)</f>
        <v>139.28975094458366</v>
      </c>
      <c r="D548" s="350">
        <f t="shared" si="531"/>
        <v>0.12755000000000119</v>
      </c>
      <c r="E548" s="359" cm="1">
        <f t="array" ref="E548">1000*SUM('DRE + DCF'!$L$36/M548,'DRE + DCF'!$N$36:$V$36/N548:V548,F548/V548)/Dashboard!$F$11</f>
        <v>236.27975094458367</v>
      </c>
      <c r="F548" s="359">
        <f t="shared" si="529"/>
        <v>27582214.952374469</v>
      </c>
      <c r="G548" s="359">
        <f>'DRE + DCF'!$W$31</f>
        <v>2791623.3540418856</v>
      </c>
      <c r="H548" s="359">
        <f>'DRE + DCF'!$W$32</f>
        <v>81081.931703745853</v>
      </c>
      <c r="I548" s="359">
        <f>-H548*('DRE + DCF'!$V$33+K548)/'DRE + DCF'!$V$33</f>
        <v>-90858.801614444121</v>
      </c>
      <c r="J548" s="359">
        <f>-'DRE + DCF'!$V$56*L548</f>
        <v>-1188924.4255577971</v>
      </c>
      <c r="K548" s="360">
        <f>(1+L548)/(1+Ke!$O$12)-1</f>
        <v>2.0000000000000018E-2</v>
      </c>
      <c r="L548" s="360">
        <f>'DRE + DCF'!$Y$31</f>
        <v>7.3550000000000004E-2</v>
      </c>
      <c r="M548" s="361">
        <f>(1+D548)^((5-Dashboard!$F$9)*3/12)</f>
        <v>1.09421296671284</v>
      </c>
      <c r="N548" s="361">
        <f t="shared" ref="N548:V548" si="553">M548*(1+$D548)</f>
        <v>1.233779830617064</v>
      </c>
      <c r="O548" s="361">
        <f t="shared" si="553"/>
        <v>1.391148448012272</v>
      </c>
      <c r="P548" s="361">
        <f t="shared" si="553"/>
        <v>1.5685894325562388</v>
      </c>
      <c r="Q548" s="361">
        <f t="shared" si="553"/>
        <v>1.7686630146787889</v>
      </c>
      <c r="R548" s="361">
        <f t="shared" si="553"/>
        <v>1.9942559822010706</v>
      </c>
      <c r="S548" s="361">
        <f t="shared" si="553"/>
        <v>2.2486233327308196</v>
      </c>
      <c r="T548" s="361">
        <f t="shared" si="553"/>
        <v>2.535435238820638</v>
      </c>
      <c r="U548" s="361">
        <f t="shared" si="553"/>
        <v>2.8588300035322134</v>
      </c>
      <c r="V548" s="362">
        <f t="shared" si="553"/>
        <v>3.2234737704827507</v>
      </c>
      <c r="X548" s="351"/>
    </row>
    <row r="549" spans="3:24" ht="24.75" customHeight="1" x14ac:dyDescent="0.3">
      <c r="C549" s="353">
        <f>ABS(E549-Dashboard!$F$14)</f>
        <v>138.90474956481819</v>
      </c>
      <c r="D549" s="350">
        <f t="shared" si="531"/>
        <v>0.12765000000000118</v>
      </c>
      <c r="E549" s="359" cm="1">
        <f t="array" ref="E549">1000*SUM('DRE + DCF'!$L$36/M549,'DRE + DCF'!$N$36:$V$36/N549:V549,F549/V549)/Dashboard!$F$11</f>
        <v>235.8947495648182</v>
      </c>
      <c r="F549" s="359">
        <f t="shared" si="529"/>
        <v>27543743.378107641</v>
      </c>
      <c r="G549" s="359">
        <f>'DRE + DCF'!$W$31</f>
        <v>2791623.3540418856</v>
      </c>
      <c r="H549" s="359">
        <f>'DRE + DCF'!$W$32</f>
        <v>81081.931703745853</v>
      </c>
      <c r="I549" s="359">
        <f>-H549*('DRE + DCF'!$V$33+K549)/'DRE + DCF'!$V$33</f>
        <v>-90858.801614444121</v>
      </c>
      <c r="J549" s="359">
        <f>-'DRE + DCF'!$V$56*L549</f>
        <v>-1188924.4255577971</v>
      </c>
      <c r="K549" s="360">
        <f>(1+L549)/(1+Ke!$O$12)-1</f>
        <v>2.0000000000000018E-2</v>
      </c>
      <c r="L549" s="360">
        <f>'DRE + DCF'!$Y$31</f>
        <v>7.3550000000000004E-2</v>
      </c>
      <c r="M549" s="361">
        <f>(1+D549)^((5-Dashboard!$F$9)*3/12)</f>
        <v>1.0942857484633211</v>
      </c>
      <c r="N549" s="361">
        <f t="shared" ref="N549:V549" si="554">M549*(1+$D549)</f>
        <v>1.2339713242546653</v>
      </c>
      <c r="O549" s="361">
        <f t="shared" si="554"/>
        <v>1.3914877637957748</v>
      </c>
      <c r="P549" s="361">
        <f t="shared" si="554"/>
        <v>1.5691111768443071</v>
      </c>
      <c r="Q549" s="361">
        <f t="shared" si="554"/>
        <v>1.7694082185684847</v>
      </c>
      <c r="R549" s="361">
        <f t="shared" si="554"/>
        <v>1.9952731776687538</v>
      </c>
      <c r="S549" s="361">
        <f t="shared" si="554"/>
        <v>2.2499697987981726</v>
      </c>
      <c r="T549" s="361">
        <f t="shared" si="554"/>
        <v>2.5371784436147617</v>
      </c>
      <c r="U549" s="361">
        <f t="shared" si="554"/>
        <v>2.8610492719421892</v>
      </c>
      <c r="V549" s="362">
        <f t="shared" si="554"/>
        <v>3.2262622115056128</v>
      </c>
      <c r="X549" s="351"/>
    </row>
    <row r="550" spans="3:24" ht="24.75" customHeight="1" x14ac:dyDescent="0.3">
      <c r="C550" s="353">
        <f>ABS(E550-Dashboard!$F$14)</f>
        <v>138.52094577666861</v>
      </c>
      <c r="D550" s="350">
        <f t="shared" si="531"/>
        <v>0.12775000000000117</v>
      </c>
      <c r="E550" s="359" cm="1">
        <f t="array" ref="E550">1000*SUM('DRE + DCF'!$L$36/M550,'DRE + DCF'!$N$36:$V$36/N550:V550,F550/V550)/Dashboard!$F$11</f>
        <v>235.51094577666859</v>
      </c>
      <c r="F550" s="359">
        <f t="shared" si="529"/>
        <v>27505394.212959327</v>
      </c>
      <c r="G550" s="359">
        <f>'DRE + DCF'!$W$31</f>
        <v>2791623.3540418856</v>
      </c>
      <c r="H550" s="359">
        <f>'DRE + DCF'!$W$32</f>
        <v>81081.931703745853</v>
      </c>
      <c r="I550" s="359">
        <f>-H550*('DRE + DCF'!$V$33+K550)/'DRE + DCF'!$V$33</f>
        <v>-90858.801614444121</v>
      </c>
      <c r="J550" s="359">
        <f>-'DRE + DCF'!$V$56*L550</f>
        <v>-1188924.4255577971</v>
      </c>
      <c r="K550" s="360">
        <f>(1+L550)/(1+Ke!$O$12)-1</f>
        <v>2.0000000000000018E-2</v>
      </c>
      <c r="L550" s="360">
        <f>'DRE + DCF'!$Y$31</f>
        <v>7.3550000000000004E-2</v>
      </c>
      <c r="M550" s="361">
        <f>(1+D550)^((5-Dashboard!$F$9)*3/12)</f>
        <v>1.0943585286002488</v>
      </c>
      <c r="N550" s="361">
        <f t="shared" ref="N550:V550" si="555">M550*(1+$D550)</f>
        <v>1.2341628306289318</v>
      </c>
      <c r="O550" s="361">
        <f t="shared" si="555"/>
        <v>1.3918271322417792</v>
      </c>
      <c r="P550" s="361">
        <f t="shared" si="555"/>
        <v>1.5696330483856682</v>
      </c>
      <c r="Q550" s="361">
        <f t="shared" si="555"/>
        <v>1.7701536703169392</v>
      </c>
      <c r="R550" s="361">
        <f t="shared" si="555"/>
        <v>1.9962908016999301</v>
      </c>
      <c r="S550" s="361">
        <f t="shared" si="555"/>
        <v>2.2513169516170985</v>
      </c>
      <c r="T550" s="361">
        <f t="shared" si="555"/>
        <v>2.5389226921861856</v>
      </c>
      <c r="U550" s="361">
        <f t="shared" si="555"/>
        <v>2.8632700661129737</v>
      </c>
      <c r="V550" s="362">
        <f t="shared" si="555"/>
        <v>3.2290528170589092</v>
      </c>
      <c r="X550" s="351"/>
    </row>
    <row r="551" spans="3:24" ht="24.75" customHeight="1" x14ac:dyDescent="0.3">
      <c r="C551" s="353">
        <f>ABS(E551-Dashboard!$F$14)</f>
        <v>138.13833366698748</v>
      </c>
      <c r="D551" s="350">
        <f t="shared" si="531"/>
        <v>0.12785000000000116</v>
      </c>
      <c r="E551" s="359" cm="1">
        <f t="array" ref="E551">1000*SUM('DRE + DCF'!$L$36/M551,'DRE + DCF'!$N$36:$V$36/N551:V551,F551/V551)/Dashboard!$F$11</f>
        <v>235.12833366698749</v>
      </c>
      <c r="F551" s="359">
        <f t="shared" si="529"/>
        <v>27467166.826431282</v>
      </c>
      <c r="G551" s="359">
        <f>'DRE + DCF'!$W$31</f>
        <v>2791623.3540418856</v>
      </c>
      <c r="H551" s="359">
        <f>'DRE + DCF'!$W$32</f>
        <v>81081.931703745853</v>
      </c>
      <c r="I551" s="359">
        <f>-H551*('DRE + DCF'!$V$33+K551)/'DRE + DCF'!$V$33</f>
        <v>-90858.801614444121</v>
      </c>
      <c r="J551" s="359">
        <f>-'DRE + DCF'!$V$56*L551</f>
        <v>-1188924.4255577971</v>
      </c>
      <c r="K551" s="360">
        <f>(1+L551)/(1+Ke!$O$12)-1</f>
        <v>2.0000000000000018E-2</v>
      </c>
      <c r="L551" s="360">
        <f>'DRE + DCF'!$Y$31</f>
        <v>7.3550000000000004E-2</v>
      </c>
      <c r="M551" s="361">
        <f>(1+D551)^((5-Dashboard!$F$9)*3/12)</f>
        <v>1.0944313071238019</v>
      </c>
      <c r="N551" s="361">
        <f t="shared" ref="N551:V551" si="556">M551*(1+$D551)</f>
        <v>1.2343543497395812</v>
      </c>
      <c r="O551" s="361">
        <f t="shared" si="556"/>
        <v>1.3921665533537881</v>
      </c>
      <c r="P551" s="361">
        <f t="shared" si="556"/>
        <v>1.5701550472000716</v>
      </c>
      <c r="Q551" s="361">
        <f t="shared" si="556"/>
        <v>1.7708993699846025</v>
      </c>
      <c r="R551" s="361">
        <f t="shared" si="556"/>
        <v>1.997308854437136</v>
      </c>
      <c r="S551" s="361">
        <f t="shared" si="556"/>
        <v>2.252664791476926</v>
      </c>
      <c r="T551" s="361">
        <f t="shared" si="556"/>
        <v>2.5406679850672536</v>
      </c>
      <c r="U551" s="361">
        <f t="shared" si="556"/>
        <v>2.8654923869581048</v>
      </c>
      <c r="V551" s="362">
        <f t="shared" si="556"/>
        <v>3.2318455886307018</v>
      </c>
      <c r="X551" s="351"/>
    </row>
    <row r="552" spans="3:24" ht="24.75" customHeight="1" x14ac:dyDescent="0.3">
      <c r="C552" s="353">
        <f>ABS(E552-Dashboard!$F$14)</f>
        <v>137.75690736367523</v>
      </c>
      <c r="D552" s="350">
        <f t="shared" si="531"/>
        <v>0.12795000000000115</v>
      </c>
      <c r="E552" s="359" cm="1">
        <f t="array" ref="E552">1000*SUM('DRE + DCF'!$L$36/M552,'DRE + DCF'!$N$36:$V$36/N552:V552,F552/V552)/Dashboard!$F$11</f>
        <v>234.74690736367523</v>
      </c>
      <c r="F552" s="359">
        <f t="shared" si="529"/>
        <v>27429060.592518389</v>
      </c>
      <c r="G552" s="359">
        <f>'DRE + DCF'!$W$31</f>
        <v>2791623.3540418856</v>
      </c>
      <c r="H552" s="359">
        <f>'DRE + DCF'!$W$32</f>
        <v>81081.931703745853</v>
      </c>
      <c r="I552" s="359">
        <f>-H552*('DRE + DCF'!$V$33+K552)/'DRE + DCF'!$V$33</f>
        <v>-90858.801614444121</v>
      </c>
      <c r="J552" s="359">
        <f>-'DRE + DCF'!$V$56*L552</f>
        <v>-1188924.4255577971</v>
      </c>
      <c r="K552" s="360">
        <f>(1+L552)/(1+Ke!$O$12)-1</f>
        <v>2.0000000000000018E-2</v>
      </c>
      <c r="L552" s="360">
        <f>'DRE + DCF'!$Y$31</f>
        <v>7.3550000000000004E-2</v>
      </c>
      <c r="M552" s="361">
        <f>(1+D552)^((5-Dashboard!$F$9)*3/12)</f>
        <v>1.0945040840341591</v>
      </c>
      <c r="N552" s="361">
        <f t="shared" ref="N552:V552" si="557">M552*(1+$D552)</f>
        <v>1.2345458815863311</v>
      </c>
      <c r="O552" s="361">
        <f t="shared" si="557"/>
        <v>1.3925060271353036</v>
      </c>
      <c r="P552" s="361">
        <f t="shared" si="557"/>
        <v>1.5706771733072673</v>
      </c>
      <c r="Q552" s="361">
        <f t="shared" si="557"/>
        <v>1.771645317631934</v>
      </c>
      <c r="R552" s="361">
        <f t="shared" si="557"/>
        <v>1.9983273360229419</v>
      </c>
      <c r="S552" s="361">
        <f t="shared" si="557"/>
        <v>2.2540133186670794</v>
      </c>
      <c r="T552" s="361">
        <f t="shared" si="557"/>
        <v>2.5424143227905347</v>
      </c>
      <c r="U552" s="361">
        <f t="shared" si="557"/>
        <v>2.8677162353915864</v>
      </c>
      <c r="V552" s="362">
        <f t="shared" si="557"/>
        <v>3.234640527709943</v>
      </c>
      <c r="X552" s="351"/>
    </row>
    <row r="553" spans="3:24" ht="24.75" customHeight="1" x14ac:dyDescent="0.3">
      <c r="C553" s="353">
        <f>ABS(E553-Dashboard!$F$14)</f>
        <v>137.37666103531296</v>
      </c>
      <c r="D553" s="350">
        <f t="shared" si="531"/>
        <v>0.12805000000000114</v>
      </c>
      <c r="E553" s="359" cm="1">
        <f t="array" ref="E553">1000*SUM('DRE + DCF'!$L$36/M553,'DRE + DCF'!$N$36:$V$36/N553:V553,F553/V553)/Dashboard!$F$11</f>
        <v>234.36666103531294</v>
      </c>
      <c r="F553" s="359">
        <f t="shared" si="529"/>
        <v>27391074.889667969</v>
      </c>
      <c r="G553" s="359">
        <f>'DRE + DCF'!$W$31</f>
        <v>2791623.3540418856</v>
      </c>
      <c r="H553" s="359">
        <f>'DRE + DCF'!$W$32</f>
        <v>81081.931703745853</v>
      </c>
      <c r="I553" s="359">
        <f>-H553*('DRE + DCF'!$V$33+K553)/'DRE + DCF'!$V$33</f>
        <v>-90858.801614444121</v>
      </c>
      <c r="J553" s="359">
        <f>-'DRE + DCF'!$V$56*L553</f>
        <v>-1188924.4255577971</v>
      </c>
      <c r="K553" s="360">
        <f>(1+L553)/(1+Ke!$O$12)-1</f>
        <v>2.0000000000000018E-2</v>
      </c>
      <c r="L553" s="360">
        <f>'DRE + DCF'!$Y$31</f>
        <v>7.3550000000000004E-2</v>
      </c>
      <c r="M553" s="361">
        <f>(1+D553)^((5-Dashboard!$F$9)*3/12)</f>
        <v>1.0945768593314993</v>
      </c>
      <c r="N553" s="361">
        <f t="shared" ref="N553:V553" si="558">M553*(1+$D553)</f>
        <v>1.234737426168899</v>
      </c>
      <c r="O553" s="361">
        <f t="shared" si="558"/>
        <v>1.3928455535898279</v>
      </c>
      <c r="P553" s="361">
        <f t="shared" si="558"/>
        <v>1.5711994267270069</v>
      </c>
      <c r="Q553" s="361">
        <f t="shared" si="558"/>
        <v>1.7723915133194019</v>
      </c>
      <c r="R553" s="361">
        <f t="shared" si="558"/>
        <v>1.9993462465999532</v>
      </c>
      <c r="S553" s="361">
        <f t="shared" si="558"/>
        <v>2.2553625334770793</v>
      </c>
      <c r="T553" s="361">
        <f t="shared" si="558"/>
        <v>2.544161705888822</v>
      </c>
      <c r="U553" s="361">
        <f t="shared" si="558"/>
        <v>2.8699416123278882</v>
      </c>
      <c r="V553" s="362">
        <f t="shared" si="558"/>
        <v>3.2374376357864776</v>
      </c>
      <c r="X553" s="351"/>
    </row>
    <row r="554" spans="3:24" ht="24.75" customHeight="1" x14ac:dyDescent="0.3">
      <c r="C554" s="353">
        <f>ABS(E554-Dashboard!$F$14)</f>
        <v>136.99758889079976</v>
      </c>
      <c r="D554" s="350">
        <f t="shared" si="531"/>
        <v>0.12815000000000112</v>
      </c>
      <c r="E554" s="359" cm="1">
        <f t="array" ref="E554">1000*SUM('DRE + DCF'!$L$36/M554,'DRE + DCF'!$N$36:$V$36/N554:V554,F554/V554)/Dashboard!$F$11</f>
        <v>233.98758889079977</v>
      </c>
      <c r="F554" s="359">
        <f t="shared" si="529"/>
        <v>27353209.100739568</v>
      </c>
      <c r="G554" s="359">
        <f>'DRE + DCF'!$W$31</f>
        <v>2791623.3540418856</v>
      </c>
      <c r="H554" s="359">
        <f>'DRE + DCF'!$W$32</f>
        <v>81081.931703745853</v>
      </c>
      <c r="I554" s="359">
        <f>-H554*('DRE + DCF'!$V$33+K554)/'DRE + DCF'!$V$33</f>
        <v>-90858.801614444121</v>
      </c>
      <c r="J554" s="359">
        <f>-'DRE + DCF'!$V$56*L554</f>
        <v>-1188924.4255577971</v>
      </c>
      <c r="K554" s="360">
        <f>(1+L554)/(1+Ke!$O$12)-1</f>
        <v>2.0000000000000018E-2</v>
      </c>
      <c r="L554" s="360">
        <f>'DRE + DCF'!$Y$31</f>
        <v>7.3550000000000004E-2</v>
      </c>
      <c r="M554" s="361">
        <f>(1+D554)^((5-Dashboard!$F$9)*3/12)</f>
        <v>1.0946496330160012</v>
      </c>
      <c r="N554" s="361">
        <f t="shared" ref="N554:V554" si="559">M554*(1+$D554)</f>
        <v>1.234928983487003</v>
      </c>
      <c r="O554" s="361">
        <f t="shared" si="559"/>
        <v>1.3931851327208638</v>
      </c>
      <c r="P554" s="361">
        <f t="shared" si="559"/>
        <v>1.571721807479044</v>
      </c>
      <c r="Q554" s="361">
        <f t="shared" si="559"/>
        <v>1.7731379571074852</v>
      </c>
      <c r="R554" s="361">
        <f t="shared" si="559"/>
        <v>2.0003655863108114</v>
      </c>
      <c r="S554" s="361">
        <f t="shared" si="559"/>
        <v>2.256712436196544</v>
      </c>
      <c r="T554" s="361">
        <f t="shared" si="559"/>
        <v>2.5459101348951338</v>
      </c>
      <c r="U554" s="361">
        <f t="shared" si="559"/>
        <v>2.8721685186819479</v>
      </c>
      <c r="V554" s="362">
        <f t="shared" si="559"/>
        <v>3.2402369143510428</v>
      </c>
      <c r="X554" s="351"/>
    </row>
    <row r="555" spans="3:24" ht="24.75" customHeight="1" x14ac:dyDescent="0.3">
      <c r="C555" s="353">
        <f>ABS(E555-Dashboard!$F$14)</f>
        <v>136.61968517899419</v>
      </c>
      <c r="D555" s="350">
        <f t="shared" si="531"/>
        <v>0.12825000000000111</v>
      </c>
      <c r="E555" s="359" cm="1">
        <f t="array" ref="E555">1000*SUM('DRE + DCF'!$L$36/M555,'DRE + DCF'!$N$36:$V$36/N555:V555,F555/V555)/Dashboard!$F$11</f>
        <v>233.6096851789942</v>
      </c>
      <c r="F555" s="359">
        <f t="shared" si="529"/>
        <v>27315462.6129652</v>
      </c>
      <c r="G555" s="359">
        <f>'DRE + DCF'!$W$31</f>
        <v>2791623.3540418856</v>
      </c>
      <c r="H555" s="359">
        <f>'DRE + DCF'!$W$32</f>
        <v>81081.931703745853</v>
      </c>
      <c r="I555" s="359">
        <f>-H555*('DRE + DCF'!$V$33+K555)/'DRE + DCF'!$V$33</f>
        <v>-90858.801614444121</v>
      </c>
      <c r="J555" s="359">
        <f>-'DRE + DCF'!$V$56*L555</f>
        <v>-1188924.4255577971</v>
      </c>
      <c r="K555" s="360">
        <f>(1+L555)/(1+Ke!$O$12)-1</f>
        <v>2.0000000000000018E-2</v>
      </c>
      <c r="L555" s="360">
        <f>'DRE + DCF'!$Y$31</f>
        <v>7.3550000000000004E-2</v>
      </c>
      <c r="M555" s="361">
        <f>(1+D555)^((5-Dashboard!$F$9)*3/12)</f>
        <v>1.0947224050878435</v>
      </c>
      <c r="N555" s="361">
        <f t="shared" ref="N555:V555" si="560">M555*(1+$D555)</f>
        <v>1.2351205535403607</v>
      </c>
      <c r="O555" s="361">
        <f t="shared" si="560"/>
        <v>1.3935247645319133</v>
      </c>
      <c r="P555" s="361">
        <f t="shared" si="560"/>
        <v>1.5722443155831327</v>
      </c>
      <c r="Q555" s="361">
        <f t="shared" si="560"/>
        <v>1.7738846490566711</v>
      </c>
      <c r="R555" s="361">
        <f t="shared" si="560"/>
        <v>2.0013853552981913</v>
      </c>
      <c r="S555" s="361">
        <f t="shared" si="560"/>
        <v>2.2580630271151865</v>
      </c>
      <c r="T555" s="361">
        <f t="shared" si="560"/>
        <v>2.5476596103427114</v>
      </c>
      <c r="U555" s="361">
        <f t="shared" si="560"/>
        <v>2.8743969553691668</v>
      </c>
      <c r="V555" s="362">
        <f t="shared" si="560"/>
        <v>3.2430383648952654</v>
      </c>
      <c r="X555" s="351"/>
    </row>
    <row r="556" spans="3:24" ht="24.75" customHeight="1" x14ac:dyDescent="0.3">
      <c r="C556" s="353">
        <f>ABS(E556-Dashboard!$F$14)</f>
        <v>136.24294418835882</v>
      </c>
      <c r="D556" s="350">
        <f t="shared" si="531"/>
        <v>0.1283500000000011</v>
      </c>
      <c r="E556" s="359" cm="1">
        <f t="array" ref="E556">1000*SUM('DRE + DCF'!$L$36/M556,'DRE + DCF'!$N$36:$V$36/N556:V556,F556/V556)/Dashboard!$F$11</f>
        <v>233.23294418835883</v>
      </c>
      <c r="F556" s="359">
        <f t="shared" si="529"/>
        <v>27277834.81790996</v>
      </c>
      <c r="G556" s="359">
        <f>'DRE + DCF'!$W$31</f>
        <v>2791623.3540418856</v>
      </c>
      <c r="H556" s="359">
        <f>'DRE + DCF'!$W$32</f>
        <v>81081.931703745853</v>
      </c>
      <c r="I556" s="359">
        <f>-H556*('DRE + DCF'!$V$33+K556)/'DRE + DCF'!$V$33</f>
        <v>-90858.801614444121</v>
      </c>
      <c r="J556" s="359">
        <f>-'DRE + DCF'!$V$56*L556</f>
        <v>-1188924.4255577971</v>
      </c>
      <c r="K556" s="360">
        <f>(1+L556)/(1+Ke!$O$12)-1</f>
        <v>2.0000000000000018E-2</v>
      </c>
      <c r="L556" s="360">
        <f>'DRE + DCF'!$Y$31</f>
        <v>7.3550000000000004E-2</v>
      </c>
      <c r="M556" s="361">
        <f>(1+D556)^((5-Dashboard!$F$9)*3/12)</f>
        <v>1.0947951755472047</v>
      </c>
      <c r="N556" s="361">
        <f t="shared" ref="N556:V556" si="561">M556*(1+$D556)</f>
        <v>1.2353121363286896</v>
      </c>
      <c r="O556" s="361">
        <f t="shared" si="561"/>
        <v>1.3938644490264782</v>
      </c>
      <c r="P556" s="361">
        <f t="shared" si="561"/>
        <v>1.5727669510590281</v>
      </c>
      <c r="Q556" s="361">
        <f t="shared" si="561"/>
        <v>1.774631589227456</v>
      </c>
      <c r="R556" s="361">
        <f t="shared" si="561"/>
        <v>2.002405553704802</v>
      </c>
      <c r="S556" s="361">
        <f t="shared" si="561"/>
        <v>2.2594143065228156</v>
      </c>
      <c r="T556" s="361">
        <f t="shared" si="561"/>
        <v>2.5494101327650216</v>
      </c>
      <c r="U556" s="361">
        <f t="shared" si="561"/>
        <v>2.8766269233054147</v>
      </c>
      <c r="V556" s="362">
        <f t="shared" si="561"/>
        <v>3.2458419889116676</v>
      </c>
      <c r="X556" s="351"/>
    </row>
    <row r="557" spans="3:24" ht="24.75" customHeight="1" x14ac:dyDescent="0.3">
      <c r="C557" s="353">
        <f>ABS(E557-Dashboard!$F$14)</f>
        <v>135.86736024660928</v>
      </c>
      <c r="D557" s="350">
        <f t="shared" si="531"/>
        <v>0.12845000000000109</v>
      </c>
      <c r="E557" s="359" cm="1">
        <f t="array" ref="E557">1000*SUM('DRE + DCF'!$L$36/M557,'DRE + DCF'!$N$36:$V$36/N557:V557,F557/V557)/Dashboard!$F$11</f>
        <v>232.85736024660929</v>
      </c>
      <c r="F557" s="359">
        <f t="shared" si="529"/>
        <v>27240325.111433126</v>
      </c>
      <c r="G557" s="359">
        <f>'DRE + DCF'!$W$31</f>
        <v>2791623.3540418856</v>
      </c>
      <c r="H557" s="359">
        <f>'DRE + DCF'!$W$32</f>
        <v>81081.931703745853</v>
      </c>
      <c r="I557" s="359">
        <f>-H557*('DRE + DCF'!$V$33+K557)/'DRE + DCF'!$V$33</f>
        <v>-90858.801614444121</v>
      </c>
      <c r="J557" s="359">
        <f>-'DRE + DCF'!$V$56*L557</f>
        <v>-1188924.4255577971</v>
      </c>
      <c r="K557" s="360">
        <f>(1+L557)/(1+Ke!$O$12)-1</f>
        <v>2.0000000000000018E-2</v>
      </c>
      <c r="L557" s="360">
        <f>'DRE + DCF'!$Y$31</f>
        <v>7.3550000000000004E-2</v>
      </c>
      <c r="M557" s="361">
        <f>(1+D557)^((5-Dashboard!$F$9)*3/12)</f>
        <v>1.0948679443942637</v>
      </c>
      <c r="N557" s="361">
        <f t="shared" ref="N557:V557" si="562">M557*(1+$D557)</f>
        <v>1.2355037318517081</v>
      </c>
      <c r="O557" s="361">
        <f t="shared" si="562"/>
        <v>1.3942041862080614</v>
      </c>
      <c r="P557" s="361">
        <f t="shared" si="562"/>
        <v>1.5732897139264883</v>
      </c>
      <c r="Q557" s="361">
        <f t="shared" si="562"/>
        <v>1.7753787776803474</v>
      </c>
      <c r="R557" s="361">
        <f t="shared" si="562"/>
        <v>2.0034261816733898</v>
      </c>
      <c r="S557" s="361">
        <f t="shared" si="562"/>
        <v>2.2607662747093387</v>
      </c>
      <c r="T557" s="361">
        <f t="shared" si="562"/>
        <v>2.5511617026957558</v>
      </c>
      <c r="U557" s="361">
        <f t="shared" si="562"/>
        <v>2.8788584234070282</v>
      </c>
      <c r="V557" s="362">
        <f t="shared" si="562"/>
        <v>3.2486477878936642</v>
      </c>
      <c r="X557" s="351"/>
    </row>
    <row r="558" spans="3:24" ht="24.75" customHeight="1" x14ac:dyDescent="0.3">
      <c r="C558" s="353">
        <f>ABS(E558-Dashboard!$F$14)</f>
        <v>135.49292772036688</v>
      </c>
      <c r="D558" s="350">
        <f t="shared" si="531"/>
        <v>0.12855000000000108</v>
      </c>
      <c r="E558" s="359" cm="1">
        <f t="array" ref="E558">1000*SUM('DRE + DCF'!$L$36/M558,'DRE + DCF'!$N$36:$V$36/N558:V558,F558/V558)/Dashboard!$F$11</f>
        <v>232.48292772036689</v>
      </c>
      <c r="F558" s="359">
        <f t="shared" si="529"/>
        <v>27202932.89364966</v>
      </c>
      <c r="G558" s="359">
        <f>'DRE + DCF'!$W$31</f>
        <v>2791623.3540418856</v>
      </c>
      <c r="H558" s="359">
        <f>'DRE + DCF'!$W$32</f>
        <v>81081.931703745853</v>
      </c>
      <c r="I558" s="359">
        <f>-H558*('DRE + DCF'!$V$33+K558)/'DRE + DCF'!$V$33</f>
        <v>-90858.801614444121</v>
      </c>
      <c r="J558" s="359">
        <f>-'DRE + DCF'!$V$56*L558</f>
        <v>-1188924.4255577971</v>
      </c>
      <c r="K558" s="360">
        <f>(1+L558)/(1+Ke!$O$12)-1</f>
        <v>2.0000000000000018E-2</v>
      </c>
      <c r="L558" s="360">
        <f>'DRE + DCF'!$Y$31</f>
        <v>7.3550000000000004E-2</v>
      </c>
      <c r="M558" s="361">
        <f>(1+D558)^((5-Dashboard!$F$9)*3/12)</f>
        <v>1.0949407116291989</v>
      </c>
      <c r="N558" s="361">
        <f t="shared" ref="N558:V558" si="563">M558*(1+$D558)</f>
        <v>1.2356953401091335</v>
      </c>
      <c r="O558" s="361">
        <f t="shared" si="563"/>
        <v>1.3945439760801639</v>
      </c>
      <c r="P558" s="361">
        <f t="shared" si="563"/>
        <v>1.5738126042052705</v>
      </c>
      <c r="Q558" s="361">
        <f t="shared" si="563"/>
        <v>1.7761262144758596</v>
      </c>
      <c r="R558" s="361">
        <f t="shared" si="563"/>
        <v>2.0044472393467334</v>
      </c>
      <c r="S558" s="361">
        <f t="shared" si="563"/>
        <v>2.2621189319647579</v>
      </c>
      <c r="T558" s="361">
        <f t="shared" si="563"/>
        <v>2.5529143206688301</v>
      </c>
      <c r="U558" s="361">
        <f t="shared" si="563"/>
        <v>2.881091456590811</v>
      </c>
      <c r="V558" s="362">
        <f t="shared" si="563"/>
        <v>3.2514557633355627</v>
      </c>
      <c r="X558" s="351"/>
    </row>
    <row r="559" spans="3:24" ht="24.75" customHeight="1" x14ac:dyDescent="0.3">
      <c r="C559" s="353">
        <f>ABS(E559-Dashboard!$F$14)</f>
        <v>135.11964101481516</v>
      </c>
      <c r="D559" s="350">
        <f t="shared" si="531"/>
        <v>0.12865000000000107</v>
      </c>
      <c r="E559" s="359" cm="1">
        <f t="array" ref="E559">1000*SUM('DRE + DCF'!$L$36/M559,'DRE + DCF'!$N$36:$V$36/N559:V559,F559/V559)/Dashboard!$F$11</f>
        <v>232.10964101481514</v>
      </c>
      <c r="F559" s="359">
        <f t="shared" si="529"/>
        <v>27165657.568892114</v>
      </c>
      <c r="G559" s="359">
        <f>'DRE + DCF'!$W$31</f>
        <v>2791623.3540418856</v>
      </c>
      <c r="H559" s="359">
        <f>'DRE + DCF'!$W$32</f>
        <v>81081.931703745853</v>
      </c>
      <c r="I559" s="359">
        <f>-H559*('DRE + DCF'!$V$33+K559)/'DRE + DCF'!$V$33</f>
        <v>-90858.801614444121</v>
      </c>
      <c r="J559" s="359">
        <f>-'DRE + DCF'!$V$56*L559</f>
        <v>-1188924.4255577971</v>
      </c>
      <c r="K559" s="360">
        <f>(1+L559)/(1+Ke!$O$12)-1</f>
        <v>2.0000000000000018E-2</v>
      </c>
      <c r="L559" s="360">
        <f>'DRE + DCF'!$Y$31</f>
        <v>7.3550000000000004E-2</v>
      </c>
      <c r="M559" s="361">
        <f>(1+D559)^((5-Dashboard!$F$9)*3/12)</f>
        <v>1.0950134772521889</v>
      </c>
      <c r="N559" s="361">
        <f t="shared" ref="N559:V559" si="564">M559*(1+$D559)</f>
        <v>1.2358869611006842</v>
      </c>
      <c r="O559" s="361">
        <f t="shared" si="564"/>
        <v>1.3948838186462884</v>
      </c>
      <c r="P559" s="361">
        <f t="shared" si="564"/>
        <v>1.5743356219151348</v>
      </c>
      <c r="Q559" s="361">
        <f t="shared" si="564"/>
        <v>1.7768738996745186</v>
      </c>
      <c r="R559" s="361">
        <f t="shared" si="564"/>
        <v>2.0054687268676474</v>
      </c>
      <c r="S559" s="361">
        <f t="shared" si="564"/>
        <v>2.2634722785791723</v>
      </c>
      <c r="T559" s="361">
        <f t="shared" si="564"/>
        <v>2.5546679872183851</v>
      </c>
      <c r="U559" s="361">
        <f t="shared" si="564"/>
        <v>2.8833260237740328</v>
      </c>
      <c r="V559" s="362">
        <f t="shared" si="564"/>
        <v>3.2542659167325652</v>
      </c>
      <c r="X559" s="351"/>
    </row>
    <row r="560" spans="3:24" ht="24.75" customHeight="1" x14ac:dyDescent="0.3">
      <c r="C560" s="353">
        <f>ABS(E560-Dashboard!$F$14)</f>
        <v>134.74749457335963</v>
      </c>
      <c r="D560" s="350">
        <f t="shared" si="531"/>
        <v>0.12875000000000106</v>
      </c>
      <c r="E560" s="359" cm="1">
        <f t="array" ref="E560">1000*SUM('DRE + DCF'!$L$36/M560,'DRE + DCF'!$N$36:$V$36/N560:V560,F560/V560)/Dashboard!$F$11</f>
        <v>231.73749457335964</v>
      </c>
      <c r="F560" s="359">
        <f t="shared" si="529"/>
        <v>27128498.545672983</v>
      </c>
      <c r="G560" s="359">
        <f>'DRE + DCF'!$W$31</f>
        <v>2791623.3540418856</v>
      </c>
      <c r="H560" s="359">
        <f>'DRE + DCF'!$W$32</f>
        <v>81081.931703745853</v>
      </c>
      <c r="I560" s="359">
        <f>-H560*('DRE + DCF'!$V$33+K560)/'DRE + DCF'!$V$33</f>
        <v>-90858.801614444121</v>
      </c>
      <c r="J560" s="359">
        <f>-'DRE + DCF'!$V$56*L560</f>
        <v>-1188924.4255577971</v>
      </c>
      <c r="K560" s="360">
        <f>(1+L560)/(1+Ke!$O$12)-1</f>
        <v>2.0000000000000018E-2</v>
      </c>
      <c r="L560" s="360">
        <f>'DRE + DCF'!$Y$31</f>
        <v>7.3550000000000004E-2</v>
      </c>
      <c r="M560" s="361">
        <f>(1+D560)^((5-Dashboard!$F$9)*3/12)</f>
        <v>1.0950862412634124</v>
      </c>
      <c r="N560" s="361">
        <f t="shared" ref="N560:V560" si="565">M560*(1+$D560)</f>
        <v>1.2360785948260777</v>
      </c>
      <c r="O560" s="361">
        <f t="shared" si="565"/>
        <v>1.3952237139099366</v>
      </c>
      <c r="P560" s="361">
        <f t="shared" si="565"/>
        <v>1.5748587670758423</v>
      </c>
      <c r="Q560" s="361">
        <f t="shared" si="565"/>
        <v>1.7776218333368585</v>
      </c>
      <c r="R560" s="361">
        <f t="shared" si="565"/>
        <v>2.0064906443789807</v>
      </c>
      <c r="S560" s="361">
        <f t="shared" si="565"/>
        <v>2.2648263148427765</v>
      </c>
      <c r="T560" s="361">
        <f t="shared" si="565"/>
        <v>2.5564227028787863</v>
      </c>
      <c r="U560" s="361">
        <f t="shared" si="565"/>
        <v>2.8855621258744328</v>
      </c>
      <c r="V560" s="362">
        <f t="shared" si="565"/>
        <v>3.2570782495807689</v>
      </c>
      <c r="X560" s="351"/>
    </row>
    <row r="561" spans="3:24" ht="24.75" customHeight="1" x14ac:dyDescent="0.3">
      <c r="C561" s="353">
        <f>ABS(E561-Dashboard!$F$14)</f>
        <v>134.37648287729172</v>
      </c>
      <c r="D561" s="350">
        <f t="shared" si="531"/>
        <v>0.12885000000000105</v>
      </c>
      <c r="E561" s="359" cm="1">
        <f t="array" ref="E561">1000*SUM('DRE + DCF'!$L$36/M561,'DRE + DCF'!$N$36:$V$36/N561:V561,F561/V561)/Dashboard!$F$11</f>
        <v>231.3664828772917</v>
      </c>
      <c r="F561" s="359">
        <f t="shared" si="529"/>
        <v>27091455.236647401</v>
      </c>
      <c r="G561" s="359">
        <f>'DRE + DCF'!$W$31</f>
        <v>2791623.3540418856</v>
      </c>
      <c r="H561" s="359">
        <f>'DRE + DCF'!$W$32</f>
        <v>81081.931703745853</v>
      </c>
      <c r="I561" s="359">
        <f>-H561*('DRE + DCF'!$V$33+K561)/'DRE + DCF'!$V$33</f>
        <v>-90858.801614444121</v>
      </c>
      <c r="J561" s="359">
        <f>-'DRE + DCF'!$V$56*L561</f>
        <v>-1188924.4255577971</v>
      </c>
      <c r="K561" s="360">
        <f>(1+L561)/(1+Ke!$O$12)-1</f>
        <v>2.0000000000000018E-2</v>
      </c>
      <c r="L561" s="360">
        <f>'DRE + DCF'!$Y$31</f>
        <v>7.3550000000000004E-2</v>
      </c>
      <c r="M561" s="361">
        <f>(1+D561)^((5-Dashboard!$F$9)*3/12)</f>
        <v>1.0951590036630474</v>
      </c>
      <c r="N561" s="361">
        <f t="shared" ref="N561:V561" si="566">M561*(1+$D561)</f>
        <v>1.2362702412850322</v>
      </c>
      <c r="O561" s="361">
        <f t="shared" si="566"/>
        <v>1.3955636618746099</v>
      </c>
      <c r="P561" s="361">
        <f t="shared" si="566"/>
        <v>1.5753820397071547</v>
      </c>
      <c r="Q561" s="361">
        <f t="shared" si="566"/>
        <v>1.7783700155234232</v>
      </c>
      <c r="R561" s="361">
        <f t="shared" si="566"/>
        <v>2.0075129920236181</v>
      </c>
      <c r="S561" s="361">
        <f t="shared" si="566"/>
        <v>2.2661810410458632</v>
      </c>
      <c r="T561" s="361">
        <f t="shared" si="566"/>
        <v>2.5581784681846251</v>
      </c>
      <c r="U561" s="361">
        <f t="shared" si="566"/>
        <v>2.8877997638102166</v>
      </c>
      <c r="V561" s="362">
        <f t="shared" si="566"/>
        <v>3.2598927633771662</v>
      </c>
      <c r="X561" s="351"/>
    </row>
    <row r="562" spans="3:24" ht="24.75" customHeight="1" x14ac:dyDescent="0.3">
      <c r="C562" s="353">
        <f>ABS(E562-Dashboard!$F$14)</f>
        <v>134.00660044545589</v>
      </c>
      <c r="D562" s="350">
        <f t="shared" si="531"/>
        <v>0.12895000000000104</v>
      </c>
      <c r="E562" s="359" cm="1">
        <f t="array" ref="E562">1000*SUM('DRE + DCF'!$L$36/M562,'DRE + DCF'!$N$36:$V$36/N562:V562,F562/V562)/Dashboard!$F$11</f>
        <v>230.9966004454559</v>
      </c>
      <c r="F562" s="359">
        <f t="shared" si="529"/>
        <v>27054527.058576319</v>
      </c>
      <c r="G562" s="359">
        <f>'DRE + DCF'!$W$31</f>
        <v>2791623.3540418856</v>
      </c>
      <c r="H562" s="359">
        <f>'DRE + DCF'!$W$32</f>
        <v>81081.931703745853</v>
      </c>
      <c r="I562" s="359">
        <f>-H562*('DRE + DCF'!$V$33+K562)/'DRE + DCF'!$V$33</f>
        <v>-90858.801614444121</v>
      </c>
      <c r="J562" s="359">
        <f>-'DRE + DCF'!$V$56*L562</f>
        <v>-1188924.4255577971</v>
      </c>
      <c r="K562" s="360">
        <f>(1+L562)/(1+Ke!$O$12)-1</f>
        <v>2.0000000000000018E-2</v>
      </c>
      <c r="L562" s="360">
        <f>'DRE + DCF'!$Y$31</f>
        <v>7.3550000000000004E-2</v>
      </c>
      <c r="M562" s="361">
        <f>(1+D562)^((5-Dashboard!$F$9)*3/12)</f>
        <v>1.095231764451273</v>
      </c>
      <c r="N562" s="361">
        <f t="shared" ref="N562:V562" si="567">M562*(1+$D562)</f>
        <v>1.2364619004772657</v>
      </c>
      <c r="O562" s="361">
        <f t="shared" si="567"/>
        <v>1.3959036625438104</v>
      </c>
      <c r="P562" s="361">
        <f t="shared" si="567"/>
        <v>1.5759054398288361</v>
      </c>
      <c r="Q562" s="361">
        <f t="shared" si="567"/>
        <v>1.7791184462947662</v>
      </c>
      <c r="R562" s="361">
        <f t="shared" si="567"/>
        <v>2.0085357699444781</v>
      </c>
      <c r="S562" s="361">
        <f t="shared" si="567"/>
        <v>2.2675364574788208</v>
      </c>
      <c r="T562" s="361">
        <f t="shared" si="567"/>
        <v>2.559935283670717</v>
      </c>
      <c r="U562" s="361">
        <f t="shared" si="567"/>
        <v>2.8900389385000587</v>
      </c>
      <c r="V562" s="362">
        <f t="shared" si="567"/>
        <v>3.2627094596196442</v>
      </c>
      <c r="X562" s="351"/>
    </row>
    <row r="563" spans="3:24" ht="24.75" customHeight="1" x14ac:dyDescent="0.3">
      <c r="C563" s="353">
        <f>ABS(E563-Dashboard!$F$14)</f>
        <v>133.63784183392096</v>
      </c>
      <c r="D563" s="350">
        <f t="shared" si="531"/>
        <v>0.12905000000000103</v>
      </c>
      <c r="E563" s="359" cm="1">
        <f t="array" ref="E563">1000*SUM('DRE + DCF'!$L$36/M563,'DRE + DCF'!$N$36:$V$36/N563:V563,F563/V563)/Dashboard!$F$11</f>
        <v>230.62784183392094</v>
      </c>
      <c r="F563" s="359">
        <f t="shared" si="529"/>
        <v>27017713.43229001</v>
      </c>
      <c r="G563" s="359">
        <f>'DRE + DCF'!$W$31</f>
        <v>2791623.3540418856</v>
      </c>
      <c r="H563" s="359">
        <f>'DRE + DCF'!$W$32</f>
        <v>81081.931703745853</v>
      </c>
      <c r="I563" s="359">
        <f>-H563*('DRE + DCF'!$V$33+K563)/'DRE + DCF'!$V$33</f>
        <v>-90858.801614444121</v>
      </c>
      <c r="J563" s="359">
        <f>-'DRE + DCF'!$V$56*L563</f>
        <v>-1188924.4255577971</v>
      </c>
      <c r="K563" s="360">
        <f>(1+L563)/(1+Ke!$O$12)-1</f>
        <v>2.0000000000000018E-2</v>
      </c>
      <c r="L563" s="360">
        <f>'DRE + DCF'!$Y$31</f>
        <v>7.3550000000000004E-2</v>
      </c>
      <c r="M563" s="361">
        <f>(1+D563)^((5-Dashboard!$F$9)*3/12)</f>
        <v>1.0953045236282672</v>
      </c>
      <c r="N563" s="361">
        <f t="shared" ref="N563:V563" si="568">M563*(1+$D563)</f>
        <v>1.2366535724024963</v>
      </c>
      <c r="O563" s="361">
        <f t="shared" si="568"/>
        <v>1.3962437159210397</v>
      </c>
      <c r="P563" s="361">
        <f t="shared" si="568"/>
        <v>1.5764289674606513</v>
      </c>
      <c r="Q563" s="361">
        <f t="shared" si="568"/>
        <v>1.77986712571145</v>
      </c>
      <c r="R563" s="361">
        <f t="shared" si="568"/>
        <v>2.0095589782845145</v>
      </c>
      <c r="S563" s="361">
        <f t="shared" si="568"/>
        <v>2.2688925644321332</v>
      </c>
      <c r="T563" s="361">
        <f t="shared" si="568"/>
        <v>2.5616931498721023</v>
      </c>
      <c r="U563" s="361">
        <f t="shared" si="568"/>
        <v>2.8922796508630997</v>
      </c>
      <c r="V563" s="362">
        <f t="shared" si="568"/>
        <v>3.2655283398069854</v>
      </c>
      <c r="X563" s="351"/>
    </row>
    <row r="564" spans="3:24" ht="24.75" customHeight="1" x14ac:dyDescent="0.3">
      <c r="C564" s="353">
        <f>ABS(E564-Dashboard!$F$14)</f>
        <v>133.27020163565385</v>
      </c>
      <c r="D564" s="350">
        <f t="shared" si="531"/>
        <v>0.12915000000000101</v>
      </c>
      <c r="E564" s="359" cm="1">
        <f t="array" ref="E564">1000*SUM('DRE + DCF'!$L$36/M564,'DRE + DCF'!$N$36:$V$36/N564:V564,F564/V564)/Dashboard!$F$11</f>
        <v>230.26020163565386</v>
      </c>
      <c r="F564" s="359">
        <f t="shared" si="529"/>
        <v>26981013.782652013</v>
      </c>
      <c r="G564" s="359">
        <f>'DRE + DCF'!$W$31</f>
        <v>2791623.3540418856</v>
      </c>
      <c r="H564" s="359">
        <f>'DRE + DCF'!$W$32</f>
        <v>81081.931703745853</v>
      </c>
      <c r="I564" s="359">
        <f>-H564*('DRE + DCF'!$V$33+K564)/'DRE + DCF'!$V$33</f>
        <v>-90858.801614444121</v>
      </c>
      <c r="J564" s="359">
        <f>-'DRE + DCF'!$V$56*L564</f>
        <v>-1188924.4255577971</v>
      </c>
      <c r="K564" s="360">
        <f>(1+L564)/(1+Ke!$O$12)-1</f>
        <v>2.0000000000000018E-2</v>
      </c>
      <c r="L564" s="360">
        <f>'DRE + DCF'!$Y$31</f>
        <v>7.3550000000000004E-2</v>
      </c>
      <c r="M564" s="361">
        <f>(1+D564)^((5-Dashboard!$F$9)*3/12)</f>
        <v>1.0953772811942084</v>
      </c>
      <c r="N564" s="361">
        <f t="shared" ref="N564:V564" si="569">M564*(1+$D564)</f>
        <v>1.2368452570604416</v>
      </c>
      <c r="O564" s="361">
        <f t="shared" si="569"/>
        <v>1.3965838220097988</v>
      </c>
      <c r="P564" s="361">
        <f t="shared" si="569"/>
        <v>1.5769526226223658</v>
      </c>
      <c r="Q564" s="361">
        <f t="shared" si="569"/>
        <v>1.7806160538340459</v>
      </c>
      <c r="R564" s="361">
        <f t="shared" si="569"/>
        <v>2.0105826171867145</v>
      </c>
      <c r="S564" s="361">
        <f t="shared" si="569"/>
        <v>2.2702493621963806</v>
      </c>
      <c r="T564" s="361">
        <f t="shared" si="569"/>
        <v>2.5634520673240453</v>
      </c>
      <c r="U564" s="361">
        <f t="shared" si="569"/>
        <v>2.8945219018189481</v>
      </c>
      <c r="V564" s="362">
        <f t="shared" si="569"/>
        <v>3.268349405438868</v>
      </c>
      <c r="X564" s="351"/>
    </row>
    <row r="565" spans="3:24" ht="24.75" customHeight="1" x14ac:dyDescent="0.3">
      <c r="C565" s="353">
        <f>ABS(E565-Dashboard!$F$14)</f>
        <v>132.90367448019776</v>
      </c>
      <c r="D565" s="350">
        <f t="shared" si="531"/>
        <v>0.129250000000001</v>
      </c>
      <c r="E565" s="359" cm="1">
        <f t="array" ref="E565">1000*SUM('DRE + DCF'!$L$36/M565,'DRE + DCF'!$N$36:$V$36/N565:V565,F565/V565)/Dashboard!$F$11</f>
        <v>229.89367448019775</v>
      </c>
      <c r="F565" s="359">
        <f t="shared" si="529"/>
        <v>26944427.538523428</v>
      </c>
      <c r="G565" s="359">
        <f>'DRE + DCF'!$W$31</f>
        <v>2791623.3540418856</v>
      </c>
      <c r="H565" s="359">
        <f>'DRE + DCF'!$W$32</f>
        <v>81081.931703745853</v>
      </c>
      <c r="I565" s="359">
        <f>-H565*('DRE + DCF'!$V$33+K565)/'DRE + DCF'!$V$33</f>
        <v>-90858.801614444121</v>
      </c>
      <c r="J565" s="359">
        <f>-'DRE + DCF'!$V$56*L565</f>
        <v>-1188924.4255577971</v>
      </c>
      <c r="K565" s="360">
        <f>(1+L565)/(1+Ke!$O$12)-1</f>
        <v>2.0000000000000018E-2</v>
      </c>
      <c r="L565" s="360">
        <f>'DRE + DCF'!$Y$31</f>
        <v>7.3550000000000004E-2</v>
      </c>
      <c r="M565" s="361">
        <f>(1+D565)^((5-Dashboard!$F$9)*3/12)</f>
        <v>1.0954500371492752</v>
      </c>
      <c r="N565" s="361">
        <f t="shared" ref="N565:V565" si="570">M565*(1+$D565)</f>
        <v>1.2370369544508202</v>
      </c>
      <c r="O565" s="361">
        <f t="shared" si="570"/>
        <v>1.3969239808135898</v>
      </c>
      <c r="P565" s="361">
        <f t="shared" si="570"/>
        <v>1.5774764053337476</v>
      </c>
      <c r="Q565" s="361">
        <f t="shared" si="570"/>
        <v>1.781365230723136</v>
      </c>
      <c r="R565" s="361">
        <f t="shared" si="570"/>
        <v>2.0116066867941029</v>
      </c>
      <c r="S565" s="361">
        <f t="shared" si="570"/>
        <v>2.2716068510622427</v>
      </c>
      <c r="T565" s="361">
        <f t="shared" si="570"/>
        <v>2.5652120365620399</v>
      </c>
      <c r="U565" s="361">
        <f t="shared" si="570"/>
        <v>2.8967656922876861</v>
      </c>
      <c r="V565" s="362">
        <f t="shared" si="570"/>
        <v>3.2711726580158724</v>
      </c>
      <c r="X565" s="351"/>
    </row>
    <row r="566" spans="3:24" ht="24.75" customHeight="1" x14ac:dyDescent="0.3">
      <c r="C566" s="353">
        <f>ABS(E566-Dashboard!$F$14)</f>
        <v>132.53825503335332</v>
      </c>
      <c r="D566" s="350">
        <f t="shared" si="531"/>
        <v>0.12935000000000099</v>
      </c>
      <c r="E566" s="359" cm="1">
        <f t="array" ref="E566">1000*SUM('DRE + DCF'!$L$36/M566,'DRE + DCF'!$N$36:$V$36/N566:V566,F566/V566)/Dashboard!$F$11</f>
        <v>229.5282550333533</v>
      </c>
      <c r="F566" s="359">
        <f t="shared" si="529"/>
        <v>26907954.132727604</v>
      </c>
      <c r="G566" s="359">
        <f>'DRE + DCF'!$W$31</f>
        <v>2791623.3540418856</v>
      </c>
      <c r="H566" s="359">
        <f>'DRE + DCF'!$W$32</f>
        <v>81081.931703745853</v>
      </c>
      <c r="I566" s="359">
        <f>-H566*('DRE + DCF'!$V$33+K566)/'DRE + DCF'!$V$33</f>
        <v>-90858.801614444121</v>
      </c>
      <c r="J566" s="359">
        <f>-'DRE + DCF'!$V$56*L566</f>
        <v>-1188924.4255577971</v>
      </c>
      <c r="K566" s="360">
        <f>(1+L566)/(1+Ke!$O$12)-1</f>
        <v>2.0000000000000018E-2</v>
      </c>
      <c r="L566" s="360">
        <f>'DRE + DCF'!$Y$31</f>
        <v>7.3550000000000004E-2</v>
      </c>
      <c r="M566" s="361">
        <f>(1+D566)^((5-Dashboard!$F$9)*3/12)</f>
        <v>1.0955227914936456</v>
      </c>
      <c r="N566" s="361">
        <f t="shared" ref="N566:V566" si="571">M566*(1+$D566)</f>
        <v>1.2372286645733497</v>
      </c>
      <c r="O566" s="361">
        <f t="shared" si="571"/>
        <v>1.3972641923359137</v>
      </c>
      <c r="P566" s="361">
        <f t="shared" si="571"/>
        <v>1.5780003156145654</v>
      </c>
      <c r="Q566" s="361">
        <f t="shared" si="571"/>
        <v>1.7821146564393111</v>
      </c>
      <c r="R566" s="361">
        <f t="shared" si="571"/>
        <v>2.0126311872497378</v>
      </c>
      <c r="S566" s="361">
        <f t="shared" si="571"/>
        <v>2.2729650313204934</v>
      </c>
      <c r="T566" s="361">
        <f t="shared" si="571"/>
        <v>2.5669730581218015</v>
      </c>
      <c r="U566" s="361">
        <f t="shared" si="571"/>
        <v>2.8990110231898591</v>
      </c>
      <c r="V566" s="362">
        <f t="shared" si="571"/>
        <v>3.2739980990394701</v>
      </c>
      <c r="X566" s="351"/>
    </row>
    <row r="567" spans="3:24" ht="24.75" customHeight="1" x14ac:dyDescent="0.3">
      <c r="C567" s="353">
        <f>ABS(E567-Dashboard!$F$14)</f>
        <v>132.17393799686346</v>
      </c>
      <c r="D567" s="350">
        <f t="shared" si="531"/>
        <v>0.12945000000000098</v>
      </c>
      <c r="E567" s="359" cm="1">
        <f t="array" ref="E567">1000*SUM('DRE + DCF'!$L$36/M567,'DRE + DCF'!$N$36:$V$36/N567:V567,F567/V567)/Dashboard!$F$11</f>
        <v>229.16393799686347</v>
      </c>
      <c r="F567" s="359">
        <f t="shared" si="529"/>
        <v>26871593.002015226</v>
      </c>
      <c r="G567" s="359">
        <f>'DRE + DCF'!$W$31</f>
        <v>2791623.3540418856</v>
      </c>
      <c r="H567" s="359">
        <f>'DRE + DCF'!$W$32</f>
        <v>81081.931703745853</v>
      </c>
      <c r="I567" s="359">
        <f>-H567*('DRE + DCF'!$V$33+K567)/'DRE + DCF'!$V$33</f>
        <v>-90858.801614444121</v>
      </c>
      <c r="J567" s="359">
        <f>-'DRE + DCF'!$V$56*L567</f>
        <v>-1188924.4255577971</v>
      </c>
      <c r="K567" s="360">
        <f>(1+L567)/(1+Ke!$O$12)-1</f>
        <v>2.0000000000000018E-2</v>
      </c>
      <c r="L567" s="360">
        <f>'DRE + DCF'!$Y$31</f>
        <v>7.3550000000000004E-2</v>
      </c>
      <c r="M567" s="361">
        <f>(1+D567)^((5-Dashboard!$F$9)*3/12)</f>
        <v>1.0955955442274983</v>
      </c>
      <c r="N567" s="361">
        <f t="shared" ref="N567:V567" si="572">M567*(1+$D567)</f>
        <v>1.237420387427749</v>
      </c>
      <c r="O567" s="361">
        <f t="shared" si="572"/>
        <v>1.3976044565802723</v>
      </c>
      <c r="P567" s="361">
        <f t="shared" si="572"/>
        <v>1.5785243534845899</v>
      </c>
      <c r="Q567" s="361">
        <f t="shared" si="572"/>
        <v>1.7828643310431715</v>
      </c>
      <c r="R567" s="361">
        <f t="shared" si="572"/>
        <v>2.0136561186967117</v>
      </c>
      <c r="S567" s="361">
        <f t="shared" si="572"/>
        <v>2.2743239032620028</v>
      </c>
      <c r="T567" s="361">
        <f t="shared" si="572"/>
        <v>2.5687351325392713</v>
      </c>
      <c r="U567" s="361">
        <f t="shared" si="572"/>
        <v>2.9012578954464825</v>
      </c>
      <c r="V567" s="362">
        <f t="shared" si="572"/>
        <v>3.2768257300120323</v>
      </c>
      <c r="X567" s="351"/>
    </row>
    <row r="568" spans="3:24" ht="24.75" customHeight="1" x14ac:dyDescent="0.3">
      <c r="C568" s="353">
        <f>ABS(E568-Dashboard!$F$14)</f>
        <v>131.81071810810096</v>
      </c>
      <c r="D568" s="350">
        <f t="shared" si="531"/>
        <v>0.12955000000000097</v>
      </c>
      <c r="E568" s="359" cm="1">
        <f t="array" ref="E568">1000*SUM('DRE + DCF'!$L$36/M568,'DRE + DCF'!$N$36:$V$36/N568:V568,F568/V568)/Dashboard!$F$11</f>
        <v>228.80071810810097</v>
      </c>
      <c r="F568" s="359">
        <f t="shared" si="529"/>
        <v>26835343.58702974</v>
      </c>
      <c r="G568" s="359">
        <f>'DRE + DCF'!$W$31</f>
        <v>2791623.3540418856</v>
      </c>
      <c r="H568" s="359">
        <f>'DRE + DCF'!$W$32</f>
        <v>81081.931703745853</v>
      </c>
      <c r="I568" s="359">
        <f>-H568*('DRE + DCF'!$V$33+K568)/'DRE + DCF'!$V$33</f>
        <v>-90858.801614444121</v>
      </c>
      <c r="J568" s="359">
        <f>-'DRE + DCF'!$V$56*L568</f>
        <v>-1188924.4255577971</v>
      </c>
      <c r="K568" s="360">
        <f>(1+L568)/(1+Ke!$O$12)-1</f>
        <v>2.0000000000000018E-2</v>
      </c>
      <c r="L568" s="360">
        <f>'DRE + DCF'!$Y$31</f>
        <v>7.3550000000000004E-2</v>
      </c>
      <c r="M568" s="361">
        <f>(1+D568)^((5-Dashboard!$F$9)*3/12)</f>
        <v>1.0956682953510111</v>
      </c>
      <c r="N568" s="361">
        <f t="shared" ref="N568:V568" si="573">M568*(1+$D568)</f>
        <v>1.2376121230137356</v>
      </c>
      <c r="O568" s="361">
        <f t="shared" si="573"/>
        <v>1.3979447735501662</v>
      </c>
      <c r="P568" s="361">
        <f t="shared" si="573"/>
        <v>1.5790485189635917</v>
      </c>
      <c r="Q568" s="361">
        <f t="shared" si="573"/>
        <v>1.7836142545953264</v>
      </c>
      <c r="R568" s="361">
        <f t="shared" si="573"/>
        <v>2.0146814812781528</v>
      </c>
      <c r="S568" s="361">
        <f t="shared" si="573"/>
        <v>2.2756834671777395</v>
      </c>
      <c r="T568" s="361">
        <f t="shared" si="573"/>
        <v>2.5704982603506177</v>
      </c>
      <c r="U568" s="361">
        <f t="shared" si="573"/>
        <v>2.9035063099790426</v>
      </c>
      <c r="V568" s="362">
        <f t="shared" si="573"/>
        <v>3.2796555524368305</v>
      </c>
      <c r="X568" s="351"/>
    </row>
    <row r="569" spans="3:24" ht="24.75" customHeight="1" x14ac:dyDescent="0.3">
      <c r="C569" s="353">
        <f>ABS(E569-Dashboard!$F$14)</f>
        <v>131.44859013976037</v>
      </c>
      <c r="D569" s="350">
        <f t="shared" si="531"/>
        <v>0.12965000000000096</v>
      </c>
      <c r="E569" s="359" cm="1">
        <f t="array" ref="E569">1000*SUM('DRE + DCF'!$L$36/M569,'DRE + DCF'!$N$36:$V$36/N569:V569,F569/V569)/Dashboard!$F$11</f>
        <v>228.43859013976038</v>
      </c>
      <c r="F569" s="359">
        <f t="shared" si="529"/>
        <v>26799205.33227317</v>
      </c>
      <c r="G569" s="359">
        <f>'DRE + DCF'!$W$31</f>
        <v>2791623.3540418856</v>
      </c>
      <c r="H569" s="359">
        <f>'DRE + DCF'!$W$32</f>
        <v>81081.931703745853</v>
      </c>
      <c r="I569" s="359">
        <f>-H569*('DRE + DCF'!$V$33+K569)/'DRE + DCF'!$V$33</f>
        <v>-90858.801614444121</v>
      </c>
      <c r="J569" s="359">
        <f>-'DRE + DCF'!$V$56*L569</f>
        <v>-1188924.4255577971</v>
      </c>
      <c r="K569" s="360">
        <f>(1+L569)/(1+Ke!$O$12)-1</f>
        <v>2.0000000000000018E-2</v>
      </c>
      <c r="L569" s="360">
        <f>'DRE + DCF'!$Y$31</f>
        <v>7.3550000000000004E-2</v>
      </c>
      <c r="M569" s="361">
        <f>(1+D569)^((5-Dashboard!$F$9)*3/12)</f>
        <v>1.0957410448643623</v>
      </c>
      <c r="N569" s="361">
        <f t="shared" ref="N569:V569" si="574">M569*(1+$D569)</f>
        <v>1.237803871331028</v>
      </c>
      <c r="O569" s="361">
        <f t="shared" si="574"/>
        <v>1.3982851432490968</v>
      </c>
      <c r="P569" s="361">
        <f t="shared" si="574"/>
        <v>1.5795728120713435</v>
      </c>
      <c r="Q569" s="361">
        <f t="shared" si="574"/>
        <v>1.7843644271563945</v>
      </c>
      <c r="R569" s="361">
        <f t="shared" si="574"/>
        <v>2.0157072751372227</v>
      </c>
      <c r="S569" s="361">
        <f t="shared" si="574"/>
        <v>2.2770437233587657</v>
      </c>
      <c r="T569" s="361">
        <f t="shared" si="574"/>
        <v>2.572262442092232</v>
      </c>
      <c r="U569" s="361">
        <f t="shared" si="574"/>
        <v>2.9057562677094921</v>
      </c>
      <c r="V569" s="362">
        <f t="shared" si="574"/>
        <v>3.2824875678180305</v>
      </c>
      <c r="X569" s="351"/>
    </row>
    <row r="570" spans="3:24" ht="24.75" customHeight="1" x14ac:dyDescent="0.3">
      <c r="C570" s="353">
        <f>ABS(E570-Dashboard!$F$14)</f>
        <v>131.08754889955179</v>
      </c>
      <c r="D570" s="350">
        <f t="shared" si="531"/>
        <v>0.12975000000000095</v>
      </c>
      <c r="E570" s="359" cm="1">
        <f t="array" ref="E570">1000*SUM('DRE + DCF'!$L$36/M570,'DRE + DCF'!$N$36:$V$36/N570:V570,F570/V570)/Dashboard!$F$11</f>
        <v>228.0775488995518</v>
      </c>
      <c r="F570" s="359">
        <f t="shared" si="529"/>
        <v>26763177.686072279</v>
      </c>
      <c r="G570" s="359">
        <f>'DRE + DCF'!$W$31</f>
        <v>2791623.3540418856</v>
      </c>
      <c r="H570" s="359">
        <f>'DRE + DCF'!$W$32</f>
        <v>81081.931703745853</v>
      </c>
      <c r="I570" s="359">
        <f>-H570*('DRE + DCF'!$V$33+K570)/'DRE + DCF'!$V$33</f>
        <v>-90858.801614444121</v>
      </c>
      <c r="J570" s="359">
        <f>-'DRE + DCF'!$V$56*L570</f>
        <v>-1188924.4255577971</v>
      </c>
      <c r="K570" s="360">
        <f>(1+L570)/(1+Ke!$O$12)-1</f>
        <v>2.0000000000000018E-2</v>
      </c>
      <c r="L570" s="360">
        <f>'DRE + DCF'!$Y$31</f>
        <v>7.3550000000000004E-2</v>
      </c>
      <c r="M570" s="361">
        <f>(1+D570)^((5-Dashboard!$F$9)*3/12)</f>
        <v>1.0958137927677301</v>
      </c>
      <c r="N570" s="361">
        <f t="shared" ref="N570:V570" si="575">M570*(1+$D570)</f>
        <v>1.237995632379344</v>
      </c>
      <c r="O570" s="361">
        <f t="shared" si="575"/>
        <v>1.3986255656805651</v>
      </c>
      <c r="P570" s="361">
        <f t="shared" si="575"/>
        <v>1.5800972328276197</v>
      </c>
      <c r="Q570" s="361">
        <f t="shared" si="575"/>
        <v>1.7851148487870048</v>
      </c>
      <c r="R570" s="361">
        <f t="shared" si="575"/>
        <v>2.0167335004171201</v>
      </c>
      <c r="S570" s="361">
        <f t="shared" si="575"/>
        <v>2.2784046720962432</v>
      </c>
      <c r="T570" s="361">
        <f t="shared" si="575"/>
        <v>2.574027678300733</v>
      </c>
      <c r="U570" s="361">
        <f t="shared" si="575"/>
        <v>2.9080077695602555</v>
      </c>
      <c r="V570" s="362">
        <f t="shared" si="575"/>
        <v>3.2853217776607013</v>
      </c>
      <c r="X570" s="351"/>
    </row>
    <row r="571" spans="3:24" ht="24.75" customHeight="1" x14ac:dyDescent="0.3">
      <c r="C571" s="353">
        <f>ABS(E571-Dashboard!$F$14)</f>
        <v>130.72758922989897</v>
      </c>
      <c r="D571" s="350">
        <f t="shared" si="531"/>
        <v>0.12985000000000094</v>
      </c>
      <c r="E571" s="359" cm="1">
        <f t="array" ref="E571">1000*SUM('DRE + DCF'!$L$36/M571,'DRE + DCF'!$N$36:$V$36/N571:V571,F571/V571)/Dashboard!$F$11</f>
        <v>227.71758922989898</v>
      </c>
      <c r="F571" s="359">
        <f t="shared" si="529"/>
        <v>26727260.100545093</v>
      </c>
      <c r="G571" s="359">
        <f>'DRE + DCF'!$W$31</f>
        <v>2791623.3540418856</v>
      </c>
      <c r="H571" s="359">
        <f>'DRE + DCF'!$W$32</f>
        <v>81081.931703745853</v>
      </c>
      <c r="I571" s="359">
        <f>-H571*('DRE + DCF'!$V$33+K571)/'DRE + DCF'!$V$33</f>
        <v>-90858.801614444121</v>
      </c>
      <c r="J571" s="359">
        <f>-'DRE + DCF'!$V$56*L571</f>
        <v>-1188924.4255577971</v>
      </c>
      <c r="K571" s="360">
        <f>(1+L571)/(1+Ke!$O$12)-1</f>
        <v>2.0000000000000018E-2</v>
      </c>
      <c r="L571" s="360">
        <f>'DRE + DCF'!$Y$31</f>
        <v>7.3550000000000004E-2</v>
      </c>
      <c r="M571" s="361">
        <f>(1+D571)^((5-Dashboard!$F$9)*3/12)</f>
        <v>1.0958865390612926</v>
      </c>
      <c r="N571" s="361">
        <f t="shared" ref="N571:V571" si="576">M571*(1+$D571)</f>
        <v>1.2381874061584024</v>
      </c>
      <c r="O571" s="361">
        <f t="shared" si="576"/>
        <v>1.398966040848072</v>
      </c>
      <c r="P571" s="361">
        <f t="shared" si="576"/>
        <v>1.5806217812521954</v>
      </c>
      <c r="Q571" s="361">
        <f t="shared" si="576"/>
        <v>1.7858655195477944</v>
      </c>
      <c r="R571" s="361">
        <f t="shared" si="576"/>
        <v>2.017760157261077</v>
      </c>
      <c r="S571" s="361">
        <f t="shared" si="576"/>
        <v>2.2797663136814297</v>
      </c>
      <c r="T571" s="361">
        <f t="shared" si="576"/>
        <v>2.5757939695129655</v>
      </c>
      <c r="U571" s="361">
        <f t="shared" si="576"/>
        <v>2.9102608164542265</v>
      </c>
      <c r="V571" s="362">
        <f t="shared" si="576"/>
        <v>3.2881581834708107</v>
      </c>
      <c r="X571" s="351"/>
    </row>
    <row r="572" spans="3:24" ht="24.75" customHeight="1" x14ac:dyDescent="0.3">
      <c r="C572" s="353">
        <f>ABS(E572-Dashboard!$F$14)</f>
        <v>130.3687060076403</v>
      </c>
      <c r="D572" s="350">
        <f t="shared" si="531"/>
        <v>0.12995000000000093</v>
      </c>
      <c r="E572" s="359" cm="1">
        <f t="array" ref="E572">1000*SUM('DRE + DCF'!$L$36/M572,'DRE + DCF'!$N$36:$V$36/N572:V572,F572/V572)/Dashboard!$F$11</f>
        <v>227.35870600764031</v>
      </c>
      <c r="F572" s="359">
        <f t="shared" si="529"/>
        <v>26691452.031567805</v>
      </c>
      <c r="G572" s="359">
        <f>'DRE + DCF'!$W$31</f>
        <v>2791623.3540418856</v>
      </c>
      <c r="H572" s="359">
        <f>'DRE + DCF'!$W$32</f>
        <v>81081.931703745853</v>
      </c>
      <c r="I572" s="359">
        <f>-H572*('DRE + DCF'!$V$33+K572)/'DRE + DCF'!$V$33</f>
        <v>-90858.801614444121</v>
      </c>
      <c r="J572" s="359">
        <f>-'DRE + DCF'!$V$56*L572</f>
        <v>-1188924.4255577971</v>
      </c>
      <c r="K572" s="360">
        <f>(1+L572)/(1+Ke!$O$12)-1</f>
        <v>2.0000000000000018E-2</v>
      </c>
      <c r="L572" s="360">
        <f>'DRE + DCF'!$Y$31</f>
        <v>7.3550000000000004E-2</v>
      </c>
      <c r="M572" s="361">
        <f>(1+D572)^((5-Dashboard!$F$9)*3/12)</f>
        <v>1.0959592837452281</v>
      </c>
      <c r="N572" s="361">
        <f t="shared" ref="N572:V572" si="577">M572*(1+$D572)</f>
        <v>1.2383791926679215</v>
      </c>
      <c r="O572" s="361">
        <f t="shared" si="577"/>
        <v>1.3993065687551189</v>
      </c>
      <c r="P572" s="361">
        <f t="shared" si="577"/>
        <v>1.5811464573648479</v>
      </c>
      <c r="Q572" s="361">
        <f t="shared" si="577"/>
        <v>1.7866164394994113</v>
      </c>
      <c r="R572" s="361">
        <f t="shared" si="577"/>
        <v>2.0187872458123612</v>
      </c>
      <c r="S572" s="361">
        <f t="shared" si="577"/>
        <v>2.2811286484056792</v>
      </c>
      <c r="T572" s="361">
        <f t="shared" si="577"/>
        <v>2.5775613162659994</v>
      </c>
      <c r="U572" s="361">
        <f t="shared" si="577"/>
        <v>2.9125154093147683</v>
      </c>
      <c r="V572" s="362">
        <f t="shared" si="577"/>
        <v>3.2909967867552252</v>
      </c>
      <c r="X572" s="351"/>
    </row>
    <row r="573" spans="3:24" ht="24.75" customHeight="1" x14ac:dyDescent="0.3">
      <c r="C573" s="353">
        <f>ABS(E573-Dashboard!$F$14)</f>
        <v>130.01089414373274</v>
      </c>
      <c r="D573" s="350">
        <f t="shared" si="531"/>
        <v>0.13005000000000091</v>
      </c>
      <c r="E573" s="359" cm="1">
        <f t="array" ref="E573">1000*SUM('DRE + DCF'!$L$36/M573,'DRE + DCF'!$N$36:$V$36/N573:V573,F573/V573)/Dashboard!$F$11</f>
        <v>227.00089414373272</v>
      </c>
      <c r="F573" s="359">
        <f t="shared" si="529"/>
        <v>26655752.938741982</v>
      </c>
      <c r="G573" s="359">
        <f>'DRE + DCF'!$W$31</f>
        <v>2791623.3540418856</v>
      </c>
      <c r="H573" s="359">
        <f>'DRE + DCF'!$W$32</f>
        <v>81081.931703745853</v>
      </c>
      <c r="I573" s="359">
        <f>-H573*('DRE + DCF'!$V$33+K573)/'DRE + DCF'!$V$33</f>
        <v>-90858.801614444121</v>
      </c>
      <c r="J573" s="359">
        <f>-'DRE + DCF'!$V$56*L573</f>
        <v>-1188924.4255577971</v>
      </c>
      <c r="K573" s="360">
        <f>(1+L573)/(1+Ke!$O$12)-1</f>
        <v>2.0000000000000018E-2</v>
      </c>
      <c r="L573" s="360">
        <f>'DRE + DCF'!$Y$31</f>
        <v>7.3550000000000004E-2</v>
      </c>
      <c r="M573" s="361">
        <f>(1+D573)^((5-Dashboard!$F$9)*3/12)</f>
        <v>1.0960320268197146</v>
      </c>
      <c r="N573" s="361">
        <f t="shared" ref="N573:V573" si="578">M573*(1+$D573)</f>
        <v>1.2385709919076193</v>
      </c>
      <c r="O573" s="361">
        <f t="shared" si="578"/>
        <v>1.3996471494052063</v>
      </c>
      <c r="P573" s="361">
        <f t="shared" si="578"/>
        <v>1.5816712611853545</v>
      </c>
      <c r="Q573" s="361">
        <f t="shared" si="578"/>
        <v>1.7873676087025112</v>
      </c>
      <c r="R573" s="361">
        <f t="shared" si="578"/>
        <v>2.0198147662142745</v>
      </c>
      <c r="S573" s="361">
        <f t="shared" si="578"/>
        <v>2.2824916765604426</v>
      </c>
      <c r="T573" s="361">
        <f t="shared" si="578"/>
        <v>2.5793297190971303</v>
      </c>
      <c r="U573" s="361">
        <f t="shared" si="578"/>
        <v>2.9147715490657142</v>
      </c>
      <c r="V573" s="362">
        <f t="shared" si="578"/>
        <v>3.2938375890217131</v>
      </c>
      <c r="X573" s="351"/>
    </row>
    <row r="574" spans="3:24" ht="24.75" customHeight="1" x14ac:dyDescent="0.3">
      <c r="C574" s="353">
        <f>ABS(E574-Dashboard!$F$14)</f>
        <v>129.6541485829589</v>
      </c>
      <c r="D574" s="350">
        <f t="shared" si="531"/>
        <v>0.1301500000000009</v>
      </c>
      <c r="E574" s="359" cm="1">
        <f t="array" ref="E574">1000*SUM('DRE + DCF'!$L$36/M574,'DRE + DCF'!$N$36:$V$36/N574:V574,F574/V574)/Dashboard!$F$11</f>
        <v>226.64414858295888</v>
      </c>
      <c r="F574" s="359">
        <f t="shared" si="529"/>
        <v>26620162.285362162</v>
      </c>
      <c r="G574" s="359">
        <f>'DRE + DCF'!$W$31</f>
        <v>2791623.3540418856</v>
      </c>
      <c r="H574" s="359">
        <f>'DRE + DCF'!$W$32</f>
        <v>81081.931703745853</v>
      </c>
      <c r="I574" s="359">
        <f>-H574*('DRE + DCF'!$V$33+K574)/'DRE + DCF'!$V$33</f>
        <v>-90858.801614444121</v>
      </c>
      <c r="J574" s="359">
        <f>-'DRE + DCF'!$V$56*L574</f>
        <v>-1188924.4255577971</v>
      </c>
      <c r="K574" s="360">
        <f>(1+L574)/(1+Ke!$O$12)-1</f>
        <v>2.0000000000000018E-2</v>
      </c>
      <c r="L574" s="360">
        <f>'DRE + DCF'!$Y$31</f>
        <v>7.3550000000000004E-2</v>
      </c>
      <c r="M574" s="361">
        <f>(1+D574)^((5-Dashboard!$F$9)*3/12)</f>
        <v>1.0961047682849301</v>
      </c>
      <c r="N574" s="361">
        <f t="shared" ref="N574:V574" si="579">M574*(1+$D574)</f>
        <v>1.2387628038772147</v>
      </c>
      <c r="O574" s="361">
        <f t="shared" si="579"/>
        <v>1.3999877828018352</v>
      </c>
      <c r="P574" s="361">
        <f t="shared" si="579"/>
        <v>1.5821961927334953</v>
      </c>
      <c r="Q574" s="361">
        <f t="shared" si="579"/>
        <v>1.7881190272177612</v>
      </c>
      <c r="R574" s="361">
        <f t="shared" si="579"/>
        <v>2.0208427186101545</v>
      </c>
      <c r="S574" s="361">
        <f t="shared" si="579"/>
        <v>2.283855398437268</v>
      </c>
      <c r="T574" s="361">
        <f t="shared" si="579"/>
        <v>2.5810991785438806</v>
      </c>
      <c r="U574" s="361">
        <f t="shared" si="579"/>
        <v>2.917029236631369</v>
      </c>
      <c r="V574" s="362">
        <f t="shared" si="579"/>
        <v>3.2966805917789443</v>
      </c>
      <c r="X574" s="351"/>
    </row>
    <row r="575" spans="3:24" ht="24.75" customHeight="1" x14ac:dyDescent="0.3">
      <c r="C575" s="353">
        <f>ABS(E575-Dashboard!$F$14)</f>
        <v>129.29846430363773</v>
      </c>
      <c r="D575" s="350">
        <f t="shared" si="531"/>
        <v>0.13025000000000089</v>
      </c>
      <c r="E575" s="359" cm="1">
        <f t="array" ref="E575">1000*SUM('DRE + DCF'!$L$36/M575,'DRE + DCF'!$N$36:$V$36/N575:V575,F575/V575)/Dashboard!$F$11</f>
        <v>226.28846430363774</v>
      </c>
      <c r="F575" s="359">
        <f t="shared" si="529"/>
        <v>26584679.538383745</v>
      </c>
      <c r="G575" s="359">
        <f>'DRE + DCF'!$W$31</f>
        <v>2791623.3540418856</v>
      </c>
      <c r="H575" s="359">
        <f>'DRE + DCF'!$W$32</f>
        <v>81081.931703745853</v>
      </c>
      <c r="I575" s="359">
        <f>-H575*('DRE + DCF'!$V$33+K575)/'DRE + DCF'!$V$33</f>
        <v>-90858.801614444121</v>
      </c>
      <c r="J575" s="359">
        <f>-'DRE + DCF'!$V$56*L575</f>
        <v>-1188924.4255577971</v>
      </c>
      <c r="K575" s="360">
        <f>(1+L575)/(1+Ke!$O$12)-1</f>
        <v>2.0000000000000018E-2</v>
      </c>
      <c r="L575" s="360">
        <f>'DRE + DCF'!$Y$31</f>
        <v>7.3550000000000004E-2</v>
      </c>
      <c r="M575" s="361">
        <f>(1+D575)^((5-Dashboard!$F$9)*3/12)</f>
        <v>1.0961775081410523</v>
      </c>
      <c r="N575" s="361">
        <f t="shared" ref="N575:V575" si="580">M575*(1+$D575)</f>
        <v>1.2389546285764252</v>
      </c>
      <c r="O575" s="361">
        <f t="shared" si="580"/>
        <v>1.4003284689485056</v>
      </c>
      <c r="P575" s="361">
        <f t="shared" si="580"/>
        <v>1.5827212520290497</v>
      </c>
      <c r="Q575" s="361">
        <f t="shared" si="580"/>
        <v>1.7888706951058349</v>
      </c>
      <c r="R575" s="361">
        <f t="shared" si="580"/>
        <v>2.0218711031433716</v>
      </c>
      <c r="S575" s="361">
        <f t="shared" si="580"/>
        <v>2.2852198143277973</v>
      </c>
      <c r="T575" s="361">
        <f t="shared" si="580"/>
        <v>2.5828696951439949</v>
      </c>
      <c r="U575" s="361">
        <f t="shared" si="580"/>
        <v>2.9192884729365023</v>
      </c>
      <c r="V575" s="362">
        <f t="shared" si="580"/>
        <v>3.2995257965364844</v>
      </c>
      <c r="X575" s="351"/>
    </row>
    <row r="576" spans="3:24" ht="24.75" customHeight="1" x14ac:dyDescent="0.3">
      <c r="C576" s="353">
        <f>ABS(E576-Dashboard!$F$14)</f>
        <v>128.94383631733683</v>
      </c>
      <c r="D576" s="350">
        <f t="shared" si="531"/>
        <v>0.13035000000000088</v>
      </c>
      <c r="E576" s="359" cm="1">
        <f t="array" ref="E576">1000*SUM('DRE + DCF'!$L$36/M576,'DRE + DCF'!$N$36:$V$36/N576:V576,F576/V576)/Dashboard!$F$11</f>
        <v>225.93383631733684</v>
      </c>
      <c r="F576" s="359">
        <f t="shared" si="529"/>
        <v>26549304.168391284</v>
      </c>
      <c r="G576" s="359">
        <f>'DRE + DCF'!$W$31</f>
        <v>2791623.3540418856</v>
      </c>
      <c r="H576" s="359">
        <f>'DRE + DCF'!$W$32</f>
        <v>81081.931703745853</v>
      </c>
      <c r="I576" s="359">
        <f>-H576*('DRE + DCF'!$V$33+K576)/'DRE + DCF'!$V$33</f>
        <v>-90858.801614444121</v>
      </c>
      <c r="J576" s="359">
        <f>-'DRE + DCF'!$V$56*L576</f>
        <v>-1188924.4255577971</v>
      </c>
      <c r="K576" s="360">
        <f>(1+L576)/(1+Ke!$O$12)-1</f>
        <v>2.0000000000000018E-2</v>
      </c>
      <c r="L576" s="360">
        <f>'DRE + DCF'!$Y$31</f>
        <v>7.3550000000000004E-2</v>
      </c>
      <c r="M576" s="361">
        <f>(1+D576)^((5-Dashboard!$F$9)*3/12)</f>
        <v>1.0962502463882595</v>
      </c>
      <c r="N576" s="361">
        <f t="shared" ref="N576:V576" si="581">M576*(1+$D576)</f>
        <v>1.23914646600497</v>
      </c>
      <c r="O576" s="361">
        <f t="shared" si="581"/>
        <v>1.4006692078487188</v>
      </c>
      <c r="P576" s="361">
        <f t="shared" si="581"/>
        <v>1.5832464390918006</v>
      </c>
      <c r="Q576" s="361">
        <f t="shared" si="581"/>
        <v>1.7896226124274182</v>
      </c>
      <c r="R576" s="361">
        <f t="shared" si="581"/>
        <v>2.0228999199573336</v>
      </c>
      <c r="S576" s="361">
        <f t="shared" si="581"/>
        <v>2.2865849245237739</v>
      </c>
      <c r="T576" s="361">
        <f t="shared" si="581"/>
        <v>2.5846412694354499</v>
      </c>
      <c r="U576" s="361">
        <f t="shared" si="581"/>
        <v>2.9215492589063632</v>
      </c>
      <c r="V576" s="362">
        <f t="shared" si="581"/>
        <v>3.3023732048048102</v>
      </c>
      <c r="X576" s="351"/>
    </row>
    <row r="577" spans="3:24" ht="24.75" customHeight="1" x14ac:dyDescent="0.3">
      <c r="C577" s="353">
        <f>ABS(E577-Dashboard!$F$14)</f>
        <v>128.59025966858957</v>
      </c>
      <c r="D577" s="350">
        <f t="shared" si="531"/>
        <v>0.13045000000000087</v>
      </c>
      <c r="E577" s="359" cm="1">
        <f t="array" ref="E577">1000*SUM('DRE + DCF'!$L$36/M577,'DRE + DCF'!$N$36:$V$36/N577:V577,F577/V577)/Dashboard!$F$11</f>
        <v>225.58025966858958</v>
      </c>
      <c r="F577" s="359">
        <f t="shared" si="529"/>
        <v>26514035.649567038</v>
      </c>
      <c r="G577" s="359">
        <f>'DRE + DCF'!$W$31</f>
        <v>2791623.3540418856</v>
      </c>
      <c r="H577" s="359">
        <f>'DRE + DCF'!$W$32</f>
        <v>81081.931703745853</v>
      </c>
      <c r="I577" s="359">
        <f>-H577*('DRE + DCF'!$V$33+K577)/'DRE + DCF'!$V$33</f>
        <v>-90858.801614444121</v>
      </c>
      <c r="J577" s="359">
        <f>-'DRE + DCF'!$V$56*L577</f>
        <v>-1188924.4255577971</v>
      </c>
      <c r="K577" s="360">
        <f>(1+L577)/(1+Ke!$O$12)-1</f>
        <v>2.0000000000000018E-2</v>
      </c>
      <c r="L577" s="360">
        <f>'DRE + DCF'!$Y$31</f>
        <v>7.3550000000000004E-2</v>
      </c>
      <c r="M577" s="361">
        <f>(1+D577)^((5-Dashboard!$F$9)*3/12)</f>
        <v>1.0963229830267296</v>
      </c>
      <c r="N577" s="361">
        <f t="shared" ref="N577:V577" si="582">M577*(1+$D577)</f>
        <v>1.2393383161625673</v>
      </c>
      <c r="O577" s="361">
        <f t="shared" si="582"/>
        <v>1.4010099995059753</v>
      </c>
      <c r="P577" s="361">
        <f t="shared" si="582"/>
        <v>1.583771753941531</v>
      </c>
      <c r="Q577" s="361">
        <f t="shared" si="582"/>
        <v>1.790374779243205</v>
      </c>
      <c r="R577" s="361">
        <f t="shared" si="582"/>
        <v>2.0239291691954824</v>
      </c>
      <c r="S577" s="361">
        <f t="shared" si="582"/>
        <v>2.2879507293170347</v>
      </c>
      <c r="T577" s="361">
        <f t="shared" si="582"/>
        <v>2.5864139019564436</v>
      </c>
      <c r="U577" s="361">
        <f t="shared" si="582"/>
        <v>2.9238115954666637</v>
      </c>
      <c r="V577" s="362">
        <f t="shared" si="582"/>
        <v>3.3052228180952925</v>
      </c>
      <c r="X577" s="351"/>
    </row>
    <row r="578" spans="3:24" ht="24.75" customHeight="1" x14ac:dyDescent="0.3">
      <c r="C578" s="353">
        <f>ABS(E578-Dashboard!$F$14)</f>
        <v>128.23772943461364</v>
      </c>
      <c r="D578" s="350">
        <f t="shared" si="531"/>
        <v>0.13055000000000086</v>
      </c>
      <c r="E578" s="359" cm="1">
        <f t="array" ref="E578">1000*SUM('DRE + DCF'!$L$36/M578,'DRE + DCF'!$N$36:$V$36/N578:V578,F578/V578)/Dashboard!$F$11</f>
        <v>225.22772943461362</v>
      </c>
      <c r="F578" s="359">
        <f t="shared" si="529"/>
        <v>26478873.459659908</v>
      </c>
      <c r="G578" s="359">
        <f>'DRE + DCF'!$W$31</f>
        <v>2791623.3540418856</v>
      </c>
      <c r="H578" s="359">
        <f>'DRE + DCF'!$W$32</f>
        <v>81081.931703745853</v>
      </c>
      <c r="I578" s="359">
        <f>-H578*('DRE + DCF'!$V$33+K578)/'DRE + DCF'!$V$33</f>
        <v>-90858.801614444121</v>
      </c>
      <c r="J578" s="359">
        <f>-'DRE + DCF'!$V$56*L578</f>
        <v>-1188924.4255577971</v>
      </c>
      <c r="K578" s="360">
        <f>(1+L578)/(1+Ke!$O$12)-1</f>
        <v>2.0000000000000018E-2</v>
      </c>
      <c r="L578" s="360">
        <f>'DRE + DCF'!$Y$31</f>
        <v>7.3550000000000004E-2</v>
      </c>
      <c r="M578" s="361">
        <f>(1+D578)^((5-Dashboard!$F$9)*3/12)</f>
        <v>1.0963957180566402</v>
      </c>
      <c r="N578" s="361">
        <f t="shared" ref="N578:V578" si="583">M578*(1+$D578)</f>
        <v>1.2395301790489355</v>
      </c>
      <c r="O578" s="361">
        <f t="shared" si="583"/>
        <v>1.401350843923775</v>
      </c>
      <c r="P578" s="361">
        <f t="shared" si="583"/>
        <v>1.584297196598025</v>
      </c>
      <c r="Q578" s="361">
        <f t="shared" si="583"/>
        <v>1.7911271956138985</v>
      </c>
      <c r="R578" s="361">
        <f t="shared" si="583"/>
        <v>2.0249588510012946</v>
      </c>
      <c r="S578" s="361">
        <f t="shared" si="583"/>
        <v>2.2893172289995154</v>
      </c>
      <c r="T578" s="361">
        <f t="shared" si="583"/>
        <v>2.5881875932454039</v>
      </c>
      <c r="U578" s="361">
        <f t="shared" si="583"/>
        <v>2.9260754835435936</v>
      </c>
      <c r="V578" s="362">
        <f t="shared" si="583"/>
        <v>3.3080746379202122</v>
      </c>
      <c r="X578" s="351"/>
    </row>
    <row r="579" spans="3:24" ht="24.75" customHeight="1" x14ac:dyDescent="0.3">
      <c r="C579" s="353">
        <f>ABS(E579-Dashboard!$F$14)</f>
        <v>127.88624072503346</v>
      </c>
      <c r="D579" s="350">
        <f t="shared" si="531"/>
        <v>0.13065000000000085</v>
      </c>
      <c r="E579" s="359" cm="1">
        <f t="array" ref="E579">1000*SUM('DRE + DCF'!$L$36/M579,'DRE + DCF'!$N$36:$V$36/N579:V579,F579/V579)/Dashboard!$F$11</f>
        <v>224.87624072503345</v>
      </c>
      <c r="F579" s="359">
        <f t="shared" si="529"/>
        <v>26443817.079954658</v>
      </c>
      <c r="G579" s="359">
        <f>'DRE + DCF'!$W$31</f>
        <v>2791623.3540418856</v>
      </c>
      <c r="H579" s="359">
        <f>'DRE + DCF'!$W$32</f>
        <v>81081.931703745853</v>
      </c>
      <c r="I579" s="359">
        <f>-H579*('DRE + DCF'!$V$33+K579)/'DRE + DCF'!$V$33</f>
        <v>-90858.801614444121</v>
      </c>
      <c r="J579" s="359">
        <f>-'DRE + DCF'!$V$56*L579</f>
        <v>-1188924.4255577971</v>
      </c>
      <c r="K579" s="360">
        <f>(1+L579)/(1+Ke!$O$12)-1</f>
        <v>2.0000000000000018E-2</v>
      </c>
      <c r="L579" s="360">
        <f>'DRE + DCF'!$Y$31</f>
        <v>7.3550000000000004E-2</v>
      </c>
      <c r="M579" s="361">
        <f>(1+D579)^((5-Dashboard!$F$9)*3/12)</f>
        <v>1.0964684514781695</v>
      </c>
      <c r="N579" s="361">
        <f t="shared" ref="N579:V579" si="584">M579*(1+$D579)</f>
        <v>1.2397220546637933</v>
      </c>
      <c r="O579" s="361">
        <f t="shared" si="584"/>
        <v>1.4016917411056189</v>
      </c>
      <c r="P579" s="361">
        <f t="shared" si="584"/>
        <v>1.5848227670810691</v>
      </c>
      <c r="Q579" s="361">
        <f t="shared" si="584"/>
        <v>1.7918798616002121</v>
      </c>
      <c r="R579" s="361">
        <f t="shared" si="584"/>
        <v>2.0259889655182812</v>
      </c>
      <c r="S579" s="361">
        <f t="shared" si="584"/>
        <v>2.2906844238632464</v>
      </c>
      <c r="T579" s="361">
        <f t="shared" si="584"/>
        <v>2.5899623438409813</v>
      </c>
      <c r="U579" s="361">
        <f t="shared" si="584"/>
        <v>2.9283409240638076</v>
      </c>
      <c r="V579" s="362">
        <f t="shared" si="584"/>
        <v>3.3109286657927464</v>
      </c>
      <c r="X579" s="351"/>
    </row>
    <row r="580" spans="3:24" ht="24.75" customHeight="1" x14ac:dyDescent="0.3">
      <c r="C580" s="353">
        <f>ABS(E580-Dashboard!$F$14)</f>
        <v>127.53578868160504</v>
      </c>
      <c r="D580" s="350">
        <f t="shared" si="531"/>
        <v>0.13075000000000084</v>
      </c>
      <c r="E580" s="359" cm="1">
        <f t="array" ref="E580">1000*SUM('DRE + DCF'!$L$36/M580,'DRE + DCF'!$N$36:$V$36/N580:V580,F580/V580)/Dashboard!$F$11</f>
        <v>224.52578868160504</v>
      </c>
      <c r="F580" s="359">
        <f t="shared" si="529"/>
        <v>26408865.995241493</v>
      </c>
      <c r="G580" s="359">
        <f>'DRE + DCF'!$W$31</f>
        <v>2791623.3540418856</v>
      </c>
      <c r="H580" s="359">
        <f>'DRE + DCF'!$W$32</f>
        <v>81081.931703745853</v>
      </c>
      <c r="I580" s="359">
        <f>-H580*('DRE + DCF'!$V$33+K580)/'DRE + DCF'!$V$33</f>
        <v>-90858.801614444121</v>
      </c>
      <c r="J580" s="359">
        <f>-'DRE + DCF'!$V$56*L580</f>
        <v>-1188924.4255577971</v>
      </c>
      <c r="K580" s="360">
        <f>(1+L580)/(1+Ke!$O$12)-1</f>
        <v>2.0000000000000018E-2</v>
      </c>
      <c r="L580" s="360">
        <f>'DRE + DCF'!$Y$31</f>
        <v>7.3550000000000004E-2</v>
      </c>
      <c r="M580" s="361">
        <f>(1+D580)^((5-Dashboard!$F$9)*3/12)</f>
        <v>1.0965411832914951</v>
      </c>
      <c r="N580" s="361">
        <f t="shared" ref="N580:V580" si="585">M580*(1+$D580)</f>
        <v>1.2399139430068589</v>
      </c>
      <c r="O580" s="361">
        <f t="shared" si="585"/>
        <v>1.4020326910550067</v>
      </c>
      <c r="P580" s="361">
        <f t="shared" si="585"/>
        <v>1.5853484654104499</v>
      </c>
      <c r="Q580" s="361">
        <f t="shared" si="585"/>
        <v>1.7926327772628676</v>
      </c>
      <c r="R580" s="361">
        <f t="shared" si="585"/>
        <v>2.0270195128899888</v>
      </c>
      <c r="S580" s="361">
        <f t="shared" si="585"/>
        <v>2.2920523142003564</v>
      </c>
      <c r="T580" s="361">
        <f t="shared" si="585"/>
        <v>2.591738154282055</v>
      </c>
      <c r="U580" s="361">
        <f t="shared" si="585"/>
        <v>2.9306079179544358</v>
      </c>
      <c r="V580" s="362">
        <f t="shared" si="585"/>
        <v>3.3137849032269808</v>
      </c>
      <c r="X580" s="351"/>
    </row>
    <row r="581" spans="3:24" ht="24.75" customHeight="1" x14ac:dyDescent="0.3">
      <c r="C581" s="353">
        <f>ABS(E581-Dashboard!$F$14)</f>
        <v>127.18636847794384</v>
      </c>
      <c r="D581" s="350">
        <f t="shared" si="531"/>
        <v>0.13085000000000083</v>
      </c>
      <c r="E581" s="359" cm="1">
        <f t="array" ref="E581">1000*SUM('DRE + DCF'!$L$36/M581,'DRE + DCF'!$N$36:$V$36/N581:V581,F581/V581)/Dashboard!$F$11</f>
        <v>224.17636847794384</v>
      </c>
      <c r="F581" s="359">
        <f t="shared" si="529"/>
        <v>26374019.693785943</v>
      </c>
      <c r="G581" s="359">
        <f>'DRE + DCF'!$W$31</f>
        <v>2791623.3540418856</v>
      </c>
      <c r="H581" s="359">
        <f>'DRE + DCF'!$W$32</f>
        <v>81081.931703745853</v>
      </c>
      <c r="I581" s="359">
        <f>-H581*('DRE + DCF'!$V$33+K581)/'DRE + DCF'!$V$33</f>
        <v>-90858.801614444121</v>
      </c>
      <c r="J581" s="359">
        <f>-'DRE + DCF'!$V$56*L581</f>
        <v>-1188924.4255577971</v>
      </c>
      <c r="K581" s="360">
        <f>(1+L581)/(1+Ke!$O$12)-1</f>
        <v>2.0000000000000018E-2</v>
      </c>
      <c r="L581" s="360">
        <f>'DRE + DCF'!$Y$31</f>
        <v>7.3550000000000004E-2</v>
      </c>
      <c r="M581" s="361">
        <f>(1+D581)^((5-Dashboard!$F$9)*3/12)</f>
        <v>1.0966139134967949</v>
      </c>
      <c r="N581" s="361">
        <f t="shared" ref="N581:V581" si="586">M581*(1+$D581)</f>
        <v>1.2401058440778514</v>
      </c>
      <c r="O581" s="361">
        <f t="shared" si="586"/>
        <v>1.4023736937754392</v>
      </c>
      <c r="P581" s="361">
        <f t="shared" si="586"/>
        <v>1.5858742916059565</v>
      </c>
      <c r="Q581" s="361">
        <f t="shared" si="586"/>
        <v>1.7933859426625971</v>
      </c>
      <c r="R581" s="361">
        <f t="shared" si="586"/>
        <v>2.0280504932599994</v>
      </c>
      <c r="S581" s="361">
        <f t="shared" si="586"/>
        <v>2.2934209003030719</v>
      </c>
      <c r="T581" s="361">
        <f t="shared" si="586"/>
        <v>2.5935150251077306</v>
      </c>
      <c r="U581" s="361">
        <f t="shared" si="586"/>
        <v>2.9328764661430791</v>
      </c>
      <c r="V581" s="362">
        <f t="shared" si="586"/>
        <v>3.3166433517379033</v>
      </c>
      <c r="X581" s="351"/>
    </row>
    <row r="582" spans="3:24" ht="24.75" customHeight="1" x14ac:dyDescent="0.3">
      <c r="C582" s="353">
        <f>ABS(E582-Dashboard!$F$14)</f>
        <v>126.83797531925505</v>
      </c>
      <c r="D582" s="350">
        <f t="shared" si="531"/>
        <v>0.13095000000000082</v>
      </c>
      <c r="E582" s="359" cm="1">
        <f t="array" ref="E582">1000*SUM('DRE + DCF'!$L$36/M582,'DRE + DCF'!$N$36:$V$36/N582:V582,F582/V582)/Dashboard!$F$11</f>
        <v>223.82797531925505</v>
      </c>
      <c r="F582" s="359">
        <f t="shared" si="529"/>
        <v>26339277.667299006</v>
      </c>
      <c r="G582" s="359">
        <f>'DRE + DCF'!$W$31</f>
        <v>2791623.3540418856</v>
      </c>
      <c r="H582" s="359">
        <f>'DRE + DCF'!$W$32</f>
        <v>81081.931703745853</v>
      </c>
      <c r="I582" s="359">
        <f>-H582*('DRE + DCF'!$V$33+K582)/'DRE + DCF'!$V$33</f>
        <v>-90858.801614444121</v>
      </c>
      <c r="J582" s="359">
        <f>-'DRE + DCF'!$V$56*L582</f>
        <v>-1188924.4255577971</v>
      </c>
      <c r="K582" s="360">
        <f>(1+L582)/(1+Ke!$O$12)-1</f>
        <v>2.0000000000000018E-2</v>
      </c>
      <c r="L582" s="360">
        <f>'DRE + DCF'!$Y$31</f>
        <v>7.3550000000000004E-2</v>
      </c>
      <c r="M582" s="361">
        <f>(1+D582)^((5-Dashboard!$F$9)*3/12)</f>
        <v>1.0966866420942467</v>
      </c>
      <c r="N582" s="361">
        <f t="shared" ref="N582:V582" si="587">M582*(1+$D582)</f>
        <v>1.2402977578764891</v>
      </c>
      <c r="O582" s="361">
        <f t="shared" si="587"/>
        <v>1.4027147492704164</v>
      </c>
      <c r="P582" s="361">
        <f t="shared" si="587"/>
        <v>1.5864002456873785</v>
      </c>
      <c r="Q582" s="361">
        <f t="shared" si="587"/>
        <v>1.7941393578601419</v>
      </c>
      <c r="R582" s="361">
        <f t="shared" si="587"/>
        <v>2.0290819067719288</v>
      </c>
      <c r="S582" s="361">
        <f t="shared" si="587"/>
        <v>2.2947901824637142</v>
      </c>
      <c r="T582" s="361">
        <f t="shared" si="587"/>
        <v>2.5952929568573393</v>
      </c>
      <c r="U582" s="361">
        <f t="shared" si="587"/>
        <v>2.9351465695578098</v>
      </c>
      <c r="V582" s="362">
        <f t="shared" si="587"/>
        <v>3.3195040128414073</v>
      </c>
      <c r="X582" s="351"/>
    </row>
    <row r="583" spans="3:24" ht="24.75" customHeight="1" x14ac:dyDescent="0.3">
      <c r="C583" s="353">
        <f>ABS(E583-Dashboard!$F$14)</f>
        <v>126.49060444206738</v>
      </c>
      <c r="D583" s="350">
        <f t="shared" si="531"/>
        <v>0.1310500000000008</v>
      </c>
      <c r="E583" s="359" cm="1">
        <f t="array" ref="E583">1000*SUM('DRE + DCF'!$L$36/M583,'DRE + DCF'!$N$36:$V$36/N583:V583,F583/V583)/Dashboard!$F$11</f>
        <v>223.48060444206737</v>
      </c>
      <c r="F583" s="359">
        <f t="shared" si="529"/>
        <v>26304639.410907712</v>
      </c>
      <c r="G583" s="359">
        <f>'DRE + DCF'!$W$31</f>
        <v>2791623.3540418856</v>
      </c>
      <c r="H583" s="359">
        <f>'DRE + DCF'!$W$32</f>
        <v>81081.931703745853</v>
      </c>
      <c r="I583" s="359">
        <f>-H583*('DRE + DCF'!$V$33+K583)/'DRE + DCF'!$V$33</f>
        <v>-90858.801614444121</v>
      </c>
      <c r="J583" s="359">
        <f>-'DRE + DCF'!$V$56*L583</f>
        <v>-1188924.4255577971</v>
      </c>
      <c r="K583" s="360">
        <f>(1+L583)/(1+Ke!$O$12)-1</f>
        <v>2.0000000000000018E-2</v>
      </c>
      <c r="L583" s="360">
        <f>'DRE + DCF'!$Y$31</f>
        <v>7.3550000000000004E-2</v>
      </c>
      <c r="M583" s="361">
        <f>(1+D583)^((5-Dashboard!$F$9)*3/12)</f>
        <v>1.0967593690840278</v>
      </c>
      <c r="N583" s="361">
        <f t="shared" ref="N583:V583" si="588">M583*(1+$D583)</f>
        <v>1.2404896844024906</v>
      </c>
      <c r="O583" s="361">
        <f t="shared" si="588"/>
        <v>1.403055857543438</v>
      </c>
      <c r="P583" s="361">
        <f t="shared" si="588"/>
        <v>1.5869263276745067</v>
      </c>
      <c r="Q583" s="361">
        <f t="shared" si="588"/>
        <v>1.7948930229162521</v>
      </c>
      <c r="R583" s="361">
        <f t="shared" si="588"/>
        <v>2.0301137535694282</v>
      </c>
      <c r="S583" s="361">
        <f t="shared" si="588"/>
        <v>2.2961601609747033</v>
      </c>
      <c r="T583" s="361">
        <f t="shared" si="588"/>
        <v>2.5970719500704398</v>
      </c>
      <c r="U583" s="361">
        <f t="shared" si="588"/>
        <v>2.9374182291271729</v>
      </c>
      <c r="V583" s="362">
        <f t="shared" si="588"/>
        <v>3.3223668880542911</v>
      </c>
      <c r="X583" s="351"/>
    </row>
    <row r="584" spans="3:24" ht="24.75" customHeight="1" x14ac:dyDescent="0.3">
      <c r="C584" s="353">
        <f>ABS(E584-Dashboard!$F$14)</f>
        <v>126.14425111396902</v>
      </c>
      <c r="D584" s="350">
        <f t="shared" si="531"/>
        <v>0.13115000000000079</v>
      </c>
      <c r="E584" s="359" cm="1">
        <f t="array" ref="E584">1000*SUM('DRE + DCF'!$L$36/M584,'DRE + DCF'!$N$36:$V$36/N584:V584,F584/V584)/Dashboard!$F$11</f>
        <v>223.13425111396901</v>
      </c>
      <c r="F584" s="359">
        <f t="shared" si="529"/>
        <v>26270104.423125871</v>
      </c>
      <c r="G584" s="359">
        <f>'DRE + DCF'!$W$31</f>
        <v>2791623.3540418856</v>
      </c>
      <c r="H584" s="359">
        <f>'DRE + DCF'!$W$32</f>
        <v>81081.931703745853</v>
      </c>
      <c r="I584" s="359">
        <f>-H584*('DRE + DCF'!$V$33+K584)/'DRE + DCF'!$V$33</f>
        <v>-90858.801614444121</v>
      </c>
      <c r="J584" s="359">
        <f>-'DRE + DCF'!$V$56*L584</f>
        <v>-1188924.4255577971</v>
      </c>
      <c r="K584" s="360">
        <f>(1+L584)/(1+Ke!$O$12)-1</f>
        <v>2.0000000000000018E-2</v>
      </c>
      <c r="L584" s="360">
        <f>'DRE + DCF'!$Y$31</f>
        <v>7.3550000000000004E-2</v>
      </c>
      <c r="M584" s="361">
        <f>(1+D584)^((5-Dashboard!$F$9)*3/12)</f>
        <v>1.0968320944663164</v>
      </c>
      <c r="N584" s="361">
        <f t="shared" ref="N584:V584" si="589">M584*(1+$D584)</f>
        <v>1.2406816236555747</v>
      </c>
      <c r="O584" s="361">
        <f t="shared" si="589"/>
        <v>1.4033970185980043</v>
      </c>
      <c r="P584" s="361">
        <f t="shared" si="589"/>
        <v>1.5874525375871336</v>
      </c>
      <c r="Q584" s="361">
        <f t="shared" si="589"/>
        <v>1.7956469378916873</v>
      </c>
      <c r="R584" s="361">
        <f t="shared" si="589"/>
        <v>2.0311460337961833</v>
      </c>
      <c r="S584" s="361">
        <f t="shared" si="589"/>
        <v>2.2975308361285545</v>
      </c>
      <c r="T584" s="361">
        <f t="shared" si="589"/>
        <v>2.5988520052868163</v>
      </c>
      <c r="U584" s="361">
        <f t="shared" si="589"/>
        <v>2.9396914457801842</v>
      </c>
      <c r="V584" s="362">
        <f t="shared" si="589"/>
        <v>3.3252319788942577</v>
      </c>
      <c r="X584" s="351"/>
    </row>
    <row r="585" spans="3:24" ht="24.75" customHeight="1" x14ac:dyDescent="0.3">
      <c r="C585" s="353">
        <f>ABS(E585-Dashboard!$F$14)</f>
        <v>125.7989106333463</v>
      </c>
      <c r="D585" s="350">
        <f t="shared" si="531"/>
        <v>0.13125000000000078</v>
      </c>
      <c r="E585" s="359" cm="1">
        <f t="array" ref="E585">1000*SUM('DRE + DCF'!$L$36/M585,'DRE + DCF'!$N$36:$V$36/N585:V585,F585/V585)/Dashboard!$F$11</f>
        <v>222.78891063334629</v>
      </c>
      <c r="F585" s="359">
        <f t="shared" si="529"/>
        <v>26235672.20582521</v>
      </c>
      <c r="G585" s="359">
        <f>'DRE + DCF'!$W$31</f>
        <v>2791623.3540418856</v>
      </c>
      <c r="H585" s="359">
        <f>'DRE + DCF'!$W$32</f>
        <v>81081.931703745853</v>
      </c>
      <c r="I585" s="359">
        <f>-H585*('DRE + DCF'!$V$33+K585)/'DRE + DCF'!$V$33</f>
        <v>-90858.801614444121</v>
      </c>
      <c r="J585" s="359">
        <f>-'DRE + DCF'!$V$56*L585</f>
        <v>-1188924.4255577971</v>
      </c>
      <c r="K585" s="360">
        <f>(1+L585)/(1+Ke!$O$12)-1</f>
        <v>2.0000000000000018E-2</v>
      </c>
      <c r="L585" s="360">
        <f>'DRE + DCF'!$Y$31</f>
        <v>7.3550000000000004E-2</v>
      </c>
      <c r="M585" s="361">
        <f>(1+D585)^((5-Dashboard!$F$9)*3/12)</f>
        <v>1.0969048182412899</v>
      </c>
      <c r="N585" s="361">
        <f t="shared" ref="N585:V585" si="590">M585*(1+$D585)</f>
        <v>1.2408735756354601</v>
      </c>
      <c r="O585" s="361">
        <f t="shared" si="590"/>
        <v>1.4037382324376151</v>
      </c>
      <c r="P585" s="361">
        <f t="shared" si="590"/>
        <v>1.5879788754450532</v>
      </c>
      <c r="Q585" s="361">
        <f t="shared" si="590"/>
        <v>1.7964011028472178</v>
      </c>
      <c r="R585" s="361">
        <f t="shared" si="590"/>
        <v>2.0321787475959163</v>
      </c>
      <c r="S585" s="361">
        <f t="shared" si="590"/>
        <v>2.298902208217882</v>
      </c>
      <c r="T585" s="361">
        <f t="shared" si="590"/>
        <v>2.6006331230464808</v>
      </c>
      <c r="U585" s="361">
        <f t="shared" si="590"/>
        <v>2.9419662204463335</v>
      </c>
      <c r="V585" s="362">
        <f t="shared" si="590"/>
        <v>3.3280992868799171</v>
      </c>
      <c r="X585" s="351"/>
    </row>
    <row r="586" spans="3:24" ht="24.75" customHeight="1" x14ac:dyDescent="0.3">
      <c r="C586" s="353">
        <f>ABS(E586-Dashboard!$F$14)</f>
        <v>125.45457832912568</v>
      </c>
      <c r="D586" s="350">
        <f t="shared" si="531"/>
        <v>0.13135000000000077</v>
      </c>
      <c r="E586" s="359" cm="1">
        <f t="array" ref="E586">1000*SUM('DRE + DCF'!$L$36/M586,'DRE + DCF'!$N$36:$V$36/N586:V586,F586/V586)/Dashboard!$F$11</f>
        <v>222.44457832912568</v>
      </c>
      <c r="F586" s="359">
        <f t="shared" si="529"/>
        <v>26201342.264206775</v>
      </c>
      <c r="G586" s="359">
        <f>'DRE + DCF'!$W$31</f>
        <v>2791623.3540418856</v>
      </c>
      <c r="H586" s="359">
        <f>'DRE + DCF'!$W$32</f>
        <v>81081.931703745853</v>
      </c>
      <c r="I586" s="359">
        <f>-H586*('DRE + DCF'!$V$33+K586)/'DRE + DCF'!$V$33</f>
        <v>-90858.801614444121</v>
      </c>
      <c r="J586" s="359">
        <f>-'DRE + DCF'!$V$56*L586</f>
        <v>-1188924.4255577971</v>
      </c>
      <c r="K586" s="360">
        <f>(1+L586)/(1+Ke!$O$12)-1</f>
        <v>2.0000000000000018E-2</v>
      </c>
      <c r="L586" s="360">
        <f>'DRE + DCF'!$Y$31</f>
        <v>7.3550000000000004E-2</v>
      </c>
      <c r="M586" s="361">
        <f>(1+D586)^((5-Dashboard!$F$9)*3/12)</f>
        <v>1.0969775404091258</v>
      </c>
      <c r="N586" s="361">
        <f t="shared" ref="N586:V586" si="591">M586*(1+$D586)</f>
        <v>1.2410655403418653</v>
      </c>
      <c r="O586" s="361">
        <f t="shared" si="591"/>
        <v>1.4040794990657703</v>
      </c>
      <c r="P586" s="361">
        <f t="shared" si="591"/>
        <v>1.5885053412680603</v>
      </c>
      <c r="Q586" s="361">
        <f t="shared" si="591"/>
        <v>1.7971555178436212</v>
      </c>
      <c r="R586" s="361">
        <f t="shared" si="591"/>
        <v>2.0332118951123821</v>
      </c>
      <c r="S586" s="361">
        <f t="shared" si="591"/>
        <v>2.300274277535395</v>
      </c>
      <c r="T586" s="361">
        <f t="shared" si="591"/>
        <v>2.6024153038896709</v>
      </c>
      <c r="U586" s="361">
        <f t="shared" si="591"/>
        <v>2.944242554055581</v>
      </c>
      <c r="V586" s="362">
        <f t="shared" si="591"/>
        <v>3.3309688135307836</v>
      </c>
      <c r="X586" s="351"/>
    </row>
    <row r="587" spans="3:24" ht="24.75" customHeight="1" x14ac:dyDescent="0.3">
      <c r="C587" s="353">
        <f>ABS(E587-Dashboard!$F$14)</f>
        <v>125.11124956051695</v>
      </c>
      <c r="D587" s="350">
        <f t="shared" si="531"/>
        <v>0.13145000000000076</v>
      </c>
      <c r="E587" s="359" cm="1">
        <f t="array" ref="E587">1000*SUM('DRE + DCF'!$L$36/M587,'DRE + DCF'!$N$36:$V$36/N587:V587,F587/V587)/Dashboard!$F$11</f>
        <v>222.10124956051695</v>
      </c>
      <c r="F587" s="359">
        <f t="shared" si="529"/>
        <v>26167114.106772594</v>
      </c>
      <c r="G587" s="359">
        <f>'DRE + DCF'!$W$31</f>
        <v>2791623.3540418856</v>
      </c>
      <c r="H587" s="359">
        <f>'DRE + DCF'!$W$32</f>
        <v>81081.931703745853</v>
      </c>
      <c r="I587" s="359">
        <f>-H587*('DRE + DCF'!$V$33+K587)/'DRE + DCF'!$V$33</f>
        <v>-90858.801614444121</v>
      </c>
      <c r="J587" s="359">
        <f>-'DRE + DCF'!$V$56*L587</f>
        <v>-1188924.4255577971</v>
      </c>
      <c r="K587" s="360">
        <f>(1+L587)/(1+Ke!$O$12)-1</f>
        <v>2.0000000000000018E-2</v>
      </c>
      <c r="L587" s="360">
        <f>'DRE + DCF'!$Y$31</f>
        <v>7.3550000000000004E-2</v>
      </c>
      <c r="M587" s="361">
        <f>(1+D587)^((5-Dashboard!$F$9)*3/12)</f>
        <v>1.0970502609700019</v>
      </c>
      <c r="N587" s="361">
        <f t="shared" ref="N587:V587" si="592">M587*(1+$D587)</f>
        <v>1.2412575177745095</v>
      </c>
      <c r="O587" s="361">
        <f t="shared" si="592"/>
        <v>1.4044208184859697</v>
      </c>
      <c r="P587" s="361">
        <f t="shared" si="592"/>
        <v>1.5890319350759514</v>
      </c>
      <c r="Q587" s="361">
        <f t="shared" si="592"/>
        <v>1.7979101829416864</v>
      </c>
      <c r="R587" s="361">
        <f t="shared" si="592"/>
        <v>2.0342454764893723</v>
      </c>
      <c r="S587" s="361">
        <f t="shared" si="592"/>
        <v>2.3016470443739019</v>
      </c>
      <c r="T587" s="361">
        <f t="shared" si="592"/>
        <v>2.604198548356853</v>
      </c>
      <c r="U587" s="361">
        <f t="shared" si="592"/>
        <v>2.9465204475383633</v>
      </c>
      <c r="V587" s="362">
        <f t="shared" si="592"/>
        <v>3.3338405603672832</v>
      </c>
      <c r="X587" s="351"/>
    </row>
    <row r="588" spans="3:24" ht="24.75" customHeight="1" x14ac:dyDescent="0.3">
      <c r="C588" s="353">
        <f>ABS(E588-Dashboard!$F$14)</f>
        <v>124.76891971676115</v>
      </c>
      <c r="D588" s="350">
        <f t="shared" si="531"/>
        <v>0.13155000000000075</v>
      </c>
      <c r="E588" s="359" cm="1">
        <f t="array" ref="E588">1000*SUM('DRE + DCF'!$L$36/M588,'DRE + DCF'!$N$36:$V$36/N588:V588,F588/V588)/Dashboard!$F$11</f>
        <v>221.75891971676114</v>
      </c>
      <c r="F588" s="359">
        <f t="shared" si="529"/>
        <v>26132987.245297723</v>
      </c>
      <c r="G588" s="359">
        <f>'DRE + DCF'!$W$31</f>
        <v>2791623.3540418856</v>
      </c>
      <c r="H588" s="359">
        <f>'DRE + DCF'!$W$32</f>
        <v>81081.931703745853</v>
      </c>
      <c r="I588" s="359">
        <f>-H588*('DRE + DCF'!$V$33+K588)/'DRE + DCF'!$V$33</f>
        <v>-90858.801614444121</v>
      </c>
      <c r="J588" s="359">
        <f>-'DRE + DCF'!$V$56*L588</f>
        <v>-1188924.4255577971</v>
      </c>
      <c r="K588" s="360">
        <f>(1+L588)/(1+Ke!$O$12)-1</f>
        <v>2.0000000000000018E-2</v>
      </c>
      <c r="L588" s="360">
        <f>'DRE + DCF'!$Y$31</f>
        <v>7.3550000000000004E-2</v>
      </c>
      <c r="M588" s="361">
        <f>(1+D588)^((5-Dashboard!$F$9)*3/12)</f>
        <v>1.0971229799240956</v>
      </c>
      <c r="N588" s="361">
        <f t="shared" ref="N588:V588" si="593">M588*(1+$D588)</f>
        <v>1.2414495079331112</v>
      </c>
      <c r="O588" s="361">
        <f t="shared" si="593"/>
        <v>1.4047621907017127</v>
      </c>
      <c r="P588" s="361">
        <f t="shared" si="593"/>
        <v>1.589558656888524</v>
      </c>
      <c r="Q588" s="361">
        <f t="shared" si="593"/>
        <v>1.7986650982022105</v>
      </c>
      <c r="R588" s="361">
        <f t="shared" si="593"/>
        <v>2.0352794918707127</v>
      </c>
      <c r="S588" s="361">
        <f t="shared" si="593"/>
        <v>2.3030205090263065</v>
      </c>
      <c r="T588" s="361">
        <f t="shared" si="593"/>
        <v>2.6059828569887187</v>
      </c>
      <c r="U588" s="361">
        <f t="shared" si="593"/>
        <v>2.9487999018255864</v>
      </c>
      <c r="V588" s="362">
        <f t="shared" si="593"/>
        <v>3.3367145289107443</v>
      </c>
      <c r="X588" s="351"/>
    </row>
    <row r="589" spans="3:24" ht="24.75" customHeight="1" x14ac:dyDescent="0.3">
      <c r="C589" s="353">
        <f>ABS(E589-Dashboard!$F$14)</f>
        <v>124.42758421687891</v>
      </c>
      <c r="D589" s="350">
        <f t="shared" si="531"/>
        <v>0.13165000000000074</v>
      </c>
      <c r="E589" s="359" cm="1">
        <f t="array" ref="E589">1000*SUM('DRE + DCF'!$L$36/M589,'DRE + DCF'!$N$36:$V$36/N589:V589,F589/V589)/Dashboard!$F$11</f>
        <v>221.41758421687891</v>
      </c>
      <c r="F589" s="359">
        <f t="shared" si="529"/>
        <v>26098961.194802471</v>
      </c>
      <c r="G589" s="359">
        <f>'DRE + DCF'!$W$31</f>
        <v>2791623.3540418856</v>
      </c>
      <c r="H589" s="359">
        <f>'DRE + DCF'!$W$32</f>
        <v>81081.931703745853</v>
      </c>
      <c r="I589" s="359">
        <f>-H589*('DRE + DCF'!$V$33+K589)/'DRE + DCF'!$V$33</f>
        <v>-90858.801614444121</v>
      </c>
      <c r="J589" s="359">
        <f>-'DRE + DCF'!$V$56*L589</f>
        <v>-1188924.4255577971</v>
      </c>
      <c r="K589" s="360">
        <f>(1+L589)/(1+Ke!$O$12)-1</f>
        <v>2.0000000000000018E-2</v>
      </c>
      <c r="L589" s="360">
        <f>'DRE + DCF'!$Y$31</f>
        <v>7.3550000000000004E-2</v>
      </c>
      <c r="M589" s="361">
        <f>(1+D589)^((5-Dashboard!$F$9)*3/12)</f>
        <v>1.0971956972715842</v>
      </c>
      <c r="N589" s="361">
        <f t="shared" ref="N589:V589" si="594">M589*(1+$D589)</f>
        <v>1.241641510817389</v>
      </c>
      <c r="O589" s="361">
        <f t="shared" si="594"/>
        <v>1.4051036157164991</v>
      </c>
      <c r="P589" s="361">
        <f t="shared" si="594"/>
        <v>1.5900855067255772</v>
      </c>
      <c r="Q589" s="361">
        <f t="shared" si="594"/>
        <v>1.7994202636860006</v>
      </c>
      <c r="R589" s="361">
        <f t="shared" si="594"/>
        <v>2.0363139414002638</v>
      </c>
      <c r="S589" s="361">
        <f t="shared" si="594"/>
        <v>2.3043946717856101</v>
      </c>
      <c r="T589" s="361">
        <f t="shared" si="594"/>
        <v>2.6077682303261871</v>
      </c>
      <c r="U589" s="361">
        <f t="shared" si="594"/>
        <v>2.9510809178486315</v>
      </c>
      <c r="V589" s="362">
        <f t="shared" si="594"/>
        <v>3.3395907206834057</v>
      </c>
      <c r="X589" s="351"/>
    </row>
    <row r="590" spans="3:24" ht="24.75" customHeight="1" x14ac:dyDescent="0.3">
      <c r="C590" s="353">
        <f>ABS(E590-Dashboard!$F$14)</f>
        <v>124.08723850942285</v>
      </c>
      <c r="D590" s="350">
        <f t="shared" si="531"/>
        <v>0.13175000000000073</v>
      </c>
      <c r="E590" s="359" cm="1">
        <f t="array" ref="E590">1000*SUM('DRE + DCF'!$L$36/M590,'DRE + DCF'!$N$36:$V$36/N590:V590,F590/V590)/Dashboard!$F$11</f>
        <v>221.07723850942284</v>
      </c>
      <c r="F590" s="359">
        <f t="shared" ref="F590:F653" si="595">AVERAGE(SUM(G590:J590)*(1+L590)/(D590-L590),G590*(1+L590)*(1-L590/D590)/(D590-L590))</f>
        <v>26065035.473524973</v>
      </c>
      <c r="G590" s="359">
        <f>'DRE + DCF'!$W$31</f>
        <v>2791623.3540418856</v>
      </c>
      <c r="H590" s="359">
        <f>'DRE + DCF'!$W$32</f>
        <v>81081.931703745853</v>
      </c>
      <c r="I590" s="359">
        <f>-H590*('DRE + DCF'!$V$33+K590)/'DRE + DCF'!$V$33</f>
        <v>-90858.801614444121</v>
      </c>
      <c r="J590" s="359">
        <f>-'DRE + DCF'!$V$56*L590</f>
        <v>-1188924.4255577971</v>
      </c>
      <c r="K590" s="360">
        <f>(1+L590)/(1+Ke!$O$12)-1</f>
        <v>2.0000000000000018E-2</v>
      </c>
      <c r="L590" s="360">
        <f>'DRE + DCF'!$Y$31</f>
        <v>7.3550000000000004E-2</v>
      </c>
      <c r="M590" s="361">
        <f>(1+D590)^((5-Dashboard!$F$9)*3/12)</f>
        <v>1.0972684130126455</v>
      </c>
      <c r="N590" s="361">
        <f t="shared" ref="N590:V590" si="596">M590*(1+$D590)</f>
        <v>1.2418335264270624</v>
      </c>
      <c r="O590" s="361">
        <f t="shared" si="596"/>
        <v>1.4054450935338287</v>
      </c>
      <c r="P590" s="361">
        <f t="shared" si="596"/>
        <v>1.5906124846069116</v>
      </c>
      <c r="Q590" s="361">
        <f t="shared" si="596"/>
        <v>1.8001756794538732</v>
      </c>
      <c r="R590" s="361">
        <f t="shared" si="596"/>
        <v>2.0373488252219225</v>
      </c>
      <c r="S590" s="361">
        <f t="shared" si="596"/>
        <v>2.3057695329449124</v>
      </c>
      <c r="T590" s="361">
        <f t="shared" si="596"/>
        <v>2.6095546689104063</v>
      </c>
      <c r="U590" s="361">
        <f t="shared" si="596"/>
        <v>2.953363496539354</v>
      </c>
      <c r="V590" s="362">
        <f t="shared" si="596"/>
        <v>3.3424691372084161</v>
      </c>
      <c r="X590" s="351"/>
    </row>
    <row r="591" spans="3:24" ht="24.75" customHeight="1" x14ac:dyDescent="0.3">
      <c r="C591" s="353">
        <f>ABS(E591-Dashboard!$F$14)</f>
        <v>123.74787807223198</v>
      </c>
      <c r="D591" s="350">
        <f t="shared" ref="D591:D654" si="597">D590+0.0001</f>
        <v>0.13185000000000072</v>
      </c>
      <c r="E591" s="359" cm="1">
        <f t="array" ref="E591">1000*SUM('DRE + DCF'!$L$36/M591,'DRE + DCF'!$N$36:$V$36/N591:V591,F591/V591)/Dashboard!$F$11</f>
        <v>220.73787807223198</v>
      </c>
      <c r="F591" s="359">
        <f t="shared" si="595"/>
        <v>26031209.602894053</v>
      </c>
      <c r="G591" s="359">
        <f>'DRE + DCF'!$W$31</f>
        <v>2791623.3540418856</v>
      </c>
      <c r="H591" s="359">
        <f>'DRE + DCF'!$W$32</f>
        <v>81081.931703745853</v>
      </c>
      <c r="I591" s="359">
        <f>-H591*('DRE + DCF'!$V$33+K591)/'DRE + DCF'!$V$33</f>
        <v>-90858.801614444121</v>
      </c>
      <c r="J591" s="359">
        <f>-'DRE + DCF'!$V$56*L591</f>
        <v>-1188924.4255577971</v>
      </c>
      <c r="K591" s="360">
        <f>(1+L591)/(1+Ke!$O$12)-1</f>
        <v>2.0000000000000018E-2</v>
      </c>
      <c r="L591" s="360">
        <f>'DRE + DCF'!$Y$31</f>
        <v>7.3550000000000004E-2</v>
      </c>
      <c r="M591" s="361">
        <f>(1+D591)^((5-Dashboard!$F$9)*3/12)</f>
        <v>1.0973411271474569</v>
      </c>
      <c r="N591" s="361">
        <f t="shared" ref="N591:V591" si="598">M591*(1+$D591)</f>
        <v>1.2420255547618499</v>
      </c>
      <c r="O591" s="361">
        <f t="shared" si="598"/>
        <v>1.4057866241572008</v>
      </c>
      <c r="P591" s="361">
        <f t="shared" si="598"/>
        <v>1.5911395905523287</v>
      </c>
      <c r="Q591" s="361">
        <f t="shared" si="598"/>
        <v>1.8009313455666542</v>
      </c>
      <c r="R591" s="361">
        <f t="shared" si="598"/>
        <v>2.038384143479619</v>
      </c>
      <c r="S591" s="361">
        <f t="shared" si="598"/>
        <v>2.3071450927974082</v>
      </c>
      <c r="T591" s="361">
        <f t="shared" si="598"/>
        <v>2.6113421732827482</v>
      </c>
      <c r="U591" s="361">
        <f t="shared" si="598"/>
        <v>2.9556476388300803</v>
      </c>
      <c r="V591" s="362">
        <f t="shared" si="598"/>
        <v>3.3453497800098284</v>
      </c>
      <c r="X591" s="351"/>
    </row>
    <row r="592" spans="3:24" ht="24.75" customHeight="1" x14ac:dyDescent="0.3">
      <c r="C592" s="353">
        <f>ABS(E592-Dashboard!$F$14)</f>
        <v>123.4094984121884</v>
      </c>
      <c r="D592" s="350">
        <f t="shared" si="597"/>
        <v>0.13195000000000071</v>
      </c>
      <c r="E592" s="359" cm="1">
        <f t="array" ref="E592">1000*SUM('DRE + DCF'!$L$36/M592,'DRE + DCF'!$N$36:$V$36/N592:V592,F592/V592)/Dashboard!$F$11</f>
        <v>220.39949841218839</v>
      </c>
      <c r="F592" s="359">
        <f t="shared" si="595"/>
        <v>25997483.107502304</v>
      </c>
      <c r="G592" s="359">
        <f>'DRE + DCF'!$W$31</f>
        <v>2791623.3540418856</v>
      </c>
      <c r="H592" s="359">
        <f>'DRE + DCF'!$W$32</f>
        <v>81081.931703745853</v>
      </c>
      <c r="I592" s="359">
        <f>-H592*('DRE + DCF'!$V$33+K592)/'DRE + DCF'!$V$33</f>
        <v>-90858.801614444121</v>
      </c>
      <c r="J592" s="359">
        <f>-'DRE + DCF'!$V$56*L592</f>
        <v>-1188924.4255577971</v>
      </c>
      <c r="K592" s="360">
        <f>(1+L592)/(1+Ke!$O$12)-1</f>
        <v>2.0000000000000018E-2</v>
      </c>
      <c r="L592" s="360">
        <f>'DRE + DCF'!$Y$31</f>
        <v>7.3550000000000004E-2</v>
      </c>
      <c r="M592" s="361">
        <f>(1+D592)^((5-Dashboard!$F$9)*3/12)</f>
        <v>1.0974138396761954</v>
      </c>
      <c r="N592" s="361">
        <f t="shared" ref="N592:V592" si="599">M592*(1+$D592)</f>
        <v>1.2422175958214701</v>
      </c>
      <c r="O592" s="361">
        <f t="shared" si="599"/>
        <v>1.4061282075901138</v>
      </c>
      <c r="P592" s="361">
        <f t="shared" si="599"/>
        <v>1.5916668245816303</v>
      </c>
      <c r="Q592" s="361">
        <f t="shared" si="599"/>
        <v>1.8016872620851776</v>
      </c>
      <c r="R592" s="361">
        <f t="shared" si="599"/>
        <v>2.0394198963173178</v>
      </c>
      <c r="S592" s="361">
        <f t="shared" si="599"/>
        <v>2.3085213516363892</v>
      </c>
      <c r="T592" s="361">
        <f t="shared" si="599"/>
        <v>2.6131307439848124</v>
      </c>
      <c r="U592" s="361">
        <f t="shared" si="599"/>
        <v>2.9579333456536103</v>
      </c>
      <c r="V592" s="362">
        <f t="shared" si="599"/>
        <v>3.3482326506126063</v>
      </c>
      <c r="X592" s="351"/>
    </row>
    <row r="593" spans="3:24" ht="24.75" customHeight="1" x14ac:dyDescent="0.3">
      <c r="C593" s="353">
        <f>ABS(E593-Dashboard!$F$14)</f>
        <v>123.07209506497641</v>
      </c>
      <c r="D593" s="350">
        <f t="shared" si="597"/>
        <v>0.13205000000000069</v>
      </c>
      <c r="E593" s="359" cm="1">
        <f t="array" ref="E593">1000*SUM('DRE + DCF'!$L$36/M593,'DRE + DCF'!$N$36:$V$36/N593:V593,F593/V593)/Dashboard!$F$11</f>
        <v>220.0620950649764</v>
      </c>
      <c r="F593" s="359">
        <f t="shared" si="595"/>
        <v>25963855.515079506</v>
      </c>
      <c r="G593" s="359">
        <f>'DRE + DCF'!$W$31</f>
        <v>2791623.3540418856</v>
      </c>
      <c r="H593" s="359">
        <f>'DRE + DCF'!$W$32</f>
        <v>81081.931703745853</v>
      </c>
      <c r="I593" s="359">
        <f>-H593*('DRE + DCF'!$V$33+K593)/'DRE + DCF'!$V$33</f>
        <v>-90858.801614444121</v>
      </c>
      <c r="J593" s="359">
        <f>-'DRE + DCF'!$V$56*L593</f>
        <v>-1188924.4255577971</v>
      </c>
      <c r="K593" s="360">
        <f>(1+L593)/(1+Ke!$O$12)-1</f>
        <v>2.0000000000000018E-2</v>
      </c>
      <c r="L593" s="360">
        <f>'DRE + DCF'!$Y$31</f>
        <v>7.3550000000000004E-2</v>
      </c>
      <c r="M593" s="361">
        <f>(1+D593)^((5-Dashboard!$F$9)*3/12)</f>
        <v>1.097486550599039</v>
      </c>
      <c r="N593" s="361">
        <f t="shared" ref="N593:V593" si="600">M593*(1+$D593)</f>
        <v>1.2424096496056429</v>
      </c>
      <c r="O593" s="361">
        <f t="shared" si="600"/>
        <v>1.406469843836069</v>
      </c>
      <c r="P593" s="361">
        <f t="shared" si="600"/>
        <v>1.5921941867146228</v>
      </c>
      <c r="Q593" s="361">
        <f t="shared" si="600"/>
        <v>1.8024434290702898</v>
      </c>
      <c r="R593" s="361">
        <f t="shared" si="600"/>
        <v>2.0404560838790227</v>
      </c>
      <c r="S593" s="361">
        <f t="shared" si="600"/>
        <v>2.309898309755249</v>
      </c>
      <c r="T593" s="361">
        <f t="shared" si="600"/>
        <v>2.6149203815584312</v>
      </c>
      <c r="U593" s="361">
        <f t="shared" si="600"/>
        <v>2.9602206179432238</v>
      </c>
      <c r="V593" s="362">
        <f t="shared" si="600"/>
        <v>3.3511177505426284</v>
      </c>
      <c r="X593" s="351"/>
    </row>
    <row r="594" spans="3:24" ht="24.75" customHeight="1" x14ac:dyDescent="0.3">
      <c r="C594" s="353">
        <f>ABS(E594-Dashboard!$F$14)</f>
        <v>122.73566359484504</v>
      </c>
      <c r="D594" s="350">
        <f t="shared" si="597"/>
        <v>0.13215000000000068</v>
      </c>
      <c r="E594" s="359" cm="1">
        <f t="array" ref="E594">1000*SUM('DRE + DCF'!$L$36/M594,'DRE + DCF'!$N$36:$V$36/N594:V594,F594/V594)/Dashboard!$F$11</f>
        <v>219.72566359484503</v>
      </c>
      <c r="F594" s="359">
        <f t="shared" si="595"/>
        <v>25930326.356466267</v>
      </c>
      <c r="G594" s="359">
        <f>'DRE + DCF'!$W$31</f>
        <v>2791623.3540418856</v>
      </c>
      <c r="H594" s="359">
        <f>'DRE + DCF'!$W$32</f>
        <v>81081.931703745853</v>
      </c>
      <c r="I594" s="359">
        <f>-H594*('DRE + DCF'!$V$33+K594)/'DRE + DCF'!$V$33</f>
        <v>-90858.801614444121</v>
      </c>
      <c r="J594" s="359">
        <f>-'DRE + DCF'!$V$56*L594</f>
        <v>-1188924.4255577971</v>
      </c>
      <c r="K594" s="360">
        <f>(1+L594)/(1+Ke!$O$12)-1</f>
        <v>2.0000000000000018E-2</v>
      </c>
      <c r="L594" s="360">
        <f>'DRE + DCF'!$Y$31</f>
        <v>7.3550000000000004E-2</v>
      </c>
      <c r="M594" s="361">
        <f>(1+D594)^((5-Dashboard!$F$9)*3/12)</f>
        <v>1.0975592599161643</v>
      </c>
      <c r="N594" s="361">
        <f t="shared" ref="N594:V594" si="601">M594*(1+$D594)</f>
        <v>1.2426017161140861</v>
      </c>
      <c r="O594" s="361">
        <f t="shared" si="601"/>
        <v>1.4068115328985633</v>
      </c>
      <c r="P594" s="361">
        <f t="shared" si="601"/>
        <v>1.5927216769711094</v>
      </c>
      <c r="Q594" s="361">
        <f t="shared" si="601"/>
        <v>1.8031998465828427</v>
      </c>
      <c r="R594" s="361">
        <f t="shared" si="601"/>
        <v>2.0414927063087664</v>
      </c>
      <c r="S594" s="361">
        <f t="shared" si="601"/>
        <v>2.3112759674474712</v>
      </c>
      <c r="T594" s="361">
        <f t="shared" si="601"/>
        <v>2.616711086545656</v>
      </c>
      <c r="U594" s="361">
        <f t="shared" si="601"/>
        <v>2.9625094566326662</v>
      </c>
      <c r="V594" s="362">
        <f t="shared" si="601"/>
        <v>3.3540050813266751</v>
      </c>
      <c r="X594" s="351"/>
    </row>
    <row r="595" spans="3:24" ht="24.75" customHeight="1" x14ac:dyDescent="0.3">
      <c r="C595" s="353">
        <f>ABS(E595-Dashboard!$F$14)</f>
        <v>122.40019959437144</v>
      </c>
      <c r="D595" s="350">
        <f t="shared" si="597"/>
        <v>0.13225000000000067</v>
      </c>
      <c r="E595" s="359" cm="1">
        <f t="array" ref="E595">1000*SUM('DRE + DCF'!$L$36/M595,'DRE + DCF'!$N$36:$V$36/N595:V595,F595/V595)/Dashboard!$F$11</f>
        <v>219.39019959437144</v>
      </c>
      <c r="F595" s="359">
        <f t="shared" si="595"/>
        <v>25896895.165587984</v>
      </c>
      <c r="G595" s="359">
        <f>'DRE + DCF'!$W$31</f>
        <v>2791623.3540418856</v>
      </c>
      <c r="H595" s="359">
        <f>'DRE + DCF'!$W$32</f>
        <v>81081.931703745853</v>
      </c>
      <c r="I595" s="359">
        <f>-H595*('DRE + DCF'!$V$33+K595)/'DRE + DCF'!$V$33</f>
        <v>-90858.801614444121</v>
      </c>
      <c r="J595" s="359">
        <f>-'DRE + DCF'!$V$56*L595</f>
        <v>-1188924.4255577971</v>
      </c>
      <c r="K595" s="360">
        <f>(1+L595)/(1+Ke!$O$12)-1</f>
        <v>2.0000000000000018E-2</v>
      </c>
      <c r="L595" s="360">
        <f>'DRE + DCF'!$Y$31</f>
        <v>7.3550000000000004E-2</v>
      </c>
      <c r="M595" s="361">
        <f>(1+D595)^((5-Dashboard!$F$9)*3/12)</f>
        <v>1.0976319676277491</v>
      </c>
      <c r="N595" s="361">
        <f t="shared" ref="N595:V595" si="602">M595*(1+$D595)</f>
        <v>1.2427937953465196</v>
      </c>
      <c r="O595" s="361">
        <f t="shared" si="602"/>
        <v>1.4071532747810975</v>
      </c>
      <c r="P595" s="361">
        <f t="shared" si="602"/>
        <v>1.5932492953708985</v>
      </c>
      <c r="Q595" s="361">
        <f t="shared" si="602"/>
        <v>1.8039565146837009</v>
      </c>
      <c r="R595" s="361">
        <f t="shared" si="602"/>
        <v>2.0425297637506215</v>
      </c>
      <c r="S595" s="361">
        <f t="shared" si="602"/>
        <v>2.3126543250066423</v>
      </c>
      <c r="T595" s="361">
        <f t="shared" si="602"/>
        <v>2.618502859488772</v>
      </c>
      <c r="U595" s="361">
        <f t="shared" si="602"/>
        <v>2.964799862656164</v>
      </c>
      <c r="V595" s="362">
        <f t="shared" si="602"/>
        <v>3.3568946444924435</v>
      </c>
      <c r="X595" s="351"/>
    </row>
    <row r="596" spans="3:24" ht="24.75" customHeight="1" x14ac:dyDescent="0.3">
      <c r="C596" s="353">
        <f>ABS(E596-Dashboard!$F$14)</f>
        <v>122.06569868422768</v>
      </c>
      <c r="D596" s="350">
        <f t="shared" si="597"/>
        <v>0.13235000000000066</v>
      </c>
      <c r="E596" s="359" cm="1">
        <f t="array" ref="E596">1000*SUM('DRE + DCF'!$L$36/M596,'DRE + DCF'!$N$36:$V$36/N596:V596,F596/V596)/Dashboard!$F$11</f>
        <v>219.05569868422768</v>
      </c>
      <c r="F596" s="359">
        <f t="shared" si="595"/>
        <v>25863561.479428977</v>
      </c>
      <c r="G596" s="359">
        <f>'DRE + DCF'!$W$31</f>
        <v>2791623.3540418856</v>
      </c>
      <c r="H596" s="359">
        <f>'DRE + DCF'!$W$32</f>
        <v>81081.931703745853</v>
      </c>
      <c r="I596" s="359">
        <f>-H596*('DRE + DCF'!$V$33+K596)/'DRE + DCF'!$V$33</f>
        <v>-90858.801614444121</v>
      </c>
      <c r="J596" s="359">
        <f>-'DRE + DCF'!$V$56*L596</f>
        <v>-1188924.4255577971</v>
      </c>
      <c r="K596" s="360">
        <f>(1+L596)/(1+Ke!$O$12)-1</f>
        <v>2.0000000000000018E-2</v>
      </c>
      <c r="L596" s="360">
        <f>'DRE + DCF'!$Y$31</f>
        <v>7.3550000000000004E-2</v>
      </c>
      <c r="M596" s="361">
        <f>(1+D596)^((5-Dashboard!$F$9)*3/12)</f>
        <v>1.0977046737339706</v>
      </c>
      <c r="N596" s="361">
        <f t="shared" ref="N596:V596" si="603">M596*(1+$D596)</f>
        <v>1.2429858873026622</v>
      </c>
      <c r="O596" s="361">
        <f t="shared" si="603"/>
        <v>1.4074950694871704</v>
      </c>
      <c r="P596" s="361">
        <f t="shared" si="603"/>
        <v>1.5937770419337982</v>
      </c>
      <c r="Q596" s="361">
        <f t="shared" si="603"/>
        <v>1.8047134334337374</v>
      </c>
      <c r="R596" s="361">
        <f t="shared" si="603"/>
        <v>2.0435672563486937</v>
      </c>
      <c r="S596" s="361">
        <f t="shared" si="603"/>
        <v>2.3140333827264445</v>
      </c>
      <c r="T596" s="361">
        <f t="shared" si="603"/>
        <v>2.6202957009302907</v>
      </c>
      <c r="U596" s="361">
        <f t="shared" si="603"/>
        <v>2.9670918369484163</v>
      </c>
      <c r="V596" s="362">
        <f t="shared" si="603"/>
        <v>3.359786441568541</v>
      </c>
      <c r="X596" s="351"/>
    </row>
    <row r="597" spans="3:24" ht="24.75" customHeight="1" x14ac:dyDescent="0.3">
      <c r="C597" s="353">
        <f>ABS(E597-Dashboard!$F$14)</f>
        <v>121.73215651294997</v>
      </c>
      <c r="D597" s="350">
        <f t="shared" si="597"/>
        <v>0.13245000000000065</v>
      </c>
      <c r="E597" s="359" cm="1">
        <f t="array" ref="E597">1000*SUM('DRE + DCF'!$L$36/M597,'DRE + DCF'!$N$36:$V$36/N597:V597,F597/V597)/Dashboard!$F$11</f>
        <v>218.72215651294997</v>
      </c>
      <c r="F597" s="359">
        <f t="shared" si="595"/>
        <v>25830324.838007011</v>
      </c>
      <c r="G597" s="359">
        <f>'DRE + DCF'!$W$31</f>
        <v>2791623.3540418856</v>
      </c>
      <c r="H597" s="359">
        <f>'DRE + DCF'!$W$32</f>
        <v>81081.931703745853</v>
      </c>
      <c r="I597" s="359">
        <f>-H597*('DRE + DCF'!$V$33+K597)/'DRE + DCF'!$V$33</f>
        <v>-90858.801614444121</v>
      </c>
      <c r="J597" s="359">
        <f>-'DRE + DCF'!$V$56*L597</f>
        <v>-1188924.4255577971</v>
      </c>
      <c r="K597" s="360">
        <f>(1+L597)/(1+Ke!$O$12)-1</f>
        <v>2.0000000000000018E-2</v>
      </c>
      <c r="L597" s="360">
        <f>'DRE + DCF'!$Y$31</f>
        <v>7.3550000000000004E-2</v>
      </c>
      <c r="M597" s="361">
        <f>(1+D597)^((5-Dashboard!$F$9)*3/12)</f>
        <v>1.0977773782350058</v>
      </c>
      <c r="N597" s="361">
        <f t="shared" ref="N597:V597" si="604">M597*(1+$D597)</f>
        <v>1.243177991982233</v>
      </c>
      <c r="O597" s="361">
        <f t="shared" si="604"/>
        <v>1.4078369170202805</v>
      </c>
      <c r="P597" s="361">
        <f t="shared" si="604"/>
        <v>1.5943049166796175</v>
      </c>
      <c r="Q597" s="361">
        <f t="shared" si="604"/>
        <v>1.8054706028938339</v>
      </c>
      <c r="R597" s="361">
        <f t="shared" si="604"/>
        <v>2.0446051842471231</v>
      </c>
      <c r="S597" s="361">
        <f t="shared" si="604"/>
        <v>2.315413140900656</v>
      </c>
      <c r="T597" s="361">
        <f t="shared" si="604"/>
        <v>2.6220896114129495</v>
      </c>
      <c r="U597" s="361">
        <f t="shared" si="604"/>
        <v>2.9693853804445962</v>
      </c>
      <c r="V597" s="362">
        <f t="shared" si="604"/>
        <v>3.3626804740844847</v>
      </c>
      <c r="X597" s="351"/>
    </row>
    <row r="598" spans="3:24" ht="24.75" customHeight="1" x14ac:dyDescent="0.3">
      <c r="C598" s="353">
        <f>ABS(E598-Dashboard!$F$14)</f>
        <v>121.3995687567094</v>
      </c>
      <c r="D598" s="350">
        <f t="shared" si="597"/>
        <v>0.13255000000000064</v>
      </c>
      <c r="E598" s="359" cm="1">
        <f t="array" ref="E598">1000*SUM('DRE + DCF'!$L$36/M598,'DRE + DCF'!$N$36:$V$36/N598:V598,F598/V598)/Dashboard!$F$11</f>
        <v>218.38956875670939</v>
      </c>
      <c r="F598" s="359">
        <f t="shared" si="595"/>
        <v>25797184.784347955</v>
      </c>
      <c r="G598" s="359">
        <f>'DRE + DCF'!$W$31</f>
        <v>2791623.3540418856</v>
      </c>
      <c r="H598" s="359">
        <f>'DRE + DCF'!$W$32</f>
        <v>81081.931703745853</v>
      </c>
      <c r="I598" s="359">
        <f>-H598*('DRE + DCF'!$V$33+K598)/'DRE + DCF'!$V$33</f>
        <v>-90858.801614444121</v>
      </c>
      <c r="J598" s="359">
        <f>-'DRE + DCF'!$V$56*L598</f>
        <v>-1188924.4255577971</v>
      </c>
      <c r="K598" s="360">
        <f>(1+L598)/(1+Ke!$O$12)-1</f>
        <v>2.0000000000000018E-2</v>
      </c>
      <c r="L598" s="360">
        <f>'DRE + DCF'!$Y$31</f>
        <v>7.3550000000000004E-2</v>
      </c>
      <c r="M598" s="361">
        <f>(1+D598)^((5-Dashboard!$F$9)*3/12)</f>
        <v>1.0978500811310319</v>
      </c>
      <c r="N598" s="361">
        <f t="shared" ref="N598:V598" si="605">M598*(1+$D598)</f>
        <v>1.2433701093849507</v>
      </c>
      <c r="O598" s="361">
        <f t="shared" si="605"/>
        <v>1.4081788173839267</v>
      </c>
      <c r="P598" s="361">
        <f t="shared" si="605"/>
        <v>1.594832919628167</v>
      </c>
      <c r="Q598" s="361">
        <f t="shared" si="605"/>
        <v>1.8062280231248815</v>
      </c>
      <c r="R598" s="361">
        <f t="shared" si="605"/>
        <v>2.0456435475900858</v>
      </c>
      <c r="S598" s="361">
        <f t="shared" si="605"/>
        <v>2.316793599823153</v>
      </c>
      <c r="T598" s="361">
        <f t="shared" si="605"/>
        <v>2.6238845914797135</v>
      </c>
      <c r="U598" s="361">
        <f t="shared" si="605"/>
        <v>2.971680494080351</v>
      </c>
      <c r="V598" s="362">
        <f t="shared" si="605"/>
        <v>3.3655767435707031</v>
      </c>
      <c r="X598" s="351"/>
    </row>
    <row r="599" spans="3:24" ht="24.75" customHeight="1" x14ac:dyDescent="0.3">
      <c r="C599" s="353">
        <f>ABS(E599-Dashboard!$F$14)</f>
        <v>121.06793111908563</v>
      </c>
      <c r="D599" s="350">
        <f t="shared" si="597"/>
        <v>0.13265000000000063</v>
      </c>
      <c r="E599" s="359" cm="1">
        <f t="array" ref="E599">1000*SUM('DRE + DCF'!$L$36/M599,'DRE + DCF'!$N$36:$V$36/N599:V599,F599/V599)/Dashboard!$F$11</f>
        <v>218.05793111908562</v>
      </c>
      <c r="F599" s="359">
        <f t="shared" si="595"/>
        <v>25764140.864460774</v>
      </c>
      <c r="G599" s="359">
        <f>'DRE + DCF'!$W$31</f>
        <v>2791623.3540418856</v>
      </c>
      <c r="H599" s="359">
        <f>'DRE + DCF'!$W$32</f>
        <v>81081.931703745853</v>
      </c>
      <c r="I599" s="359">
        <f>-H599*('DRE + DCF'!$V$33+K599)/'DRE + DCF'!$V$33</f>
        <v>-90858.801614444121</v>
      </c>
      <c r="J599" s="359">
        <f>-'DRE + DCF'!$V$56*L599</f>
        <v>-1188924.4255577971</v>
      </c>
      <c r="K599" s="360">
        <f>(1+L599)/(1+Ke!$O$12)-1</f>
        <v>2.0000000000000018E-2</v>
      </c>
      <c r="L599" s="360">
        <f>'DRE + DCF'!$Y$31</f>
        <v>7.3550000000000004E-2</v>
      </c>
      <c r="M599" s="361">
        <f>(1+D599)^((5-Dashboard!$F$9)*3/12)</f>
        <v>1.0979227824222262</v>
      </c>
      <c r="N599" s="361">
        <f t="shared" ref="N599:V599" si="606">M599*(1+$D599)</f>
        <v>1.2435622395105352</v>
      </c>
      <c r="O599" s="361">
        <f t="shared" si="606"/>
        <v>1.4085207705816085</v>
      </c>
      <c r="P599" s="361">
        <f t="shared" si="606"/>
        <v>1.5953610507992597</v>
      </c>
      <c r="Q599" s="361">
        <f t="shared" si="606"/>
        <v>1.8069856941877824</v>
      </c>
      <c r="R599" s="361">
        <f t="shared" si="606"/>
        <v>2.0466823465217927</v>
      </c>
      <c r="S599" s="361">
        <f t="shared" si="606"/>
        <v>2.3181747597879099</v>
      </c>
      <c r="T599" s="361">
        <f t="shared" si="606"/>
        <v>2.6256806416737777</v>
      </c>
      <c r="U599" s="361">
        <f t="shared" si="606"/>
        <v>2.9739771787918059</v>
      </c>
      <c r="V599" s="362">
        <f t="shared" si="606"/>
        <v>3.3684752515585408</v>
      </c>
      <c r="X599" s="351"/>
    </row>
    <row r="600" spans="3:24" ht="24.75" customHeight="1" x14ac:dyDescent="0.3">
      <c r="C600" s="353">
        <f>ABS(E600-Dashboard!$F$14)</f>
        <v>120.73723933084274</v>
      </c>
      <c r="D600" s="350">
        <f t="shared" si="597"/>
        <v>0.13275000000000062</v>
      </c>
      <c r="E600" s="359" cm="1">
        <f t="array" ref="E600">1000*SUM('DRE + DCF'!$L$36/M600,'DRE + DCF'!$N$36:$V$36/N600:V600,F600/V600)/Dashboard!$F$11</f>
        <v>217.72723933084274</v>
      </c>
      <c r="F600" s="359">
        <f t="shared" si="595"/>
        <v>25731192.627312738</v>
      </c>
      <c r="G600" s="359">
        <f>'DRE + DCF'!$W$31</f>
        <v>2791623.3540418856</v>
      </c>
      <c r="H600" s="359">
        <f>'DRE + DCF'!$W$32</f>
        <v>81081.931703745853</v>
      </c>
      <c r="I600" s="359">
        <f>-H600*('DRE + DCF'!$V$33+K600)/'DRE + DCF'!$V$33</f>
        <v>-90858.801614444121</v>
      </c>
      <c r="J600" s="359">
        <f>-'DRE + DCF'!$V$56*L600</f>
        <v>-1188924.4255577971</v>
      </c>
      <c r="K600" s="360">
        <f>(1+L600)/(1+Ke!$O$12)-1</f>
        <v>2.0000000000000018E-2</v>
      </c>
      <c r="L600" s="360">
        <f>'DRE + DCF'!$Y$31</f>
        <v>7.3550000000000004E-2</v>
      </c>
      <c r="M600" s="361">
        <f>(1+D600)^((5-Dashboard!$F$9)*3/12)</f>
        <v>1.0979954821087656</v>
      </c>
      <c r="N600" s="361">
        <f t="shared" ref="N600:V600" si="607">M600*(1+$D600)</f>
        <v>1.2437543823587049</v>
      </c>
      <c r="O600" s="361">
        <f t="shared" si="607"/>
        <v>1.4088627766168238</v>
      </c>
      <c r="P600" s="361">
        <f t="shared" si="607"/>
        <v>1.5958893102127081</v>
      </c>
      <c r="Q600" s="361">
        <f t="shared" si="607"/>
        <v>1.8077436161434459</v>
      </c>
      <c r="R600" s="361">
        <f t="shared" si="607"/>
        <v>2.0477215811864893</v>
      </c>
      <c r="S600" s="361">
        <f t="shared" si="607"/>
        <v>2.3195566210889971</v>
      </c>
      <c r="T600" s="361">
        <f t="shared" si="607"/>
        <v>2.6274777625385628</v>
      </c>
      <c r="U600" s="361">
        <f t="shared" si="607"/>
        <v>2.9762754355155585</v>
      </c>
      <c r="V600" s="362">
        <f t="shared" si="607"/>
        <v>3.3713759995802506</v>
      </c>
      <c r="X600" s="351"/>
    </row>
    <row r="601" spans="3:24" ht="24.75" customHeight="1" x14ac:dyDescent="0.3">
      <c r="C601" s="353">
        <f>ABS(E601-Dashboard!$F$14)</f>
        <v>120.4074891497069</v>
      </c>
      <c r="D601" s="350">
        <f t="shared" si="597"/>
        <v>0.13285000000000061</v>
      </c>
      <c r="E601" s="359" cm="1">
        <f t="array" ref="E601">1000*SUM('DRE + DCF'!$L$36/M601,'DRE + DCF'!$N$36:$V$36/N601:V601,F601/V601)/Dashboard!$F$11</f>
        <v>217.3974891497069</v>
      </c>
      <c r="F601" s="359">
        <f t="shared" si="595"/>
        <v>25698339.624804888</v>
      </c>
      <c r="G601" s="359">
        <f>'DRE + DCF'!$W$31</f>
        <v>2791623.3540418856</v>
      </c>
      <c r="H601" s="359">
        <f>'DRE + DCF'!$W$32</f>
        <v>81081.931703745853</v>
      </c>
      <c r="I601" s="359">
        <f>-H601*('DRE + DCF'!$V$33+K601)/'DRE + DCF'!$V$33</f>
        <v>-90858.801614444121</v>
      </c>
      <c r="J601" s="359">
        <f>-'DRE + DCF'!$V$56*L601</f>
        <v>-1188924.4255577971</v>
      </c>
      <c r="K601" s="360">
        <f>(1+L601)/(1+Ke!$O$12)-1</f>
        <v>2.0000000000000018E-2</v>
      </c>
      <c r="L601" s="360">
        <f>'DRE + DCF'!$Y$31</f>
        <v>7.3550000000000004E-2</v>
      </c>
      <c r="M601" s="361">
        <f>(1+D601)^((5-Dashboard!$F$9)*3/12)</f>
        <v>1.0980681801908274</v>
      </c>
      <c r="N601" s="361">
        <f t="shared" ref="N601:V601" si="608">M601*(1+$D601)</f>
        <v>1.2439465379291794</v>
      </c>
      <c r="O601" s="361">
        <f t="shared" si="608"/>
        <v>1.4092048354930715</v>
      </c>
      <c r="P601" s="361">
        <f t="shared" si="608"/>
        <v>1.5964176978883269</v>
      </c>
      <c r="Q601" s="361">
        <f t="shared" si="608"/>
        <v>1.8085017890527921</v>
      </c>
      <c r="R601" s="361">
        <f t="shared" si="608"/>
        <v>2.0487612517284566</v>
      </c>
      <c r="S601" s="361">
        <f t="shared" si="608"/>
        <v>2.3209391840205833</v>
      </c>
      <c r="T601" s="361">
        <f t="shared" si="608"/>
        <v>2.6292759546177193</v>
      </c>
      <c r="U601" s="361">
        <f t="shared" si="608"/>
        <v>2.978575265188685</v>
      </c>
      <c r="V601" s="362">
        <f t="shared" si="608"/>
        <v>3.3742789891690035</v>
      </c>
      <c r="X601" s="351"/>
    </row>
    <row r="602" spans="3:24" ht="24.75" customHeight="1" x14ac:dyDescent="0.3">
      <c r="C602" s="353">
        <f>ABS(E602-Dashboard!$F$14)</f>
        <v>120.07867636014699</v>
      </c>
      <c r="D602" s="350">
        <f t="shared" si="597"/>
        <v>0.1329500000000006</v>
      </c>
      <c r="E602" s="359" cm="1">
        <f t="array" ref="E602">1000*SUM('DRE + DCF'!$L$36/M602,'DRE + DCF'!$N$36:$V$36/N602:V602,F602/V602)/Dashboard!$F$11</f>
        <v>217.06867636014698</v>
      </c>
      <c r="F602" s="359">
        <f t="shared" si="595"/>
        <v>25665581.411747754</v>
      </c>
      <c r="G602" s="359">
        <f>'DRE + DCF'!$W$31</f>
        <v>2791623.3540418856</v>
      </c>
      <c r="H602" s="359">
        <f>'DRE + DCF'!$W$32</f>
        <v>81081.931703745853</v>
      </c>
      <c r="I602" s="359">
        <f>-H602*('DRE + DCF'!$V$33+K602)/'DRE + DCF'!$V$33</f>
        <v>-90858.801614444121</v>
      </c>
      <c r="J602" s="359">
        <f>-'DRE + DCF'!$V$56*L602</f>
        <v>-1188924.4255577971</v>
      </c>
      <c r="K602" s="360">
        <f>(1+L602)/(1+Ke!$O$12)-1</f>
        <v>2.0000000000000018E-2</v>
      </c>
      <c r="L602" s="360">
        <f>'DRE + DCF'!$Y$31</f>
        <v>7.3550000000000004E-2</v>
      </c>
      <c r="M602" s="361">
        <f>(1+D602)^((5-Dashboard!$F$9)*3/12)</f>
        <v>1.0981408766685887</v>
      </c>
      <c r="N602" s="361">
        <f t="shared" ref="N602:V602" si="609">M602*(1+$D602)</f>
        <v>1.2441387062216782</v>
      </c>
      <c r="O602" s="361">
        <f t="shared" si="609"/>
        <v>1.4095469472138511</v>
      </c>
      <c r="P602" s="361">
        <f t="shared" si="609"/>
        <v>1.5969462138459334</v>
      </c>
      <c r="Q602" s="361">
        <f t="shared" si="609"/>
        <v>1.8092602129767512</v>
      </c>
      <c r="R602" s="361">
        <f t="shared" si="609"/>
        <v>2.0498013582920112</v>
      </c>
      <c r="S602" s="361">
        <f t="shared" si="609"/>
        <v>2.3223224488769354</v>
      </c>
      <c r="T602" s="361">
        <f t="shared" si="609"/>
        <v>2.6310752184551252</v>
      </c>
      <c r="U602" s="361">
        <f t="shared" si="609"/>
        <v>2.9808766687487354</v>
      </c>
      <c r="V602" s="362">
        <f t="shared" si="609"/>
        <v>3.3771842218588812</v>
      </c>
      <c r="X602" s="351"/>
    </row>
    <row r="603" spans="3:24" ht="24.75" customHeight="1" x14ac:dyDescent="0.3">
      <c r="C603" s="353">
        <f>ABS(E603-Dashboard!$F$14)</f>
        <v>119.75079677315678</v>
      </c>
      <c r="D603" s="350">
        <f t="shared" si="597"/>
        <v>0.13305000000000058</v>
      </c>
      <c r="E603" s="359" cm="1">
        <f t="array" ref="E603">1000*SUM('DRE + DCF'!$L$36/M603,'DRE + DCF'!$N$36:$V$36/N603:V603,F603/V603)/Dashboard!$F$11</f>
        <v>216.74079677315677</v>
      </c>
      <c r="F603" s="359">
        <f t="shared" si="595"/>
        <v>25632917.545837305</v>
      </c>
      <c r="G603" s="359">
        <f>'DRE + DCF'!$W$31</f>
        <v>2791623.3540418856</v>
      </c>
      <c r="H603" s="359">
        <f>'DRE + DCF'!$W$32</f>
        <v>81081.931703745853</v>
      </c>
      <c r="I603" s="359">
        <f>-H603*('DRE + DCF'!$V$33+K603)/'DRE + DCF'!$V$33</f>
        <v>-90858.801614444121</v>
      </c>
      <c r="J603" s="359">
        <f>-'DRE + DCF'!$V$56*L603</f>
        <v>-1188924.4255577971</v>
      </c>
      <c r="K603" s="360">
        <f>(1+L603)/(1+Ke!$O$12)-1</f>
        <v>2.0000000000000018E-2</v>
      </c>
      <c r="L603" s="360">
        <f>'DRE + DCF'!$Y$31</f>
        <v>7.3550000000000004E-2</v>
      </c>
      <c r="M603" s="361">
        <f>(1+D603)^((5-Dashboard!$F$9)*3/12)</f>
        <v>1.0982135715422261</v>
      </c>
      <c r="N603" s="361">
        <f t="shared" ref="N603:V603" si="610">M603*(1+$D603)</f>
        <v>1.2443308872359198</v>
      </c>
      <c r="O603" s="361">
        <f t="shared" si="610"/>
        <v>1.4098891117826595</v>
      </c>
      <c r="P603" s="361">
        <f t="shared" si="610"/>
        <v>1.5974748581053431</v>
      </c>
      <c r="Q603" s="361">
        <f t="shared" si="610"/>
        <v>1.8100188879762598</v>
      </c>
      <c r="R603" s="361">
        <f t="shared" si="610"/>
        <v>2.050841901021502</v>
      </c>
      <c r="S603" s="361">
        <f t="shared" si="610"/>
        <v>2.3237064159524139</v>
      </c>
      <c r="T603" s="361">
        <f t="shared" si="610"/>
        <v>2.6328755545948836</v>
      </c>
      <c r="U603" s="361">
        <f t="shared" si="610"/>
        <v>2.9831796471337344</v>
      </c>
      <c r="V603" s="362">
        <f t="shared" si="610"/>
        <v>3.3800916991848795</v>
      </c>
      <c r="X603" s="351"/>
    </row>
    <row r="604" spans="3:24" ht="24.75" customHeight="1" x14ac:dyDescent="0.3">
      <c r="C604" s="353">
        <f>ABS(E604-Dashboard!$F$14)</f>
        <v>119.42384622603909</v>
      </c>
      <c r="D604" s="350">
        <f t="shared" si="597"/>
        <v>0.13315000000000057</v>
      </c>
      <c r="E604" s="359" cm="1">
        <f t="array" ref="E604">1000*SUM('DRE + DCF'!$L$36/M604,'DRE + DCF'!$N$36:$V$36/N604:V604,F604/V604)/Dashboard!$F$11</f>
        <v>216.41384622603908</v>
      </c>
      <c r="F604" s="359">
        <f t="shared" si="595"/>
        <v>25600347.587631159</v>
      </c>
      <c r="G604" s="359">
        <f>'DRE + DCF'!$W$31</f>
        <v>2791623.3540418856</v>
      </c>
      <c r="H604" s="359">
        <f>'DRE + DCF'!$W$32</f>
        <v>81081.931703745853</v>
      </c>
      <c r="I604" s="359">
        <f>-H604*('DRE + DCF'!$V$33+K604)/'DRE + DCF'!$V$33</f>
        <v>-90858.801614444121</v>
      </c>
      <c r="J604" s="359">
        <f>-'DRE + DCF'!$V$56*L604</f>
        <v>-1188924.4255577971</v>
      </c>
      <c r="K604" s="360">
        <f>(1+L604)/(1+Ke!$O$12)-1</f>
        <v>2.0000000000000018E-2</v>
      </c>
      <c r="L604" s="360">
        <f>'DRE + DCF'!$Y$31</f>
        <v>7.3550000000000004E-2</v>
      </c>
      <c r="M604" s="361">
        <f>(1+D604)^((5-Dashboard!$F$9)*3/12)</f>
        <v>1.0982862648119169</v>
      </c>
      <c r="N604" s="361">
        <f t="shared" ref="N604:V604" si="611">M604*(1+$D604)</f>
        <v>1.2445230809716243</v>
      </c>
      <c r="O604" s="361">
        <f t="shared" si="611"/>
        <v>1.4102313292029969</v>
      </c>
      <c r="P604" s="361">
        <f t="shared" si="611"/>
        <v>1.5980036306863767</v>
      </c>
      <c r="Q604" s="361">
        <f t="shared" si="611"/>
        <v>1.8107778141122686</v>
      </c>
      <c r="R604" s="361">
        <f t="shared" si="611"/>
        <v>2.051882880061318</v>
      </c>
      <c r="S604" s="361">
        <f t="shared" si="611"/>
        <v>2.3250910855414837</v>
      </c>
      <c r="T604" s="361">
        <f t="shared" si="611"/>
        <v>2.6346769635813336</v>
      </c>
      <c r="U604" s="361">
        <f t="shared" si="611"/>
        <v>2.9854842012821896</v>
      </c>
      <c r="V604" s="362">
        <f t="shared" si="611"/>
        <v>3.3830014226829146</v>
      </c>
      <c r="X604" s="351"/>
    </row>
    <row r="605" spans="3:24" ht="24.75" customHeight="1" x14ac:dyDescent="0.3">
      <c r="C605" s="353">
        <f>ABS(E605-Dashboard!$F$14)</f>
        <v>119.09782058219351</v>
      </c>
      <c r="D605" s="350">
        <f t="shared" si="597"/>
        <v>0.13325000000000056</v>
      </c>
      <c r="E605" s="359" cm="1">
        <f t="array" ref="E605">1000*SUM('DRE + DCF'!$L$36/M605,'DRE + DCF'!$N$36:$V$36/N605:V605,F605/V605)/Dashboard!$F$11</f>
        <v>216.0878205821935</v>
      </c>
      <c r="F605" s="359">
        <f t="shared" si="595"/>
        <v>25567871.100524984</v>
      </c>
      <c r="G605" s="359">
        <f>'DRE + DCF'!$W$31</f>
        <v>2791623.3540418856</v>
      </c>
      <c r="H605" s="359">
        <f>'DRE + DCF'!$W$32</f>
        <v>81081.931703745853</v>
      </c>
      <c r="I605" s="359">
        <f>-H605*('DRE + DCF'!$V$33+K605)/'DRE + DCF'!$V$33</f>
        <v>-90858.801614444121</v>
      </c>
      <c r="J605" s="359">
        <f>-'DRE + DCF'!$V$56*L605</f>
        <v>-1188924.4255577971</v>
      </c>
      <c r="K605" s="360">
        <f>(1+L605)/(1+Ke!$O$12)-1</f>
        <v>2.0000000000000018E-2</v>
      </c>
      <c r="L605" s="360">
        <f>'DRE + DCF'!$Y$31</f>
        <v>7.3550000000000004E-2</v>
      </c>
      <c r="M605" s="361">
        <f>(1+D605)^((5-Dashboard!$F$9)*3/12)</f>
        <v>1.098358956477838</v>
      </c>
      <c r="N605" s="361">
        <f t="shared" ref="N605:V605" si="612">M605*(1+$D605)</f>
        <v>1.2447152874285106</v>
      </c>
      <c r="O605" s="361">
        <f t="shared" si="612"/>
        <v>1.4105735994783604</v>
      </c>
      <c r="P605" s="361">
        <f t="shared" si="612"/>
        <v>1.5985325316088526</v>
      </c>
      <c r="Q605" s="361">
        <f t="shared" si="612"/>
        <v>1.8115369914457331</v>
      </c>
      <c r="R605" s="361">
        <f t="shared" si="612"/>
        <v>2.052924295555878</v>
      </c>
      <c r="S605" s="361">
        <f t="shared" si="612"/>
        <v>2.3264764579386998</v>
      </c>
      <c r="T605" s="361">
        <f t="shared" si="612"/>
        <v>2.6364794459590328</v>
      </c>
      <c r="U605" s="361">
        <f t="shared" si="612"/>
        <v>2.9877903321330752</v>
      </c>
      <c r="V605" s="362">
        <f t="shared" si="612"/>
        <v>3.3859133938898092</v>
      </c>
      <c r="X605" s="351"/>
    </row>
    <row r="606" spans="3:24" ht="24.75" customHeight="1" x14ac:dyDescent="0.3">
      <c r="C606" s="353">
        <f>ABS(E606-Dashboard!$F$14)</f>
        <v>118.77271573090404</v>
      </c>
      <c r="D606" s="350">
        <f t="shared" si="597"/>
        <v>0.13335000000000055</v>
      </c>
      <c r="E606" s="359" cm="1">
        <f t="array" ref="E606">1000*SUM('DRE + DCF'!$L$36/M606,'DRE + DCF'!$N$36:$V$36/N606:V606,F606/V606)/Dashboard!$F$11</f>
        <v>215.76271573090403</v>
      </c>
      <c r="F606" s="359">
        <f t="shared" si="595"/>
        <v>25535487.650729209</v>
      </c>
      <c r="G606" s="359">
        <f>'DRE + DCF'!$W$31</f>
        <v>2791623.3540418856</v>
      </c>
      <c r="H606" s="359">
        <f>'DRE + DCF'!$W$32</f>
        <v>81081.931703745853</v>
      </c>
      <c r="I606" s="359">
        <f>-H606*('DRE + DCF'!$V$33+K606)/'DRE + DCF'!$V$33</f>
        <v>-90858.801614444121</v>
      </c>
      <c r="J606" s="359">
        <f>-'DRE + DCF'!$V$56*L606</f>
        <v>-1188924.4255577971</v>
      </c>
      <c r="K606" s="360">
        <f>(1+L606)/(1+Ke!$O$12)-1</f>
        <v>2.0000000000000018E-2</v>
      </c>
      <c r="L606" s="360">
        <f>'DRE + DCF'!$Y$31</f>
        <v>7.3550000000000004E-2</v>
      </c>
      <c r="M606" s="361">
        <f>(1+D606)^((5-Dashboard!$F$9)*3/12)</f>
        <v>1.0984316465401662</v>
      </c>
      <c r="N606" s="361">
        <f t="shared" ref="N606:V606" si="613">M606*(1+$D606)</f>
        <v>1.244907506606298</v>
      </c>
      <c r="O606" s="361">
        <f t="shared" si="613"/>
        <v>1.4109159226122485</v>
      </c>
      <c r="P606" s="361">
        <f t="shared" si="613"/>
        <v>1.5990615608925927</v>
      </c>
      <c r="Q606" s="361">
        <f t="shared" si="613"/>
        <v>1.8122964200376208</v>
      </c>
      <c r="R606" s="361">
        <f t="shared" si="613"/>
        <v>2.0539661476496387</v>
      </c>
      <c r="S606" s="361">
        <f t="shared" si="613"/>
        <v>2.3278625334387191</v>
      </c>
      <c r="T606" s="361">
        <f t="shared" si="613"/>
        <v>2.6382830022727735</v>
      </c>
      <c r="U606" s="361">
        <f t="shared" si="613"/>
        <v>2.9900980406258491</v>
      </c>
      <c r="V606" s="362">
        <f t="shared" si="613"/>
        <v>3.3888276143433074</v>
      </c>
      <c r="X606" s="351"/>
    </row>
    <row r="607" spans="3:24" ht="24.75" customHeight="1" x14ac:dyDescent="0.3">
      <c r="C607" s="353">
        <f>ABS(E607-Dashboard!$F$14)</f>
        <v>118.44852758713067</v>
      </c>
      <c r="D607" s="350">
        <f t="shared" si="597"/>
        <v>0.13345000000000054</v>
      </c>
      <c r="E607" s="359" cm="1">
        <f t="array" ref="E607">1000*SUM('DRE + DCF'!$L$36/M607,'DRE + DCF'!$N$36:$V$36/N607:V607,F607/V607)/Dashboard!$F$11</f>
        <v>215.43852758713066</v>
      </c>
      <c r="F607" s="359">
        <f t="shared" si="595"/>
        <v>25503196.807245888</v>
      </c>
      <c r="G607" s="359">
        <f>'DRE + DCF'!$W$31</f>
        <v>2791623.3540418856</v>
      </c>
      <c r="H607" s="359">
        <f>'DRE + DCF'!$W$32</f>
        <v>81081.931703745853</v>
      </c>
      <c r="I607" s="359">
        <f>-H607*('DRE + DCF'!$V$33+K607)/'DRE + DCF'!$V$33</f>
        <v>-90858.801614444121</v>
      </c>
      <c r="J607" s="359">
        <f>-'DRE + DCF'!$V$56*L607</f>
        <v>-1188924.4255577971</v>
      </c>
      <c r="K607" s="360">
        <f>(1+L607)/(1+Ke!$O$12)-1</f>
        <v>2.0000000000000018E-2</v>
      </c>
      <c r="L607" s="360">
        <f>'DRE + DCF'!$Y$31</f>
        <v>7.3550000000000004E-2</v>
      </c>
      <c r="M607" s="361">
        <f>(1+D607)^((5-Dashboard!$F$9)*3/12)</f>
        <v>1.0985043349990784</v>
      </c>
      <c r="N607" s="361">
        <f t="shared" ref="N607:V607" si="614">M607*(1+$D607)</f>
        <v>1.245099738504706</v>
      </c>
      <c r="O607" s="361">
        <f t="shared" si="614"/>
        <v>1.4112582986081597</v>
      </c>
      <c r="P607" s="361">
        <f t="shared" si="614"/>
        <v>1.5995907185574192</v>
      </c>
      <c r="Q607" s="361">
        <f t="shared" si="614"/>
        <v>1.8130560999489076</v>
      </c>
      <c r="R607" s="361">
        <f t="shared" si="614"/>
        <v>2.0550084364870904</v>
      </c>
      <c r="S607" s="361">
        <f t="shared" si="614"/>
        <v>2.3292493123362936</v>
      </c>
      <c r="T607" s="361">
        <f t="shared" si="614"/>
        <v>2.6400876330675733</v>
      </c>
      <c r="U607" s="361">
        <f t="shared" si="614"/>
        <v>2.9924073277004424</v>
      </c>
      <c r="V607" s="362">
        <f t="shared" si="614"/>
        <v>3.3917440855820677</v>
      </c>
      <c r="X607" s="351"/>
    </row>
    <row r="608" spans="3:24" ht="24.75" customHeight="1" x14ac:dyDescent="0.3">
      <c r="C608" s="353">
        <f>ABS(E608-Dashboard!$F$14)</f>
        <v>118.1252520913019</v>
      </c>
      <c r="D608" s="350">
        <f t="shared" si="597"/>
        <v>0.13355000000000053</v>
      </c>
      <c r="E608" s="359" cm="1">
        <f t="array" ref="E608">1000*SUM('DRE + DCF'!$L$36/M608,'DRE + DCF'!$N$36:$V$36/N608:V608,F608/V608)/Dashboard!$F$11</f>
        <v>215.1152520913019</v>
      </c>
      <c r="F608" s="359">
        <f t="shared" si="595"/>
        <v>25470998.141845852</v>
      </c>
      <c r="G608" s="359">
        <f>'DRE + DCF'!$W$31</f>
        <v>2791623.3540418856</v>
      </c>
      <c r="H608" s="359">
        <f>'DRE + DCF'!$W$32</f>
        <v>81081.931703745853</v>
      </c>
      <c r="I608" s="359">
        <f>-H608*('DRE + DCF'!$V$33+K608)/'DRE + DCF'!$V$33</f>
        <v>-90858.801614444121</v>
      </c>
      <c r="J608" s="359">
        <f>-'DRE + DCF'!$V$56*L608</f>
        <v>-1188924.4255577971</v>
      </c>
      <c r="K608" s="360">
        <f>(1+L608)/(1+Ke!$O$12)-1</f>
        <v>2.0000000000000018E-2</v>
      </c>
      <c r="L608" s="360">
        <f>'DRE + DCF'!$Y$31</f>
        <v>7.3550000000000004E-2</v>
      </c>
      <c r="M608" s="361">
        <f>(1+D608)^((5-Dashboard!$F$9)*3/12)</f>
        <v>1.0985770218547515</v>
      </c>
      <c r="N608" s="361">
        <f t="shared" ref="N608:V608" si="615">M608*(1+$D608)</f>
        <v>1.2452919831234541</v>
      </c>
      <c r="O608" s="361">
        <f t="shared" si="615"/>
        <v>1.4116007274695921</v>
      </c>
      <c r="P608" s="361">
        <f t="shared" si="615"/>
        <v>1.6001200046231567</v>
      </c>
      <c r="Q608" s="361">
        <f t="shared" si="615"/>
        <v>1.8138160312405802</v>
      </c>
      <c r="R608" s="361">
        <f t="shared" si="615"/>
        <v>2.0560511622127606</v>
      </c>
      <c r="S608" s="361">
        <f t="shared" si="615"/>
        <v>2.3306367949262756</v>
      </c>
      <c r="T608" s="361">
        <f t="shared" si="615"/>
        <v>2.6418933388886807</v>
      </c>
      <c r="U608" s="361">
        <f t="shared" si="615"/>
        <v>2.9947181942972652</v>
      </c>
      <c r="V608" s="362">
        <f t="shared" si="615"/>
        <v>3.3946628091456663</v>
      </c>
      <c r="X608" s="351"/>
    </row>
    <row r="609" spans="3:24" ht="24.75" customHeight="1" x14ac:dyDescent="0.3">
      <c r="C609" s="353">
        <f>ABS(E609-Dashboard!$F$14)</f>
        <v>117.80288520911007</v>
      </c>
      <c r="D609" s="350">
        <f t="shared" si="597"/>
        <v>0.13365000000000052</v>
      </c>
      <c r="E609" s="359" cm="1">
        <f t="array" ref="E609">1000*SUM('DRE + DCF'!$L$36/M609,'DRE + DCF'!$N$36:$V$36/N609:V609,F609/V609)/Dashboard!$F$11</f>
        <v>214.79288520911007</v>
      </c>
      <c r="F609" s="359">
        <f t="shared" si="595"/>
        <v>25438891.229046054</v>
      </c>
      <c r="G609" s="359">
        <f>'DRE + DCF'!$W$31</f>
        <v>2791623.3540418856</v>
      </c>
      <c r="H609" s="359">
        <f>'DRE + DCF'!$W$32</f>
        <v>81081.931703745853</v>
      </c>
      <c r="I609" s="359">
        <f>-H609*('DRE + DCF'!$V$33+K609)/'DRE + DCF'!$V$33</f>
        <v>-90858.801614444121</v>
      </c>
      <c r="J609" s="359">
        <f>-'DRE + DCF'!$V$56*L609</f>
        <v>-1188924.4255577971</v>
      </c>
      <c r="K609" s="360">
        <f>(1+L609)/(1+Ke!$O$12)-1</f>
        <v>2.0000000000000018E-2</v>
      </c>
      <c r="L609" s="360">
        <f>'DRE + DCF'!$Y$31</f>
        <v>7.3550000000000004E-2</v>
      </c>
      <c r="M609" s="361">
        <f>(1+D609)^((5-Dashboard!$F$9)*3/12)</f>
        <v>1.098649707107362</v>
      </c>
      <c r="N609" s="361">
        <f t="shared" ref="N609:V609" si="616">M609*(1+$D609)</f>
        <v>1.2454842404622615</v>
      </c>
      <c r="O609" s="361">
        <f t="shared" si="616"/>
        <v>1.4119432092000432</v>
      </c>
      <c r="P609" s="361">
        <f t="shared" si="616"/>
        <v>1.6006494191096297</v>
      </c>
      <c r="Q609" s="361">
        <f t="shared" si="616"/>
        <v>1.8145762139736323</v>
      </c>
      <c r="R609" s="361">
        <f t="shared" si="616"/>
        <v>2.0570943249712093</v>
      </c>
      <c r="S609" s="361">
        <f t="shared" si="616"/>
        <v>2.3320249815036123</v>
      </c>
      <c r="T609" s="361">
        <f t="shared" si="616"/>
        <v>2.6437001202815713</v>
      </c>
      <c r="U609" s="361">
        <f t="shared" si="616"/>
        <v>2.9970306413572048</v>
      </c>
      <c r="V609" s="362">
        <f t="shared" si="616"/>
        <v>3.3975837865745966</v>
      </c>
      <c r="X609" s="351"/>
    </row>
    <row r="610" spans="3:24" ht="24.75" customHeight="1" x14ac:dyDescent="0.3">
      <c r="C610" s="353">
        <f>ABS(E610-Dashboard!$F$14)</f>
        <v>117.48142293130799</v>
      </c>
      <c r="D610" s="350">
        <f t="shared" si="597"/>
        <v>0.13375000000000051</v>
      </c>
      <c r="E610" s="359" cm="1">
        <f t="array" ref="E610">1000*SUM('DRE + DCF'!$L$36/M610,'DRE + DCF'!$N$36:$V$36/N610:V610,F610/V610)/Dashboard!$F$11</f>
        <v>214.47142293130798</v>
      </c>
      <c r="F610" s="359">
        <f t="shared" si="595"/>
        <v>25406875.646087147</v>
      </c>
      <c r="G610" s="359">
        <f>'DRE + DCF'!$W$31</f>
        <v>2791623.3540418856</v>
      </c>
      <c r="H610" s="359">
        <f>'DRE + DCF'!$W$32</f>
        <v>81081.931703745853</v>
      </c>
      <c r="I610" s="359">
        <f>-H610*('DRE + DCF'!$V$33+K610)/'DRE + DCF'!$V$33</f>
        <v>-90858.801614444121</v>
      </c>
      <c r="J610" s="359">
        <f>-'DRE + DCF'!$V$56*L610</f>
        <v>-1188924.4255577971</v>
      </c>
      <c r="K610" s="360">
        <f>(1+L610)/(1+Ke!$O$12)-1</f>
        <v>2.0000000000000018E-2</v>
      </c>
      <c r="L610" s="360">
        <f>'DRE + DCF'!$Y$31</f>
        <v>7.3550000000000004E-2</v>
      </c>
      <c r="M610" s="361">
        <f>(1+D610)^((5-Dashboard!$F$9)*3/12)</f>
        <v>1.0987223907570871</v>
      </c>
      <c r="N610" s="361">
        <f t="shared" ref="N610:V610" si="617">M610*(1+$D610)</f>
        <v>1.245676510520848</v>
      </c>
      <c r="O610" s="361">
        <f t="shared" si="617"/>
        <v>1.4122857438030121</v>
      </c>
      <c r="P610" s="361">
        <f t="shared" si="617"/>
        <v>1.6011789620366657</v>
      </c>
      <c r="Q610" s="361">
        <f t="shared" si="617"/>
        <v>1.8153366482090705</v>
      </c>
      <c r="R610" s="361">
        <f t="shared" si="617"/>
        <v>2.0581379249070344</v>
      </c>
      <c r="S610" s="361">
        <f t="shared" si="617"/>
        <v>2.3334138723633511</v>
      </c>
      <c r="T610" s="361">
        <f t="shared" si="617"/>
        <v>2.6455079777919503</v>
      </c>
      <c r="U610" s="361">
        <f t="shared" si="617"/>
        <v>2.9993446698216251</v>
      </c>
      <c r="V610" s="362">
        <f t="shared" si="617"/>
        <v>3.4005070194102687</v>
      </c>
      <c r="X610" s="351"/>
    </row>
    <row r="611" spans="3:24" ht="24.75" customHeight="1" x14ac:dyDescent="0.3">
      <c r="C611" s="353">
        <f>ABS(E611-Dashboard!$F$14)</f>
        <v>117.16086127350825</v>
      </c>
      <c r="D611" s="350">
        <f t="shared" si="597"/>
        <v>0.1338500000000005</v>
      </c>
      <c r="E611" s="359" cm="1">
        <f t="array" ref="E611">1000*SUM('DRE + DCF'!$L$36/M611,'DRE + DCF'!$N$36:$V$36/N611:V611,F611/V611)/Dashboard!$F$11</f>
        <v>214.15086127350824</v>
      </c>
      <c r="F611" s="359">
        <f t="shared" si="595"/>
        <v>25374950.972911298</v>
      </c>
      <c r="G611" s="359">
        <f>'DRE + DCF'!$W$31</f>
        <v>2791623.3540418856</v>
      </c>
      <c r="H611" s="359">
        <f>'DRE + DCF'!$W$32</f>
        <v>81081.931703745853</v>
      </c>
      <c r="I611" s="359">
        <f>-H611*('DRE + DCF'!$V$33+K611)/'DRE + DCF'!$V$33</f>
        <v>-90858.801614444121</v>
      </c>
      <c r="J611" s="359">
        <f>-'DRE + DCF'!$V$56*L611</f>
        <v>-1188924.4255577971</v>
      </c>
      <c r="K611" s="360">
        <f>(1+L611)/(1+Ke!$O$12)-1</f>
        <v>2.0000000000000018E-2</v>
      </c>
      <c r="L611" s="360">
        <f>'DRE + DCF'!$Y$31</f>
        <v>7.3550000000000004E-2</v>
      </c>
      <c r="M611" s="361">
        <f>(1+D611)^((5-Dashboard!$F$9)*3/12)</f>
        <v>1.0987950728041034</v>
      </c>
      <c r="N611" s="361">
        <f t="shared" ref="N611:V611" si="618">M611*(1+$D611)</f>
        <v>1.2458687932989332</v>
      </c>
      <c r="O611" s="361">
        <f t="shared" si="618"/>
        <v>1.4126283312819961</v>
      </c>
      <c r="P611" s="361">
        <f t="shared" si="618"/>
        <v>1.601708633424092</v>
      </c>
      <c r="Q611" s="361">
        <f t="shared" si="618"/>
        <v>1.8160973340079074</v>
      </c>
      <c r="R611" s="361">
        <f t="shared" si="618"/>
        <v>2.0591819621648666</v>
      </c>
      <c r="S611" s="361">
        <f t="shared" si="618"/>
        <v>2.3348034678006351</v>
      </c>
      <c r="T611" s="361">
        <f t="shared" si="618"/>
        <v>2.6473169119657514</v>
      </c>
      <c r="U611" s="361">
        <f t="shared" si="618"/>
        <v>3.0016602806323682</v>
      </c>
      <c r="V611" s="362">
        <f t="shared" si="618"/>
        <v>3.4034325091950119</v>
      </c>
      <c r="X611" s="351"/>
    </row>
    <row r="612" spans="3:24" ht="24.75" customHeight="1" x14ac:dyDescent="0.3">
      <c r="C612" s="353">
        <f>ABS(E612-Dashboard!$F$14)</f>
        <v>116.84119627598393</v>
      </c>
      <c r="D612" s="350">
        <f t="shared" si="597"/>
        <v>0.13395000000000049</v>
      </c>
      <c r="E612" s="359" cm="1">
        <f t="array" ref="E612">1000*SUM('DRE + DCF'!$L$36/M612,'DRE + DCF'!$N$36:$V$36/N612:V612,F612/V612)/Dashboard!$F$11</f>
        <v>213.83119627598393</v>
      </c>
      <c r="F612" s="359">
        <f t="shared" si="595"/>
        <v>25343116.79214019</v>
      </c>
      <c r="G612" s="359">
        <f>'DRE + DCF'!$W$31</f>
        <v>2791623.3540418856</v>
      </c>
      <c r="H612" s="359">
        <f>'DRE + DCF'!$W$32</f>
        <v>81081.931703745853</v>
      </c>
      <c r="I612" s="359">
        <f>-H612*('DRE + DCF'!$V$33+K612)/'DRE + DCF'!$V$33</f>
        <v>-90858.801614444121</v>
      </c>
      <c r="J612" s="359">
        <f>-'DRE + DCF'!$V$56*L612</f>
        <v>-1188924.4255577971</v>
      </c>
      <c r="K612" s="360">
        <f>(1+L612)/(1+Ke!$O$12)-1</f>
        <v>2.0000000000000018E-2</v>
      </c>
      <c r="L612" s="360">
        <f>'DRE + DCF'!$Y$31</f>
        <v>7.3550000000000004E-2</v>
      </c>
      <c r="M612" s="361">
        <f>(1+D612)^((5-Dashboard!$F$9)*3/12)</f>
        <v>1.0988677532485873</v>
      </c>
      <c r="N612" s="361">
        <f t="shared" ref="N612:V612" si="619">M612*(1+$D612)</f>
        <v>1.246061088796236</v>
      </c>
      <c r="O612" s="361">
        <f t="shared" si="619"/>
        <v>1.4129709716404923</v>
      </c>
      <c r="P612" s="361">
        <f t="shared" si="619"/>
        <v>1.602238433291737</v>
      </c>
      <c r="Q612" s="361">
        <f t="shared" si="619"/>
        <v>1.8168582714311658</v>
      </c>
      <c r="R612" s="361">
        <f t="shared" si="619"/>
        <v>2.0602264368893715</v>
      </c>
      <c r="S612" s="361">
        <f t="shared" si="619"/>
        <v>2.3361937681107037</v>
      </c>
      <c r="T612" s="361">
        <f t="shared" si="619"/>
        <v>2.6491269233491335</v>
      </c>
      <c r="U612" s="361">
        <f t="shared" si="619"/>
        <v>3.0039774747317511</v>
      </c>
      <c r="V612" s="362">
        <f t="shared" si="619"/>
        <v>3.4063602574720706</v>
      </c>
      <c r="X612" s="351"/>
    </row>
    <row r="613" spans="3:24" ht="24.75" customHeight="1" x14ac:dyDescent="0.3">
      <c r="C613" s="353">
        <f>ABS(E613-Dashboard!$F$14)</f>
        <v>116.52242400347141</v>
      </c>
      <c r="D613" s="350">
        <f t="shared" si="597"/>
        <v>0.13405000000000047</v>
      </c>
      <c r="E613" s="359" cm="1">
        <f t="array" ref="E613">1000*SUM('DRE + DCF'!$L$36/M613,'DRE + DCF'!$N$36:$V$36/N613:V613,F613/V613)/Dashboard!$F$11</f>
        <v>213.51242400347141</v>
      </c>
      <c r="F613" s="359">
        <f t="shared" si="595"/>
        <v>25311372.689053271</v>
      </c>
      <c r="G613" s="359">
        <f>'DRE + DCF'!$W$31</f>
        <v>2791623.3540418856</v>
      </c>
      <c r="H613" s="359">
        <f>'DRE + DCF'!$W$32</f>
        <v>81081.931703745853</v>
      </c>
      <c r="I613" s="359">
        <f>-H613*('DRE + DCF'!$V$33+K613)/'DRE + DCF'!$V$33</f>
        <v>-90858.801614444121</v>
      </c>
      <c r="J613" s="359">
        <f>-'DRE + DCF'!$V$56*L613</f>
        <v>-1188924.4255577971</v>
      </c>
      <c r="K613" s="360">
        <f>(1+L613)/(1+Ke!$O$12)-1</f>
        <v>2.0000000000000018E-2</v>
      </c>
      <c r="L613" s="360">
        <f>'DRE + DCF'!$Y$31</f>
        <v>7.3550000000000004E-2</v>
      </c>
      <c r="M613" s="361">
        <f>(1+D613)^((5-Dashboard!$F$9)*3/12)</f>
        <v>1.0989404320907157</v>
      </c>
      <c r="N613" s="361">
        <f t="shared" ref="N613:V613" si="620">M613*(1+$D613)</f>
        <v>1.2462533970124765</v>
      </c>
      <c r="O613" s="361">
        <f t="shared" si="620"/>
        <v>1.4133136648819995</v>
      </c>
      <c r="P613" s="361">
        <f t="shared" si="620"/>
        <v>1.6027683616594322</v>
      </c>
      <c r="Q613" s="361">
        <f t="shared" si="620"/>
        <v>1.8176194605398797</v>
      </c>
      <c r="R613" s="361">
        <f t="shared" si="620"/>
        <v>2.0612713492252515</v>
      </c>
      <c r="S613" s="361">
        <f t="shared" si="620"/>
        <v>2.3375847735888975</v>
      </c>
      <c r="T613" s="361">
        <f t="shared" si="620"/>
        <v>2.6509380124884903</v>
      </c>
      <c r="U613" s="361">
        <f t="shared" si="620"/>
        <v>3.0062962530625734</v>
      </c>
      <c r="V613" s="362">
        <f t="shared" si="620"/>
        <v>3.4092902657856126</v>
      </c>
      <c r="X613" s="351"/>
    </row>
    <row r="614" spans="3:24" ht="24.75" customHeight="1" x14ac:dyDescent="0.3">
      <c r="C614" s="353">
        <f>ABS(E614-Dashboard!$F$14)</f>
        <v>116.20454054497539</v>
      </c>
      <c r="D614" s="350">
        <f t="shared" si="597"/>
        <v>0.13415000000000046</v>
      </c>
      <c r="E614" s="359" cm="1">
        <f t="array" ref="E614">1000*SUM('DRE + DCF'!$L$36/M614,'DRE + DCF'!$N$36:$V$36/N614:V614,F614/V614)/Dashboard!$F$11</f>
        <v>213.19454054497538</v>
      </c>
      <c r="F614" s="359">
        <f t="shared" si="595"/>
        <v>25279718.251566201</v>
      </c>
      <c r="G614" s="359">
        <f>'DRE + DCF'!$W$31</f>
        <v>2791623.3540418856</v>
      </c>
      <c r="H614" s="359">
        <f>'DRE + DCF'!$W$32</f>
        <v>81081.931703745853</v>
      </c>
      <c r="I614" s="359">
        <f>-H614*('DRE + DCF'!$V$33+K614)/'DRE + DCF'!$V$33</f>
        <v>-90858.801614444121</v>
      </c>
      <c r="J614" s="359">
        <f>-'DRE + DCF'!$V$56*L614</f>
        <v>-1188924.4255577971</v>
      </c>
      <c r="K614" s="360">
        <f>(1+L614)/(1+Ke!$O$12)-1</f>
        <v>2.0000000000000018E-2</v>
      </c>
      <c r="L614" s="360">
        <f>'DRE + DCF'!$Y$31</f>
        <v>7.3550000000000004E-2</v>
      </c>
      <c r="M614" s="361">
        <f>(1+D614)^((5-Dashboard!$F$9)*3/12)</f>
        <v>1.099013109330665</v>
      </c>
      <c r="N614" s="361">
        <f t="shared" ref="N614:V614" si="621">M614*(1+$D614)</f>
        <v>1.2464457179473742</v>
      </c>
      <c r="O614" s="361">
        <f t="shared" si="621"/>
        <v>1.4136564110100149</v>
      </c>
      <c r="P614" s="361">
        <f t="shared" si="621"/>
        <v>1.6032984185470092</v>
      </c>
      <c r="Q614" s="361">
        <f t="shared" si="621"/>
        <v>1.8183809013950911</v>
      </c>
      <c r="R614" s="361">
        <f t="shared" si="621"/>
        <v>2.0623166993172433</v>
      </c>
      <c r="S614" s="361">
        <f t="shared" si="621"/>
        <v>2.3389764845306522</v>
      </c>
      <c r="T614" s="361">
        <f t="shared" si="621"/>
        <v>2.65275017993044</v>
      </c>
      <c r="U614" s="361">
        <f t="shared" si="621"/>
        <v>3.0086166165681099</v>
      </c>
      <c r="V614" s="362">
        <f t="shared" si="621"/>
        <v>3.4122225356807232</v>
      </c>
      <c r="X614" s="351"/>
    </row>
    <row r="615" spans="3:24" ht="24.75" customHeight="1" x14ac:dyDescent="0.3">
      <c r="C615" s="353">
        <f>ABS(E615-Dashboard!$F$14)</f>
        <v>115.88754201357547</v>
      </c>
      <c r="D615" s="350">
        <f t="shared" si="597"/>
        <v>0.13425000000000045</v>
      </c>
      <c r="E615" s="359" cm="1">
        <f t="array" ref="E615">1000*SUM('DRE + DCF'!$L$36/M615,'DRE + DCF'!$N$36:$V$36/N615:V615,F615/V615)/Dashboard!$F$11</f>
        <v>212.87754201357546</v>
      </c>
      <c r="F615" s="359">
        <f t="shared" si="595"/>
        <v>25248153.070209522</v>
      </c>
      <c r="G615" s="359">
        <f>'DRE + DCF'!$W$31</f>
        <v>2791623.3540418856</v>
      </c>
      <c r="H615" s="359">
        <f>'DRE + DCF'!$W$32</f>
        <v>81081.931703745853</v>
      </c>
      <c r="I615" s="359">
        <f>-H615*('DRE + DCF'!$V$33+K615)/'DRE + DCF'!$V$33</f>
        <v>-90858.801614444121</v>
      </c>
      <c r="J615" s="359">
        <f>-'DRE + DCF'!$V$56*L615</f>
        <v>-1188924.4255577971</v>
      </c>
      <c r="K615" s="360">
        <f>(1+L615)/(1+Ke!$O$12)-1</f>
        <v>2.0000000000000018E-2</v>
      </c>
      <c r="L615" s="360">
        <f>'DRE + DCF'!$Y$31</f>
        <v>7.3550000000000004E-2</v>
      </c>
      <c r="M615" s="361">
        <f>(1+D615)^((5-Dashboard!$F$9)*3/12)</f>
        <v>1.0990857849686122</v>
      </c>
      <c r="N615" s="361">
        <f t="shared" ref="N615:V615" si="622">M615*(1+$D615)</f>
        <v>1.2466380516006488</v>
      </c>
      <c r="O615" s="361">
        <f t="shared" si="622"/>
        <v>1.4139992100280363</v>
      </c>
      <c r="P615" s="361">
        <f t="shared" si="622"/>
        <v>1.6038286039743008</v>
      </c>
      <c r="Q615" s="361">
        <f t="shared" si="622"/>
        <v>1.8191425940578514</v>
      </c>
      <c r="R615" s="361">
        <f t="shared" si="622"/>
        <v>2.0633624873101186</v>
      </c>
      <c r="S615" s="361">
        <f t="shared" si="622"/>
        <v>2.340368901231503</v>
      </c>
      <c r="T615" s="361">
        <f t="shared" si="622"/>
        <v>2.6545634262218334</v>
      </c>
      <c r="U615" s="361">
        <f t="shared" si="622"/>
        <v>3.0109385661921158</v>
      </c>
      <c r="V615" s="362">
        <f t="shared" si="622"/>
        <v>3.4151570687034085</v>
      </c>
      <c r="X615" s="351"/>
    </row>
    <row r="616" spans="3:24" ht="24.75" customHeight="1" x14ac:dyDescent="0.3">
      <c r="C616" s="353">
        <f>ABS(E616-Dashboard!$F$14)</f>
        <v>115.5714245462347</v>
      </c>
      <c r="D616" s="350">
        <f t="shared" si="597"/>
        <v>0.13435000000000044</v>
      </c>
      <c r="E616" s="359" cm="1">
        <f t="array" ref="E616">1000*SUM('DRE + DCF'!$L$36/M616,'DRE + DCF'!$N$36:$V$36/N616:V616,F616/V616)/Dashboard!$F$11</f>
        <v>212.56142454623469</v>
      </c>
      <c r="F616" s="359">
        <f t="shared" si="595"/>
        <v>25216676.738107495</v>
      </c>
      <c r="G616" s="359">
        <f>'DRE + DCF'!$W$31</f>
        <v>2791623.3540418856</v>
      </c>
      <c r="H616" s="359">
        <f>'DRE + DCF'!$W$32</f>
        <v>81081.931703745853</v>
      </c>
      <c r="I616" s="359">
        <f>-H616*('DRE + DCF'!$V$33+K616)/'DRE + DCF'!$V$33</f>
        <v>-90858.801614444121</v>
      </c>
      <c r="J616" s="359">
        <f>-'DRE + DCF'!$V$56*L616</f>
        <v>-1188924.4255577971</v>
      </c>
      <c r="K616" s="360">
        <f>(1+L616)/(1+Ke!$O$12)-1</f>
        <v>2.0000000000000018E-2</v>
      </c>
      <c r="L616" s="360">
        <f>'DRE + DCF'!$Y$31</f>
        <v>7.3550000000000004E-2</v>
      </c>
      <c r="M616" s="361">
        <f>(1+D616)^((5-Dashboard!$F$9)*3/12)</f>
        <v>1.0991584590047334</v>
      </c>
      <c r="N616" s="361">
        <f t="shared" ref="N616:V616" si="623">M616*(1+$D616)</f>
        <v>1.2468303979720199</v>
      </c>
      <c r="O616" s="361">
        <f t="shared" si="623"/>
        <v>1.4143420619395612</v>
      </c>
      <c r="P616" s="361">
        <f t="shared" si="623"/>
        <v>1.6043589179611419</v>
      </c>
      <c r="Q616" s="361">
        <f t="shared" si="623"/>
        <v>1.8199045385892221</v>
      </c>
      <c r="R616" s="361">
        <f t="shared" si="623"/>
        <v>2.0644087133486848</v>
      </c>
      <c r="S616" s="361">
        <f t="shared" si="623"/>
        <v>2.3417620239870813</v>
      </c>
      <c r="T616" s="361">
        <f t="shared" si="623"/>
        <v>2.6563777519097469</v>
      </c>
      <c r="U616" s="361">
        <f t="shared" si="623"/>
        <v>3.0132621028788225</v>
      </c>
      <c r="V616" s="362">
        <f t="shared" si="623"/>
        <v>3.4180938664005933</v>
      </c>
      <c r="X616" s="351"/>
    </row>
    <row r="617" spans="3:24" ht="24.75" customHeight="1" x14ac:dyDescent="0.3">
      <c r="C617" s="353">
        <f>ABS(E617-Dashboard!$F$14)</f>
        <v>115.25618430361014</v>
      </c>
      <c r="D617" s="350">
        <f t="shared" si="597"/>
        <v>0.13445000000000043</v>
      </c>
      <c r="E617" s="359" cm="1">
        <f t="array" ref="E617">1000*SUM('DRE + DCF'!$L$36/M617,'DRE + DCF'!$N$36:$V$36/N617:V617,F617/V617)/Dashboard!$F$11</f>
        <v>212.24618430361014</v>
      </c>
      <c r="F617" s="359">
        <f t="shared" si="595"/>
        <v>25185288.850957222</v>
      </c>
      <c r="G617" s="359">
        <f>'DRE + DCF'!$W$31</f>
        <v>2791623.3540418856</v>
      </c>
      <c r="H617" s="359">
        <f>'DRE + DCF'!$W$32</f>
        <v>81081.931703745853</v>
      </c>
      <c r="I617" s="359">
        <f>-H617*('DRE + DCF'!$V$33+K617)/'DRE + DCF'!$V$33</f>
        <v>-90858.801614444121</v>
      </c>
      <c r="J617" s="359">
        <f>-'DRE + DCF'!$V$56*L617</f>
        <v>-1188924.4255577971</v>
      </c>
      <c r="K617" s="360">
        <f>(1+L617)/(1+Ke!$O$12)-1</f>
        <v>2.0000000000000018E-2</v>
      </c>
      <c r="L617" s="360">
        <f>'DRE + DCF'!$Y$31</f>
        <v>7.3550000000000004E-2</v>
      </c>
      <c r="M617" s="361">
        <f>(1+D617)^((5-Dashboard!$F$9)*3/12)</f>
        <v>1.0992311314392054</v>
      </c>
      <c r="N617" s="361">
        <f t="shared" ref="N617:V617" si="624">M617*(1+$D617)</f>
        <v>1.2470227570612069</v>
      </c>
      <c r="O617" s="361">
        <f t="shared" si="624"/>
        <v>1.4146849667480867</v>
      </c>
      <c r="P617" s="361">
        <f t="shared" si="624"/>
        <v>1.6048893605273675</v>
      </c>
      <c r="Q617" s="361">
        <f t="shared" si="624"/>
        <v>1.8206667350502728</v>
      </c>
      <c r="R617" s="361">
        <f t="shared" si="624"/>
        <v>2.0654553775777829</v>
      </c>
      <c r="S617" s="361">
        <f t="shared" si="624"/>
        <v>2.3431558530931165</v>
      </c>
      <c r="T617" s="361">
        <f t="shared" si="624"/>
        <v>2.6581931575414868</v>
      </c>
      <c r="U617" s="361">
        <f t="shared" si="624"/>
        <v>3.015587227572941</v>
      </c>
      <c r="V617" s="362">
        <f t="shared" si="624"/>
        <v>3.4210329303201239</v>
      </c>
      <c r="X617" s="351"/>
    </row>
    <row r="618" spans="3:24" ht="24.75" customHeight="1" x14ac:dyDescent="0.3">
      <c r="C618" s="353">
        <f>ABS(E618-Dashboard!$F$14)</f>
        <v>114.94181746986489</v>
      </c>
      <c r="D618" s="350">
        <f t="shared" si="597"/>
        <v>0.13455000000000042</v>
      </c>
      <c r="E618" s="359" cm="1">
        <f t="array" ref="E618">1000*SUM('DRE + DCF'!$L$36/M618,'DRE + DCF'!$N$36:$V$36/N618:V618,F618/V618)/Dashboard!$F$11</f>
        <v>211.93181746986488</v>
      </c>
      <c r="F618" s="359">
        <f t="shared" si="595"/>
        <v>25153989.007007897</v>
      </c>
      <c r="G618" s="359">
        <f>'DRE + DCF'!$W$31</f>
        <v>2791623.3540418856</v>
      </c>
      <c r="H618" s="359">
        <f>'DRE + DCF'!$W$32</f>
        <v>81081.931703745853</v>
      </c>
      <c r="I618" s="359">
        <f>-H618*('DRE + DCF'!$V$33+K618)/'DRE + DCF'!$V$33</f>
        <v>-90858.801614444121</v>
      </c>
      <c r="J618" s="359">
        <f>-'DRE + DCF'!$V$56*L618</f>
        <v>-1188924.4255577971</v>
      </c>
      <c r="K618" s="360">
        <f>(1+L618)/(1+Ke!$O$12)-1</f>
        <v>2.0000000000000018E-2</v>
      </c>
      <c r="L618" s="360">
        <f>'DRE + DCF'!$Y$31</f>
        <v>7.3550000000000004E-2</v>
      </c>
      <c r="M618" s="361">
        <f>(1+D618)^((5-Dashboard!$F$9)*3/12)</f>
        <v>1.0993038022722046</v>
      </c>
      <c r="N618" s="361">
        <f t="shared" ref="N618:V618" si="625">M618*(1+$D618)</f>
        <v>1.2472151288679301</v>
      </c>
      <c r="O618" s="361">
        <f t="shared" si="625"/>
        <v>1.4150279244571105</v>
      </c>
      <c r="P618" s="361">
        <f t="shared" si="625"/>
        <v>1.6054199316928153</v>
      </c>
      <c r="Q618" s="361">
        <f t="shared" si="625"/>
        <v>1.8214291835020842</v>
      </c>
      <c r="R618" s="361">
        <f t="shared" si="625"/>
        <v>2.0665024801422902</v>
      </c>
      <c r="S618" s="361">
        <f t="shared" si="625"/>
        <v>2.3445503888454362</v>
      </c>
      <c r="T618" s="361">
        <f t="shared" si="625"/>
        <v>2.6600096436645906</v>
      </c>
      <c r="U618" s="361">
        <f t="shared" si="625"/>
        <v>3.0179139412196623</v>
      </c>
      <c r="V618" s="362">
        <f t="shared" si="625"/>
        <v>3.4239742620107689</v>
      </c>
      <c r="X618" s="351"/>
    </row>
    <row r="619" spans="3:24" ht="24.75" customHeight="1" x14ac:dyDescent="0.3">
      <c r="C619" s="353">
        <f>ABS(E619-Dashboard!$F$14)</f>
        <v>114.6283202524826</v>
      </c>
      <c r="D619" s="350">
        <f t="shared" si="597"/>
        <v>0.13465000000000041</v>
      </c>
      <c r="E619" s="359" cm="1">
        <f t="array" ref="E619">1000*SUM('DRE + DCF'!$L$36/M619,'DRE + DCF'!$N$36:$V$36/N619:V619,F619/V619)/Dashboard!$F$11</f>
        <v>211.61832025248259</v>
      </c>
      <c r="F619" s="359">
        <f t="shared" si="595"/>
        <v>25122776.807040304</v>
      </c>
      <c r="G619" s="359">
        <f>'DRE + DCF'!$W$31</f>
        <v>2791623.3540418856</v>
      </c>
      <c r="H619" s="359">
        <f>'DRE + DCF'!$W$32</f>
        <v>81081.931703745853</v>
      </c>
      <c r="I619" s="359">
        <f>-H619*('DRE + DCF'!$V$33+K619)/'DRE + DCF'!$V$33</f>
        <v>-90858.801614444121</v>
      </c>
      <c r="J619" s="359">
        <f>-'DRE + DCF'!$V$56*L619</f>
        <v>-1188924.4255577971</v>
      </c>
      <c r="K619" s="360">
        <f>(1+L619)/(1+Ke!$O$12)-1</f>
        <v>2.0000000000000018E-2</v>
      </c>
      <c r="L619" s="360">
        <f>'DRE + DCF'!$Y$31</f>
        <v>7.3550000000000004E-2</v>
      </c>
      <c r="M619" s="361">
        <f>(1+D619)^((5-Dashboard!$F$9)*3/12)</f>
        <v>1.0993764715039072</v>
      </c>
      <c r="N619" s="361">
        <f t="shared" ref="N619:V619" si="626">M619*(1+$D619)</f>
        <v>1.2474075133919087</v>
      </c>
      <c r="O619" s="361">
        <f t="shared" si="626"/>
        <v>1.4153709350701296</v>
      </c>
      <c r="P619" s="361">
        <f t="shared" si="626"/>
        <v>1.6059506314773231</v>
      </c>
      <c r="Q619" s="361">
        <f t="shared" si="626"/>
        <v>1.8221918840057452</v>
      </c>
      <c r="R619" s="361">
        <f t="shared" si="626"/>
        <v>2.0675500211871194</v>
      </c>
      <c r="S619" s="361">
        <f t="shared" si="626"/>
        <v>2.3459456315399656</v>
      </c>
      <c r="T619" s="361">
        <f t="shared" si="626"/>
        <v>2.6618272108268228</v>
      </c>
      <c r="U619" s="361">
        <f t="shared" si="626"/>
        <v>3.0202422447646557</v>
      </c>
      <c r="V619" s="362">
        <f t="shared" si="626"/>
        <v>3.4269178630222177</v>
      </c>
      <c r="X619" s="351"/>
    </row>
    <row r="620" spans="3:24" ht="24.75" customHeight="1" x14ac:dyDescent="0.3">
      <c r="C620" s="353">
        <f>ABS(E620-Dashboard!$F$14)</f>
        <v>114.31568888208251</v>
      </c>
      <c r="D620" s="350">
        <f t="shared" si="597"/>
        <v>0.1347500000000004</v>
      </c>
      <c r="E620" s="359" cm="1">
        <f t="array" ref="E620">1000*SUM('DRE + DCF'!$L$36/M620,'DRE + DCF'!$N$36:$V$36/N620:V620,F620/V620)/Dashboard!$F$11</f>
        <v>211.30568888208251</v>
      </c>
      <c r="F620" s="359">
        <f t="shared" si="595"/>
        <v>25091651.854346469</v>
      </c>
      <c r="G620" s="359">
        <f>'DRE + DCF'!$W$31</f>
        <v>2791623.3540418856</v>
      </c>
      <c r="H620" s="359">
        <f>'DRE + DCF'!$W$32</f>
        <v>81081.931703745853</v>
      </c>
      <c r="I620" s="359">
        <f>-H620*('DRE + DCF'!$V$33+K620)/'DRE + DCF'!$V$33</f>
        <v>-90858.801614444121</v>
      </c>
      <c r="J620" s="359">
        <f>-'DRE + DCF'!$V$56*L620</f>
        <v>-1188924.4255577971</v>
      </c>
      <c r="K620" s="360">
        <f>(1+L620)/(1+Ke!$O$12)-1</f>
        <v>2.0000000000000018E-2</v>
      </c>
      <c r="L620" s="360">
        <f>'DRE + DCF'!$Y$31</f>
        <v>7.3550000000000004E-2</v>
      </c>
      <c r="M620" s="361">
        <f>(1+D620)^((5-Dashboard!$F$9)*3/12)</f>
        <v>1.09944913913449</v>
      </c>
      <c r="N620" s="361">
        <f t="shared" ref="N620:V620" si="627">M620*(1+$D620)</f>
        <v>1.247599910632863</v>
      </c>
      <c r="O620" s="361">
        <f t="shared" si="627"/>
        <v>1.4157139985906417</v>
      </c>
      <c r="P620" s="361">
        <f t="shared" si="627"/>
        <v>1.6064814599007313</v>
      </c>
      <c r="Q620" s="361">
        <f t="shared" si="627"/>
        <v>1.8229548366223554</v>
      </c>
      <c r="R620" s="361">
        <f t="shared" si="627"/>
        <v>2.0685980008572185</v>
      </c>
      <c r="S620" s="361">
        <f t="shared" si="627"/>
        <v>2.3473415814727292</v>
      </c>
      <c r="T620" s="361">
        <f t="shared" si="627"/>
        <v>2.6636458595761803</v>
      </c>
      <c r="U620" s="361">
        <f t="shared" si="627"/>
        <v>3.0225721391540716</v>
      </c>
      <c r="V620" s="362">
        <f t="shared" si="627"/>
        <v>3.429863734905084</v>
      </c>
      <c r="X620" s="351"/>
    </row>
    <row r="621" spans="3:24" ht="24.75" customHeight="1" x14ac:dyDescent="0.3">
      <c r="C621" s="353">
        <f>ABS(E621-Dashboard!$F$14)</f>
        <v>114.00391961223831</v>
      </c>
      <c r="D621" s="350">
        <f t="shared" si="597"/>
        <v>0.13485000000000039</v>
      </c>
      <c r="E621" s="359" cm="1">
        <f t="array" ref="E621">1000*SUM('DRE + DCF'!$L$36/M621,'DRE + DCF'!$N$36:$V$36/N621:V621,F621/V621)/Dashboard!$F$11</f>
        <v>210.9939196122383</v>
      </c>
      <c r="F621" s="359">
        <f t="shared" si="595"/>
        <v>25060613.754709598</v>
      </c>
      <c r="G621" s="359">
        <f>'DRE + DCF'!$W$31</f>
        <v>2791623.3540418856</v>
      </c>
      <c r="H621" s="359">
        <f>'DRE + DCF'!$W$32</f>
        <v>81081.931703745853</v>
      </c>
      <c r="I621" s="359">
        <f>-H621*('DRE + DCF'!$V$33+K621)/'DRE + DCF'!$V$33</f>
        <v>-90858.801614444121</v>
      </c>
      <c r="J621" s="359">
        <f>-'DRE + DCF'!$V$56*L621</f>
        <v>-1188924.4255577971</v>
      </c>
      <c r="K621" s="360">
        <f>(1+L621)/(1+Ke!$O$12)-1</f>
        <v>2.0000000000000018E-2</v>
      </c>
      <c r="L621" s="360">
        <f>'DRE + DCF'!$Y$31</f>
        <v>7.3550000000000004E-2</v>
      </c>
      <c r="M621" s="361">
        <f>(1+D621)^((5-Dashboard!$F$9)*3/12)</f>
        <v>1.0995218051641291</v>
      </c>
      <c r="N621" s="361">
        <f t="shared" ref="N621:V621" si="628">M621*(1+$D621)</f>
        <v>1.2477923205905124</v>
      </c>
      <c r="O621" s="361">
        <f t="shared" si="628"/>
        <v>1.4160571150221435</v>
      </c>
      <c r="P621" s="361">
        <f t="shared" si="628"/>
        <v>1.6070124169828801</v>
      </c>
      <c r="Q621" s="361">
        <f t="shared" si="628"/>
        <v>1.8237180414130221</v>
      </c>
      <c r="R621" s="361">
        <f t="shared" si="628"/>
        <v>2.0696464192975688</v>
      </c>
      <c r="S621" s="361">
        <f t="shared" si="628"/>
        <v>2.3487382389398466</v>
      </c>
      <c r="T621" s="361">
        <f t="shared" si="628"/>
        <v>2.6654655904608857</v>
      </c>
      <c r="U621" s="361">
        <f t="shared" si="628"/>
        <v>3.0249036253345372</v>
      </c>
      <c r="V621" s="362">
        <f t="shared" si="628"/>
        <v>3.4328118792109006</v>
      </c>
      <c r="X621" s="351"/>
    </row>
    <row r="622" spans="3:24" ht="24.75" customHeight="1" x14ac:dyDescent="0.3">
      <c r="C622" s="353">
        <f>ABS(E622-Dashboard!$F$14)</f>
        <v>113.69300871929643</v>
      </c>
      <c r="D622" s="350">
        <f t="shared" si="597"/>
        <v>0.13495000000000038</v>
      </c>
      <c r="E622" s="359" cm="1">
        <f t="array" ref="E622">1000*SUM('DRE + DCF'!$L$36/M622,'DRE + DCF'!$N$36:$V$36/N622:V622,F622/V622)/Dashboard!$F$11</f>
        <v>210.68300871929642</v>
      </c>
      <c r="F622" s="359">
        <f t="shared" si="595"/>
        <v>25029662.116384089</v>
      </c>
      <c r="G622" s="359">
        <f>'DRE + DCF'!$W$31</f>
        <v>2791623.3540418856</v>
      </c>
      <c r="H622" s="359">
        <f>'DRE + DCF'!$W$32</f>
        <v>81081.931703745853</v>
      </c>
      <c r="I622" s="359">
        <f>-H622*('DRE + DCF'!$V$33+K622)/'DRE + DCF'!$V$33</f>
        <v>-90858.801614444121</v>
      </c>
      <c r="J622" s="359">
        <f>-'DRE + DCF'!$V$56*L622</f>
        <v>-1188924.4255577971</v>
      </c>
      <c r="K622" s="360">
        <f>(1+L622)/(1+Ke!$O$12)-1</f>
        <v>2.0000000000000018E-2</v>
      </c>
      <c r="L622" s="360">
        <f>'DRE + DCF'!$Y$31</f>
        <v>7.3550000000000004E-2</v>
      </c>
      <c r="M622" s="361">
        <f>(1+D622)^((5-Dashboard!$F$9)*3/12)</f>
        <v>1.0995944695930011</v>
      </c>
      <c r="N622" s="361">
        <f t="shared" ref="N622:V622" si="629">M622*(1+$D622)</f>
        <v>1.247984743264577</v>
      </c>
      <c r="O622" s="361">
        <f t="shared" si="629"/>
        <v>1.416400284368132</v>
      </c>
      <c r="P622" s="361">
        <f t="shared" si="629"/>
        <v>1.607543502743612</v>
      </c>
      <c r="Q622" s="361">
        <f t="shared" si="629"/>
        <v>1.8244814984388631</v>
      </c>
      <c r="R622" s="361">
        <f t="shared" si="629"/>
        <v>2.0706952766531881</v>
      </c>
      <c r="S622" s="361">
        <f t="shared" si="629"/>
        <v>2.3501356042375368</v>
      </c>
      <c r="T622" s="361">
        <f t="shared" si="629"/>
        <v>2.6672864040293933</v>
      </c>
      <c r="U622" s="361">
        <f t="shared" si="629"/>
        <v>3.0272367042531609</v>
      </c>
      <c r="V622" s="362">
        <f t="shared" si="629"/>
        <v>3.435762297492126</v>
      </c>
      <c r="X622" s="351"/>
    </row>
    <row r="623" spans="3:24" ht="24.75" customHeight="1" x14ac:dyDescent="0.3">
      <c r="C623" s="353">
        <f>ABS(E623-Dashboard!$F$14)</f>
        <v>113.38295250219794</v>
      </c>
      <c r="D623" s="350">
        <f t="shared" si="597"/>
        <v>0.13505000000000036</v>
      </c>
      <c r="E623" s="359" cm="1">
        <f t="array" ref="E623">1000*SUM('DRE + DCF'!$L$36/M623,'DRE + DCF'!$N$36:$V$36/N623:V623,F623/V623)/Dashboard!$F$11</f>
        <v>210.37295250219793</v>
      </c>
      <c r="F623" s="359">
        <f t="shared" si="595"/>
        <v>24998796.550075833</v>
      </c>
      <c r="G623" s="359">
        <f>'DRE + DCF'!$W$31</f>
        <v>2791623.3540418856</v>
      </c>
      <c r="H623" s="359">
        <f>'DRE + DCF'!$W$32</f>
        <v>81081.931703745853</v>
      </c>
      <c r="I623" s="359">
        <f>-H623*('DRE + DCF'!$V$33+K623)/'DRE + DCF'!$V$33</f>
        <v>-90858.801614444121</v>
      </c>
      <c r="J623" s="359">
        <f>-'DRE + DCF'!$V$56*L623</f>
        <v>-1188924.4255577971</v>
      </c>
      <c r="K623" s="360">
        <f>(1+L623)/(1+Ke!$O$12)-1</f>
        <v>2.0000000000000018E-2</v>
      </c>
      <c r="L623" s="360">
        <f>'DRE + DCF'!$Y$31</f>
        <v>7.3550000000000004E-2</v>
      </c>
      <c r="M623" s="361">
        <f>(1+D623)^((5-Dashboard!$F$9)*3/12)</f>
        <v>1.0996671324212821</v>
      </c>
      <c r="N623" s="361">
        <f t="shared" ref="N623:V623" si="630">M623*(1+$D623)</f>
        <v>1.2481771786547766</v>
      </c>
      <c r="O623" s="361">
        <f t="shared" si="630"/>
        <v>1.4167435066321046</v>
      </c>
      <c r="P623" s="361">
        <f t="shared" si="630"/>
        <v>1.6080747172027707</v>
      </c>
      <c r="Q623" s="361">
        <f t="shared" si="630"/>
        <v>1.8252452077610055</v>
      </c>
      <c r="R623" s="361">
        <f t="shared" si="630"/>
        <v>2.0717445730691297</v>
      </c>
      <c r="S623" s="361">
        <f t="shared" si="630"/>
        <v>2.3515336776621165</v>
      </c>
      <c r="T623" s="361">
        <f t="shared" si="630"/>
        <v>2.669108300830386</v>
      </c>
      <c r="U623" s="361">
        <f t="shared" si="630"/>
        <v>3.0295713768575303</v>
      </c>
      <c r="V623" s="362">
        <f t="shared" si="630"/>
        <v>3.4387149913021409</v>
      </c>
      <c r="X623" s="351"/>
    </row>
    <row r="624" spans="3:24" ht="24.75" customHeight="1" x14ac:dyDescent="0.3">
      <c r="C624" s="353">
        <f>ABS(E624-Dashboard!$F$14)</f>
        <v>113.07374728230083</v>
      </c>
      <c r="D624" s="350">
        <f t="shared" si="597"/>
        <v>0.13515000000000035</v>
      </c>
      <c r="E624" s="359" cm="1">
        <f t="array" ref="E624">1000*SUM('DRE + DCF'!$L$36/M624,'DRE + DCF'!$N$36:$V$36/N624:V624,F624/V624)/Dashboard!$F$11</f>
        <v>210.06374728230082</v>
      </c>
      <c r="F624" s="359">
        <f t="shared" si="595"/>
        <v>24968016.66892267</v>
      </c>
      <c r="G624" s="359">
        <f>'DRE + DCF'!$W$31</f>
        <v>2791623.3540418856</v>
      </c>
      <c r="H624" s="359">
        <f>'DRE + DCF'!$W$32</f>
        <v>81081.931703745853</v>
      </c>
      <c r="I624" s="359">
        <f>-H624*('DRE + DCF'!$V$33+K624)/'DRE + DCF'!$V$33</f>
        <v>-90858.801614444121</v>
      </c>
      <c r="J624" s="359">
        <f>-'DRE + DCF'!$V$56*L624</f>
        <v>-1188924.4255577971</v>
      </c>
      <c r="K624" s="360">
        <f>(1+L624)/(1+Ke!$O$12)-1</f>
        <v>2.0000000000000018E-2</v>
      </c>
      <c r="L624" s="360">
        <f>'DRE + DCF'!$Y$31</f>
        <v>7.3550000000000004E-2</v>
      </c>
      <c r="M624" s="361">
        <f>(1+D624)^((5-Dashboard!$F$9)*3/12)</f>
        <v>1.0997397936491482</v>
      </c>
      <c r="N624" s="361">
        <f t="shared" ref="N624:V624" si="631">M624*(1+$D624)</f>
        <v>1.2483696267608309</v>
      </c>
      <c r="O624" s="361">
        <f t="shared" si="631"/>
        <v>1.4170867818175577</v>
      </c>
      <c r="P624" s="361">
        <f t="shared" si="631"/>
        <v>1.608606060380201</v>
      </c>
      <c r="Q624" s="361">
        <f t="shared" si="631"/>
        <v>1.8260091694405858</v>
      </c>
      <c r="R624" s="361">
        <f t="shared" si="631"/>
        <v>2.0727943086904816</v>
      </c>
      <c r="S624" s="361">
        <f t="shared" si="631"/>
        <v>2.3529324595100007</v>
      </c>
      <c r="T624" s="361">
        <f t="shared" si="631"/>
        <v>2.6709312814127779</v>
      </c>
      <c r="U624" s="361">
        <f t="shared" si="631"/>
        <v>3.0319076440957158</v>
      </c>
      <c r="V624" s="362">
        <f t="shared" si="631"/>
        <v>3.4416699621952529</v>
      </c>
      <c r="X624" s="351"/>
    </row>
    <row r="625" spans="3:24" ht="24.75" customHeight="1" x14ac:dyDescent="0.3">
      <c r="C625" s="353">
        <f>ABS(E625-Dashboard!$F$14)</f>
        <v>112.76538940320488</v>
      </c>
      <c r="D625" s="350">
        <f t="shared" si="597"/>
        <v>0.13525000000000034</v>
      </c>
      <c r="E625" s="359" cm="1">
        <f t="array" ref="E625">1000*SUM('DRE + DCF'!$L$36/M625,'DRE + DCF'!$N$36:$V$36/N625:V625,F625/V625)/Dashboard!$F$11</f>
        <v>209.75538940320487</v>
      </c>
      <c r="F625" s="359">
        <f t="shared" si="595"/>
        <v>24937322.088475026</v>
      </c>
      <c r="G625" s="359">
        <f>'DRE + DCF'!$W$31</f>
        <v>2791623.3540418856</v>
      </c>
      <c r="H625" s="359">
        <f>'DRE + DCF'!$W$32</f>
        <v>81081.931703745853</v>
      </c>
      <c r="I625" s="359">
        <f>-H625*('DRE + DCF'!$V$33+K625)/'DRE + DCF'!$V$33</f>
        <v>-90858.801614444121</v>
      </c>
      <c r="J625" s="359">
        <f>-'DRE + DCF'!$V$56*L625</f>
        <v>-1188924.4255577971</v>
      </c>
      <c r="K625" s="360">
        <f>(1+L625)/(1+Ke!$O$12)-1</f>
        <v>2.0000000000000018E-2</v>
      </c>
      <c r="L625" s="360">
        <f>'DRE + DCF'!$Y$31</f>
        <v>7.3550000000000004E-2</v>
      </c>
      <c r="M625" s="361">
        <f>(1+D625)^((5-Dashboard!$F$9)*3/12)</f>
        <v>1.0998124532767761</v>
      </c>
      <c r="N625" s="361">
        <f t="shared" ref="N625:V625" si="632">M625*(1+$D625)</f>
        <v>1.2485620875824603</v>
      </c>
      <c r="O625" s="361">
        <f t="shared" si="632"/>
        <v>1.4174301099279885</v>
      </c>
      <c r="P625" s="361">
        <f t="shared" si="632"/>
        <v>1.6091375322957493</v>
      </c>
      <c r="Q625" s="361">
        <f t="shared" si="632"/>
        <v>1.8267733835387499</v>
      </c>
      <c r="R625" s="361">
        <f t="shared" si="632"/>
        <v>2.0738444836623664</v>
      </c>
      <c r="S625" s="361">
        <f t="shared" si="632"/>
        <v>2.354331950077702</v>
      </c>
      <c r="T625" s="361">
        <f t="shared" si="632"/>
        <v>2.6727553463257121</v>
      </c>
      <c r="U625" s="361">
        <f t="shared" si="632"/>
        <v>3.0342455069162657</v>
      </c>
      <c r="V625" s="362">
        <f t="shared" si="632"/>
        <v>3.4446272117266914</v>
      </c>
      <c r="X625" s="351"/>
    </row>
    <row r="626" spans="3:24" ht="24.75" customHeight="1" x14ac:dyDescent="0.3">
      <c r="C626" s="353">
        <f>ABS(E626-Dashboard!$F$14)</f>
        <v>112.45787523057793</v>
      </c>
      <c r="D626" s="350">
        <f t="shared" si="597"/>
        <v>0.13535000000000033</v>
      </c>
      <c r="E626" s="359" cm="1">
        <f t="array" ref="E626">1000*SUM('DRE + DCF'!$L$36/M626,'DRE + DCF'!$N$36:$V$36/N626:V626,F626/V626)/Dashboard!$F$11</f>
        <v>209.44787523057792</v>
      </c>
      <c r="F626" s="359">
        <f t="shared" si="595"/>
        <v>24906712.42667675</v>
      </c>
      <c r="G626" s="359">
        <f>'DRE + DCF'!$W$31</f>
        <v>2791623.3540418856</v>
      </c>
      <c r="H626" s="359">
        <f>'DRE + DCF'!$W$32</f>
        <v>81081.931703745853</v>
      </c>
      <c r="I626" s="359">
        <f>-H626*('DRE + DCF'!$V$33+K626)/'DRE + DCF'!$V$33</f>
        <v>-90858.801614444121</v>
      </c>
      <c r="J626" s="359">
        <f>-'DRE + DCF'!$V$56*L626</f>
        <v>-1188924.4255577971</v>
      </c>
      <c r="K626" s="360">
        <f>(1+L626)/(1+Ke!$O$12)-1</f>
        <v>2.0000000000000018E-2</v>
      </c>
      <c r="L626" s="360">
        <f>'DRE + DCF'!$Y$31</f>
        <v>7.3550000000000004E-2</v>
      </c>
      <c r="M626" s="361">
        <f>(1+D626)^((5-Dashboard!$F$9)*3/12)</f>
        <v>1.0998851113043415</v>
      </c>
      <c r="N626" s="361">
        <f t="shared" ref="N626:V626" si="633">M626*(1+$D626)</f>
        <v>1.2487545611193844</v>
      </c>
      <c r="O626" s="361">
        <f t="shared" si="633"/>
        <v>1.4177734909668935</v>
      </c>
      <c r="P626" s="361">
        <f t="shared" si="633"/>
        <v>1.609669132969263</v>
      </c>
      <c r="Q626" s="361">
        <f t="shared" si="633"/>
        <v>1.8275378501166533</v>
      </c>
      <c r="R626" s="361">
        <f t="shared" si="633"/>
        <v>2.074895098129943</v>
      </c>
      <c r="S626" s="361">
        <f t="shared" si="633"/>
        <v>2.3557321496618315</v>
      </c>
      <c r="T626" s="361">
        <f t="shared" si="633"/>
        <v>2.6745804961185611</v>
      </c>
      <c r="U626" s="361">
        <f t="shared" si="633"/>
        <v>3.036584966268209</v>
      </c>
      <c r="V626" s="362">
        <f t="shared" si="633"/>
        <v>3.447586741452612</v>
      </c>
      <c r="X626" s="351"/>
    </row>
    <row r="627" spans="3:24" ht="24.75" customHeight="1" x14ac:dyDescent="0.3">
      <c r="C627" s="353">
        <f>ABS(E627-Dashboard!$F$14)</f>
        <v>112.15120115198361</v>
      </c>
      <c r="D627" s="350">
        <f t="shared" si="597"/>
        <v>0.13545000000000032</v>
      </c>
      <c r="E627" s="359" cm="1">
        <f t="array" ref="E627">1000*SUM('DRE + DCF'!$L$36/M627,'DRE + DCF'!$N$36:$V$36/N627:V627,F627/V627)/Dashboard!$F$11</f>
        <v>209.14120115198361</v>
      </c>
      <c r="F627" s="359">
        <f t="shared" si="595"/>
        <v>24876187.303846132</v>
      </c>
      <c r="G627" s="359">
        <f>'DRE + DCF'!$W$31</f>
        <v>2791623.3540418856</v>
      </c>
      <c r="H627" s="359">
        <f>'DRE + DCF'!$W$32</f>
        <v>81081.931703745853</v>
      </c>
      <c r="I627" s="359">
        <f>-H627*('DRE + DCF'!$V$33+K627)/'DRE + DCF'!$V$33</f>
        <v>-90858.801614444121</v>
      </c>
      <c r="J627" s="359">
        <f>-'DRE + DCF'!$V$56*L627</f>
        <v>-1188924.4255577971</v>
      </c>
      <c r="K627" s="360">
        <f>(1+L627)/(1+Ke!$O$12)-1</f>
        <v>2.0000000000000018E-2</v>
      </c>
      <c r="L627" s="360">
        <f>'DRE + DCF'!$Y$31</f>
        <v>7.3550000000000004E-2</v>
      </c>
      <c r="M627" s="361">
        <f>(1+D627)^((5-Dashboard!$F$9)*3/12)</f>
        <v>1.0999577677320209</v>
      </c>
      <c r="N627" s="361">
        <f t="shared" ref="N627:V627" si="634">M627*(1+$D627)</f>
        <v>1.2489470473713236</v>
      </c>
      <c r="O627" s="361">
        <f t="shared" si="634"/>
        <v>1.4181169249377696</v>
      </c>
      <c r="P627" s="361">
        <f t="shared" si="634"/>
        <v>1.610200862420591</v>
      </c>
      <c r="Q627" s="361">
        <f t="shared" si="634"/>
        <v>1.8283025692354606</v>
      </c>
      <c r="R627" s="361">
        <f t="shared" si="634"/>
        <v>2.0759461522384042</v>
      </c>
      <c r="S627" s="361">
        <f t="shared" si="634"/>
        <v>2.3571330585590968</v>
      </c>
      <c r="T627" s="361">
        <f t="shared" si="634"/>
        <v>2.676406731340927</v>
      </c>
      <c r="U627" s="361">
        <f t="shared" si="634"/>
        <v>3.0389260231010562</v>
      </c>
      <c r="V627" s="362">
        <f t="shared" si="634"/>
        <v>3.450548552930095</v>
      </c>
      <c r="X627" s="351"/>
    </row>
    <row r="628" spans="3:24" ht="24.75" customHeight="1" x14ac:dyDescent="0.3">
      <c r="C628" s="353">
        <f>ABS(E628-Dashboard!$F$14)</f>
        <v>111.84536357671068</v>
      </c>
      <c r="D628" s="350">
        <f t="shared" si="597"/>
        <v>0.13555000000000031</v>
      </c>
      <c r="E628" s="359" cm="1">
        <f t="array" ref="E628">1000*SUM('DRE + DCF'!$L$36/M628,'DRE + DCF'!$N$36:$V$36/N628:V628,F628/V628)/Dashboard!$F$11</f>
        <v>208.83536357671068</v>
      </c>
      <c r="F628" s="359">
        <f t="shared" si="595"/>
        <v>24845746.3426571</v>
      </c>
      <c r="G628" s="359">
        <f>'DRE + DCF'!$W$31</f>
        <v>2791623.3540418856</v>
      </c>
      <c r="H628" s="359">
        <f>'DRE + DCF'!$W$32</f>
        <v>81081.931703745853</v>
      </c>
      <c r="I628" s="359">
        <f>-H628*('DRE + DCF'!$V$33+K628)/'DRE + DCF'!$V$33</f>
        <v>-90858.801614444121</v>
      </c>
      <c r="J628" s="359">
        <f>-'DRE + DCF'!$V$56*L628</f>
        <v>-1188924.4255577971</v>
      </c>
      <c r="K628" s="360">
        <f>(1+L628)/(1+Ke!$O$12)-1</f>
        <v>2.0000000000000018E-2</v>
      </c>
      <c r="L628" s="360">
        <f>'DRE + DCF'!$Y$31</f>
        <v>7.3550000000000004E-2</v>
      </c>
      <c r="M628" s="361">
        <f>(1+D628)^((5-Dashboard!$F$9)*3/12)</f>
        <v>1.1000304225599904</v>
      </c>
      <c r="N628" s="361">
        <f t="shared" ref="N628:V628" si="635">M628*(1+$D628)</f>
        <v>1.2491395463379975</v>
      </c>
      <c r="O628" s="361">
        <f t="shared" si="635"/>
        <v>1.4184604118441133</v>
      </c>
      <c r="P628" s="361">
        <f t="shared" si="635"/>
        <v>1.6107327206695832</v>
      </c>
      <c r="Q628" s="361">
        <f t="shared" si="635"/>
        <v>1.8290675409563457</v>
      </c>
      <c r="R628" s="361">
        <f t="shared" si="635"/>
        <v>2.0769976461329791</v>
      </c>
      <c r="S628" s="361">
        <f t="shared" si="635"/>
        <v>2.3585346770663049</v>
      </c>
      <c r="T628" s="361">
        <f t="shared" si="635"/>
        <v>2.6782340525426434</v>
      </c>
      <c r="U628" s="361">
        <f t="shared" si="635"/>
        <v>3.0412686783647995</v>
      </c>
      <c r="V628" s="362">
        <f t="shared" si="635"/>
        <v>3.4535126477171492</v>
      </c>
      <c r="X628" s="351"/>
    </row>
    <row r="629" spans="3:24" ht="24.75" customHeight="1" x14ac:dyDescent="0.3">
      <c r="C629" s="353">
        <f>ABS(E629-Dashboard!$F$14)</f>
        <v>111.54035893560483</v>
      </c>
      <c r="D629" s="350">
        <f t="shared" si="597"/>
        <v>0.1356500000000003</v>
      </c>
      <c r="E629" s="359" cm="1">
        <f t="array" ref="E629">1000*SUM('DRE + DCF'!$L$36/M629,'DRE + DCF'!$N$36:$V$36/N629:V629,F629/V629)/Dashboard!$F$11</f>
        <v>208.53035893560482</v>
      </c>
      <c r="F629" s="359">
        <f t="shared" si="595"/>
        <v>24815389.1681206</v>
      </c>
      <c r="G629" s="359">
        <f>'DRE + DCF'!$W$31</f>
        <v>2791623.3540418856</v>
      </c>
      <c r="H629" s="359">
        <f>'DRE + DCF'!$W$32</f>
        <v>81081.931703745853</v>
      </c>
      <c r="I629" s="359">
        <f>-H629*('DRE + DCF'!$V$33+K629)/'DRE + DCF'!$V$33</f>
        <v>-90858.801614444121</v>
      </c>
      <c r="J629" s="359">
        <f>-'DRE + DCF'!$V$56*L629</f>
        <v>-1188924.4255577971</v>
      </c>
      <c r="K629" s="360">
        <f>(1+L629)/(1+Ke!$O$12)-1</f>
        <v>2.0000000000000018E-2</v>
      </c>
      <c r="L629" s="360">
        <f>'DRE + DCF'!$Y$31</f>
        <v>7.3550000000000004E-2</v>
      </c>
      <c r="M629" s="361">
        <f>(1+D629)^((5-Dashboard!$F$9)*3/12)</f>
        <v>1.1001030757884258</v>
      </c>
      <c r="N629" s="361">
        <f t="shared" ref="N629:V629" si="636">M629*(1+$D629)</f>
        <v>1.2493320580191261</v>
      </c>
      <c r="O629" s="361">
        <f t="shared" si="636"/>
        <v>1.4188039516894209</v>
      </c>
      <c r="P629" s="361">
        <f t="shared" si="636"/>
        <v>1.6112647077360911</v>
      </c>
      <c r="Q629" s="361">
        <f t="shared" si="636"/>
        <v>1.8298327653404922</v>
      </c>
      <c r="R629" s="361">
        <f t="shared" si="636"/>
        <v>2.0780495799589307</v>
      </c>
      <c r="S629" s="361">
        <f t="shared" si="636"/>
        <v>2.3599370054803601</v>
      </c>
      <c r="T629" s="361">
        <f t="shared" si="636"/>
        <v>2.6800624602737715</v>
      </c>
      <c r="U629" s="361">
        <f t="shared" si="636"/>
        <v>3.0436129330099093</v>
      </c>
      <c r="V629" s="362">
        <f t="shared" si="636"/>
        <v>3.4564790273727044</v>
      </c>
      <c r="X629" s="351"/>
    </row>
    <row r="630" spans="3:24" ht="24.75" customHeight="1" x14ac:dyDescent="0.3">
      <c r="C630" s="353">
        <f>ABS(E630-Dashboard!$F$14)</f>
        <v>111.23618368090042</v>
      </c>
      <c r="D630" s="350">
        <f t="shared" si="597"/>
        <v>0.13575000000000029</v>
      </c>
      <c r="E630" s="359" cm="1">
        <f t="array" ref="E630">1000*SUM('DRE + DCF'!$L$36/M630,'DRE + DCF'!$N$36:$V$36/N630:V630,F630/V630)/Dashboard!$F$11</f>
        <v>208.22618368090042</v>
      </c>
      <c r="F630" s="359">
        <f t="shared" si="595"/>
        <v>24785115.407566145</v>
      </c>
      <c r="G630" s="359">
        <f>'DRE + DCF'!$W$31</f>
        <v>2791623.3540418856</v>
      </c>
      <c r="H630" s="359">
        <f>'DRE + DCF'!$W$32</f>
        <v>81081.931703745853</v>
      </c>
      <c r="I630" s="359">
        <f>-H630*('DRE + DCF'!$V$33+K630)/'DRE + DCF'!$V$33</f>
        <v>-90858.801614444121</v>
      </c>
      <c r="J630" s="359">
        <f>-'DRE + DCF'!$V$56*L630</f>
        <v>-1188924.4255577971</v>
      </c>
      <c r="K630" s="360">
        <f>(1+L630)/(1+Ke!$O$12)-1</f>
        <v>2.0000000000000018E-2</v>
      </c>
      <c r="L630" s="360">
        <f>'DRE + DCF'!$Y$31</f>
        <v>7.3550000000000004E-2</v>
      </c>
      <c r="M630" s="361">
        <f>(1+D630)^((5-Dashboard!$F$9)*3/12)</f>
        <v>1.1001757274175037</v>
      </c>
      <c r="N630" s="361">
        <f t="shared" ref="N630:V630" si="637">M630*(1+$D630)</f>
        <v>1.2495245824144301</v>
      </c>
      <c r="O630" s="361">
        <f t="shared" si="637"/>
        <v>1.4191475444771893</v>
      </c>
      <c r="P630" s="361">
        <f t="shared" si="637"/>
        <v>1.611796823639968</v>
      </c>
      <c r="Q630" s="361">
        <f t="shared" si="637"/>
        <v>1.8305982424490941</v>
      </c>
      <c r="R630" s="361">
        <f t="shared" si="637"/>
        <v>2.0791019538615592</v>
      </c>
      <c r="S630" s="361">
        <f t="shared" si="637"/>
        <v>2.3613400440982661</v>
      </c>
      <c r="T630" s="361">
        <f t="shared" si="637"/>
        <v>2.6818919550846063</v>
      </c>
      <c r="U630" s="361">
        <f t="shared" si="637"/>
        <v>3.0459587879873422</v>
      </c>
      <c r="V630" s="362">
        <f t="shared" si="637"/>
        <v>3.4594476934566245</v>
      </c>
      <c r="X630" s="351"/>
    </row>
    <row r="631" spans="3:24" ht="24.75" customHeight="1" x14ac:dyDescent="0.3">
      <c r="C631" s="353">
        <f>ABS(E631-Dashboard!$F$14)</f>
        <v>110.93283428605561</v>
      </c>
      <c r="D631" s="350">
        <f t="shared" si="597"/>
        <v>0.13585000000000028</v>
      </c>
      <c r="E631" s="359" cm="1">
        <f t="array" ref="E631">1000*SUM('DRE + DCF'!$L$36/M631,'DRE + DCF'!$N$36:$V$36/N631:V631,F631/V631)/Dashboard!$F$11</f>
        <v>207.9228342860556</v>
      </c>
      <c r="F631" s="359">
        <f t="shared" si="595"/>
        <v>24754924.690623578</v>
      </c>
      <c r="G631" s="359">
        <f>'DRE + DCF'!$W$31</f>
        <v>2791623.3540418856</v>
      </c>
      <c r="H631" s="359">
        <f>'DRE + DCF'!$W$32</f>
        <v>81081.931703745853</v>
      </c>
      <c r="I631" s="359">
        <f>-H631*('DRE + DCF'!$V$33+K631)/'DRE + DCF'!$V$33</f>
        <v>-90858.801614444121</v>
      </c>
      <c r="J631" s="359">
        <f>-'DRE + DCF'!$V$56*L631</f>
        <v>-1188924.4255577971</v>
      </c>
      <c r="K631" s="360">
        <f>(1+L631)/(1+Ke!$O$12)-1</f>
        <v>2.0000000000000018E-2</v>
      </c>
      <c r="L631" s="360">
        <f>'DRE + DCF'!$Y$31</f>
        <v>7.3550000000000004E-2</v>
      </c>
      <c r="M631" s="361">
        <f>(1+D631)^((5-Dashboard!$F$9)*3/12)</f>
        <v>1.1002483774473995</v>
      </c>
      <c r="N631" s="361">
        <f t="shared" ref="N631:V631" si="638">M631*(1+$D631)</f>
        <v>1.249717119523629</v>
      </c>
      <c r="O631" s="361">
        <f t="shared" si="638"/>
        <v>1.4194911902109142</v>
      </c>
      <c r="P631" s="361">
        <f t="shared" si="638"/>
        <v>1.6123290684010672</v>
      </c>
      <c r="Q631" s="361">
        <f t="shared" si="638"/>
        <v>1.8313639723433526</v>
      </c>
      <c r="R631" s="361">
        <f t="shared" si="638"/>
        <v>2.0801547679861976</v>
      </c>
      <c r="S631" s="361">
        <f t="shared" si="638"/>
        <v>2.3627437932171231</v>
      </c>
      <c r="T631" s="361">
        <f t="shared" si="638"/>
        <v>2.6837225375256697</v>
      </c>
      <c r="U631" s="361">
        <f t="shared" si="638"/>
        <v>3.0483062442485327</v>
      </c>
      <c r="V631" s="362">
        <f t="shared" si="638"/>
        <v>3.4624186475296965</v>
      </c>
      <c r="X631" s="351"/>
    </row>
    <row r="632" spans="3:24" ht="24.75" customHeight="1" x14ac:dyDescent="0.3">
      <c r="C632" s="353">
        <f>ABS(E632-Dashboard!$F$14)</f>
        <v>110.63030724558813</v>
      </c>
      <c r="D632" s="350">
        <f t="shared" si="597"/>
        <v>0.13595000000000027</v>
      </c>
      <c r="E632" s="359" cm="1">
        <f t="array" ref="E632">1000*SUM('DRE + DCF'!$L$36/M632,'DRE + DCF'!$N$36:$V$36/N632:V632,F632/V632)/Dashboard!$F$11</f>
        <v>207.62030724558812</v>
      </c>
      <c r="F632" s="359">
        <f t="shared" si="595"/>
        <v>24724816.64920494</v>
      </c>
      <c r="G632" s="359">
        <f>'DRE + DCF'!$W$31</f>
        <v>2791623.3540418856</v>
      </c>
      <c r="H632" s="359">
        <f>'DRE + DCF'!$W$32</f>
        <v>81081.931703745853</v>
      </c>
      <c r="I632" s="359">
        <f>-H632*('DRE + DCF'!$V$33+K632)/'DRE + DCF'!$V$33</f>
        <v>-90858.801614444121</v>
      </c>
      <c r="J632" s="359">
        <f>-'DRE + DCF'!$V$56*L632</f>
        <v>-1188924.4255577971</v>
      </c>
      <c r="K632" s="360">
        <f>(1+L632)/(1+Ke!$O$12)-1</f>
        <v>2.0000000000000018E-2</v>
      </c>
      <c r="L632" s="360">
        <f>'DRE + DCF'!$Y$31</f>
        <v>7.3550000000000004E-2</v>
      </c>
      <c r="M632" s="361">
        <f>(1+D632)^((5-Dashboard!$F$9)*3/12)</f>
        <v>1.1003210258782896</v>
      </c>
      <c r="N632" s="361">
        <f t="shared" ref="N632:V632" si="639">M632*(1+$D632)</f>
        <v>1.2499096693464433</v>
      </c>
      <c r="O632" s="361">
        <f t="shared" si="639"/>
        <v>1.4198348888940926</v>
      </c>
      <c r="P632" s="361">
        <f t="shared" si="639"/>
        <v>1.6128614420392449</v>
      </c>
      <c r="Q632" s="361">
        <f t="shared" si="639"/>
        <v>1.8321299550844805</v>
      </c>
      <c r="R632" s="361">
        <f t="shared" si="639"/>
        <v>2.0812080224782159</v>
      </c>
      <c r="S632" s="361">
        <f t="shared" si="639"/>
        <v>2.3641482531341298</v>
      </c>
      <c r="T632" s="361">
        <f t="shared" si="639"/>
        <v>2.6855542081477153</v>
      </c>
      <c r="U632" s="361">
        <f t="shared" si="639"/>
        <v>3.050655302745398</v>
      </c>
      <c r="V632" s="362">
        <f t="shared" si="639"/>
        <v>3.4653918911536357</v>
      </c>
      <c r="X632" s="351"/>
    </row>
    <row r="633" spans="3:24" ht="24.75" customHeight="1" x14ac:dyDescent="0.3">
      <c r="C633" s="353">
        <f>ABS(E633-Dashboard!$F$14)</f>
        <v>110.32859907491216</v>
      </c>
      <c r="D633" s="350">
        <f t="shared" si="597"/>
        <v>0.13605000000000025</v>
      </c>
      <c r="E633" s="359" cm="1">
        <f t="array" ref="E633">1000*SUM('DRE + DCF'!$L$36/M633,'DRE + DCF'!$N$36:$V$36/N633:V633,F633/V633)/Dashboard!$F$11</f>
        <v>207.31859907491216</v>
      </c>
      <c r="F633" s="359">
        <f t="shared" si="595"/>
        <v>24694790.917486563</v>
      </c>
      <c r="G633" s="359">
        <f>'DRE + DCF'!$W$31</f>
        <v>2791623.3540418856</v>
      </c>
      <c r="H633" s="359">
        <f>'DRE + DCF'!$W$32</f>
        <v>81081.931703745853</v>
      </c>
      <c r="I633" s="359">
        <f>-H633*('DRE + DCF'!$V$33+K633)/'DRE + DCF'!$V$33</f>
        <v>-90858.801614444121</v>
      </c>
      <c r="J633" s="359">
        <f>-'DRE + DCF'!$V$56*L633</f>
        <v>-1188924.4255577971</v>
      </c>
      <c r="K633" s="360">
        <f>(1+L633)/(1+Ke!$O$12)-1</f>
        <v>2.0000000000000018E-2</v>
      </c>
      <c r="L633" s="360">
        <f>'DRE + DCF'!$Y$31</f>
        <v>7.3550000000000004E-2</v>
      </c>
      <c r="M633" s="361">
        <f>(1+D633)^((5-Dashboard!$F$9)*3/12)</f>
        <v>1.1003936727103498</v>
      </c>
      <c r="N633" s="361">
        <f t="shared" ref="N633:V633" si="640">M633*(1+$D633)</f>
        <v>1.2501022318825932</v>
      </c>
      <c r="O633" s="361">
        <f t="shared" si="640"/>
        <v>1.4201786405302204</v>
      </c>
      <c r="P633" s="361">
        <f t="shared" si="640"/>
        <v>1.6133939445743573</v>
      </c>
      <c r="Q633" s="361">
        <f t="shared" si="640"/>
        <v>1.8328961907336989</v>
      </c>
      <c r="R633" s="361">
        <f t="shared" si="640"/>
        <v>2.0822617174830191</v>
      </c>
      <c r="S633" s="361">
        <f t="shared" si="640"/>
        <v>2.3655534241465843</v>
      </c>
      <c r="T633" s="361">
        <f t="shared" si="640"/>
        <v>2.6873869675017277</v>
      </c>
      <c r="U633" s="361">
        <f t="shared" si="640"/>
        <v>3.0530059644303384</v>
      </c>
      <c r="V633" s="362">
        <f t="shared" si="640"/>
        <v>3.4683674258910866</v>
      </c>
      <c r="X633" s="351"/>
    </row>
    <row r="634" spans="3:24" ht="24.75" customHeight="1" x14ac:dyDescent="0.3">
      <c r="C634" s="353">
        <f>ABS(E634-Dashboard!$F$14)</f>
        <v>110.02770631017826</v>
      </c>
      <c r="D634" s="350">
        <f t="shared" si="597"/>
        <v>0.13615000000000024</v>
      </c>
      <c r="E634" s="359" cm="1">
        <f t="array" ref="E634">1000*SUM('DRE + DCF'!$L$36/M634,'DRE + DCF'!$N$36:$V$36/N634:V634,F634/V634)/Dashboard!$F$11</f>
        <v>207.01770631017826</v>
      </c>
      <c r="F634" s="359">
        <f t="shared" si="595"/>
        <v>24664847.131891347</v>
      </c>
      <c r="G634" s="359">
        <f>'DRE + DCF'!$W$31</f>
        <v>2791623.3540418856</v>
      </c>
      <c r="H634" s="359">
        <f>'DRE + DCF'!$W$32</f>
        <v>81081.931703745853</v>
      </c>
      <c r="I634" s="359">
        <f>-H634*('DRE + DCF'!$V$33+K634)/'DRE + DCF'!$V$33</f>
        <v>-90858.801614444121</v>
      </c>
      <c r="J634" s="359">
        <f>-'DRE + DCF'!$V$56*L634</f>
        <v>-1188924.4255577971</v>
      </c>
      <c r="K634" s="360">
        <f>(1+L634)/(1+Ke!$O$12)-1</f>
        <v>2.0000000000000018E-2</v>
      </c>
      <c r="L634" s="360">
        <f>'DRE + DCF'!$Y$31</f>
        <v>7.3550000000000004E-2</v>
      </c>
      <c r="M634" s="361">
        <f>(1+D634)^((5-Dashboard!$F$9)*3/12)</f>
        <v>1.1004663179437559</v>
      </c>
      <c r="N634" s="361">
        <f t="shared" ref="N634:V634" si="641">M634*(1+$D634)</f>
        <v>1.2502948071317985</v>
      </c>
      <c r="O634" s="361">
        <f t="shared" si="641"/>
        <v>1.4205224451227931</v>
      </c>
      <c r="P634" s="361">
        <f t="shared" si="641"/>
        <v>1.6139265760262618</v>
      </c>
      <c r="Q634" s="361">
        <f t="shared" si="641"/>
        <v>1.8336626793522377</v>
      </c>
      <c r="R634" s="361">
        <f t="shared" si="641"/>
        <v>2.0833158531460452</v>
      </c>
      <c r="S634" s="361">
        <f t="shared" si="641"/>
        <v>2.3669593065518795</v>
      </c>
      <c r="T634" s="361">
        <f t="shared" si="641"/>
        <v>2.6892208161389184</v>
      </c>
      <c r="U634" s="361">
        <f t="shared" si="641"/>
        <v>3.0553582302562328</v>
      </c>
      <c r="V634" s="362">
        <f t="shared" si="641"/>
        <v>3.4713452533056195</v>
      </c>
      <c r="X634" s="351"/>
    </row>
    <row r="635" spans="3:24" ht="24.75" customHeight="1" x14ac:dyDescent="0.3">
      <c r="C635" s="353">
        <f>ABS(E635-Dashboard!$F$14)</f>
        <v>109.72762550811258</v>
      </c>
      <c r="D635" s="350">
        <f t="shared" si="597"/>
        <v>0.13625000000000023</v>
      </c>
      <c r="E635" s="359" cm="1">
        <f t="array" ref="E635">1000*SUM('DRE + DCF'!$L$36/M635,'DRE + DCF'!$N$36:$V$36/N635:V635,F635/V635)/Dashboard!$F$11</f>
        <v>206.71762550811258</v>
      </c>
      <c r="F635" s="359">
        <f t="shared" si="595"/>
        <v>24634984.931071132</v>
      </c>
      <c r="G635" s="359">
        <f>'DRE + DCF'!$W$31</f>
        <v>2791623.3540418856</v>
      </c>
      <c r="H635" s="359">
        <f>'DRE + DCF'!$W$32</f>
        <v>81081.931703745853</v>
      </c>
      <c r="I635" s="359">
        <f>-H635*('DRE + DCF'!$V$33+K635)/'DRE + DCF'!$V$33</f>
        <v>-90858.801614444121</v>
      </c>
      <c r="J635" s="359">
        <f>-'DRE + DCF'!$V$56*L635</f>
        <v>-1188924.4255577971</v>
      </c>
      <c r="K635" s="360">
        <f>(1+L635)/(1+Ke!$O$12)-1</f>
        <v>2.0000000000000018E-2</v>
      </c>
      <c r="L635" s="360">
        <f>'DRE + DCF'!$Y$31</f>
        <v>7.3550000000000004E-2</v>
      </c>
      <c r="M635" s="361">
        <f>(1+D635)^((5-Dashboard!$F$9)*3/12)</f>
        <v>1.1005389615786842</v>
      </c>
      <c r="N635" s="361">
        <f t="shared" ref="N635:V635" si="642">M635*(1+$D635)</f>
        <v>1.2504873950937803</v>
      </c>
      <c r="O635" s="361">
        <f t="shared" si="642"/>
        <v>1.4208663026753081</v>
      </c>
      <c r="P635" s="361">
        <f t="shared" si="642"/>
        <v>1.6144593364148192</v>
      </c>
      <c r="Q635" s="361">
        <f t="shared" si="642"/>
        <v>1.8344294210013385</v>
      </c>
      <c r="R635" s="361">
        <f t="shared" si="642"/>
        <v>2.0843704296127714</v>
      </c>
      <c r="S635" s="361">
        <f t="shared" si="642"/>
        <v>2.368365900647512</v>
      </c>
      <c r="T635" s="361">
        <f t="shared" si="642"/>
        <v>2.6910557546107361</v>
      </c>
      <c r="U635" s="361">
        <f t="shared" si="642"/>
        <v>3.0577121011764494</v>
      </c>
      <c r="V635" s="362">
        <f t="shared" si="642"/>
        <v>3.4743253749617411</v>
      </c>
      <c r="X635" s="351"/>
    </row>
    <row r="636" spans="3:24" ht="24.75" customHeight="1" x14ac:dyDescent="0.3">
      <c r="C636" s="353">
        <f>ABS(E636-Dashboard!$F$14)</f>
        <v>109.42835324586029</v>
      </c>
      <c r="D636" s="350">
        <f t="shared" si="597"/>
        <v>0.13635000000000022</v>
      </c>
      <c r="E636" s="359" cm="1">
        <f t="array" ref="E636">1000*SUM('DRE + DCF'!$L$36/M636,'DRE + DCF'!$N$36:$V$36/N636:V636,F636/V636)/Dashboard!$F$11</f>
        <v>206.41835324586029</v>
      </c>
      <c r="F636" s="359">
        <f t="shared" si="595"/>
        <v>24605203.955889322</v>
      </c>
      <c r="G636" s="359">
        <f>'DRE + DCF'!$W$31</f>
        <v>2791623.3540418856</v>
      </c>
      <c r="H636" s="359">
        <f>'DRE + DCF'!$W$32</f>
        <v>81081.931703745853</v>
      </c>
      <c r="I636" s="359">
        <f>-H636*('DRE + DCF'!$V$33+K636)/'DRE + DCF'!$V$33</f>
        <v>-90858.801614444121</v>
      </c>
      <c r="J636" s="359">
        <f>-'DRE + DCF'!$V$56*L636</f>
        <v>-1188924.4255577971</v>
      </c>
      <c r="K636" s="360">
        <f>(1+L636)/(1+Ke!$O$12)-1</f>
        <v>2.0000000000000018E-2</v>
      </c>
      <c r="L636" s="360">
        <f>'DRE + DCF'!$Y$31</f>
        <v>7.3550000000000004E-2</v>
      </c>
      <c r="M636" s="361">
        <f>(1+D636)^((5-Dashboard!$F$9)*3/12)</f>
        <v>1.1006116036153102</v>
      </c>
      <c r="N636" s="361">
        <f t="shared" ref="N636:V636" si="643">M636*(1+$D636)</f>
        <v>1.2506799957682579</v>
      </c>
      <c r="O636" s="361">
        <f t="shared" si="643"/>
        <v>1.4212102131912601</v>
      </c>
      <c r="P636" s="361">
        <f t="shared" si="643"/>
        <v>1.6149922257598885</v>
      </c>
      <c r="Q636" s="361">
        <f t="shared" si="643"/>
        <v>1.8351964157422496</v>
      </c>
      <c r="R636" s="361">
        <f t="shared" si="643"/>
        <v>2.0854254470287055</v>
      </c>
      <c r="S636" s="361">
        <f t="shared" si="643"/>
        <v>2.3697732067310699</v>
      </c>
      <c r="T636" s="361">
        <f t="shared" si="643"/>
        <v>2.6928917834688519</v>
      </c>
      <c r="U636" s="361">
        <f t="shared" si="643"/>
        <v>3.0600675781448303</v>
      </c>
      <c r="V636" s="362">
        <f t="shared" si="643"/>
        <v>3.4773077924248788</v>
      </c>
      <c r="X636" s="351"/>
    </row>
    <row r="637" spans="3:24" ht="24.75" customHeight="1" x14ac:dyDescent="0.3">
      <c r="C637" s="353">
        <f>ABS(E637-Dashboard!$F$14)</f>
        <v>109.12988612082775</v>
      </c>
      <c r="D637" s="350">
        <f t="shared" si="597"/>
        <v>0.13645000000000021</v>
      </c>
      <c r="E637" s="359" cm="1">
        <f t="array" ref="E637">1000*SUM('DRE + DCF'!$L$36/M637,'DRE + DCF'!$N$36:$V$36/N637:V637,F637/V637)/Dashboard!$F$11</f>
        <v>206.11988612082774</v>
      </c>
      <c r="F637" s="359">
        <f t="shared" si="595"/>
        <v>24575503.84940362</v>
      </c>
      <c r="G637" s="359">
        <f>'DRE + DCF'!$W$31</f>
        <v>2791623.3540418856</v>
      </c>
      <c r="H637" s="359">
        <f>'DRE + DCF'!$W$32</f>
        <v>81081.931703745853</v>
      </c>
      <c r="I637" s="359">
        <f>-H637*('DRE + DCF'!$V$33+K637)/'DRE + DCF'!$V$33</f>
        <v>-90858.801614444121</v>
      </c>
      <c r="J637" s="359">
        <f>-'DRE + DCF'!$V$56*L637</f>
        <v>-1188924.4255577971</v>
      </c>
      <c r="K637" s="360">
        <f>(1+L637)/(1+Ke!$O$12)-1</f>
        <v>2.0000000000000018E-2</v>
      </c>
      <c r="L637" s="360">
        <f>'DRE + DCF'!$Y$31</f>
        <v>7.3550000000000004E-2</v>
      </c>
      <c r="M637" s="361">
        <f>(1+D637)^((5-Dashboard!$F$9)*3/12)</f>
        <v>1.1006842440538096</v>
      </c>
      <c r="N637" s="361">
        <f t="shared" ref="N637:V637" si="644">M637*(1+$D637)</f>
        <v>1.250872609154952</v>
      </c>
      <c r="O637" s="361">
        <f t="shared" si="644"/>
        <v>1.4215541766741455</v>
      </c>
      <c r="P637" s="361">
        <f t="shared" si="644"/>
        <v>1.615525244081333</v>
      </c>
      <c r="Q637" s="361">
        <f t="shared" si="644"/>
        <v>1.8359636636362313</v>
      </c>
      <c r="R637" s="361">
        <f t="shared" si="644"/>
        <v>2.0864809055393954</v>
      </c>
      <c r="S637" s="361">
        <f t="shared" si="644"/>
        <v>2.3711812251002464</v>
      </c>
      <c r="T637" s="361">
        <f t="shared" si="644"/>
        <v>2.6947289032651756</v>
      </c>
      <c r="U637" s="361">
        <f t="shared" si="644"/>
        <v>3.0624246621157094</v>
      </c>
      <c r="V637" s="362">
        <f t="shared" si="644"/>
        <v>3.4802925072613986</v>
      </c>
      <c r="X637" s="351"/>
    </row>
    <row r="638" spans="3:24" ht="24.75" customHeight="1" x14ac:dyDescent="0.3">
      <c r="C638" s="353">
        <f>ABS(E638-Dashboard!$F$14)</f>
        <v>108.83222075052832</v>
      </c>
      <c r="D638" s="350">
        <f t="shared" si="597"/>
        <v>0.1365500000000002</v>
      </c>
      <c r="E638" s="359" cm="1">
        <f t="array" ref="E638">1000*SUM('DRE + DCF'!$L$36/M638,'DRE + DCF'!$N$36:$V$36/N638:V638,F638/V638)/Dashboard!$F$11</f>
        <v>205.82222075052832</v>
      </c>
      <c r="F638" s="359">
        <f t="shared" si="595"/>
        <v>24545884.256848924</v>
      </c>
      <c r="G638" s="359">
        <f>'DRE + DCF'!$W$31</f>
        <v>2791623.3540418856</v>
      </c>
      <c r="H638" s="359">
        <f>'DRE + DCF'!$W$32</f>
        <v>81081.931703745853</v>
      </c>
      <c r="I638" s="359">
        <f>-H638*('DRE + DCF'!$V$33+K638)/'DRE + DCF'!$V$33</f>
        <v>-90858.801614444121</v>
      </c>
      <c r="J638" s="359">
        <f>-'DRE + DCF'!$V$56*L638</f>
        <v>-1188924.4255577971</v>
      </c>
      <c r="K638" s="360">
        <f>(1+L638)/(1+Ke!$O$12)-1</f>
        <v>2.0000000000000018E-2</v>
      </c>
      <c r="L638" s="360">
        <f>'DRE + DCF'!$Y$31</f>
        <v>7.3550000000000004E-2</v>
      </c>
      <c r="M638" s="361">
        <f>(1+D638)^((5-Dashboard!$F$9)*3/12)</f>
        <v>1.1007568828943586</v>
      </c>
      <c r="N638" s="361">
        <f t="shared" ref="N638:V638" si="645">M638*(1+$D638)</f>
        <v>1.2510652352535834</v>
      </c>
      <c r="O638" s="361">
        <f t="shared" si="645"/>
        <v>1.4218981931274604</v>
      </c>
      <c r="P638" s="361">
        <f t="shared" si="645"/>
        <v>1.6160583913990154</v>
      </c>
      <c r="Q638" s="361">
        <f t="shared" si="645"/>
        <v>1.8367311647445512</v>
      </c>
      <c r="R638" s="361">
        <f t="shared" si="645"/>
        <v>2.0875368052904202</v>
      </c>
      <c r="S638" s="361">
        <f t="shared" si="645"/>
        <v>2.3725899560528276</v>
      </c>
      <c r="T638" s="361">
        <f t="shared" si="645"/>
        <v>2.6965671145518417</v>
      </c>
      <c r="U638" s="361">
        <f t="shared" si="645"/>
        <v>3.0647833540438962</v>
      </c>
      <c r="V638" s="362">
        <f t="shared" si="645"/>
        <v>3.483279521038591</v>
      </c>
      <c r="X638" s="351"/>
    </row>
    <row r="639" spans="3:24" ht="24.75" customHeight="1" x14ac:dyDescent="0.3">
      <c r="C639" s="353">
        <f>ABS(E639-Dashboard!$F$14)</f>
        <v>108.53535377242831</v>
      </c>
      <c r="D639" s="350">
        <f t="shared" si="597"/>
        <v>0.13665000000000019</v>
      </c>
      <c r="E639" s="359" cm="1">
        <f t="array" ref="E639">1000*SUM('DRE + DCF'!$L$36/M639,'DRE + DCF'!$N$36:$V$36/N639:V639,F639/V639)/Dashboard!$F$11</f>
        <v>205.5253537724283</v>
      </c>
      <c r="F639" s="359">
        <f t="shared" si="595"/>
        <v>24516344.825620428</v>
      </c>
      <c r="G639" s="359">
        <f>'DRE + DCF'!$W$31</f>
        <v>2791623.3540418856</v>
      </c>
      <c r="H639" s="359">
        <f>'DRE + DCF'!$W$32</f>
        <v>81081.931703745853</v>
      </c>
      <c r="I639" s="359">
        <f>-H639*('DRE + DCF'!$V$33+K639)/'DRE + DCF'!$V$33</f>
        <v>-90858.801614444121</v>
      </c>
      <c r="J639" s="359">
        <f>-'DRE + DCF'!$V$56*L639</f>
        <v>-1188924.4255577971</v>
      </c>
      <c r="K639" s="360">
        <f>(1+L639)/(1+Ke!$O$12)-1</f>
        <v>2.0000000000000018E-2</v>
      </c>
      <c r="L639" s="360">
        <f>'DRE + DCF'!$Y$31</f>
        <v>7.3550000000000004E-2</v>
      </c>
      <c r="M639" s="361">
        <f>(1+D639)^((5-Dashboard!$F$9)*3/12)</f>
        <v>1.1008295201371325</v>
      </c>
      <c r="N639" s="361">
        <f t="shared" ref="N639:V639" si="646">M639*(1+$D639)</f>
        <v>1.2512578740638718</v>
      </c>
      <c r="O639" s="361">
        <f t="shared" si="646"/>
        <v>1.4222422625547</v>
      </c>
      <c r="P639" s="361">
        <f t="shared" si="646"/>
        <v>1.6165916677328001</v>
      </c>
      <c r="Q639" s="361">
        <f t="shared" si="646"/>
        <v>1.8374989191284874</v>
      </c>
      <c r="R639" s="361">
        <f t="shared" si="646"/>
        <v>2.0885931464273955</v>
      </c>
      <c r="S639" s="361">
        <f t="shared" si="646"/>
        <v>2.3739993998866993</v>
      </c>
      <c r="T639" s="361">
        <f t="shared" si="646"/>
        <v>2.698406417881217</v>
      </c>
      <c r="U639" s="361">
        <f t="shared" si="646"/>
        <v>3.0671436548846858</v>
      </c>
      <c r="V639" s="362">
        <f t="shared" si="646"/>
        <v>3.4862688353246787</v>
      </c>
      <c r="X639" s="351"/>
    </row>
    <row r="640" spans="3:24" ht="24.75" customHeight="1" x14ac:dyDescent="0.3">
      <c r="C640" s="353">
        <f>ABS(E640-Dashboard!$F$14)</f>
        <v>108.2392818437947</v>
      </c>
      <c r="D640" s="350">
        <f t="shared" si="597"/>
        <v>0.13675000000000018</v>
      </c>
      <c r="E640" s="359" cm="1">
        <f t="array" ref="E640">1000*SUM('DRE + DCF'!$L$36/M640,'DRE + DCF'!$N$36:$V$36/N640:V640,F640/V640)/Dashboard!$F$11</f>
        <v>205.22928184379469</v>
      </c>
      <c r="F640" s="359">
        <f t="shared" si="595"/>
        <v>24486885.205256835</v>
      </c>
      <c r="G640" s="359">
        <f>'DRE + DCF'!$W$31</f>
        <v>2791623.3540418856</v>
      </c>
      <c r="H640" s="359">
        <f>'DRE + DCF'!$W$32</f>
        <v>81081.931703745853</v>
      </c>
      <c r="I640" s="359">
        <f>-H640*('DRE + DCF'!$V$33+K640)/'DRE + DCF'!$V$33</f>
        <v>-90858.801614444121</v>
      </c>
      <c r="J640" s="359">
        <f>-'DRE + DCF'!$V$56*L640</f>
        <v>-1188924.4255577971</v>
      </c>
      <c r="K640" s="360">
        <f>(1+L640)/(1+Ke!$O$12)-1</f>
        <v>2.0000000000000018E-2</v>
      </c>
      <c r="L640" s="360">
        <f>'DRE + DCF'!$Y$31</f>
        <v>7.3550000000000004E-2</v>
      </c>
      <c r="M640" s="361">
        <f>(1+D640)^((5-Dashboard!$F$9)*3/12)</f>
        <v>1.1009021557823075</v>
      </c>
      <c r="N640" s="361">
        <f t="shared" ref="N640:V640" si="647">M640*(1+$D640)</f>
        <v>1.2514505255855384</v>
      </c>
      <c r="O640" s="361">
        <f t="shared" si="647"/>
        <v>1.422586384959361</v>
      </c>
      <c r="P640" s="361">
        <f t="shared" si="647"/>
        <v>1.6171250731025537</v>
      </c>
      <c r="Q640" s="361">
        <f t="shared" si="647"/>
        <v>1.8382669268493281</v>
      </c>
      <c r="R640" s="361">
        <f t="shared" si="647"/>
        <v>2.089649929095974</v>
      </c>
      <c r="S640" s="361">
        <f t="shared" si="647"/>
        <v>2.3754095568998488</v>
      </c>
      <c r="T640" s="361">
        <f t="shared" si="647"/>
        <v>2.7002468138059035</v>
      </c>
      <c r="U640" s="361">
        <f t="shared" si="647"/>
        <v>3.069505565593861</v>
      </c>
      <c r="V640" s="362">
        <f t="shared" si="647"/>
        <v>3.4892604516888222</v>
      </c>
      <c r="X640" s="351"/>
    </row>
    <row r="641" spans="3:24" ht="24.75" customHeight="1" x14ac:dyDescent="0.3">
      <c r="C641" s="353">
        <f>ABS(E641-Dashboard!$F$14)</f>
        <v>107.944001641545</v>
      </c>
      <c r="D641" s="350">
        <f t="shared" si="597"/>
        <v>0.13685000000000017</v>
      </c>
      <c r="E641" s="359" cm="1">
        <f t="array" ref="E641">1000*SUM('DRE + DCF'!$L$36/M641,'DRE + DCF'!$N$36:$V$36/N641:V641,F641/V641)/Dashboard!$F$11</f>
        <v>204.934001641545</v>
      </c>
      <c r="F641" s="359">
        <f t="shared" si="595"/>
        <v>24457505.047423776</v>
      </c>
      <c r="G641" s="359">
        <f>'DRE + DCF'!$W$31</f>
        <v>2791623.3540418856</v>
      </c>
      <c r="H641" s="359">
        <f>'DRE + DCF'!$W$32</f>
        <v>81081.931703745853</v>
      </c>
      <c r="I641" s="359">
        <f>-H641*('DRE + DCF'!$V$33+K641)/'DRE + DCF'!$V$33</f>
        <v>-90858.801614444121</v>
      </c>
      <c r="J641" s="359">
        <f>-'DRE + DCF'!$V$56*L641</f>
        <v>-1188924.4255577971</v>
      </c>
      <c r="K641" s="360">
        <f>(1+L641)/(1+Ke!$O$12)-1</f>
        <v>2.0000000000000018E-2</v>
      </c>
      <c r="L641" s="360">
        <f>'DRE + DCF'!$Y$31</f>
        <v>7.3550000000000004E-2</v>
      </c>
      <c r="M641" s="361">
        <f>(1+D641)^((5-Dashboard!$F$9)*3/12)</f>
        <v>1.1009747898300588</v>
      </c>
      <c r="N641" s="361">
        <f t="shared" ref="N641:V641" si="648">M641*(1+$D641)</f>
        <v>1.2516431898183025</v>
      </c>
      <c r="O641" s="361">
        <f t="shared" si="648"/>
        <v>1.4229305603449374</v>
      </c>
      <c r="P641" s="361">
        <f t="shared" si="648"/>
        <v>1.6176586075281423</v>
      </c>
      <c r="Q641" s="361">
        <f t="shared" si="648"/>
        <v>1.8390351879683688</v>
      </c>
      <c r="R641" s="361">
        <f t="shared" si="648"/>
        <v>2.0907071534418402</v>
      </c>
      <c r="S641" s="361">
        <f t="shared" si="648"/>
        <v>2.3768204273903564</v>
      </c>
      <c r="T641" s="361">
        <f t="shared" si="648"/>
        <v>2.7020883028787268</v>
      </c>
      <c r="U641" s="361">
        <f t="shared" si="648"/>
        <v>3.071869087127681</v>
      </c>
      <c r="V641" s="362">
        <f t="shared" si="648"/>
        <v>3.4922543717011045</v>
      </c>
      <c r="X641" s="351"/>
    </row>
    <row r="642" spans="3:24" ht="24.75" customHeight="1" x14ac:dyDescent="0.3">
      <c r="C642" s="353">
        <f>ABS(E642-Dashboard!$F$14)</f>
        <v>107.64950986209705</v>
      </c>
      <c r="D642" s="350">
        <f t="shared" si="597"/>
        <v>0.13695000000000015</v>
      </c>
      <c r="E642" s="359" cm="1">
        <f t="array" ref="E642">1000*SUM('DRE + DCF'!$L$36/M642,'DRE + DCF'!$N$36:$V$36/N642:V642,F642/V642)/Dashboard!$F$11</f>
        <v>204.63950986209704</v>
      </c>
      <c r="F642" s="359">
        <f t="shared" si="595"/>
        <v>24428204.005897306</v>
      </c>
      <c r="G642" s="359">
        <f>'DRE + DCF'!$W$31</f>
        <v>2791623.3540418856</v>
      </c>
      <c r="H642" s="359">
        <f>'DRE + DCF'!$W$32</f>
        <v>81081.931703745853</v>
      </c>
      <c r="I642" s="359">
        <f>-H642*('DRE + DCF'!$V$33+K642)/'DRE + DCF'!$V$33</f>
        <v>-90858.801614444121</v>
      </c>
      <c r="J642" s="359">
        <f>-'DRE + DCF'!$V$56*L642</f>
        <v>-1188924.4255577971</v>
      </c>
      <c r="K642" s="360">
        <f>(1+L642)/(1+Ke!$O$12)-1</f>
        <v>2.0000000000000018E-2</v>
      </c>
      <c r="L642" s="360">
        <f>'DRE + DCF'!$Y$31</f>
        <v>7.3550000000000004E-2</v>
      </c>
      <c r="M642" s="361">
        <f>(1+D642)^((5-Dashboard!$F$9)*3/12)</f>
        <v>1.1010474222805624</v>
      </c>
      <c r="N642" s="361">
        <f t="shared" ref="N642:V642" si="649">M642*(1+$D642)</f>
        <v>1.2518358667618856</v>
      </c>
      <c r="O642" s="361">
        <f t="shared" si="649"/>
        <v>1.423274788714926</v>
      </c>
      <c r="P642" s="361">
        <f t="shared" si="649"/>
        <v>1.6181922710294352</v>
      </c>
      <c r="Q642" s="361">
        <f t="shared" si="649"/>
        <v>1.8398037025469165</v>
      </c>
      <c r="R642" s="361">
        <f t="shared" si="649"/>
        <v>2.091764819610717</v>
      </c>
      <c r="S642" s="361">
        <f t="shared" si="649"/>
        <v>2.3782320116564049</v>
      </c>
      <c r="T642" s="361">
        <f t="shared" si="649"/>
        <v>2.70393088565275</v>
      </c>
      <c r="U642" s="361">
        <f t="shared" si="649"/>
        <v>3.0742342204428943</v>
      </c>
      <c r="V642" s="362">
        <f t="shared" si="649"/>
        <v>3.4952505969325491</v>
      </c>
      <c r="X642" s="351"/>
    </row>
    <row r="643" spans="3:24" ht="24.75" customHeight="1" x14ac:dyDescent="0.3">
      <c r="C643" s="353">
        <f>ABS(E643-Dashboard!$F$14)</f>
        <v>107.35580322122156</v>
      </c>
      <c r="D643" s="350">
        <f t="shared" si="597"/>
        <v>0.13705000000000014</v>
      </c>
      <c r="E643" s="359" cm="1">
        <f t="array" ref="E643">1000*SUM('DRE + DCF'!$L$36/M643,'DRE + DCF'!$N$36:$V$36/N643:V643,F643/V643)/Dashboard!$F$11</f>
        <v>204.34580322122156</v>
      </c>
      <c r="F643" s="359">
        <f t="shared" si="595"/>
        <v>24398981.736547649</v>
      </c>
      <c r="G643" s="359">
        <f>'DRE + DCF'!$W$31</f>
        <v>2791623.3540418856</v>
      </c>
      <c r="H643" s="359">
        <f>'DRE + DCF'!$W$32</f>
        <v>81081.931703745853</v>
      </c>
      <c r="I643" s="359">
        <f>-H643*('DRE + DCF'!$V$33+K643)/'DRE + DCF'!$V$33</f>
        <v>-90858.801614444121</v>
      </c>
      <c r="J643" s="359">
        <f>-'DRE + DCF'!$V$56*L643</f>
        <v>-1188924.4255577971</v>
      </c>
      <c r="K643" s="360">
        <f>(1+L643)/(1+Ke!$O$12)-1</f>
        <v>2.0000000000000018E-2</v>
      </c>
      <c r="L643" s="360">
        <f>'DRE + DCF'!$Y$31</f>
        <v>7.3550000000000004E-2</v>
      </c>
      <c r="M643" s="361">
        <f>(1+D643)^((5-Dashboard!$F$9)*3/12)</f>
        <v>1.1011200531339935</v>
      </c>
      <c r="N643" s="361">
        <f t="shared" ref="N643:V643" si="650">M643*(1+$D643)</f>
        <v>1.2520285564160074</v>
      </c>
      <c r="O643" s="361">
        <f t="shared" si="650"/>
        <v>1.4236190700728213</v>
      </c>
      <c r="P643" s="361">
        <f t="shared" si="650"/>
        <v>1.6187260636263017</v>
      </c>
      <c r="Q643" s="361">
        <f t="shared" si="650"/>
        <v>1.8405724706462865</v>
      </c>
      <c r="R643" s="361">
        <f t="shared" si="650"/>
        <v>2.0928229277483603</v>
      </c>
      <c r="S643" s="361">
        <f t="shared" si="650"/>
        <v>2.3796443099962734</v>
      </c>
      <c r="T643" s="361">
        <f t="shared" si="650"/>
        <v>2.7057745626812628</v>
      </c>
      <c r="U643" s="361">
        <f t="shared" si="650"/>
        <v>3.0766009664967302</v>
      </c>
      <c r="V643" s="362">
        <f t="shared" si="650"/>
        <v>3.4982491289551074</v>
      </c>
      <c r="X643" s="351"/>
    </row>
    <row r="644" spans="3:24" ht="24.75" customHeight="1" x14ac:dyDescent="0.3">
      <c r="C644" s="353">
        <f>ABS(E644-Dashboard!$F$14)</f>
        <v>107.06287845389535</v>
      </c>
      <c r="D644" s="350">
        <f t="shared" si="597"/>
        <v>0.13715000000000013</v>
      </c>
      <c r="E644" s="359" cm="1">
        <f t="array" ref="E644">1000*SUM('DRE + DCF'!$L$36/M644,'DRE + DCF'!$N$36:$V$36/N644:V644,F644/V644)/Dashboard!$F$11</f>
        <v>204.05287845389535</v>
      </c>
      <c r="F644" s="359">
        <f t="shared" si="595"/>
        <v>24369837.897323027</v>
      </c>
      <c r="G644" s="359">
        <f>'DRE + DCF'!$W$31</f>
        <v>2791623.3540418856</v>
      </c>
      <c r="H644" s="359">
        <f>'DRE + DCF'!$W$32</f>
        <v>81081.931703745853</v>
      </c>
      <c r="I644" s="359">
        <f>-H644*('DRE + DCF'!$V$33+K644)/'DRE + DCF'!$V$33</f>
        <v>-90858.801614444121</v>
      </c>
      <c r="J644" s="359">
        <f>-'DRE + DCF'!$V$56*L644</f>
        <v>-1188924.4255577971</v>
      </c>
      <c r="K644" s="360">
        <f>(1+L644)/(1+Ke!$O$12)-1</f>
        <v>2.0000000000000018E-2</v>
      </c>
      <c r="L644" s="360">
        <f>'DRE + DCF'!$Y$31</f>
        <v>7.3550000000000004E-2</v>
      </c>
      <c r="M644" s="361">
        <f>(1+D644)^((5-Dashboard!$F$9)*3/12)</f>
        <v>1.101192682390528</v>
      </c>
      <c r="N644" s="361">
        <f t="shared" ref="N644:V644" si="651">M644*(1+$D644)</f>
        <v>1.2522212587803891</v>
      </c>
      <c r="O644" s="361">
        <f t="shared" si="651"/>
        <v>1.4239634044221197</v>
      </c>
      <c r="P644" s="361">
        <f t="shared" si="651"/>
        <v>1.6192599853386136</v>
      </c>
      <c r="Q644" s="361">
        <f t="shared" si="651"/>
        <v>1.8413414923278046</v>
      </c>
      <c r="R644" s="361">
        <f t="shared" si="651"/>
        <v>2.0938814780005632</v>
      </c>
      <c r="S644" s="361">
        <f t="shared" si="651"/>
        <v>2.3810573227083407</v>
      </c>
      <c r="T644" s="361">
        <f t="shared" si="651"/>
        <v>2.7076193345177897</v>
      </c>
      <c r="U644" s="361">
        <f t="shared" si="651"/>
        <v>3.0789693262469049</v>
      </c>
      <c r="V644" s="362">
        <f t="shared" si="651"/>
        <v>3.5012499693416683</v>
      </c>
      <c r="X644" s="351"/>
    </row>
    <row r="645" spans="3:24" ht="24.75" customHeight="1" x14ac:dyDescent="0.3">
      <c r="C645" s="353">
        <f>ABS(E645-Dashboard!$F$14)</f>
        <v>106.77073231415623</v>
      </c>
      <c r="D645" s="350">
        <f t="shared" si="597"/>
        <v>0.13725000000000012</v>
      </c>
      <c r="E645" s="359" cm="1">
        <f t="array" ref="E645">1000*SUM('DRE + DCF'!$L$36/M645,'DRE + DCF'!$N$36:$V$36/N645:V645,F645/V645)/Dashboard!$F$11</f>
        <v>203.76073231415623</v>
      </c>
      <c r="F645" s="359">
        <f t="shared" si="595"/>
        <v>24340772.148233682</v>
      </c>
      <c r="G645" s="359">
        <f>'DRE + DCF'!$W$31</f>
        <v>2791623.3540418856</v>
      </c>
      <c r="H645" s="359">
        <f>'DRE + DCF'!$W$32</f>
        <v>81081.931703745853</v>
      </c>
      <c r="I645" s="359">
        <f>-H645*('DRE + DCF'!$V$33+K645)/'DRE + DCF'!$V$33</f>
        <v>-90858.801614444121</v>
      </c>
      <c r="J645" s="359">
        <f>-'DRE + DCF'!$V$56*L645</f>
        <v>-1188924.4255577971</v>
      </c>
      <c r="K645" s="360">
        <f>(1+L645)/(1+Ke!$O$12)-1</f>
        <v>2.0000000000000018E-2</v>
      </c>
      <c r="L645" s="360">
        <f>'DRE + DCF'!$Y$31</f>
        <v>7.3550000000000004E-2</v>
      </c>
      <c r="M645" s="361">
        <f>(1+D645)^((5-Dashboard!$F$9)*3/12)</f>
        <v>1.1012653100503416</v>
      </c>
      <c r="N645" s="361">
        <f t="shared" ref="N645:V645" si="652">M645*(1+$D645)</f>
        <v>1.2524139738547511</v>
      </c>
      <c r="O645" s="361">
        <f t="shared" si="652"/>
        <v>1.4243077917663158</v>
      </c>
      <c r="P645" s="361">
        <f t="shared" si="652"/>
        <v>1.6197940361862428</v>
      </c>
      <c r="Q645" s="361">
        <f t="shared" si="652"/>
        <v>1.8421107676528048</v>
      </c>
      <c r="R645" s="361">
        <f t="shared" si="652"/>
        <v>2.0949404705131522</v>
      </c>
      <c r="S645" s="361">
        <f t="shared" si="652"/>
        <v>2.3824710500910826</v>
      </c>
      <c r="T645" s="361">
        <f t="shared" si="652"/>
        <v>2.7094652017160841</v>
      </c>
      <c r="U645" s="361">
        <f t="shared" si="652"/>
        <v>3.0813393006516168</v>
      </c>
      <c r="V645" s="362">
        <f t="shared" si="652"/>
        <v>3.5042531196660516</v>
      </c>
      <c r="X645" s="351"/>
    </row>
    <row r="646" spans="3:24" ht="24.75" customHeight="1" x14ac:dyDescent="0.3">
      <c r="C646" s="353">
        <f>ABS(E646-Dashboard!$F$14)</f>
        <v>106.47936157495873</v>
      </c>
      <c r="D646" s="350">
        <f t="shared" si="597"/>
        <v>0.13735000000000011</v>
      </c>
      <c r="E646" s="359" cm="1">
        <f t="array" ref="E646">1000*SUM('DRE + DCF'!$L$36/M646,'DRE + DCF'!$N$36:$V$36/N646:V646,F646/V646)/Dashboard!$F$11</f>
        <v>203.46936157495873</v>
      </c>
      <c r="F646" s="359">
        <f t="shared" si="595"/>
        <v>24311784.151336007</v>
      </c>
      <c r="G646" s="359">
        <f>'DRE + DCF'!$W$31</f>
        <v>2791623.3540418856</v>
      </c>
      <c r="H646" s="359">
        <f>'DRE + DCF'!$W$32</f>
        <v>81081.931703745853</v>
      </c>
      <c r="I646" s="359">
        <f>-H646*('DRE + DCF'!$V$33+K646)/'DRE + DCF'!$V$33</f>
        <v>-90858.801614444121</v>
      </c>
      <c r="J646" s="359">
        <f>-'DRE + DCF'!$V$56*L646</f>
        <v>-1188924.4255577971</v>
      </c>
      <c r="K646" s="360">
        <f>(1+L646)/(1+Ke!$O$12)-1</f>
        <v>2.0000000000000018E-2</v>
      </c>
      <c r="L646" s="360">
        <f>'DRE + DCF'!$Y$31</f>
        <v>7.3550000000000004E-2</v>
      </c>
      <c r="M646" s="361">
        <f>(1+D646)^((5-Dashboard!$F$9)*3/12)</f>
        <v>1.1013379361136093</v>
      </c>
      <c r="N646" s="361">
        <f t="shared" ref="N646:V646" si="653">M646*(1+$D646)</f>
        <v>1.2526067016388136</v>
      </c>
      <c r="O646" s="361">
        <f t="shared" si="653"/>
        <v>1.4246522321089048</v>
      </c>
      <c r="P646" s="361">
        <f t="shared" si="653"/>
        <v>1.6203282161890631</v>
      </c>
      <c r="Q646" s="361">
        <f t="shared" si="653"/>
        <v>1.842880296682631</v>
      </c>
      <c r="R646" s="361">
        <f t="shared" si="653"/>
        <v>2.0959999054319907</v>
      </c>
      <c r="S646" s="361">
        <f t="shared" si="653"/>
        <v>2.3838854924430746</v>
      </c>
      <c r="T646" s="361">
        <f t="shared" si="653"/>
        <v>2.7113121648301313</v>
      </c>
      <c r="U646" s="361">
        <f t="shared" si="653"/>
        <v>3.0837108906695501</v>
      </c>
      <c r="V646" s="362">
        <f t="shared" si="653"/>
        <v>3.5072585815030131</v>
      </c>
      <c r="X646" s="351"/>
    </row>
    <row r="647" spans="3:24" ht="24.75" customHeight="1" x14ac:dyDescent="0.3">
      <c r="C647" s="353">
        <f>ABS(E647-Dashboard!$F$14)</f>
        <v>106.18876302803191</v>
      </c>
      <c r="D647" s="350">
        <f t="shared" si="597"/>
        <v>0.1374500000000001</v>
      </c>
      <c r="E647" s="359" cm="1">
        <f t="array" ref="E647">1000*SUM('DRE + DCF'!$L$36/M647,'DRE + DCF'!$N$36:$V$36/N647:V647,F647/V647)/Dashboard!$F$11</f>
        <v>203.17876302803191</v>
      </c>
      <c r="F647" s="359">
        <f t="shared" si="595"/>
        <v>24282873.570716854</v>
      </c>
      <c r="G647" s="359">
        <f>'DRE + DCF'!$W$31</f>
        <v>2791623.3540418856</v>
      </c>
      <c r="H647" s="359">
        <f>'DRE + DCF'!$W$32</f>
        <v>81081.931703745853</v>
      </c>
      <c r="I647" s="359">
        <f>-H647*('DRE + DCF'!$V$33+K647)/'DRE + DCF'!$V$33</f>
        <v>-90858.801614444121</v>
      </c>
      <c r="J647" s="359">
        <f>-'DRE + DCF'!$V$56*L647</f>
        <v>-1188924.4255577971</v>
      </c>
      <c r="K647" s="360">
        <f>(1+L647)/(1+Ke!$O$12)-1</f>
        <v>2.0000000000000018E-2</v>
      </c>
      <c r="L647" s="360">
        <f>'DRE + DCF'!$Y$31</f>
        <v>7.3550000000000004E-2</v>
      </c>
      <c r="M647" s="361">
        <f>(1+D647)^((5-Dashboard!$F$9)*3/12)</f>
        <v>1.1014105605805069</v>
      </c>
      <c r="N647" s="361">
        <f t="shared" ref="N647:V647" si="654">M647*(1+$D647)</f>
        <v>1.2527994421322977</v>
      </c>
      <c r="O647" s="361">
        <f t="shared" si="654"/>
        <v>1.424996725453382</v>
      </c>
      <c r="P647" s="361">
        <f t="shared" si="654"/>
        <v>1.6208625253669495</v>
      </c>
      <c r="Q647" s="361">
        <f t="shared" si="654"/>
        <v>1.8436500794786368</v>
      </c>
      <c r="R647" s="361">
        <f t="shared" si="654"/>
        <v>2.0970597829029756</v>
      </c>
      <c r="S647" s="361">
        <f t="shared" si="654"/>
        <v>2.3853006500629896</v>
      </c>
      <c r="T647" s="361">
        <f t="shared" si="654"/>
        <v>2.7131602244141479</v>
      </c>
      <c r="U647" s="361">
        <f t="shared" si="654"/>
        <v>3.0860840972598726</v>
      </c>
      <c r="V647" s="362">
        <f t="shared" si="654"/>
        <v>3.5102663564282426</v>
      </c>
      <c r="X647" s="351"/>
    </row>
    <row r="648" spans="3:24" ht="24.75" customHeight="1" x14ac:dyDescent="0.3">
      <c r="C648" s="353">
        <f>ABS(E648-Dashboard!$F$14)</f>
        <v>105.89893348373791</v>
      </c>
      <c r="D648" s="350">
        <f t="shared" si="597"/>
        <v>0.13755000000000009</v>
      </c>
      <c r="E648" s="359" cm="1">
        <f t="array" ref="E648">1000*SUM('DRE + DCF'!$L$36/M648,'DRE + DCF'!$N$36:$V$36/N648:V648,F648/V648)/Dashboard!$F$11</f>
        <v>202.8889334837379</v>
      </c>
      <c r="F648" s="359">
        <f t="shared" si="595"/>
        <v>24254040.072477989</v>
      </c>
      <c r="G648" s="359">
        <f>'DRE + DCF'!$W$31</f>
        <v>2791623.3540418856</v>
      </c>
      <c r="H648" s="359">
        <f>'DRE + DCF'!$W$32</f>
        <v>81081.931703745853</v>
      </c>
      <c r="I648" s="359">
        <f>-H648*('DRE + DCF'!$V$33+K648)/'DRE + DCF'!$V$33</f>
        <v>-90858.801614444121</v>
      </c>
      <c r="J648" s="359">
        <f>-'DRE + DCF'!$V$56*L648</f>
        <v>-1188924.4255577971</v>
      </c>
      <c r="K648" s="360">
        <f>(1+L648)/(1+Ke!$O$12)-1</f>
        <v>2.0000000000000018E-2</v>
      </c>
      <c r="L648" s="360">
        <f>'DRE + DCF'!$Y$31</f>
        <v>7.3550000000000004E-2</v>
      </c>
      <c r="M648" s="361">
        <f>(1+D648)^((5-Dashboard!$F$9)*3/12)</f>
        <v>1.1014831834512098</v>
      </c>
      <c r="N648" s="361">
        <f t="shared" ref="N648:V648" si="655">M648*(1+$D648)</f>
        <v>1.2529921953349237</v>
      </c>
      <c r="O648" s="361">
        <f t="shared" si="655"/>
        <v>1.4253412718032425</v>
      </c>
      <c r="P648" s="361">
        <f t="shared" si="655"/>
        <v>1.6213969637397787</v>
      </c>
      <c r="Q648" s="361">
        <f t="shared" si="655"/>
        <v>1.8444201161021854</v>
      </c>
      <c r="R648" s="361">
        <f t="shared" si="655"/>
        <v>2.0981201030720409</v>
      </c>
      <c r="S648" s="361">
        <f t="shared" si="655"/>
        <v>2.3867165232496004</v>
      </c>
      <c r="T648" s="361">
        <f t="shared" si="655"/>
        <v>2.715009381022583</v>
      </c>
      <c r="U648" s="361">
        <f t="shared" si="655"/>
        <v>3.0884589213822395</v>
      </c>
      <c r="V648" s="362">
        <f t="shared" si="655"/>
        <v>3.513276446018367</v>
      </c>
      <c r="X648" s="351"/>
    </row>
    <row r="649" spans="3:24" ht="24.75" customHeight="1" x14ac:dyDescent="0.3">
      <c r="C649" s="353">
        <f>ABS(E649-Dashboard!$F$14)</f>
        <v>105.60986977093184</v>
      </c>
      <c r="D649" s="350">
        <f t="shared" si="597"/>
        <v>0.13765000000000008</v>
      </c>
      <c r="E649" s="359" cm="1">
        <f t="array" ref="E649">1000*SUM('DRE + DCF'!$L$36/M649,'DRE + DCF'!$N$36:$V$36/N649:V649,F649/V649)/Dashboard!$F$11</f>
        <v>202.59986977093183</v>
      </c>
      <c r="F649" s="359">
        <f t="shared" si="595"/>
        <v>24225283.324720658</v>
      </c>
      <c r="G649" s="359">
        <f>'DRE + DCF'!$W$31</f>
        <v>2791623.3540418856</v>
      </c>
      <c r="H649" s="359">
        <f>'DRE + DCF'!$W$32</f>
        <v>81081.931703745853</v>
      </c>
      <c r="I649" s="359">
        <f>-H649*('DRE + DCF'!$V$33+K649)/'DRE + DCF'!$V$33</f>
        <v>-90858.801614444121</v>
      </c>
      <c r="J649" s="359">
        <f>-'DRE + DCF'!$V$56*L649</f>
        <v>-1188924.4255577971</v>
      </c>
      <c r="K649" s="360">
        <f>(1+L649)/(1+Ke!$O$12)-1</f>
        <v>2.0000000000000018E-2</v>
      </c>
      <c r="L649" s="360">
        <f>'DRE + DCF'!$Y$31</f>
        <v>7.3550000000000004E-2</v>
      </c>
      <c r="M649" s="361">
        <f>(1+D649)^((5-Dashboard!$F$9)*3/12)</f>
        <v>1.1015558047258931</v>
      </c>
      <c r="N649" s="361">
        <f t="shared" ref="N649:V649" si="656">M649*(1+$D649)</f>
        <v>1.2531849612464123</v>
      </c>
      <c r="O649" s="361">
        <f t="shared" si="656"/>
        <v>1.4256858711619811</v>
      </c>
      <c r="P649" s="361">
        <f t="shared" si="656"/>
        <v>1.6219315313274278</v>
      </c>
      <c r="Q649" s="361">
        <f t="shared" si="656"/>
        <v>1.8451904066146483</v>
      </c>
      <c r="R649" s="361">
        <f t="shared" si="656"/>
        <v>2.0991808660851548</v>
      </c>
      <c r="S649" s="361">
        <f t="shared" si="656"/>
        <v>2.3881331123017766</v>
      </c>
      <c r="T649" s="361">
        <f t="shared" si="656"/>
        <v>2.7168596352101164</v>
      </c>
      <c r="U649" s="361">
        <f t="shared" si="656"/>
        <v>3.0908353639967889</v>
      </c>
      <c r="V649" s="362">
        <f t="shared" si="656"/>
        <v>3.516288851850947</v>
      </c>
      <c r="X649" s="351"/>
    </row>
    <row r="650" spans="3:24" ht="24.75" customHeight="1" x14ac:dyDescent="0.3">
      <c r="C650" s="353">
        <f>ABS(E650-Dashboard!$F$14)</f>
        <v>105.32156873682341</v>
      </c>
      <c r="D650" s="350">
        <f t="shared" si="597"/>
        <v>0.13775000000000007</v>
      </c>
      <c r="E650" s="359" cm="1">
        <f t="array" ref="E650">1000*SUM('DRE + DCF'!$L$36/M650,'DRE + DCF'!$N$36:$V$36/N650:V650,F650/V650)/Dashboard!$F$11</f>
        <v>202.3115687368234</v>
      </c>
      <c r="F650" s="359">
        <f t="shared" si="595"/>
        <v>24196602.997530356</v>
      </c>
      <c r="G650" s="359">
        <f>'DRE + DCF'!$W$31</f>
        <v>2791623.3540418856</v>
      </c>
      <c r="H650" s="359">
        <f>'DRE + DCF'!$W$32</f>
        <v>81081.931703745853</v>
      </c>
      <c r="I650" s="359">
        <f>-H650*('DRE + DCF'!$V$33+K650)/'DRE + DCF'!$V$33</f>
        <v>-90858.801614444121</v>
      </c>
      <c r="J650" s="359">
        <f>-'DRE + DCF'!$V$56*L650</f>
        <v>-1188924.4255577971</v>
      </c>
      <c r="K650" s="360">
        <f>(1+L650)/(1+Ke!$O$12)-1</f>
        <v>2.0000000000000018E-2</v>
      </c>
      <c r="L650" s="360">
        <f>'DRE + DCF'!$Y$31</f>
        <v>7.3550000000000004E-2</v>
      </c>
      <c r="M650" s="361">
        <f>(1+D650)^((5-Dashboard!$F$9)*3/12)</f>
        <v>1.1016284244047325</v>
      </c>
      <c r="N650" s="361">
        <f t="shared" ref="N650:V650" si="657">M650*(1+$D650)</f>
        <v>1.2533777398664845</v>
      </c>
      <c r="O650" s="361">
        <f t="shared" si="657"/>
        <v>1.4260305235330928</v>
      </c>
      <c r="P650" s="361">
        <f t="shared" si="657"/>
        <v>1.6224662281497764</v>
      </c>
      <c r="Q650" s="361">
        <f t="shared" si="657"/>
        <v>1.8459609510774082</v>
      </c>
      <c r="R650" s="361">
        <f t="shared" si="657"/>
        <v>2.1002420720883213</v>
      </c>
      <c r="S650" s="361">
        <f t="shared" si="657"/>
        <v>2.3895504175184876</v>
      </c>
      <c r="T650" s="361">
        <f t="shared" si="657"/>
        <v>2.7187109875316593</v>
      </c>
      <c r="U650" s="361">
        <f t="shared" si="657"/>
        <v>3.0932134260641453</v>
      </c>
      <c r="V650" s="362">
        <f t="shared" si="657"/>
        <v>3.5193035755044813</v>
      </c>
      <c r="X650" s="351"/>
    </row>
    <row r="651" spans="3:24" ht="24.75" customHeight="1" x14ac:dyDescent="0.3">
      <c r="C651" s="353">
        <f>ABS(E651-Dashboard!$F$14)</f>
        <v>105.03402724683919</v>
      </c>
      <c r="D651" s="350">
        <f t="shared" si="597"/>
        <v>0.13785000000000006</v>
      </c>
      <c r="E651" s="359" cm="1">
        <f t="array" ref="E651">1000*SUM('DRE + DCF'!$L$36/M651,'DRE + DCF'!$N$36:$V$36/N651:V651,F651/V651)/Dashboard!$F$11</f>
        <v>202.02402724683918</v>
      </c>
      <c r="F651" s="359">
        <f t="shared" si="595"/>
        <v>24167998.762961663</v>
      </c>
      <c r="G651" s="359">
        <f>'DRE + DCF'!$W$31</f>
        <v>2791623.3540418856</v>
      </c>
      <c r="H651" s="359">
        <f>'DRE + DCF'!$W$32</f>
        <v>81081.931703745853</v>
      </c>
      <c r="I651" s="359">
        <f>-H651*('DRE + DCF'!$V$33+K651)/'DRE + DCF'!$V$33</f>
        <v>-90858.801614444121</v>
      </c>
      <c r="J651" s="359">
        <f>-'DRE + DCF'!$V$56*L651</f>
        <v>-1188924.4255577971</v>
      </c>
      <c r="K651" s="360">
        <f>(1+L651)/(1+Ke!$O$12)-1</f>
        <v>2.0000000000000018E-2</v>
      </c>
      <c r="L651" s="360">
        <f>'DRE + DCF'!$Y$31</f>
        <v>7.3550000000000004E-2</v>
      </c>
      <c r="M651" s="361">
        <f>(1+D651)^((5-Dashboard!$F$9)*3/12)</f>
        <v>1.1017010424879035</v>
      </c>
      <c r="N651" s="361">
        <f t="shared" ref="N651:V651" si="658">M651*(1+$D651)</f>
        <v>1.2535705311948611</v>
      </c>
      <c r="O651" s="361">
        <f t="shared" si="658"/>
        <v>1.4263752289200726</v>
      </c>
      <c r="P651" s="361">
        <f t="shared" si="658"/>
        <v>1.6230010542267046</v>
      </c>
      <c r="Q651" s="361">
        <f t="shared" si="658"/>
        <v>1.8467317495518558</v>
      </c>
      <c r="R651" s="361">
        <f t="shared" si="658"/>
        <v>2.1013037212275791</v>
      </c>
      <c r="S651" s="361">
        <f t="shared" si="658"/>
        <v>2.3909684391988009</v>
      </c>
      <c r="T651" s="361">
        <f t="shared" si="658"/>
        <v>2.7205634385423556</v>
      </c>
      <c r="U651" s="361">
        <f t="shared" si="658"/>
        <v>3.0955931085454194</v>
      </c>
      <c r="V651" s="362">
        <f t="shared" si="658"/>
        <v>3.5223206185584055</v>
      </c>
      <c r="X651" s="351"/>
    </row>
    <row r="652" spans="3:24" ht="24.75" customHeight="1" x14ac:dyDescent="0.3">
      <c r="C652" s="353">
        <f>ABS(E652-Dashboard!$F$14)</f>
        <v>104.74724218448664</v>
      </c>
      <c r="D652" s="350">
        <f t="shared" si="597"/>
        <v>0.13795000000000004</v>
      </c>
      <c r="E652" s="359" cm="1">
        <f t="array" ref="E652">1000*SUM('DRE + DCF'!$L$36/M652,'DRE + DCF'!$N$36:$V$36/N652:V652,F652/V652)/Dashboard!$F$11</f>
        <v>201.73724218448663</v>
      </c>
      <c r="F652" s="359">
        <f t="shared" si="595"/>
        <v>24139470.295023285</v>
      </c>
      <c r="G652" s="359">
        <f>'DRE + DCF'!$W$31</f>
        <v>2791623.3540418856</v>
      </c>
      <c r="H652" s="359">
        <f>'DRE + DCF'!$W$32</f>
        <v>81081.931703745853</v>
      </c>
      <c r="I652" s="359">
        <f>-H652*('DRE + DCF'!$V$33+K652)/'DRE + DCF'!$V$33</f>
        <v>-90858.801614444121</v>
      </c>
      <c r="J652" s="359">
        <f>-'DRE + DCF'!$V$56*L652</f>
        <v>-1188924.4255577971</v>
      </c>
      <c r="K652" s="360">
        <f>(1+L652)/(1+Ke!$O$12)-1</f>
        <v>2.0000000000000018E-2</v>
      </c>
      <c r="L652" s="360">
        <f>'DRE + DCF'!$Y$31</f>
        <v>7.3550000000000004E-2</v>
      </c>
      <c r="M652" s="361">
        <f>(1+D652)^((5-Dashboard!$F$9)*3/12)</f>
        <v>1.1017736589755809</v>
      </c>
      <c r="N652" s="361">
        <f t="shared" ref="N652:V652" si="659">M652*(1+$D652)</f>
        <v>1.2537633352312623</v>
      </c>
      <c r="O652" s="361">
        <f t="shared" si="659"/>
        <v>1.4267199873264149</v>
      </c>
      <c r="P652" s="361">
        <f t="shared" si="659"/>
        <v>1.623536009578094</v>
      </c>
      <c r="Q652" s="361">
        <f t="shared" si="659"/>
        <v>1.847502802099392</v>
      </c>
      <c r="R652" s="361">
        <f t="shared" si="659"/>
        <v>2.1023658136490031</v>
      </c>
      <c r="S652" s="361">
        <f t="shared" si="659"/>
        <v>2.3923871776418832</v>
      </c>
      <c r="T652" s="361">
        <f t="shared" si="659"/>
        <v>2.7224169887975811</v>
      </c>
      <c r="U652" s="361">
        <f t="shared" si="659"/>
        <v>3.0979744124022073</v>
      </c>
      <c r="V652" s="362">
        <f t="shared" si="659"/>
        <v>3.525339982593092</v>
      </c>
      <c r="X652" s="351"/>
    </row>
    <row r="653" spans="3:24" ht="24.75" customHeight="1" x14ac:dyDescent="0.3">
      <c r="C653" s="353">
        <f>ABS(E653-Dashboard!$F$14)</f>
        <v>104.46121045121923</v>
      </c>
      <c r="D653" s="350">
        <f t="shared" si="597"/>
        <v>0.13805000000000003</v>
      </c>
      <c r="E653" s="359" cm="1">
        <f t="array" ref="E653">1000*SUM('DRE + DCF'!$L$36/M653,'DRE + DCF'!$N$36:$V$36/N653:V653,F653/V653)/Dashboard!$F$11</f>
        <v>201.45121045121923</v>
      </c>
      <c r="F653" s="359">
        <f t="shared" si="595"/>
        <v>24111017.269663185</v>
      </c>
      <c r="G653" s="359">
        <f>'DRE + DCF'!$W$31</f>
        <v>2791623.3540418856</v>
      </c>
      <c r="H653" s="359">
        <f>'DRE + DCF'!$W$32</f>
        <v>81081.931703745853</v>
      </c>
      <c r="I653" s="359">
        <f>-H653*('DRE + DCF'!$V$33+K653)/'DRE + DCF'!$V$33</f>
        <v>-90858.801614444121</v>
      </c>
      <c r="J653" s="359">
        <f>-'DRE + DCF'!$V$56*L653</f>
        <v>-1188924.4255577971</v>
      </c>
      <c r="K653" s="360">
        <f>(1+L653)/(1+Ke!$O$12)-1</f>
        <v>2.0000000000000018E-2</v>
      </c>
      <c r="L653" s="360">
        <f>'DRE + DCF'!$Y$31</f>
        <v>7.3550000000000004E-2</v>
      </c>
      <c r="M653" s="361">
        <f>(1+D653)^((5-Dashboard!$F$9)*3/12)</f>
        <v>1.1018462738679402</v>
      </c>
      <c r="N653" s="361">
        <f t="shared" ref="N653:V653" si="660">M653*(1+$D653)</f>
        <v>1.2539561519754094</v>
      </c>
      <c r="O653" s="361">
        <f t="shared" si="660"/>
        <v>1.4270647987556146</v>
      </c>
      <c r="P653" s="361">
        <f t="shared" si="660"/>
        <v>1.6240710942238272</v>
      </c>
      <c r="Q653" s="361">
        <f t="shared" si="660"/>
        <v>1.8482741087814265</v>
      </c>
      <c r="R653" s="361">
        <f t="shared" si="660"/>
        <v>2.1034283494987025</v>
      </c>
      <c r="S653" s="361">
        <f t="shared" si="660"/>
        <v>2.3938066331469985</v>
      </c>
      <c r="T653" s="361">
        <f t="shared" si="660"/>
        <v>2.7242716388529415</v>
      </c>
      <c r="U653" s="361">
        <f t="shared" si="660"/>
        <v>3.1003573385965901</v>
      </c>
      <c r="V653" s="362">
        <f t="shared" si="660"/>
        <v>3.5283616691898496</v>
      </c>
      <c r="X653" s="351"/>
    </row>
    <row r="654" spans="3:24" ht="24.75" customHeight="1" x14ac:dyDescent="0.3">
      <c r="C654" s="353">
        <f>ABS(E654-Dashboard!$F$14)</f>
        <v>104.17592896630244</v>
      </c>
      <c r="D654" s="350">
        <f t="shared" si="597"/>
        <v>0.13815000000000002</v>
      </c>
      <c r="E654" s="359" cm="1">
        <f t="array" ref="E654">1000*SUM('DRE + DCF'!$L$36/M654,'DRE + DCF'!$N$36:$V$36/N654:V654,F654/V654)/Dashboard!$F$11</f>
        <v>201.16592896630243</v>
      </c>
      <c r="F654" s="359">
        <f t="shared" ref="F654:F717" si="661">AVERAGE(SUM(G654:J654)*(1+L654)/(D654-L654),G654*(1+L654)*(1-L654/D654)/(D654-L654))</f>
        <v>24082639.364753876</v>
      </c>
      <c r="G654" s="359">
        <f>'DRE + DCF'!$W$31</f>
        <v>2791623.3540418856</v>
      </c>
      <c r="H654" s="359">
        <f>'DRE + DCF'!$W$32</f>
        <v>81081.931703745853</v>
      </c>
      <c r="I654" s="359">
        <f>-H654*('DRE + DCF'!$V$33+K654)/'DRE + DCF'!$V$33</f>
        <v>-90858.801614444121</v>
      </c>
      <c r="J654" s="359">
        <f>-'DRE + DCF'!$V$56*L654</f>
        <v>-1188924.4255577971</v>
      </c>
      <c r="K654" s="360">
        <f>(1+L654)/(1+Ke!$O$12)-1</f>
        <v>2.0000000000000018E-2</v>
      </c>
      <c r="L654" s="360">
        <f>'DRE + DCF'!$Y$31</f>
        <v>7.3550000000000004E-2</v>
      </c>
      <c r="M654" s="361">
        <f>(1+D654)^((5-Dashboard!$F$9)*3/12)</f>
        <v>1.1019188871651566</v>
      </c>
      <c r="N654" s="361">
        <f t="shared" ref="N654:V654" si="662">M654*(1+$D654)</f>
        <v>1.254148981427023</v>
      </c>
      <c r="O654" s="361">
        <f t="shared" si="662"/>
        <v>1.4274096632111664</v>
      </c>
      <c r="P654" s="361">
        <f t="shared" si="662"/>
        <v>1.6246063081837889</v>
      </c>
      <c r="Q654" s="361">
        <f t="shared" si="662"/>
        <v>1.8490456696593793</v>
      </c>
      <c r="R654" s="361">
        <f t="shared" si="662"/>
        <v>2.1044913289228226</v>
      </c>
      <c r="S654" s="361">
        <f t="shared" si="662"/>
        <v>2.3952268060135107</v>
      </c>
      <c r="T654" s="361">
        <f t="shared" si="662"/>
        <v>2.7261273892642772</v>
      </c>
      <c r="U654" s="361">
        <f t="shared" si="662"/>
        <v>3.102741888091137</v>
      </c>
      <c r="V654" s="362">
        <f t="shared" si="662"/>
        <v>3.5313856799309278</v>
      </c>
      <c r="X654" s="351"/>
    </row>
    <row r="655" spans="3:24" ht="24.75" customHeight="1" x14ac:dyDescent="0.3">
      <c r="C655" s="353">
        <f>ABS(E655-Dashboard!$F$14)</f>
        <v>103.89139466668188</v>
      </c>
      <c r="D655" s="350">
        <f t="shared" ref="D655:D718" si="663">D654+0.0001</f>
        <v>0.13825000000000001</v>
      </c>
      <c r="E655" s="359" cm="1">
        <f t="array" ref="E655">1000*SUM('DRE + DCF'!$L$36/M655,'DRE + DCF'!$N$36:$V$36/N655:V655,F655/V655)/Dashboard!$F$11</f>
        <v>200.88139466668187</v>
      </c>
      <c r="F655" s="359">
        <f t="shared" si="661"/>
        <v>24054336.260077871</v>
      </c>
      <c r="G655" s="359">
        <f>'DRE + DCF'!$W$31</f>
        <v>2791623.3540418856</v>
      </c>
      <c r="H655" s="359">
        <f>'DRE + DCF'!$W$32</f>
        <v>81081.931703745853</v>
      </c>
      <c r="I655" s="359">
        <f>-H655*('DRE + DCF'!$V$33+K655)/'DRE + DCF'!$V$33</f>
        <v>-90858.801614444121</v>
      </c>
      <c r="J655" s="359">
        <f>-'DRE + DCF'!$V$56*L655</f>
        <v>-1188924.4255577971</v>
      </c>
      <c r="K655" s="360">
        <f>(1+L655)/(1+Ke!$O$12)-1</f>
        <v>2.0000000000000018E-2</v>
      </c>
      <c r="L655" s="360">
        <f>'DRE + DCF'!$Y$31</f>
        <v>7.3550000000000004E-2</v>
      </c>
      <c r="M655" s="361">
        <f>(1+D655)^((5-Dashboard!$F$9)*3/12)</f>
        <v>1.1019914988674053</v>
      </c>
      <c r="N655" s="361">
        <f t="shared" ref="N655:V655" si="664">M655*(1+$D655)</f>
        <v>1.2543418235858241</v>
      </c>
      <c r="O655" s="361">
        <f t="shared" si="664"/>
        <v>1.4277545806965644</v>
      </c>
      <c r="P655" s="361">
        <f t="shared" si="664"/>
        <v>1.6251416514778643</v>
      </c>
      <c r="Q655" s="361">
        <f t="shared" si="664"/>
        <v>1.8498174847946789</v>
      </c>
      <c r="R655" s="361">
        <f t="shared" si="664"/>
        <v>2.1055547520675431</v>
      </c>
      <c r="S655" s="361">
        <f t="shared" si="664"/>
        <v>2.3966476965408807</v>
      </c>
      <c r="T655" s="361">
        <f t="shared" si="664"/>
        <v>2.7279842405876575</v>
      </c>
      <c r="U655" s="361">
        <f t="shared" si="664"/>
        <v>3.1051280618489012</v>
      </c>
      <c r="V655" s="362">
        <f t="shared" si="664"/>
        <v>3.5344120163995116</v>
      </c>
      <c r="X655" s="351"/>
    </row>
    <row r="656" spans="3:24" ht="24.75" customHeight="1" x14ac:dyDescent="0.3">
      <c r="C656" s="353">
        <f>ABS(E656-Dashboard!$F$14)</f>
        <v>103.60760450685108</v>
      </c>
      <c r="D656" s="350">
        <f t="shared" si="663"/>
        <v>0.13835</v>
      </c>
      <c r="E656" s="359" cm="1">
        <f t="array" ref="E656">1000*SUM('DRE + DCF'!$L$36/M656,'DRE + DCF'!$N$36:$V$36/N656:V656,F656/V656)/Dashboard!$F$11</f>
        <v>200.59760450685107</v>
      </c>
      <c r="F656" s="359">
        <f t="shared" si="661"/>
        <v>24026107.637313187</v>
      </c>
      <c r="G656" s="359">
        <f>'DRE + DCF'!$W$31</f>
        <v>2791623.3540418856</v>
      </c>
      <c r="H656" s="359">
        <f>'DRE + DCF'!$W$32</f>
        <v>81081.931703745853</v>
      </c>
      <c r="I656" s="359">
        <f>-H656*('DRE + DCF'!$V$33+K656)/'DRE + DCF'!$V$33</f>
        <v>-90858.801614444121</v>
      </c>
      <c r="J656" s="359">
        <f>-'DRE + DCF'!$V$56*L656</f>
        <v>-1188924.4255577971</v>
      </c>
      <c r="K656" s="360">
        <f>(1+L656)/(1+Ke!$O$12)-1</f>
        <v>2.0000000000000018E-2</v>
      </c>
      <c r="L656" s="360">
        <f>'DRE + DCF'!$Y$31</f>
        <v>7.3550000000000004E-2</v>
      </c>
      <c r="M656" s="361">
        <f>(1+D656)^((5-Dashboard!$F$9)*3/12)</f>
        <v>1.1020641089748615</v>
      </c>
      <c r="N656" s="361">
        <f t="shared" ref="N656:V656" si="665">M656*(1+$D656)</f>
        <v>1.2545346784515337</v>
      </c>
      <c r="O656" s="361">
        <f t="shared" si="665"/>
        <v>1.4280995512153034</v>
      </c>
      <c r="P656" s="361">
        <f t="shared" si="665"/>
        <v>1.6256771241259407</v>
      </c>
      <c r="Q656" s="361">
        <f t="shared" si="665"/>
        <v>1.8505895542487645</v>
      </c>
      <c r="R656" s="361">
        <f t="shared" si="665"/>
        <v>2.106618619079081</v>
      </c>
      <c r="S656" s="361">
        <f t="shared" si="665"/>
        <v>2.3980693050286717</v>
      </c>
      <c r="T656" s="361">
        <f t="shared" si="665"/>
        <v>2.7298421933793882</v>
      </c>
      <c r="U656" s="361">
        <f t="shared" si="665"/>
        <v>3.1075158608334266</v>
      </c>
      <c r="V656" s="362">
        <f t="shared" si="665"/>
        <v>3.5374406801797309</v>
      </c>
      <c r="X656" s="351"/>
    </row>
    <row r="657" spans="3:24" ht="24.75" customHeight="1" x14ac:dyDescent="0.3">
      <c r="C657" s="353">
        <f>ABS(E657-Dashboard!$F$14)</f>
        <v>103.32455545872254</v>
      </c>
      <c r="D657" s="350">
        <f t="shared" si="663"/>
        <v>0.13844999999999999</v>
      </c>
      <c r="E657" s="359" cm="1">
        <f t="array" ref="E657">1000*SUM('DRE + DCF'!$L$36/M657,'DRE + DCF'!$N$36:$V$36/N657:V657,F657/V657)/Dashboard!$F$11</f>
        <v>200.31455545872254</v>
      </c>
      <c r="F657" s="359">
        <f t="shared" si="661"/>
        <v>23997953.180019081</v>
      </c>
      <c r="G657" s="359">
        <f>'DRE + DCF'!$W$31</f>
        <v>2791623.3540418856</v>
      </c>
      <c r="H657" s="359">
        <f>'DRE + DCF'!$W$32</f>
        <v>81081.931703745853</v>
      </c>
      <c r="I657" s="359">
        <f>-H657*('DRE + DCF'!$V$33+K657)/'DRE + DCF'!$V$33</f>
        <v>-90858.801614444121</v>
      </c>
      <c r="J657" s="359">
        <f>-'DRE + DCF'!$V$56*L657</f>
        <v>-1188924.4255577971</v>
      </c>
      <c r="K657" s="360">
        <f>(1+L657)/(1+Ke!$O$12)-1</f>
        <v>2.0000000000000018E-2</v>
      </c>
      <c r="L657" s="360">
        <f>'DRE + DCF'!$Y$31</f>
        <v>7.3550000000000004E-2</v>
      </c>
      <c r="M657" s="361">
        <f>(1+D657)^((5-Dashboard!$F$9)*3/12)</f>
        <v>1.1021367174877001</v>
      </c>
      <c r="N657" s="361">
        <f t="shared" ref="N657:V657" si="666">M657*(1+$D657)</f>
        <v>1.2547275460238723</v>
      </c>
      <c r="O657" s="361">
        <f t="shared" si="666"/>
        <v>1.4284445747708774</v>
      </c>
      <c r="P657" s="361">
        <f t="shared" si="666"/>
        <v>1.6262127261479054</v>
      </c>
      <c r="Q657" s="361">
        <f t="shared" si="666"/>
        <v>1.8513618780830827</v>
      </c>
      <c r="R657" s="361">
        <f t="shared" si="666"/>
        <v>2.1076829301036852</v>
      </c>
      <c r="S657" s="361">
        <f t="shared" si="666"/>
        <v>2.3994916317765402</v>
      </c>
      <c r="T657" s="361">
        <f t="shared" si="666"/>
        <v>2.7317012481960021</v>
      </c>
      <c r="U657" s="361">
        <f t="shared" si="666"/>
        <v>3.1099052860087384</v>
      </c>
      <c r="V657" s="362">
        <f t="shared" si="666"/>
        <v>3.5404716728566483</v>
      </c>
      <c r="X657" s="351"/>
    </row>
    <row r="658" spans="3:24" ht="24.75" customHeight="1" x14ac:dyDescent="0.3">
      <c r="C658" s="353">
        <f>ABS(E658-Dashboard!$F$14)</f>
        <v>103.04224451149794</v>
      </c>
      <c r="D658" s="350">
        <f t="shared" si="663"/>
        <v>0.13854999999999998</v>
      </c>
      <c r="E658" s="359" cm="1">
        <f t="array" ref="E658">1000*SUM('DRE + DCF'!$L$36/M658,'DRE + DCF'!$N$36:$V$36/N658:V658,F658/V658)/Dashboard!$F$11</f>
        <v>200.03224451149794</v>
      </c>
      <c r="F658" s="359">
        <f t="shared" si="661"/>
        <v>23969872.573621862</v>
      </c>
      <c r="G658" s="359">
        <f>'DRE + DCF'!$W$31</f>
        <v>2791623.3540418856</v>
      </c>
      <c r="H658" s="359">
        <f>'DRE + DCF'!$W$32</f>
        <v>81081.931703745853</v>
      </c>
      <c r="I658" s="359">
        <f>-H658*('DRE + DCF'!$V$33+K658)/'DRE + DCF'!$V$33</f>
        <v>-90858.801614444121</v>
      </c>
      <c r="J658" s="359">
        <f>-'DRE + DCF'!$V$56*L658</f>
        <v>-1188924.4255577971</v>
      </c>
      <c r="K658" s="360">
        <f>(1+L658)/(1+Ke!$O$12)-1</f>
        <v>2.0000000000000018E-2</v>
      </c>
      <c r="L658" s="360">
        <f>'DRE + DCF'!$Y$31</f>
        <v>7.3550000000000004E-2</v>
      </c>
      <c r="M658" s="361">
        <f>(1+D658)^((5-Dashboard!$F$9)*3/12)</f>
        <v>1.1022093244060964</v>
      </c>
      <c r="N658" s="361">
        <f t="shared" ref="N658:V658" si="667">M658*(1+$D658)</f>
        <v>1.2549204263025611</v>
      </c>
      <c r="O658" s="361">
        <f t="shared" si="667"/>
        <v>1.4287896513667808</v>
      </c>
      <c r="P658" s="361">
        <f t="shared" si="667"/>
        <v>1.6267484575636482</v>
      </c>
      <c r="Q658" s="361">
        <f t="shared" si="667"/>
        <v>1.8521344563590916</v>
      </c>
      <c r="R658" s="361">
        <f t="shared" si="667"/>
        <v>2.1087476852876437</v>
      </c>
      <c r="S658" s="361">
        <f t="shared" si="667"/>
        <v>2.4009146770842467</v>
      </c>
      <c r="T658" s="361">
        <f t="shared" si="667"/>
        <v>2.7335614055942687</v>
      </c>
      <c r="U658" s="361">
        <f t="shared" si="667"/>
        <v>3.1122963383393545</v>
      </c>
      <c r="V658" s="362">
        <f t="shared" si="667"/>
        <v>3.5435049960162721</v>
      </c>
      <c r="X658" s="351"/>
    </row>
    <row r="659" spans="3:24" ht="24.75" customHeight="1" x14ac:dyDescent="0.3">
      <c r="C659" s="353">
        <f>ABS(E659-Dashboard!$F$14)</f>
        <v>102.7606686715407</v>
      </c>
      <c r="D659" s="350">
        <f t="shared" si="663"/>
        <v>0.13864999999999997</v>
      </c>
      <c r="E659" s="359" cm="1">
        <f t="array" ref="E659">1000*SUM('DRE + DCF'!$L$36/M659,'DRE + DCF'!$N$36:$V$36/N659:V659,F659/V659)/Dashboard!$F$11</f>
        <v>199.75066867154069</v>
      </c>
      <c r="F659" s="359">
        <f t="shared" si="661"/>
        <v>23941865.505400799</v>
      </c>
      <c r="G659" s="359">
        <f>'DRE + DCF'!$W$31</f>
        <v>2791623.3540418856</v>
      </c>
      <c r="H659" s="359">
        <f>'DRE + DCF'!$W$32</f>
        <v>81081.931703745853</v>
      </c>
      <c r="I659" s="359">
        <f>-H659*('DRE + DCF'!$V$33+K659)/'DRE + DCF'!$V$33</f>
        <v>-90858.801614444121</v>
      </c>
      <c r="J659" s="359">
        <f>-'DRE + DCF'!$V$56*L659</f>
        <v>-1188924.4255577971</v>
      </c>
      <c r="K659" s="360">
        <f>(1+L659)/(1+Ke!$O$12)-1</f>
        <v>2.0000000000000018E-2</v>
      </c>
      <c r="L659" s="360">
        <f>'DRE + DCF'!$Y$31</f>
        <v>7.3550000000000004E-2</v>
      </c>
      <c r="M659" s="361">
        <f>(1+D659)^((5-Dashboard!$F$9)*3/12)</f>
        <v>1.1022819297302255</v>
      </c>
      <c r="N659" s="361">
        <f t="shared" ref="N659:V659" si="668">M659*(1+$D659)</f>
        <v>1.2551133192873212</v>
      </c>
      <c r="O659" s="361">
        <f t="shared" si="668"/>
        <v>1.4291347810065083</v>
      </c>
      <c r="P659" s="361">
        <f t="shared" si="668"/>
        <v>1.6272843183930605</v>
      </c>
      <c r="Q659" s="361">
        <f t="shared" si="668"/>
        <v>1.8529072891382583</v>
      </c>
      <c r="R659" s="361">
        <f t="shared" si="668"/>
        <v>2.1098128847772779</v>
      </c>
      <c r="S659" s="361">
        <f t="shared" si="668"/>
        <v>2.4023384412516475</v>
      </c>
      <c r="T659" s="361">
        <f t="shared" si="668"/>
        <v>2.7354226661311882</v>
      </c>
      <c r="U659" s="361">
        <f t="shared" si="668"/>
        <v>3.1146890187902772</v>
      </c>
      <c r="V659" s="362">
        <f t="shared" si="668"/>
        <v>3.5465406512455488</v>
      </c>
      <c r="X659" s="351"/>
    </row>
    <row r="660" spans="3:24" ht="24.75" customHeight="1" x14ac:dyDescent="0.3">
      <c r="C660" s="353">
        <f>ABS(E660-Dashboard!$F$14)</f>
        <v>102.47982496224962</v>
      </c>
      <c r="D660" s="350">
        <f t="shared" si="663"/>
        <v>0.13874999999999996</v>
      </c>
      <c r="E660" s="359" cm="1">
        <f t="array" ref="E660">1000*SUM('DRE + DCF'!$L$36/M660,'DRE + DCF'!$N$36:$V$36/N660:V660,F660/V660)/Dashboard!$F$11</f>
        <v>199.46982496224962</v>
      </c>
      <c r="F660" s="359">
        <f t="shared" si="661"/>
        <v>23913931.664474264</v>
      </c>
      <c r="G660" s="359">
        <f>'DRE + DCF'!$W$31</f>
        <v>2791623.3540418856</v>
      </c>
      <c r="H660" s="359">
        <f>'DRE + DCF'!$W$32</f>
        <v>81081.931703745853</v>
      </c>
      <c r="I660" s="359">
        <f>-H660*('DRE + DCF'!$V$33+K660)/'DRE + DCF'!$V$33</f>
        <v>-90858.801614444121</v>
      </c>
      <c r="J660" s="359">
        <f>-'DRE + DCF'!$V$56*L660</f>
        <v>-1188924.4255577971</v>
      </c>
      <c r="K660" s="360">
        <f>(1+L660)/(1+Ke!$O$12)-1</f>
        <v>2.0000000000000018E-2</v>
      </c>
      <c r="L660" s="360">
        <f>'DRE + DCF'!$Y$31</f>
        <v>7.3550000000000004E-2</v>
      </c>
      <c r="M660" s="361">
        <f>(1+D660)^((5-Dashboard!$F$9)*3/12)</f>
        <v>1.1023545334602622</v>
      </c>
      <c r="N660" s="361">
        <f t="shared" ref="N660:V660" si="669">M660*(1+$D660)</f>
        <v>1.2553062249778735</v>
      </c>
      <c r="O660" s="361">
        <f t="shared" si="669"/>
        <v>1.4294799636935533</v>
      </c>
      <c r="P660" s="361">
        <f t="shared" si="669"/>
        <v>1.6278203086560337</v>
      </c>
      <c r="Q660" s="361">
        <f t="shared" si="669"/>
        <v>1.8536803764820582</v>
      </c>
      <c r="R660" s="361">
        <f t="shared" si="669"/>
        <v>2.1108785287189438</v>
      </c>
      <c r="S660" s="361">
        <f t="shared" si="669"/>
        <v>2.4037629245786971</v>
      </c>
      <c r="T660" s="361">
        <f t="shared" si="669"/>
        <v>2.7372850303639913</v>
      </c>
      <c r="U660" s="361">
        <f t="shared" si="669"/>
        <v>3.117083328326995</v>
      </c>
      <c r="V660" s="362">
        <f t="shared" si="669"/>
        <v>3.5495786401323652</v>
      </c>
      <c r="X660" s="351"/>
    </row>
    <row r="661" spans="3:24" ht="24.75" customHeight="1" x14ac:dyDescent="0.3">
      <c r="C661" s="353">
        <f>ABS(E661-Dashboard!$F$14)</f>
        <v>102.19971042393315</v>
      </c>
      <c r="D661" s="350">
        <f t="shared" si="663"/>
        <v>0.13884999999999995</v>
      </c>
      <c r="E661" s="359" cm="1">
        <f t="array" ref="E661">1000*SUM('DRE + DCF'!$L$36/M661,'DRE + DCF'!$N$36:$V$36/N661:V661,F661/V661)/Dashboard!$F$11</f>
        <v>199.18971042393315</v>
      </c>
      <c r="F661" s="359">
        <f t="shared" si="661"/>
        <v>23886070.741785884</v>
      </c>
      <c r="G661" s="359">
        <f>'DRE + DCF'!$W$31</f>
        <v>2791623.3540418856</v>
      </c>
      <c r="H661" s="359">
        <f>'DRE + DCF'!$W$32</f>
        <v>81081.931703745853</v>
      </c>
      <c r="I661" s="359">
        <f>-H661*('DRE + DCF'!$V$33+K661)/'DRE + DCF'!$V$33</f>
        <v>-90858.801614444121</v>
      </c>
      <c r="J661" s="359">
        <f>-'DRE + DCF'!$V$56*L661</f>
        <v>-1188924.4255577971</v>
      </c>
      <c r="K661" s="360">
        <f>(1+L661)/(1+Ke!$O$12)-1</f>
        <v>2.0000000000000018E-2</v>
      </c>
      <c r="L661" s="360">
        <f>'DRE + DCF'!$Y$31</f>
        <v>7.3550000000000004E-2</v>
      </c>
      <c r="M661" s="361">
        <f>(1+D661)^((5-Dashboard!$F$9)*3/12)</f>
        <v>1.1024271355963817</v>
      </c>
      <c r="N661" s="361">
        <f t="shared" ref="N661:V661" si="670">M661*(1+$D661)</f>
        <v>1.2554991433739393</v>
      </c>
      <c r="O661" s="361">
        <f t="shared" si="670"/>
        <v>1.4298251994314106</v>
      </c>
      <c r="P661" s="361">
        <f t="shared" si="670"/>
        <v>1.6283564283724619</v>
      </c>
      <c r="Q661" s="361">
        <f t="shared" si="670"/>
        <v>1.854453718451978</v>
      </c>
      <c r="R661" s="361">
        <f t="shared" si="670"/>
        <v>2.1119446172590348</v>
      </c>
      <c r="S661" s="361">
        <f t="shared" si="670"/>
        <v>2.4051881273654518</v>
      </c>
      <c r="T661" s="361">
        <f t="shared" si="670"/>
        <v>2.7391484988501444</v>
      </c>
      <c r="U661" s="361">
        <f t="shared" si="670"/>
        <v>3.1194792679154868</v>
      </c>
      <c r="V661" s="362">
        <f t="shared" si="670"/>
        <v>3.5526189642655517</v>
      </c>
      <c r="X661" s="351"/>
    </row>
    <row r="662" spans="3:24" ht="24.75" customHeight="1" x14ac:dyDescent="0.3">
      <c r="C662" s="353">
        <f>ABS(E662-Dashboard!$F$14)</f>
        <v>101.92032211368512</v>
      </c>
      <c r="D662" s="350">
        <f t="shared" si="663"/>
        <v>0.13894999999999993</v>
      </c>
      <c r="E662" s="359" cm="1">
        <f t="array" ref="E662">1000*SUM('DRE + DCF'!$L$36/M662,'DRE + DCF'!$N$36:$V$36/N662:V662,F662/V662)/Dashboard!$F$11</f>
        <v>198.91032211368511</v>
      </c>
      <c r="F662" s="359">
        <f t="shared" si="661"/>
        <v>23858282.430090882</v>
      </c>
      <c r="G662" s="359">
        <f>'DRE + DCF'!$W$31</f>
        <v>2791623.3540418856</v>
      </c>
      <c r="H662" s="359">
        <f>'DRE + DCF'!$W$32</f>
        <v>81081.931703745853</v>
      </c>
      <c r="I662" s="359">
        <f>-H662*('DRE + DCF'!$V$33+K662)/'DRE + DCF'!$V$33</f>
        <v>-90858.801614444121</v>
      </c>
      <c r="J662" s="359">
        <f>-'DRE + DCF'!$V$56*L662</f>
        <v>-1188924.4255577971</v>
      </c>
      <c r="K662" s="360">
        <f>(1+L662)/(1+Ke!$O$12)-1</f>
        <v>2.0000000000000018E-2</v>
      </c>
      <c r="L662" s="360">
        <f>'DRE + DCF'!$Y$31</f>
        <v>7.3550000000000004E-2</v>
      </c>
      <c r="M662" s="361">
        <f>(1+D662)^((5-Dashboard!$F$9)*3/12)</f>
        <v>1.102499736138759</v>
      </c>
      <c r="N662" s="361">
        <f t="shared" ref="N662:V662" si="671">M662*(1+$D662)</f>
        <v>1.2556920744752393</v>
      </c>
      <c r="O662" s="361">
        <f t="shared" si="671"/>
        <v>1.4301704882235737</v>
      </c>
      <c r="P662" s="361">
        <f t="shared" si="671"/>
        <v>1.6288926775622392</v>
      </c>
      <c r="Q662" s="361">
        <f t="shared" si="671"/>
        <v>1.8552273151095122</v>
      </c>
      <c r="R662" s="361">
        <f t="shared" si="671"/>
        <v>2.1130111505439788</v>
      </c>
      <c r="S662" s="361">
        <f t="shared" si="671"/>
        <v>2.4066140499120645</v>
      </c>
      <c r="T662" s="361">
        <f t="shared" si="671"/>
        <v>2.7410130721473456</v>
      </c>
      <c r="U662" s="361">
        <f t="shared" si="671"/>
        <v>3.1218768385222191</v>
      </c>
      <c r="V662" s="362">
        <f t="shared" si="671"/>
        <v>3.5556616252348809</v>
      </c>
      <c r="X662" s="351"/>
    </row>
    <row r="663" spans="3:24" ht="24.75" customHeight="1" x14ac:dyDescent="0.3">
      <c r="C663" s="353">
        <f>ABS(E663-Dashboard!$F$14)</f>
        <v>101.64165710526176</v>
      </c>
      <c r="D663" s="350">
        <f t="shared" si="663"/>
        <v>0.13904999999999992</v>
      </c>
      <c r="E663" s="359" cm="1">
        <f t="array" ref="E663">1000*SUM('DRE + DCF'!$L$36/M663,'DRE + DCF'!$N$36:$V$36/N663:V663,F663/V663)/Dashboard!$F$11</f>
        <v>198.63165710526175</v>
      </c>
      <c r="F663" s="359">
        <f t="shared" si="661"/>
        <v>23830566.423942562</v>
      </c>
      <c r="G663" s="359">
        <f>'DRE + DCF'!$W$31</f>
        <v>2791623.3540418856</v>
      </c>
      <c r="H663" s="359">
        <f>'DRE + DCF'!$W$32</f>
        <v>81081.931703745853</v>
      </c>
      <c r="I663" s="359">
        <f>-H663*('DRE + DCF'!$V$33+K663)/'DRE + DCF'!$V$33</f>
        <v>-90858.801614444121</v>
      </c>
      <c r="J663" s="359">
        <f>-'DRE + DCF'!$V$56*L663</f>
        <v>-1188924.4255577971</v>
      </c>
      <c r="K663" s="360">
        <f>(1+L663)/(1+Ke!$O$12)-1</f>
        <v>2.0000000000000018E-2</v>
      </c>
      <c r="L663" s="360">
        <f>'DRE + DCF'!$Y$31</f>
        <v>7.3550000000000004E-2</v>
      </c>
      <c r="M663" s="361">
        <f>(1+D663)^((5-Dashboard!$F$9)*3/12)</f>
        <v>1.1025723350875687</v>
      </c>
      <c r="N663" s="361">
        <f t="shared" ref="N663:V663" si="672">M663*(1+$D663)</f>
        <v>1.2558850182814949</v>
      </c>
      <c r="O663" s="361">
        <f t="shared" si="672"/>
        <v>1.4305158300735366</v>
      </c>
      <c r="P663" s="361">
        <f t="shared" si="672"/>
        <v>1.6294290562452616</v>
      </c>
      <c r="Q663" s="361">
        <f t="shared" si="672"/>
        <v>1.8560011665161651</v>
      </c>
      <c r="R663" s="361">
        <f t="shared" si="672"/>
        <v>2.1140781287202377</v>
      </c>
      <c r="S663" s="361">
        <f t="shared" si="672"/>
        <v>2.4080406925187865</v>
      </c>
      <c r="T663" s="361">
        <f t="shared" si="672"/>
        <v>2.7428787508135235</v>
      </c>
      <c r="U663" s="361">
        <f t="shared" si="672"/>
        <v>3.1242760411141437</v>
      </c>
      <c r="V663" s="362">
        <f t="shared" si="672"/>
        <v>3.558706624631065</v>
      </c>
      <c r="X663" s="351"/>
    </row>
    <row r="664" spans="3:24" ht="24.75" customHeight="1" x14ac:dyDescent="0.3">
      <c r="C664" s="353">
        <f>ABS(E664-Dashboard!$F$14)</f>
        <v>101.36371248895925</v>
      </c>
      <c r="D664" s="350">
        <f t="shared" si="663"/>
        <v>0.13914999999999991</v>
      </c>
      <c r="E664" s="359" cm="1">
        <f t="array" ref="E664">1000*SUM('DRE + DCF'!$L$36/M664,'DRE + DCF'!$N$36:$V$36/N664:V664,F664/V664)/Dashboard!$F$11</f>
        <v>198.35371248895925</v>
      </c>
      <c r="F664" s="359">
        <f t="shared" si="661"/>
        <v>23802922.419678841</v>
      </c>
      <c r="G664" s="359">
        <f>'DRE + DCF'!$W$31</f>
        <v>2791623.3540418856</v>
      </c>
      <c r="H664" s="359">
        <f>'DRE + DCF'!$W$32</f>
        <v>81081.931703745853</v>
      </c>
      <c r="I664" s="359">
        <f>-H664*('DRE + DCF'!$V$33+K664)/'DRE + DCF'!$V$33</f>
        <v>-90858.801614444121</v>
      </c>
      <c r="J664" s="359">
        <f>-'DRE + DCF'!$V$56*L664</f>
        <v>-1188924.4255577971</v>
      </c>
      <c r="K664" s="360">
        <f>(1+L664)/(1+Ke!$O$12)-1</f>
        <v>2.0000000000000018E-2</v>
      </c>
      <c r="L664" s="360">
        <f>'DRE + DCF'!$Y$31</f>
        <v>7.3550000000000004E-2</v>
      </c>
      <c r="M664" s="361">
        <f>(1+D664)^((5-Dashboard!$F$9)*3/12)</f>
        <v>1.1026449324429857</v>
      </c>
      <c r="N664" s="361">
        <f t="shared" ref="N664:V664" si="673">M664*(1+$D664)</f>
        <v>1.2560779747924271</v>
      </c>
      <c r="O664" s="361">
        <f t="shared" si="673"/>
        <v>1.4308612249847932</v>
      </c>
      <c r="P664" s="361">
        <f t="shared" si="673"/>
        <v>1.629965564441427</v>
      </c>
      <c r="Q664" s="361">
        <f t="shared" si="673"/>
        <v>1.8567752727334514</v>
      </c>
      <c r="R664" s="361">
        <f t="shared" si="673"/>
        <v>2.1151455519343112</v>
      </c>
      <c r="S664" s="361">
        <f t="shared" si="673"/>
        <v>2.4094680554859704</v>
      </c>
      <c r="T664" s="361">
        <f t="shared" si="673"/>
        <v>2.7447455354068429</v>
      </c>
      <c r="U664" s="361">
        <f t="shared" si="673"/>
        <v>3.1266768766587045</v>
      </c>
      <c r="V664" s="362">
        <f t="shared" si="673"/>
        <v>3.5617539640457627</v>
      </c>
      <c r="X664" s="351"/>
    </row>
    <row r="665" spans="3:24" ht="24.75" customHeight="1" x14ac:dyDescent="0.3">
      <c r="C665" s="353">
        <f>ABS(E665-Dashboard!$F$14)</f>
        <v>101.08648537149311</v>
      </c>
      <c r="D665" s="350">
        <f t="shared" si="663"/>
        <v>0.1392499999999999</v>
      </c>
      <c r="E665" s="359" cm="1">
        <f t="array" ref="E665">1000*SUM('DRE + DCF'!$L$36/M665,'DRE + DCF'!$N$36:$V$36/N665:V665,F665/V665)/Dashboard!$F$11</f>
        <v>198.07648537149311</v>
      </c>
      <c r="F665" s="359">
        <f t="shared" si="661"/>
        <v>23775350.115408964</v>
      </c>
      <c r="G665" s="359">
        <f>'DRE + DCF'!$W$31</f>
        <v>2791623.3540418856</v>
      </c>
      <c r="H665" s="359">
        <f>'DRE + DCF'!$W$32</f>
        <v>81081.931703745853</v>
      </c>
      <c r="I665" s="359">
        <f>-H665*('DRE + DCF'!$V$33+K665)/'DRE + DCF'!$V$33</f>
        <v>-90858.801614444121</v>
      </c>
      <c r="J665" s="359">
        <f>-'DRE + DCF'!$V$56*L665</f>
        <v>-1188924.4255577971</v>
      </c>
      <c r="K665" s="360">
        <f>(1+L665)/(1+Ke!$O$12)-1</f>
        <v>2.0000000000000018E-2</v>
      </c>
      <c r="L665" s="360">
        <f>'DRE + DCF'!$Y$31</f>
        <v>7.3550000000000004E-2</v>
      </c>
      <c r="M665" s="361">
        <f>(1+D665)^((5-Dashboard!$F$9)*3/12)</f>
        <v>1.1027175282051851</v>
      </c>
      <c r="N665" s="361">
        <f t="shared" ref="N665:V665" si="674">M665*(1+$D665)</f>
        <v>1.2562709440077571</v>
      </c>
      <c r="O665" s="361">
        <f t="shared" si="674"/>
        <v>1.431206672960837</v>
      </c>
      <c r="P665" s="361">
        <f t="shared" si="674"/>
        <v>1.6305022021706335</v>
      </c>
      <c r="Q665" s="361">
        <f t="shared" si="674"/>
        <v>1.8575496338228941</v>
      </c>
      <c r="R665" s="361">
        <f t="shared" si="674"/>
        <v>2.1162134203327319</v>
      </c>
      <c r="S665" s="361">
        <f t="shared" si="674"/>
        <v>2.4108961391140644</v>
      </c>
      <c r="T665" s="361">
        <f t="shared" si="674"/>
        <v>2.7466134264856974</v>
      </c>
      <c r="U665" s="361">
        <f t="shared" si="674"/>
        <v>3.1290793461238304</v>
      </c>
      <c r="V665" s="362">
        <f t="shared" si="674"/>
        <v>3.5648036450715734</v>
      </c>
      <c r="X665" s="351"/>
    </row>
    <row r="666" spans="3:24" ht="24.75" customHeight="1" x14ac:dyDescent="0.3">
      <c r="C666" s="353">
        <f>ABS(E666-Dashboard!$F$14)</f>
        <v>100.80997287587807</v>
      </c>
      <c r="D666" s="350">
        <f t="shared" si="663"/>
        <v>0.13934999999999989</v>
      </c>
      <c r="E666" s="359" cm="1">
        <f t="array" ref="E666">1000*SUM('DRE + DCF'!$L$36/M666,'DRE + DCF'!$N$36:$V$36/N666:V666,F666/V666)/Dashboard!$F$11</f>
        <v>197.79997287587807</v>
      </c>
      <c r="F666" s="359">
        <f t="shared" si="661"/>
        <v>23747849.211000327</v>
      </c>
      <c r="G666" s="359">
        <f>'DRE + DCF'!$W$31</f>
        <v>2791623.3540418856</v>
      </c>
      <c r="H666" s="359">
        <f>'DRE + DCF'!$W$32</f>
        <v>81081.931703745853</v>
      </c>
      <c r="I666" s="359">
        <f>-H666*('DRE + DCF'!$V$33+K666)/'DRE + DCF'!$V$33</f>
        <v>-90858.801614444121</v>
      </c>
      <c r="J666" s="359">
        <f>-'DRE + DCF'!$V$56*L666</f>
        <v>-1188924.4255577971</v>
      </c>
      <c r="K666" s="360">
        <f>(1+L666)/(1+Ke!$O$12)-1</f>
        <v>2.0000000000000018E-2</v>
      </c>
      <c r="L666" s="360">
        <f>'DRE + DCF'!$Y$31</f>
        <v>7.3550000000000004E-2</v>
      </c>
      <c r="M666" s="361">
        <f>(1+D666)^((5-Dashboard!$F$9)*3/12)</f>
        <v>1.1027901223743415</v>
      </c>
      <c r="N666" s="361">
        <f t="shared" ref="N666:V666" si="675">M666*(1+$D666)</f>
        <v>1.2564639259272059</v>
      </c>
      <c r="O666" s="361">
        <f t="shared" si="675"/>
        <v>1.4315521740051618</v>
      </c>
      <c r="P666" s="361">
        <f t="shared" si="675"/>
        <v>1.6310389694527809</v>
      </c>
      <c r="Q666" s="361">
        <f t="shared" si="675"/>
        <v>1.8583242498460257</v>
      </c>
      <c r="R666" s="361">
        <f t="shared" si="675"/>
        <v>2.1172817340620691</v>
      </c>
      <c r="S666" s="361">
        <f t="shared" si="675"/>
        <v>2.4123249437036183</v>
      </c>
      <c r="T666" s="361">
        <f t="shared" si="675"/>
        <v>2.7484824246087172</v>
      </c>
      <c r="U666" s="361">
        <f t="shared" si="675"/>
        <v>3.1314834504779414</v>
      </c>
      <c r="V666" s="362">
        <f t="shared" si="675"/>
        <v>3.567855669302042</v>
      </c>
      <c r="X666" s="351"/>
    </row>
    <row r="667" spans="3:24" ht="24.75" customHeight="1" x14ac:dyDescent="0.3">
      <c r="C667" s="353">
        <f>ABS(E667-Dashboard!$F$14)</f>
        <v>100.53417214130907</v>
      </c>
      <c r="D667" s="350">
        <f t="shared" si="663"/>
        <v>0.13944999999999988</v>
      </c>
      <c r="E667" s="359" cm="1">
        <f t="array" ref="E667">1000*SUM('DRE + DCF'!$L$36/M667,'DRE + DCF'!$N$36:$V$36/N667:V667,F667/V667)/Dashboard!$F$11</f>
        <v>197.52417214130907</v>
      </c>
      <c r="F667" s="359">
        <f t="shared" si="661"/>
        <v>23720419.40806542</v>
      </c>
      <c r="G667" s="359">
        <f>'DRE + DCF'!$W$31</f>
        <v>2791623.3540418856</v>
      </c>
      <c r="H667" s="359">
        <f>'DRE + DCF'!$W$32</f>
        <v>81081.931703745853</v>
      </c>
      <c r="I667" s="359">
        <f>-H667*('DRE + DCF'!$V$33+K667)/'DRE + DCF'!$V$33</f>
        <v>-90858.801614444121</v>
      </c>
      <c r="J667" s="359">
        <f>-'DRE + DCF'!$V$56*L667</f>
        <v>-1188924.4255577971</v>
      </c>
      <c r="K667" s="360">
        <f>(1+L667)/(1+Ke!$O$12)-1</f>
        <v>2.0000000000000018E-2</v>
      </c>
      <c r="L667" s="360">
        <f>'DRE + DCF'!$Y$31</f>
        <v>7.3550000000000004E-2</v>
      </c>
      <c r="M667" s="361">
        <f>(1+D667)^((5-Dashboard!$F$9)*3/12)</f>
        <v>1.1028627149506298</v>
      </c>
      <c r="N667" s="361">
        <f t="shared" ref="N667:V667" si="676">M667*(1+$D667)</f>
        <v>1.2566569205504949</v>
      </c>
      <c r="O667" s="361">
        <f t="shared" si="676"/>
        <v>1.4318977281212613</v>
      </c>
      <c r="P667" s="361">
        <f t="shared" si="676"/>
        <v>1.6315758663077709</v>
      </c>
      <c r="Q667" s="361">
        <f t="shared" si="676"/>
        <v>1.8590991208643892</v>
      </c>
      <c r="R667" s="361">
        <f t="shared" si="676"/>
        <v>2.1183504932689279</v>
      </c>
      <c r="S667" s="361">
        <f t="shared" si="676"/>
        <v>2.4137544695552795</v>
      </c>
      <c r="T667" s="361">
        <f t="shared" si="676"/>
        <v>2.7503525303347627</v>
      </c>
      <c r="U667" s="361">
        <f t="shared" si="676"/>
        <v>3.1338891906899451</v>
      </c>
      <c r="V667" s="362">
        <f t="shared" si="676"/>
        <v>3.5709100383316574</v>
      </c>
      <c r="X667" s="351"/>
    </row>
    <row r="668" spans="3:24" ht="24.75" customHeight="1" x14ac:dyDescent="0.3">
      <c r="C668" s="353">
        <f>ABS(E668-Dashboard!$F$14)</f>
        <v>100.25908032304393</v>
      </c>
      <c r="D668" s="350">
        <f t="shared" si="663"/>
        <v>0.13954999999999987</v>
      </c>
      <c r="E668" s="359" cm="1">
        <f t="array" ref="E668">1000*SUM('DRE + DCF'!$L$36/M668,'DRE + DCF'!$N$36:$V$36/N668:V668,F668/V668)/Dashboard!$F$11</f>
        <v>197.24908032304393</v>
      </c>
      <c r="F668" s="359">
        <f t="shared" si="661"/>
        <v>23693060.409948852</v>
      </c>
      <c r="G668" s="359">
        <f>'DRE + DCF'!$W$31</f>
        <v>2791623.3540418856</v>
      </c>
      <c r="H668" s="359">
        <f>'DRE + DCF'!$W$32</f>
        <v>81081.931703745853</v>
      </c>
      <c r="I668" s="359">
        <f>-H668*('DRE + DCF'!$V$33+K668)/'DRE + DCF'!$V$33</f>
        <v>-90858.801614444121</v>
      </c>
      <c r="J668" s="359">
        <f>-'DRE + DCF'!$V$56*L668</f>
        <v>-1188924.4255577971</v>
      </c>
      <c r="K668" s="360">
        <f>(1+L668)/(1+Ke!$O$12)-1</f>
        <v>2.0000000000000018E-2</v>
      </c>
      <c r="L668" s="360">
        <f>'DRE + DCF'!$Y$31</f>
        <v>7.3550000000000004E-2</v>
      </c>
      <c r="M668" s="361">
        <f>(1+D668)^((5-Dashboard!$F$9)*3/12)</f>
        <v>1.1029353059342248</v>
      </c>
      <c r="N668" s="361">
        <f t="shared" ref="N668:V668" si="677">M668*(1+$D668)</f>
        <v>1.2568499278773457</v>
      </c>
      <c r="O668" s="361">
        <f t="shared" si="677"/>
        <v>1.4322433353126292</v>
      </c>
      <c r="P668" s="361">
        <f t="shared" si="677"/>
        <v>1.6321128927555064</v>
      </c>
      <c r="Q668" s="361">
        <f t="shared" si="677"/>
        <v>1.8598742469395371</v>
      </c>
      <c r="R668" s="361">
        <f t="shared" si="677"/>
        <v>2.1194196980999491</v>
      </c>
      <c r="S668" s="361">
        <f t="shared" si="677"/>
        <v>2.4151847169697969</v>
      </c>
      <c r="T668" s="361">
        <f t="shared" si="677"/>
        <v>2.7522237442229316</v>
      </c>
      <c r="U668" s="361">
        <f t="shared" si="677"/>
        <v>3.1362965677292411</v>
      </c>
      <c r="V668" s="362">
        <f t="shared" si="677"/>
        <v>3.5739667537558564</v>
      </c>
      <c r="X668" s="351"/>
    </row>
    <row r="669" spans="3:24" ht="24.75" customHeight="1" x14ac:dyDescent="0.3">
      <c r="C669" s="353">
        <f>ABS(E669-Dashboard!$F$14)</f>
        <v>99.984694592286232</v>
      </c>
      <c r="D669" s="350">
        <f t="shared" si="663"/>
        <v>0.13964999999999986</v>
      </c>
      <c r="E669" s="359" cm="1">
        <f t="array" ref="E669">1000*SUM('DRE + DCF'!$L$36/M669,'DRE + DCF'!$N$36:$V$36/N669:V669,F669/V669)/Dashboard!$F$11</f>
        <v>196.97469459228623</v>
      </c>
      <c r="F669" s="359">
        <f t="shared" si="661"/>
        <v>23665771.921714552</v>
      </c>
      <c r="G669" s="359">
        <f>'DRE + DCF'!$W$31</f>
        <v>2791623.3540418856</v>
      </c>
      <c r="H669" s="359">
        <f>'DRE + DCF'!$W$32</f>
        <v>81081.931703745853</v>
      </c>
      <c r="I669" s="359">
        <f>-H669*('DRE + DCF'!$V$33+K669)/'DRE + DCF'!$V$33</f>
        <v>-90858.801614444121</v>
      </c>
      <c r="J669" s="359">
        <f>-'DRE + DCF'!$V$56*L669</f>
        <v>-1188924.4255577971</v>
      </c>
      <c r="K669" s="360">
        <f>(1+L669)/(1+Ke!$O$12)-1</f>
        <v>2.0000000000000018E-2</v>
      </c>
      <c r="L669" s="360">
        <f>'DRE + DCF'!$Y$31</f>
        <v>7.3550000000000004E-2</v>
      </c>
      <c r="M669" s="361">
        <f>(1+D669)^((5-Dashboard!$F$9)*3/12)</f>
        <v>1.1030078953253009</v>
      </c>
      <c r="N669" s="361">
        <f t="shared" ref="N669:V669" si="678">M669*(1+$D669)</f>
        <v>1.2570429479074789</v>
      </c>
      <c r="O669" s="361">
        <f t="shared" si="678"/>
        <v>1.4325889955827582</v>
      </c>
      <c r="P669" s="361">
        <f t="shared" si="678"/>
        <v>1.6326500488158902</v>
      </c>
      <c r="Q669" s="361">
        <f t="shared" si="678"/>
        <v>1.8606496281330289</v>
      </c>
      <c r="R669" s="361">
        <f t="shared" si="678"/>
        <v>2.1204893487018062</v>
      </c>
      <c r="S669" s="361">
        <f t="shared" si="678"/>
        <v>2.4166156862480128</v>
      </c>
      <c r="T669" s="361">
        <f t="shared" si="678"/>
        <v>2.7540960668325476</v>
      </c>
      <c r="U669" s="361">
        <f t="shared" si="678"/>
        <v>3.1387055825657124</v>
      </c>
      <c r="V669" s="362">
        <f t="shared" si="678"/>
        <v>3.5770258171710134</v>
      </c>
      <c r="X669" s="351"/>
    </row>
    <row r="670" spans="3:24" ht="24.75" customHeight="1" x14ac:dyDescent="0.3">
      <c r="C670" s="353">
        <f>ABS(E670-Dashboard!$F$14)</f>
        <v>99.711012136069783</v>
      </c>
      <c r="D670" s="350">
        <f t="shared" si="663"/>
        <v>0.13974999999999985</v>
      </c>
      <c r="E670" s="359" cm="1">
        <f t="array" ref="E670">1000*SUM('DRE + DCF'!$L$36/M670,'DRE + DCF'!$N$36:$V$36/N670:V670,F670/V670)/Dashboard!$F$11</f>
        <v>196.70101213606978</v>
      </c>
      <c r="F670" s="359">
        <f t="shared" si="661"/>
        <v>23638553.650133036</v>
      </c>
      <c r="G670" s="359">
        <f>'DRE + DCF'!$W$31</f>
        <v>2791623.3540418856</v>
      </c>
      <c r="H670" s="359">
        <f>'DRE + DCF'!$W$32</f>
        <v>81081.931703745853</v>
      </c>
      <c r="I670" s="359">
        <f>-H670*('DRE + DCF'!$V$33+K670)/'DRE + DCF'!$V$33</f>
        <v>-90858.801614444121</v>
      </c>
      <c r="J670" s="359">
        <f>-'DRE + DCF'!$V$56*L670</f>
        <v>-1188924.4255577971</v>
      </c>
      <c r="K670" s="360">
        <f>(1+L670)/(1+Ke!$O$12)-1</f>
        <v>2.0000000000000018E-2</v>
      </c>
      <c r="L670" s="360">
        <f>'DRE + DCF'!$Y$31</f>
        <v>7.3550000000000004E-2</v>
      </c>
      <c r="M670" s="361">
        <f>(1+D670)^((5-Dashboard!$F$9)*3/12)</f>
        <v>1.1030804831240331</v>
      </c>
      <c r="N670" s="361">
        <f t="shared" ref="N670:V670" si="679">M670*(1+$D670)</f>
        <v>1.2572359806406166</v>
      </c>
      <c r="O670" s="361">
        <f t="shared" si="679"/>
        <v>1.4329347089351425</v>
      </c>
      <c r="P670" s="361">
        <f t="shared" si="679"/>
        <v>1.6331873345088284</v>
      </c>
      <c r="Q670" s="361">
        <f t="shared" si="679"/>
        <v>1.8614252645064369</v>
      </c>
      <c r="R670" s="361">
        <f t="shared" si="679"/>
        <v>2.121559445221211</v>
      </c>
      <c r="S670" s="361">
        <f t="shared" si="679"/>
        <v>2.4180473776908746</v>
      </c>
      <c r="T670" s="361">
        <f t="shared" si="679"/>
        <v>2.7559694987231738</v>
      </c>
      <c r="U670" s="361">
        <f t="shared" si="679"/>
        <v>3.1411162361697369</v>
      </c>
      <c r="V670" s="362">
        <f t="shared" si="679"/>
        <v>3.5800872301744571</v>
      </c>
      <c r="X670" s="351"/>
    </row>
    <row r="671" spans="3:24" ht="24.75" customHeight="1" x14ac:dyDescent="0.3">
      <c r="C671" s="353">
        <f>ABS(E671-Dashboard!$F$14)</f>
        <v>99.4380301571437</v>
      </c>
      <c r="D671" s="350">
        <f t="shared" si="663"/>
        <v>0.13984999999999984</v>
      </c>
      <c r="E671" s="359" cm="1">
        <f t="array" ref="E671">1000*SUM('DRE + DCF'!$L$36/M671,'DRE + DCF'!$N$36:$V$36/N671:V671,F671/V671)/Dashboard!$F$11</f>
        <v>196.4280301571437</v>
      </c>
      <c r="F671" s="359">
        <f t="shared" si="661"/>
        <v>23611405.303668816</v>
      </c>
      <c r="G671" s="359">
        <f>'DRE + DCF'!$W$31</f>
        <v>2791623.3540418856</v>
      </c>
      <c r="H671" s="359">
        <f>'DRE + DCF'!$W$32</f>
        <v>81081.931703745853</v>
      </c>
      <c r="I671" s="359">
        <f>-H671*('DRE + DCF'!$V$33+K671)/'DRE + DCF'!$V$33</f>
        <v>-90858.801614444121</v>
      </c>
      <c r="J671" s="359">
        <f>-'DRE + DCF'!$V$56*L671</f>
        <v>-1188924.4255577971</v>
      </c>
      <c r="K671" s="360">
        <f>(1+L671)/(1+Ke!$O$12)-1</f>
        <v>2.0000000000000018E-2</v>
      </c>
      <c r="L671" s="360">
        <f>'DRE + DCF'!$Y$31</f>
        <v>7.3550000000000004E-2</v>
      </c>
      <c r="M671" s="361">
        <f>(1+D671)^((5-Dashboard!$F$9)*3/12)</f>
        <v>1.103153069330596</v>
      </c>
      <c r="N671" s="361">
        <f t="shared" ref="N671:V671" si="680">M671*(1+$D671)</f>
        <v>1.2574290260764796</v>
      </c>
      <c r="O671" s="361">
        <f t="shared" si="680"/>
        <v>1.4332804753732751</v>
      </c>
      <c r="P671" s="361">
        <f t="shared" si="680"/>
        <v>1.6337247498542273</v>
      </c>
      <c r="Q671" s="361">
        <f t="shared" si="680"/>
        <v>1.8622011561213407</v>
      </c>
      <c r="R671" s="361">
        <f t="shared" si="680"/>
        <v>2.1226299878049097</v>
      </c>
      <c r="S671" s="361">
        <f t="shared" si="680"/>
        <v>2.4194797915994259</v>
      </c>
      <c r="T671" s="361">
        <f t="shared" si="680"/>
        <v>2.7578440404546054</v>
      </c>
      <c r="U671" s="361">
        <f t="shared" si="680"/>
        <v>3.1435285295121815</v>
      </c>
      <c r="V671" s="362">
        <f t="shared" si="680"/>
        <v>3.5831509943644595</v>
      </c>
      <c r="X671" s="351"/>
    </row>
    <row r="672" spans="3:24" ht="24.75" customHeight="1" x14ac:dyDescent="0.3">
      <c r="C672" s="353">
        <f>ABS(E672-Dashboard!$F$14)</f>
        <v>99.165745873859308</v>
      </c>
      <c r="D672" s="350">
        <f t="shared" si="663"/>
        <v>0.13994999999999982</v>
      </c>
      <c r="E672" s="359" cm="1">
        <f t="array" ref="E672">1000*SUM('DRE + DCF'!$L$36/M672,'DRE + DCF'!$N$36:$V$36/N672:V672,F672/V672)/Dashboard!$F$11</f>
        <v>196.1557458738593</v>
      </c>
      <c r="F672" s="359">
        <f t="shared" si="661"/>
        <v>23584326.592467904</v>
      </c>
      <c r="G672" s="359">
        <f>'DRE + DCF'!$W$31</f>
        <v>2791623.3540418856</v>
      </c>
      <c r="H672" s="359">
        <f>'DRE + DCF'!$W$32</f>
        <v>81081.931703745853</v>
      </c>
      <c r="I672" s="359">
        <f>-H672*('DRE + DCF'!$V$33+K672)/'DRE + DCF'!$V$33</f>
        <v>-90858.801614444121</v>
      </c>
      <c r="J672" s="359">
        <f>-'DRE + DCF'!$V$56*L672</f>
        <v>-1188924.4255577971</v>
      </c>
      <c r="K672" s="360">
        <f>(1+L672)/(1+Ke!$O$12)-1</f>
        <v>2.0000000000000018E-2</v>
      </c>
      <c r="L672" s="360">
        <f>'DRE + DCF'!$Y$31</f>
        <v>7.3550000000000004E-2</v>
      </c>
      <c r="M672" s="361">
        <f>(1+D672)^((5-Dashboard!$F$9)*3/12)</f>
        <v>1.1032256539451639</v>
      </c>
      <c r="N672" s="361">
        <f t="shared" ref="N672:V672" si="681">M672*(1+$D672)</f>
        <v>1.2576220842147894</v>
      </c>
      <c r="O672" s="361">
        <f t="shared" si="681"/>
        <v>1.4336262949006489</v>
      </c>
      <c r="P672" s="361">
        <f t="shared" si="681"/>
        <v>1.6342622948719945</v>
      </c>
      <c r="Q672" s="361">
        <f t="shared" si="681"/>
        <v>1.8629773030393297</v>
      </c>
      <c r="R672" s="361">
        <f t="shared" si="681"/>
        <v>2.1237009765996837</v>
      </c>
      <c r="S672" s="361">
        <f t="shared" si="681"/>
        <v>2.420912928274809</v>
      </c>
      <c r="T672" s="361">
        <f t="shared" si="681"/>
        <v>2.7597196925868679</v>
      </c>
      <c r="U672" s="361">
        <f t="shared" si="681"/>
        <v>3.1459424635643995</v>
      </c>
      <c r="V672" s="362">
        <f t="shared" si="681"/>
        <v>3.5862171113402366</v>
      </c>
      <c r="X672" s="351"/>
    </row>
    <row r="673" spans="3:24" ht="24.75" customHeight="1" x14ac:dyDescent="0.3">
      <c r="C673" s="353">
        <f>ABS(E673-Dashboard!$F$14)</f>
        <v>98.894156520056967</v>
      </c>
      <c r="D673" s="350">
        <f t="shared" si="663"/>
        <v>0.14004999999999981</v>
      </c>
      <c r="E673" s="359" cm="1">
        <f t="array" ref="E673">1000*SUM('DRE + DCF'!$L$36/M673,'DRE + DCF'!$N$36:$V$36/N673:V673,F673/V673)/Dashboard!$F$11</f>
        <v>195.88415652005696</v>
      </c>
      <c r="F673" s="359">
        <f t="shared" si="661"/>
        <v>23557317.228345446</v>
      </c>
      <c r="G673" s="359">
        <f>'DRE + DCF'!$W$31</f>
        <v>2791623.3540418856</v>
      </c>
      <c r="H673" s="359">
        <f>'DRE + DCF'!$W$32</f>
        <v>81081.931703745853</v>
      </c>
      <c r="I673" s="359">
        <f>-H673*('DRE + DCF'!$V$33+K673)/'DRE + DCF'!$V$33</f>
        <v>-90858.801614444121</v>
      </c>
      <c r="J673" s="359">
        <f>-'DRE + DCF'!$V$56*L673</f>
        <v>-1188924.4255577971</v>
      </c>
      <c r="K673" s="360">
        <f>(1+L673)/(1+Ke!$O$12)-1</f>
        <v>2.0000000000000018E-2</v>
      </c>
      <c r="L673" s="360">
        <f>'DRE + DCF'!$Y$31</f>
        <v>7.3550000000000004E-2</v>
      </c>
      <c r="M673" s="361">
        <f>(1+D673)^((5-Dashboard!$F$9)*3/12)</f>
        <v>1.1032982369679116</v>
      </c>
      <c r="N673" s="361">
        <f t="shared" ref="N673:V673" si="682">M673*(1+$D673)</f>
        <v>1.2578151550552674</v>
      </c>
      <c r="O673" s="361">
        <f t="shared" si="682"/>
        <v>1.4339721675207573</v>
      </c>
      <c r="P673" s="361">
        <f t="shared" si="682"/>
        <v>1.634799969582039</v>
      </c>
      <c r="Q673" s="361">
        <f t="shared" si="682"/>
        <v>1.8637537053220032</v>
      </c>
      <c r="R673" s="361">
        <f t="shared" si="682"/>
        <v>2.1247724117523492</v>
      </c>
      <c r="S673" s="361">
        <f t="shared" si="682"/>
        <v>2.4223467880182654</v>
      </c>
      <c r="T673" s="361">
        <f t="shared" si="682"/>
        <v>2.7615964556802228</v>
      </c>
      <c r="U673" s="361">
        <f t="shared" si="682"/>
        <v>3.1483580392982375</v>
      </c>
      <c r="V673" s="362">
        <f t="shared" si="682"/>
        <v>3.589285582701955</v>
      </c>
      <c r="X673" s="351"/>
    </row>
    <row r="674" spans="3:24" ht="24.75" customHeight="1" x14ac:dyDescent="0.3">
      <c r="C674" s="353">
        <f>ABS(E674-Dashboard!$F$14)</f>
        <v>98.623259344954462</v>
      </c>
      <c r="D674" s="350">
        <f t="shared" si="663"/>
        <v>0.1401499999999998</v>
      </c>
      <c r="E674" s="359" cm="1">
        <f t="array" ref="E674">1000*SUM('DRE + DCF'!$L$36/M674,'DRE + DCF'!$N$36:$V$36/N674:V674,F674/V674)/Dashboard!$F$11</f>
        <v>195.61325934495446</v>
      </c>
      <c r="F674" s="359">
        <f t="shared" si="661"/>
        <v>23530376.92477344</v>
      </c>
      <c r="G674" s="359">
        <f>'DRE + DCF'!$W$31</f>
        <v>2791623.3540418856</v>
      </c>
      <c r="H674" s="359">
        <f>'DRE + DCF'!$W$32</f>
        <v>81081.931703745853</v>
      </c>
      <c r="I674" s="359">
        <f>-H674*('DRE + DCF'!$V$33+K674)/'DRE + DCF'!$V$33</f>
        <v>-90858.801614444121</v>
      </c>
      <c r="J674" s="359">
        <f>-'DRE + DCF'!$V$56*L674</f>
        <v>-1188924.4255577971</v>
      </c>
      <c r="K674" s="360">
        <f>(1+L674)/(1+Ke!$O$12)-1</f>
        <v>2.0000000000000018E-2</v>
      </c>
      <c r="L674" s="360">
        <f>'DRE + DCF'!$Y$31</f>
        <v>7.3550000000000004E-2</v>
      </c>
      <c r="M674" s="361">
        <f>(1+D674)^((5-Dashboard!$F$9)*3/12)</f>
        <v>1.1033708183990136</v>
      </c>
      <c r="N674" s="361">
        <f t="shared" ref="N674:V674" si="683">M674*(1+$D674)</f>
        <v>1.2580082385976352</v>
      </c>
      <c r="O674" s="361">
        <f t="shared" si="683"/>
        <v>1.4343180932370936</v>
      </c>
      <c r="P674" s="361">
        <f t="shared" si="683"/>
        <v>1.6353377740042718</v>
      </c>
      <c r="Q674" s="361">
        <f t="shared" si="683"/>
        <v>1.8645303630309702</v>
      </c>
      <c r="R674" s="361">
        <f t="shared" si="683"/>
        <v>2.1258442934097603</v>
      </c>
      <c r="S674" s="361">
        <f t="shared" si="683"/>
        <v>2.4237813711311378</v>
      </c>
      <c r="T674" s="361">
        <f t="shared" si="683"/>
        <v>2.7634743302951663</v>
      </c>
      <c r="U674" s="361">
        <f t="shared" si="683"/>
        <v>3.1507752576860333</v>
      </c>
      <c r="V674" s="362">
        <f t="shared" si="683"/>
        <v>3.5923564100507299</v>
      </c>
      <c r="X674" s="351"/>
    </row>
    <row r="675" spans="3:24" ht="24.75" customHeight="1" x14ac:dyDescent="0.3">
      <c r="C675" s="353">
        <f>ABS(E675-Dashboard!$F$14)</f>
        <v>98.353051613036669</v>
      </c>
      <c r="D675" s="350">
        <f t="shared" si="663"/>
        <v>0.14024999999999979</v>
      </c>
      <c r="E675" s="359" cm="1">
        <f t="array" ref="E675">1000*SUM('DRE + DCF'!$L$36/M675,'DRE + DCF'!$N$36:$V$36/N675:V675,F675/V675)/Dashboard!$F$11</f>
        <v>195.34305161303666</v>
      </c>
      <c r="F675" s="359">
        <f t="shared" si="661"/>
        <v>23503505.396868594</v>
      </c>
      <c r="G675" s="359">
        <f>'DRE + DCF'!$W$31</f>
        <v>2791623.3540418856</v>
      </c>
      <c r="H675" s="359">
        <f>'DRE + DCF'!$W$32</f>
        <v>81081.931703745853</v>
      </c>
      <c r="I675" s="359">
        <f>-H675*('DRE + DCF'!$V$33+K675)/'DRE + DCF'!$V$33</f>
        <v>-90858.801614444121</v>
      </c>
      <c r="J675" s="359">
        <f>-'DRE + DCF'!$V$56*L675</f>
        <v>-1188924.4255577971</v>
      </c>
      <c r="K675" s="360">
        <f>(1+L675)/(1+Ke!$O$12)-1</f>
        <v>2.0000000000000018E-2</v>
      </c>
      <c r="L675" s="360">
        <f>'DRE + DCF'!$Y$31</f>
        <v>7.3550000000000004E-2</v>
      </c>
      <c r="M675" s="361">
        <f>(1+D675)^((5-Dashboard!$F$9)*3/12)</f>
        <v>1.1034433982386447</v>
      </c>
      <c r="N675" s="361">
        <f t="shared" ref="N675:V675" si="684">M675*(1+$D675)</f>
        <v>1.2582013348416143</v>
      </c>
      <c r="O675" s="361">
        <f t="shared" si="684"/>
        <v>1.4346640720531505</v>
      </c>
      <c r="P675" s="361">
        <f t="shared" si="684"/>
        <v>1.6358757081586046</v>
      </c>
      <c r="Q675" s="361">
        <f t="shared" si="684"/>
        <v>1.8653072762278484</v>
      </c>
      <c r="R675" s="361">
        <f t="shared" si="684"/>
        <v>2.1269166217188036</v>
      </c>
      <c r="S675" s="361">
        <f t="shared" si="684"/>
        <v>2.4252166779148654</v>
      </c>
      <c r="T675" s="361">
        <f t="shared" si="684"/>
        <v>2.7653533169924245</v>
      </c>
      <c r="U675" s="361">
        <f t="shared" si="684"/>
        <v>3.1531941197006113</v>
      </c>
      <c r="V675" s="362">
        <f t="shared" si="684"/>
        <v>3.5954295949886212</v>
      </c>
      <c r="X675" s="351"/>
    </row>
    <row r="676" spans="3:24" ht="24.75" customHeight="1" x14ac:dyDescent="0.3">
      <c r="C676" s="353">
        <f>ABS(E676-Dashboard!$F$14)</f>
        <v>98.083530603945505</v>
      </c>
      <c r="D676" s="350">
        <f t="shared" si="663"/>
        <v>0.14034999999999978</v>
      </c>
      <c r="E676" s="359" cm="1">
        <f t="array" ref="E676">1000*SUM('DRE + DCF'!$L$36/M676,'DRE + DCF'!$N$36:$V$36/N676:V676,F676/V676)/Dashboard!$F$11</f>
        <v>195.0735306039455</v>
      </c>
      <c r="F676" s="359">
        <f t="shared" si="661"/>
        <v>23476702.361380272</v>
      </c>
      <c r="G676" s="359">
        <f>'DRE + DCF'!$W$31</f>
        <v>2791623.3540418856</v>
      </c>
      <c r="H676" s="359">
        <f>'DRE + DCF'!$W$32</f>
        <v>81081.931703745853</v>
      </c>
      <c r="I676" s="359">
        <f>-H676*('DRE + DCF'!$V$33+K676)/'DRE + DCF'!$V$33</f>
        <v>-90858.801614444121</v>
      </c>
      <c r="J676" s="359">
        <f>-'DRE + DCF'!$V$56*L676</f>
        <v>-1188924.4255577971</v>
      </c>
      <c r="K676" s="360">
        <f>(1+L676)/(1+Ke!$O$12)-1</f>
        <v>2.0000000000000018E-2</v>
      </c>
      <c r="L676" s="360">
        <f>'DRE + DCF'!$Y$31</f>
        <v>7.3550000000000004E-2</v>
      </c>
      <c r="M676" s="361">
        <f>(1+D676)^((5-Dashboard!$F$9)*3/12)</f>
        <v>1.1035159764869786</v>
      </c>
      <c r="N676" s="361">
        <f t="shared" ref="N676:V676" si="685">M676*(1+$D676)</f>
        <v>1.2583944437869259</v>
      </c>
      <c r="O676" s="361">
        <f t="shared" si="685"/>
        <v>1.4350101039724206</v>
      </c>
      <c r="P676" s="361">
        <f t="shared" si="685"/>
        <v>1.6364137720649494</v>
      </c>
      <c r="Q676" s="361">
        <f t="shared" si="685"/>
        <v>1.8660844449742646</v>
      </c>
      <c r="R676" s="361">
        <f t="shared" si="685"/>
        <v>2.1279893968264023</v>
      </c>
      <c r="S676" s="361">
        <f t="shared" si="685"/>
        <v>2.4266527086709875</v>
      </c>
      <c r="T676" s="361">
        <f t="shared" si="685"/>
        <v>2.7672334163329602</v>
      </c>
      <c r="U676" s="361">
        <f t="shared" si="685"/>
        <v>3.1556146263152902</v>
      </c>
      <c r="V676" s="362">
        <f t="shared" si="685"/>
        <v>3.5985051391186405</v>
      </c>
      <c r="X676" s="351"/>
    </row>
    <row r="677" spans="3:24" ht="24.75" customHeight="1" x14ac:dyDescent="0.3">
      <c r="C677" s="353">
        <f>ABS(E677-Dashboard!$F$14)</f>
        <v>97.814693612371471</v>
      </c>
      <c r="D677" s="350">
        <f t="shared" si="663"/>
        <v>0.14044999999999977</v>
      </c>
      <c r="E677" s="359" cm="1">
        <f t="array" ref="E677">1000*SUM('DRE + DCF'!$L$36/M677,'DRE + DCF'!$N$36:$V$36/N677:V677,F677/V677)/Dashboard!$F$11</f>
        <v>194.80469361237147</v>
      </c>
      <c r="F677" s="359">
        <f t="shared" si="661"/>
        <v>23449967.536678556</v>
      </c>
      <c r="G677" s="359">
        <f>'DRE + DCF'!$W$31</f>
        <v>2791623.3540418856</v>
      </c>
      <c r="H677" s="359">
        <f>'DRE + DCF'!$W$32</f>
        <v>81081.931703745853</v>
      </c>
      <c r="I677" s="359">
        <f>-H677*('DRE + DCF'!$V$33+K677)/'DRE + DCF'!$V$33</f>
        <v>-90858.801614444121</v>
      </c>
      <c r="J677" s="359">
        <f>-'DRE + DCF'!$V$56*L677</f>
        <v>-1188924.4255577971</v>
      </c>
      <c r="K677" s="360">
        <f>(1+L677)/(1+Ke!$O$12)-1</f>
        <v>2.0000000000000018E-2</v>
      </c>
      <c r="L677" s="360">
        <f>'DRE + DCF'!$Y$31</f>
        <v>7.3550000000000004E-2</v>
      </c>
      <c r="M677" s="361">
        <f>(1+D677)^((5-Dashboard!$F$9)*3/12)</f>
        <v>1.1035885531441905</v>
      </c>
      <c r="N677" s="361">
        <f t="shared" ref="N677:V677" si="686">M677*(1+$D677)</f>
        <v>1.2585875654332916</v>
      </c>
      <c r="O677" s="361">
        <f t="shared" si="686"/>
        <v>1.4353561889983972</v>
      </c>
      <c r="P677" s="361">
        <f t="shared" si="686"/>
        <v>1.6369519657432217</v>
      </c>
      <c r="Q677" s="361">
        <f t="shared" si="686"/>
        <v>1.8668618693318568</v>
      </c>
      <c r="R677" s="361">
        <f t="shared" si="686"/>
        <v>2.1290626188795154</v>
      </c>
      <c r="S677" s="361">
        <f t="shared" si="686"/>
        <v>2.4280894637011428</v>
      </c>
      <c r="T677" s="361">
        <f t="shared" si="686"/>
        <v>2.7691146288779676</v>
      </c>
      <c r="U677" s="361">
        <f t="shared" si="686"/>
        <v>3.1580367785038774</v>
      </c>
      <c r="V677" s="362">
        <f t="shared" si="686"/>
        <v>3.6015830440447463</v>
      </c>
      <c r="X677" s="351"/>
    </row>
    <row r="678" spans="3:24" ht="24.75" customHeight="1" x14ac:dyDescent="0.3">
      <c r="C678" s="353">
        <f>ABS(E678-Dashboard!$F$14)</f>
        <v>97.546537947945453</v>
      </c>
      <c r="D678" s="350">
        <f t="shared" si="663"/>
        <v>0.14054999999999976</v>
      </c>
      <c r="E678" s="359" cm="1">
        <f t="array" ref="E678">1000*SUM('DRE + DCF'!$L$36/M678,'DRE + DCF'!$N$36:$V$36/N678:V678,F678/V678)/Dashboard!$F$11</f>
        <v>194.53653794794545</v>
      </c>
      <c r="F678" s="359">
        <f t="shared" si="661"/>
        <v>23423300.642742395</v>
      </c>
      <c r="G678" s="359">
        <f>'DRE + DCF'!$W$31</f>
        <v>2791623.3540418856</v>
      </c>
      <c r="H678" s="359">
        <f>'DRE + DCF'!$W$32</f>
        <v>81081.931703745853</v>
      </c>
      <c r="I678" s="359">
        <f>-H678*('DRE + DCF'!$V$33+K678)/'DRE + DCF'!$V$33</f>
        <v>-90858.801614444121</v>
      </c>
      <c r="J678" s="359">
        <f>-'DRE + DCF'!$V$56*L678</f>
        <v>-1188924.4255577971</v>
      </c>
      <c r="K678" s="360">
        <f>(1+L678)/(1+Ke!$O$12)-1</f>
        <v>2.0000000000000018E-2</v>
      </c>
      <c r="L678" s="360">
        <f>'DRE + DCF'!$Y$31</f>
        <v>7.3550000000000004E-2</v>
      </c>
      <c r="M678" s="361">
        <f>(1+D678)^((5-Dashboard!$F$9)*3/12)</f>
        <v>1.1036611282104545</v>
      </c>
      <c r="N678" s="361">
        <f t="shared" ref="N678:V678" si="687">M678*(1+$D678)</f>
        <v>1.2587806997804336</v>
      </c>
      <c r="O678" s="361">
        <f t="shared" si="687"/>
        <v>1.4357023271345732</v>
      </c>
      <c r="P678" s="361">
        <f t="shared" si="687"/>
        <v>1.6374902892133372</v>
      </c>
      <c r="Q678" s="361">
        <f t="shared" si="687"/>
        <v>1.8676395493622713</v>
      </c>
      <c r="R678" s="361">
        <f t="shared" si="687"/>
        <v>2.1301362880251382</v>
      </c>
      <c r="S678" s="361">
        <f t="shared" si="687"/>
        <v>2.4295269433070708</v>
      </c>
      <c r="T678" s="361">
        <f t="shared" si="687"/>
        <v>2.7709969551888789</v>
      </c>
      <c r="U678" s="361">
        <f t="shared" si="687"/>
        <v>3.1604605772406749</v>
      </c>
      <c r="V678" s="362">
        <f t="shared" si="687"/>
        <v>3.6046633113718509</v>
      </c>
      <c r="X678" s="351"/>
    </row>
    <row r="679" spans="3:24" ht="24.75" customHeight="1" x14ac:dyDescent="0.3">
      <c r="C679" s="353">
        <f>ABS(E679-Dashboard!$F$14)</f>
        <v>97.279060935132648</v>
      </c>
      <c r="D679" s="350">
        <f t="shared" si="663"/>
        <v>0.14064999999999975</v>
      </c>
      <c r="E679" s="359" cm="1">
        <f t="array" ref="E679">1000*SUM('DRE + DCF'!$L$36/M679,'DRE + DCF'!$N$36:$V$36/N679:V679,F679/V679)/Dashboard!$F$11</f>
        <v>194.26906093513264</v>
      </c>
      <c r="F679" s="359">
        <f t="shared" si="661"/>
        <v>23396701.401147895</v>
      </c>
      <c r="G679" s="359">
        <f>'DRE + DCF'!$W$31</f>
        <v>2791623.3540418856</v>
      </c>
      <c r="H679" s="359">
        <f>'DRE + DCF'!$W$32</f>
        <v>81081.931703745853</v>
      </c>
      <c r="I679" s="359">
        <f>-H679*('DRE + DCF'!$V$33+K679)/'DRE + DCF'!$V$33</f>
        <v>-90858.801614444121</v>
      </c>
      <c r="J679" s="359">
        <f>-'DRE + DCF'!$V$56*L679</f>
        <v>-1188924.4255577971</v>
      </c>
      <c r="K679" s="360">
        <f>(1+L679)/(1+Ke!$O$12)-1</f>
        <v>2.0000000000000018E-2</v>
      </c>
      <c r="L679" s="360">
        <f>'DRE + DCF'!$Y$31</f>
        <v>7.3550000000000004E-2</v>
      </c>
      <c r="M679" s="361">
        <f>(1+D679)^((5-Dashboard!$F$9)*3/12)</f>
        <v>1.1037337016859448</v>
      </c>
      <c r="N679" s="361">
        <f t="shared" ref="N679:V679" si="688">M679*(1+$D679)</f>
        <v>1.2589738468280727</v>
      </c>
      <c r="O679" s="361">
        <f t="shared" si="688"/>
        <v>1.4360485183844407</v>
      </c>
      <c r="P679" s="361">
        <f t="shared" si="688"/>
        <v>1.6380287424952118</v>
      </c>
      <c r="Q679" s="361">
        <f t="shared" si="688"/>
        <v>1.8684174851271629</v>
      </c>
      <c r="R679" s="361">
        <f t="shared" si="688"/>
        <v>2.131210404410298</v>
      </c>
      <c r="S679" s="361">
        <f t="shared" si="688"/>
        <v>2.4309651477906056</v>
      </c>
      <c r="T679" s="361">
        <f t="shared" si="688"/>
        <v>2.7728803958273534</v>
      </c>
      <c r="U679" s="361">
        <f t="shared" si="688"/>
        <v>3.1628860235004699</v>
      </c>
      <c r="V679" s="362">
        <f t="shared" si="688"/>
        <v>3.6077459427058103</v>
      </c>
      <c r="X679" s="351"/>
    </row>
    <row r="680" spans="3:24" ht="24.75" customHeight="1" x14ac:dyDescent="0.3">
      <c r="C680" s="353">
        <f>ABS(E680-Dashboard!$F$14)</f>
        <v>97.012259913125817</v>
      </c>
      <c r="D680" s="350">
        <f t="shared" si="663"/>
        <v>0.14074999999999974</v>
      </c>
      <c r="E680" s="359" cm="1">
        <f t="array" ref="E680">1000*SUM('DRE + DCF'!$L$36/M680,'DRE + DCF'!$N$36:$V$36/N680:V680,F680/V680)/Dashboard!$F$11</f>
        <v>194.00225991312581</v>
      </c>
      <c r="F680" s="359">
        <f t="shared" si="661"/>
        <v>23370169.53505668</v>
      </c>
      <c r="G680" s="359">
        <f>'DRE + DCF'!$W$31</f>
        <v>2791623.3540418856</v>
      </c>
      <c r="H680" s="359">
        <f>'DRE + DCF'!$W$32</f>
        <v>81081.931703745853</v>
      </c>
      <c r="I680" s="359">
        <f>-H680*('DRE + DCF'!$V$33+K680)/'DRE + DCF'!$V$33</f>
        <v>-90858.801614444121</v>
      </c>
      <c r="J680" s="359">
        <f>-'DRE + DCF'!$V$56*L680</f>
        <v>-1188924.4255577971</v>
      </c>
      <c r="K680" s="360">
        <f>(1+L680)/(1+Ke!$O$12)-1</f>
        <v>2.0000000000000018E-2</v>
      </c>
      <c r="L680" s="360">
        <f>'DRE + DCF'!$Y$31</f>
        <v>7.3550000000000004E-2</v>
      </c>
      <c r="M680" s="361">
        <f>(1+D680)^((5-Dashboard!$F$9)*3/12)</f>
        <v>1.103806273570836</v>
      </c>
      <c r="N680" s="361">
        <f t="shared" ref="N680:V680" si="689">M680*(1+$D680)</f>
        <v>1.2591670065759308</v>
      </c>
      <c r="O680" s="361">
        <f t="shared" si="689"/>
        <v>1.4363947627514928</v>
      </c>
      <c r="P680" s="361">
        <f t="shared" si="689"/>
        <v>1.6385673256087649</v>
      </c>
      <c r="Q680" s="361">
        <f t="shared" si="689"/>
        <v>1.8691956766881981</v>
      </c>
      <c r="R680" s="361">
        <f t="shared" si="689"/>
        <v>2.1322849681820615</v>
      </c>
      <c r="S680" s="361">
        <f t="shared" si="689"/>
        <v>2.4324040774536861</v>
      </c>
      <c r="T680" s="361">
        <f t="shared" si="689"/>
        <v>2.7747649513552917</v>
      </c>
      <c r="U680" s="361">
        <f t="shared" si="689"/>
        <v>3.1653131182585481</v>
      </c>
      <c r="V680" s="362">
        <f t="shared" si="689"/>
        <v>3.6108309396534377</v>
      </c>
      <c r="X680" s="351"/>
    </row>
    <row r="681" spans="3:24" ht="24.75" customHeight="1" x14ac:dyDescent="0.3">
      <c r="C681" s="353">
        <f>ABS(E681-Dashboard!$F$14)</f>
        <v>96.74613223574066</v>
      </c>
      <c r="D681" s="350">
        <f t="shared" si="663"/>
        <v>0.14084999999999973</v>
      </c>
      <c r="E681" s="359" cm="1">
        <f t="array" ref="E681">1000*SUM('DRE + DCF'!$L$36/M681,'DRE + DCF'!$N$36:$V$36/N681:V681,F681/V681)/Dashboard!$F$11</f>
        <v>193.73613223574066</v>
      </c>
      <c r="F681" s="359">
        <f t="shared" si="661"/>
        <v>23343704.769204356</v>
      </c>
      <c r="G681" s="359">
        <f>'DRE + DCF'!$W$31</f>
        <v>2791623.3540418856</v>
      </c>
      <c r="H681" s="359">
        <f>'DRE + DCF'!$W$32</f>
        <v>81081.931703745853</v>
      </c>
      <c r="I681" s="359">
        <f>-H681*('DRE + DCF'!$V$33+K681)/'DRE + DCF'!$V$33</f>
        <v>-90858.801614444121</v>
      </c>
      <c r="J681" s="359">
        <f>-'DRE + DCF'!$V$56*L681</f>
        <v>-1188924.4255577971</v>
      </c>
      <c r="K681" s="360">
        <f>(1+L681)/(1+Ke!$O$12)-1</f>
        <v>2.0000000000000018E-2</v>
      </c>
      <c r="L681" s="360">
        <f>'DRE + DCF'!$Y$31</f>
        <v>7.3550000000000004E-2</v>
      </c>
      <c r="M681" s="361">
        <f>(1+D681)^((5-Dashboard!$F$9)*3/12)</f>
        <v>1.1038788438653022</v>
      </c>
      <c r="N681" s="361">
        <f t="shared" ref="N681:V681" si="690">M681*(1+$D681)</f>
        <v>1.2593601790237297</v>
      </c>
      <c r="O681" s="361">
        <f t="shared" si="690"/>
        <v>1.4367410602392217</v>
      </c>
      <c r="P681" s="361">
        <f t="shared" si="690"/>
        <v>1.6391060385739156</v>
      </c>
      <c r="Q681" s="361">
        <f t="shared" si="690"/>
        <v>1.8699741241070511</v>
      </c>
      <c r="R681" s="361">
        <f t="shared" si="690"/>
        <v>2.1333599794875289</v>
      </c>
      <c r="S681" s="361">
        <f t="shared" si="690"/>
        <v>2.4338437325983469</v>
      </c>
      <c r="T681" s="361">
        <f t="shared" si="690"/>
        <v>2.7766506223348233</v>
      </c>
      <c r="U681" s="361">
        <f t="shared" si="690"/>
        <v>3.1677418624906823</v>
      </c>
      <c r="V681" s="362">
        <f t="shared" si="690"/>
        <v>3.6139183038224938</v>
      </c>
      <c r="X681" s="351"/>
    </row>
    <row r="682" spans="3:24" ht="24.75" customHeight="1" x14ac:dyDescent="0.3">
      <c r="C682" s="353">
        <f>ABS(E682-Dashboard!$F$14)</f>
        <v>96.48067527131208</v>
      </c>
      <c r="D682" s="350">
        <f t="shared" si="663"/>
        <v>0.14094999999999971</v>
      </c>
      <c r="E682" s="359" cm="1">
        <f t="array" ref="E682">1000*SUM('DRE + DCF'!$L$36/M682,'DRE + DCF'!$N$36:$V$36/N682:V682,F682/V682)/Dashboard!$F$11</f>
        <v>193.47067527131207</v>
      </c>
      <c r="F682" s="359">
        <f t="shared" si="661"/>
        <v>23317306.829889111</v>
      </c>
      <c r="G682" s="359">
        <f>'DRE + DCF'!$W$31</f>
        <v>2791623.3540418856</v>
      </c>
      <c r="H682" s="359">
        <f>'DRE + DCF'!$W$32</f>
        <v>81081.931703745853</v>
      </c>
      <c r="I682" s="359">
        <f>-H682*('DRE + DCF'!$V$33+K682)/'DRE + DCF'!$V$33</f>
        <v>-90858.801614444121</v>
      </c>
      <c r="J682" s="359">
        <f>-'DRE + DCF'!$V$56*L682</f>
        <v>-1188924.4255577971</v>
      </c>
      <c r="K682" s="360">
        <f>(1+L682)/(1+Ke!$O$12)-1</f>
        <v>2.0000000000000018E-2</v>
      </c>
      <c r="L682" s="360">
        <f>'DRE + DCF'!$Y$31</f>
        <v>7.3550000000000004E-2</v>
      </c>
      <c r="M682" s="361">
        <f>(1+D682)^((5-Dashboard!$F$9)*3/12)</f>
        <v>1.1039514125695176</v>
      </c>
      <c r="N682" s="361">
        <f t="shared" ref="N682:V682" si="691">M682*(1+$D682)</f>
        <v>1.2595533641711907</v>
      </c>
      <c r="O682" s="361">
        <f t="shared" si="691"/>
        <v>1.4370874108511196</v>
      </c>
      <c r="P682" s="361">
        <f t="shared" si="691"/>
        <v>1.6396448814105844</v>
      </c>
      <c r="Q682" s="361">
        <f t="shared" si="691"/>
        <v>1.8707528274454057</v>
      </c>
      <c r="R682" s="361">
        <f t="shared" si="691"/>
        <v>2.1344354384738349</v>
      </c>
      <c r="S682" s="361">
        <f t="shared" si="691"/>
        <v>2.4352841135267211</v>
      </c>
      <c r="T682" s="361">
        <f t="shared" si="691"/>
        <v>2.7785374093283117</v>
      </c>
      <c r="U682" s="361">
        <f t="shared" si="691"/>
        <v>3.1701722571731366</v>
      </c>
      <c r="V682" s="362">
        <f t="shared" si="691"/>
        <v>3.617008036821689</v>
      </c>
      <c r="X682" s="351"/>
    </row>
    <row r="683" spans="3:24" ht="24.75" customHeight="1" x14ac:dyDescent="0.3">
      <c r="C683" s="353">
        <f>ABS(E683-Dashboard!$F$14)</f>
        <v>96.215886402590357</v>
      </c>
      <c r="D683" s="350">
        <f t="shared" si="663"/>
        <v>0.1410499999999997</v>
      </c>
      <c r="E683" s="359" cm="1">
        <f t="array" ref="E683">1000*SUM('DRE + DCF'!$L$36/M683,'DRE + DCF'!$N$36:$V$36/N683:V683,F683/V683)/Dashboard!$F$11</f>
        <v>193.20588640259035</v>
      </c>
      <c r="F683" s="359">
        <f t="shared" si="661"/>
        <v>23290975.444960382</v>
      </c>
      <c r="G683" s="359">
        <f>'DRE + DCF'!$W$31</f>
        <v>2791623.3540418856</v>
      </c>
      <c r="H683" s="359">
        <f>'DRE + DCF'!$W$32</f>
        <v>81081.931703745853</v>
      </c>
      <c r="I683" s="359">
        <f>-H683*('DRE + DCF'!$V$33+K683)/'DRE + DCF'!$V$33</f>
        <v>-90858.801614444121</v>
      </c>
      <c r="J683" s="359">
        <f>-'DRE + DCF'!$V$56*L683</f>
        <v>-1188924.4255577971</v>
      </c>
      <c r="K683" s="360">
        <f>(1+L683)/(1+Ke!$O$12)-1</f>
        <v>2.0000000000000018E-2</v>
      </c>
      <c r="L683" s="360">
        <f>'DRE + DCF'!$Y$31</f>
        <v>7.3550000000000004E-2</v>
      </c>
      <c r="M683" s="361">
        <f>(1+D683)^((5-Dashboard!$F$9)*3/12)</f>
        <v>1.1040239796836566</v>
      </c>
      <c r="N683" s="361">
        <f t="shared" ref="N683:V683" si="692">M683*(1+$D683)</f>
        <v>1.2597465620180359</v>
      </c>
      <c r="O683" s="361">
        <f t="shared" si="692"/>
        <v>1.4374338145906795</v>
      </c>
      <c r="P683" s="361">
        <f t="shared" si="692"/>
        <v>1.6401838541386944</v>
      </c>
      <c r="Q683" s="361">
        <f t="shared" si="692"/>
        <v>1.8715317867649568</v>
      </c>
      <c r="R683" s="361">
        <f t="shared" si="692"/>
        <v>2.1355113452881533</v>
      </c>
      <c r="S683" s="361">
        <f t="shared" si="692"/>
        <v>2.4367252205410468</v>
      </c>
      <c r="T683" s="361">
        <f t="shared" si="692"/>
        <v>2.7804253128983607</v>
      </c>
      <c r="U683" s="361">
        <f t="shared" si="692"/>
        <v>3.1726043032826734</v>
      </c>
      <c r="V683" s="362">
        <f t="shared" si="692"/>
        <v>3.6201001402606936</v>
      </c>
      <c r="X683" s="351"/>
    </row>
    <row r="684" spans="3:24" ht="24.75" customHeight="1" x14ac:dyDescent="0.3">
      <c r="C684" s="353">
        <f>ABS(E684-Dashboard!$F$14)</f>
        <v>95.951763026639568</v>
      </c>
      <c r="D684" s="350">
        <f t="shared" si="663"/>
        <v>0.14114999999999969</v>
      </c>
      <c r="E684" s="359" cm="1">
        <f t="array" ref="E684">1000*SUM('DRE + DCF'!$L$36/M684,'DRE + DCF'!$N$36:$V$36/N684:V684,F684/V684)/Dashboard!$F$11</f>
        <v>192.94176302663956</v>
      </c>
      <c r="F684" s="359">
        <f t="shared" si="661"/>
        <v>23264710.343807612</v>
      </c>
      <c r="G684" s="359">
        <f>'DRE + DCF'!$W$31</f>
        <v>2791623.3540418856</v>
      </c>
      <c r="H684" s="359">
        <f>'DRE + DCF'!$W$32</f>
        <v>81081.931703745853</v>
      </c>
      <c r="I684" s="359">
        <f>-H684*('DRE + DCF'!$V$33+K684)/'DRE + DCF'!$V$33</f>
        <v>-90858.801614444121</v>
      </c>
      <c r="J684" s="359">
        <f>-'DRE + DCF'!$V$56*L684</f>
        <v>-1188924.4255577971</v>
      </c>
      <c r="K684" s="360">
        <f>(1+L684)/(1+Ke!$O$12)-1</f>
        <v>2.0000000000000018E-2</v>
      </c>
      <c r="L684" s="360">
        <f>'DRE + DCF'!$Y$31</f>
        <v>7.3550000000000004E-2</v>
      </c>
      <c r="M684" s="361">
        <f>(1+D684)^((5-Dashboard!$F$9)*3/12)</f>
        <v>1.1040965452078935</v>
      </c>
      <c r="N684" s="361">
        <f t="shared" ref="N684:V684" si="693">M684*(1+$D684)</f>
        <v>1.2599397725639871</v>
      </c>
      <c r="O684" s="361">
        <f t="shared" si="693"/>
        <v>1.4377802714613934</v>
      </c>
      <c r="P684" s="361">
        <f t="shared" si="693"/>
        <v>1.6407229567781687</v>
      </c>
      <c r="Q684" s="361">
        <f t="shared" si="693"/>
        <v>1.8723110021274068</v>
      </c>
      <c r="R684" s="361">
        <f t="shared" si="693"/>
        <v>2.1365877000776896</v>
      </c>
      <c r="S684" s="361">
        <f t="shared" si="693"/>
        <v>2.4381670539436548</v>
      </c>
      <c r="T684" s="361">
        <f t="shared" si="693"/>
        <v>2.7823143336078009</v>
      </c>
      <c r="U684" s="361">
        <f t="shared" si="693"/>
        <v>3.1750380017965409</v>
      </c>
      <c r="V684" s="362">
        <f t="shared" si="693"/>
        <v>3.6231946157501218</v>
      </c>
      <c r="X684" s="351"/>
    </row>
    <row r="685" spans="3:24" ht="24.75" customHeight="1" x14ac:dyDescent="0.3">
      <c r="C685" s="353">
        <f>ABS(E685-Dashboard!$F$14)</f>
        <v>95.688302554735643</v>
      </c>
      <c r="D685" s="350">
        <f t="shared" si="663"/>
        <v>0.14124999999999968</v>
      </c>
      <c r="E685" s="359" cm="1">
        <f t="array" ref="E685">1000*SUM('DRE + DCF'!$L$36/M685,'DRE + DCF'!$N$36:$V$36/N685:V685,F685/V685)/Dashboard!$F$11</f>
        <v>192.67830255473564</v>
      </c>
      <c r="F685" s="359">
        <f t="shared" si="661"/>
        <v>23238511.257349163</v>
      </c>
      <c r="G685" s="359">
        <f>'DRE + DCF'!$W$31</f>
        <v>2791623.3540418856</v>
      </c>
      <c r="H685" s="359">
        <f>'DRE + DCF'!$W$32</f>
        <v>81081.931703745853</v>
      </c>
      <c r="I685" s="359">
        <f>-H685*('DRE + DCF'!$V$33+K685)/'DRE + DCF'!$V$33</f>
        <v>-90858.801614444121</v>
      </c>
      <c r="J685" s="359">
        <f>-'DRE + DCF'!$V$56*L685</f>
        <v>-1188924.4255577971</v>
      </c>
      <c r="K685" s="360">
        <f>(1+L685)/(1+Ke!$O$12)-1</f>
        <v>2.0000000000000018E-2</v>
      </c>
      <c r="L685" s="360">
        <f>'DRE + DCF'!$Y$31</f>
        <v>7.3550000000000004E-2</v>
      </c>
      <c r="M685" s="361">
        <f>(1+D685)^((5-Dashboard!$F$9)*3/12)</f>
        <v>1.1041691091424022</v>
      </c>
      <c r="N685" s="361">
        <f t="shared" ref="N685:V685" si="694">M685*(1+$D685)</f>
        <v>1.2601329958087661</v>
      </c>
      <c r="O685" s="361">
        <f t="shared" si="694"/>
        <v>1.438126781466754</v>
      </c>
      <c r="P685" s="361">
        <f t="shared" si="694"/>
        <v>1.6412621893489325</v>
      </c>
      <c r="Q685" s="361">
        <f t="shared" si="694"/>
        <v>1.8730904735944687</v>
      </c>
      <c r="R685" s="361">
        <f t="shared" si="694"/>
        <v>2.1376645029896868</v>
      </c>
      <c r="S685" s="361">
        <f t="shared" si="694"/>
        <v>2.4396096140369794</v>
      </c>
      <c r="T685" s="361">
        <f t="shared" si="694"/>
        <v>2.7842044720197019</v>
      </c>
      <c r="U685" s="361">
        <f t="shared" si="694"/>
        <v>3.1774733536924837</v>
      </c>
      <c r="V685" s="362">
        <f t="shared" si="694"/>
        <v>3.6262914649015459</v>
      </c>
      <c r="X685" s="351"/>
    </row>
    <row r="686" spans="3:24" ht="24.75" customHeight="1" x14ac:dyDescent="0.3">
      <c r="C686" s="353">
        <f>ABS(E686-Dashboard!$F$14)</f>
        <v>95.425502412266368</v>
      </c>
      <c r="D686" s="350">
        <f t="shared" si="663"/>
        <v>0.14134999999999967</v>
      </c>
      <c r="E686" s="359" cm="1">
        <f t="array" ref="E686">1000*SUM('DRE + DCF'!$L$36/M686,'DRE + DCF'!$N$36:$V$36/N686:V686,F686/V686)/Dashboard!$F$11</f>
        <v>192.41550241226636</v>
      </c>
      <c r="F686" s="359">
        <f t="shared" si="661"/>
        <v>23212377.918021254</v>
      </c>
      <c r="G686" s="359">
        <f>'DRE + DCF'!$W$31</f>
        <v>2791623.3540418856</v>
      </c>
      <c r="H686" s="359">
        <f>'DRE + DCF'!$W$32</f>
        <v>81081.931703745853</v>
      </c>
      <c r="I686" s="359">
        <f>-H686*('DRE + DCF'!$V$33+K686)/'DRE + DCF'!$V$33</f>
        <v>-90858.801614444121</v>
      </c>
      <c r="J686" s="359">
        <f>-'DRE + DCF'!$V$56*L686</f>
        <v>-1188924.4255577971</v>
      </c>
      <c r="K686" s="360">
        <f>(1+L686)/(1+Ke!$O$12)-1</f>
        <v>2.0000000000000018E-2</v>
      </c>
      <c r="L686" s="360">
        <f>'DRE + DCF'!$Y$31</f>
        <v>7.3550000000000004E-2</v>
      </c>
      <c r="M686" s="361">
        <f>(1+D686)^((5-Dashboard!$F$9)*3/12)</f>
        <v>1.1042416714873569</v>
      </c>
      <c r="N686" s="361">
        <f t="shared" ref="N686:V686" si="695">M686*(1+$D686)</f>
        <v>1.2603262317520945</v>
      </c>
      <c r="O686" s="361">
        <f t="shared" si="695"/>
        <v>1.4384733446102527</v>
      </c>
      <c r="P686" s="361">
        <f t="shared" si="695"/>
        <v>1.6418015518709115</v>
      </c>
      <c r="Q686" s="361">
        <f t="shared" si="695"/>
        <v>1.8738702012278643</v>
      </c>
      <c r="R686" s="361">
        <f t="shared" si="695"/>
        <v>2.1387417541714222</v>
      </c>
      <c r="S686" s="361">
        <f t="shared" si="695"/>
        <v>2.4410529011235518</v>
      </c>
      <c r="T686" s="361">
        <f t="shared" si="695"/>
        <v>2.7860957286973651</v>
      </c>
      <c r="U686" s="361">
        <f t="shared" si="695"/>
        <v>3.1799103599487366</v>
      </c>
      <c r="V686" s="362">
        <f t="shared" si="695"/>
        <v>3.6293906893274892</v>
      </c>
      <c r="X686" s="351"/>
    </row>
    <row r="687" spans="3:24" ht="24.75" customHeight="1" x14ac:dyDescent="0.3">
      <c r="C687" s="353">
        <f>ABS(E687-Dashboard!$F$14)</f>
        <v>95.163360038631467</v>
      </c>
      <c r="D687" s="350">
        <f t="shared" si="663"/>
        <v>0.14144999999999966</v>
      </c>
      <c r="E687" s="359" cm="1">
        <f t="array" ref="E687">1000*SUM('DRE + DCF'!$L$36/M687,'DRE + DCF'!$N$36:$V$36/N687:V687,F687/V687)/Dashboard!$F$11</f>
        <v>192.15336003863146</v>
      </c>
      <c r="F687" s="359">
        <f t="shared" si="661"/>
        <v>23186310.059767045</v>
      </c>
      <c r="G687" s="359">
        <f>'DRE + DCF'!$W$31</f>
        <v>2791623.3540418856</v>
      </c>
      <c r="H687" s="359">
        <f>'DRE + DCF'!$W$32</f>
        <v>81081.931703745853</v>
      </c>
      <c r="I687" s="359">
        <f>-H687*('DRE + DCF'!$V$33+K687)/'DRE + DCF'!$V$33</f>
        <v>-90858.801614444121</v>
      </c>
      <c r="J687" s="359">
        <f>-'DRE + DCF'!$V$56*L687</f>
        <v>-1188924.4255577971</v>
      </c>
      <c r="K687" s="360">
        <f>(1+L687)/(1+Ke!$O$12)-1</f>
        <v>2.0000000000000018E-2</v>
      </c>
      <c r="L687" s="360">
        <f>'DRE + DCF'!$Y$31</f>
        <v>7.3550000000000004E-2</v>
      </c>
      <c r="M687" s="361">
        <f>(1+D687)^((5-Dashboard!$F$9)*3/12)</f>
        <v>1.1043142322429316</v>
      </c>
      <c r="N687" s="361">
        <f t="shared" ref="N687:V687" si="696">M687*(1+$D687)</f>
        <v>1.2605194803936939</v>
      </c>
      <c r="O687" s="361">
        <f t="shared" si="696"/>
        <v>1.4388199608953813</v>
      </c>
      <c r="P687" s="361">
        <f t="shared" si="696"/>
        <v>1.6423410443640325</v>
      </c>
      <c r="Q687" s="361">
        <f t="shared" si="696"/>
        <v>1.8746501850893242</v>
      </c>
      <c r="R687" s="361">
        <f t="shared" si="696"/>
        <v>2.1398194537702087</v>
      </c>
      <c r="S687" s="361">
        <f t="shared" si="696"/>
        <v>2.4424969155060037</v>
      </c>
      <c r="T687" s="361">
        <f t="shared" si="696"/>
        <v>2.7879881042043269</v>
      </c>
      <c r="U687" s="361">
        <f t="shared" si="696"/>
        <v>3.1823490215440278</v>
      </c>
      <c r="V687" s="362">
        <f t="shared" si="696"/>
        <v>3.6324922906414292</v>
      </c>
      <c r="X687" s="351"/>
    </row>
    <row r="688" spans="3:24" ht="24.75" customHeight="1" x14ac:dyDescent="0.3">
      <c r="C688" s="353">
        <f>ABS(E688-Dashboard!$F$14)</f>
        <v>94.901872887143767</v>
      </c>
      <c r="D688" s="350">
        <f t="shared" si="663"/>
        <v>0.14154999999999965</v>
      </c>
      <c r="E688" s="359" cm="1">
        <f t="array" ref="E688">1000*SUM('DRE + DCF'!$L$36/M688,'DRE + DCF'!$N$36:$V$36/N688:V688,F688/V688)/Dashboard!$F$11</f>
        <v>191.89187288714376</v>
      </c>
      <c r="F688" s="359">
        <f t="shared" si="661"/>
        <v>23160307.418025807</v>
      </c>
      <c r="G688" s="359">
        <f>'DRE + DCF'!$W$31</f>
        <v>2791623.3540418856</v>
      </c>
      <c r="H688" s="359">
        <f>'DRE + DCF'!$W$32</f>
        <v>81081.931703745853</v>
      </c>
      <c r="I688" s="359">
        <f>-H688*('DRE + DCF'!$V$33+K688)/'DRE + DCF'!$V$33</f>
        <v>-90858.801614444121</v>
      </c>
      <c r="J688" s="359">
        <f>-'DRE + DCF'!$V$56*L688</f>
        <v>-1188924.4255577971</v>
      </c>
      <c r="K688" s="360">
        <f>(1+L688)/(1+Ke!$O$12)-1</f>
        <v>2.0000000000000018E-2</v>
      </c>
      <c r="L688" s="360">
        <f>'DRE + DCF'!$Y$31</f>
        <v>7.3550000000000004E-2</v>
      </c>
      <c r="M688" s="361">
        <f>(1+D688)^((5-Dashboard!$F$9)*3/12)</f>
        <v>1.1043867914093006</v>
      </c>
      <c r="N688" s="361">
        <f t="shared" ref="N688:V688" si="697">M688*(1+$D688)</f>
        <v>1.2607127417332866</v>
      </c>
      <c r="O688" s="361">
        <f t="shared" si="697"/>
        <v>1.439166630325633</v>
      </c>
      <c r="P688" s="361">
        <f t="shared" si="697"/>
        <v>1.6428806668482259</v>
      </c>
      <c r="Q688" s="361">
        <f t="shared" si="697"/>
        <v>1.8754304252405916</v>
      </c>
      <c r="R688" s="361">
        <f t="shared" si="697"/>
        <v>2.1408976019333967</v>
      </c>
      <c r="S688" s="361">
        <f t="shared" si="697"/>
        <v>2.443941657487068</v>
      </c>
      <c r="T688" s="361">
        <f t="shared" si="697"/>
        <v>2.7898815991043615</v>
      </c>
      <c r="U688" s="361">
        <f t="shared" si="697"/>
        <v>3.1847893394575828</v>
      </c>
      <c r="V688" s="362">
        <f t="shared" si="697"/>
        <v>3.6355962704578024</v>
      </c>
      <c r="X688" s="351"/>
    </row>
    <row r="689" spans="3:24" ht="24.75" customHeight="1" x14ac:dyDescent="0.3">
      <c r="C689" s="353">
        <f>ABS(E689-Dashboard!$F$14)</f>
        <v>94.641038424931551</v>
      </c>
      <c r="D689" s="350">
        <f t="shared" si="663"/>
        <v>0.14164999999999964</v>
      </c>
      <c r="E689" s="359" cm="1">
        <f t="array" ref="E689">1000*SUM('DRE + DCF'!$L$36/M689,'DRE + DCF'!$N$36:$V$36/N689:V689,F689/V689)/Dashboard!$F$11</f>
        <v>191.63103842493155</v>
      </c>
      <c r="F689" s="359">
        <f t="shared" si="661"/>
        <v>23134369.729722157</v>
      </c>
      <c r="G689" s="359">
        <f>'DRE + DCF'!$W$31</f>
        <v>2791623.3540418856</v>
      </c>
      <c r="H689" s="359">
        <f>'DRE + DCF'!$W$32</f>
        <v>81081.931703745853</v>
      </c>
      <c r="I689" s="359">
        <f>-H689*('DRE + DCF'!$V$33+K689)/'DRE + DCF'!$V$33</f>
        <v>-90858.801614444121</v>
      </c>
      <c r="J689" s="359">
        <f>-'DRE + DCF'!$V$56*L689</f>
        <v>-1188924.4255577971</v>
      </c>
      <c r="K689" s="360">
        <f>(1+L689)/(1+Ke!$O$12)-1</f>
        <v>2.0000000000000018E-2</v>
      </c>
      <c r="L689" s="360">
        <f>'DRE + DCF'!$Y$31</f>
        <v>7.3550000000000004E-2</v>
      </c>
      <c r="M689" s="361">
        <f>(1+D689)^((5-Dashboard!$F$9)*3/12)</f>
        <v>1.1044593489866377</v>
      </c>
      <c r="N689" s="361">
        <f t="shared" ref="N689:V689" si="698">M689*(1+$D689)</f>
        <v>1.2609060157705945</v>
      </c>
      <c r="O689" s="361">
        <f t="shared" si="698"/>
        <v>1.4395133529044988</v>
      </c>
      <c r="P689" s="361">
        <f t="shared" si="698"/>
        <v>1.6434204193434205</v>
      </c>
      <c r="Q689" s="361">
        <f t="shared" si="698"/>
        <v>1.8762109217434153</v>
      </c>
      <c r="R689" s="361">
        <f t="shared" si="698"/>
        <v>2.1419761988083694</v>
      </c>
      <c r="S689" s="361">
        <f t="shared" si="698"/>
        <v>2.4453871273695742</v>
      </c>
      <c r="T689" s="361">
        <f t="shared" si="698"/>
        <v>2.7917762139614735</v>
      </c>
      <c r="U689" s="361">
        <f t="shared" si="698"/>
        <v>3.1872313146691149</v>
      </c>
      <c r="V689" s="362">
        <f t="shared" si="698"/>
        <v>3.6387026303919936</v>
      </c>
      <c r="X689" s="351"/>
    </row>
    <row r="690" spans="3:24" ht="24.75" customHeight="1" x14ac:dyDescent="0.3">
      <c r="C690" s="353">
        <f>ABS(E690-Dashboard!$F$14)</f>
        <v>94.380854132841236</v>
      </c>
      <c r="D690" s="350">
        <f t="shared" si="663"/>
        <v>0.14174999999999963</v>
      </c>
      <c r="E690" s="359" cm="1">
        <f t="array" ref="E690">1000*SUM('DRE + DCF'!$L$36/M690,'DRE + DCF'!$N$36:$V$36/N690:V690,F690/V690)/Dashboard!$F$11</f>
        <v>191.37085413284123</v>
      </c>
      <c r="F690" s="359">
        <f t="shared" si="661"/>
        <v>23108496.733255439</v>
      </c>
      <c r="G690" s="359">
        <f>'DRE + DCF'!$W$31</f>
        <v>2791623.3540418856</v>
      </c>
      <c r="H690" s="359">
        <f>'DRE + DCF'!$W$32</f>
        <v>81081.931703745853</v>
      </c>
      <c r="I690" s="359">
        <f>-H690*('DRE + DCF'!$V$33+K690)/'DRE + DCF'!$V$33</f>
        <v>-90858.801614444121</v>
      </c>
      <c r="J690" s="359">
        <f>-'DRE + DCF'!$V$56*L690</f>
        <v>-1188924.4255577971</v>
      </c>
      <c r="K690" s="360">
        <f>(1+L690)/(1+Ke!$O$12)-1</f>
        <v>2.0000000000000018E-2</v>
      </c>
      <c r="L690" s="360">
        <f>'DRE + DCF'!$Y$31</f>
        <v>7.3550000000000004E-2</v>
      </c>
      <c r="M690" s="361">
        <f>(1+D690)^((5-Dashboard!$F$9)*3/12)</f>
        <v>1.104531904975117</v>
      </c>
      <c r="N690" s="361">
        <f t="shared" ref="N690:V690" si="699">M690*(1+$D690)</f>
        <v>1.2610993025053394</v>
      </c>
      <c r="O690" s="361">
        <f t="shared" si="699"/>
        <v>1.4398601286354709</v>
      </c>
      <c r="P690" s="361">
        <f t="shared" si="699"/>
        <v>1.6439603018695483</v>
      </c>
      <c r="Q690" s="361">
        <f t="shared" si="699"/>
        <v>1.8769916746595561</v>
      </c>
      <c r="R690" s="361">
        <f t="shared" si="699"/>
        <v>2.1430552445425475</v>
      </c>
      <c r="S690" s="361">
        <f t="shared" si="699"/>
        <v>2.4468333254564527</v>
      </c>
      <c r="T690" s="361">
        <f t="shared" si="699"/>
        <v>2.7936719493399038</v>
      </c>
      <c r="U690" s="361">
        <f t="shared" si="699"/>
        <v>3.1896749481588342</v>
      </c>
      <c r="V690" s="362">
        <f t="shared" si="699"/>
        <v>3.6418113720603476</v>
      </c>
      <c r="X690" s="351"/>
    </row>
    <row r="691" spans="3:24" ht="24.75" customHeight="1" x14ac:dyDescent="0.3">
      <c r="C691" s="353">
        <f>ABS(E691-Dashboard!$F$14)</f>
        <v>94.121317505341594</v>
      </c>
      <c r="D691" s="350">
        <f t="shared" si="663"/>
        <v>0.14184999999999962</v>
      </c>
      <c r="E691" s="359" cm="1">
        <f t="array" ref="E691">1000*SUM('DRE + DCF'!$L$36/M691,'DRE + DCF'!$N$36:$V$36/N691:V691,F691/V691)/Dashboard!$F$11</f>
        <v>191.11131750534159</v>
      </c>
      <c r="F691" s="359">
        <f t="shared" si="661"/>
        <v>23082688.168489143</v>
      </c>
      <c r="G691" s="359">
        <f>'DRE + DCF'!$W$31</f>
        <v>2791623.3540418856</v>
      </c>
      <c r="H691" s="359">
        <f>'DRE + DCF'!$W$32</f>
        <v>81081.931703745853</v>
      </c>
      <c r="I691" s="359">
        <f>-H691*('DRE + DCF'!$V$33+K691)/'DRE + DCF'!$V$33</f>
        <v>-90858.801614444121</v>
      </c>
      <c r="J691" s="359">
        <f>-'DRE + DCF'!$V$56*L691</f>
        <v>-1188924.4255577971</v>
      </c>
      <c r="K691" s="360">
        <f>(1+L691)/(1+Ke!$O$12)-1</f>
        <v>2.0000000000000018E-2</v>
      </c>
      <c r="L691" s="360">
        <f>'DRE + DCF'!$Y$31</f>
        <v>7.3550000000000004E-2</v>
      </c>
      <c r="M691" s="361">
        <f>(1+D691)^((5-Dashboard!$F$9)*3/12)</f>
        <v>1.1046044593749123</v>
      </c>
      <c r="N691" s="361">
        <f t="shared" ref="N691:V691" si="700">M691*(1+$D691)</f>
        <v>1.261292601937243</v>
      </c>
      <c r="O691" s="361">
        <f t="shared" si="700"/>
        <v>1.4402069575220404</v>
      </c>
      <c r="P691" s="361">
        <f t="shared" si="700"/>
        <v>1.6445003144465413</v>
      </c>
      <c r="Q691" s="361">
        <f t="shared" si="700"/>
        <v>1.8777726840507825</v>
      </c>
      <c r="R691" s="361">
        <f t="shared" si="700"/>
        <v>2.1441347392833854</v>
      </c>
      <c r="S691" s="361">
        <f t="shared" si="700"/>
        <v>2.4482802520507327</v>
      </c>
      <c r="T691" s="361">
        <f t="shared" si="700"/>
        <v>2.7955688058041281</v>
      </c>
      <c r="U691" s="361">
        <f t="shared" si="700"/>
        <v>3.1921202409074425</v>
      </c>
      <c r="V691" s="362">
        <f t="shared" si="700"/>
        <v>3.6449224970801617</v>
      </c>
      <c r="X691" s="351"/>
    </row>
    <row r="692" spans="3:24" ht="24.75" customHeight="1" x14ac:dyDescent="0.3">
      <c r="C692" s="353">
        <f>ABS(E692-Dashboard!$F$14)</f>
        <v>93.862426050427544</v>
      </c>
      <c r="D692" s="350">
        <f t="shared" si="663"/>
        <v>0.1419499999999996</v>
      </c>
      <c r="E692" s="359" cm="1">
        <f t="array" ref="E692">1000*SUM('DRE + DCF'!$L$36/M692,'DRE + DCF'!$N$36:$V$36/N692:V692,F692/V692)/Dashboard!$F$11</f>
        <v>190.85242605042754</v>
      </c>
      <c r="F692" s="359">
        <f t="shared" si="661"/>
        <v>23056943.776740462</v>
      </c>
      <c r="G692" s="359">
        <f>'DRE + DCF'!$W$31</f>
        <v>2791623.3540418856</v>
      </c>
      <c r="H692" s="359">
        <f>'DRE + DCF'!$W$32</f>
        <v>81081.931703745853</v>
      </c>
      <c r="I692" s="359">
        <f>-H692*('DRE + DCF'!$V$33+K692)/'DRE + DCF'!$V$33</f>
        <v>-90858.801614444121</v>
      </c>
      <c r="J692" s="359">
        <f>-'DRE + DCF'!$V$56*L692</f>
        <v>-1188924.4255577971</v>
      </c>
      <c r="K692" s="360">
        <f>(1+L692)/(1+Ke!$O$12)-1</f>
        <v>2.0000000000000018E-2</v>
      </c>
      <c r="L692" s="360">
        <f>'DRE + DCF'!$Y$31</f>
        <v>7.3550000000000004E-2</v>
      </c>
      <c r="M692" s="361">
        <f>(1+D692)^((5-Dashboard!$F$9)*3/12)</f>
        <v>1.1046770121861975</v>
      </c>
      <c r="N692" s="361">
        <f t="shared" ref="N692:V692" si="701">M692*(1+$D692)</f>
        <v>1.2614859140660277</v>
      </c>
      <c r="O692" s="361">
        <f t="shared" si="701"/>
        <v>1.4405538395676998</v>
      </c>
      <c r="P692" s="361">
        <f t="shared" si="701"/>
        <v>1.6450404570943342</v>
      </c>
      <c r="Q692" s="361">
        <f t="shared" si="701"/>
        <v>1.8785539499788744</v>
      </c>
      <c r="R692" s="361">
        <f t="shared" si="701"/>
        <v>2.1452146831783749</v>
      </c>
      <c r="S692" s="361">
        <f t="shared" si="701"/>
        <v>2.4497279074555443</v>
      </c>
      <c r="T692" s="361">
        <f t="shared" si="701"/>
        <v>2.7974667839188578</v>
      </c>
      <c r="U692" s="361">
        <f t="shared" si="701"/>
        <v>3.1945671938961384</v>
      </c>
      <c r="V692" s="362">
        <f t="shared" si="701"/>
        <v>3.648036007069694</v>
      </c>
      <c r="X692" s="351"/>
    </row>
    <row r="693" spans="3:24" ht="24.75" customHeight="1" x14ac:dyDescent="0.3">
      <c r="C693" s="353">
        <f>ABS(E693-Dashboard!$F$14)</f>
        <v>93.604177289526447</v>
      </c>
      <c r="D693" s="350">
        <f t="shared" si="663"/>
        <v>0.14204999999999959</v>
      </c>
      <c r="E693" s="359" cm="1">
        <f t="array" ref="E693">1000*SUM('DRE + DCF'!$L$36/M693,'DRE + DCF'!$N$36:$V$36/N693:V693,F693/V693)/Dashboard!$F$11</f>
        <v>190.59417728952644</v>
      </c>
      <c r="F693" s="359">
        <f t="shared" si="661"/>
        <v>23031263.300769903</v>
      </c>
      <c r="G693" s="359">
        <f>'DRE + DCF'!$W$31</f>
        <v>2791623.3540418856</v>
      </c>
      <c r="H693" s="359">
        <f>'DRE + DCF'!$W$32</f>
        <v>81081.931703745853</v>
      </c>
      <c r="I693" s="359">
        <f>-H693*('DRE + DCF'!$V$33+K693)/'DRE + DCF'!$V$33</f>
        <v>-90858.801614444121</v>
      </c>
      <c r="J693" s="359">
        <f>-'DRE + DCF'!$V$56*L693</f>
        <v>-1188924.4255577971</v>
      </c>
      <c r="K693" s="360">
        <f>(1+L693)/(1+Ke!$O$12)-1</f>
        <v>2.0000000000000018E-2</v>
      </c>
      <c r="L693" s="360">
        <f>'DRE + DCF'!$Y$31</f>
        <v>7.3550000000000004E-2</v>
      </c>
      <c r="M693" s="361">
        <f>(1+D693)^((5-Dashboard!$F$9)*3/12)</f>
        <v>1.1047495634091467</v>
      </c>
      <c r="N693" s="361">
        <f t="shared" ref="N693:V693" si="702">M693*(1+$D693)</f>
        <v>1.2616792388914155</v>
      </c>
      <c r="O693" s="361">
        <f t="shared" si="702"/>
        <v>1.4409007747759406</v>
      </c>
      <c r="P693" s="361">
        <f t="shared" si="702"/>
        <v>1.6455807298328624</v>
      </c>
      <c r="Q693" s="361">
        <f t="shared" si="702"/>
        <v>1.8793354725056197</v>
      </c>
      <c r="R693" s="361">
        <f t="shared" si="702"/>
        <v>2.1462950763750421</v>
      </c>
      <c r="S693" s="361">
        <f t="shared" si="702"/>
        <v>2.4511762919741158</v>
      </c>
      <c r="T693" s="361">
        <f t="shared" si="702"/>
        <v>2.7993658842490379</v>
      </c>
      <c r="U693" s="361">
        <f t="shared" si="702"/>
        <v>3.1970158081066127</v>
      </c>
      <c r="V693" s="362">
        <f t="shared" si="702"/>
        <v>3.6511519036481555</v>
      </c>
      <c r="X693" s="351"/>
    </row>
    <row r="694" spans="3:24" ht="24.75" customHeight="1" x14ac:dyDescent="0.3">
      <c r="C694" s="353">
        <f>ABS(E694-Dashboard!$F$14)</f>
        <v>93.346568757403716</v>
      </c>
      <c r="D694" s="350">
        <f t="shared" si="663"/>
        <v>0.14214999999999958</v>
      </c>
      <c r="E694" s="359" cm="1">
        <f t="array" ref="E694">1000*SUM('DRE + DCF'!$L$36/M694,'DRE + DCF'!$N$36:$V$36/N694:V694,F694/V694)/Dashboard!$F$11</f>
        <v>190.33656875740371</v>
      </c>
      <c r="F694" s="359">
        <f t="shared" si="661"/>
        <v>23005646.484771013</v>
      </c>
      <c r="G694" s="359">
        <f>'DRE + DCF'!$W$31</f>
        <v>2791623.3540418856</v>
      </c>
      <c r="H694" s="359">
        <f>'DRE + DCF'!$W$32</f>
        <v>81081.931703745853</v>
      </c>
      <c r="I694" s="359">
        <f>-H694*('DRE + DCF'!$V$33+K694)/'DRE + DCF'!$V$33</f>
        <v>-90858.801614444121</v>
      </c>
      <c r="J694" s="359">
        <f>-'DRE + DCF'!$V$56*L694</f>
        <v>-1188924.4255577971</v>
      </c>
      <c r="K694" s="360">
        <f>(1+L694)/(1+Ke!$O$12)-1</f>
        <v>2.0000000000000018E-2</v>
      </c>
      <c r="L694" s="360">
        <f>'DRE + DCF'!$Y$31</f>
        <v>7.3550000000000004E-2</v>
      </c>
      <c r="M694" s="361">
        <f>(1+D694)^((5-Dashboard!$F$9)*3/12)</f>
        <v>1.1048221130439335</v>
      </c>
      <c r="N694" s="361">
        <f t="shared" ref="N694:V694" si="703">M694*(1+$D694)</f>
        <v>1.2618725764131282</v>
      </c>
      <c r="O694" s="361">
        <f t="shared" si="703"/>
        <v>1.4412477631502538</v>
      </c>
      <c r="P694" s="361">
        <f t="shared" si="703"/>
        <v>1.6461211326820617</v>
      </c>
      <c r="Q694" s="361">
        <f t="shared" si="703"/>
        <v>1.880117251692816</v>
      </c>
      <c r="R694" s="361">
        <f t="shared" si="703"/>
        <v>2.1473759190209489</v>
      </c>
      <c r="S694" s="361">
        <f t="shared" si="703"/>
        <v>2.4526254059097758</v>
      </c>
      <c r="T694" s="361">
        <f t="shared" si="703"/>
        <v>2.8012661073598495</v>
      </c>
      <c r="U694" s="361">
        <f t="shared" si="703"/>
        <v>3.1994660845210507</v>
      </c>
      <c r="V694" s="362">
        <f t="shared" si="703"/>
        <v>3.6542701884357167</v>
      </c>
      <c r="X694" s="351"/>
    </row>
    <row r="695" spans="3:24" ht="24.75" customHeight="1" x14ac:dyDescent="0.3">
      <c r="C695" s="353">
        <f>ABS(E695-Dashboard!$F$14)</f>
        <v>93.089598002070019</v>
      </c>
      <c r="D695" s="350">
        <f t="shared" si="663"/>
        <v>0.14224999999999957</v>
      </c>
      <c r="E695" s="359" cm="1">
        <f t="array" ref="E695">1000*SUM('DRE + DCF'!$L$36/M695,'DRE + DCF'!$N$36:$V$36/N695:V695,F695/V695)/Dashboard!$F$11</f>
        <v>190.07959800207001</v>
      </c>
      <c r="F695" s="359">
        <f t="shared" si="661"/>
        <v>22980093.074360169</v>
      </c>
      <c r="G695" s="359">
        <f>'DRE + DCF'!$W$31</f>
        <v>2791623.3540418856</v>
      </c>
      <c r="H695" s="359">
        <f>'DRE + DCF'!$W$32</f>
        <v>81081.931703745853</v>
      </c>
      <c r="I695" s="359">
        <f>-H695*('DRE + DCF'!$V$33+K695)/'DRE + DCF'!$V$33</f>
        <v>-90858.801614444121</v>
      </c>
      <c r="J695" s="359">
        <f>-'DRE + DCF'!$V$56*L695</f>
        <v>-1188924.4255577971</v>
      </c>
      <c r="K695" s="360">
        <f>(1+L695)/(1+Ke!$O$12)-1</f>
        <v>2.0000000000000018E-2</v>
      </c>
      <c r="L695" s="360">
        <f>'DRE + DCF'!$Y$31</f>
        <v>7.3550000000000004E-2</v>
      </c>
      <c r="M695" s="361">
        <f>(1+D695)^((5-Dashboard!$F$9)*3/12)</f>
        <v>1.104894661090732</v>
      </c>
      <c r="N695" s="361">
        <f t="shared" ref="N695:V695" si="704">M695*(1+$D695)</f>
        <v>1.262065926630888</v>
      </c>
      <c r="O695" s="361">
        <f t="shared" si="704"/>
        <v>1.4415948046941311</v>
      </c>
      <c r="P695" s="361">
        <f t="shared" si="704"/>
        <v>1.6466616656618707</v>
      </c>
      <c r="Q695" s="361">
        <f t="shared" si="704"/>
        <v>1.880899287602271</v>
      </c>
      <c r="R695" s="361">
        <f t="shared" si="704"/>
        <v>2.1484572112636933</v>
      </c>
      <c r="S695" s="361">
        <f t="shared" si="704"/>
        <v>2.4540752495659528</v>
      </c>
      <c r="T695" s="361">
        <f t="shared" si="704"/>
        <v>2.8031674538167084</v>
      </c>
      <c r="U695" s="361">
        <f t="shared" si="704"/>
        <v>3.2019180241221341</v>
      </c>
      <c r="V695" s="362">
        <f t="shared" si="704"/>
        <v>3.6573908630535064</v>
      </c>
      <c r="X695" s="351"/>
    </row>
    <row r="696" spans="3:24" ht="24.75" customHeight="1" x14ac:dyDescent="0.3">
      <c r="C696" s="353">
        <f>ABS(E696-Dashboard!$F$14)</f>
        <v>92.833262584689223</v>
      </c>
      <c r="D696" s="350">
        <f t="shared" si="663"/>
        <v>0.14234999999999956</v>
      </c>
      <c r="E696" s="359" cm="1">
        <f t="array" ref="E696">1000*SUM('DRE + DCF'!$L$36/M696,'DRE + DCF'!$N$36:$V$36/N696:V696,F696/V696)/Dashboard!$F$11</f>
        <v>189.82326258468922</v>
      </c>
      <c r="F696" s="359">
        <f t="shared" si="661"/>
        <v>22954602.816566505</v>
      </c>
      <c r="G696" s="359">
        <f>'DRE + DCF'!$W$31</f>
        <v>2791623.3540418856</v>
      </c>
      <c r="H696" s="359">
        <f>'DRE + DCF'!$W$32</f>
        <v>81081.931703745853</v>
      </c>
      <c r="I696" s="359">
        <f>-H696*('DRE + DCF'!$V$33+K696)/'DRE + DCF'!$V$33</f>
        <v>-90858.801614444121</v>
      </c>
      <c r="J696" s="359">
        <f>-'DRE + DCF'!$V$56*L696</f>
        <v>-1188924.4255577971</v>
      </c>
      <c r="K696" s="360">
        <f>(1+L696)/(1+Ke!$O$12)-1</f>
        <v>2.0000000000000018E-2</v>
      </c>
      <c r="L696" s="360">
        <f>'DRE + DCF'!$Y$31</f>
        <v>7.3550000000000004E-2</v>
      </c>
      <c r="M696" s="361">
        <f>(1+D696)^((5-Dashboard!$F$9)*3/12)</f>
        <v>1.1049672075497159</v>
      </c>
      <c r="N696" s="361">
        <f t="shared" ref="N696:V696" si="705">M696*(1+$D696)</f>
        <v>1.2622592895444174</v>
      </c>
      <c r="O696" s="361">
        <f t="shared" si="705"/>
        <v>1.4419418994110647</v>
      </c>
      <c r="P696" s="361">
        <f t="shared" si="705"/>
        <v>1.6472023287922291</v>
      </c>
      <c r="Q696" s="361">
        <f t="shared" si="705"/>
        <v>1.881681580295802</v>
      </c>
      <c r="R696" s="361">
        <f t="shared" si="705"/>
        <v>2.1495389532509086</v>
      </c>
      <c r="S696" s="361">
        <f t="shared" si="705"/>
        <v>2.4555258232461745</v>
      </c>
      <c r="T696" s="361">
        <f t="shared" si="705"/>
        <v>2.8050699241852661</v>
      </c>
      <c r="U696" s="361">
        <f t="shared" si="705"/>
        <v>3.2043716278930376</v>
      </c>
      <c r="V696" s="362">
        <f t="shared" si="705"/>
        <v>3.66051392912361</v>
      </c>
      <c r="X696" s="351"/>
    </row>
    <row r="697" spans="3:24" ht="24.75" customHeight="1" x14ac:dyDescent="0.3">
      <c r="C697" s="353">
        <f>ABS(E697-Dashboard!$F$14)</f>
        <v>92.577560079486872</v>
      </c>
      <c r="D697" s="350">
        <f t="shared" si="663"/>
        <v>0.14244999999999955</v>
      </c>
      <c r="E697" s="359" cm="1">
        <f t="array" ref="E697">1000*SUM('DRE + DCF'!$L$36/M697,'DRE + DCF'!$N$36:$V$36/N697:V697,F697/V697)/Dashboard!$F$11</f>
        <v>189.56756007948687</v>
      </c>
      <c r="F697" s="359">
        <f t="shared" si="661"/>
        <v>22929175.459821843</v>
      </c>
      <c r="G697" s="359">
        <f>'DRE + DCF'!$W$31</f>
        <v>2791623.3540418856</v>
      </c>
      <c r="H697" s="359">
        <f>'DRE + DCF'!$W$32</f>
        <v>81081.931703745853</v>
      </c>
      <c r="I697" s="359">
        <f>-H697*('DRE + DCF'!$V$33+K697)/'DRE + DCF'!$V$33</f>
        <v>-90858.801614444121</v>
      </c>
      <c r="J697" s="359">
        <f>-'DRE + DCF'!$V$56*L697</f>
        <v>-1188924.4255577971</v>
      </c>
      <c r="K697" s="360">
        <f>(1+L697)/(1+Ke!$O$12)-1</f>
        <v>2.0000000000000018E-2</v>
      </c>
      <c r="L697" s="360">
        <f>'DRE + DCF'!$Y$31</f>
        <v>7.3550000000000004E-2</v>
      </c>
      <c r="M697" s="361">
        <f>(1+D697)^((5-Dashboard!$F$9)*3/12)</f>
        <v>1.1050397524210587</v>
      </c>
      <c r="N697" s="361">
        <f t="shared" ref="N697:V697" si="706">M697*(1+$D697)</f>
        <v>1.262452665153438</v>
      </c>
      <c r="O697" s="361">
        <f t="shared" si="706"/>
        <v>1.4422890473045447</v>
      </c>
      <c r="P697" s="361">
        <f t="shared" si="706"/>
        <v>1.6477431220930763</v>
      </c>
      <c r="Q697" s="361">
        <f t="shared" si="706"/>
        <v>1.8824641298352343</v>
      </c>
      <c r="R697" s="361">
        <f t="shared" si="706"/>
        <v>2.1506211451302626</v>
      </c>
      <c r="S697" s="361">
        <f t="shared" si="706"/>
        <v>2.4569771272540675</v>
      </c>
      <c r="T697" s="361">
        <f t="shared" si="706"/>
        <v>2.8069735190314082</v>
      </c>
      <c r="U697" s="361">
        <f t="shared" si="706"/>
        <v>3.2068268968174309</v>
      </c>
      <c r="V697" s="362">
        <f t="shared" si="706"/>
        <v>3.6636393882690723</v>
      </c>
      <c r="X697" s="351"/>
    </row>
    <row r="698" spans="3:24" ht="24.75" customHeight="1" x14ac:dyDescent="0.3">
      <c r="C698" s="353">
        <f>ABS(E698-Dashboard!$F$14)</f>
        <v>92.322488073659557</v>
      </c>
      <c r="D698" s="350">
        <f t="shared" si="663"/>
        <v>0.14254999999999954</v>
      </c>
      <c r="E698" s="359" cm="1">
        <f t="array" ref="E698">1000*SUM('DRE + DCF'!$L$36/M698,'DRE + DCF'!$N$36:$V$36/N698:V698,F698/V698)/Dashboard!$F$11</f>
        <v>189.31248807365955</v>
      </c>
      <c r="F698" s="359">
        <f t="shared" si="661"/>
        <v>22903810.753950804</v>
      </c>
      <c r="G698" s="359">
        <f>'DRE + DCF'!$W$31</f>
        <v>2791623.3540418856</v>
      </c>
      <c r="H698" s="359">
        <f>'DRE + DCF'!$W$32</f>
        <v>81081.931703745853</v>
      </c>
      <c r="I698" s="359">
        <f>-H698*('DRE + DCF'!$V$33+K698)/'DRE + DCF'!$V$33</f>
        <v>-90858.801614444121</v>
      </c>
      <c r="J698" s="359">
        <f>-'DRE + DCF'!$V$56*L698</f>
        <v>-1188924.4255577971</v>
      </c>
      <c r="K698" s="360">
        <f>(1+L698)/(1+Ke!$O$12)-1</f>
        <v>2.0000000000000018E-2</v>
      </c>
      <c r="L698" s="360">
        <f>'DRE + DCF'!$Y$31</f>
        <v>7.3550000000000004E-2</v>
      </c>
      <c r="M698" s="361">
        <f>(1+D698)^((5-Dashboard!$F$9)*3/12)</f>
        <v>1.1051122957049342</v>
      </c>
      <c r="N698" s="361">
        <f t="shared" ref="N698:V698" si="707">M698*(1+$D698)</f>
        <v>1.262646053457672</v>
      </c>
      <c r="O698" s="361">
        <f t="shared" si="707"/>
        <v>1.4426362483780626</v>
      </c>
      <c r="P698" s="361">
        <f t="shared" si="707"/>
        <v>1.6482840455843548</v>
      </c>
      <c r="Q698" s="361">
        <f t="shared" si="707"/>
        <v>1.8832469362824038</v>
      </c>
      <c r="R698" s="361">
        <f t="shared" si="707"/>
        <v>2.1517037870494597</v>
      </c>
      <c r="S698" s="361">
        <f t="shared" si="707"/>
        <v>2.4584291618933594</v>
      </c>
      <c r="T698" s="361">
        <f t="shared" si="707"/>
        <v>2.8088782389212565</v>
      </c>
      <c r="U698" s="361">
        <f t="shared" si="707"/>
        <v>3.2092838318794801</v>
      </c>
      <c r="V698" s="362">
        <f t="shared" si="707"/>
        <v>3.6667672421138984</v>
      </c>
      <c r="X698" s="351"/>
    </row>
    <row r="699" spans="3:24" ht="24.75" customHeight="1" x14ac:dyDescent="0.3">
      <c r="C699" s="353">
        <f>ABS(E699-Dashboard!$F$14)</f>
        <v>92.068044167285123</v>
      </c>
      <c r="D699" s="350">
        <f t="shared" si="663"/>
        <v>0.14264999999999953</v>
      </c>
      <c r="E699" s="359" cm="1">
        <f t="array" ref="E699">1000*SUM('DRE + DCF'!$L$36/M699,'DRE + DCF'!$N$36:$V$36/N699:V699,F699/V699)/Dashboard!$F$11</f>
        <v>189.05804416728512</v>
      </c>
      <c r="F699" s="359">
        <f t="shared" si="661"/>
        <v>22878508.450160936</v>
      </c>
      <c r="G699" s="359">
        <f>'DRE + DCF'!$W$31</f>
        <v>2791623.3540418856</v>
      </c>
      <c r="H699" s="359">
        <f>'DRE + DCF'!$W$32</f>
        <v>81081.931703745853</v>
      </c>
      <c r="I699" s="359">
        <f>-H699*('DRE + DCF'!$V$33+K699)/'DRE + DCF'!$V$33</f>
        <v>-90858.801614444121</v>
      </c>
      <c r="J699" s="359">
        <f>-'DRE + DCF'!$V$56*L699</f>
        <v>-1188924.4255577971</v>
      </c>
      <c r="K699" s="360">
        <f>(1+L699)/(1+Ke!$O$12)-1</f>
        <v>2.0000000000000018E-2</v>
      </c>
      <c r="L699" s="360">
        <f>'DRE + DCF'!$Y$31</f>
        <v>7.3550000000000004E-2</v>
      </c>
      <c r="M699" s="361">
        <f>(1+D699)^((5-Dashboard!$F$9)*3/12)</f>
        <v>1.1051848374015163</v>
      </c>
      <c r="N699" s="361">
        <f t="shared" ref="N699:V699" si="708">M699*(1+$D699)</f>
        <v>1.262839454456842</v>
      </c>
      <c r="O699" s="361">
        <f t="shared" si="708"/>
        <v>1.4429835026351099</v>
      </c>
      <c r="P699" s="361">
        <f t="shared" si="708"/>
        <v>1.6488250992860076</v>
      </c>
      <c r="Q699" s="361">
        <f t="shared" si="708"/>
        <v>1.8840299996991559</v>
      </c>
      <c r="R699" s="361">
        <f t="shared" si="708"/>
        <v>2.1527868791562397</v>
      </c>
      <c r="S699" s="361">
        <f t="shared" si="708"/>
        <v>2.459881927467876</v>
      </c>
      <c r="T699" s="361">
        <f t="shared" si="708"/>
        <v>2.8107840844211673</v>
      </c>
      <c r="U699" s="361">
        <f t="shared" si="708"/>
        <v>3.2117424340638454</v>
      </c>
      <c r="V699" s="362">
        <f t="shared" si="708"/>
        <v>3.6698974922830514</v>
      </c>
      <c r="X699" s="351"/>
    </row>
    <row r="700" spans="3:24" ht="24.75" customHeight="1" x14ac:dyDescent="0.3">
      <c r="C700" s="353">
        <f>ABS(E700-Dashboard!$F$14)</f>
        <v>91.814225973233434</v>
      </c>
      <c r="D700" s="350">
        <f t="shared" si="663"/>
        <v>0.14274999999999952</v>
      </c>
      <c r="E700" s="359" cm="1">
        <f t="array" ref="E700">1000*SUM('DRE + DCF'!$L$36/M700,'DRE + DCF'!$N$36:$V$36/N700:V700,F700/V700)/Dashboard!$F$11</f>
        <v>188.80422597323343</v>
      </c>
      <c r="F700" s="359">
        <f t="shared" si="661"/>
        <v>22853268.301032953</v>
      </c>
      <c r="G700" s="359">
        <f>'DRE + DCF'!$W$31</f>
        <v>2791623.3540418856</v>
      </c>
      <c r="H700" s="359">
        <f>'DRE + DCF'!$W$32</f>
        <v>81081.931703745853</v>
      </c>
      <c r="I700" s="359">
        <f>-H700*('DRE + DCF'!$V$33+K700)/'DRE + DCF'!$V$33</f>
        <v>-90858.801614444121</v>
      </c>
      <c r="J700" s="359">
        <f>-'DRE + DCF'!$V$56*L700</f>
        <v>-1188924.4255577971</v>
      </c>
      <c r="K700" s="360">
        <f>(1+L700)/(1+Ke!$O$12)-1</f>
        <v>2.0000000000000018E-2</v>
      </c>
      <c r="L700" s="360">
        <f>'DRE + DCF'!$Y$31</f>
        <v>7.3550000000000004E-2</v>
      </c>
      <c r="M700" s="361">
        <f>(1+D700)^((5-Dashboard!$F$9)*3/12)</f>
        <v>1.1052573775109784</v>
      </c>
      <c r="N700" s="361">
        <f t="shared" ref="N700:V700" si="709">M700*(1+$D700)</f>
        <v>1.26303286815067</v>
      </c>
      <c r="O700" s="361">
        <f t="shared" si="709"/>
        <v>1.4433308100791775</v>
      </c>
      <c r="P700" s="361">
        <f t="shared" si="709"/>
        <v>1.6493662832179794</v>
      </c>
      <c r="Q700" s="361">
        <f t="shared" si="709"/>
        <v>1.8848133201473452</v>
      </c>
      <c r="R700" s="361">
        <f t="shared" si="709"/>
        <v>2.1538704215983775</v>
      </c>
      <c r="S700" s="361">
        <f t="shared" si="709"/>
        <v>2.4613354242815446</v>
      </c>
      <c r="T700" s="361">
        <f t="shared" si="709"/>
        <v>2.8126910560977341</v>
      </c>
      <c r="U700" s="361">
        <f t="shared" si="709"/>
        <v>3.2142027043556842</v>
      </c>
      <c r="V700" s="362">
        <f t="shared" si="709"/>
        <v>3.6730301404024566</v>
      </c>
      <c r="X700" s="351"/>
    </row>
    <row r="701" spans="3:24" ht="24.75" customHeight="1" x14ac:dyDescent="0.3">
      <c r="C701" s="353">
        <f>ABS(E701-Dashboard!$F$14)</f>
        <v>91.561031117078286</v>
      </c>
      <c r="D701" s="350">
        <f t="shared" si="663"/>
        <v>0.14284999999999951</v>
      </c>
      <c r="E701" s="359" cm="1">
        <f t="array" ref="E701">1000*SUM('DRE + DCF'!$L$36/M701,'DRE + DCF'!$N$36:$V$36/N701:V701,F701/V701)/Dashboard!$F$11</f>
        <v>188.55103111707828</v>
      </c>
      <c r="F701" s="359">
        <f t="shared" si="661"/>
        <v>22828090.060511053</v>
      </c>
      <c r="G701" s="359">
        <f>'DRE + DCF'!$W$31</f>
        <v>2791623.3540418856</v>
      </c>
      <c r="H701" s="359">
        <f>'DRE + DCF'!$W$32</f>
        <v>81081.931703745853</v>
      </c>
      <c r="I701" s="359">
        <f>-H701*('DRE + DCF'!$V$33+K701)/'DRE + DCF'!$V$33</f>
        <v>-90858.801614444121</v>
      </c>
      <c r="J701" s="359">
        <f>-'DRE + DCF'!$V$56*L701</f>
        <v>-1188924.4255577971</v>
      </c>
      <c r="K701" s="360">
        <f>(1+L701)/(1+Ke!$O$12)-1</f>
        <v>2.0000000000000018E-2</v>
      </c>
      <c r="L701" s="360">
        <f>'DRE + DCF'!$Y$31</f>
        <v>7.3550000000000004E-2</v>
      </c>
      <c r="M701" s="361">
        <f>(1+D701)^((5-Dashboard!$F$9)*3/12)</f>
        <v>1.1053299160334942</v>
      </c>
      <c r="N701" s="361">
        <f t="shared" ref="N701:V701" si="710">M701*(1+$D701)</f>
        <v>1.2632262945388781</v>
      </c>
      <c r="O701" s="361">
        <f t="shared" si="710"/>
        <v>1.4436781707137563</v>
      </c>
      <c r="P701" s="361">
        <f t="shared" si="710"/>
        <v>1.6499075974002155</v>
      </c>
      <c r="Q701" s="361">
        <f t="shared" si="710"/>
        <v>1.8855968976888355</v>
      </c>
      <c r="R701" s="361">
        <f t="shared" si="710"/>
        <v>2.1549544145236847</v>
      </c>
      <c r="S701" s="361">
        <f t="shared" si="710"/>
        <v>2.4627896526383921</v>
      </c>
      <c r="T701" s="361">
        <f t="shared" si="710"/>
        <v>2.8145991545177851</v>
      </c>
      <c r="U701" s="361">
        <f t="shared" si="710"/>
        <v>3.2166646437406494</v>
      </c>
      <c r="V701" s="362">
        <f t="shared" si="710"/>
        <v>3.6761651880989996</v>
      </c>
      <c r="X701" s="351"/>
    </row>
    <row r="702" spans="3:24" ht="24.75" customHeight="1" x14ac:dyDescent="0.3">
      <c r="C702" s="353">
        <f>ABS(E702-Dashboard!$F$14)</f>
        <v>91.30845723700962</v>
      </c>
      <c r="D702" s="350">
        <f t="shared" si="663"/>
        <v>0.14294999999999949</v>
      </c>
      <c r="E702" s="359" cm="1">
        <f t="array" ref="E702">1000*SUM('DRE + DCF'!$L$36/M702,'DRE + DCF'!$N$36:$V$36/N702:V702,F702/V702)/Dashboard!$F$11</f>
        <v>188.29845723700961</v>
      </c>
      <c r="F702" s="359">
        <f t="shared" si="661"/>
        <v>22802973.483893339</v>
      </c>
      <c r="G702" s="359">
        <f>'DRE + DCF'!$W$31</f>
        <v>2791623.3540418856</v>
      </c>
      <c r="H702" s="359">
        <f>'DRE + DCF'!$W$32</f>
        <v>81081.931703745853</v>
      </c>
      <c r="I702" s="359">
        <f>-H702*('DRE + DCF'!$V$33+K702)/'DRE + DCF'!$V$33</f>
        <v>-90858.801614444121</v>
      </c>
      <c r="J702" s="359">
        <f>-'DRE + DCF'!$V$56*L702</f>
        <v>-1188924.4255577971</v>
      </c>
      <c r="K702" s="360">
        <f>(1+L702)/(1+Ke!$O$12)-1</f>
        <v>2.0000000000000018E-2</v>
      </c>
      <c r="L702" s="360">
        <f>'DRE + DCF'!$Y$31</f>
        <v>7.3550000000000004E-2</v>
      </c>
      <c r="M702" s="361">
        <f>(1+D702)^((5-Dashboard!$F$9)*3/12)</f>
        <v>1.1054024529692372</v>
      </c>
      <c r="N702" s="361">
        <f t="shared" ref="N702:V702" si="711">M702*(1+$D702)</f>
        <v>1.2634197336211892</v>
      </c>
      <c r="O702" s="361">
        <f t="shared" si="711"/>
        <v>1.4440255845423375</v>
      </c>
      <c r="P702" s="361">
        <f t="shared" si="711"/>
        <v>1.6504490418526638</v>
      </c>
      <c r="Q702" s="361">
        <f t="shared" si="711"/>
        <v>1.8863807323855013</v>
      </c>
      <c r="R702" s="361">
        <f t="shared" si="711"/>
        <v>2.1560388580800076</v>
      </c>
      <c r="S702" s="361">
        <f t="shared" si="711"/>
        <v>2.4642446128425437</v>
      </c>
      <c r="T702" s="361">
        <f t="shared" si="711"/>
        <v>2.8165083802483841</v>
      </c>
      <c r="U702" s="361">
        <f t="shared" si="711"/>
        <v>3.219128253204889</v>
      </c>
      <c r="V702" s="362">
        <f t="shared" si="711"/>
        <v>3.6793026370005264</v>
      </c>
      <c r="X702" s="351"/>
    </row>
    <row r="703" spans="3:24" ht="24.75" customHeight="1" x14ac:dyDescent="0.3">
      <c r="C703" s="353">
        <f>ABS(E703-Dashboard!$F$14)</f>
        <v>91.056501983746799</v>
      </c>
      <c r="D703" s="350">
        <f t="shared" si="663"/>
        <v>0.14304999999999948</v>
      </c>
      <c r="E703" s="359" cm="1">
        <f t="array" ref="E703">1000*SUM('DRE + DCF'!$L$36/M703,'DRE + DCF'!$N$36:$V$36/N703:V703,F703/V703)/Dashboard!$F$11</f>
        <v>188.04650198374679</v>
      </c>
      <c r="F703" s="359">
        <f t="shared" si="661"/>
        <v>22777918.327822268</v>
      </c>
      <c r="G703" s="359">
        <f>'DRE + DCF'!$W$31</f>
        <v>2791623.3540418856</v>
      </c>
      <c r="H703" s="359">
        <f>'DRE + DCF'!$W$32</f>
        <v>81081.931703745853</v>
      </c>
      <c r="I703" s="359">
        <f>-H703*('DRE + DCF'!$V$33+K703)/'DRE + DCF'!$V$33</f>
        <v>-90858.801614444121</v>
      </c>
      <c r="J703" s="359">
        <f>-'DRE + DCF'!$V$56*L703</f>
        <v>-1188924.4255577971</v>
      </c>
      <c r="K703" s="360">
        <f>(1+L703)/(1+Ke!$O$12)-1</f>
        <v>2.0000000000000018E-2</v>
      </c>
      <c r="L703" s="360">
        <f>'DRE + DCF'!$Y$31</f>
        <v>7.3550000000000004E-2</v>
      </c>
      <c r="M703" s="361">
        <f>(1+D703)^((5-Dashboard!$F$9)*3/12)</f>
        <v>1.1054749883183812</v>
      </c>
      <c r="N703" s="361">
        <f t="shared" ref="N703:V703" si="712">M703*(1+$D703)</f>
        <v>1.2636131853973249</v>
      </c>
      <c r="O703" s="361">
        <f t="shared" si="712"/>
        <v>1.4443730515684117</v>
      </c>
      <c r="P703" s="361">
        <f t="shared" si="712"/>
        <v>1.6509906165952721</v>
      </c>
      <c r="Q703" s="361">
        <f t="shared" si="712"/>
        <v>1.8871648242992249</v>
      </c>
      <c r="R703" s="361">
        <f t="shared" si="712"/>
        <v>2.1571237524152282</v>
      </c>
      <c r="S703" s="361">
        <f t="shared" si="712"/>
        <v>2.4657003051982254</v>
      </c>
      <c r="T703" s="361">
        <f t="shared" si="712"/>
        <v>2.8184187338568303</v>
      </c>
      <c r="U703" s="361">
        <f t="shared" si="712"/>
        <v>3.2215935337350485</v>
      </c>
      <c r="V703" s="362">
        <f t="shared" si="712"/>
        <v>3.6824424887358456</v>
      </c>
      <c r="X703" s="351"/>
    </row>
    <row r="704" spans="3:24" ht="24.75" customHeight="1" x14ac:dyDescent="0.3">
      <c r="C704" s="353">
        <f>ABS(E704-Dashboard!$F$14)</f>
        <v>90.80516302045244</v>
      </c>
      <c r="D704" s="350">
        <f t="shared" si="663"/>
        <v>0.14314999999999947</v>
      </c>
      <c r="E704" s="359" cm="1">
        <f t="array" ref="E704">1000*SUM('DRE + DCF'!$L$36/M704,'DRE + DCF'!$N$36:$V$36/N704:V704,F704/V704)/Dashboard!$F$11</f>
        <v>187.79516302045243</v>
      </c>
      <c r="F704" s="359">
        <f t="shared" si="661"/>
        <v>22752924.350275263</v>
      </c>
      <c r="G704" s="359">
        <f>'DRE + DCF'!$W$31</f>
        <v>2791623.3540418856</v>
      </c>
      <c r="H704" s="359">
        <f>'DRE + DCF'!$W$32</f>
        <v>81081.931703745853</v>
      </c>
      <c r="I704" s="359">
        <f>-H704*('DRE + DCF'!$V$33+K704)/'DRE + DCF'!$V$33</f>
        <v>-90858.801614444121</v>
      </c>
      <c r="J704" s="359">
        <f>-'DRE + DCF'!$V$56*L704</f>
        <v>-1188924.4255577971</v>
      </c>
      <c r="K704" s="360">
        <f>(1+L704)/(1+Ke!$O$12)-1</f>
        <v>2.0000000000000018E-2</v>
      </c>
      <c r="L704" s="360">
        <f>'DRE + DCF'!$Y$31</f>
        <v>7.3550000000000004E-2</v>
      </c>
      <c r="M704" s="361">
        <f>(1+D704)^((5-Dashboard!$F$9)*3/12)</f>
        <v>1.1055475220810993</v>
      </c>
      <c r="N704" s="361">
        <f t="shared" ref="N704:V704" si="713">M704*(1+$D704)</f>
        <v>1.263806649867008</v>
      </c>
      <c r="O704" s="361">
        <f t="shared" si="713"/>
        <v>1.4447205717954694</v>
      </c>
      <c r="P704" s="361">
        <f t="shared" si="713"/>
        <v>1.65153232164799</v>
      </c>
      <c r="Q704" s="361">
        <f t="shared" si="713"/>
        <v>1.8879491734918989</v>
      </c>
      <c r="R704" s="361">
        <f t="shared" si="713"/>
        <v>2.1582090976772634</v>
      </c>
      <c r="S704" s="361">
        <f t="shared" si="713"/>
        <v>2.4671567300097625</v>
      </c>
      <c r="T704" s="361">
        <f t="shared" si="713"/>
        <v>2.8203302159106585</v>
      </c>
      <c r="U704" s="361">
        <f t="shared" si="713"/>
        <v>3.2240604863182676</v>
      </c>
      <c r="V704" s="362">
        <f t="shared" si="713"/>
        <v>3.6855847449347259</v>
      </c>
      <c r="X704" s="351"/>
    </row>
    <row r="705" spans="3:24" ht="24.75" customHeight="1" x14ac:dyDescent="0.3">
      <c r="C705" s="353">
        <f>ABS(E705-Dashboard!$F$14)</f>
        <v>90.554438022646778</v>
      </c>
      <c r="D705" s="350">
        <f t="shared" si="663"/>
        <v>0.14324999999999946</v>
      </c>
      <c r="E705" s="359" cm="1">
        <f t="array" ref="E705">1000*SUM('DRE + DCF'!$L$36/M705,'DRE + DCF'!$N$36:$V$36/N705:V705,F705/V705)/Dashboard!$F$11</f>
        <v>187.54443802264677</v>
      </c>
      <c r="F705" s="359">
        <f t="shared" si="661"/>
        <v>22727991.310555309</v>
      </c>
      <c r="G705" s="359">
        <f>'DRE + DCF'!$W$31</f>
        <v>2791623.3540418856</v>
      </c>
      <c r="H705" s="359">
        <f>'DRE + DCF'!$W$32</f>
        <v>81081.931703745853</v>
      </c>
      <c r="I705" s="359">
        <f>-H705*('DRE + DCF'!$V$33+K705)/'DRE + DCF'!$V$33</f>
        <v>-90858.801614444121</v>
      </c>
      <c r="J705" s="359">
        <f>-'DRE + DCF'!$V$56*L705</f>
        <v>-1188924.4255577971</v>
      </c>
      <c r="K705" s="360">
        <f>(1+L705)/(1+Ke!$O$12)-1</f>
        <v>2.0000000000000018E-2</v>
      </c>
      <c r="L705" s="360">
        <f>'DRE + DCF'!$Y$31</f>
        <v>7.3550000000000004E-2</v>
      </c>
      <c r="M705" s="361">
        <f>(1+D705)^((5-Dashboard!$F$9)*3/12)</f>
        <v>1.1056200542575652</v>
      </c>
      <c r="N705" s="361">
        <f t="shared" ref="N705:V705" si="714">M705*(1+$D705)</f>
        <v>1.2640001270299608</v>
      </c>
      <c r="O705" s="361">
        <f t="shared" si="714"/>
        <v>1.445068145227002</v>
      </c>
      <c r="P705" s="361">
        <f t="shared" si="714"/>
        <v>1.6520741570307693</v>
      </c>
      <c r="Q705" s="361">
        <f t="shared" si="714"/>
        <v>1.888733780025426</v>
      </c>
      <c r="R705" s="361">
        <f t="shared" si="714"/>
        <v>2.1592948940140673</v>
      </c>
      <c r="S705" s="361">
        <f t="shared" si="714"/>
        <v>2.4686138875815811</v>
      </c>
      <c r="T705" s="361">
        <f t="shared" si="714"/>
        <v>2.8222428269776412</v>
      </c>
      <c r="U705" s="361">
        <f t="shared" si="714"/>
        <v>3.2265291119421868</v>
      </c>
      <c r="V705" s="362">
        <f t="shared" si="714"/>
        <v>3.6887294072279033</v>
      </c>
      <c r="X705" s="351"/>
    </row>
    <row r="706" spans="3:24" ht="24.75" customHeight="1" x14ac:dyDescent="0.3">
      <c r="C706" s="353">
        <f>ABS(E706-Dashboard!$F$14)</f>
        <v>90.304324678123535</v>
      </c>
      <c r="D706" s="350">
        <f t="shared" si="663"/>
        <v>0.14334999999999945</v>
      </c>
      <c r="E706" s="359" cm="1">
        <f t="array" ref="E706">1000*SUM('DRE + DCF'!$L$36/M706,'DRE + DCF'!$N$36:$V$36/N706:V706,F706/V706)/Dashboard!$F$11</f>
        <v>187.29432467812353</v>
      </c>
      <c r="F706" s="359">
        <f t="shared" si="661"/>
        <v>22703118.969281696</v>
      </c>
      <c r="G706" s="359">
        <f>'DRE + DCF'!$W$31</f>
        <v>2791623.3540418856</v>
      </c>
      <c r="H706" s="359">
        <f>'DRE + DCF'!$W$32</f>
        <v>81081.931703745853</v>
      </c>
      <c r="I706" s="359">
        <f>-H706*('DRE + DCF'!$V$33+K706)/'DRE + DCF'!$V$33</f>
        <v>-90858.801614444121</v>
      </c>
      <c r="J706" s="359">
        <f>-'DRE + DCF'!$V$56*L706</f>
        <v>-1188924.4255577971</v>
      </c>
      <c r="K706" s="360">
        <f>(1+L706)/(1+Ke!$O$12)-1</f>
        <v>2.0000000000000018E-2</v>
      </c>
      <c r="L706" s="360">
        <f>'DRE + DCF'!$Y$31</f>
        <v>7.3550000000000004E-2</v>
      </c>
      <c r="M706" s="361">
        <f>(1+D706)^((5-Dashboard!$F$9)*3/12)</f>
        <v>1.1056925848479522</v>
      </c>
      <c r="N706" s="361">
        <f t="shared" ref="N706:V706" si="715">M706*(1+$D706)</f>
        <v>1.2641936168859056</v>
      </c>
      <c r="O706" s="361">
        <f t="shared" si="715"/>
        <v>1.4454157718664995</v>
      </c>
      <c r="P706" s="361">
        <f t="shared" si="715"/>
        <v>1.6526161227635614</v>
      </c>
      <c r="Q706" s="361">
        <f t="shared" si="715"/>
        <v>1.8895186439617169</v>
      </c>
      <c r="R706" s="361">
        <f t="shared" si="715"/>
        <v>2.160381141573628</v>
      </c>
      <c r="S706" s="361">
        <f t="shared" si="715"/>
        <v>2.4700717782182062</v>
      </c>
      <c r="T706" s="361">
        <f t="shared" si="715"/>
        <v>2.8241565676257845</v>
      </c>
      <c r="U706" s="361">
        <f t="shared" si="715"/>
        <v>3.228999411594939</v>
      </c>
      <c r="V706" s="362">
        <f t="shared" si="715"/>
        <v>3.6918764772470718</v>
      </c>
      <c r="X706" s="351"/>
    </row>
    <row r="707" spans="3:24" ht="24.75" customHeight="1" x14ac:dyDescent="0.3">
      <c r="C707" s="353">
        <f>ABS(E707-Dashboard!$F$14)</f>
        <v>90.054820686865483</v>
      </c>
      <c r="D707" s="350">
        <f t="shared" si="663"/>
        <v>0.14344999999999944</v>
      </c>
      <c r="E707" s="359" cm="1">
        <f t="array" ref="E707">1000*SUM('DRE + DCF'!$L$36/M707,'DRE + DCF'!$N$36:$V$36/N707:V707,F707/V707)/Dashboard!$F$11</f>
        <v>187.04482068686548</v>
      </c>
      <c r="F707" s="359">
        <f t="shared" si="661"/>
        <v>22678307.088380858</v>
      </c>
      <c r="G707" s="359">
        <f>'DRE + DCF'!$W$31</f>
        <v>2791623.3540418856</v>
      </c>
      <c r="H707" s="359">
        <f>'DRE + DCF'!$W$32</f>
        <v>81081.931703745853</v>
      </c>
      <c r="I707" s="359">
        <f>-H707*('DRE + DCF'!$V$33+K707)/'DRE + DCF'!$V$33</f>
        <v>-90858.801614444121</v>
      </c>
      <c r="J707" s="359">
        <f>-'DRE + DCF'!$V$56*L707</f>
        <v>-1188924.4255577971</v>
      </c>
      <c r="K707" s="360">
        <f>(1+L707)/(1+Ke!$O$12)-1</f>
        <v>2.0000000000000018E-2</v>
      </c>
      <c r="L707" s="360">
        <f>'DRE + DCF'!$Y$31</f>
        <v>7.3550000000000004E-2</v>
      </c>
      <c r="M707" s="361">
        <f>(1+D707)^((5-Dashboard!$F$9)*3/12)</f>
        <v>1.105765113852434</v>
      </c>
      <c r="N707" s="361">
        <f t="shared" ref="N707:V707" si="716">M707*(1+$D707)</f>
        <v>1.2643871194345651</v>
      </c>
      <c r="O707" s="361">
        <f t="shared" si="716"/>
        <v>1.4457634517174527</v>
      </c>
      <c r="P707" s="361">
        <f t="shared" si="716"/>
        <v>1.6531582188663205</v>
      </c>
      <c r="Q707" s="361">
        <f t="shared" si="716"/>
        <v>1.8903037653626933</v>
      </c>
      <c r="R707" s="361">
        <f t="shared" si="716"/>
        <v>2.1614678405039705</v>
      </c>
      <c r="S707" s="361">
        <f t="shared" si="716"/>
        <v>2.4715304022242637</v>
      </c>
      <c r="T707" s="361">
        <f t="shared" si="716"/>
        <v>2.826071438423333</v>
      </c>
      <c r="U707" s="361">
        <f t="shared" si="716"/>
        <v>3.2314713862651585</v>
      </c>
      <c r="V707" s="362">
        <f t="shared" si="716"/>
        <v>3.6950259566248937</v>
      </c>
      <c r="X707" s="351"/>
    </row>
    <row r="708" spans="3:24" ht="24.75" customHeight="1" x14ac:dyDescent="0.3">
      <c r="C708" s="353">
        <f>ABS(E708-Dashboard!$F$14)</f>
        <v>89.805923760961335</v>
      </c>
      <c r="D708" s="350">
        <f t="shared" si="663"/>
        <v>0.14354999999999943</v>
      </c>
      <c r="E708" s="359" cm="1">
        <f t="array" ref="E708">1000*SUM('DRE + DCF'!$L$36/M708,'DRE + DCF'!$N$36:$V$36/N708:V708,F708/V708)/Dashboard!$F$11</f>
        <v>186.79592376096133</v>
      </c>
      <c r="F708" s="359">
        <f t="shared" si="661"/>
        <v>22653555.431077201</v>
      </c>
      <c r="G708" s="359">
        <f>'DRE + DCF'!$W$31</f>
        <v>2791623.3540418856</v>
      </c>
      <c r="H708" s="359">
        <f>'DRE + DCF'!$W$32</f>
        <v>81081.931703745853</v>
      </c>
      <c r="I708" s="359">
        <f>-H708*('DRE + DCF'!$V$33+K708)/'DRE + DCF'!$V$33</f>
        <v>-90858.801614444121</v>
      </c>
      <c r="J708" s="359">
        <f>-'DRE + DCF'!$V$56*L708</f>
        <v>-1188924.4255577971</v>
      </c>
      <c r="K708" s="360">
        <f>(1+L708)/(1+Ke!$O$12)-1</f>
        <v>2.0000000000000018E-2</v>
      </c>
      <c r="L708" s="360">
        <f>'DRE + DCF'!$Y$31</f>
        <v>7.3550000000000004E-2</v>
      </c>
      <c r="M708" s="361">
        <f>(1+D708)^((5-Dashboard!$F$9)*3/12)</f>
        <v>1.1058376412711837</v>
      </c>
      <c r="N708" s="361">
        <f t="shared" ref="N708:V708" si="717">M708*(1+$D708)</f>
        <v>1.2645806346756614</v>
      </c>
      <c r="O708" s="361">
        <f t="shared" si="717"/>
        <v>1.4461111847833519</v>
      </c>
      <c r="P708" s="361">
        <f t="shared" si="717"/>
        <v>1.6537004453590012</v>
      </c>
      <c r="Q708" s="361">
        <f t="shared" si="717"/>
        <v>1.8910891442902849</v>
      </c>
      <c r="R708" s="361">
        <f t="shared" si="717"/>
        <v>2.1625549909531543</v>
      </c>
      <c r="S708" s="361">
        <f t="shared" si="717"/>
        <v>2.4729897599044781</v>
      </c>
      <c r="T708" s="361">
        <f t="shared" si="717"/>
        <v>2.8279874399387643</v>
      </c>
      <c r="U708" s="361">
        <f t="shared" si="717"/>
        <v>3.2339450369419724</v>
      </c>
      <c r="V708" s="362">
        <f t="shared" si="717"/>
        <v>3.6981778469949909</v>
      </c>
      <c r="X708" s="351"/>
    </row>
    <row r="709" spans="3:24" ht="24.75" customHeight="1" x14ac:dyDescent="0.3">
      <c r="C709" s="353">
        <f>ABS(E709-Dashboard!$F$14)</f>
        <v>89.557631624523296</v>
      </c>
      <c r="D709" s="350">
        <f t="shared" si="663"/>
        <v>0.14364999999999942</v>
      </c>
      <c r="E709" s="359" cm="1">
        <f t="array" ref="E709">1000*SUM('DRE + DCF'!$L$36/M709,'DRE + DCF'!$N$36:$V$36/N709:V709,F709/V709)/Dashboard!$F$11</f>
        <v>186.54763162452329</v>
      </c>
      <c r="F709" s="359">
        <f t="shared" si="661"/>
        <v>22628863.76188409</v>
      </c>
      <c r="G709" s="359">
        <f>'DRE + DCF'!$W$31</f>
        <v>2791623.3540418856</v>
      </c>
      <c r="H709" s="359">
        <f>'DRE + DCF'!$W$32</f>
        <v>81081.931703745853</v>
      </c>
      <c r="I709" s="359">
        <f>-H709*('DRE + DCF'!$V$33+K709)/'DRE + DCF'!$V$33</f>
        <v>-90858.801614444121</v>
      </c>
      <c r="J709" s="359">
        <f>-'DRE + DCF'!$V$56*L709</f>
        <v>-1188924.4255577971</v>
      </c>
      <c r="K709" s="360">
        <f>(1+L709)/(1+Ke!$O$12)-1</f>
        <v>2.0000000000000018E-2</v>
      </c>
      <c r="L709" s="360">
        <f>'DRE + DCF'!$Y$31</f>
        <v>7.3550000000000004E-2</v>
      </c>
      <c r="M709" s="361">
        <f>(1+D709)^((5-Dashboard!$F$9)*3/12)</f>
        <v>1.1059101671043745</v>
      </c>
      <c r="N709" s="361">
        <f t="shared" ref="N709:V709" si="718">M709*(1+$D709)</f>
        <v>1.2647741626089173</v>
      </c>
      <c r="O709" s="361">
        <f t="shared" si="718"/>
        <v>1.4464589710676874</v>
      </c>
      <c r="P709" s="361">
        <f t="shared" si="718"/>
        <v>1.6542428022615598</v>
      </c>
      <c r="Q709" s="361">
        <f t="shared" si="718"/>
        <v>1.891874780806432</v>
      </c>
      <c r="R709" s="361">
        <f t="shared" si="718"/>
        <v>2.1636425930692749</v>
      </c>
      <c r="S709" s="361">
        <f t="shared" si="718"/>
        <v>2.474449851563675</v>
      </c>
      <c r="T709" s="361">
        <f t="shared" si="718"/>
        <v>2.8299045727407957</v>
      </c>
      <c r="U709" s="361">
        <f t="shared" si="718"/>
        <v>3.2364203646150091</v>
      </c>
      <c r="V709" s="362">
        <f t="shared" si="718"/>
        <v>3.7013321499919534</v>
      </c>
      <c r="X709" s="351"/>
    </row>
    <row r="710" spans="3:24" ht="24.75" customHeight="1" x14ac:dyDescent="0.3">
      <c r="C710" s="353">
        <f>ABS(E710-Dashboard!$F$14)</f>
        <v>89.309942013605038</v>
      </c>
      <c r="D710" s="350">
        <f t="shared" si="663"/>
        <v>0.14374999999999941</v>
      </c>
      <c r="E710" s="359" cm="1">
        <f t="array" ref="E710">1000*SUM('DRE + DCF'!$L$36/M710,'DRE + DCF'!$N$36:$V$36/N710:V710,F710/V710)/Dashboard!$F$11</f>
        <v>186.29994201360503</v>
      </c>
      <c r="F710" s="359">
        <f t="shared" si="661"/>
        <v>22604231.846594885</v>
      </c>
      <c r="G710" s="359">
        <f>'DRE + DCF'!$W$31</f>
        <v>2791623.3540418856</v>
      </c>
      <c r="H710" s="359">
        <f>'DRE + DCF'!$W$32</f>
        <v>81081.931703745853</v>
      </c>
      <c r="I710" s="359">
        <f>-H710*('DRE + DCF'!$V$33+K710)/'DRE + DCF'!$V$33</f>
        <v>-90858.801614444121</v>
      </c>
      <c r="J710" s="359">
        <f>-'DRE + DCF'!$V$56*L710</f>
        <v>-1188924.4255577971</v>
      </c>
      <c r="K710" s="360">
        <f>(1+L710)/(1+Ke!$O$12)-1</f>
        <v>2.0000000000000018E-2</v>
      </c>
      <c r="L710" s="360">
        <f>'DRE + DCF'!$Y$31</f>
        <v>7.3550000000000004E-2</v>
      </c>
      <c r="M710" s="361">
        <f>(1+D710)^((5-Dashboard!$F$9)*3/12)</f>
        <v>1.1059826913521802</v>
      </c>
      <c r="N710" s="361">
        <f t="shared" ref="N710:V710" si="719">M710*(1+$D710)</f>
        <v>1.2649677032340554</v>
      </c>
      <c r="O710" s="361">
        <f t="shared" si="719"/>
        <v>1.44680681057395</v>
      </c>
      <c r="P710" s="361">
        <f t="shared" si="719"/>
        <v>1.6547852895939543</v>
      </c>
      <c r="Q710" s="361">
        <f t="shared" si="719"/>
        <v>1.8926606749730843</v>
      </c>
      <c r="R710" s="361">
        <f t="shared" si="719"/>
        <v>2.1647306470004639</v>
      </c>
      <c r="S710" s="361">
        <f t="shared" si="719"/>
        <v>2.4759106775067794</v>
      </c>
      <c r="T710" s="361">
        <f t="shared" si="719"/>
        <v>2.8318228373983776</v>
      </c>
      <c r="U710" s="361">
        <f t="shared" si="719"/>
        <v>3.2388973702743926</v>
      </c>
      <c r="V710" s="362">
        <f t="shared" si="719"/>
        <v>3.7044888672513347</v>
      </c>
      <c r="X710" s="351"/>
    </row>
    <row r="711" spans="3:24" ht="24.75" customHeight="1" x14ac:dyDescent="0.3">
      <c r="C711" s="353">
        <f>ABS(E711-Dashboard!$F$14)</f>
        <v>89.062852676120443</v>
      </c>
      <c r="D711" s="350">
        <f t="shared" si="663"/>
        <v>0.1438499999999994</v>
      </c>
      <c r="E711" s="359" cm="1">
        <f t="array" ref="E711">1000*SUM('DRE + DCF'!$L$36/M711,'DRE + DCF'!$N$36:$V$36/N711:V711,F711/V711)/Dashboard!$F$11</f>
        <v>186.05285267612044</v>
      </c>
      <c r="F711" s="359">
        <f t="shared" si="661"/>
        <v>22579659.452274036</v>
      </c>
      <c r="G711" s="359">
        <f>'DRE + DCF'!$W$31</f>
        <v>2791623.3540418856</v>
      </c>
      <c r="H711" s="359">
        <f>'DRE + DCF'!$W$32</f>
        <v>81081.931703745853</v>
      </c>
      <c r="I711" s="359">
        <f>-H711*('DRE + DCF'!$V$33+K711)/'DRE + DCF'!$V$33</f>
        <v>-90858.801614444121</v>
      </c>
      <c r="J711" s="359">
        <f>-'DRE + DCF'!$V$56*L711</f>
        <v>-1188924.4255577971</v>
      </c>
      <c r="K711" s="360">
        <f>(1+L711)/(1+Ke!$O$12)-1</f>
        <v>2.0000000000000018E-2</v>
      </c>
      <c r="L711" s="360">
        <f>'DRE + DCF'!$Y$31</f>
        <v>7.3550000000000004E-2</v>
      </c>
      <c r="M711" s="361">
        <f>(1+D711)^((5-Dashboard!$F$9)*3/12)</f>
        <v>1.1060552140147737</v>
      </c>
      <c r="N711" s="361">
        <f t="shared" ref="N711:V711" si="720">M711*(1+$D711)</f>
        <v>1.2651612565507981</v>
      </c>
      <c r="O711" s="361">
        <f t="shared" si="720"/>
        <v>1.4471547033056296</v>
      </c>
      <c r="P711" s="361">
        <f t="shared" si="720"/>
        <v>1.6553279073761435</v>
      </c>
      <c r="Q711" s="361">
        <f t="shared" si="720"/>
        <v>1.8934468268522007</v>
      </c>
      <c r="R711" s="361">
        <f t="shared" si="720"/>
        <v>2.1658191528948887</v>
      </c>
      <c r="S711" s="361">
        <f t="shared" si="720"/>
        <v>2.477372238038817</v>
      </c>
      <c r="T711" s="361">
        <f t="shared" si="720"/>
        <v>2.8337422344806993</v>
      </c>
      <c r="U711" s="361">
        <f t="shared" si="720"/>
        <v>3.241376054910746</v>
      </c>
      <c r="V711" s="362">
        <f t="shared" si="720"/>
        <v>3.7076480004096548</v>
      </c>
      <c r="X711" s="351"/>
    </row>
    <row r="712" spans="3:24" ht="24.75" customHeight="1" x14ac:dyDescent="0.3">
      <c r="C712" s="353">
        <f>ABS(E712-Dashboard!$F$14)</f>
        <v>88.816361371763335</v>
      </c>
      <c r="D712" s="350">
        <f t="shared" si="663"/>
        <v>0.14394999999999938</v>
      </c>
      <c r="E712" s="359" cm="1">
        <f t="array" ref="E712">1000*SUM('DRE + DCF'!$L$36/M712,'DRE + DCF'!$N$36:$V$36/N712:V712,F712/V712)/Dashboard!$F$11</f>
        <v>185.80636137176333</v>
      </c>
      <c r="F712" s="359">
        <f t="shared" si="661"/>
        <v>22555146.347248293</v>
      </c>
      <c r="G712" s="359">
        <f>'DRE + DCF'!$W$31</f>
        <v>2791623.3540418856</v>
      </c>
      <c r="H712" s="359">
        <f>'DRE + DCF'!$W$32</f>
        <v>81081.931703745853</v>
      </c>
      <c r="I712" s="359">
        <f>-H712*('DRE + DCF'!$V$33+K712)/'DRE + DCF'!$V$33</f>
        <v>-90858.801614444121</v>
      </c>
      <c r="J712" s="359">
        <f>-'DRE + DCF'!$V$56*L712</f>
        <v>-1188924.4255577971</v>
      </c>
      <c r="K712" s="360">
        <f>(1+L712)/(1+Ke!$O$12)-1</f>
        <v>2.0000000000000018E-2</v>
      </c>
      <c r="L712" s="360">
        <f>'DRE + DCF'!$Y$31</f>
        <v>7.3550000000000004E-2</v>
      </c>
      <c r="M712" s="361">
        <f>(1+D712)^((5-Dashboard!$F$9)*3/12)</f>
        <v>1.1061277350923282</v>
      </c>
      <c r="N712" s="361">
        <f t="shared" ref="N712:V712" si="721">M712*(1+$D712)</f>
        <v>1.2653548225588682</v>
      </c>
      <c r="O712" s="361">
        <f t="shared" si="721"/>
        <v>1.4475026492662164</v>
      </c>
      <c r="P712" s="361">
        <f t="shared" si="721"/>
        <v>1.6558706556280873</v>
      </c>
      <c r="Q712" s="361">
        <f t="shared" si="721"/>
        <v>1.8942332365057495</v>
      </c>
      <c r="R712" s="361">
        <f t="shared" si="721"/>
        <v>2.1669081109007511</v>
      </c>
      <c r="S712" s="361">
        <f t="shared" si="721"/>
        <v>2.4788345334649127</v>
      </c>
      <c r="T712" s="361">
        <f t="shared" si="721"/>
        <v>2.8356627645571852</v>
      </c>
      <c r="U712" s="361">
        <f t="shared" si="721"/>
        <v>3.2438564195151902</v>
      </c>
      <c r="V712" s="362">
        <f t="shared" si="721"/>
        <v>3.7108095511043997</v>
      </c>
      <c r="X712" s="351"/>
    </row>
    <row r="713" spans="3:24" ht="24.75" customHeight="1" x14ac:dyDescent="0.3">
      <c r="C713" s="353">
        <f>ABS(E713-Dashboard!$F$14)</f>
        <v>88.570465871927539</v>
      </c>
      <c r="D713" s="350">
        <f t="shared" si="663"/>
        <v>0.14404999999999937</v>
      </c>
      <c r="E713" s="359" cm="1">
        <f t="array" ref="E713">1000*SUM('DRE + DCF'!$L$36/M713,'DRE + DCF'!$N$36:$V$36/N713:V713,F713/V713)/Dashboard!$F$11</f>
        <v>185.56046587192753</v>
      </c>
      <c r="F713" s="359">
        <f t="shared" si="661"/>
        <v>22530692.301097941</v>
      </c>
      <c r="G713" s="359">
        <f>'DRE + DCF'!$W$31</f>
        <v>2791623.3540418856</v>
      </c>
      <c r="H713" s="359">
        <f>'DRE + DCF'!$W$32</f>
        <v>81081.931703745853</v>
      </c>
      <c r="I713" s="359">
        <f>-H713*('DRE + DCF'!$V$33+K713)/'DRE + DCF'!$V$33</f>
        <v>-90858.801614444121</v>
      </c>
      <c r="J713" s="359">
        <f>-'DRE + DCF'!$V$56*L713</f>
        <v>-1188924.4255577971</v>
      </c>
      <c r="K713" s="360">
        <f>(1+L713)/(1+Ke!$O$12)-1</f>
        <v>2.0000000000000018E-2</v>
      </c>
      <c r="L713" s="360">
        <f>'DRE + DCF'!$Y$31</f>
        <v>7.3550000000000004E-2</v>
      </c>
      <c r="M713" s="361">
        <f>(1+D713)^((5-Dashboard!$F$9)*3/12)</f>
        <v>1.1062002545850169</v>
      </c>
      <c r="N713" s="361">
        <f t="shared" ref="N713:V713" si="722">M713*(1+$D713)</f>
        <v>1.2655484012579878</v>
      </c>
      <c r="O713" s="361">
        <f t="shared" si="722"/>
        <v>1.4478506484592002</v>
      </c>
      <c r="P713" s="361">
        <f t="shared" si="722"/>
        <v>1.656413534369747</v>
      </c>
      <c r="Q713" s="361">
        <f t="shared" si="722"/>
        <v>1.8950199039957081</v>
      </c>
      <c r="R713" s="361">
        <f t="shared" si="722"/>
        <v>2.1679975211662885</v>
      </c>
      <c r="S713" s="361">
        <f t="shared" si="722"/>
        <v>2.4802975640902911</v>
      </c>
      <c r="T713" s="361">
        <f t="shared" si="722"/>
        <v>2.8375844281974958</v>
      </c>
      <c r="U713" s="361">
        <f t="shared" si="722"/>
        <v>3.2463384650793432</v>
      </c>
      <c r="V713" s="362">
        <f t="shared" si="722"/>
        <v>3.7139735209740206</v>
      </c>
      <c r="X713" s="351"/>
    </row>
    <row r="714" spans="3:24" ht="24.75" customHeight="1" x14ac:dyDescent="0.3">
      <c r="C714" s="353">
        <f>ABS(E714-Dashboard!$F$14)</f>
        <v>88.325163959627432</v>
      </c>
      <c r="D714" s="350">
        <f t="shared" si="663"/>
        <v>0.14414999999999936</v>
      </c>
      <c r="E714" s="359" cm="1">
        <f t="array" ref="E714">1000*SUM('DRE + DCF'!$L$36/M714,'DRE + DCF'!$N$36:$V$36/N714:V714,F714/V714)/Dashboard!$F$11</f>
        <v>185.31516395962743</v>
      </c>
      <c r="F714" s="359">
        <f t="shared" si="661"/>
        <v>22506297.084648147</v>
      </c>
      <c r="G714" s="359">
        <f>'DRE + DCF'!$W$31</f>
        <v>2791623.3540418856</v>
      </c>
      <c r="H714" s="359">
        <f>'DRE + DCF'!$W$32</f>
        <v>81081.931703745853</v>
      </c>
      <c r="I714" s="359">
        <f>-H714*('DRE + DCF'!$V$33+K714)/'DRE + DCF'!$V$33</f>
        <v>-90858.801614444121</v>
      </c>
      <c r="J714" s="359">
        <f>-'DRE + DCF'!$V$56*L714</f>
        <v>-1188924.4255577971</v>
      </c>
      <c r="K714" s="360">
        <f>(1+L714)/(1+Ke!$O$12)-1</f>
        <v>2.0000000000000018E-2</v>
      </c>
      <c r="L714" s="360">
        <f>'DRE + DCF'!$Y$31</f>
        <v>7.3550000000000004E-2</v>
      </c>
      <c r="M714" s="361">
        <f>(1+D714)^((5-Dashboard!$F$9)*3/12)</f>
        <v>1.1062727724930133</v>
      </c>
      <c r="N714" s="361">
        <f t="shared" ref="N714:V714" si="723">M714*(1+$D714)</f>
        <v>1.2657419926478803</v>
      </c>
      <c r="O714" s="361">
        <f t="shared" si="723"/>
        <v>1.4481987008880715</v>
      </c>
      <c r="P714" s="361">
        <f t="shared" si="723"/>
        <v>1.656956543621086</v>
      </c>
      <c r="Q714" s="361">
        <f t="shared" si="723"/>
        <v>1.8958068293840644</v>
      </c>
      <c r="R714" s="361">
        <f t="shared" si="723"/>
        <v>2.1690873838397762</v>
      </c>
      <c r="S714" s="361">
        <f t="shared" si="723"/>
        <v>2.4817613302202783</v>
      </c>
      <c r="T714" s="361">
        <f t="shared" si="723"/>
        <v>2.8395072259715297</v>
      </c>
      <c r="U714" s="361">
        <f t="shared" si="723"/>
        <v>3.2488221925953238</v>
      </c>
      <c r="V714" s="362">
        <f t="shared" si="723"/>
        <v>3.7171399116579376</v>
      </c>
      <c r="X714" s="351"/>
    </row>
    <row r="715" spans="3:24" ht="24.75" customHeight="1" x14ac:dyDescent="0.3">
      <c r="C715" s="353">
        <f>ABS(E715-Dashboard!$F$14)</f>
        <v>88.080453429419933</v>
      </c>
      <c r="D715" s="350">
        <f t="shared" si="663"/>
        <v>0.14424999999999935</v>
      </c>
      <c r="E715" s="359" cm="1">
        <f t="array" ref="E715">1000*SUM('DRE + DCF'!$L$36/M715,'DRE + DCF'!$N$36:$V$36/N715:V715,F715/V715)/Dashboard!$F$11</f>
        <v>185.07045342941993</v>
      </c>
      <c r="F715" s="359">
        <f t="shared" si="661"/>
        <v>22481960.469960369</v>
      </c>
      <c r="G715" s="359">
        <f>'DRE + DCF'!$W$31</f>
        <v>2791623.3540418856</v>
      </c>
      <c r="H715" s="359">
        <f>'DRE + DCF'!$W$32</f>
        <v>81081.931703745853</v>
      </c>
      <c r="I715" s="359">
        <f>-H715*('DRE + DCF'!$V$33+K715)/'DRE + DCF'!$V$33</f>
        <v>-90858.801614444121</v>
      </c>
      <c r="J715" s="359">
        <f>-'DRE + DCF'!$V$56*L715</f>
        <v>-1188924.4255577971</v>
      </c>
      <c r="K715" s="360">
        <f>(1+L715)/(1+Ke!$O$12)-1</f>
        <v>2.0000000000000018E-2</v>
      </c>
      <c r="L715" s="360">
        <f>'DRE + DCF'!$Y$31</f>
        <v>7.3550000000000004E-2</v>
      </c>
      <c r="M715" s="361">
        <f>(1+D715)^((5-Dashboard!$F$9)*3/12)</f>
        <v>1.10634528881649</v>
      </c>
      <c r="N715" s="361">
        <f t="shared" ref="N715:V715" si="724">M715*(1+$D715)</f>
        <v>1.2659355967282679</v>
      </c>
      <c r="O715" s="361">
        <f t="shared" si="724"/>
        <v>1.4485468065563198</v>
      </c>
      <c r="P715" s="361">
        <f t="shared" si="724"/>
        <v>1.6574996834020681</v>
      </c>
      <c r="Q715" s="361">
        <f t="shared" si="724"/>
        <v>1.8965940127328154</v>
      </c>
      <c r="R715" s="361">
        <f t="shared" si="724"/>
        <v>2.1701776990695225</v>
      </c>
      <c r="S715" s="361">
        <f t="shared" si="724"/>
        <v>2.4832258321602998</v>
      </c>
      <c r="T715" s="361">
        <f t="shared" si="724"/>
        <v>2.8414311584494212</v>
      </c>
      <c r="U715" s="361">
        <f t="shared" si="724"/>
        <v>3.2513076030557482</v>
      </c>
      <c r="V715" s="362">
        <f t="shared" si="724"/>
        <v>3.7203087247965376</v>
      </c>
      <c r="X715" s="351"/>
    </row>
    <row r="716" spans="3:24" ht="24.75" customHeight="1" x14ac:dyDescent="0.3">
      <c r="C716" s="353">
        <f>ABS(E716-Dashboard!$F$14)</f>
        <v>87.836332087326113</v>
      </c>
      <c r="D716" s="350">
        <f t="shared" si="663"/>
        <v>0.14434999999999934</v>
      </c>
      <c r="E716" s="359" cm="1">
        <f t="array" ref="E716">1000*SUM('DRE + DCF'!$L$36/M716,'DRE + DCF'!$N$36:$V$36/N716:V716,F716/V716)/Dashboard!$F$11</f>
        <v>184.82633208732611</v>
      </c>
      <c r="F716" s="359">
        <f t="shared" si="661"/>
        <v>22457682.23032381</v>
      </c>
      <c r="G716" s="359">
        <f>'DRE + DCF'!$W$31</f>
        <v>2791623.3540418856</v>
      </c>
      <c r="H716" s="359">
        <f>'DRE + DCF'!$W$32</f>
        <v>81081.931703745853</v>
      </c>
      <c r="I716" s="359">
        <f>-H716*('DRE + DCF'!$V$33+K716)/'DRE + DCF'!$V$33</f>
        <v>-90858.801614444121</v>
      </c>
      <c r="J716" s="359">
        <f>-'DRE + DCF'!$V$56*L716</f>
        <v>-1188924.4255577971</v>
      </c>
      <c r="K716" s="360">
        <f>(1+L716)/(1+Ke!$O$12)-1</f>
        <v>2.0000000000000018E-2</v>
      </c>
      <c r="L716" s="360">
        <f>'DRE + DCF'!$Y$31</f>
        <v>7.3550000000000004E-2</v>
      </c>
      <c r="M716" s="361">
        <f>(1+D716)^((5-Dashboard!$F$9)*3/12)</f>
        <v>1.1064178035556205</v>
      </c>
      <c r="N716" s="361">
        <f t="shared" ref="N716:V716" si="725">M716*(1+$D716)</f>
        <v>1.2661292134988735</v>
      </c>
      <c r="O716" s="361">
        <f t="shared" si="725"/>
        <v>1.448894965467435</v>
      </c>
      <c r="P716" s="361">
        <f t="shared" si="725"/>
        <v>1.6580429537326582</v>
      </c>
      <c r="Q716" s="361">
        <f t="shared" si="725"/>
        <v>1.8973814541039662</v>
      </c>
      <c r="R716" s="361">
        <f t="shared" si="725"/>
        <v>2.1712684670038724</v>
      </c>
      <c r="S716" s="361">
        <f t="shared" si="725"/>
        <v>2.48469107021588</v>
      </c>
      <c r="T716" s="361">
        <f t="shared" si="725"/>
        <v>2.8433562262015406</v>
      </c>
      <c r="U716" s="361">
        <f t="shared" si="725"/>
        <v>3.2537946974537308</v>
      </c>
      <c r="V716" s="362">
        <f t="shared" si="725"/>
        <v>3.7234799620311745</v>
      </c>
      <c r="X716" s="351"/>
    </row>
    <row r="717" spans="3:24" ht="24.75" customHeight="1" x14ac:dyDescent="0.3">
      <c r="C717" s="353">
        <f>ABS(E717-Dashboard!$F$14)</f>
        <v>87.592797750754258</v>
      </c>
      <c r="D717" s="350">
        <f t="shared" si="663"/>
        <v>0.14444999999999933</v>
      </c>
      <c r="E717" s="359" cm="1">
        <f t="array" ref="E717">1000*SUM('DRE + DCF'!$L$36/M717,'DRE + DCF'!$N$36:$V$36/N717:V717,F717/V717)/Dashboard!$F$11</f>
        <v>184.58279775075425</v>
      </c>
      <c r="F717" s="359">
        <f t="shared" si="661"/>
        <v>22433462.140247006</v>
      </c>
      <c r="G717" s="359">
        <f>'DRE + DCF'!$W$31</f>
        <v>2791623.3540418856</v>
      </c>
      <c r="H717" s="359">
        <f>'DRE + DCF'!$W$32</f>
        <v>81081.931703745853</v>
      </c>
      <c r="I717" s="359">
        <f>-H717*('DRE + DCF'!$V$33+K717)/'DRE + DCF'!$V$33</f>
        <v>-90858.801614444121</v>
      </c>
      <c r="J717" s="359">
        <f>-'DRE + DCF'!$V$56*L717</f>
        <v>-1188924.4255577971</v>
      </c>
      <c r="K717" s="360">
        <f>(1+L717)/(1+Ke!$O$12)-1</f>
        <v>2.0000000000000018E-2</v>
      </c>
      <c r="L717" s="360">
        <f>'DRE + DCF'!$Y$31</f>
        <v>7.3550000000000004E-2</v>
      </c>
      <c r="M717" s="361">
        <f>(1+D717)^((5-Dashboard!$F$9)*3/12)</f>
        <v>1.1064903167105777</v>
      </c>
      <c r="N717" s="361">
        <f t="shared" ref="N717:V717" si="726">M717*(1+$D717)</f>
        <v>1.26632284295942</v>
      </c>
      <c r="O717" s="361">
        <f t="shared" si="726"/>
        <v>1.4492431776249073</v>
      </c>
      <c r="P717" s="361">
        <f t="shared" si="726"/>
        <v>1.6585863546328241</v>
      </c>
      <c r="Q717" s="361">
        <f t="shared" si="726"/>
        <v>1.8981691535595344</v>
      </c>
      <c r="R717" s="361">
        <f t="shared" si="726"/>
        <v>2.1723596877912077</v>
      </c>
      <c r="S717" s="361">
        <f t="shared" si="726"/>
        <v>2.486157044692646</v>
      </c>
      <c r="T717" s="361">
        <f t="shared" si="726"/>
        <v>2.8452824297984969</v>
      </c>
      <c r="U717" s="361">
        <f t="shared" si="726"/>
        <v>3.2562834767828877</v>
      </c>
      <c r="V717" s="362">
        <f t="shared" si="726"/>
        <v>3.7266536250041735</v>
      </c>
      <c r="X717" s="351"/>
    </row>
    <row r="718" spans="3:24" ht="24.75" customHeight="1" x14ac:dyDescent="0.3">
      <c r="C718" s="353">
        <f>ABS(E718-Dashboard!$F$14)</f>
        <v>87.349848248423157</v>
      </c>
      <c r="D718" s="350">
        <f t="shared" si="663"/>
        <v>0.14454999999999932</v>
      </c>
      <c r="E718" s="359" cm="1">
        <f t="array" ref="E718">1000*SUM('DRE + DCF'!$L$36/M718,'DRE + DCF'!$N$36:$V$36/N718:V718,F718/V718)/Dashboard!$F$11</f>
        <v>184.33984824842315</v>
      </c>
      <c r="F718" s="359">
        <f t="shared" ref="F718:F781" si="727">AVERAGE(SUM(G718:J718)*(1+L718)/(D718-L718),G718*(1+L718)*(1-L718/D718)/(D718-L718))</f>
        <v>22409299.975449413</v>
      </c>
      <c r="G718" s="359">
        <f>'DRE + DCF'!$W$31</f>
        <v>2791623.3540418856</v>
      </c>
      <c r="H718" s="359">
        <f>'DRE + DCF'!$W$32</f>
        <v>81081.931703745853</v>
      </c>
      <c r="I718" s="359">
        <f>-H718*('DRE + DCF'!$V$33+K718)/'DRE + DCF'!$V$33</f>
        <v>-90858.801614444121</v>
      </c>
      <c r="J718" s="359">
        <f>-'DRE + DCF'!$V$56*L718</f>
        <v>-1188924.4255577971</v>
      </c>
      <c r="K718" s="360">
        <f>(1+L718)/(1+Ke!$O$12)-1</f>
        <v>2.0000000000000018E-2</v>
      </c>
      <c r="L718" s="360">
        <f>'DRE + DCF'!$Y$31</f>
        <v>7.3550000000000004E-2</v>
      </c>
      <c r="M718" s="361">
        <f>(1+D718)^((5-Dashboard!$F$9)*3/12)</f>
        <v>1.1065628282815347</v>
      </c>
      <c r="N718" s="361">
        <f t="shared" ref="N718:V718" si="728">M718*(1+$D718)</f>
        <v>1.2665164851096298</v>
      </c>
      <c r="O718" s="361">
        <f t="shared" si="728"/>
        <v>1.4495914430322259</v>
      </c>
      <c r="P718" s="361">
        <f t="shared" si="728"/>
        <v>1.659129886122533</v>
      </c>
      <c r="Q718" s="361">
        <f t="shared" si="728"/>
        <v>1.898957111161544</v>
      </c>
      <c r="R718" s="361">
        <f t="shared" si="728"/>
        <v>2.1734513615799438</v>
      </c>
      <c r="S718" s="361">
        <f t="shared" si="728"/>
        <v>2.487623755896323</v>
      </c>
      <c r="T718" s="361">
        <f t="shared" si="728"/>
        <v>2.8472097698111347</v>
      </c>
      <c r="U718" s="361">
        <f t="shared" si="728"/>
        <v>3.2587739420373323</v>
      </c>
      <c r="V718" s="362">
        <f t="shared" si="728"/>
        <v>3.7298297153588265</v>
      </c>
      <c r="X718" s="351"/>
    </row>
    <row r="719" spans="3:24" ht="24.75" customHeight="1" x14ac:dyDescent="0.3">
      <c r="C719" s="353">
        <f>ABS(E719-Dashboard!$F$14)</f>
        <v>87.107481420286334</v>
      </c>
      <c r="D719" s="350">
        <f t="shared" ref="D719:D782" si="729">D718+0.0001</f>
        <v>0.14464999999999931</v>
      </c>
      <c r="E719" s="359" cm="1">
        <f t="array" ref="E719">1000*SUM('DRE + DCF'!$L$36/M719,'DRE + DCF'!$N$36:$V$36/N719:V719,F719/V719)/Dashboard!$F$11</f>
        <v>184.09748142028633</v>
      </c>
      <c r="F719" s="359">
        <f t="shared" si="727"/>
        <v>22385195.512853108</v>
      </c>
      <c r="G719" s="359">
        <f>'DRE + DCF'!$W$31</f>
        <v>2791623.3540418856</v>
      </c>
      <c r="H719" s="359">
        <f>'DRE + DCF'!$W$32</f>
        <v>81081.931703745853</v>
      </c>
      <c r="I719" s="359">
        <f>-H719*('DRE + DCF'!$V$33+K719)/'DRE + DCF'!$V$33</f>
        <v>-90858.801614444121</v>
      </c>
      <c r="J719" s="359">
        <f>-'DRE + DCF'!$V$56*L719</f>
        <v>-1188924.4255577971</v>
      </c>
      <c r="K719" s="360">
        <f>(1+L719)/(1+Ke!$O$12)-1</f>
        <v>2.0000000000000018E-2</v>
      </c>
      <c r="L719" s="360">
        <f>'DRE + DCF'!$Y$31</f>
        <v>7.3550000000000004E-2</v>
      </c>
      <c r="M719" s="361">
        <f>(1+D719)^((5-Dashboard!$F$9)*3/12)</f>
        <v>1.1066353382686647</v>
      </c>
      <c r="N719" s="361">
        <f t="shared" ref="N719:V719" si="730">M719*(1+$D719)</f>
        <v>1.2667101399492262</v>
      </c>
      <c r="O719" s="361">
        <f t="shared" si="730"/>
        <v>1.4499397616928809</v>
      </c>
      <c r="P719" s="361">
        <f t="shared" si="730"/>
        <v>1.6596735482217551</v>
      </c>
      <c r="Q719" s="361">
        <f t="shared" si="730"/>
        <v>1.8997453269720308</v>
      </c>
      <c r="R719" s="361">
        <f t="shared" si="730"/>
        <v>2.1745434885185335</v>
      </c>
      <c r="S719" s="361">
        <f t="shared" si="730"/>
        <v>2.489091204132738</v>
      </c>
      <c r="T719" s="361">
        <f t="shared" si="730"/>
        <v>2.8491382468105368</v>
      </c>
      <c r="U719" s="361">
        <f t="shared" si="730"/>
        <v>3.2612660942116789</v>
      </c>
      <c r="V719" s="362">
        <f t="shared" si="730"/>
        <v>3.7330082347393958</v>
      </c>
      <c r="X719" s="351"/>
    </row>
    <row r="720" spans="3:24" ht="24.75" customHeight="1" x14ac:dyDescent="0.3">
      <c r="C720" s="353">
        <f>ABS(E720-Dashboard!$F$14)</f>
        <v>86.86569511745644</v>
      </c>
      <c r="D720" s="350">
        <f t="shared" si="729"/>
        <v>0.1447499999999993</v>
      </c>
      <c r="E720" s="359" cm="1">
        <f t="array" ref="E720">1000*SUM('DRE + DCF'!$L$36/M720,'DRE + DCF'!$N$36:$V$36/N720:V720,F720/V720)/Dashboard!$F$11</f>
        <v>183.85569511745643</v>
      </c>
      <c r="F720" s="359">
        <f t="shared" si="727"/>
        <v>22361148.530574553</v>
      </c>
      <c r="G720" s="359">
        <f>'DRE + DCF'!$W$31</f>
        <v>2791623.3540418856</v>
      </c>
      <c r="H720" s="359">
        <f>'DRE + DCF'!$W$32</f>
        <v>81081.931703745853</v>
      </c>
      <c r="I720" s="359">
        <f>-H720*('DRE + DCF'!$V$33+K720)/'DRE + DCF'!$V$33</f>
        <v>-90858.801614444121</v>
      </c>
      <c r="J720" s="359">
        <f>-'DRE + DCF'!$V$56*L720</f>
        <v>-1188924.4255577971</v>
      </c>
      <c r="K720" s="360">
        <f>(1+L720)/(1+Ke!$O$12)-1</f>
        <v>2.0000000000000018E-2</v>
      </c>
      <c r="L720" s="360">
        <f>'DRE + DCF'!$Y$31</f>
        <v>7.3550000000000004E-2</v>
      </c>
      <c r="M720" s="361">
        <f>(1+D720)^((5-Dashboard!$F$9)*3/12)</f>
        <v>1.1067078466721401</v>
      </c>
      <c r="N720" s="361">
        <f t="shared" ref="N720:V720" si="731">M720*(1+$D720)</f>
        <v>1.2669038074779315</v>
      </c>
      <c r="O720" s="361">
        <f t="shared" si="731"/>
        <v>1.4502881336103612</v>
      </c>
      <c r="P720" s="361">
        <f t="shared" si="731"/>
        <v>1.6602173409504599</v>
      </c>
      <c r="Q720" s="361">
        <f t="shared" si="731"/>
        <v>1.9005338010530377</v>
      </c>
      <c r="R720" s="361">
        <f t="shared" si="731"/>
        <v>2.1756360687554634</v>
      </c>
      <c r="S720" s="361">
        <f t="shared" si="731"/>
        <v>2.4905593897078151</v>
      </c>
      <c r="T720" s="361">
        <f t="shared" si="731"/>
        <v>2.8510678613680196</v>
      </c>
      <c r="U720" s="361">
        <f t="shared" si="731"/>
        <v>3.2637599343010382</v>
      </c>
      <c r="V720" s="362">
        <f t="shared" si="731"/>
        <v>3.7361891847911108</v>
      </c>
      <c r="X720" s="351"/>
    </row>
    <row r="721" spans="3:24" ht="24.75" customHeight="1" x14ac:dyDescent="0.3">
      <c r="C721" s="353">
        <f>ABS(E721-Dashboard!$F$14)</f>
        <v>86.624487202130624</v>
      </c>
      <c r="D721" s="350">
        <f t="shared" si="729"/>
        <v>0.14484999999999928</v>
      </c>
      <c r="E721" s="359" cm="1">
        <f t="array" ref="E721">1000*SUM('DRE + DCF'!$L$36/M721,'DRE + DCF'!$N$36:$V$36/N721:V721,F721/V721)/Dashboard!$F$11</f>
        <v>183.61448720213062</v>
      </c>
      <c r="F721" s="359">
        <f t="shared" si="727"/>
        <v>22337158.80791641</v>
      </c>
      <c r="G721" s="359">
        <f>'DRE + DCF'!$W$31</f>
        <v>2791623.3540418856</v>
      </c>
      <c r="H721" s="359">
        <f>'DRE + DCF'!$W$32</f>
        <v>81081.931703745853</v>
      </c>
      <c r="I721" s="359">
        <f>-H721*('DRE + DCF'!$V$33+K721)/'DRE + DCF'!$V$33</f>
        <v>-90858.801614444121</v>
      </c>
      <c r="J721" s="359">
        <f>-'DRE + DCF'!$V$56*L721</f>
        <v>-1188924.4255577971</v>
      </c>
      <c r="K721" s="360">
        <f>(1+L721)/(1+Ke!$O$12)-1</f>
        <v>2.0000000000000018E-2</v>
      </c>
      <c r="L721" s="360">
        <f>'DRE + DCF'!$Y$31</f>
        <v>7.3550000000000004E-2</v>
      </c>
      <c r="M721" s="361">
        <f>(1+D721)^((5-Dashboard!$F$9)*3/12)</f>
        <v>1.1067803534921341</v>
      </c>
      <c r="N721" s="361">
        <f t="shared" ref="N721:V721" si="732">M721*(1+$D721)</f>
        <v>1.2670974876954688</v>
      </c>
      <c r="O721" s="361">
        <f t="shared" si="732"/>
        <v>1.4506365587881564</v>
      </c>
      <c r="P721" s="361">
        <f t="shared" si="732"/>
        <v>1.6607612643286198</v>
      </c>
      <c r="Q721" s="361">
        <f t="shared" si="732"/>
        <v>1.9013225334666191</v>
      </c>
      <c r="R721" s="361">
        <f t="shared" si="732"/>
        <v>2.1767291024392574</v>
      </c>
      <c r="S721" s="361">
        <f t="shared" si="732"/>
        <v>2.4920283129275824</v>
      </c>
      <c r="T721" s="361">
        <f t="shared" si="732"/>
        <v>2.8529986140551409</v>
      </c>
      <c r="U721" s="361">
        <f t="shared" si="732"/>
        <v>3.2662554633010261</v>
      </c>
      <c r="V721" s="362">
        <f t="shared" si="732"/>
        <v>3.7393725671601774</v>
      </c>
      <c r="X721" s="351"/>
    </row>
    <row r="722" spans="3:24" ht="24.75" customHeight="1" x14ac:dyDescent="0.3">
      <c r="C722" s="353">
        <f>ABS(E722-Dashboard!$F$14)</f>
        <v>86.383855547516461</v>
      </c>
      <c r="D722" s="350">
        <f t="shared" si="729"/>
        <v>0.14494999999999927</v>
      </c>
      <c r="E722" s="359" cm="1">
        <f t="array" ref="E722">1000*SUM('DRE + DCF'!$L$36/M722,'DRE + DCF'!$N$36:$V$36/N722:V722,F722/V722)/Dashboard!$F$11</f>
        <v>183.37385554751646</v>
      </c>
      <c r="F722" s="359">
        <f t="shared" si="727"/>
        <v>22313226.125359446</v>
      </c>
      <c r="G722" s="359">
        <f>'DRE + DCF'!$W$31</f>
        <v>2791623.3540418856</v>
      </c>
      <c r="H722" s="359">
        <f>'DRE + DCF'!$W$32</f>
        <v>81081.931703745853</v>
      </c>
      <c r="I722" s="359">
        <f>-H722*('DRE + DCF'!$V$33+K722)/'DRE + DCF'!$V$33</f>
        <v>-90858.801614444121</v>
      </c>
      <c r="J722" s="359">
        <f>-'DRE + DCF'!$V$56*L722</f>
        <v>-1188924.4255577971</v>
      </c>
      <c r="K722" s="360">
        <f>(1+L722)/(1+Ke!$O$12)-1</f>
        <v>2.0000000000000018E-2</v>
      </c>
      <c r="L722" s="360">
        <f>'DRE + DCF'!$Y$31</f>
        <v>7.3550000000000004E-2</v>
      </c>
      <c r="M722" s="361">
        <f>(1+D722)^((5-Dashboard!$F$9)*3/12)</f>
        <v>1.1068528587288198</v>
      </c>
      <c r="N722" s="361">
        <f t="shared" ref="N722:V722" si="733">M722*(1+$D722)</f>
        <v>1.2672911806015614</v>
      </c>
      <c r="O722" s="361">
        <f t="shared" si="733"/>
        <v>1.4509850372297568</v>
      </c>
      <c r="P722" s="361">
        <f t="shared" si="733"/>
        <v>1.661305318376209</v>
      </c>
      <c r="Q722" s="361">
        <f t="shared" si="733"/>
        <v>1.9021115242748392</v>
      </c>
      <c r="R722" s="361">
        <f t="shared" si="733"/>
        <v>2.1778225897184758</v>
      </c>
      <c r="S722" s="361">
        <f t="shared" si="733"/>
        <v>2.4934979740981671</v>
      </c>
      <c r="T722" s="361">
        <f t="shared" si="733"/>
        <v>2.8549305054436944</v>
      </c>
      <c r="U722" s="361">
        <f t="shared" si="733"/>
        <v>3.2687526822077557</v>
      </c>
      <c r="V722" s="362">
        <f t="shared" si="733"/>
        <v>3.7425583834937672</v>
      </c>
      <c r="X722" s="351"/>
    </row>
    <row r="723" spans="3:24" ht="24.75" customHeight="1" x14ac:dyDescent="0.3">
      <c r="C723" s="353">
        <f>ABS(E723-Dashboard!$F$14)</f>
        <v>86.143798037758486</v>
      </c>
      <c r="D723" s="350">
        <f t="shared" si="729"/>
        <v>0.14504999999999926</v>
      </c>
      <c r="E723" s="359" cm="1">
        <f t="array" ref="E723">1000*SUM('DRE + DCF'!$L$36/M723,'DRE + DCF'!$N$36:$V$36/N723:V723,F723/V723)/Dashboard!$F$11</f>
        <v>183.13379803775848</v>
      </c>
      <c r="F723" s="359">
        <f t="shared" si="727"/>
        <v>22289350.264554493</v>
      </c>
      <c r="G723" s="359">
        <f>'DRE + DCF'!$W$31</f>
        <v>2791623.3540418856</v>
      </c>
      <c r="H723" s="359">
        <f>'DRE + DCF'!$W$32</f>
        <v>81081.931703745853</v>
      </c>
      <c r="I723" s="359">
        <f>-H723*('DRE + DCF'!$V$33+K723)/'DRE + DCF'!$V$33</f>
        <v>-90858.801614444121</v>
      </c>
      <c r="J723" s="359">
        <f>-'DRE + DCF'!$V$56*L723</f>
        <v>-1188924.4255577971</v>
      </c>
      <c r="K723" s="360">
        <f>(1+L723)/(1+Ke!$O$12)-1</f>
        <v>2.0000000000000018E-2</v>
      </c>
      <c r="L723" s="360">
        <f>'DRE + DCF'!$Y$31</f>
        <v>7.3550000000000004E-2</v>
      </c>
      <c r="M723" s="361">
        <f>(1+D723)^((5-Dashboard!$F$9)*3/12)</f>
        <v>1.1069253623823698</v>
      </c>
      <c r="N723" s="361">
        <f t="shared" ref="N723:V723" si="734">M723*(1+$D723)</f>
        <v>1.2674848861959318</v>
      </c>
      <c r="O723" s="361">
        <f t="shared" si="734"/>
        <v>1.4513335689386508</v>
      </c>
      <c r="P723" s="361">
        <f t="shared" si="734"/>
        <v>1.661849503113201</v>
      </c>
      <c r="Q723" s="361">
        <f t="shared" si="734"/>
        <v>1.9029007735397696</v>
      </c>
      <c r="R723" s="361">
        <f t="shared" si="734"/>
        <v>2.1789165307417115</v>
      </c>
      <c r="S723" s="361">
        <f t="shared" si="734"/>
        <v>2.4949683735257953</v>
      </c>
      <c r="T723" s="361">
        <f t="shared" si="734"/>
        <v>2.8568635361057098</v>
      </c>
      <c r="U723" s="361">
        <f t="shared" si="734"/>
        <v>3.2712515920178409</v>
      </c>
      <c r="V723" s="362">
        <f t="shared" si="734"/>
        <v>3.7457466354400264</v>
      </c>
      <c r="X723" s="351"/>
    </row>
    <row r="724" spans="3:24" ht="24.75" customHeight="1" x14ac:dyDescent="0.3">
      <c r="C724" s="353">
        <f>ABS(E724-Dashboard!$F$14)</f>
        <v>85.904312567865347</v>
      </c>
      <c r="D724" s="350">
        <f t="shared" si="729"/>
        <v>0.14514999999999925</v>
      </c>
      <c r="E724" s="359" cm="1">
        <f t="array" ref="E724">1000*SUM('DRE + DCF'!$L$36/M724,'DRE + DCF'!$N$36:$V$36/N724:V724,F724/V724)/Dashboard!$F$11</f>
        <v>182.89431256786534</v>
      </c>
      <c r="F724" s="359">
        <f t="shared" si="727"/>
        <v>22265531.008314475</v>
      </c>
      <c r="G724" s="359">
        <f>'DRE + DCF'!$W$31</f>
        <v>2791623.3540418856</v>
      </c>
      <c r="H724" s="359">
        <f>'DRE + DCF'!$W$32</f>
        <v>81081.931703745853</v>
      </c>
      <c r="I724" s="359">
        <f>-H724*('DRE + DCF'!$V$33+K724)/'DRE + DCF'!$V$33</f>
        <v>-90858.801614444121</v>
      </c>
      <c r="J724" s="359">
        <f>-'DRE + DCF'!$V$56*L724</f>
        <v>-1188924.4255577971</v>
      </c>
      <c r="K724" s="360">
        <f>(1+L724)/(1+Ke!$O$12)-1</f>
        <v>2.0000000000000018E-2</v>
      </c>
      <c r="L724" s="360">
        <f>'DRE + DCF'!$Y$31</f>
        <v>7.3550000000000004E-2</v>
      </c>
      <c r="M724" s="361">
        <f>(1+D724)^((5-Dashboard!$F$9)*3/12)</f>
        <v>1.106997864452957</v>
      </c>
      <c r="N724" s="361">
        <f t="shared" ref="N724:V724" si="735">M724*(1+$D724)</f>
        <v>1.2676786044783028</v>
      </c>
      <c r="O724" s="361">
        <f t="shared" si="735"/>
        <v>1.4516821539183276</v>
      </c>
      <c r="P724" s="361">
        <f t="shared" si="735"/>
        <v>1.6623938185595717</v>
      </c>
      <c r="Q724" s="361">
        <f t="shared" si="735"/>
        <v>1.9036902813234922</v>
      </c>
      <c r="R724" s="361">
        <f t="shared" si="735"/>
        <v>2.1800109256575957</v>
      </c>
      <c r="S724" s="361">
        <f t="shared" si="735"/>
        <v>2.4964395115167939</v>
      </c>
      <c r="T724" s="361">
        <f t="shared" si="735"/>
        <v>2.8587977066134544</v>
      </c>
      <c r="U724" s="361">
        <f t="shared" si="735"/>
        <v>3.2737521937283951</v>
      </c>
      <c r="V724" s="362">
        <f t="shared" si="735"/>
        <v>3.7489373246480691</v>
      </c>
      <c r="X724" s="351"/>
    </row>
    <row r="725" spans="3:24" ht="24.75" customHeight="1" x14ac:dyDescent="0.3">
      <c r="C725" s="353">
        <f>ABS(E725-Dashboard!$F$14)</f>
        <v>85.665397043637128</v>
      </c>
      <c r="D725" s="350">
        <f t="shared" si="729"/>
        <v>0.14524999999999924</v>
      </c>
      <c r="E725" s="359" cm="1">
        <f t="array" ref="E725">1000*SUM('DRE + DCF'!$L$36/M725,'DRE + DCF'!$N$36:$V$36/N725:V725,F725/V725)/Dashboard!$F$11</f>
        <v>182.65539704363712</v>
      </c>
      <c r="F725" s="359">
        <f t="shared" si="727"/>
        <v>22241768.1406065</v>
      </c>
      <c r="G725" s="359">
        <f>'DRE + DCF'!$W$31</f>
        <v>2791623.3540418856</v>
      </c>
      <c r="H725" s="359">
        <f>'DRE + DCF'!$W$32</f>
        <v>81081.931703745853</v>
      </c>
      <c r="I725" s="359">
        <f>-H725*('DRE + DCF'!$V$33+K725)/'DRE + DCF'!$V$33</f>
        <v>-90858.801614444121</v>
      </c>
      <c r="J725" s="359">
        <f>-'DRE + DCF'!$V$56*L725</f>
        <v>-1188924.4255577971</v>
      </c>
      <c r="K725" s="360">
        <f>(1+L725)/(1+Ke!$O$12)-1</f>
        <v>2.0000000000000018E-2</v>
      </c>
      <c r="L725" s="360">
        <f>'DRE + DCF'!$Y$31</f>
        <v>7.3550000000000004E-2</v>
      </c>
      <c r="M725" s="361">
        <f>(1+D725)^((5-Dashboard!$F$9)*3/12)</f>
        <v>1.1070703649407541</v>
      </c>
      <c r="N725" s="361">
        <f t="shared" ref="N725:V725" si="736">M725*(1+$D725)</f>
        <v>1.2678723354483976</v>
      </c>
      <c r="O725" s="361">
        <f t="shared" si="736"/>
        <v>1.4520307921722764</v>
      </c>
      <c r="P725" s="361">
        <f t="shared" si="736"/>
        <v>1.6629382647352984</v>
      </c>
      <c r="Q725" s="361">
        <f t="shared" si="736"/>
        <v>1.9044800476880992</v>
      </c>
      <c r="R725" s="361">
        <f t="shared" si="736"/>
        <v>2.1811057746147942</v>
      </c>
      <c r="S725" s="361">
        <f t="shared" si="736"/>
        <v>2.4979113883775912</v>
      </c>
      <c r="T725" s="361">
        <f t="shared" si="736"/>
        <v>2.8607330175394345</v>
      </c>
      <c r="U725" s="361">
        <f t="shared" si="736"/>
        <v>3.276254488337035</v>
      </c>
      <c r="V725" s="362">
        <f t="shared" si="736"/>
        <v>3.7521304527679868</v>
      </c>
      <c r="X725" s="351"/>
    </row>
    <row r="726" spans="3:24" ht="24.75" customHeight="1" x14ac:dyDescent="0.3">
      <c r="C726" s="353">
        <f>ABS(E726-Dashboard!$F$14)</f>
        <v>85.427049381594216</v>
      </c>
      <c r="D726" s="350">
        <f t="shared" si="729"/>
        <v>0.14534999999999923</v>
      </c>
      <c r="E726" s="359" cm="1">
        <f t="array" ref="E726">1000*SUM('DRE + DCF'!$L$36/M726,'DRE + DCF'!$N$36:$V$36/N726:V726,F726/V726)/Dashboard!$F$11</f>
        <v>182.41704938159421</v>
      </c>
      <c r="F726" s="359">
        <f t="shared" si="727"/>
        <v>22218061.446544033</v>
      </c>
      <c r="G726" s="359">
        <f>'DRE + DCF'!$W$31</f>
        <v>2791623.3540418856</v>
      </c>
      <c r="H726" s="359">
        <f>'DRE + DCF'!$W$32</f>
        <v>81081.931703745853</v>
      </c>
      <c r="I726" s="359">
        <f>-H726*('DRE + DCF'!$V$33+K726)/'DRE + DCF'!$V$33</f>
        <v>-90858.801614444121</v>
      </c>
      <c r="J726" s="359">
        <f>-'DRE + DCF'!$V$56*L726</f>
        <v>-1188924.4255577971</v>
      </c>
      <c r="K726" s="360">
        <f>(1+L726)/(1+Ke!$O$12)-1</f>
        <v>2.0000000000000018E-2</v>
      </c>
      <c r="L726" s="360">
        <f>'DRE + DCF'!$Y$31</f>
        <v>7.3550000000000004E-2</v>
      </c>
      <c r="M726" s="361">
        <f>(1+D726)^((5-Dashboard!$F$9)*3/12)</f>
        <v>1.107142863845934</v>
      </c>
      <c r="N726" s="361">
        <f t="shared" ref="N726:V726" si="737">M726*(1+$D726)</f>
        <v>1.2680660791059395</v>
      </c>
      <c r="O726" s="361">
        <f t="shared" si="737"/>
        <v>1.4523794837039867</v>
      </c>
      <c r="P726" s="361">
        <f t="shared" si="737"/>
        <v>1.66348284166036</v>
      </c>
      <c r="Q726" s="361">
        <f t="shared" si="737"/>
        <v>1.9052700726956919</v>
      </c>
      <c r="R726" s="361">
        <f t="shared" si="737"/>
        <v>2.1822010777620093</v>
      </c>
      <c r="S726" s="361">
        <f t="shared" si="737"/>
        <v>2.4993840044147158</v>
      </c>
      <c r="T726" s="361">
        <f t="shared" si="737"/>
        <v>2.8626694694563928</v>
      </c>
      <c r="U726" s="361">
        <f t="shared" si="737"/>
        <v>3.2787584768418774</v>
      </c>
      <c r="V726" s="362">
        <f t="shared" si="737"/>
        <v>3.7553260214508417</v>
      </c>
      <c r="X726" s="351"/>
    </row>
    <row r="727" spans="3:24" ht="24.75" customHeight="1" x14ac:dyDescent="0.3">
      <c r="C727" s="353">
        <f>ABS(E727-Dashboard!$F$14)</f>
        <v>85.189267508905616</v>
      </c>
      <c r="D727" s="350">
        <f t="shared" si="729"/>
        <v>0.14544999999999922</v>
      </c>
      <c r="E727" s="359" cm="1">
        <f t="array" ref="E727">1000*SUM('DRE + DCF'!$L$36/M727,'DRE + DCF'!$N$36:$V$36/N727:V727,F727/V727)/Dashboard!$F$11</f>
        <v>182.17926750890561</v>
      </c>
      <c r="F727" s="359">
        <f t="shared" si="727"/>
        <v>22194410.71237909</v>
      </c>
      <c r="G727" s="359">
        <f>'DRE + DCF'!$W$31</f>
        <v>2791623.3540418856</v>
      </c>
      <c r="H727" s="359">
        <f>'DRE + DCF'!$W$32</f>
        <v>81081.931703745853</v>
      </c>
      <c r="I727" s="359">
        <f>-H727*('DRE + DCF'!$V$33+K727)/'DRE + DCF'!$V$33</f>
        <v>-90858.801614444121</v>
      </c>
      <c r="J727" s="359">
        <f>-'DRE + DCF'!$V$56*L727</f>
        <v>-1188924.4255577971</v>
      </c>
      <c r="K727" s="360">
        <f>(1+L727)/(1+Ke!$O$12)-1</f>
        <v>2.0000000000000018E-2</v>
      </c>
      <c r="L727" s="360">
        <f>'DRE + DCF'!$Y$31</f>
        <v>7.3550000000000004E-2</v>
      </c>
      <c r="M727" s="361">
        <f>(1+D727)^((5-Dashboard!$F$9)*3/12)</f>
        <v>1.1072153611686695</v>
      </c>
      <c r="N727" s="361">
        <f t="shared" ref="N727:V727" si="738">M727*(1+$D727)</f>
        <v>1.2682598354506516</v>
      </c>
      <c r="O727" s="361">
        <f t="shared" si="738"/>
        <v>1.4527282285169478</v>
      </c>
      <c r="P727" s="361">
        <f t="shared" si="738"/>
        <v>1.6640275493547367</v>
      </c>
      <c r="Q727" s="361">
        <f t="shared" si="738"/>
        <v>1.9060603564083818</v>
      </c>
      <c r="R727" s="361">
        <f t="shared" si="738"/>
        <v>2.1832968352479796</v>
      </c>
      <c r="S727" s="361">
        <f t="shared" si="738"/>
        <v>2.5008573599347965</v>
      </c>
      <c r="T727" s="361">
        <f t="shared" si="738"/>
        <v>2.8646070629373108</v>
      </c>
      <c r="U727" s="361">
        <f t="shared" si="738"/>
        <v>3.2812641602415402</v>
      </c>
      <c r="V727" s="362">
        <f t="shared" si="738"/>
        <v>3.7585240323486695</v>
      </c>
      <c r="X727" s="351"/>
    </row>
    <row r="728" spans="3:24" ht="24.75" customHeight="1" x14ac:dyDescent="0.3">
      <c r="C728" s="353">
        <f>ABS(E728-Dashboard!$F$14)</f>
        <v>84.95204936331892</v>
      </c>
      <c r="D728" s="350">
        <f t="shared" si="729"/>
        <v>0.14554999999999921</v>
      </c>
      <c r="E728" s="359" cm="1">
        <f t="array" ref="E728">1000*SUM('DRE + DCF'!$L$36/M728,'DRE + DCF'!$N$36:$V$36/N728:V728,F728/V728)/Dashboard!$F$11</f>
        <v>181.94204936331892</v>
      </c>
      <c r="F728" s="359">
        <f t="shared" si="727"/>
        <v>22170815.725494571</v>
      </c>
      <c r="G728" s="359">
        <f>'DRE + DCF'!$W$31</f>
        <v>2791623.3540418856</v>
      </c>
      <c r="H728" s="359">
        <f>'DRE + DCF'!$W$32</f>
        <v>81081.931703745853</v>
      </c>
      <c r="I728" s="359">
        <f>-H728*('DRE + DCF'!$V$33+K728)/'DRE + DCF'!$V$33</f>
        <v>-90858.801614444121</v>
      </c>
      <c r="J728" s="359">
        <f>-'DRE + DCF'!$V$56*L728</f>
        <v>-1188924.4255577971</v>
      </c>
      <c r="K728" s="360">
        <f>(1+L728)/(1+Ke!$O$12)-1</f>
        <v>2.0000000000000018E-2</v>
      </c>
      <c r="L728" s="360">
        <f>'DRE + DCF'!$Y$31</f>
        <v>7.3550000000000004E-2</v>
      </c>
      <c r="M728" s="361">
        <f>(1+D728)^((5-Dashboard!$F$9)*3/12)</f>
        <v>1.1072878569091329</v>
      </c>
      <c r="N728" s="361">
        <f t="shared" ref="N728:V728" si="739">M728*(1+$D728)</f>
        <v>1.2684536044822563</v>
      </c>
      <c r="O728" s="361">
        <f t="shared" si="739"/>
        <v>1.4530770266146478</v>
      </c>
      <c r="P728" s="361">
        <f t="shared" si="739"/>
        <v>1.6645723878384087</v>
      </c>
      <c r="Q728" s="361">
        <f t="shared" si="739"/>
        <v>1.9068508988882877</v>
      </c>
      <c r="R728" s="361">
        <f t="shared" si="739"/>
        <v>2.1843930472214765</v>
      </c>
      <c r="S728" s="361">
        <f t="shared" si="739"/>
        <v>2.5023314552445606</v>
      </c>
      <c r="T728" s="361">
        <f t="shared" si="739"/>
        <v>2.8665457985554044</v>
      </c>
      <c r="U728" s="361">
        <f t="shared" si="739"/>
        <v>3.2837715395351412</v>
      </c>
      <c r="V728" s="362">
        <f t="shared" si="739"/>
        <v>3.7617244871144782</v>
      </c>
      <c r="X728" s="351"/>
    </row>
    <row r="729" spans="3:24" ht="24.75" customHeight="1" x14ac:dyDescent="0.3">
      <c r="C729" s="353">
        <f>ABS(E729-Dashboard!$F$14)</f>
        <v>84.715392893089856</v>
      </c>
      <c r="D729" s="350">
        <f t="shared" si="729"/>
        <v>0.1456499999999992</v>
      </c>
      <c r="E729" s="359" cm="1">
        <f t="array" ref="E729">1000*SUM('DRE + DCF'!$L$36/M729,'DRE + DCF'!$N$36:$V$36/N729:V729,F729/V729)/Dashboard!$F$11</f>
        <v>181.70539289308985</v>
      </c>
      <c r="F729" s="359">
        <f t="shared" si="727"/>
        <v>22147276.274396576</v>
      </c>
      <c r="G729" s="359">
        <f>'DRE + DCF'!$W$31</f>
        <v>2791623.3540418856</v>
      </c>
      <c r="H729" s="359">
        <f>'DRE + DCF'!$W$32</f>
        <v>81081.931703745853</v>
      </c>
      <c r="I729" s="359">
        <f>-H729*('DRE + DCF'!$V$33+K729)/'DRE + DCF'!$V$33</f>
        <v>-90858.801614444121</v>
      </c>
      <c r="J729" s="359">
        <f>-'DRE + DCF'!$V$56*L729</f>
        <v>-1188924.4255577971</v>
      </c>
      <c r="K729" s="360">
        <f>(1+L729)/(1+Ke!$O$12)-1</f>
        <v>2.0000000000000018E-2</v>
      </c>
      <c r="L729" s="360">
        <f>'DRE + DCF'!$Y$31</f>
        <v>7.3550000000000004E-2</v>
      </c>
      <c r="M729" s="361">
        <f>(1+D729)^((5-Dashboard!$F$9)*3/12)</f>
        <v>1.1073603510674974</v>
      </c>
      <c r="N729" s="361">
        <f t="shared" ref="N729:V729" si="740">M729*(1+$D729)</f>
        <v>1.2686473862004775</v>
      </c>
      <c r="O729" s="361">
        <f t="shared" si="740"/>
        <v>1.453425878000576</v>
      </c>
      <c r="P729" s="361">
        <f t="shared" si="740"/>
        <v>1.6651173571313587</v>
      </c>
      <c r="Q729" s="361">
        <f t="shared" si="740"/>
        <v>1.9076417001975396</v>
      </c>
      <c r="R729" s="361">
        <f t="shared" si="740"/>
        <v>2.1854897138313096</v>
      </c>
      <c r="S729" s="361">
        <f t="shared" si="740"/>
        <v>2.503806290650838</v>
      </c>
      <c r="T729" s="361">
        <f t="shared" si="740"/>
        <v>2.8684856768841307</v>
      </c>
      <c r="U729" s="361">
        <f t="shared" si="740"/>
        <v>3.2862806157223021</v>
      </c>
      <c r="V729" s="362">
        <f t="shared" si="740"/>
        <v>3.7649273874022526</v>
      </c>
      <c r="X729" s="351"/>
    </row>
    <row r="730" spans="3:24" ht="24.75" customHeight="1" x14ac:dyDescent="0.3">
      <c r="C730" s="353">
        <f>ABS(E730-Dashboard!$F$14)</f>
        <v>84.479296056913157</v>
      </c>
      <c r="D730" s="350">
        <f t="shared" si="729"/>
        <v>0.14574999999999919</v>
      </c>
      <c r="E730" s="359" cm="1">
        <f t="array" ref="E730">1000*SUM('DRE + DCF'!$L$36/M730,'DRE + DCF'!$N$36:$V$36/N730:V730,F730/V730)/Dashboard!$F$11</f>
        <v>181.46929605691315</v>
      </c>
      <c r="F730" s="359">
        <f t="shared" si="727"/>
        <v>22123792.148706831</v>
      </c>
      <c r="G730" s="359">
        <f>'DRE + DCF'!$W$31</f>
        <v>2791623.3540418856</v>
      </c>
      <c r="H730" s="359">
        <f>'DRE + DCF'!$W$32</f>
        <v>81081.931703745853</v>
      </c>
      <c r="I730" s="359">
        <f>-H730*('DRE + DCF'!$V$33+K730)/'DRE + DCF'!$V$33</f>
        <v>-90858.801614444121</v>
      </c>
      <c r="J730" s="359">
        <f>-'DRE + DCF'!$V$56*L730</f>
        <v>-1188924.4255577971</v>
      </c>
      <c r="K730" s="360">
        <f>(1+L730)/(1+Ke!$O$12)-1</f>
        <v>2.0000000000000018E-2</v>
      </c>
      <c r="L730" s="360">
        <f>'DRE + DCF'!$Y$31</f>
        <v>7.3550000000000004E-2</v>
      </c>
      <c r="M730" s="361">
        <f>(1+D730)^((5-Dashboard!$F$9)*3/12)</f>
        <v>1.1074328436439351</v>
      </c>
      <c r="N730" s="361">
        <f t="shared" ref="N730:V730" si="741">M730*(1+$D730)</f>
        <v>1.2688411806050377</v>
      </c>
      <c r="O730" s="361">
        <f t="shared" si="741"/>
        <v>1.4537747826782208</v>
      </c>
      <c r="P730" s="361">
        <f t="shared" si="741"/>
        <v>1.6656624572535703</v>
      </c>
      <c r="Q730" s="361">
        <f t="shared" si="741"/>
        <v>1.9084327603982767</v>
      </c>
      <c r="R730" s="361">
        <f t="shared" si="741"/>
        <v>2.1865868352263238</v>
      </c>
      <c r="S730" s="361">
        <f t="shared" si="741"/>
        <v>2.5052818664605585</v>
      </c>
      <c r="T730" s="361">
        <f t="shared" si="741"/>
        <v>2.8704266984971829</v>
      </c>
      <c r="U730" s="361">
        <f t="shared" si="741"/>
        <v>3.2887913898031451</v>
      </c>
      <c r="V730" s="362">
        <f t="shared" si="741"/>
        <v>3.7681327348669509</v>
      </c>
      <c r="X730" s="351"/>
    </row>
    <row r="731" spans="3:24" ht="24.75" customHeight="1" x14ac:dyDescent="0.3">
      <c r="C731" s="353">
        <f>ABS(E731-Dashboard!$F$14)</f>
        <v>84.243756823853644</v>
      </c>
      <c r="D731" s="350">
        <f t="shared" si="729"/>
        <v>0.14584999999999917</v>
      </c>
      <c r="E731" s="359" cm="1">
        <f t="array" ref="E731">1000*SUM('DRE + DCF'!$L$36/M731,'DRE + DCF'!$N$36:$V$36/N731:V731,F731/V731)/Dashboard!$F$11</f>
        <v>181.23375682385364</v>
      </c>
      <c r="F731" s="359">
        <f t="shared" si="727"/>
        <v>22100363.139155164</v>
      </c>
      <c r="G731" s="359">
        <f>'DRE + DCF'!$W$31</f>
        <v>2791623.3540418856</v>
      </c>
      <c r="H731" s="359">
        <f>'DRE + DCF'!$W$32</f>
        <v>81081.931703745853</v>
      </c>
      <c r="I731" s="359">
        <f>-H731*('DRE + DCF'!$V$33+K731)/'DRE + DCF'!$V$33</f>
        <v>-90858.801614444121</v>
      </c>
      <c r="J731" s="359">
        <f>-'DRE + DCF'!$V$56*L731</f>
        <v>-1188924.4255577971</v>
      </c>
      <c r="K731" s="360">
        <f>(1+L731)/(1+Ke!$O$12)-1</f>
        <v>2.0000000000000018E-2</v>
      </c>
      <c r="L731" s="360">
        <f>'DRE + DCF'!$Y$31</f>
        <v>7.3550000000000004E-2</v>
      </c>
      <c r="M731" s="361">
        <f>(1+D731)^((5-Dashboard!$F$9)*3/12)</f>
        <v>1.1075053346386188</v>
      </c>
      <c r="N731" s="361">
        <f t="shared" ref="N731:V731" si="742">M731*(1+$D731)</f>
        <v>1.2690349876956604</v>
      </c>
      <c r="O731" s="361">
        <f t="shared" si="742"/>
        <v>1.4541237406510714</v>
      </c>
      <c r="P731" s="361">
        <f t="shared" si="742"/>
        <v>1.666207688225029</v>
      </c>
      <c r="Q731" s="361">
        <f t="shared" si="742"/>
        <v>1.9092240795526481</v>
      </c>
      <c r="R731" s="361">
        <f t="shared" si="742"/>
        <v>2.1876844115553999</v>
      </c>
      <c r="S731" s="361">
        <f t="shared" si="742"/>
        <v>2.5067581829807533</v>
      </c>
      <c r="T731" s="361">
        <f t="shared" si="742"/>
        <v>2.8723688639684939</v>
      </c>
      <c r="U731" s="361">
        <f t="shared" si="742"/>
        <v>3.2913038627782965</v>
      </c>
      <c r="V731" s="362">
        <f t="shared" si="742"/>
        <v>3.7713405311645083</v>
      </c>
      <c r="X731" s="351"/>
    </row>
    <row r="732" spans="3:24" ht="24.75" customHeight="1" x14ac:dyDescent="0.3">
      <c r="C732" s="353">
        <f>ABS(E732-Dashboard!$F$14)</f>
        <v>84.00877317327793</v>
      </c>
      <c r="D732" s="350">
        <f t="shared" si="729"/>
        <v>0.14594999999999916</v>
      </c>
      <c r="E732" s="359" cm="1">
        <f t="array" ref="E732">1000*SUM('DRE + DCF'!$L$36/M732,'DRE + DCF'!$N$36:$V$36/N732:V732,F732/V732)/Dashboard!$F$11</f>
        <v>180.99877317327793</v>
      </c>
      <c r="F732" s="359">
        <f t="shared" si="727"/>
        <v>22076989.037572056</v>
      </c>
      <c r="G732" s="359">
        <f>'DRE + DCF'!$W$31</f>
        <v>2791623.3540418856</v>
      </c>
      <c r="H732" s="359">
        <f>'DRE + DCF'!$W$32</f>
        <v>81081.931703745853</v>
      </c>
      <c r="I732" s="359">
        <f>-H732*('DRE + DCF'!$V$33+K732)/'DRE + DCF'!$V$33</f>
        <v>-90858.801614444121</v>
      </c>
      <c r="J732" s="359">
        <f>-'DRE + DCF'!$V$56*L732</f>
        <v>-1188924.4255577971</v>
      </c>
      <c r="K732" s="360">
        <f>(1+L732)/(1+Ke!$O$12)-1</f>
        <v>2.0000000000000018E-2</v>
      </c>
      <c r="L732" s="360">
        <f>'DRE + DCF'!$Y$31</f>
        <v>7.3550000000000004E-2</v>
      </c>
      <c r="M732" s="361">
        <f>(1+D732)^((5-Dashboard!$F$9)*3/12)</f>
        <v>1.1075778240517211</v>
      </c>
      <c r="N732" s="361">
        <f t="shared" ref="N732:V732" si="743">M732*(1+$D732)</f>
        <v>1.2692288074720688</v>
      </c>
      <c r="O732" s="361">
        <f t="shared" si="743"/>
        <v>1.4544727519226162</v>
      </c>
      <c r="P732" s="361">
        <f t="shared" si="743"/>
        <v>1.6667530500657208</v>
      </c>
      <c r="Q732" s="361">
        <f t="shared" si="743"/>
        <v>1.9100156577228113</v>
      </c>
      <c r="R732" s="361">
        <f t="shared" si="743"/>
        <v>2.1887824429674541</v>
      </c>
      <c r="S732" s="361">
        <f t="shared" si="743"/>
        <v>2.5082352405185522</v>
      </c>
      <c r="T732" s="361">
        <f t="shared" si="743"/>
        <v>2.8743121738722328</v>
      </c>
      <c r="U732" s="361">
        <f t="shared" si="743"/>
        <v>3.2938180356488829</v>
      </c>
      <c r="V732" s="362">
        <f t="shared" si="743"/>
        <v>3.7745507779518346</v>
      </c>
      <c r="X732" s="351"/>
    </row>
    <row r="733" spans="3:24" ht="24.75" customHeight="1" x14ac:dyDescent="0.3">
      <c r="C733" s="353">
        <f>ABS(E733-Dashboard!$F$14)</f>
        <v>83.774343094786687</v>
      </c>
      <c r="D733" s="350">
        <f t="shared" si="729"/>
        <v>0.14604999999999915</v>
      </c>
      <c r="E733" s="359" cm="1">
        <f t="array" ref="E733">1000*SUM('DRE + DCF'!$L$36/M733,'DRE + DCF'!$N$36:$V$36/N733:V733,F733/V733)/Dashboard!$F$11</f>
        <v>180.76434309478668</v>
      </c>
      <c r="F733" s="359">
        <f t="shared" si="727"/>
        <v>22053669.636881214</v>
      </c>
      <c r="G733" s="359">
        <f>'DRE + DCF'!$W$31</f>
        <v>2791623.3540418856</v>
      </c>
      <c r="H733" s="359">
        <f>'DRE + DCF'!$W$32</f>
        <v>81081.931703745853</v>
      </c>
      <c r="I733" s="359">
        <f>-H733*('DRE + DCF'!$V$33+K733)/'DRE + DCF'!$V$33</f>
        <v>-90858.801614444121</v>
      </c>
      <c r="J733" s="359">
        <f>-'DRE + DCF'!$V$56*L733</f>
        <v>-1188924.4255577971</v>
      </c>
      <c r="K733" s="360">
        <f>(1+L733)/(1+Ke!$O$12)-1</f>
        <v>2.0000000000000018E-2</v>
      </c>
      <c r="L733" s="360">
        <f>'DRE + DCF'!$Y$31</f>
        <v>7.3550000000000004E-2</v>
      </c>
      <c r="M733" s="361">
        <f>(1+D733)^((5-Dashboard!$F$9)*3/12)</f>
        <v>1.1076503118834145</v>
      </c>
      <c r="N733" s="361">
        <f t="shared" ref="N733:V733" si="744">M733*(1+$D733)</f>
        <v>1.2694226399339861</v>
      </c>
      <c r="O733" s="361">
        <f t="shared" si="744"/>
        <v>1.4548218164963436</v>
      </c>
      <c r="P733" s="361">
        <f t="shared" si="744"/>
        <v>1.6672985427956333</v>
      </c>
      <c r="Q733" s="361">
        <f t="shared" si="744"/>
        <v>1.9108074949709342</v>
      </c>
      <c r="R733" s="361">
        <f t="shared" si="744"/>
        <v>2.1898809296114372</v>
      </c>
      <c r="S733" s="361">
        <f t="shared" si="744"/>
        <v>2.5097130393811855</v>
      </c>
      <c r="T733" s="361">
        <f t="shared" si="744"/>
        <v>2.8762566287828055</v>
      </c>
      <c r="U733" s="361">
        <f t="shared" si="744"/>
        <v>3.2963339094165316</v>
      </c>
      <c r="V733" s="362">
        <f t="shared" si="744"/>
        <v>3.7777634768868134</v>
      </c>
      <c r="X733" s="351"/>
    </row>
    <row r="734" spans="3:24" ht="24.75" customHeight="1" x14ac:dyDescent="0.3">
      <c r="C734" s="353">
        <f>ABS(E734-Dashboard!$F$14)</f>
        <v>83.540464588147287</v>
      </c>
      <c r="D734" s="350">
        <f t="shared" si="729"/>
        <v>0.14614999999999914</v>
      </c>
      <c r="E734" s="359" cm="1">
        <f t="array" ref="E734">1000*SUM('DRE + DCF'!$L$36/M734,'DRE + DCF'!$N$36:$V$36/N734:V734,F734/V734)/Dashboard!$F$11</f>
        <v>180.53046458814728</v>
      </c>
      <c r="F734" s="359">
        <f t="shared" si="727"/>
        <v>22030404.731092252</v>
      </c>
      <c r="G734" s="359">
        <f>'DRE + DCF'!$W$31</f>
        <v>2791623.3540418856</v>
      </c>
      <c r="H734" s="359">
        <f>'DRE + DCF'!$W$32</f>
        <v>81081.931703745853</v>
      </c>
      <c r="I734" s="359">
        <f>-H734*('DRE + DCF'!$V$33+K734)/'DRE + DCF'!$V$33</f>
        <v>-90858.801614444121</v>
      </c>
      <c r="J734" s="359">
        <f>-'DRE + DCF'!$V$56*L734</f>
        <v>-1188924.4255577971</v>
      </c>
      <c r="K734" s="360">
        <f>(1+L734)/(1+Ke!$O$12)-1</f>
        <v>2.0000000000000018E-2</v>
      </c>
      <c r="L734" s="360">
        <f>'DRE + DCF'!$Y$31</f>
        <v>7.3550000000000004E-2</v>
      </c>
      <c r="M734" s="361">
        <f>(1+D734)^((5-Dashboard!$F$9)*3/12)</f>
        <v>1.1077227981338715</v>
      </c>
      <c r="N734" s="361">
        <f t="shared" ref="N734:V734" si="745">M734*(1+$D734)</f>
        <v>1.2696164850811358</v>
      </c>
      <c r="O734" s="361">
        <f t="shared" si="745"/>
        <v>1.4551709343757426</v>
      </c>
      <c r="P734" s="361">
        <f t="shared" si="745"/>
        <v>1.6678441664347561</v>
      </c>
      <c r="Q734" s="361">
        <f t="shared" si="745"/>
        <v>1.9115995913591941</v>
      </c>
      <c r="R734" s="361">
        <f t="shared" si="745"/>
        <v>2.1909798716363387</v>
      </c>
      <c r="S734" s="361">
        <f t="shared" si="745"/>
        <v>2.5111915798759878</v>
      </c>
      <c r="T734" s="361">
        <f t="shared" si="745"/>
        <v>2.8782022292748612</v>
      </c>
      <c r="U734" s="361">
        <f t="shared" si="745"/>
        <v>3.2988514850833797</v>
      </c>
      <c r="V734" s="362">
        <f t="shared" si="745"/>
        <v>3.7809786296283128</v>
      </c>
      <c r="X734" s="351"/>
    </row>
    <row r="735" spans="3:24" ht="24.75" customHeight="1" x14ac:dyDescent="0.3">
      <c r="C735" s="353">
        <f>ABS(E735-Dashboard!$F$14)</f>
        <v>83.307135663227641</v>
      </c>
      <c r="D735" s="350">
        <f t="shared" si="729"/>
        <v>0.14624999999999913</v>
      </c>
      <c r="E735" s="359" cm="1">
        <f t="array" ref="E735">1000*SUM('DRE + DCF'!$L$36/M735,'DRE + DCF'!$N$36:$V$36/N735:V735,F735/V735)/Dashboard!$F$11</f>
        <v>180.29713566322764</v>
      </c>
      <c r="F735" s="359">
        <f t="shared" si="727"/>
        <v>22007194.115293406</v>
      </c>
      <c r="G735" s="359">
        <f>'DRE + DCF'!$W$31</f>
        <v>2791623.3540418856</v>
      </c>
      <c r="H735" s="359">
        <f>'DRE + DCF'!$W$32</f>
        <v>81081.931703745853</v>
      </c>
      <c r="I735" s="359">
        <f>-H735*('DRE + DCF'!$V$33+K735)/'DRE + DCF'!$V$33</f>
        <v>-90858.801614444121</v>
      </c>
      <c r="J735" s="359">
        <f>-'DRE + DCF'!$V$56*L735</f>
        <v>-1188924.4255577971</v>
      </c>
      <c r="K735" s="360">
        <f>(1+L735)/(1+Ke!$O$12)-1</f>
        <v>2.0000000000000018E-2</v>
      </c>
      <c r="L735" s="360">
        <f>'DRE + DCF'!$Y$31</f>
        <v>7.3550000000000004E-2</v>
      </c>
      <c r="M735" s="361">
        <f>(1+D735)^((5-Dashboard!$F$9)*3/12)</f>
        <v>1.1077952828032644</v>
      </c>
      <c r="N735" s="361">
        <f t="shared" ref="N735:V735" si="746">M735*(1+$D735)</f>
        <v>1.2698103429132408</v>
      </c>
      <c r="O735" s="361">
        <f t="shared" si="746"/>
        <v>1.4555201055643012</v>
      </c>
      <c r="P735" s="361">
        <f t="shared" si="746"/>
        <v>1.668389921003079</v>
      </c>
      <c r="Q735" s="361">
        <f t="shared" si="746"/>
        <v>1.9123919469497779</v>
      </c>
      <c r="R735" s="361">
        <f t="shared" si="746"/>
        <v>2.192079269191181</v>
      </c>
      <c r="S735" s="361">
        <f t="shared" si="746"/>
        <v>2.5126708623103893</v>
      </c>
      <c r="T735" s="361">
        <f t="shared" si="746"/>
        <v>2.8801489759232815</v>
      </c>
      <c r="U735" s="361">
        <f t="shared" si="746"/>
        <v>3.3013707636520588</v>
      </c>
      <c r="V735" s="362">
        <f t="shared" si="746"/>
        <v>3.7841962378361695</v>
      </c>
      <c r="X735" s="351"/>
    </row>
    <row r="736" spans="3:24" ht="24.75" customHeight="1" x14ac:dyDescent="0.3">
      <c r="C736" s="353">
        <f>ABS(E736-Dashboard!$F$14)</f>
        <v>83.074354339929457</v>
      </c>
      <c r="D736" s="350">
        <f t="shared" si="729"/>
        <v>0.14634999999999912</v>
      </c>
      <c r="E736" s="359" cm="1">
        <f t="array" ref="E736">1000*SUM('DRE + DCF'!$L$36/M736,'DRE + DCF'!$N$36:$V$36/N736:V736,F736/V736)/Dashboard!$F$11</f>
        <v>180.06435433992945</v>
      </c>
      <c r="F736" s="359">
        <f t="shared" si="727"/>
        <v>21984037.585644305</v>
      </c>
      <c r="G736" s="359">
        <f>'DRE + DCF'!$W$31</f>
        <v>2791623.3540418856</v>
      </c>
      <c r="H736" s="359">
        <f>'DRE + DCF'!$W$32</f>
        <v>81081.931703745853</v>
      </c>
      <c r="I736" s="359">
        <f>-H736*('DRE + DCF'!$V$33+K736)/'DRE + DCF'!$V$33</f>
        <v>-90858.801614444121</v>
      </c>
      <c r="J736" s="359">
        <f>-'DRE + DCF'!$V$56*L736</f>
        <v>-1188924.4255577971</v>
      </c>
      <c r="K736" s="360">
        <f>(1+L736)/(1+Ke!$O$12)-1</f>
        <v>2.0000000000000018E-2</v>
      </c>
      <c r="L736" s="360">
        <f>'DRE + DCF'!$Y$31</f>
        <v>7.3550000000000004E-2</v>
      </c>
      <c r="M736" s="361">
        <f>(1+D736)^((5-Dashboard!$F$9)*3/12)</f>
        <v>1.1078677658917657</v>
      </c>
      <c r="N736" s="361">
        <f t="shared" ref="N736:V736" si="747">M736*(1+$D736)</f>
        <v>1.2700042134300247</v>
      </c>
      <c r="O736" s="361">
        <f t="shared" si="747"/>
        <v>1.4558693300655077</v>
      </c>
      <c r="P736" s="361">
        <f t="shared" si="747"/>
        <v>1.6689358065205935</v>
      </c>
      <c r="Q736" s="361">
        <f t="shared" si="747"/>
        <v>1.9131845618048808</v>
      </c>
      <c r="R736" s="361">
        <f t="shared" si="747"/>
        <v>2.1931791224250232</v>
      </c>
      <c r="S736" s="361">
        <f t="shared" si="747"/>
        <v>2.5141508869919234</v>
      </c>
      <c r="T736" s="361">
        <f t="shared" si="747"/>
        <v>2.8820968693031892</v>
      </c>
      <c r="U736" s="361">
        <f t="shared" si="747"/>
        <v>3.3038917461257085</v>
      </c>
      <c r="V736" s="362">
        <f t="shared" si="747"/>
        <v>3.7874163031712027</v>
      </c>
      <c r="X736" s="351"/>
    </row>
    <row r="737" spans="3:24" ht="24.75" customHeight="1" x14ac:dyDescent="0.3">
      <c r="C737" s="353">
        <f>ABS(E737-Dashboard!$F$14)</f>
        <v>82.842118648123076</v>
      </c>
      <c r="D737" s="350">
        <f t="shared" si="729"/>
        <v>0.14644999999999911</v>
      </c>
      <c r="E737" s="359" cm="1">
        <f t="array" ref="E737">1000*SUM('DRE + DCF'!$L$36/M737,'DRE + DCF'!$N$36:$V$36/N737:V737,F737/V737)/Dashboard!$F$11</f>
        <v>179.83211864812307</v>
      </c>
      <c r="F737" s="359">
        <f t="shared" si="727"/>
        <v>21960934.939368822</v>
      </c>
      <c r="G737" s="359">
        <f>'DRE + DCF'!$W$31</f>
        <v>2791623.3540418856</v>
      </c>
      <c r="H737" s="359">
        <f>'DRE + DCF'!$W$32</f>
        <v>81081.931703745853</v>
      </c>
      <c r="I737" s="359">
        <f>-H737*('DRE + DCF'!$V$33+K737)/'DRE + DCF'!$V$33</f>
        <v>-90858.801614444121</v>
      </c>
      <c r="J737" s="359">
        <f>-'DRE + DCF'!$V$56*L737</f>
        <v>-1188924.4255577971</v>
      </c>
      <c r="K737" s="360">
        <f>(1+L737)/(1+Ke!$O$12)-1</f>
        <v>2.0000000000000018E-2</v>
      </c>
      <c r="L737" s="360">
        <f>'DRE + DCF'!$Y$31</f>
        <v>7.3550000000000004E-2</v>
      </c>
      <c r="M737" s="361">
        <f>(1+D737)^((5-Dashboard!$F$9)*3/12)</f>
        <v>1.1079402473995479</v>
      </c>
      <c r="N737" s="361">
        <f t="shared" ref="N737:V737" si="748">M737*(1+$D737)</f>
        <v>1.2701980966312107</v>
      </c>
      <c r="O737" s="361">
        <f t="shared" si="748"/>
        <v>1.4562186078828503</v>
      </c>
      <c r="P737" s="361">
        <f t="shared" si="748"/>
        <v>1.6694818230072923</v>
      </c>
      <c r="Q737" s="361">
        <f t="shared" si="748"/>
        <v>1.9139774359867088</v>
      </c>
      <c r="R737" s="361">
        <f t="shared" si="748"/>
        <v>2.1942794314869607</v>
      </c>
      <c r="S737" s="361">
        <f t="shared" si="748"/>
        <v>2.515631654228224</v>
      </c>
      <c r="T737" s="361">
        <f t="shared" si="748"/>
        <v>2.8840459099899451</v>
      </c>
      <c r="U737" s="361">
        <f t="shared" si="748"/>
        <v>3.3064144335079702</v>
      </c>
      <c r="V737" s="362">
        <f t="shared" si="748"/>
        <v>3.7906388272952092</v>
      </c>
      <c r="X737" s="351"/>
    </row>
    <row r="738" spans="3:24" ht="24.75" customHeight="1" x14ac:dyDescent="0.3">
      <c r="C738" s="353">
        <f>ABS(E738-Dashboard!$F$14)</f>
        <v>82.610426627582129</v>
      </c>
      <c r="D738" s="350">
        <f t="shared" si="729"/>
        <v>0.1465499999999991</v>
      </c>
      <c r="E738" s="359" cm="1">
        <f t="array" ref="E738">1000*SUM('DRE + DCF'!$L$36/M738,'DRE + DCF'!$N$36:$V$36/N738:V738,F738/V738)/Dashboard!$F$11</f>
        <v>179.60042662758212</v>
      </c>
      <c r="F738" s="359">
        <f t="shared" si="727"/>
        <v>21937885.974747948</v>
      </c>
      <c r="G738" s="359">
        <f>'DRE + DCF'!$W$31</f>
        <v>2791623.3540418856</v>
      </c>
      <c r="H738" s="359">
        <f>'DRE + DCF'!$W$32</f>
        <v>81081.931703745853</v>
      </c>
      <c r="I738" s="359">
        <f>-H738*('DRE + DCF'!$V$33+K738)/'DRE + DCF'!$V$33</f>
        <v>-90858.801614444121</v>
      </c>
      <c r="J738" s="359">
        <f>-'DRE + DCF'!$V$56*L738</f>
        <v>-1188924.4255577971</v>
      </c>
      <c r="K738" s="360">
        <f>(1+L738)/(1+Ke!$O$12)-1</f>
        <v>2.0000000000000018E-2</v>
      </c>
      <c r="L738" s="360">
        <f>'DRE + DCF'!$Y$31</f>
        <v>7.3550000000000004E-2</v>
      </c>
      <c r="M738" s="361">
        <f>(1+D738)^((5-Dashboard!$F$9)*3/12)</f>
        <v>1.1080127273267832</v>
      </c>
      <c r="N738" s="361">
        <f t="shared" ref="N738:V738" si="749">M738*(1+$D738)</f>
        <v>1.2703919925165224</v>
      </c>
      <c r="O738" s="361">
        <f t="shared" si="749"/>
        <v>1.4565679390198176</v>
      </c>
      <c r="P738" s="361">
        <f t="shared" si="749"/>
        <v>1.6700279704831706</v>
      </c>
      <c r="Q738" s="361">
        <f t="shared" si="749"/>
        <v>1.9147705695574777</v>
      </c>
      <c r="R738" s="361">
        <f t="shared" si="749"/>
        <v>2.1953801965261244</v>
      </c>
      <c r="S738" s="361">
        <f t="shared" si="749"/>
        <v>2.5171131643270259</v>
      </c>
      <c r="T738" s="361">
        <f t="shared" si="749"/>
        <v>2.8859960985591493</v>
      </c>
      <c r="U738" s="361">
        <f t="shared" si="749"/>
        <v>3.30893882680299</v>
      </c>
      <c r="V738" s="362">
        <f t="shared" si="749"/>
        <v>3.7938638118709651</v>
      </c>
      <c r="X738" s="351"/>
    </row>
    <row r="739" spans="3:24" ht="24.75" customHeight="1" x14ac:dyDescent="0.3">
      <c r="C739" s="353">
        <f>ABS(E739-Dashboard!$F$14)</f>
        <v>82.379276327919413</v>
      </c>
      <c r="D739" s="350">
        <f t="shared" si="729"/>
        <v>0.14664999999999909</v>
      </c>
      <c r="E739" s="359" cm="1">
        <f t="array" ref="E739">1000*SUM('DRE + DCF'!$L$36/M739,'DRE + DCF'!$N$36:$V$36/N739:V739,F739/V739)/Dashboard!$F$11</f>
        <v>179.36927632791941</v>
      </c>
      <c r="F739" s="359">
        <f t="shared" si="727"/>
        <v>21914890.491112776</v>
      </c>
      <c r="G739" s="359">
        <f>'DRE + DCF'!$W$31</f>
        <v>2791623.3540418856</v>
      </c>
      <c r="H739" s="359">
        <f>'DRE + DCF'!$W$32</f>
        <v>81081.931703745853</v>
      </c>
      <c r="I739" s="359">
        <f>-H739*('DRE + DCF'!$V$33+K739)/'DRE + DCF'!$V$33</f>
        <v>-90858.801614444121</v>
      </c>
      <c r="J739" s="359">
        <f>-'DRE + DCF'!$V$56*L739</f>
        <v>-1188924.4255577971</v>
      </c>
      <c r="K739" s="360">
        <f>(1+L739)/(1+Ke!$O$12)-1</f>
        <v>2.0000000000000018E-2</v>
      </c>
      <c r="L739" s="360">
        <f>'DRE + DCF'!$Y$31</f>
        <v>7.3550000000000004E-2</v>
      </c>
      <c r="M739" s="361">
        <f>(1+D739)^((5-Dashboard!$F$9)*3/12)</f>
        <v>1.1080852056736441</v>
      </c>
      <c r="N739" s="361">
        <f t="shared" ref="N739:V739" si="750">M739*(1+$D739)</f>
        <v>1.270585901085683</v>
      </c>
      <c r="O739" s="361">
        <f t="shared" si="750"/>
        <v>1.4569173234798973</v>
      </c>
      <c r="P739" s="361">
        <f t="shared" si="750"/>
        <v>1.6705742489682229</v>
      </c>
      <c r="Q739" s="361">
        <f t="shared" si="750"/>
        <v>1.9155639625794112</v>
      </c>
      <c r="R739" s="361">
        <f t="shared" si="750"/>
        <v>2.1964814176916803</v>
      </c>
      <c r="S739" s="361">
        <f t="shared" si="750"/>
        <v>2.5185954175961629</v>
      </c>
      <c r="T739" s="361">
        <f t="shared" si="750"/>
        <v>2.8879474355866379</v>
      </c>
      <c r="U739" s="361">
        <f t="shared" si="750"/>
        <v>3.3114649270154155</v>
      </c>
      <c r="V739" s="362">
        <f t="shared" si="750"/>
        <v>3.7970912585622232</v>
      </c>
      <c r="X739" s="351"/>
    </row>
    <row r="740" spans="3:24" ht="24.75" customHeight="1" x14ac:dyDescent="0.3">
      <c r="C740" s="353">
        <f>ABS(E740-Dashboard!$F$14)</f>
        <v>82.148665808522352</v>
      </c>
      <c r="D740" s="350">
        <f t="shared" si="729"/>
        <v>0.14674999999999908</v>
      </c>
      <c r="E740" s="359" cm="1">
        <f t="array" ref="E740">1000*SUM('DRE + DCF'!$L$36/M740,'DRE + DCF'!$N$36:$V$36/N740:V740,F740/V740)/Dashboard!$F$11</f>
        <v>179.13866580852235</v>
      </c>
      <c r="F740" s="359">
        <f t="shared" si="727"/>
        <v>21891948.288837478</v>
      </c>
      <c r="G740" s="359">
        <f>'DRE + DCF'!$W$31</f>
        <v>2791623.3540418856</v>
      </c>
      <c r="H740" s="359">
        <f>'DRE + DCF'!$W$32</f>
        <v>81081.931703745853</v>
      </c>
      <c r="I740" s="359">
        <f>-H740*('DRE + DCF'!$V$33+K740)/'DRE + DCF'!$V$33</f>
        <v>-90858.801614444121</v>
      </c>
      <c r="J740" s="359">
        <f>-'DRE + DCF'!$V$56*L740</f>
        <v>-1188924.4255577971</v>
      </c>
      <c r="K740" s="360">
        <f>(1+L740)/(1+Ke!$O$12)-1</f>
        <v>2.0000000000000018E-2</v>
      </c>
      <c r="L740" s="360">
        <f>'DRE + DCF'!$Y$31</f>
        <v>7.3550000000000004E-2</v>
      </c>
      <c r="M740" s="361">
        <f>(1+D740)^((5-Dashboard!$F$9)*3/12)</f>
        <v>1.1081576824403025</v>
      </c>
      <c r="N740" s="361">
        <f t="shared" ref="N740:V740" si="751">M740*(1+$D740)</f>
        <v>1.2707798223384159</v>
      </c>
      <c r="O740" s="361">
        <f t="shared" si="751"/>
        <v>1.4572667612665773</v>
      </c>
      <c r="P740" s="361">
        <f t="shared" si="751"/>
        <v>1.6711206584824461</v>
      </c>
      <c r="Q740" s="361">
        <f t="shared" si="751"/>
        <v>1.9163576151147435</v>
      </c>
      <c r="R740" s="361">
        <f t="shared" si="751"/>
        <v>2.1975830951328303</v>
      </c>
      <c r="S740" s="361">
        <f t="shared" si="751"/>
        <v>2.5200784143435713</v>
      </c>
      <c r="T740" s="361">
        <f t="shared" si="751"/>
        <v>2.889899921648488</v>
      </c>
      <c r="U740" s="361">
        <f t="shared" si="751"/>
        <v>3.3139927351504008</v>
      </c>
      <c r="V740" s="362">
        <f t="shared" si="751"/>
        <v>3.8003211690337189</v>
      </c>
      <c r="X740" s="351"/>
    </row>
    <row r="741" spans="3:24" ht="24.75" customHeight="1" x14ac:dyDescent="0.3">
      <c r="C741" s="353">
        <f>ABS(E741-Dashboard!$F$14)</f>
        <v>81.918593138489811</v>
      </c>
      <c r="D741" s="350">
        <f t="shared" si="729"/>
        <v>0.14684999999999906</v>
      </c>
      <c r="E741" s="359" cm="1">
        <f t="array" ref="E741">1000*SUM('DRE + DCF'!$L$36/M741,'DRE + DCF'!$N$36:$V$36/N741:V741,F741/V741)/Dashboard!$F$11</f>
        <v>178.90859313848981</v>
      </c>
      <c r="F741" s="359">
        <f t="shared" si="727"/>
        <v>21869059.169332407</v>
      </c>
      <c r="G741" s="359">
        <f>'DRE + DCF'!$W$31</f>
        <v>2791623.3540418856</v>
      </c>
      <c r="H741" s="359">
        <f>'DRE + DCF'!$W$32</f>
        <v>81081.931703745853</v>
      </c>
      <c r="I741" s="359">
        <f>-H741*('DRE + DCF'!$V$33+K741)/'DRE + DCF'!$V$33</f>
        <v>-90858.801614444121</v>
      </c>
      <c r="J741" s="359">
        <f>-'DRE + DCF'!$V$56*L741</f>
        <v>-1188924.4255577971</v>
      </c>
      <c r="K741" s="360">
        <f>(1+L741)/(1+Ke!$O$12)-1</f>
        <v>2.0000000000000018E-2</v>
      </c>
      <c r="L741" s="360">
        <f>'DRE + DCF'!$Y$31</f>
        <v>7.3550000000000004E-2</v>
      </c>
      <c r="M741" s="361">
        <f>(1+D741)^((5-Dashboard!$F$9)*3/12)</f>
        <v>1.1082301576269311</v>
      </c>
      <c r="N741" s="361">
        <f t="shared" ref="N741:V741" si="752">M741*(1+$D741)</f>
        <v>1.270973756274445</v>
      </c>
      <c r="O741" s="361">
        <f t="shared" si="752"/>
        <v>1.457616252383346</v>
      </c>
      <c r="P741" s="361">
        <f t="shared" si="752"/>
        <v>1.6716671990458389</v>
      </c>
      <c r="Q741" s="361">
        <f t="shared" si="752"/>
        <v>1.9171515272257187</v>
      </c>
      <c r="R741" s="361">
        <f t="shared" si="752"/>
        <v>2.1986852289988135</v>
      </c>
      <c r="S741" s="361">
        <f t="shared" si="752"/>
        <v>2.5215621548772873</v>
      </c>
      <c r="T741" s="361">
        <f t="shared" si="752"/>
        <v>2.8918535573210145</v>
      </c>
      <c r="U741" s="361">
        <f t="shared" si="752"/>
        <v>3.3165222522136029</v>
      </c>
      <c r="V741" s="362">
        <f t="shared" si="752"/>
        <v>3.8035535449511673</v>
      </c>
      <c r="X741" s="351"/>
    </row>
    <row r="742" spans="3:24" ht="24.75" customHeight="1" x14ac:dyDescent="0.3">
      <c r="C742" s="353">
        <f>ABS(E742-Dashboard!$F$14)</f>
        <v>81.689056396568944</v>
      </c>
      <c r="D742" s="350">
        <f t="shared" si="729"/>
        <v>0.14694999999999905</v>
      </c>
      <c r="E742" s="359" cm="1">
        <f t="array" ref="E742">1000*SUM('DRE + DCF'!$L$36/M742,'DRE + DCF'!$N$36:$V$36/N742:V742,F742/V742)/Dashboard!$F$11</f>
        <v>178.67905639656894</v>
      </c>
      <c r="F742" s="359">
        <f t="shared" si="727"/>
        <v>21846222.935037173</v>
      </c>
      <c r="G742" s="359">
        <f>'DRE + DCF'!$W$31</f>
        <v>2791623.3540418856</v>
      </c>
      <c r="H742" s="359">
        <f>'DRE + DCF'!$W$32</f>
        <v>81081.931703745853</v>
      </c>
      <c r="I742" s="359">
        <f>-H742*('DRE + DCF'!$V$33+K742)/'DRE + DCF'!$V$33</f>
        <v>-90858.801614444121</v>
      </c>
      <c r="J742" s="359">
        <f>-'DRE + DCF'!$V$56*L742</f>
        <v>-1188924.4255577971</v>
      </c>
      <c r="K742" s="360">
        <f>(1+L742)/(1+Ke!$O$12)-1</f>
        <v>2.0000000000000018E-2</v>
      </c>
      <c r="L742" s="360">
        <f>'DRE + DCF'!$Y$31</f>
        <v>7.3550000000000004E-2</v>
      </c>
      <c r="M742" s="361">
        <f>(1+D742)^((5-Dashboard!$F$9)*3/12)</f>
        <v>1.1083026312337017</v>
      </c>
      <c r="N742" s="361">
        <f t="shared" ref="N742:V742" si="753">M742*(1+$D742)</f>
        <v>1.2711677028934931</v>
      </c>
      <c r="O742" s="361">
        <f t="shared" si="753"/>
        <v>1.4579657968336908</v>
      </c>
      <c r="P742" s="361">
        <f t="shared" si="753"/>
        <v>1.6722138706784002</v>
      </c>
      <c r="Q742" s="361">
        <f t="shared" si="753"/>
        <v>1.9179456989745896</v>
      </c>
      <c r="R742" s="361">
        <f t="shared" si="753"/>
        <v>2.1997878194389036</v>
      </c>
      <c r="S742" s="361">
        <f t="shared" si="753"/>
        <v>2.5230466395054485</v>
      </c>
      <c r="T742" s="361">
        <f t="shared" si="753"/>
        <v>2.8938083431807717</v>
      </c>
      <c r="U742" s="361">
        <f t="shared" si="753"/>
        <v>3.3190534792111834</v>
      </c>
      <c r="V742" s="362">
        <f t="shared" si="753"/>
        <v>3.8067883879812636</v>
      </c>
      <c r="X742" s="351"/>
    </row>
    <row r="743" spans="3:24" ht="24.75" customHeight="1" x14ac:dyDescent="0.3">
      <c r="C743" s="353">
        <f>ABS(E743-Dashboard!$F$14)</f>
        <v>81.460053671092894</v>
      </c>
      <c r="D743" s="350">
        <f t="shared" si="729"/>
        <v>0.14704999999999904</v>
      </c>
      <c r="E743" s="359" cm="1">
        <f t="array" ref="E743">1000*SUM('DRE + DCF'!$L$36/M743,'DRE + DCF'!$N$36:$V$36/N743:V743,F743/V743)/Dashboard!$F$11</f>
        <v>178.45005367109289</v>
      </c>
      <c r="F743" s="359">
        <f t="shared" si="727"/>
        <v>21823439.389413863</v>
      </c>
      <c r="G743" s="359">
        <f>'DRE + DCF'!$W$31</f>
        <v>2791623.3540418856</v>
      </c>
      <c r="H743" s="359">
        <f>'DRE + DCF'!$W$32</f>
        <v>81081.931703745853</v>
      </c>
      <c r="I743" s="359">
        <f>-H743*('DRE + DCF'!$V$33+K743)/'DRE + DCF'!$V$33</f>
        <v>-90858.801614444121</v>
      </c>
      <c r="J743" s="359">
        <f>-'DRE + DCF'!$V$56*L743</f>
        <v>-1188924.4255577971</v>
      </c>
      <c r="K743" s="360">
        <f>(1+L743)/(1+Ke!$O$12)-1</f>
        <v>2.0000000000000018E-2</v>
      </c>
      <c r="L743" s="360">
        <f>'DRE + DCF'!$Y$31</f>
        <v>7.3550000000000004E-2</v>
      </c>
      <c r="M743" s="361">
        <f>(1+D743)^((5-Dashboard!$F$9)*3/12)</f>
        <v>1.1083751032607867</v>
      </c>
      <c r="N743" s="361">
        <f t="shared" ref="N743:V743" si="754">M743*(1+$D743)</f>
        <v>1.2713616621952843</v>
      </c>
      <c r="O743" s="361">
        <f t="shared" si="754"/>
        <v>1.4583153946210996</v>
      </c>
      <c r="P743" s="361">
        <f t="shared" si="754"/>
        <v>1.6727606734001308</v>
      </c>
      <c r="Q743" s="361">
        <f t="shared" si="754"/>
        <v>1.9187401304236185</v>
      </c>
      <c r="R743" s="361">
        <f t="shared" si="754"/>
        <v>2.2008908666024096</v>
      </c>
      <c r="S743" s="361">
        <f t="shared" si="754"/>
        <v>2.5245318685362919</v>
      </c>
      <c r="T743" s="361">
        <f t="shared" si="754"/>
        <v>2.8957642798045509</v>
      </c>
      <c r="U743" s="361">
        <f t="shared" si="754"/>
        <v>3.3215864171498071</v>
      </c>
      <c r="V743" s="362">
        <f t="shared" si="754"/>
        <v>3.8100256997916828</v>
      </c>
      <c r="X743" s="351"/>
    </row>
    <row r="744" spans="3:24" ht="24.75" customHeight="1" x14ac:dyDescent="0.3">
      <c r="C744" s="353">
        <f>ABS(E744-Dashboard!$F$14)</f>
        <v>81.23158305991835</v>
      </c>
      <c r="D744" s="350">
        <f t="shared" si="729"/>
        <v>0.14714999999999903</v>
      </c>
      <c r="E744" s="359" cm="1">
        <f t="array" ref="E744">1000*SUM('DRE + DCF'!$L$36/M744,'DRE + DCF'!$N$36:$V$36/N744:V744,F744/V744)/Dashboard!$F$11</f>
        <v>178.22158305991834</v>
      </c>
      <c r="F744" s="359">
        <f t="shared" si="727"/>
        <v>21800708.336940255</v>
      </c>
      <c r="G744" s="359">
        <f>'DRE + DCF'!$W$31</f>
        <v>2791623.3540418856</v>
      </c>
      <c r="H744" s="359">
        <f>'DRE + DCF'!$W$32</f>
        <v>81081.931703745853</v>
      </c>
      <c r="I744" s="359">
        <f>-H744*('DRE + DCF'!$V$33+K744)/'DRE + DCF'!$V$33</f>
        <v>-90858.801614444121</v>
      </c>
      <c r="J744" s="359">
        <f>-'DRE + DCF'!$V$56*L744</f>
        <v>-1188924.4255577971</v>
      </c>
      <c r="K744" s="360">
        <f>(1+L744)/(1+Ke!$O$12)-1</f>
        <v>2.0000000000000018E-2</v>
      </c>
      <c r="L744" s="360">
        <f>'DRE + DCF'!$Y$31</f>
        <v>7.3550000000000004E-2</v>
      </c>
      <c r="M744" s="361">
        <f>(1+D744)^((5-Dashboard!$F$9)*3/12)</f>
        <v>1.1084475737083583</v>
      </c>
      <c r="N744" s="361">
        <f t="shared" ref="N744:V744" si="755">M744*(1+$D744)</f>
        <v>1.2715556341795422</v>
      </c>
      <c r="O744" s="361">
        <f t="shared" si="755"/>
        <v>1.4586650457490606</v>
      </c>
      <c r="P744" s="361">
        <f t="shared" si="755"/>
        <v>1.6733076072310336</v>
      </c>
      <c r="Q744" s="361">
        <f t="shared" si="755"/>
        <v>1.9195348216350785</v>
      </c>
      <c r="R744" s="361">
        <f t="shared" si="755"/>
        <v>2.2019943706386784</v>
      </c>
      <c r="S744" s="361">
        <f t="shared" si="755"/>
        <v>2.5260178422781578</v>
      </c>
      <c r="T744" s="361">
        <f t="shared" si="755"/>
        <v>2.8977213677693863</v>
      </c>
      <c r="U744" s="361">
        <f t="shared" si="755"/>
        <v>3.3241210670366486</v>
      </c>
      <c r="V744" s="362">
        <f t="shared" si="755"/>
        <v>3.8132654820510883</v>
      </c>
      <c r="X744" s="351"/>
    </row>
    <row r="745" spans="3:24" ht="24.75" customHeight="1" x14ac:dyDescent="0.3">
      <c r="C745" s="353">
        <f>ABS(E745-Dashboard!$F$14)</f>
        <v>81.003642670364755</v>
      </c>
      <c r="D745" s="350">
        <f t="shared" si="729"/>
        <v>0.14724999999999902</v>
      </c>
      <c r="E745" s="359" cm="1">
        <f t="array" ref="E745">1000*SUM('DRE + DCF'!$L$36/M745,'DRE + DCF'!$N$36:$V$36/N745:V745,F745/V745)/Dashboard!$F$11</f>
        <v>177.99364267036475</v>
      </c>
      <c r="F745" s="359">
        <f t="shared" si="727"/>
        <v>21778029.583103117</v>
      </c>
      <c r="G745" s="359">
        <f>'DRE + DCF'!$W$31</f>
        <v>2791623.3540418856</v>
      </c>
      <c r="H745" s="359">
        <f>'DRE + DCF'!$W$32</f>
        <v>81081.931703745853</v>
      </c>
      <c r="I745" s="359">
        <f>-H745*('DRE + DCF'!$V$33+K745)/'DRE + DCF'!$V$33</f>
        <v>-90858.801614444121</v>
      </c>
      <c r="J745" s="359">
        <f>-'DRE + DCF'!$V$56*L745</f>
        <v>-1188924.4255577971</v>
      </c>
      <c r="K745" s="360">
        <f>(1+L745)/(1+Ke!$O$12)-1</f>
        <v>2.0000000000000018E-2</v>
      </c>
      <c r="L745" s="360">
        <f>'DRE + DCF'!$Y$31</f>
        <v>7.3550000000000004E-2</v>
      </c>
      <c r="M745" s="361">
        <f>(1+D745)^((5-Dashboard!$F$9)*3/12)</f>
        <v>1.1085200425765886</v>
      </c>
      <c r="N745" s="361">
        <f t="shared" ref="N745:V745" si="756">M745*(1+$D745)</f>
        <v>1.2717496188459902</v>
      </c>
      <c r="O745" s="361">
        <f t="shared" si="756"/>
        <v>1.4590147502210611</v>
      </c>
      <c r="P745" s="361">
        <f t="shared" si="756"/>
        <v>1.6738546721911109</v>
      </c>
      <c r="Q745" s="361">
        <f t="shared" si="756"/>
        <v>1.9203297726712503</v>
      </c>
      <c r="R745" s="361">
        <f t="shared" si="756"/>
        <v>2.20309833169709</v>
      </c>
      <c r="S745" s="361">
        <f t="shared" si="756"/>
        <v>2.5275045610394842</v>
      </c>
      <c r="T745" s="361">
        <f t="shared" si="756"/>
        <v>2.8996796076525455</v>
      </c>
      <c r="U745" s="361">
        <f t="shared" si="756"/>
        <v>3.3266574298793801</v>
      </c>
      <c r="V745" s="362">
        <f t="shared" si="756"/>
        <v>3.8165077364291156</v>
      </c>
      <c r="X745" s="351"/>
    </row>
    <row r="746" spans="3:24" ht="24.75" customHeight="1" x14ac:dyDescent="0.3">
      <c r="C746" s="353">
        <f>ABS(E746-Dashboard!$F$14)</f>
        <v>80.776230619152372</v>
      </c>
      <c r="D746" s="350">
        <f t="shared" si="729"/>
        <v>0.14734999999999901</v>
      </c>
      <c r="E746" s="359" cm="1">
        <f t="array" ref="E746">1000*SUM('DRE + DCF'!$L$36/M746,'DRE + DCF'!$N$36:$V$36/N746:V746,F746/V746)/Dashboard!$F$11</f>
        <v>177.76623061915237</v>
      </c>
      <c r="F746" s="359">
        <f t="shared" si="727"/>
        <v>21755402.934391525</v>
      </c>
      <c r="G746" s="359">
        <f>'DRE + DCF'!$W$31</f>
        <v>2791623.3540418856</v>
      </c>
      <c r="H746" s="359">
        <f>'DRE + DCF'!$W$32</f>
        <v>81081.931703745853</v>
      </c>
      <c r="I746" s="359">
        <f>-H746*('DRE + DCF'!$V$33+K746)/'DRE + DCF'!$V$33</f>
        <v>-90858.801614444121</v>
      </c>
      <c r="J746" s="359">
        <f>-'DRE + DCF'!$V$56*L746</f>
        <v>-1188924.4255577971</v>
      </c>
      <c r="K746" s="360">
        <f>(1+L746)/(1+Ke!$O$12)-1</f>
        <v>2.0000000000000018E-2</v>
      </c>
      <c r="L746" s="360">
        <f>'DRE + DCF'!$Y$31</f>
        <v>7.3550000000000004E-2</v>
      </c>
      <c r="M746" s="361">
        <f>(1+D746)^((5-Dashboard!$F$9)*3/12)</f>
        <v>1.1085925098656495</v>
      </c>
      <c r="N746" s="361">
        <f t="shared" ref="N746:V746" si="757">M746*(1+$D746)</f>
        <v>1.2719436161943518</v>
      </c>
      <c r="O746" s="361">
        <f t="shared" si="757"/>
        <v>1.4593645080405881</v>
      </c>
      <c r="P746" s="361">
        <f t="shared" si="757"/>
        <v>1.6744018683003674</v>
      </c>
      <c r="Q746" s="361">
        <f t="shared" si="757"/>
        <v>1.9211249835944249</v>
      </c>
      <c r="R746" s="361">
        <f t="shared" si="757"/>
        <v>2.2042027499270613</v>
      </c>
      <c r="S746" s="361">
        <f t="shared" si="757"/>
        <v>2.5289920251288116</v>
      </c>
      <c r="T746" s="361">
        <f t="shared" si="757"/>
        <v>2.9016390000315395</v>
      </c>
      <c r="U746" s="361">
        <f t="shared" si="757"/>
        <v>3.329195506686184</v>
      </c>
      <c r="V746" s="362">
        <f t="shared" si="757"/>
        <v>3.8197524645963901</v>
      </c>
      <c r="X746" s="351"/>
    </row>
    <row r="747" spans="3:24" ht="24.75" customHeight="1" x14ac:dyDescent="0.3">
      <c r="C747" s="353">
        <f>ABS(E747-Dashboard!$F$14)</f>
        <v>80.549345032342487</v>
      </c>
      <c r="D747" s="350">
        <f t="shared" si="729"/>
        <v>0.147449999999999</v>
      </c>
      <c r="E747" s="359" cm="1">
        <f t="array" ref="E747">1000*SUM('DRE + DCF'!$L$36/M747,'DRE + DCF'!$N$36:$V$36/N747:V747,F747/V747)/Dashboard!$F$11</f>
        <v>177.53934503234248</v>
      </c>
      <c r="F747" s="359">
        <f t="shared" si="727"/>
        <v>21732828.198290277</v>
      </c>
      <c r="G747" s="359">
        <f>'DRE + DCF'!$W$31</f>
        <v>2791623.3540418856</v>
      </c>
      <c r="H747" s="359">
        <f>'DRE + DCF'!$W$32</f>
        <v>81081.931703745853</v>
      </c>
      <c r="I747" s="359">
        <f>-H747*('DRE + DCF'!$V$33+K747)/'DRE + DCF'!$V$33</f>
        <v>-90858.801614444121</v>
      </c>
      <c r="J747" s="359">
        <f>-'DRE + DCF'!$V$56*L747</f>
        <v>-1188924.4255577971</v>
      </c>
      <c r="K747" s="360">
        <f>(1+L747)/(1+Ke!$O$12)-1</f>
        <v>2.0000000000000018E-2</v>
      </c>
      <c r="L747" s="360">
        <f>'DRE + DCF'!$Y$31</f>
        <v>7.3550000000000004E-2</v>
      </c>
      <c r="M747" s="361">
        <f>(1+D747)^((5-Dashboard!$F$9)*3/12)</f>
        <v>1.1086649755757132</v>
      </c>
      <c r="N747" s="361">
        <f t="shared" ref="N747:V747" si="758">M747*(1+$D747)</f>
        <v>1.2721376262243509</v>
      </c>
      <c r="O747" s="361">
        <f t="shared" si="758"/>
        <v>1.4597143192111302</v>
      </c>
      <c r="P747" s="361">
        <f t="shared" si="758"/>
        <v>1.6749491955788098</v>
      </c>
      <c r="Q747" s="361">
        <f t="shared" si="758"/>
        <v>1.9219204544669035</v>
      </c>
      <c r="R747" s="361">
        <f t="shared" si="758"/>
        <v>2.2053076254780466</v>
      </c>
      <c r="S747" s="361">
        <f t="shared" si="758"/>
        <v>2.5304802348547821</v>
      </c>
      <c r="T747" s="361">
        <f t="shared" si="758"/>
        <v>2.9035995454841173</v>
      </c>
      <c r="U747" s="361">
        <f t="shared" si="758"/>
        <v>3.3317352984657473</v>
      </c>
      <c r="V747" s="362">
        <f t="shared" si="758"/>
        <v>3.8229996682245182</v>
      </c>
      <c r="X747" s="351"/>
    </row>
    <row r="748" spans="3:24" ht="24.75" customHeight="1" x14ac:dyDescent="0.3">
      <c r="C748" s="353">
        <f>ABS(E748-Dashboard!$F$14)</f>
        <v>80.322984045276897</v>
      </c>
      <c r="D748" s="350">
        <f t="shared" si="729"/>
        <v>0.14754999999999899</v>
      </c>
      <c r="E748" s="359" cm="1">
        <f t="array" ref="E748">1000*SUM('DRE + DCF'!$L$36/M748,'DRE + DCF'!$N$36:$V$36/N748:V748,F748/V748)/Dashboard!$F$11</f>
        <v>177.31298404527689</v>
      </c>
      <c r="F748" s="359">
        <f t="shared" si="727"/>
        <v>21710305.183273338</v>
      </c>
      <c r="G748" s="359">
        <f>'DRE + DCF'!$W$31</f>
        <v>2791623.3540418856</v>
      </c>
      <c r="H748" s="359">
        <f>'DRE + DCF'!$W$32</f>
        <v>81081.931703745853</v>
      </c>
      <c r="I748" s="359">
        <f>-H748*('DRE + DCF'!$V$33+K748)/'DRE + DCF'!$V$33</f>
        <v>-90858.801614444121</v>
      </c>
      <c r="J748" s="359">
        <f>-'DRE + DCF'!$V$56*L748</f>
        <v>-1188924.4255577971</v>
      </c>
      <c r="K748" s="360">
        <f>(1+L748)/(1+Ke!$O$12)-1</f>
        <v>2.0000000000000018E-2</v>
      </c>
      <c r="L748" s="360">
        <f>'DRE + DCF'!$Y$31</f>
        <v>7.3550000000000004E-2</v>
      </c>
      <c r="M748" s="361">
        <f>(1+D748)^((5-Dashboard!$F$9)*3/12)</f>
        <v>1.1087374397069516</v>
      </c>
      <c r="N748" s="361">
        <f t="shared" ref="N748:V748" si="759">M748*(1+$D748)</f>
        <v>1.272331648935711</v>
      </c>
      <c r="O748" s="361">
        <f t="shared" si="759"/>
        <v>1.4600641837361739</v>
      </c>
      <c r="P748" s="361">
        <f t="shared" si="759"/>
        <v>1.6754966540464449</v>
      </c>
      <c r="Q748" s="361">
        <f t="shared" si="759"/>
        <v>1.922716185350996</v>
      </c>
      <c r="R748" s="361">
        <f t="shared" si="759"/>
        <v>2.2064129584995333</v>
      </c>
      <c r="S748" s="361">
        <f t="shared" si="759"/>
        <v>2.5319691905261372</v>
      </c>
      <c r="T748" s="361">
        <f t="shared" si="759"/>
        <v>2.9055612445882661</v>
      </c>
      <c r="U748" s="361">
        <f t="shared" si="759"/>
        <v>3.3342768062272619</v>
      </c>
      <c r="V748" s="362">
        <f t="shared" si="759"/>
        <v>3.8262493489860909</v>
      </c>
      <c r="X748" s="351"/>
    </row>
    <row r="749" spans="3:24" ht="24.75" customHeight="1" x14ac:dyDescent="0.3">
      <c r="C749" s="353">
        <f>ABS(E749-Dashboard!$F$14)</f>
        <v>80.097145802518511</v>
      </c>
      <c r="D749" s="350">
        <f t="shared" si="729"/>
        <v>0.14764999999999898</v>
      </c>
      <c r="E749" s="359" cm="1">
        <f t="array" ref="E749">1000*SUM('DRE + DCF'!$L$36/M749,'DRE + DCF'!$N$36:$V$36/N749:V749,F749/V749)/Dashboard!$F$11</f>
        <v>177.08714580251851</v>
      </c>
      <c r="F749" s="359">
        <f t="shared" si="727"/>
        <v>21687833.69879733</v>
      </c>
      <c r="G749" s="359">
        <f>'DRE + DCF'!$W$31</f>
        <v>2791623.3540418856</v>
      </c>
      <c r="H749" s="359">
        <f>'DRE + DCF'!$W$32</f>
        <v>81081.931703745853</v>
      </c>
      <c r="I749" s="359">
        <f>-H749*('DRE + DCF'!$V$33+K749)/'DRE + DCF'!$V$33</f>
        <v>-90858.801614444121</v>
      </c>
      <c r="J749" s="359">
        <f>-'DRE + DCF'!$V$56*L749</f>
        <v>-1188924.4255577971</v>
      </c>
      <c r="K749" s="360">
        <f>(1+L749)/(1+Ke!$O$12)-1</f>
        <v>2.0000000000000018E-2</v>
      </c>
      <c r="L749" s="360">
        <f>'DRE + DCF'!$Y$31</f>
        <v>7.3550000000000004E-2</v>
      </c>
      <c r="M749" s="361">
        <f>(1+D749)^((5-Dashboard!$F$9)*3/12)</f>
        <v>1.1088099022595368</v>
      </c>
      <c r="N749" s="361">
        <f t="shared" ref="N749:V749" si="760">M749*(1+$D749)</f>
        <v>1.2725256843281563</v>
      </c>
      <c r="O749" s="361">
        <f t="shared" si="760"/>
        <v>1.4604141016192072</v>
      </c>
      <c r="P749" s="361">
        <f t="shared" si="760"/>
        <v>1.6760442437232816</v>
      </c>
      <c r="Q749" s="361">
        <f t="shared" si="760"/>
        <v>1.9235121763090224</v>
      </c>
      <c r="R749" s="361">
        <f t="shared" si="760"/>
        <v>2.2075187491410477</v>
      </c>
      <c r="S749" s="361">
        <f t="shared" si="760"/>
        <v>2.533458892451721</v>
      </c>
      <c r="T749" s="361">
        <f t="shared" si="760"/>
        <v>2.9075240979222148</v>
      </c>
      <c r="U749" s="361">
        <f t="shared" si="760"/>
        <v>3.3368200309804266</v>
      </c>
      <c r="V749" s="362">
        <f t="shared" si="760"/>
        <v>3.8295015085546829</v>
      </c>
      <c r="X749" s="351"/>
    </row>
    <row r="750" spans="3:24" ht="24.75" customHeight="1" x14ac:dyDescent="0.3">
      <c r="C750" s="353">
        <f>ABS(E750-Dashboard!$F$14)</f>
        <v>79.871828457792262</v>
      </c>
      <c r="D750" s="350">
        <f t="shared" si="729"/>
        <v>0.14774999999999897</v>
      </c>
      <c r="E750" s="359" cm="1">
        <f t="array" ref="E750">1000*SUM('DRE + DCF'!$L$36/M750,'DRE + DCF'!$N$36:$V$36/N750:V750,F750/V750)/Dashboard!$F$11</f>
        <v>176.86182845779226</v>
      </c>
      <c r="F750" s="359">
        <f t="shared" si="727"/>
        <v>21665413.555295102</v>
      </c>
      <c r="G750" s="359">
        <f>'DRE + DCF'!$W$31</f>
        <v>2791623.3540418856</v>
      </c>
      <c r="H750" s="359">
        <f>'DRE + DCF'!$W$32</f>
        <v>81081.931703745853</v>
      </c>
      <c r="I750" s="359">
        <f>-H750*('DRE + DCF'!$V$33+K750)/'DRE + DCF'!$V$33</f>
        <v>-90858.801614444121</v>
      </c>
      <c r="J750" s="359">
        <f>-'DRE + DCF'!$V$56*L750</f>
        <v>-1188924.4255577971</v>
      </c>
      <c r="K750" s="360">
        <f>(1+L750)/(1+Ke!$O$12)-1</f>
        <v>2.0000000000000018E-2</v>
      </c>
      <c r="L750" s="360">
        <f>'DRE + DCF'!$Y$31</f>
        <v>7.3550000000000004E-2</v>
      </c>
      <c r="M750" s="361">
        <f>(1+D750)^((5-Dashboard!$F$9)*3/12)</f>
        <v>1.1088823632336406</v>
      </c>
      <c r="N750" s="361">
        <f t="shared" ref="N750:V750" si="761">M750*(1+$D750)</f>
        <v>1.2727197324014099</v>
      </c>
      <c r="O750" s="361">
        <f t="shared" si="761"/>
        <v>1.4607640728637168</v>
      </c>
      <c r="P750" s="361">
        <f t="shared" si="761"/>
        <v>1.6765919646293295</v>
      </c>
      <c r="Q750" s="361">
        <f t="shared" si="761"/>
        <v>1.9243084274033111</v>
      </c>
      <c r="R750" s="361">
        <f t="shared" si="761"/>
        <v>2.2086249975521484</v>
      </c>
      <c r="S750" s="361">
        <f t="shared" si="761"/>
        <v>2.534949340940476</v>
      </c>
      <c r="T750" s="361">
        <f t="shared" si="761"/>
        <v>2.9094881060644284</v>
      </c>
      <c r="U750" s="361">
        <f t="shared" si="761"/>
        <v>3.3393649737354445</v>
      </c>
      <c r="V750" s="362">
        <f t="shared" si="761"/>
        <v>3.8327561486048527</v>
      </c>
      <c r="X750" s="351"/>
    </row>
    <row r="751" spans="3:24" ht="24.75" customHeight="1" x14ac:dyDescent="0.3">
      <c r="C751" s="353">
        <f>ABS(E751-Dashboard!$F$14)</f>
        <v>79.647030173926183</v>
      </c>
      <c r="D751" s="350">
        <f t="shared" si="729"/>
        <v>0.14784999999999895</v>
      </c>
      <c r="E751" s="359" cm="1">
        <f t="array" ref="E751">1000*SUM('DRE + DCF'!$L$36/M751,'DRE + DCF'!$N$36:$V$36/N751:V751,F751/V751)/Dashboard!$F$11</f>
        <v>176.63703017392618</v>
      </c>
      <c r="F751" s="359">
        <f t="shared" si="727"/>
        <v>21643044.564169299</v>
      </c>
      <c r="G751" s="359">
        <f>'DRE + DCF'!$W$31</f>
        <v>2791623.3540418856</v>
      </c>
      <c r="H751" s="359">
        <f>'DRE + DCF'!$W$32</f>
        <v>81081.931703745853</v>
      </c>
      <c r="I751" s="359">
        <f>-H751*('DRE + DCF'!$V$33+K751)/'DRE + DCF'!$V$33</f>
        <v>-90858.801614444121</v>
      </c>
      <c r="J751" s="359">
        <f>-'DRE + DCF'!$V$56*L751</f>
        <v>-1188924.4255577971</v>
      </c>
      <c r="K751" s="360">
        <f>(1+L751)/(1+Ke!$O$12)-1</f>
        <v>2.0000000000000018E-2</v>
      </c>
      <c r="L751" s="360">
        <f>'DRE + DCF'!$Y$31</f>
        <v>7.3550000000000004E-2</v>
      </c>
      <c r="M751" s="361">
        <f>(1+D751)^((5-Dashboard!$F$9)*3/12)</f>
        <v>1.1089548226294352</v>
      </c>
      <c r="N751" s="361">
        <f t="shared" ref="N751:V751" si="762">M751*(1+$D751)</f>
        <v>1.2729137931551961</v>
      </c>
      <c r="O751" s="361">
        <f t="shared" si="762"/>
        <v>1.4611140974731904</v>
      </c>
      <c r="P751" s="361">
        <f t="shared" si="762"/>
        <v>1.6771398167846001</v>
      </c>
      <c r="Q751" s="361">
        <f t="shared" si="762"/>
        <v>1.9251049386962014</v>
      </c>
      <c r="R751" s="361">
        <f t="shared" si="762"/>
        <v>2.2097317038824325</v>
      </c>
      <c r="S751" s="361">
        <f t="shared" si="762"/>
        <v>2.5364405363014475</v>
      </c>
      <c r="T751" s="361">
        <f t="shared" si="762"/>
        <v>2.9114532695936139</v>
      </c>
      <c r="U751" s="361">
        <f t="shared" si="762"/>
        <v>3.3419116355030267</v>
      </c>
      <c r="V751" s="362">
        <f t="shared" si="762"/>
        <v>3.8360132708121455</v>
      </c>
      <c r="X751" s="351"/>
    </row>
    <row r="752" spans="3:24" ht="24.75" customHeight="1" x14ac:dyDescent="0.3">
      <c r="C752" s="353">
        <f>ABS(E752-Dashboard!$F$14)</f>
        <v>79.422749122793576</v>
      </c>
      <c r="D752" s="350">
        <f t="shared" si="729"/>
        <v>0.14794999999999894</v>
      </c>
      <c r="E752" s="359" cm="1">
        <f t="array" ref="E752">1000*SUM('DRE + DCF'!$L$36/M752,'DRE + DCF'!$N$36:$V$36/N752:V752,F752/V752)/Dashboard!$F$11</f>
        <v>176.41274912279357</v>
      </c>
      <c r="F752" s="359">
        <f t="shared" si="727"/>
        <v>21620726.537786059</v>
      </c>
      <c r="G752" s="359">
        <f>'DRE + DCF'!$W$31</f>
        <v>2791623.3540418856</v>
      </c>
      <c r="H752" s="359">
        <f>'DRE + DCF'!$W$32</f>
        <v>81081.931703745853</v>
      </c>
      <c r="I752" s="359">
        <f>-H752*('DRE + DCF'!$V$33+K752)/'DRE + DCF'!$V$33</f>
        <v>-90858.801614444121</v>
      </c>
      <c r="J752" s="359">
        <f>-'DRE + DCF'!$V$56*L752</f>
        <v>-1188924.4255577971</v>
      </c>
      <c r="K752" s="360">
        <f>(1+L752)/(1+Ke!$O$12)-1</f>
        <v>2.0000000000000018E-2</v>
      </c>
      <c r="L752" s="360">
        <f>'DRE + DCF'!$Y$31</f>
        <v>7.3550000000000004E-2</v>
      </c>
      <c r="M752" s="361">
        <f>(1+D752)^((5-Dashboard!$F$9)*3/12)</f>
        <v>1.109027280447092</v>
      </c>
      <c r="N752" s="361">
        <f t="shared" ref="N752:V752" si="763">M752*(1+$D752)</f>
        <v>1.2731078665892381</v>
      </c>
      <c r="O752" s="361">
        <f t="shared" si="763"/>
        <v>1.4614641754511146</v>
      </c>
      <c r="P752" s="361">
        <f t="shared" si="763"/>
        <v>1.6776878002091054</v>
      </c>
      <c r="Q752" s="361">
        <f t="shared" si="763"/>
        <v>1.9259017102500406</v>
      </c>
      <c r="R752" s="361">
        <f t="shared" si="763"/>
        <v>2.2108388682815319</v>
      </c>
      <c r="S752" s="361">
        <f t="shared" si="763"/>
        <v>2.537932478843782</v>
      </c>
      <c r="T752" s="361">
        <f t="shared" si="763"/>
        <v>2.9134195890887167</v>
      </c>
      <c r="U752" s="361">
        <f t="shared" si="763"/>
        <v>3.3444600172943892</v>
      </c>
      <c r="V752" s="362">
        <f t="shared" si="763"/>
        <v>3.8392728768530904</v>
      </c>
      <c r="X752" s="351"/>
    </row>
    <row r="753" spans="3:24" ht="24.75" customHeight="1" x14ac:dyDescent="0.3">
      <c r="C753" s="353">
        <f>ABS(E753-Dashboard!$F$14)</f>
        <v>79.198983485254885</v>
      </c>
      <c r="D753" s="350">
        <f t="shared" si="729"/>
        <v>0.14804999999999893</v>
      </c>
      <c r="E753" s="359" cm="1">
        <f t="array" ref="E753">1000*SUM('DRE + DCF'!$L$36/M753,'DRE + DCF'!$N$36:$V$36/N753:V753,F753/V753)/Dashboard!$F$11</f>
        <v>176.18898348525488</v>
      </c>
      <c r="F753" s="359">
        <f t="shared" si="727"/>
        <v>21598459.289468687</v>
      </c>
      <c r="G753" s="359">
        <f>'DRE + DCF'!$W$31</f>
        <v>2791623.3540418856</v>
      </c>
      <c r="H753" s="359">
        <f>'DRE + DCF'!$W$32</f>
        <v>81081.931703745853</v>
      </c>
      <c r="I753" s="359">
        <f>-H753*('DRE + DCF'!$V$33+K753)/'DRE + DCF'!$V$33</f>
        <v>-90858.801614444121</v>
      </c>
      <c r="J753" s="359">
        <f>-'DRE + DCF'!$V$56*L753</f>
        <v>-1188924.4255577971</v>
      </c>
      <c r="K753" s="360">
        <f>(1+L753)/(1+Ke!$O$12)-1</f>
        <v>2.0000000000000018E-2</v>
      </c>
      <c r="L753" s="360">
        <f>'DRE + DCF'!$Y$31</f>
        <v>7.3550000000000004E-2</v>
      </c>
      <c r="M753" s="361">
        <f>(1+D753)^((5-Dashboard!$F$9)*3/12)</f>
        <v>1.1090997366867832</v>
      </c>
      <c r="N753" s="361">
        <f t="shared" ref="N753:V753" si="764">M753*(1+$D753)</f>
        <v>1.2733019527032603</v>
      </c>
      <c r="O753" s="361">
        <f t="shared" si="764"/>
        <v>1.4618143068009766</v>
      </c>
      <c r="P753" s="361">
        <f t="shared" si="764"/>
        <v>1.6782359149228596</v>
      </c>
      <c r="Q753" s="361">
        <f t="shared" si="764"/>
        <v>1.9266987421271871</v>
      </c>
      <c r="R753" s="361">
        <f t="shared" si="764"/>
        <v>2.2119464908991149</v>
      </c>
      <c r="S753" s="361">
        <f t="shared" si="764"/>
        <v>2.5394251688767264</v>
      </c>
      <c r="T753" s="361">
        <f t="shared" si="764"/>
        <v>2.9153870651289231</v>
      </c>
      <c r="U753" s="361">
        <f t="shared" si="764"/>
        <v>3.347010120121257</v>
      </c>
      <c r="V753" s="362">
        <f t="shared" si="764"/>
        <v>3.8425349684052055</v>
      </c>
      <c r="X753" s="351"/>
    </row>
    <row r="754" spans="3:24" ht="24.75" customHeight="1" x14ac:dyDescent="0.3">
      <c r="C754" s="353">
        <f>ABS(E754-Dashboard!$F$14)</f>
        <v>78.975731451100771</v>
      </c>
      <c r="D754" s="350">
        <f t="shared" si="729"/>
        <v>0.14814999999999892</v>
      </c>
      <c r="E754" s="359" cm="1">
        <f t="array" ref="E754">1000*SUM('DRE + DCF'!$L$36/M754,'DRE + DCF'!$N$36:$V$36/N754:V754,F754/V754)/Dashboard!$F$11</f>
        <v>175.96573145110077</v>
      </c>
      <c r="F754" s="359">
        <f t="shared" si="727"/>
        <v>21576242.633491404</v>
      </c>
      <c r="G754" s="359">
        <f>'DRE + DCF'!$W$31</f>
        <v>2791623.3540418856</v>
      </c>
      <c r="H754" s="359">
        <f>'DRE + DCF'!$W$32</f>
        <v>81081.931703745853</v>
      </c>
      <c r="I754" s="359">
        <f>-H754*('DRE + DCF'!$V$33+K754)/'DRE + DCF'!$V$33</f>
        <v>-90858.801614444121</v>
      </c>
      <c r="J754" s="359">
        <f>-'DRE + DCF'!$V$56*L754</f>
        <v>-1188924.4255577971</v>
      </c>
      <c r="K754" s="360">
        <f>(1+L754)/(1+Ke!$O$12)-1</f>
        <v>2.0000000000000018E-2</v>
      </c>
      <c r="L754" s="360">
        <f>'DRE + DCF'!$Y$31</f>
        <v>7.3550000000000004E-2</v>
      </c>
      <c r="M754" s="361">
        <f>(1+D754)^((5-Dashboard!$F$9)*3/12)</f>
        <v>1.1091721913486805</v>
      </c>
      <c r="N754" s="361">
        <f t="shared" ref="N754:V754" si="765">M754*(1+$D754)</f>
        <v>1.2734960514969862</v>
      </c>
      <c r="O754" s="361">
        <f t="shared" si="765"/>
        <v>1.4621644915262633</v>
      </c>
      <c r="P754" s="361">
        <f t="shared" si="765"/>
        <v>1.6787841609458776</v>
      </c>
      <c r="Q754" s="361">
        <f t="shared" si="765"/>
        <v>1.9274960343900074</v>
      </c>
      <c r="R754" s="361">
        <f t="shared" si="765"/>
        <v>2.2130545718848849</v>
      </c>
      <c r="S754" s="361">
        <f t="shared" si="765"/>
        <v>2.5409186067096279</v>
      </c>
      <c r="T754" s="361">
        <f t="shared" si="765"/>
        <v>2.9173556982936564</v>
      </c>
      <c r="U754" s="361">
        <f t="shared" si="765"/>
        <v>3.3495619449958585</v>
      </c>
      <c r="V754" s="362">
        <f t="shared" si="765"/>
        <v>3.8457995471469912</v>
      </c>
      <c r="X754" s="351"/>
    </row>
    <row r="755" spans="3:24" ht="24.75" customHeight="1" x14ac:dyDescent="0.3">
      <c r="C755" s="353">
        <f>ABS(E755-Dashboard!$F$14)</f>
        <v>78.752991218994836</v>
      </c>
      <c r="D755" s="350">
        <f t="shared" si="729"/>
        <v>0.14824999999999891</v>
      </c>
      <c r="E755" s="359" cm="1">
        <f t="array" ref="E755">1000*SUM('DRE + DCF'!$L$36/M755,'DRE + DCF'!$N$36:$V$36/N755:V755,F755/V755)/Dashboard!$F$11</f>
        <v>175.74299121899483</v>
      </c>
      <c r="F755" s="359">
        <f t="shared" si="727"/>
        <v>21554076.385073185</v>
      </c>
      <c r="G755" s="359">
        <f>'DRE + DCF'!$W$31</f>
        <v>2791623.3540418856</v>
      </c>
      <c r="H755" s="359">
        <f>'DRE + DCF'!$W$32</f>
        <v>81081.931703745853</v>
      </c>
      <c r="I755" s="359">
        <f>-H755*('DRE + DCF'!$V$33+K755)/'DRE + DCF'!$V$33</f>
        <v>-90858.801614444121</v>
      </c>
      <c r="J755" s="359">
        <f>-'DRE + DCF'!$V$56*L755</f>
        <v>-1188924.4255577971</v>
      </c>
      <c r="K755" s="360">
        <f>(1+L755)/(1+Ke!$O$12)-1</f>
        <v>2.0000000000000018E-2</v>
      </c>
      <c r="L755" s="360">
        <f>'DRE + DCF'!$Y$31</f>
        <v>7.3550000000000004E-2</v>
      </c>
      <c r="M755" s="361">
        <f>(1+D755)^((5-Dashboard!$F$9)*3/12)</f>
        <v>1.1092446444329558</v>
      </c>
      <c r="N755" s="361">
        <f t="shared" ref="N755:V755" si="766">M755*(1+$D755)</f>
        <v>1.2736901629701403</v>
      </c>
      <c r="O755" s="361">
        <f t="shared" si="766"/>
        <v>1.4625147296304621</v>
      </c>
      <c r="P755" s="361">
        <f t="shared" si="766"/>
        <v>1.6793325382981765</v>
      </c>
      <c r="Q755" s="361">
        <f t="shared" si="766"/>
        <v>1.9282935871008793</v>
      </c>
      <c r="R755" s="361">
        <f t="shared" si="766"/>
        <v>2.2141631113885825</v>
      </c>
      <c r="S755" s="361">
        <f t="shared" si="766"/>
        <v>2.5424127926519375</v>
      </c>
      <c r="T755" s="361">
        <f t="shared" si="766"/>
        <v>2.9193254891625844</v>
      </c>
      <c r="U755" s="361">
        <f t="shared" si="766"/>
        <v>3.3521154929309342</v>
      </c>
      <c r="V755" s="362">
        <f t="shared" si="766"/>
        <v>3.8490666147579415</v>
      </c>
      <c r="X755" s="351"/>
    </row>
    <row r="756" spans="3:24" ht="24.75" customHeight="1" x14ac:dyDescent="0.3">
      <c r="C756" s="353">
        <f>ABS(E756-Dashboard!$F$14)</f>
        <v>78.530760996417811</v>
      </c>
      <c r="D756" s="350">
        <f t="shared" si="729"/>
        <v>0.1483499999999989</v>
      </c>
      <c r="E756" s="359" cm="1">
        <f t="array" ref="E756">1000*SUM('DRE + DCF'!$L$36/M756,'DRE + DCF'!$N$36:$V$36/N756:V756,F756/V756)/Dashboard!$F$11</f>
        <v>175.52076099641781</v>
      </c>
      <c r="F756" s="359">
        <f t="shared" si="727"/>
        <v>21531960.360371578</v>
      </c>
      <c r="G756" s="359">
        <f>'DRE + DCF'!$W$31</f>
        <v>2791623.3540418856</v>
      </c>
      <c r="H756" s="359">
        <f>'DRE + DCF'!$W$32</f>
        <v>81081.931703745853</v>
      </c>
      <c r="I756" s="359">
        <f>-H756*('DRE + DCF'!$V$33+K756)/'DRE + DCF'!$V$33</f>
        <v>-90858.801614444121</v>
      </c>
      <c r="J756" s="359">
        <f>-'DRE + DCF'!$V$56*L756</f>
        <v>-1188924.4255577971</v>
      </c>
      <c r="K756" s="360">
        <f>(1+L756)/(1+Ke!$O$12)-1</f>
        <v>2.0000000000000018E-2</v>
      </c>
      <c r="L756" s="360">
        <f>'DRE + DCF'!$Y$31</f>
        <v>7.3550000000000004E-2</v>
      </c>
      <c r="M756" s="361">
        <f>(1+D756)^((5-Dashboard!$F$9)*3/12)</f>
        <v>1.1093170959397807</v>
      </c>
      <c r="N756" s="361">
        <f t="shared" ref="N756:V756" si="767">M756*(1+$D756)</f>
        <v>1.2738842871224458</v>
      </c>
      <c r="O756" s="361">
        <f t="shared" si="767"/>
        <v>1.4628650211170593</v>
      </c>
      <c r="P756" s="361">
        <f t="shared" si="767"/>
        <v>1.6798810469997734</v>
      </c>
      <c r="Q756" s="361">
        <f t="shared" si="767"/>
        <v>1.929091400322188</v>
      </c>
      <c r="R756" s="361">
        <f t="shared" si="767"/>
        <v>2.2152721095599825</v>
      </c>
      <c r="S756" s="361">
        <f t="shared" si="767"/>
        <v>2.5439077270132033</v>
      </c>
      <c r="T756" s="361">
        <f t="shared" si="767"/>
        <v>2.921296438315609</v>
      </c>
      <c r="U756" s="361">
        <f t="shared" si="767"/>
        <v>3.3546707649397263</v>
      </c>
      <c r="V756" s="362">
        <f t="shared" si="767"/>
        <v>3.8523361729185308</v>
      </c>
      <c r="X756" s="351"/>
    </row>
    <row r="757" spans="3:24" ht="24.75" customHeight="1" x14ac:dyDescent="0.3">
      <c r="C757" s="353">
        <f>ABS(E757-Dashboard!$F$14)</f>
        <v>78.309038999610991</v>
      </c>
      <c r="D757" s="350">
        <f t="shared" si="729"/>
        <v>0.14844999999999889</v>
      </c>
      <c r="E757" s="359" cm="1">
        <f t="array" ref="E757">1000*SUM('DRE + DCF'!$L$36/M757,'DRE + DCF'!$N$36:$V$36/N757:V757,F757/V757)/Dashboard!$F$11</f>
        <v>175.29903899961099</v>
      </c>
      <c r="F757" s="359">
        <f t="shared" si="727"/>
        <v>21509894.376476616</v>
      </c>
      <c r="G757" s="359">
        <f>'DRE + DCF'!$W$31</f>
        <v>2791623.3540418856</v>
      </c>
      <c r="H757" s="359">
        <f>'DRE + DCF'!$W$32</f>
        <v>81081.931703745853</v>
      </c>
      <c r="I757" s="359">
        <f>-H757*('DRE + DCF'!$V$33+K757)/'DRE + DCF'!$V$33</f>
        <v>-90858.801614444121</v>
      </c>
      <c r="J757" s="359">
        <f>-'DRE + DCF'!$V$56*L757</f>
        <v>-1188924.4255577971</v>
      </c>
      <c r="K757" s="360">
        <f>(1+L757)/(1+Ke!$O$12)-1</f>
        <v>2.0000000000000018E-2</v>
      </c>
      <c r="L757" s="360">
        <f>'DRE + DCF'!$Y$31</f>
        <v>7.3550000000000004E-2</v>
      </c>
      <c r="M757" s="361">
        <f>(1+D757)^((5-Dashboard!$F$9)*3/12)</f>
        <v>1.1093895458693268</v>
      </c>
      <c r="N757" s="361">
        <f t="shared" ref="N757:V757" si="768">M757*(1+$D757)</f>
        <v>1.2740784239536271</v>
      </c>
      <c r="O757" s="361">
        <f t="shared" si="768"/>
        <v>1.4632153659895417</v>
      </c>
      <c r="P757" s="361">
        <f t="shared" si="768"/>
        <v>1.6804296870706876</v>
      </c>
      <c r="Q757" s="361">
        <f t="shared" si="768"/>
        <v>1.9298894741163293</v>
      </c>
      <c r="R757" s="361">
        <f t="shared" si="768"/>
        <v>2.216381566548896</v>
      </c>
      <c r="S757" s="361">
        <f t="shared" si="768"/>
        <v>2.5454034101030771</v>
      </c>
      <c r="T757" s="361">
        <f t="shared" si="768"/>
        <v>2.923268546332876</v>
      </c>
      <c r="U757" s="361">
        <f t="shared" si="768"/>
        <v>3.3572277620359881</v>
      </c>
      <c r="V757" s="362">
        <f t="shared" si="768"/>
        <v>3.8556082233102265</v>
      </c>
      <c r="X757" s="351"/>
    </row>
    <row r="758" spans="3:24" ht="24.75" customHeight="1" x14ac:dyDescent="0.3">
      <c r="C758" s="353">
        <f>ABS(E758-Dashboard!$F$14)</f>
        <v>78.087823453521096</v>
      </c>
      <c r="D758" s="350">
        <f t="shared" si="729"/>
        <v>0.14854999999999888</v>
      </c>
      <c r="E758" s="359" cm="1">
        <f t="array" ref="E758">1000*SUM('DRE + DCF'!$L$36/M758,'DRE + DCF'!$N$36:$V$36/N758:V758,F758/V758)/Dashboard!$F$11</f>
        <v>175.07782345352109</v>
      </c>
      <c r="F758" s="359">
        <f t="shared" si="727"/>
        <v>21487878.25140477</v>
      </c>
      <c r="G758" s="359">
        <f>'DRE + DCF'!$W$31</f>
        <v>2791623.3540418856</v>
      </c>
      <c r="H758" s="359">
        <f>'DRE + DCF'!$W$32</f>
        <v>81081.931703745853</v>
      </c>
      <c r="I758" s="359">
        <f>-H758*('DRE + DCF'!$V$33+K758)/'DRE + DCF'!$V$33</f>
        <v>-90858.801614444121</v>
      </c>
      <c r="J758" s="359">
        <f>-'DRE + DCF'!$V$56*L758</f>
        <v>-1188924.4255577971</v>
      </c>
      <c r="K758" s="360">
        <f>(1+L758)/(1+Ke!$O$12)-1</f>
        <v>2.0000000000000018E-2</v>
      </c>
      <c r="L758" s="360">
        <f>'DRE + DCF'!$Y$31</f>
        <v>7.3550000000000004E-2</v>
      </c>
      <c r="M758" s="361">
        <f>(1+D758)^((5-Dashboard!$F$9)*3/12)</f>
        <v>1.1094619942217661</v>
      </c>
      <c r="N758" s="361">
        <f t="shared" ref="N758:V758" si="769">M758*(1+$D758)</f>
        <v>1.2742725734634082</v>
      </c>
      <c r="O758" s="361">
        <f t="shared" si="769"/>
        <v>1.463565764251396</v>
      </c>
      <c r="P758" s="361">
        <f t="shared" si="769"/>
        <v>1.6809784585309391</v>
      </c>
      <c r="Q758" s="361">
        <f t="shared" si="769"/>
        <v>1.9306878085457082</v>
      </c>
      <c r="R758" s="361">
        <f t="shared" si="769"/>
        <v>2.2174914825051708</v>
      </c>
      <c r="S758" s="361">
        <f t="shared" si="769"/>
        <v>2.5468998422313112</v>
      </c>
      <c r="T758" s="361">
        <f t="shared" si="769"/>
        <v>2.9252418137947696</v>
      </c>
      <c r="U758" s="361">
        <f t="shared" si="769"/>
        <v>3.3597864852339794</v>
      </c>
      <c r="V758" s="362">
        <f t="shared" si="769"/>
        <v>3.8588827676154831</v>
      </c>
      <c r="X758" s="351"/>
    </row>
    <row r="759" spans="3:24" ht="24.75" customHeight="1" x14ac:dyDescent="0.3">
      <c r="C759" s="353">
        <f>ABS(E759-Dashboard!$F$14)</f>
        <v>77.867112591745027</v>
      </c>
      <c r="D759" s="350">
        <f t="shared" si="729"/>
        <v>0.14864999999999887</v>
      </c>
      <c r="E759" s="359" cm="1">
        <f t="array" ref="E759">1000*SUM('DRE + DCF'!$L$36/M759,'DRE + DCF'!$N$36:$V$36/N759:V759,F759/V759)/Dashboard!$F$11</f>
        <v>174.85711259174502</v>
      </c>
      <c r="F759" s="359">
        <f t="shared" si="727"/>
        <v>21465911.804092944</v>
      </c>
      <c r="G759" s="359">
        <f>'DRE + DCF'!$W$31</f>
        <v>2791623.3540418856</v>
      </c>
      <c r="H759" s="359">
        <f>'DRE + DCF'!$W$32</f>
        <v>81081.931703745853</v>
      </c>
      <c r="I759" s="359">
        <f>-H759*('DRE + DCF'!$V$33+K759)/'DRE + DCF'!$V$33</f>
        <v>-90858.801614444121</v>
      </c>
      <c r="J759" s="359">
        <f>-'DRE + DCF'!$V$56*L759</f>
        <v>-1188924.4255577971</v>
      </c>
      <c r="K759" s="360">
        <f>(1+L759)/(1+Ke!$O$12)-1</f>
        <v>2.0000000000000018E-2</v>
      </c>
      <c r="L759" s="360">
        <f>'DRE + DCF'!$Y$31</f>
        <v>7.3550000000000004E-2</v>
      </c>
      <c r="M759" s="361">
        <f>(1+D759)^((5-Dashboard!$F$9)*3/12)</f>
        <v>1.1095344409972698</v>
      </c>
      <c r="N759" s="361">
        <f t="shared" ref="N759:V759" si="770">M759*(1+$D759)</f>
        <v>1.2744667356515127</v>
      </c>
      <c r="O759" s="361">
        <f t="shared" si="770"/>
        <v>1.4639162159061085</v>
      </c>
      <c r="P759" s="361">
        <f t="shared" si="770"/>
        <v>1.6815273614005499</v>
      </c>
      <c r="Q759" s="361">
        <f t="shared" si="770"/>
        <v>1.9314864036727397</v>
      </c>
      <c r="R759" s="361">
        <f t="shared" si="770"/>
        <v>2.2186018575786903</v>
      </c>
      <c r="S759" s="361">
        <f t="shared" si="770"/>
        <v>2.5483970237077602</v>
      </c>
      <c r="T759" s="361">
        <f t="shared" si="770"/>
        <v>2.9272162412819158</v>
      </c>
      <c r="U759" s="361">
        <f t="shared" si="770"/>
        <v>3.3623469355484694</v>
      </c>
      <c r="V759" s="362">
        <f t="shared" si="770"/>
        <v>3.8621598075177457</v>
      </c>
      <c r="X759" s="351"/>
    </row>
    <row r="760" spans="3:24" ht="24.75" customHeight="1" x14ac:dyDescent="0.3">
      <c r="C760" s="353">
        <f>ABS(E760-Dashboard!$F$14)</f>
        <v>77.646904656475201</v>
      </c>
      <c r="D760" s="350">
        <f t="shared" si="729"/>
        <v>0.14874999999999886</v>
      </c>
      <c r="E760" s="359" cm="1">
        <f t="array" ref="E760">1000*SUM('DRE + DCF'!$L$36/M760,'DRE + DCF'!$N$36:$V$36/N760:V760,F760/V760)/Dashboard!$F$11</f>
        <v>174.6369046564752</v>
      </c>
      <c r="F760" s="359">
        <f t="shared" si="727"/>
        <v>21443994.854392521</v>
      </c>
      <c r="G760" s="359">
        <f>'DRE + DCF'!$W$31</f>
        <v>2791623.3540418856</v>
      </c>
      <c r="H760" s="359">
        <f>'DRE + DCF'!$W$32</f>
        <v>81081.931703745853</v>
      </c>
      <c r="I760" s="359">
        <f>-H760*('DRE + DCF'!$V$33+K760)/'DRE + DCF'!$V$33</f>
        <v>-90858.801614444121</v>
      </c>
      <c r="J760" s="359">
        <f>-'DRE + DCF'!$V$56*L760</f>
        <v>-1188924.4255577971</v>
      </c>
      <c r="K760" s="360">
        <f>(1+L760)/(1+Ke!$O$12)-1</f>
        <v>2.0000000000000018E-2</v>
      </c>
      <c r="L760" s="360">
        <f>'DRE + DCF'!$Y$31</f>
        <v>7.3550000000000004E-2</v>
      </c>
      <c r="M760" s="361">
        <f>(1+D760)^((5-Dashboard!$F$9)*3/12)</f>
        <v>1.10960688619601</v>
      </c>
      <c r="N760" s="361">
        <f t="shared" ref="N760:V760" si="771">M760*(1+$D760)</f>
        <v>1.2746609105176652</v>
      </c>
      <c r="O760" s="361">
        <f t="shared" si="771"/>
        <v>1.4642667209571665</v>
      </c>
      <c r="P760" s="361">
        <f t="shared" si="771"/>
        <v>1.6820763956995433</v>
      </c>
      <c r="Q760" s="361">
        <f t="shared" si="771"/>
        <v>1.9322852595598483</v>
      </c>
      <c r="R760" s="361">
        <f t="shared" si="771"/>
        <v>2.2197126919193737</v>
      </c>
      <c r="S760" s="361">
        <f t="shared" si="771"/>
        <v>2.5498949548423782</v>
      </c>
      <c r="T760" s="361">
        <f t="shared" si="771"/>
        <v>2.9291918293751791</v>
      </c>
      <c r="U760" s="361">
        <f t="shared" si="771"/>
        <v>3.3649091139947336</v>
      </c>
      <c r="V760" s="362">
        <f t="shared" si="771"/>
        <v>3.8654393447014463</v>
      </c>
      <c r="X760" s="351"/>
    </row>
    <row r="761" spans="3:24" ht="24.75" customHeight="1" x14ac:dyDescent="0.3">
      <c r="C761" s="353">
        <f>ABS(E761-Dashboard!$F$14)</f>
        <v>77.427197898445442</v>
      </c>
      <c r="D761" s="350">
        <f t="shared" si="729"/>
        <v>0.14884999999999884</v>
      </c>
      <c r="E761" s="359" cm="1">
        <f t="array" ref="E761">1000*SUM('DRE + DCF'!$L$36/M761,'DRE + DCF'!$N$36:$V$36/N761:V761,F761/V761)/Dashboard!$F$11</f>
        <v>174.41719789844544</v>
      </c>
      <c r="F761" s="359">
        <f t="shared" si="727"/>
        <v>21422127.223063447</v>
      </c>
      <c r="G761" s="359">
        <f>'DRE + DCF'!$W$31</f>
        <v>2791623.3540418856</v>
      </c>
      <c r="H761" s="359">
        <f>'DRE + DCF'!$W$32</f>
        <v>81081.931703745853</v>
      </c>
      <c r="I761" s="359">
        <f>-H761*('DRE + DCF'!$V$33+K761)/'DRE + DCF'!$V$33</f>
        <v>-90858.801614444121</v>
      </c>
      <c r="J761" s="359">
        <f>-'DRE + DCF'!$V$56*L761</f>
        <v>-1188924.4255577971</v>
      </c>
      <c r="K761" s="360">
        <f>(1+L761)/(1+Ke!$O$12)-1</f>
        <v>2.0000000000000018E-2</v>
      </c>
      <c r="L761" s="360">
        <f>'DRE + DCF'!$Y$31</f>
        <v>7.3550000000000004E-2</v>
      </c>
      <c r="M761" s="361">
        <f>(1+D761)^((5-Dashboard!$F$9)*3/12)</f>
        <v>1.1096793298181578</v>
      </c>
      <c r="N761" s="361">
        <f t="shared" ref="N761:V761" si="772">M761*(1+$D761)</f>
        <v>1.2748550980615891</v>
      </c>
      <c r="O761" s="361">
        <f t="shared" si="772"/>
        <v>1.4646172794080552</v>
      </c>
      <c r="P761" s="361">
        <f t="shared" si="772"/>
        <v>1.6826255614479424</v>
      </c>
      <c r="Q761" s="361">
        <f t="shared" si="772"/>
        <v>1.9330843762694667</v>
      </c>
      <c r="R761" s="361">
        <f t="shared" si="772"/>
        <v>2.2208239856771748</v>
      </c>
      <c r="S761" s="361">
        <f t="shared" si="772"/>
        <v>2.5513936359452196</v>
      </c>
      <c r="T761" s="361">
        <f t="shared" si="772"/>
        <v>2.9311685786556625</v>
      </c>
      <c r="U761" s="361">
        <f t="shared" si="772"/>
        <v>3.3674730215885544</v>
      </c>
      <c r="V761" s="362">
        <f t="shared" si="772"/>
        <v>3.8687213808520067</v>
      </c>
      <c r="X761" s="351"/>
    </row>
    <row r="762" spans="3:24" ht="24.75" customHeight="1" x14ac:dyDescent="0.3">
      <c r="C762" s="353">
        <f>ABS(E762-Dashboard!$F$14)</f>
        <v>77.207990576876981</v>
      </c>
      <c r="D762" s="350">
        <f t="shared" si="729"/>
        <v>0.14894999999999883</v>
      </c>
      <c r="E762" s="359" cm="1">
        <f t="array" ref="E762">1000*SUM('DRE + DCF'!$L$36/M762,'DRE + DCF'!$N$36:$V$36/N762:V762,F762/V762)/Dashboard!$F$11</f>
        <v>174.19799057687698</v>
      </c>
      <c r="F762" s="359">
        <f t="shared" si="727"/>
        <v>21400308.73176837</v>
      </c>
      <c r="G762" s="359">
        <f>'DRE + DCF'!$W$31</f>
        <v>2791623.3540418856</v>
      </c>
      <c r="H762" s="359">
        <f>'DRE + DCF'!$W$32</f>
        <v>81081.931703745853</v>
      </c>
      <c r="I762" s="359">
        <f>-H762*('DRE + DCF'!$V$33+K762)/'DRE + DCF'!$V$33</f>
        <v>-90858.801614444121</v>
      </c>
      <c r="J762" s="359">
        <f>-'DRE + DCF'!$V$56*L762</f>
        <v>-1188924.4255577971</v>
      </c>
      <c r="K762" s="360">
        <f>(1+L762)/(1+Ke!$O$12)-1</f>
        <v>2.0000000000000018E-2</v>
      </c>
      <c r="L762" s="360">
        <f>'DRE + DCF'!$Y$31</f>
        <v>7.3550000000000004E-2</v>
      </c>
      <c r="M762" s="361">
        <f>(1+D762)^((5-Dashboard!$F$9)*3/12)</f>
        <v>1.1097517718638852</v>
      </c>
      <c r="N762" s="361">
        <f t="shared" ref="N762:V762" si="773">M762*(1+$D762)</f>
        <v>1.2750492982830095</v>
      </c>
      <c r="O762" s="361">
        <f t="shared" si="773"/>
        <v>1.4649678912622623</v>
      </c>
      <c r="P762" s="361">
        <f t="shared" si="773"/>
        <v>1.6831748586657747</v>
      </c>
      <c r="Q762" s="361">
        <f t="shared" si="773"/>
        <v>1.9338837538640399</v>
      </c>
      <c r="R762" s="361">
        <f t="shared" si="773"/>
        <v>2.2219357390020864</v>
      </c>
      <c r="S762" s="361">
        <f t="shared" si="773"/>
        <v>2.5528930673264445</v>
      </c>
      <c r="T762" s="361">
        <f t="shared" si="773"/>
        <v>2.9331464897047153</v>
      </c>
      <c r="U762" s="361">
        <f t="shared" si="773"/>
        <v>3.3700386593462293</v>
      </c>
      <c r="V762" s="362">
        <f t="shared" si="773"/>
        <v>3.8720059176558461</v>
      </c>
      <c r="X762" s="351"/>
    </row>
    <row r="763" spans="3:24" ht="24.75" customHeight="1" x14ac:dyDescent="0.3">
      <c r="C763" s="353">
        <f>ABS(E763-Dashboard!$F$14)</f>
        <v>76.98928095942513</v>
      </c>
      <c r="D763" s="350">
        <f t="shared" si="729"/>
        <v>0.14904999999999882</v>
      </c>
      <c r="E763" s="359" cm="1">
        <f t="array" ref="E763">1000*SUM('DRE + DCF'!$L$36/M763,'DRE + DCF'!$N$36:$V$36/N763:V763,F763/V763)/Dashboard!$F$11</f>
        <v>173.97928095942513</v>
      </c>
      <c r="F763" s="359">
        <f t="shared" si="727"/>
        <v>21378539.203066826</v>
      </c>
      <c r="G763" s="359">
        <f>'DRE + DCF'!$W$31</f>
        <v>2791623.3540418856</v>
      </c>
      <c r="H763" s="359">
        <f>'DRE + DCF'!$W$32</f>
        <v>81081.931703745853</v>
      </c>
      <c r="I763" s="359">
        <f>-H763*('DRE + DCF'!$V$33+K763)/'DRE + DCF'!$V$33</f>
        <v>-90858.801614444121</v>
      </c>
      <c r="J763" s="359">
        <f>-'DRE + DCF'!$V$56*L763</f>
        <v>-1188924.4255577971</v>
      </c>
      <c r="K763" s="360">
        <f>(1+L763)/(1+Ke!$O$12)-1</f>
        <v>2.0000000000000018E-2</v>
      </c>
      <c r="L763" s="360">
        <f>'DRE + DCF'!$Y$31</f>
        <v>7.3550000000000004E-2</v>
      </c>
      <c r="M763" s="361">
        <f>(1+D763)^((5-Dashboard!$F$9)*3/12)</f>
        <v>1.1098242123333633</v>
      </c>
      <c r="N763" s="361">
        <f t="shared" ref="N763:V763" si="774">M763*(1+$D763)</f>
        <v>1.2752435111816498</v>
      </c>
      <c r="O763" s="361">
        <f t="shared" si="774"/>
        <v>1.4653185565232731</v>
      </c>
      <c r="P763" s="361">
        <f t="shared" si="774"/>
        <v>1.6837242873730653</v>
      </c>
      <c r="Q763" s="361">
        <f t="shared" si="774"/>
        <v>1.9346833924060187</v>
      </c>
      <c r="R763" s="361">
        <f t="shared" si="774"/>
        <v>2.2230479520441335</v>
      </c>
      <c r="S763" s="361">
        <f t="shared" si="774"/>
        <v>2.5543932492963091</v>
      </c>
      <c r="T763" s="361">
        <f t="shared" si="774"/>
        <v>2.935125563103921</v>
      </c>
      <c r="U763" s="361">
        <f t="shared" si="774"/>
        <v>3.3726060282845571</v>
      </c>
      <c r="V763" s="362">
        <f t="shared" si="774"/>
        <v>3.8752929568003665</v>
      </c>
      <c r="X763" s="351"/>
    </row>
    <row r="764" spans="3:24" ht="24.75" customHeight="1" x14ac:dyDescent="0.3">
      <c r="C764" s="353">
        <f>ABS(E764-Dashboard!$F$14)</f>
        <v>76.771067322126399</v>
      </c>
      <c r="D764" s="350">
        <f t="shared" si="729"/>
        <v>0.14914999999999881</v>
      </c>
      <c r="E764" s="359" cm="1">
        <f t="array" ref="E764">1000*SUM('DRE + DCF'!$L$36/M764,'DRE + DCF'!$N$36:$V$36/N764:V764,F764/V764)/Dashboard!$F$11</f>
        <v>173.76106732212639</v>
      </c>
      <c r="F764" s="359">
        <f t="shared" si="727"/>
        <v>21356818.460409474</v>
      </c>
      <c r="G764" s="359">
        <f>'DRE + DCF'!$W$31</f>
        <v>2791623.3540418856</v>
      </c>
      <c r="H764" s="359">
        <f>'DRE + DCF'!$W$32</f>
        <v>81081.931703745853</v>
      </c>
      <c r="I764" s="359">
        <f>-H764*('DRE + DCF'!$V$33+K764)/'DRE + DCF'!$V$33</f>
        <v>-90858.801614444121</v>
      </c>
      <c r="J764" s="359">
        <f>-'DRE + DCF'!$V$56*L764</f>
        <v>-1188924.4255577971</v>
      </c>
      <c r="K764" s="360">
        <f>(1+L764)/(1+Ke!$O$12)-1</f>
        <v>2.0000000000000018E-2</v>
      </c>
      <c r="L764" s="360">
        <f>'DRE + DCF'!$Y$31</f>
        <v>7.3550000000000004E-2</v>
      </c>
      <c r="M764" s="361">
        <f>(1+D764)^((5-Dashboard!$F$9)*3/12)</f>
        <v>1.1098966512267636</v>
      </c>
      <c r="N764" s="361">
        <f t="shared" ref="N764:V764" si="775">M764*(1+$D764)</f>
        <v>1.275437736757234</v>
      </c>
      <c r="O764" s="361">
        <f t="shared" si="775"/>
        <v>1.4656692751945739</v>
      </c>
      <c r="P764" s="361">
        <f t="shared" si="775"/>
        <v>1.6842738475898429</v>
      </c>
      <c r="Q764" s="361">
        <f t="shared" si="775"/>
        <v>1.9354832919578659</v>
      </c>
      <c r="R764" s="361">
        <f t="shared" si="775"/>
        <v>2.2241606249533792</v>
      </c>
      <c r="S764" s="361">
        <f t="shared" si="775"/>
        <v>2.5558941821651731</v>
      </c>
      <c r="T764" s="361">
        <f t="shared" si="775"/>
        <v>2.9371057994351055</v>
      </c>
      <c r="U764" s="361">
        <f t="shared" si="775"/>
        <v>3.3751751294208479</v>
      </c>
      <c r="V764" s="362">
        <f t="shared" si="775"/>
        <v>3.8785824999739633</v>
      </c>
      <c r="X764" s="351"/>
    </row>
    <row r="765" spans="3:24" ht="24.75" customHeight="1" x14ac:dyDescent="0.3">
      <c r="C765" s="353">
        <f>ABS(E765-Dashboard!$F$14)</f>
        <v>76.553347949345564</v>
      </c>
      <c r="D765" s="350">
        <f t="shared" si="729"/>
        <v>0.1492499999999988</v>
      </c>
      <c r="E765" s="359" cm="1">
        <f t="array" ref="E765">1000*SUM('DRE + DCF'!$L$36/M765,'DRE + DCF'!$N$36:$V$36/N765:V765,F765/V765)/Dashboard!$F$11</f>
        <v>173.54334794934556</v>
      </c>
      <c r="F765" s="359">
        <f t="shared" si="727"/>
        <v>21335146.328132357</v>
      </c>
      <c r="G765" s="359">
        <f>'DRE + DCF'!$W$31</f>
        <v>2791623.3540418856</v>
      </c>
      <c r="H765" s="359">
        <f>'DRE + DCF'!$W$32</f>
        <v>81081.931703745853</v>
      </c>
      <c r="I765" s="359">
        <f>-H765*('DRE + DCF'!$V$33+K765)/'DRE + DCF'!$V$33</f>
        <v>-90858.801614444121</v>
      </c>
      <c r="J765" s="359">
        <f>-'DRE + DCF'!$V$56*L765</f>
        <v>-1188924.4255577971</v>
      </c>
      <c r="K765" s="360">
        <f>(1+L765)/(1+Ke!$O$12)-1</f>
        <v>2.0000000000000018E-2</v>
      </c>
      <c r="L765" s="360">
        <f>'DRE + DCF'!$Y$31</f>
        <v>7.3550000000000004E-2</v>
      </c>
      <c r="M765" s="361">
        <f>(1+D765)^((5-Dashboard!$F$9)*3/12)</f>
        <v>1.1099690885442579</v>
      </c>
      <c r="N765" s="361">
        <f t="shared" ref="N765:V765" si="776">M765*(1+$D765)</f>
        <v>1.2756319750094871</v>
      </c>
      <c r="O765" s="361">
        <f t="shared" si="776"/>
        <v>1.4660200472796514</v>
      </c>
      <c r="P765" s="361">
        <f t="shared" si="776"/>
        <v>1.6848235393361375</v>
      </c>
      <c r="Q765" s="361">
        <f t="shared" si="776"/>
        <v>1.936283452582054</v>
      </c>
      <c r="R765" s="361">
        <f t="shared" si="776"/>
        <v>2.2252737578799233</v>
      </c>
      <c r="S765" s="361">
        <f t="shared" si="776"/>
        <v>2.5573958662434992</v>
      </c>
      <c r="T765" s="361">
        <f t="shared" si="776"/>
        <v>2.9390871992803382</v>
      </c>
      <c r="U765" s="361">
        <f t="shared" si="776"/>
        <v>3.377745963772925</v>
      </c>
      <c r="V765" s="362">
        <f t="shared" si="776"/>
        <v>3.8818745488660298</v>
      </c>
      <c r="X765" s="351"/>
    </row>
    <row r="766" spans="3:24" ht="24.75" customHeight="1" x14ac:dyDescent="0.3">
      <c r="C766" s="353">
        <f>ABS(E766-Dashboard!$F$14)</f>
        <v>76.336121133723921</v>
      </c>
      <c r="D766" s="350">
        <f t="shared" si="729"/>
        <v>0.14934999999999879</v>
      </c>
      <c r="E766" s="359" cm="1">
        <f t="array" ref="E766">1000*SUM('DRE + DCF'!$L$36/M766,'DRE + DCF'!$N$36:$V$36/N766:V766,F766/V766)/Dashboard!$F$11</f>
        <v>173.32612113372392</v>
      </c>
      <c r="F766" s="359">
        <f t="shared" si="727"/>
        <v>21313522.631451227</v>
      </c>
      <c r="G766" s="359">
        <f>'DRE + DCF'!$W$31</f>
        <v>2791623.3540418856</v>
      </c>
      <c r="H766" s="359">
        <f>'DRE + DCF'!$W$32</f>
        <v>81081.931703745853</v>
      </c>
      <c r="I766" s="359">
        <f>-H766*('DRE + DCF'!$V$33+K766)/'DRE + DCF'!$V$33</f>
        <v>-90858.801614444121</v>
      </c>
      <c r="J766" s="359">
        <f>-'DRE + DCF'!$V$56*L766</f>
        <v>-1188924.4255577971</v>
      </c>
      <c r="K766" s="360">
        <f>(1+L766)/(1+Ke!$O$12)-1</f>
        <v>2.0000000000000018E-2</v>
      </c>
      <c r="L766" s="360">
        <f>'DRE + DCF'!$Y$31</f>
        <v>7.3550000000000004E-2</v>
      </c>
      <c r="M766" s="361">
        <f>(1+D766)^((5-Dashboard!$F$9)*3/12)</f>
        <v>1.1100415242860173</v>
      </c>
      <c r="N766" s="361">
        <f t="shared" ref="N766:V766" si="777">M766*(1+$D766)</f>
        <v>1.2758262259381326</v>
      </c>
      <c r="O766" s="361">
        <f t="shared" si="777"/>
        <v>1.4663708727819911</v>
      </c>
      <c r="P766" s="361">
        <f t="shared" si="777"/>
        <v>1.6853733626319796</v>
      </c>
      <c r="Q766" s="361">
        <f t="shared" si="777"/>
        <v>1.9370838743410637</v>
      </c>
      <c r="R766" s="361">
        <f t="shared" si="777"/>
        <v>2.2263873509738992</v>
      </c>
      <c r="S766" s="361">
        <f t="shared" si="777"/>
        <v>2.5588983018418481</v>
      </c>
      <c r="T766" s="361">
        <f t="shared" si="777"/>
        <v>2.9410697632219249</v>
      </c>
      <c r="U766" s="361">
        <f t="shared" si="777"/>
        <v>3.3803185323591158</v>
      </c>
      <c r="V766" s="362">
        <f t="shared" si="777"/>
        <v>3.8851691051669457</v>
      </c>
      <c r="X766" s="351"/>
    </row>
    <row r="767" spans="3:24" ht="24.75" customHeight="1" x14ac:dyDescent="0.3">
      <c r="C767" s="353">
        <f>ABS(E767-Dashboard!$F$14)</f>
        <v>76.119385176127295</v>
      </c>
      <c r="D767" s="350">
        <f t="shared" si="729"/>
        <v>0.14944999999999878</v>
      </c>
      <c r="E767" s="359" cm="1">
        <f t="array" ref="E767">1000*SUM('DRE + DCF'!$L$36/M767,'DRE + DCF'!$N$36:$V$36/N767:V767,F767/V767)/Dashboard!$F$11</f>
        <v>173.10938517612729</v>
      </c>
      <c r="F767" s="359">
        <f t="shared" si="727"/>
        <v>21291947.196455918</v>
      </c>
      <c r="G767" s="359">
        <f>'DRE + DCF'!$W$31</f>
        <v>2791623.3540418856</v>
      </c>
      <c r="H767" s="359">
        <f>'DRE + DCF'!$W$32</f>
        <v>81081.931703745853</v>
      </c>
      <c r="I767" s="359">
        <f>-H767*('DRE + DCF'!$V$33+K767)/'DRE + DCF'!$V$33</f>
        <v>-90858.801614444121</v>
      </c>
      <c r="J767" s="359">
        <f>-'DRE + DCF'!$V$56*L767</f>
        <v>-1188924.4255577971</v>
      </c>
      <c r="K767" s="360">
        <f>(1+L767)/(1+Ke!$O$12)-1</f>
        <v>2.0000000000000018E-2</v>
      </c>
      <c r="L767" s="360">
        <f>'DRE + DCF'!$Y$31</f>
        <v>7.3550000000000004E-2</v>
      </c>
      <c r="M767" s="361">
        <f>(1+D767)^((5-Dashboard!$F$9)*3/12)</f>
        <v>1.1101139584522133</v>
      </c>
      <c r="N767" s="361">
        <f t="shared" ref="N767:V767" si="778">M767*(1+$D767)</f>
        <v>1.2760204895428953</v>
      </c>
      <c r="O767" s="361">
        <f t="shared" si="778"/>
        <v>1.4667217517050795</v>
      </c>
      <c r="P767" s="361">
        <f t="shared" si="778"/>
        <v>1.6859233174974018</v>
      </c>
      <c r="Q767" s="361">
        <f t="shared" si="778"/>
        <v>1.9378845572973864</v>
      </c>
      <c r="R767" s="361">
        <f t="shared" si="778"/>
        <v>2.2275014043854782</v>
      </c>
      <c r="S767" s="361">
        <f t="shared" si="778"/>
        <v>2.5604014892708853</v>
      </c>
      <c r="T767" s="361">
        <f t="shared" si="778"/>
        <v>2.943053491842416</v>
      </c>
      <c r="U767" s="361">
        <f t="shared" si="778"/>
        <v>3.3828928361982613</v>
      </c>
      <c r="V767" s="362">
        <f t="shared" si="778"/>
        <v>3.8884661705680874</v>
      </c>
      <c r="X767" s="351"/>
    </row>
    <row r="768" spans="3:24" ht="24.75" customHeight="1" x14ac:dyDescent="0.3">
      <c r="C768" s="353">
        <f>ABS(E768-Dashboard!$F$14)</f>
        <v>75.903138385594602</v>
      </c>
      <c r="D768" s="350">
        <f t="shared" si="729"/>
        <v>0.14954999999999877</v>
      </c>
      <c r="E768" s="359" cm="1">
        <f t="array" ref="E768">1000*SUM('DRE + DCF'!$L$36/M768,'DRE + DCF'!$N$36:$V$36/N768:V768,F768/V768)/Dashboard!$F$11</f>
        <v>172.8931383855946</v>
      </c>
      <c r="F768" s="359">
        <f t="shared" si="727"/>
        <v>21270419.850104719</v>
      </c>
      <c r="G768" s="359">
        <f>'DRE + DCF'!$W$31</f>
        <v>2791623.3540418856</v>
      </c>
      <c r="H768" s="359">
        <f>'DRE + DCF'!$W$32</f>
        <v>81081.931703745853</v>
      </c>
      <c r="I768" s="359">
        <f>-H768*('DRE + DCF'!$V$33+K768)/'DRE + DCF'!$V$33</f>
        <v>-90858.801614444121</v>
      </c>
      <c r="J768" s="359">
        <f>-'DRE + DCF'!$V$56*L768</f>
        <v>-1188924.4255577971</v>
      </c>
      <c r="K768" s="360">
        <f>(1+L768)/(1+Ke!$O$12)-1</f>
        <v>2.0000000000000018E-2</v>
      </c>
      <c r="L768" s="360">
        <f>'DRE + DCF'!$Y$31</f>
        <v>7.3550000000000004E-2</v>
      </c>
      <c r="M768" s="361">
        <f>(1+D768)^((5-Dashboard!$F$9)*3/12)</f>
        <v>1.1101863910430172</v>
      </c>
      <c r="N768" s="361">
        <f t="shared" ref="N768:V768" si="779">M768*(1+$D768)</f>
        <v>1.276214765823499</v>
      </c>
      <c r="O768" s="361">
        <f t="shared" si="779"/>
        <v>1.4670726840524018</v>
      </c>
      <c r="P768" s="361">
        <f t="shared" si="779"/>
        <v>1.6864734039524365</v>
      </c>
      <c r="Q768" s="361">
        <f t="shared" si="779"/>
        <v>1.9386855015135211</v>
      </c>
      <c r="R768" s="361">
        <f t="shared" si="779"/>
        <v>2.2286159182648659</v>
      </c>
      <c r="S768" s="361">
        <f t="shared" si="779"/>
        <v>2.5619054288413738</v>
      </c>
      <c r="T768" s="361">
        <f t="shared" si="779"/>
        <v>2.9450383857245979</v>
      </c>
      <c r="U768" s="361">
        <f t="shared" si="779"/>
        <v>3.3854688763097078</v>
      </c>
      <c r="V768" s="362">
        <f t="shared" si="779"/>
        <v>3.8917657467618203</v>
      </c>
      <c r="X768" s="351"/>
    </row>
    <row r="769" spans="3:24" ht="24.75" customHeight="1" x14ac:dyDescent="0.3">
      <c r="C769" s="353">
        <f>ABS(E769-Dashboard!$F$14)</f>
        <v>75.687379079287084</v>
      </c>
      <c r="D769" s="350">
        <f t="shared" si="729"/>
        <v>0.14964999999999876</v>
      </c>
      <c r="E769" s="359" cm="1">
        <f t="array" ref="E769">1000*SUM('DRE + DCF'!$L$36/M769,'DRE + DCF'!$N$36:$V$36/N769:V769,F769/V769)/Dashboard!$F$11</f>
        <v>172.67737907928708</v>
      </c>
      <c r="F769" s="359">
        <f t="shared" si="727"/>
        <v>21248940.420218877</v>
      </c>
      <c r="G769" s="359">
        <f>'DRE + DCF'!$W$31</f>
        <v>2791623.3540418856</v>
      </c>
      <c r="H769" s="359">
        <f>'DRE + DCF'!$W$32</f>
        <v>81081.931703745853</v>
      </c>
      <c r="I769" s="359">
        <f>-H769*('DRE + DCF'!$V$33+K769)/'DRE + DCF'!$V$33</f>
        <v>-90858.801614444121</v>
      </c>
      <c r="J769" s="359">
        <f>-'DRE + DCF'!$V$56*L769</f>
        <v>-1188924.4255577971</v>
      </c>
      <c r="K769" s="360">
        <f>(1+L769)/(1+Ke!$O$12)-1</f>
        <v>2.0000000000000018E-2</v>
      </c>
      <c r="L769" s="360">
        <f>'DRE + DCF'!$Y$31</f>
        <v>7.3550000000000004E-2</v>
      </c>
      <c r="M769" s="361">
        <f>(1+D769)^((5-Dashboard!$F$9)*3/12)</f>
        <v>1.1102588220586003</v>
      </c>
      <c r="N769" s="361">
        <f t="shared" ref="N769:V769" si="780">M769*(1+$D769)</f>
        <v>1.2764090547796685</v>
      </c>
      <c r="O769" s="361">
        <f t="shared" si="780"/>
        <v>1.4674236698274443</v>
      </c>
      <c r="P769" s="361">
        <f t="shared" si="780"/>
        <v>1.6870236220171195</v>
      </c>
      <c r="Q769" s="361">
        <f t="shared" si="780"/>
        <v>1.9394867070519792</v>
      </c>
      <c r="R769" s="361">
        <f t="shared" si="780"/>
        <v>2.2297308927623054</v>
      </c>
      <c r="S769" s="361">
        <f t="shared" si="780"/>
        <v>2.5634101208641815</v>
      </c>
      <c r="T769" s="361">
        <f t="shared" si="780"/>
        <v>2.9470244454515031</v>
      </c>
      <c r="U769" s="361">
        <f t="shared" si="780"/>
        <v>3.3880466537133169</v>
      </c>
      <c r="V769" s="362">
        <f t="shared" si="780"/>
        <v>3.8950678354415107</v>
      </c>
      <c r="X769" s="351"/>
    </row>
    <row r="770" spans="3:24" ht="24.75" customHeight="1" x14ac:dyDescent="0.3">
      <c r="C770" s="353">
        <f>ABS(E770-Dashboard!$F$14)</f>
        <v>75.472105582437322</v>
      </c>
      <c r="D770" s="350">
        <f t="shared" si="729"/>
        <v>0.14974999999999875</v>
      </c>
      <c r="E770" s="359" cm="1">
        <f t="array" ref="E770">1000*SUM('DRE + DCF'!$L$36/M770,'DRE + DCF'!$N$36:$V$36/N770:V770,F770/V770)/Dashboard!$F$11</f>
        <v>172.46210558243732</v>
      </c>
      <c r="F770" s="359">
        <f t="shared" si="727"/>
        <v>21227508.73547703</v>
      </c>
      <c r="G770" s="359">
        <f>'DRE + DCF'!$W$31</f>
        <v>2791623.3540418856</v>
      </c>
      <c r="H770" s="359">
        <f>'DRE + DCF'!$W$32</f>
        <v>81081.931703745853</v>
      </c>
      <c r="I770" s="359">
        <f>-H770*('DRE + DCF'!$V$33+K770)/'DRE + DCF'!$V$33</f>
        <v>-90858.801614444121</v>
      </c>
      <c r="J770" s="359">
        <f>-'DRE + DCF'!$V$56*L770</f>
        <v>-1188924.4255577971</v>
      </c>
      <c r="K770" s="360">
        <f>(1+L770)/(1+Ke!$O$12)-1</f>
        <v>2.0000000000000018E-2</v>
      </c>
      <c r="L770" s="360">
        <f>'DRE + DCF'!$Y$31</f>
        <v>7.3550000000000004E-2</v>
      </c>
      <c r="M770" s="361">
        <f>(1+D770)^((5-Dashboard!$F$9)*3/12)</f>
        <v>1.1103312514991337</v>
      </c>
      <c r="N770" s="361">
        <f t="shared" ref="N770:V770" si="781">M770*(1+$D770)</f>
        <v>1.2766033564111277</v>
      </c>
      <c r="O770" s="361">
        <f t="shared" si="781"/>
        <v>1.4677747090336923</v>
      </c>
      <c r="P770" s="361">
        <f t="shared" si="781"/>
        <v>1.6875739717114859</v>
      </c>
      <c r="Q770" s="361">
        <f t="shared" si="781"/>
        <v>1.9402881739752789</v>
      </c>
      <c r="R770" s="361">
        <f t="shared" si="781"/>
        <v>2.2308463280280746</v>
      </c>
      <c r="S770" s="361">
        <f t="shared" si="781"/>
        <v>2.564915565650276</v>
      </c>
      <c r="T770" s="361">
        <f t="shared" si="781"/>
        <v>2.9490116716064017</v>
      </c>
      <c r="U770" s="361">
        <f t="shared" si="781"/>
        <v>3.3906261694294564</v>
      </c>
      <c r="V770" s="362">
        <f t="shared" si="781"/>
        <v>3.898372438301513</v>
      </c>
      <c r="X770" s="351"/>
    </row>
    <row r="771" spans="3:24" ht="24.75" customHeight="1" x14ac:dyDescent="0.3">
      <c r="C771" s="353">
        <f>ABS(E771-Dashboard!$F$14)</f>
        <v>75.257316228299587</v>
      </c>
      <c r="D771" s="350">
        <f t="shared" si="729"/>
        <v>0.14984999999999873</v>
      </c>
      <c r="E771" s="359" cm="1">
        <f t="array" ref="E771">1000*SUM('DRE + DCF'!$L$36/M771,'DRE + DCF'!$N$36:$V$36/N771:V771,F771/V771)/Dashboard!$F$11</f>
        <v>172.24731622829958</v>
      </c>
      <c r="F771" s="359">
        <f t="shared" si="727"/>
        <v>21206124.625409797</v>
      </c>
      <c r="G771" s="359">
        <f>'DRE + DCF'!$W$31</f>
        <v>2791623.3540418856</v>
      </c>
      <c r="H771" s="359">
        <f>'DRE + DCF'!$W$32</f>
        <v>81081.931703745853</v>
      </c>
      <c r="I771" s="359">
        <f>-H771*('DRE + DCF'!$V$33+K771)/'DRE + DCF'!$V$33</f>
        <v>-90858.801614444121</v>
      </c>
      <c r="J771" s="359">
        <f>-'DRE + DCF'!$V$56*L771</f>
        <v>-1188924.4255577971</v>
      </c>
      <c r="K771" s="360">
        <f>(1+L771)/(1+Ke!$O$12)-1</f>
        <v>2.0000000000000018E-2</v>
      </c>
      <c r="L771" s="360">
        <f>'DRE + DCF'!$Y$31</f>
        <v>7.3550000000000004E-2</v>
      </c>
      <c r="M771" s="361">
        <f>(1+D771)^((5-Dashboard!$F$9)*3/12)</f>
        <v>1.1104036793647889</v>
      </c>
      <c r="N771" s="361">
        <f t="shared" ref="N771:V771" si="782">M771*(1+$D771)</f>
        <v>1.276797670717601</v>
      </c>
      <c r="O771" s="361">
        <f t="shared" si="782"/>
        <v>1.4681258016746319</v>
      </c>
      <c r="P771" s="361">
        <f t="shared" si="782"/>
        <v>1.6881244530555737</v>
      </c>
      <c r="Q771" s="361">
        <f t="shared" si="782"/>
        <v>1.9410899023459491</v>
      </c>
      <c r="R771" s="361">
        <f t="shared" si="782"/>
        <v>2.231962224212487</v>
      </c>
      <c r="S771" s="361">
        <f t="shared" si="782"/>
        <v>2.5664217635107254</v>
      </c>
      <c r="T771" s="361">
        <f t="shared" si="782"/>
        <v>2.9510000647728041</v>
      </c>
      <c r="U771" s="361">
        <f t="shared" si="782"/>
        <v>3.3932074244790051</v>
      </c>
      <c r="V771" s="362">
        <f t="shared" si="782"/>
        <v>3.9016795570371796</v>
      </c>
      <c r="X771" s="351"/>
    </row>
    <row r="772" spans="3:24" ht="24.75" customHeight="1" x14ac:dyDescent="0.3">
      <c r="C772" s="353">
        <f>ABS(E772-Dashboard!$F$14)</f>
        <v>75.043009358099354</v>
      </c>
      <c r="D772" s="350">
        <f t="shared" si="729"/>
        <v>0.14994999999999872</v>
      </c>
      <c r="E772" s="359" cm="1">
        <f t="array" ref="E772">1000*SUM('DRE + DCF'!$L$36/M772,'DRE + DCF'!$N$36:$V$36/N772:V772,F772/V772)/Dashboard!$F$11</f>
        <v>172.03300935809935</v>
      </c>
      <c r="F772" s="359">
        <f t="shared" si="727"/>
        <v>21184787.920394316</v>
      </c>
      <c r="G772" s="359">
        <f>'DRE + DCF'!$W$31</f>
        <v>2791623.3540418856</v>
      </c>
      <c r="H772" s="359">
        <f>'DRE + DCF'!$W$32</f>
        <v>81081.931703745853</v>
      </c>
      <c r="I772" s="359">
        <f>-H772*('DRE + DCF'!$V$33+K772)/'DRE + DCF'!$V$33</f>
        <v>-90858.801614444121</v>
      </c>
      <c r="J772" s="359">
        <f>-'DRE + DCF'!$V$56*L772</f>
        <v>-1188924.4255577971</v>
      </c>
      <c r="K772" s="360">
        <f>(1+L772)/(1+Ke!$O$12)-1</f>
        <v>2.0000000000000018E-2</v>
      </c>
      <c r="L772" s="360">
        <f>'DRE + DCF'!$Y$31</f>
        <v>7.3550000000000004E-2</v>
      </c>
      <c r="M772" s="361">
        <f>(1+D772)^((5-Dashboard!$F$9)*3/12)</f>
        <v>1.1104761056557371</v>
      </c>
      <c r="N772" s="361">
        <f t="shared" ref="N772:V772" si="783">M772*(1+$D772)</f>
        <v>1.2769919976988133</v>
      </c>
      <c r="O772" s="361">
        <f t="shared" si="783"/>
        <v>1.4684769477537487</v>
      </c>
      <c r="P772" s="361">
        <f t="shared" si="783"/>
        <v>1.6886750660694214</v>
      </c>
      <c r="Q772" s="361">
        <f t="shared" si="783"/>
        <v>1.9418918922265289</v>
      </c>
      <c r="R772" s="361">
        <f t="shared" si="783"/>
        <v>2.2330785814658944</v>
      </c>
      <c r="S772" s="361">
        <f t="shared" si="783"/>
        <v>2.5679287147567025</v>
      </c>
      <c r="T772" s="361">
        <f t="shared" si="783"/>
        <v>2.9529896255344665</v>
      </c>
      <c r="U772" s="361">
        <f t="shared" si="783"/>
        <v>3.3957904198833559</v>
      </c>
      <c r="V772" s="362">
        <f t="shared" si="783"/>
        <v>3.9049891933448606</v>
      </c>
      <c r="X772" s="351"/>
    </row>
    <row r="773" spans="3:24" ht="24.75" customHeight="1" x14ac:dyDescent="0.3">
      <c r="C773" s="353">
        <f>ABS(E773-Dashboard!$F$14)</f>
        <v>74.829183320984455</v>
      </c>
      <c r="D773" s="350">
        <f t="shared" si="729"/>
        <v>0.15004999999999871</v>
      </c>
      <c r="E773" s="359" cm="1">
        <f t="array" ref="E773">1000*SUM('DRE + DCF'!$L$36/M773,'DRE + DCF'!$N$36:$V$36/N773:V773,F773/V773)/Dashboard!$F$11</f>
        <v>171.81918332098445</v>
      </c>
      <c r="F773" s="359">
        <f t="shared" si="727"/>
        <v>21163498.451648898</v>
      </c>
      <c r="G773" s="359">
        <f>'DRE + DCF'!$W$31</f>
        <v>2791623.3540418856</v>
      </c>
      <c r="H773" s="359">
        <f>'DRE + DCF'!$W$32</f>
        <v>81081.931703745853</v>
      </c>
      <c r="I773" s="359">
        <f>-H773*('DRE + DCF'!$V$33+K773)/'DRE + DCF'!$V$33</f>
        <v>-90858.801614444121</v>
      </c>
      <c r="J773" s="359">
        <f>-'DRE + DCF'!$V$56*L773</f>
        <v>-1188924.4255577971</v>
      </c>
      <c r="K773" s="360">
        <f>(1+L773)/(1+Ke!$O$12)-1</f>
        <v>2.0000000000000018E-2</v>
      </c>
      <c r="L773" s="360">
        <f>'DRE + DCF'!$Y$31</f>
        <v>7.3550000000000004E-2</v>
      </c>
      <c r="M773" s="361">
        <f>(1+D773)^((5-Dashboard!$F$9)*3/12)</f>
        <v>1.1105485303721492</v>
      </c>
      <c r="N773" s="361">
        <f t="shared" ref="N773:V773" si="784">M773*(1+$D773)</f>
        <v>1.2771863373544887</v>
      </c>
      <c r="O773" s="361">
        <f t="shared" si="784"/>
        <v>1.4688281472745282</v>
      </c>
      <c r="P773" s="361">
        <f t="shared" si="784"/>
        <v>1.6892258107730691</v>
      </c>
      <c r="Q773" s="361">
        <f t="shared" si="784"/>
        <v>1.9426941436795659</v>
      </c>
      <c r="R773" s="361">
        <f t="shared" si="784"/>
        <v>2.2341953999386823</v>
      </c>
      <c r="S773" s="361">
        <f t="shared" si="784"/>
        <v>2.5694364196994788</v>
      </c>
      <c r="T773" s="361">
        <f t="shared" si="784"/>
        <v>2.9549803544753823</v>
      </c>
      <c r="U773" s="361">
        <f t="shared" si="784"/>
        <v>3.3983751566644096</v>
      </c>
      <c r="V773" s="362">
        <f t="shared" si="784"/>
        <v>3.9083013489218996</v>
      </c>
      <c r="X773" s="351"/>
    </row>
    <row r="774" spans="3:24" ht="24.75" customHeight="1" x14ac:dyDescent="0.3">
      <c r="C774" s="353">
        <f>ABS(E774-Dashboard!$F$14)</f>
        <v>74.615836473975648</v>
      </c>
      <c r="D774" s="350">
        <f t="shared" si="729"/>
        <v>0.1501499999999987</v>
      </c>
      <c r="E774" s="359" cm="1">
        <f t="array" ref="E774">1000*SUM('DRE + DCF'!$L$36/M774,'DRE + DCF'!$N$36:$V$36/N774:V774,F774/V774)/Dashboard!$F$11</f>
        <v>171.60583647397564</v>
      </c>
      <c r="F774" s="359">
        <f t="shared" si="727"/>
        <v>21142256.051227652</v>
      </c>
      <c r="G774" s="359">
        <f>'DRE + DCF'!$W$31</f>
        <v>2791623.3540418856</v>
      </c>
      <c r="H774" s="359">
        <f>'DRE + DCF'!$W$32</f>
        <v>81081.931703745853</v>
      </c>
      <c r="I774" s="359">
        <f>-H774*('DRE + DCF'!$V$33+K774)/'DRE + DCF'!$V$33</f>
        <v>-90858.801614444121</v>
      </c>
      <c r="J774" s="359">
        <f>-'DRE + DCF'!$V$56*L774</f>
        <v>-1188924.4255577971</v>
      </c>
      <c r="K774" s="360">
        <f>(1+L774)/(1+Ke!$O$12)-1</f>
        <v>2.0000000000000018E-2</v>
      </c>
      <c r="L774" s="360">
        <f>'DRE + DCF'!$Y$31</f>
        <v>7.3550000000000004E-2</v>
      </c>
      <c r="M774" s="361">
        <f>(1+D774)^((5-Dashboard!$F$9)*3/12)</f>
        <v>1.1106209535141967</v>
      </c>
      <c r="N774" s="361">
        <f t="shared" ref="N774:V774" si="785">M774*(1+$D774)</f>
        <v>1.2773806896843518</v>
      </c>
      <c r="O774" s="361">
        <f t="shared" si="785"/>
        <v>1.4691794002404555</v>
      </c>
      <c r="P774" s="361">
        <f t="shared" si="785"/>
        <v>1.6897766871865578</v>
      </c>
      <c r="Q774" s="361">
        <f t="shared" si="785"/>
        <v>1.9434966567676173</v>
      </c>
      <c r="R774" s="361">
        <f t="shared" si="785"/>
        <v>2.2353126797812726</v>
      </c>
      <c r="S774" s="361">
        <f t="shared" si="785"/>
        <v>2.5709448786504279</v>
      </c>
      <c r="T774" s="361">
        <f t="shared" si="785"/>
        <v>2.9569722521797863</v>
      </c>
      <c r="U774" s="361">
        <f t="shared" si="785"/>
        <v>3.4009616358445771</v>
      </c>
      <c r="V774" s="362">
        <f t="shared" si="785"/>
        <v>3.9116160254666359</v>
      </c>
      <c r="X774" s="351"/>
    </row>
    <row r="775" spans="3:24" ht="24.75" customHeight="1" x14ac:dyDescent="0.3">
      <c r="C775" s="353">
        <f>ABS(E775-Dashboard!$F$14)</f>
        <v>74.402967181918157</v>
      </c>
      <c r="D775" s="350">
        <f t="shared" si="729"/>
        <v>0.15024999999999869</v>
      </c>
      <c r="E775" s="359" cm="1">
        <f t="array" ref="E775">1000*SUM('DRE + DCF'!$L$36/M775,'DRE + DCF'!$N$36:$V$36/N775:V775,F775/V775)/Dashboard!$F$11</f>
        <v>171.39296718191815</v>
      </c>
      <c r="F775" s="359">
        <f t="shared" si="727"/>
        <v>21121060.552015223</v>
      </c>
      <c r="G775" s="359">
        <f>'DRE + DCF'!$W$31</f>
        <v>2791623.3540418856</v>
      </c>
      <c r="H775" s="359">
        <f>'DRE + DCF'!$W$32</f>
        <v>81081.931703745853</v>
      </c>
      <c r="I775" s="359">
        <f>-H775*('DRE + DCF'!$V$33+K775)/'DRE + DCF'!$V$33</f>
        <v>-90858.801614444121</v>
      </c>
      <c r="J775" s="359">
        <f>-'DRE + DCF'!$V$56*L775</f>
        <v>-1188924.4255577971</v>
      </c>
      <c r="K775" s="360">
        <f>(1+L775)/(1+Ke!$O$12)-1</f>
        <v>2.0000000000000018E-2</v>
      </c>
      <c r="L775" s="360">
        <f>'DRE + DCF'!$Y$31</f>
        <v>7.3550000000000004E-2</v>
      </c>
      <c r="M775" s="361">
        <f>(1+D775)^((5-Dashboard!$F$9)*3/12)</f>
        <v>1.1106933750820502</v>
      </c>
      <c r="N775" s="361">
        <f t="shared" ref="N775:V775" si="786">M775*(1+$D775)</f>
        <v>1.2775750546881268</v>
      </c>
      <c r="O775" s="361">
        <f t="shared" si="786"/>
        <v>1.4695307066550161</v>
      </c>
      <c r="P775" s="361">
        <f t="shared" si="786"/>
        <v>1.6903276953299302</v>
      </c>
      <c r="Q775" s="361">
        <f t="shared" si="786"/>
        <v>1.94429943155325</v>
      </c>
      <c r="R775" s="361">
        <f t="shared" si="786"/>
        <v>2.236430421144123</v>
      </c>
      <c r="S775" s="361">
        <f t="shared" si="786"/>
        <v>2.5724540919210246</v>
      </c>
      <c r="T775" s="361">
        <f t="shared" si="786"/>
        <v>2.958965319232155</v>
      </c>
      <c r="U775" s="361">
        <f t="shared" si="786"/>
        <v>3.4035498584467825</v>
      </c>
      <c r="V775" s="362">
        <f t="shared" si="786"/>
        <v>3.914933224678407</v>
      </c>
      <c r="X775" s="351"/>
    </row>
    <row r="776" spans="3:24" ht="24.75" customHeight="1" x14ac:dyDescent="0.3">
      <c r="C776" s="353">
        <f>ABS(E776-Dashboard!$F$14)</f>
        <v>74.190573817432963</v>
      </c>
      <c r="D776" s="350">
        <f t="shared" si="729"/>
        <v>0.15034999999999868</v>
      </c>
      <c r="E776" s="359" cm="1">
        <f t="array" ref="E776">1000*SUM('DRE + DCF'!$L$36/M776,'DRE + DCF'!$N$36:$V$36/N776:V776,F776/V776)/Dashboard!$F$11</f>
        <v>171.18057381743296</v>
      </c>
      <c r="F776" s="359">
        <f t="shared" si="727"/>
        <v>21099911.787721504</v>
      </c>
      <c r="G776" s="359">
        <f>'DRE + DCF'!$W$31</f>
        <v>2791623.3540418856</v>
      </c>
      <c r="H776" s="359">
        <f>'DRE + DCF'!$W$32</f>
        <v>81081.931703745853</v>
      </c>
      <c r="I776" s="359">
        <f>-H776*('DRE + DCF'!$V$33+K776)/'DRE + DCF'!$V$33</f>
        <v>-90858.801614444121</v>
      </c>
      <c r="J776" s="359">
        <f>-'DRE + DCF'!$V$56*L776</f>
        <v>-1188924.4255577971</v>
      </c>
      <c r="K776" s="360">
        <f>(1+L776)/(1+Ke!$O$12)-1</f>
        <v>2.0000000000000018E-2</v>
      </c>
      <c r="L776" s="360">
        <f>'DRE + DCF'!$Y$31</f>
        <v>7.3550000000000004E-2</v>
      </c>
      <c r="M776" s="361">
        <f>(1+D776)^((5-Dashboard!$F$9)*3/12)</f>
        <v>1.1107657950758814</v>
      </c>
      <c r="N776" s="361">
        <f t="shared" ref="N776:V776" si="787">M776*(1+$D776)</f>
        <v>1.2777694323655386</v>
      </c>
      <c r="O776" s="361">
        <f t="shared" si="787"/>
        <v>1.4698820665216956</v>
      </c>
      <c r="P776" s="361">
        <f t="shared" si="787"/>
        <v>1.6908788352232307</v>
      </c>
      <c r="Q776" s="361">
        <f t="shared" si="787"/>
        <v>1.9451024680990412</v>
      </c>
      <c r="R776" s="361">
        <f t="shared" si="787"/>
        <v>2.2375486241777294</v>
      </c>
      <c r="S776" s="361">
        <f t="shared" si="787"/>
        <v>2.5739640598228481</v>
      </c>
      <c r="T776" s="361">
        <f t="shared" si="787"/>
        <v>2.96095955621721</v>
      </c>
      <c r="U776" s="361">
        <f t="shared" si="787"/>
        <v>3.4061398254944635</v>
      </c>
      <c r="V776" s="362">
        <f t="shared" si="787"/>
        <v>3.9182529482575514</v>
      </c>
      <c r="X776" s="351"/>
    </row>
    <row r="777" spans="3:24" ht="24.75" customHeight="1" x14ac:dyDescent="0.3">
      <c r="C777" s="353">
        <f>ABS(E777-Dashboard!$F$14)</f>
        <v>73.978654760869389</v>
      </c>
      <c r="D777" s="350">
        <f t="shared" si="729"/>
        <v>0.15044999999999867</v>
      </c>
      <c r="E777" s="359" cm="1">
        <f t="array" ref="E777">1000*SUM('DRE + DCF'!$L$36/M777,'DRE + DCF'!$N$36:$V$36/N777:V777,F777/V777)/Dashboard!$F$11</f>
        <v>170.96865476086938</v>
      </c>
      <c r="F777" s="359">
        <f t="shared" si="727"/>
        <v>21078809.592876453</v>
      </c>
      <c r="G777" s="359">
        <f>'DRE + DCF'!$W$31</f>
        <v>2791623.3540418856</v>
      </c>
      <c r="H777" s="359">
        <f>'DRE + DCF'!$W$32</f>
        <v>81081.931703745853</v>
      </c>
      <c r="I777" s="359">
        <f>-H777*('DRE + DCF'!$V$33+K777)/'DRE + DCF'!$V$33</f>
        <v>-90858.801614444121</v>
      </c>
      <c r="J777" s="359">
        <f>-'DRE + DCF'!$V$56*L777</f>
        <v>-1188924.4255577971</v>
      </c>
      <c r="K777" s="360">
        <f>(1+L777)/(1+Ke!$O$12)-1</f>
        <v>2.0000000000000018E-2</v>
      </c>
      <c r="L777" s="360">
        <f>'DRE + DCF'!$Y$31</f>
        <v>7.3550000000000004E-2</v>
      </c>
      <c r="M777" s="361">
        <f>(1+D777)^((5-Dashboard!$F$9)*3/12)</f>
        <v>1.1108382134958608</v>
      </c>
      <c r="N777" s="361">
        <f t="shared" ref="N777:V777" si="788">M777*(1+$D777)</f>
        <v>1.2779638227163115</v>
      </c>
      <c r="O777" s="361">
        <f t="shared" si="788"/>
        <v>1.4702334798439789</v>
      </c>
      <c r="P777" s="361">
        <f t="shared" si="788"/>
        <v>1.6914301068865034</v>
      </c>
      <c r="Q777" s="361">
        <f t="shared" si="788"/>
        <v>1.9459057664675756</v>
      </c>
      <c r="R777" s="361">
        <f t="shared" si="788"/>
        <v>2.2386672890326196</v>
      </c>
      <c r="S777" s="361">
        <f t="shared" si="788"/>
        <v>2.5754747826675741</v>
      </c>
      <c r="T777" s="361">
        <f t="shared" si="788"/>
        <v>2.9629549637199073</v>
      </c>
      <c r="U777" s="361">
        <f t="shared" si="788"/>
        <v>3.4087315380115633</v>
      </c>
      <c r="V777" s="362">
        <f t="shared" si="788"/>
        <v>3.9215751979053981</v>
      </c>
      <c r="X777" s="351"/>
    </row>
    <row r="778" spans="3:24" ht="24.75" customHeight="1" x14ac:dyDescent="0.3">
      <c r="C778" s="353">
        <f>ABS(E778-Dashboard!$F$14)</f>
        <v>73.767208400256905</v>
      </c>
      <c r="D778" s="350">
        <f t="shared" si="729"/>
        <v>0.15054999999999866</v>
      </c>
      <c r="E778" s="359" cm="1">
        <f t="array" ref="E778">1000*SUM('DRE + DCF'!$L$36/M778,'DRE + DCF'!$N$36:$V$36/N778:V778,F778/V778)/Dashboard!$F$11</f>
        <v>170.7572084002569</v>
      </c>
      <c r="F778" s="359">
        <f t="shared" si="727"/>
        <v>21057753.802824885</v>
      </c>
      <c r="G778" s="359">
        <f>'DRE + DCF'!$W$31</f>
        <v>2791623.3540418856</v>
      </c>
      <c r="H778" s="359">
        <f>'DRE + DCF'!$W$32</f>
        <v>81081.931703745853</v>
      </c>
      <c r="I778" s="359">
        <f>-H778*('DRE + DCF'!$V$33+K778)/'DRE + DCF'!$V$33</f>
        <v>-90858.801614444121</v>
      </c>
      <c r="J778" s="359">
        <f>-'DRE + DCF'!$V$56*L778</f>
        <v>-1188924.4255577971</v>
      </c>
      <c r="K778" s="360">
        <f>(1+L778)/(1+Ke!$O$12)-1</f>
        <v>2.0000000000000018E-2</v>
      </c>
      <c r="L778" s="360">
        <f>'DRE + DCF'!$Y$31</f>
        <v>7.3550000000000004E-2</v>
      </c>
      <c r="M778" s="361">
        <f>(1+D778)^((5-Dashboard!$F$9)*3/12)</f>
        <v>1.1109106303421596</v>
      </c>
      <c r="N778" s="361">
        <f t="shared" ref="N778:V778" si="789">M778*(1+$D778)</f>
        <v>1.2781582257401702</v>
      </c>
      <c r="O778" s="361">
        <f t="shared" si="789"/>
        <v>1.4705849466253511</v>
      </c>
      <c r="P778" s="361">
        <f t="shared" si="789"/>
        <v>1.6919815103397957</v>
      </c>
      <c r="Q778" s="361">
        <f t="shared" si="789"/>
        <v>1.9467093267214497</v>
      </c>
      <c r="R778" s="361">
        <f t="shared" si="789"/>
        <v>2.2397864158593612</v>
      </c>
      <c r="S778" s="361">
        <f t="shared" si="789"/>
        <v>2.5769862607669851</v>
      </c>
      <c r="T778" s="361">
        <f t="shared" si="789"/>
        <v>2.9649515423254513</v>
      </c>
      <c r="U778" s="361">
        <f t="shared" si="789"/>
        <v>3.4113249970225441</v>
      </c>
      <c r="V778" s="362">
        <f t="shared" si="789"/>
        <v>3.9248999753242835</v>
      </c>
      <c r="X778" s="351"/>
    </row>
    <row r="779" spans="3:24" ht="24.75" customHeight="1" x14ac:dyDescent="0.3">
      <c r="C779" s="353">
        <f>ABS(E779-Dashboard!$F$14)</f>
        <v>73.556233131258594</v>
      </c>
      <c r="D779" s="350">
        <f t="shared" si="729"/>
        <v>0.15064999999999865</v>
      </c>
      <c r="E779" s="359" cm="1">
        <f t="array" ref="E779">1000*SUM('DRE + DCF'!$L$36/M779,'DRE + DCF'!$N$36:$V$36/N779:V779,F779/V779)/Dashboard!$F$11</f>
        <v>170.54623313125859</v>
      </c>
      <c r="F779" s="359">
        <f t="shared" si="727"/>
        <v>21036744.253721356</v>
      </c>
      <c r="G779" s="359">
        <f>'DRE + DCF'!$W$31</f>
        <v>2791623.3540418856</v>
      </c>
      <c r="H779" s="359">
        <f>'DRE + DCF'!$W$32</f>
        <v>81081.931703745853</v>
      </c>
      <c r="I779" s="359">
        <f>-H779*('DRE + DCF'!$V$33+K779)/'DRE + DCF'!$V$33</f>
        <v>-90858.801614444121</v>
      </c>
      <c r="J779" s="359">
        <f>-'DRE + DCF'!$V$56*L779</f>
        <v>-1188924.4255577971</v>
      </c>
      <c r="K779" s="360">
        <f>(1+L779)/(1+Ke!$O$12)-1</f>
        <v>2.0000000000000018E-2</v>
      </c>
      <c r="L779" s="360">
        <f>'DRE + DCF'!$Y$31</f>
        <v>7.3550000000000004E-2</v>
      </c>
      <c r="M779" s="361">
        <f>(1+D779)^((5-Dashboard!$F$9)*3/12)</f>
        <v>1.110983045614949</v>
      </c>
      <c r="N779" s="361">
        <f t="shared" ref="N779:V779" si="790">M779*(1+$D779)</f>
        <v>1.2783526414368396</v>
      </c>
      <c r="O779" s="361">
        <f t="shared" si="790"/>
        <v>1.4709364668692977</v>
      </c>
      <c r="P779" s="361">
        <f t="shared" si="790"/>
        <v>1.6925330456031553</v>
      </c>
      <c r="Q779" s="361">
        <f t="shared" si="790"/>
        <v>1.9475131489232684</v>
      </c>
      <c r="R779" s="361">
        <f t="shared" si="790"/>
        <v>2.2409060048085561</v>
      </c>
      <c r="S779" s="361">
        <f t="shared" si="790"/>
        <v>2.5784984944329619</v>
      </c>
      <c r="T779" s="361">
        <f t="shared" si="790"/>
        <v>2.966949292619284</v>
      </c>
      <c r="U779" s="361">
        <f t="shared" si="790"/>
        <v>3.413920203552375</v>
      </c>
      <c r="V779" s="362">
        <f t="shared" si="790"/>
        <v>3.9282272822175357</v>
      </c>
      <c r="X779" s="351"/>
    </row>
    <row r="780" spans="3:24" ht="24.75" customHeight="1" x14ac:dyDescent="0.3">
      <c r="C780" s="353">
        <f>ABS(E780-Dashboard!$F$14)</f>
        <v>73.345727357123437</v>
      </c>
      <c r="D780" s="350">
        <f t="shared" si="729"/>
        <v>0.15074999999999864</v>
      </c>
      <c r="E780" s="359" cm="1">
        <f t="array" ref="E780">1000*SUM('DRE + DCF'!$L$36/M780,'DRE + DCF'!$N$36:$V$36/N780:V780,F780/V780)/Dashboard!$F$11</f>
        <v>170.33572735712343</v>
      </c>
      <c r="F780" s="359">
        <f t="shared" si="727"/>
        <v>21015780.782525063</v>
      </c>
      <c r="G780" s="359">
        <f>'DRE + DCF'!$W$31</f>
        <v>2791623.3540418856</v>
      </c>
      <c r="H780" s="359">
        <f>'DRE + DCF'!$W$32</f>
        <v>81081.931703745853</v>
      </c>
      <c r="I780" s="359">
        <f>-H780*('DRE + DCF'!$V$33+K780)/'DRE + DCF'!$V$33</f>
        <v>-90858.801614444121</v>
      </c>
      <c r="J780" s="359">
        <f>-'DRE + DCF'!$V$56*L780</f>
        <v>-1188924.4255577971</v>
      </c>
      <c r="K780" s="360">
        <f>(1+L780)/(1+Ke!$O$12)-1</f>
        <v>2.0000000000000018E-2</v>
      </c>
      <c r="L780" s="360">
        <f>'DRE + DCF'!$Y$31</f>
        <v>7.3550000000000004E-2</v>
      </c>
      <c r="M780" s="361">
        <f>(1+D780)^((5-Dashboard!$F$9)*3/12)</f>
        <v>1.1110554593143995</v>
      </c>
      <c r="N780" s="361">
        <f t="shared" ref="N780:V780" si="791">M780*(1+$D780)</f>
        <v>1.2785470698060437</v>
      </c>
      <c r="O780" s="361">
        <f t="shared" si="791"/>
        <v>1.471288040579303</v>
      </c>
      <c r="P780" s="361">
        <f t="shared" si="791"/>
        <v>1.6930847126966309</v>
      </c>
      <c r="Q780" s="361">
        <f t="shared" si="791"/>
        <v>1.9483172331356455</v>
      </c>
      <c r="R780" s="361">
        <f t="shared" si="791"/>
        <v>2.2420260560308414</v>
      </c>
      <c r="S780" s="361">
        <f t="shared" si="791"/>
        <v>2.5800114839774877</v>
      </c>
      <c r="T780" s="361">
        <f t="shared" si="791"/>
        <v>2.9689482151870905</v>
      </c>
      <c r="U780" s="361">
        <f t="shared" si="791"/>
        <v>3.4165171586265402</v>
      </c>
      <c r="V780" s="362">
        <f t="shared" si="791"/>
        <v>3.9315571202894861</v>
      </c>
      <c r="X780" s="351"/>
    </row>
    <row r="781" spans="3:24" ht="24.75" customHeight="1" x14ac:dyDescent="0.3">
      <c r="C781" s="353">
        <f>ABS(E781-Dashboard!$F$14)</f>
        <v>73.13568948864058</v>
      </c>
      <c r="D781" s="350">
        <f t="shared" si="729"/>
        <v>0.15084999999999862</v>
      </c>
      <c r="E781" s="359" cm="1">
        <f t="array" ref="E781">1000*SUM('DRE + DCF'!$L$36/M781,'DRE + DCF'!$N$36:$V$36/N781:V781,F781/V781)/Dashboard!$F$11</f>
        <v>170.12568948864057</v>
      </c>
      <c r="F781" s="359">
        <f t="shared" si="727"/>
        <v>20994863.226994775</v>
      </c>
      <c r="G781" s="359">
        <f>'DRE + DCF'!$W$31</f>
        <v>2791623.3540418856</v>
      </c>
      <c r="H781" s="359">
        <f>'DRE + DCF'!$W$32</f>
        <v>81081.931703745853</v>
      </c>
      <c r="I781" s="359">
        <f>-H781*('DRE + DCF'!$V$33+K781)/'DRE + DCF'!$V$33</f>
        <v>-90858.801614444121</v>
      </c>
      <c r="J781" s="359">
        <f>-'DRE + DCF'!$V$56*L781</f>
        <v>-1188924.4255577971</v>
      </c>
      <c r="K781" s="360">
        <f>(1+L781)/(1+Ke!$O$12)-1</f>
        <v>2.0000000000000018E-2</v>
      </c>
      <c r="L781" s="360">
        <f>'DRE + DCF'!$Y$31</f>
        <v>7.3550000000000004E-2</v>
      </c>
      <c r="M781" s="361">
        <f>(1+D781)^((5-Dashboard!$F$9)*3/12)</f>
        <v>1.1111278714406823</v>
      </c>
      <c r="N781" s="361">
        <f t="shared" ref="N781:V781" si="792">M781*(1+$D781)</f>
        <v>1.2787415108475075</v>
      </c>
      <c r="O781" s="361">
        <f t="shared" si="792"/>
        <v>1.4716396677588524</v>
      </c>
      <c r="P781" s="361">
        <f t="shared" si="792"/>
        <v>1.6936365116402732</v>
      </c>
      <c r="Q781" s="361">
        <f t="shared" si="792"/>
        <v>1.949121579421206</v>
      </c>
      <c r="R781" s="361">
        <f t="shared" si="792"/>
        <v>2.2431465696768922</v>
      </c>
      <c r="S781" s="361">
        <f t="shared" si="792"/>
        <v>2.5815252297126481</v>
      </c>
      <c r="T781" s="361">
        <f t="shared" si="792"/>
        <v>2.9709483106147974</v>
      </c>
      <c r="U781" s="361">
        <f t="shared" si="792"/>
        <v>3.4191158632710352</v>
      </c>
      <c r="V781" s="362">
        <f t="shared" si="792"/>
        <v>3.9348894912454662</v>
      </c>
      <c r="X781" s="351"/>
    </row>
    <row r="782" spans="3:24" ht="24.75" customHeight="1" x14ac:dyDescent="0.3">
      <c r="C782" s="353">
        <f>ABS(E782-Dashboard!$F$14)</f>
        <v>72.926117944092525</v>
      </c>
      <c r="D782" s="350">
        <f t="shared" si="729"/>
        <v>0.15094999999999861</v>
      </c>
      <c r="E782" s="359" cm="1">
        <f t="array" ref="E782">1000*SUM('DRE + DCF'!$L$36/M782,'DRE + DCF'!$N$36:$V$36/N782:V782,F782/V782)/Dashboard!$F$11</f>
        <v>169.91611794409252</v>
      </c>
      <c r="F782" s="359">
        <f t="shared" ref="F782:F845" si="793">AVERAGE(SUM(G782:J782)*(1+L782)/(D782-L782),G782*(1+L782)*(1-L782/D782)/(D782-L782))</f>
        <v>20973991.42568383</v>
      </c>
      <c r="G782" s="359">
        <f>'DRE + DCF'!$W$31</f>
        <v>2791623.3540418856</v>
      </c>
      <c r="H782" s="359">
        <f>'DRE + DCF'!$W$32</f>
        <v>81081.931703745853</v>
      </c>
      <c r="I782" s="359">
        <f>-H782*('DRE + DCF'!$V$33+K782)/'DRE + DCF'!$V$33</f>
        <v>-90858.801614444121</v>
      </c>
      <c r="J782" s="359">
        <f>-'DRE + DCF'!$V$56*L782</f>
        <v>-1188924.4255577971</v>
      </c>
      <c r="K782" s="360">
        <f>(1+L782)/(1+Ke!$O$12)-1</f>
        <v>2.0000000000000018E-2</v>
      </c>
      <c r="L782" s="360">
        <f>'DRE + DCF'!$Y$31</f>
        <v>7.3550000000000004E-2</v>
      </c>
      <c r="M782" s="361">
        <f>(1+D782)^((5-Dashboard!$F$9)*3/12)</f>
        <v>1.1112002819939684</v>
      </c>
      <c r="N782" s="361">
        <f t="shared" ref="N782:V782" si="794">M782*(1+$D782)</f>
        <v>1.2789359645609564</v>
      </c>
      <c r="O782" s="361">
        <f t="shared" si="794"/>
        <v>1.4719913484114309</v>
      </c>
      <c r="P782" s="361">
        <f t="shared" si="794"/>
        <v>1.6941884424541342</v>
      </c>
      <c r="Q782" s="361">
        <f t="shared" si="794"/>
        <v>1.9499261878425833</v>
      </c>
      <c r="R782" s="361">
        <f t="shared" si="794"/>
        <v>2.2442675458974186</v>
      </c>
      <c r="S782" s="361">
        <f t="shared" si="794"/>
        <v>2.5830397319506306</v>
      </c>
      <c r="T782" s="361">
        <f t="shared" si="794"/>
        <v>2.9729495794885747</v>
      </c>
      <c r="U782" s="361">
        <f t="shared" si="794"/>
        <v>3.4217163185123707</v>
      </c>
      <c r="V782" s="362">
        <f t="shared" si="794"/>
        <v>3.9382243967918082</v>
      </c>
      <c r="X782" s="351"/>
    </row>
    <row r="783" spans="3:24" ht="24.75" customHeight="1" x14ac:dyDescent="0.3">
      <c r="C783" s="353">
        <f>ABS(E783-Dashboard!$F$14)</f>
        <v>72.717011149209796</v>
      </c>
      <c r="D783" s="350">
        <f t="shared" ref="D783:D846" si="795">D782+0.0001</f>
        <v>0.1510499999999986</v>
      </c>
      <c r="E783" s="359" cm="1">
        <f t="array" ref="E783">1000*SUM('DRE + DCF'!$L$36/M783,'DRE + DCF'!$N$36:$V$36/N783:V783,F783/V783)/Dashboard!$F$11</f>
        <v>169.70701114920979</v>
      </c>
      <c r="F783" s="359">
        <f t="shared" si="793"/>
        <v>20953165.217935137</v>
      </c>
      <c r="G783" s="359">
        <f>'DRE + DCF'!$W$31</f>
        <v>2791623.3540418856</v>
      </c>
      <c r="H783" s="359">
        <f>'DRE + DCF'!$W$32</f>
        <v>81081.931703745853</v>
      </c>
      <c r="I783" s="359">
        <f>-H783*('DRE + DCF'!$V$33+K783)/'DRE + DCF'!$V$33</f>
        <v>-90858.801614444121</v>
      </c>
      <c r="J783" s="359">
        <f>-'DRE + DCF'!$V$56*L783</f>
        <v>-1188924.4255577971</v>
      </c>
      <c r="K783" s="360">
        <f>(1+L783)/(1+Ke!$O$12)-1</f>
        <v>2.0000000000000018E-2</v>
      </c>
      <c r="L783" s="360">
        <f>'DRE + DCF'!$Y$31</f>
        <v>7.3550000000000004E-2</v>
      </c>
      <c r="M783" s="361">
        <f>(1+D783)^((5-Dashboard!$F$9)*3/12)</f>
        <v>1.1112726909744282</v>
      </c>
      <c r="N783" s="361">
        <f t="shared" ref="N783:V783" si="796">M783*(1+$D783)</f>
        <v>1.279130430946114</v>
      </c>
      <c r="O783" s="361">
        <f t="shared" si="796"/>
        <v>1.4723430825405226</v>
      </c>
      <c r="P783" s="361">
        <f t="shared" si="796"/>
        <v>1.6947405051582665</v>
      </c>
      <c r="Q783" s="361">
        <f t="shared" si="796"/>
        <v>1.9507310584624202</v>
      </c>
      <c r="R783" s="361">
        <f t="shared" si="796"/>
        <v>2.2453889848431658</v>
      </c>
      <c r="S783" s="361">
        <f t="shared" si="796"/>
        <v>2.5845549910037229</v>
      </c>
      <c r="T783" s="361">
        <f t="shared" si="796"/>
        <v>2.9749520223948314</v>
      </c>
      <c r="U783" s="361">
        <f t="shared" si="796"/>
        <v>3.4243185253775663</v>
      </c>
      <c r="V783" s="362">
        <f t="shared" si="796"/>
        <v>3.9415618386358426</v>
      </c>
      <c r="X783" s="351"/>
    </row>
    <row r="784" spans="3:24" ht="24.75" customHeight="1" x14ac:dyDescent="0.3">
      <c r="C784" s="353">
        <f>ABS(E784-Dashboard!$F$14)</f>
        <v>72.508367537125181</v>
      </c>
      <c r="D784" s="350">
        <f t="shared" si="795"/>
        <v>0.15114999999999859</v>
      </c>
      <c r="E784" s="359" cm="1">
        <f t="array" ref="E784">1000*SUM('DRE + DCF'!$L$36/M784,'DRE + DCF'!$N$36:$V$36/N784:V784,F784/V784)/Dashboard!$F$11</f>
        <v>169.49836753712518</v>
      </c>
      <c r="F784" s="359">
        <f t="shared" si="793"/>
        <v>20932384.443876259</v>
      </c>
      <c r="G784" s="359">
        <f>'DRE + DCF'!$W$31</f>
        <v>2791623.3540418856</v>
      </c>
      <c r="H784" s="359">
        <f>'DRE + DCF'!$W$32</f>
        <v>81081.931703745853</v>
      </c>
      <c r="I784" s="359">
        <f>-H784*('DRE + DCF'!$V$33+K784)/'DRE + DCF'!$V$33</f>
        <v>-90858.801614444121</v>
      </c>
      <c r="J784" s="359">
        <f>-'DRE + DCF'!$V$56*L784</f>
        <v>-1188924.4255577971</v>
      </c>
      <c r="K784" s="360">
        <f>(1+L784)/(1+Ke!$O$12)-1</f>
        <v>2.0000000000000018E-2</v>
      </c>
      <c r="L784" s="360">
        <f>'DRE + DCF'!$Y$31</f>
        <v>7.3550000000000004E-2</v>
      </c>
      <c r="M784" s="361">
        <f>(1+D784)^((5-Dashboard!$F$9)*3/12)</f>
        <v>1.1113450983822326</v>
      </c>
      <c r="N784" s="361">
        <f t="shared" ref="N784:V784" si="797">M784*(1+$D784)</f>
        <v>1.2793249100027055</v>
      </c>
      <c r="O784" s="361">
        <f t="shared" si="797"/>
        <v>1.4726948701496125</v>
      </c>
      <c r="P784" s="361">
        <f t="shared" si="797"/>
        <v>1.6952926997727245</v>
      </c>
      <c r="Q784" s="361">
        <f t="shared" si="797"/>
        <v>1.9515361913433693</v>
      </c>
      <c r="R784" s="361">
        <f t="shared" si="797"/>
        <v>2.2465108866649168</v>
      </c>
      <c r="S784" s="361">
        <f t="shared" si="797"/>
        <v>2.5860710071843158</v>
      </c>
      <c r="T784" s="361">
        <f t="shared" si="797"/>
        <v>2.9769556399202215</v>
      </c>
      <c r="U784" s="361">
        <f t="shared" si="797"/>
        <v>3.4269224848941588</v>
      </c>
      <c r="V784" s="362">
        <f t="shared" si="797"/>
        <v>3.9449018184859059</v>
      </c>
      <c r="X784" s="351"/>
    </row>
    <row r="785" spans="3:24" ht="24.75" customHeight="1" x14ac:dyDescent="0.3">
      <c r="C785" s="353">
        <f>ABS(E785-Dashboard!$F$14)</f>
        <v>72.300185548328628</v>
      </c>
      <c r="D785" s="350">
        <f t="shared" si="795"/>
        <v>0.15124999999999858</v>
      </c>
      <c r="E785" s="359" cm="1">
        <f t="array" ref="E785">1000*SUM('DRE + DCF'!$L$36/M785,'DRE + DCF'!$N$36:$V$36/N785:V785,F785/V785)/Dashboard!$F$11</f>
        <v>169.29018554832862</v>
      </c>
      <c r="F785" s="359">
        <f t="shared" si="793"/>
        <v>20911648.944414467</v>
      </c>
      <c r="G785" s="359">
        <f>'DRE + DCF'!$W$31</f>
        <v>2791623.3540418856</v>
      </c>
      <c r="H785" s="359">
        <f>'DRE + DCF'!$W$32</f>
        <v>81081.931703745853</v>
      </c>
      <c r="I785" s="359">
        <f>-H785*('DRE + DCF'!$V$33+K785)/'DRE + DCF'!$V$33</f>
        <v>-90858.801614444121</v>
      </c>
      <c r="J785" s="359">
        <f>-'DRE + DCF'!$V$56*L785</f>
        <v>-1188924.4255577971</v>
      </c>
      <c r="K785" s="360">
        <f>(1+L785)/(1+Ke!$O$12)-1</f>
        <v>2.0000000000000018E-2</v>
      </c>
      <c r="L785" s="360">
        <f>'DRE + DCF'!$Y$31</f>
        <v>7.3550000000000004E-2</v>
      </c>
      <c r="M785" s="361">
        <f>(1+D785)^((5-Dashboard!$F$9)*3/12)</f>
        <v>1.1114175042175527</v>
      </c>
      <c r="N785" s="361">
        <f t="shared" ref="N785:V785" si="798">M785*(1+$D785)</f>
        <v>1.2795194017304559</v>
      </c>
      <c r="O785" s="361">
        <f t="shared" si="798"/>
        <v>1.4730467112421854</v>
      </c>
      <c r="P785" s="361">
        <f t="shared" si="798"/>
        <v>1.695845026317564</v>
      </c>
      <c r="Q785" s="361">
        <f t="shared" si="798"/>
        <v>1.9523415865480931</v>
      </c>
      <c r="R785" s="361">
        <f t="shared" si="798"/>
        <v>2.2476332515134891</v>
      </c>
      <c r="S785" s="361">
        <f t="shared" si="798"/>
        <v>2.5875877808049013</v>
      </c>
      <c r="T785" s="361">
        <f t="shared" si="798"/>
        <v>2.9789604326516388</v>
      </c>
      <c r="U785" s="361">
        <f t="shared" si="798"/>
        <v>3.4295281980901948</v>
      </c>
      <c r="V785" s="362">
        <f t="shared" si="798"/>
        <v>3.9482443380513317</v>
      </c>
      <c r="X785" s="351"/>
    </row>
    <row r="786" spans="3:24" ht="24.75" customHeight="1" x14ac:dyDescent="0.3">
      <c r="C786" s="353">
        <f>ABS(E786-Dashboard!$F$14)</f>
        <v>72.09246363062239</v>
      </c>
      <c r="D786" s="350">
        <f t="shared" si="795"/>
        <v>0.15134999999999857</v>
      </c>
      <c r="E786" s="359" cm="1">
        <f t="array" ref="E786">1000*SUM('DRE + DCF'!$L$36/M786,'DRE + DCF'!$N$36:$V$36/N786:V786,F786/V786)/Dashboard!$F$11</f>
        <v>169.08246363062239</v>
      </c>
      <c r="F786" s="359">
        <f t="shared" si="793"/>
        <v>20890958.561231904</v>
      </c>
      <c r="G786" s="359">
        <f>'DRE + DCF'!$W$31</f>
        <v>2791623.3540418856</v>
      </c>
      <c r="H786" s="359">
        <f>'DRE + DCF'!$W$32</f>
        <v>81081.931703745853</v>
      </c>
      <c r="I786" s="359">
        <f>-H786*('DRE + DCF'!$V$33+K786)/'DRE + DCF'!$V$33</f>
        <v>-90858.801614444121</v>
      </c>
      <c r="J786" s="359">
        <f>-'DRE + DCF'!$V$56*L786</f>
        <v>-1188924.4255577971</v>
      </c>
      <c r="K786" s="360">
        <f>(1+L786)/(1+Ke!$O$12)-1</f>
        <v>2.0000000000000018E-2</v>
      </c>
      <c r="L786" s="360">
        <f>'DRE + DCF'!$Y$31</f>
        <v>7.3550000000000004E-2</v>
      </c>
      <c r="M786" s="361">
        <f>(1+D786)^((5-Dashboard!$F$9)*3/12)</f>
        <v>1.111489908480559</v>
      </c>
      <c r="N786" s="361">
        <f t="shared" ref="N786:V786" si="799">M786*(1+$D786)</f>
        <v>1.2797139061290899</v>
      </c>
      <c r="O786" s="361">
        <f t="shared" si="799"/>
        <v>1.4733986058217257</v>
      </c>
      <c r="P786" s="361">
        <f t="shared" si="799"/>
        <v>1.6963974848128416</v>
      </c>
      <c r="Q786" s="361">
        <f t="shared" si="799"/>
        <v>1.9531472441392628</v>
      </c>
      <c r="R786" s="361">
        <f t="shared" si="799"/>
        <v>2.2487560795397372</v>
      </c>
      <c r="S786" s="361">
        <f t="shared" si="799"/>
        <v>2.5891053121780732</v>
      </c>
      <c r="T786" s="361">
        <f t="shared" si="799"/>
        <v>2.9809664011762207</v>
      </c>
      <c r="U786" s="361">
        <f t="shared" si="799"/>
        <v>3.4321356659942373</v>
      </c>
      <c r="V786" s="362">
        <f t="shared" si="799"/>
        <v>3.9515893990424602</v>
      </c>
      <c r="X786" s="351"/>
    </row>
    <row r="787" spans="3:24" ht="24.75" customHeight="1" x14ac:dyDescent="0.3">
      <c r="C787" s="353">
        <f>ABS(E787-Dashboard!$F$14)</f>
        <v>71.88520023907661</v>
      </c>
      <c r="D787" s="350">
        <f t="shared" si="795"/>
        <v>0.15144999999999856</v>
      </c>
      <c r="E787" s="359" cm="1">
        <f t="array" ref="E787">1000*SUM('DRE + DCF'!$L$36/M787,'DRE + DCF'!$N$36:$V$36/N787:V787,F787/V787)/Dashboard!$F$11</f>
        <v>168.87520023907661</v>
      </c>
      <c r="F787" s="359">
        <f t="shared" si="793"/>
        <v>20870313.136780754</v>
      </c>
      <c r="G787" s="359">
        <f>'DRE + DCF'!$W$31</f>
        <v>2791623.3540418856</v>
      </c>
      <c r="H787" s="359">
        <f>'DRE + DCF'!$W$32</f>
        <v>81081.931703745853</v>
      </c>
      <c r="I787" s="359">
        <f>-H787*('DRE + DCF'!$V$33+K787)/'DRE + DCF'!$V$33</f>
        <v>-90858.801614444121</v>
      </c>
      <c r="J787" s="359">
        <f>-'DRE + DCF'!$V$56*L787</f>
        <v>-1188924.4255577971</v>
      </c>
      <c r="K787" s="360">
        <f>(1+L787)/(1+Ke!$O$12)-1</f>
        <v>2.0000000000000018E-2</v>
      </c>
      <c r="L787" s="360">
        <f>'DRE + DCF'!$Y$31</f>
        <v>7.3550000000000004E-2</v>
      </c>
      <c r="M787" s="361">
        <f>(1+D787)^((5-Dashboard!$F$9)*3/12)</f>
        <v>1.1115623111714221</v>
      </c>
      <c r="N787" s="361">
        <f t="shared" ref="N787:V787" si="800">M787*(1+$D787)</f>
        <v>1.2799084231983324</v>
      </c>
      <c r="O787" s="361">
        <f t="shared" si="800"/>
        <v>1.4737505538917179</v>
      </c>
      <c r="P787" s="361">
        <f t="shared" si="800"/>
        <v>1.6969500752786164</v>
      </c>
      <c r="Q787" s="361">
        <f t="shared" si="800"/>
        <v>1.9539531641795604</v>
      </c>
      <c r="R787" s="361">
        <f t="shared" si="800"/>
        <v>2.2498793708945519</v>
      </c>
      <c r="S787" s="361">
        <f t="shared" si="800"/>
        <v>2.5906236016165285</v>
      </c>
      <c r="T787" s="361">
        <f t="shared" si="800"/>
        <v>2.982973546081348</v>
      </c>
      <c r="U787" s="361">
        <f t="shared" si="800"/>
        <v>3.4347448896353638</v>
      </c>
      <c r="V787" s="362">
        <f t="shared" si="800"/>
        <v>3.9549370031706346</v>
      </c>
      <c r="X787" s="351"/>
    </row>
    <row r="788" spans="3:24" ht="24.75" customHeight="1" x14ac:dyDescent="0.3">
      <c r="C788" s="353">
        <f>ABS(E788-Dashboard!$F$14)</f>
        <v>71.67839383598546</v>
      </c>
      <c r="D788" s="350">
        <f t="shared" si="795"/>
        <v>0.15154999999999855</v>
      </c>
      <c r="E788" s="359" cm="1">
        <f t="array" ref="E788">1000*SUM('DRE + DCF'!$L$36/M788,'DRE + DCF'!$N$36:$V$36/N788:V788,F788/V788)/Dashboard!$F$11</f>
        <v>168.66839383598546</v>
      </c>
      <c r="F788" s="359">
        <f t="shared" si="793"/>
        <v>20849712.514278427</v>
      </c>
      <c r="G788" s="359">
        <f>'DRE + DCF'!$W$31</f>
        <v>2791623.3540418856</v>
      </c>
      <c r="H788" s="359">
        <f>'DRE + DCF'!$W$32</f>
        <v>81081.931703745853</v>
      </c>
      <c r="I788" s="359">
        <f>-H788*('DRE + DCF'!$V$33+K788)/'DRE + DCF'!$V$33</f>
        <v>-90858.801614444121</v>
      </c>
      <c r="J788" s="359">
        <f>-'DRE + DCF'!$V$56*L788</f>
        <v>-1188924.4255577971</v>
      </c>
      <c r="K788" s="360">
        <f>(1+L788)/(1+Ke!$O$12)-1</f>
        <v>2.0000000000000018E-2</v>
      </c>
      <c r="L788" s="360">
        <f>'DRE + DCF'!$Y$31</f>
        <v>7.3550000000000004E-2</v>
      </c>
      <c r="M788" s="361">
        <f>(1+D788)^((5-Dashboard!$F$9)*3/12)</f>
        <v>1.1116347122903127</v>
      </c>
      <c r="N788" s="361">
        <f t="shared" ref="N788:V788" si="801">M788*(1+$D788)</f>
        <v>1.280102952937908</v>
      </c>
      <c r="O788" s="361">
        <f t="shared" si="801"/>
        <v>1.4741025554556459</v>
      </c>
      <c r="P788" s="361">
        <f t="shared" si="801"/>
        <v>1.6975027977349468</v>
      </c>
      <c r="Q788" s="361">
        <f t="shared" si="801"/>
        <v>1.9547593467316755</v>
      </c>
      <c r="R788" s="361">
        <f t="shared" si="801"/>
        <v>2.2510031257288579</v>
      </c>
      <c r="S788" s="361">
        <f t="shared" si="801"/>
        <v>2.5921426494330628</v>
      </c>
      <c r="T788" s="361">
        <f t="shared" si="801"/>
        <v>2.9849818679546396</v>
      </c>
      <c r="U788" s="361">
        <f t="shared" si="801"/>
        <v>3.4373558700431608</v>
      </c>
      <c r="V788" s="362">
        <f t="shared" si="801"/>
        <v>3.9582871521481966</v>
      </c>
      <c r="X788" s="351"/>
    </row>
    <row r="789" spans="3:24" ht="24.75" customHeight="1" x14ac:dyDescent="0.3">
      <c r="C789" s="353">
        <f>ABS(E789-Dashboard!$F$14)</f>
        <v>71.472042890822635</v>
      </c>
      <c r="D789" s="350">
        <f t="shared" si="795"/>
        <v>0.15164999999999854</v>
      </c>
      <c r="E789" s="359" cm="1">
        <f t="array" ref="E789">1000*SUM('DRE + DCF'!$L$36/M789,'DRE + DCF'!$N$36:$V$36/N789:V789,F789/V789)/Dashboard!$F$11</f>
        <v>168.46204289082263</v>
      </c>
      <c r="F789" s="359">
        <f t="shared" si="793"/>
        <v>20829156.537702814</v>
      </c>
      <c r="G789" s="359">
        <f>'DRE + DCF'!$W$31</f>
        <v>2791623.3540418856</v>
      </c>
      <c r="H789" s="359">
        <f>'DRE + DCF'!$W$32</f>
        <v>81081.931703745853</v>
      </c>
      <c r="I789" s="359">
        <f>-H789*('DRE + DCF'!$V$33+K789)/'DRE + DCF'!$V$33</f>
        <v>-90858.801614444121</v>
      </c>
      <c r="J789" s="359">
        <f>-'DRE + DCF'!$V$56*L789</f>
        <v>-1188924.4255577971</v>
      </c>
      <c r="K789" s="360">
        <f>(1+L789)/(1+Ke!$O$12)-1</f>
        <v>2.0000000000000018E-2</v>
      </c>
      <c r="L789" s="360">
        <f>'DRE + DCF'!$Y$31</f>
        <v>7.3550000000000004E-2</v>
      </c>
      <c r="M789" s="361">
        <f>(1+D789)^((5-Dashboard!$F$9)*3/12)</f>
        <v>1.1117071118374018</v>
      </c>
      <c r="N789" s="361">
        <f t="shared" ref="N789:V789" si="802">M789*(1+$D789)</f>
        <v>1.2802974953475421</v>
      </c>
      <c r="O789" s="361">
        <f t="shared" si="802"/>
        <v>1.4744546105169949</v>
      </c>
      <c r="P789" s="361">
        <f t="shared" si="802"/>
        <v>1.698055652201895</v>
      </c>
      <c r="Q789" s="361">
        <f t="shared" si="802"/>
        <v>1.9555657918583098</v>
      </c>
      <c r="R789" s="361">
        <f t="shared" si="802"/>
        <v>2.2521273441936196</v>
      </c>
      <c r="S789" s="361">
        <f t="shared" si="802"/>
        <v>2.5936624559405788</v>
      </c>
      <c r="T789" s="361">
        <f t="shared" si="802"/>
        <v>2.9869913673839639</v>
      </c>
      <c r="U789" s="361">
        <f t="shared" si="802"/>
        <v>3.4399686082477374</v>
      </c>
      <c r="V789" s="362">
        <f t="shared" si="802"/>
        <v>3.9616398476885015</v>
      </c>
      <c r="X789" s="351"/>
    </row>
    <row r="790" spans="3:24" ht="24.75" customHeight="1" x14ac:dyDescent="0.3">
      <c r="C790" s="353">
        <f>ABS(E790-Dashboard!$F$14)</f>
        <v>71.266145880198579</v>
      </c>
      <c r="D790" s="350">
        <f t="shared" si="795"/>
        <v>0.15174999999999852</v>
      </c>
      <c r="E790" s="359" cm="1">
        <f t="array" ref="E790">1000*SUM('DRE + DCF'!$L$36/M790,'DRE + DCF'!$N$36:$V$36/N790:V790,F790/V790)/Dashboard!$F$11</f>
        <v>168.25614588019857</v>
      </c>
      <c r="F790" s="359">
        <f t="shared" si="793"/>
        <v>20808645.051787563</v>
      </c>
      <c r="G790" s="359">
        <f>'DRE + DCF'!$W$31</f>
        <v>2791623.3540418856</v>
      </c>
      <c r="H790" s="359">
        <f>'DRE + DCF'!$W$32</f>
        <v>81081.931703745853</v>
      </c>
      <c r="I790" s="359">
        <f>-H790*('DRE + DCF'!$V$33+K790)/'DRE + DCF'!$V$33</f>
        <v>-90858.801614444121</v>
      </c>
      <c r="J790" s="359">
        <f>-'DRE + DCF'!$V$56*L790</f>
        <v>-1188924.4255577971</v>
      </c>
      <c r="K790" s="360">
        <f>(1+L790)/(1+Ke!$O$12)-1</f>
        <v>2.0000000000000018E-2</v>
      </c>
      <c r="L790" s="360">
        <f>'DRE + DCF'!$Y$31</f>
        <v>7.3550000000000004E-2</v>
      </c>
      <c r="M790" s="361">
        <f>(1+D790)^((5-Dashboard!$F$9)*3/12)</f>
        <v>1.1117795098128598</v>
      </c>
      <c r="N790" s="361">
        <f t="shared" ref="N790:V790" si="803">M790*(1+$D790)</f>
        <v>1.2804920504269597</v>
      </c>
      <c r="O790" s="361">
        <f t="shared" si="803"/>
        <v>1.4748067190792489</v>
      </c>
      <c r="P790" s="361">
        <f t="shared" si="803"/>
        <v>1.6986086386995227</v>
      </c>
      <c r="Q790" s="361">
        <f t="shared" si="803"/>
        <v>1.9563724996221727</v>
      </c>
      <c r="R790" s="361">
        <f t="shared" si="803"/>
        <v>2.2532520264398346</v>
      </c>
      <c r="S790" s="361">
        <f t="shared" si="803"/>
        <v>2.5951830214520761</v>
      </c>
      <c r="T790" s="361">
        <f t="shared" si="803"/>
        <v>2.9890020449574246</v>
      </c>
      <c r="U790" s="361">
        <f t="shared" si="803"/>
        <v>3.4425831052797093</v>
      </c>
      <c r="V790" s="362">
        <f t="shared" si="803"/>
        <v>3.9649950915059002</v>
      </c>
      <c r="X790" s="351"/>
    </row>
    <row r="791" spans="3:24" ht="24.75" customHeight="1" x14ac:dyDescent="0.3">
      <c r="C791" s="353">
        <f>ABS(E791-Dashboard!$F$14)</f>
        <v>71.060701287817196</v>
      </c>
      <c r="D791" s="350">
        <f t="shared" si="795"/>
        <v>0.15184999999999851</v>
      </c>
      <c r="E791" s="359" cm="1">
        <f t="array" ref="E791">1000*SUM('DRE + DCF'!$L$36/M791,'DRE + DCF'!$N$36:$V$36/N791:V791,F791/V791)/Dashboard!$F$11</f>
        <v>168.05070128781719</v>
      </c>
      <c r="F791" s="359">
        <f t="shared" si="793"/>
        <v>20788177.902017385</v>
      </c>
      <c r="G791" s="359">
        <f>'DRE + DCF'!$W$31</f>
        <v>2791623.3540418856</v>
      </c>
      <c r="H791" s="359">
        <f>'DRE + DCF'!$W$32</f>
        <v>81081.931703745853</v>
      </c>
      <c r="I791" s="359">
        <f>-H791*('DRE + DCF'!$V$33+K791)/'DRE + DCF'!$V$33</f>
        <v>-90858.801614444121</v>
      </c>
      <c r="J791" s="359">
        <f>-'DRE + DCF'!$V$56*L791</f>
        <v>-1188924.4255577971</v>
      </c>
      <c r="K791" s="360">
        <f>(1+L791)/(1+Ke!$O$12)-1</f>
        <v>2.0000000000000018E-2</v>
      </c>
      <c r="L791" s="360">
        <f>'DRE + DCF'!$Y$31</f>
        <v>7.3550000000000004E-2</v>
      </c>
      <c r="M791" s="361">
        <f>(1+D791)^((5-Dashboard!$F$9)*3/12)</f>
        <v>1.1118519062168568</v>
      </c>
      <c r="N791" s="361">
        <f t="shared" ref="N791:V791" si="804">M791*(1+$D791)</f>
        <v>1.2806866181758849</v>
      </c>
      <c r="O791" s="361">
        <f t="shared" si="804"/>
        <v>1.4751588811458911</v>
      </c>
      <c r="P791" s="361">
        <f t="shared" si="804"/>
        <v>1.6991617572478925</v>
      </c>
      <c r="Q791" s="361">
        <f t="shared" si="804"/>
        <v>1.9571794700859824</v>
      </c>
      <c r="R791" s="361">
        <f t="shared" si="804"/>
        <v>2.2543771726185358</v>
      </c>
      <c r="S791" s="361">
        <f t="shared" si="804"/>
        <v>2.5967043462806569</v>
      </c>
      <c r="T791" s="361">
        <f t="shared" si="804"/>
        <v>2.9910139012633707</v>
      </c>
      <c r="U791" s="361">
        <f t="shared" si="804"/>
        <v>3.4451993621702091</v>
      </c>
      <c r="V791" s="362">
        <f t="shared" si="804"/>
        <v>3.9683528853157499</v>
      </c>
      <c r="X791" s="351"/>
    </row>
    <row r="792" spans="3:24" ht="24.75" customHeight="1" x14ac:dyDescent="0.3">
      <c r="C792" s="353">
        <f>ABS(E792-Dashboard!$F$14)</f>
        <v>70.855707604432368</v>
      </c>
      <c r="D792" s="350">
        <f t="shared" si="795"/>
        <v>0.1519499999999985</v>
      </c>
      <c r="E792" s="359" cm="1">
        <f t="array" ref="E792">1000*SUM('DRE + DCF'!$L$36/M792,'DRE + DCF'!$N$36:$V$36/N792:V792,F792/V792)/Dashboard!$F$11</f>
        <v>167.84570760443236</v>
      </c>
      <c r="F792" s="359">
        <f t="shared" si="793"/>
        <v>20767754.93462342</v>
      </c>
      <c r="G792" s="359">
        <f>'DRE + DCF'!$W$31</f>
        <v>2791623.3540418856</v>
      </c>
      <c r="H792" s="359">
        <f>'DRE + DCF'!$W$32</f>
        <v>81081.931703745853</v>
      </c>
      <c r="I792" s="359">
        <f>-H792*('DRE + DCF'!$V$33+K792)/'DRE + DCF'!$V$33</f>
        <v>-90858.801614444121</v>
      </c>
      <c r="J792" s="359">
        <f>-'DRE + DCF'!$V$56*L792</f>
        <v>-1188924.4255577971</v>
      </c>
      <c r="K792" s="360">
        <f>(1+L792)/(1+Ke!$O$12)-1</f>
        <v>2.0000000000000018E-2</v>
      </c>
      <c r="L792" s="360">
        <f>'DRE + DCF'!$Y$31</f>
        <v>7.3550000000000004E-2</v>
      </c>
      <c r="M792" s="361">
        <f>(1+D792)^((5-Dashboard!$F$9)*3/12)</f>
        <v>1.1119243010495641</v>
      </c>
      <c r="N792" s="361">
        <f t="shared" ref="N792:V792" si="805">M792*(1+$D792)</f>
        <v>1.2808811985940436</v>
      </c>
      <c r="O792" s="361">
        <f t="shared" si="805"/>
        <v>1.4755110967204066</v>
      </c>
      <c r="P792" s="361">
        <f t="shared" si="805"/>
        <v>1.6997150078670702</v>
      </c>
      <c r="Q792" s="361">
        <f t="shared" si="805"/>
        <v>1.9579867033124689</v>
      </c>
      <c r="R792" s="361">
        <f t="shared" si="805"/>
        <v>2.2555027828807956</v>
      </c>
      <c r="S792" s="361">
        <f t="shared" si="805"/>
        <v>2.5982264307395293</v>
      </c>
      <c r="T792" s="361">
        <f t="shared" si="805"/>
        <v>2.9930269368903968</v>
      </c>
      <c r="U792" s="361">
        <f t="shared" si="805"/>
        <v>3.4478173799508882</v>
      </c>
      <c r="V792" s="362">
        <f t="shared" si="805"/>
        <v>3.9717132308344203</v>
      </c>
      <c r="X792" s="351"/>
    </row>
    <row r="793" spans="3:24" ht="24.75" customHeight="1" x14ac:dyDescent="0.3">
      <c r="C793" s="353">
        <f>ABS(E793-Dashboard!$F$14)</f>
        <v>70.651163327806373</v>
      </c>
      <c r="D793" s="350">
        <f t="shared" si="795"/>
        <v>0.15204999999999849</v>
      </c>
      <c r="E793" s="359" cm="1">
        <f t="array" ref="E793">1000*SUM('DRE + DCF'!$L$36/M793,'DRE + DCF'!$N$36:$V$36/N793:V793,F793/V793)/Dashboard!$F$11</f>
        <v>167.64116332780637</v>
      </c>
      <c r="F793" s="359">
        <f t="shared" si="793"/>
        <v>20747375.996578589</v>
      </c>
      <c r="G793" s="359">
        <f>'DRE + DCF'!$W$31</f>
        <v>2791623.3540418856</v>
      </c>
      <c r="H793" s="359">
        <f>'DRE + DCF'!$W$32</f>
        <v>81081.931703745853</v>
      </c>
      <c r="I793" s="359">
        <f>-H793*('DRE + DCF'!$V$33+K793)/'DRE + DCF'!$V$33</f>
        <v>-90858.801614444121</v>
      </c>
      <c r="J793" s="359">
        <f>-'DRE + DCF'!$V$56*L793</f>
        <v>-1188924.4255577971</v>
      </c>
      <c r="K793" s="360">
        <f>(1+L793)/(1+Ke!$O$12)-1</f>
        <v>2.0000000000000018E-2</v>
      </c>
      <c r="L793" s="360">
        <f>'DRE + DCF'!$Y$31</f>
        <v>7.3550000000000004E-2</v>
      </c>
      <c r="M793" s="361">
        <f>(1+D793)^((5-Dashboard!$F$9)*3/12)</f>
        <v>1.1119966943111517</v>
      </c>
      <c r="N793" s="361">
        <f t="shared" ref="N793:V793" si="806">M793*(1+$D793)</f>
        <v>1.2810757916811606</v>
      </c>
      <c r="O793" s="361">
        <f t="shared" si="806"/>
        <v>1.4758633658062792</v>
      </c>
      <c r="P793" s="361">
        <f t="shared" si="806"/>
        <v>1.7002683905771216</v>
      </c>
      <c r="Q793" s="361">
        <f t="shared" si="806"/>
        <v>1.9587941993643705</v>
      </c>
      <c r="R793" s="361">
        <f t="shared" si="806"/>
        <v>2.25662885737772</v>
      </c>
      <c r="S793" s="361">
        <f t="shared" si="806"/>
        <v>2.599749275141999</v>
      </c>
      <c r="T793" s="361">
        <f t="shared" si="806"/>
        <v>2.9950411524273362</v>
      </c>
      <c r="U793" s="361">
        <f t="shared" si="806"/>
        <v>3.4504371596539078</v>
      </c>
      <c r="V793" s="362">
        <f t="shared" si="806"/>
        <v>3.9750761297792794</v>
      </c>
      <c r="X793" s="351"/>
    </row>
    <row r="794" spans="3:24" ht="24.75" customHeight="1" x14ac:dyDescent="0.3">
      <c r="C794" s="353">
        <f>ABS(E794-Dashboard!$F$14)</f>
        <v>70.447066962667051</v>
      </c>
      <c r="D794" s="350">
        <f t="shared" si="795"/>
        <v>0.15214999999999848</v>
      </c>
      <c r="E794" s="359" cm="1">
        <f t="array" ref="E794">1000*SUM('DRE + DCF'!$L$36/M794,'DRE + DCF'!$N$36:$V$36/N794:V794,F794/V794)/Dashboard!$F$11</f>
        <v>167.43706696266705</v>
      </c>
      <c r="F794" s="359">
        <f t="shared" si="793"/>
        <v>20727040.935593054</v>
      </c>
      <c r="G794" s="359">
        <f>'DRE + DCF'!$W$31</f>
        <v>2791623.3540418856</v>
      </c>
      <c r="H794" s="359">
        <f>'DRE + DCF'!$W$32</f>
        <v>81081.931703745853</v>
      </c>
      <c r="I794" s="359">
        <f>-H794*('DRE + DCF'!$V$33+K794)/'DRE + DCF'!$V$33</f>
        <v>-90858.801614444121</v>
      </c>
      <c r="J794" s="359">
        <f>-'DRE + DCF'!$V$56*L794</f>
        <v>-1188924.4255577971</v>
      </c>
      <c r="K794" s="360">
        <f>(1+L794)/(1+Ke!$O$12)-1</f>
        <v>2.0000000000000018E-2</v>
      </c>
      <c r="L794" s="360">
        <f>'DRE + DCF'!$Y$31</f>
        <v>7.3550000000000004E-2</v>
      </c>
      <c r="M794" s="361">
        <f>(1+D794)^((5-Dashboard!$F$9)*3/12)</f>
        <v>1.1120690860017903</v>
      </c>
      <c r="N794" s="361">
        <f t="shared" ref="N794:V794" si="807">M794*(1+$D794)</f>
        <v>1.281270397436961</v>
      </c>
      <c r="O794" s="361">
        <f t="shared" si="807"/>
        <v>1.4762156884069926</v>
      </c>
      <c r="P794" s="361">
        <f t="shared" si="807"/>
        <v>1.7008219053981142</v>
      </c>
      <c r="Q794" s="361">
        <f t="shared" si="807"/>
        <v>1.9596019583044346</v>
      </c>
      <c r="R794" s="361">
        <f t="shared" si="807"/>
        <v>2.2577553962604515</v>
      </c>
      <c r="S794" s="361">
        <f t="shared" si="807"/>
        <v>2.6012728798014759</v>
      </c>
      <c r="T794" s="361">
        <f t="shared" si="807"/>
        <v>2.9970565484632665</v>
      </c>
      <c r="U794" s="361">
        <f t="shared" si="807"/>
        <v>3.4530587023119477</v>
      </c>
      <c r="V794" s="362">
        <f t="shared" si="807"/>
        <v>3.9784415838687051</v>
      </c>
      <c r="X794" s="351"/>
    </row>
    <row r="795" spans="3:24" ht="24.75" customHeight="1" x14ac:dyDescent="0.3">
      <c r="C795" s="353">
        <f>ABS(E795-Dashboard!$F$14)</f>
        <v>70.2434170206662</v>
      </c>
      <c r="D795" s="350">
        <f t="shared" si="795"/>
        <v>0.15224999999999847</v>
      </c>
      <c r="E795" s="359" cm="1">
        <f t="array" ref="E795">1000*SUM('DRE + DCF'!$L$36/M795,'DRE + DCF'!$N$36:$V$36/N795:V795,F795/V795)/Dashboard!$F$11</f>
        <v>167.2334170206662</v>
      </c>
      <c r="F795" s="359">
        <f t="shared" si="793"/>
        <v>20706749.600109637</v>
      </c>
      <c r="G795" s="359">
        <f>'DRE + DCF'!$W$31</f>
        <v>2791623.3540418856</v>
      </c>
      <c r="H795" s="359">
        <f>'DRE + DCF'!$W$32</f>
        <v>81081.931703745853</v>
      </c>
      <c r="I795" s="359">
        <f>-H795*('DRE + DCF'!$V$33+K795)/'DRE + DCF'!$V$33</f>
        <v>-90858.801614444121</v>
      </c>
      <c r="J795" s="359">
        <f>-'DRE + DCF'!$V$56*L795</f>
        <v>-1188924.4255577971</v>
      </c>
      <c r="K795" s="360">
        <f>(1+L795)/(1+Ke!$O$12)-1</f>
        <v>2.0000000000000018E-2</v>
      </c>
      <c r="L795" s="360">
        <f>'DRE + DCF'!$Y$31</f>
        <v>7.3550000000000004E-2</v>
      </c>
      <c r="M795" s="361">
        <f>(1+D795)^((5-Dashboard!$F$9)*3/12)</f>
        <v>1.1121414761216502</v>
      </c>
      <c r="N795" s="361">
        <f t="shared" ref="N795:V795" si="808">M795*(1+$D795)</f>
        <v>1.2814650158611696</v>
      </c>
      <c r="O795" s="361">
        <f t="shared" si="808"/>
        <v>1.4765680645260306</v>
      </c>
      <c r="P795" s="361">
        <f t="shared" si="808"/>
        <v>1.7013755523501164</v>
      </c>
      <c r="Q795" s="361">
        <f t="shared" si="808"/>
        <v>1.9604099801954189</v>
      </c>
      <c r="R795" s="361">
        <f t="shared" si="808"/>
        <v>2.2588823996801684</v>
      </c>
      <c r="S795" s="361">
        <f t="shared" si="808"/>
        <v>2.6027972450314705</v>
      </c>
      <c r="T795" s="361">
        <f t="shared" si="808"/>
        <v>2.9990731255875076</v>
      </c>
      <c r="U795" s="361">
        <f t="shared" si="808"/>
        <v>3.4556820089582008</v>
      </c>
      <c r="V795" s="362">
        <f t="shared" si="808"/>
        <v>3.9818095948220815</v>
      </c>
      <c r="X795" s="351"/>
    </row>
    <row r="796" spans="3:24" ht="24.75" customHeight="1" x14ac:dyDescent="0.3">
      <c r="C796" s="353">
        <f>ABS(E796-Dashboard!$F$14)</f>
        <v>70.040212020337535</v>
      </c>
      <c r="D796" s="350">
        <f t="shared" si="795"/>
        <v>0.15234999999999846</v>
      </c>
      <c r="E796" s="359" cm="1">
        <f t="array" ref="E796">1000*SUM('DRE + DCF'!$L$36/M796,'DRE + DCF'!$N$36:$V$36/N796:V796,F796/V796)/Dashboard!$F$11</f>
        <v>167.03021202033753</v>
      </c>
      <c r="F796" s="359">
        <f t="shared" si="793"/>
        <v>20686501.839299314</v>
      </c>
      <c r="G796" s="359">
        <f>'DRE + DCF'!$W$31</f>
        <v>2791623.3540418856</v>
      </c>
      <c r="H796" s="359">
        <f>'DRE + DCF'!$W$32</f>
        <v>81081.931703745853</v>
      </c>
      <c r="I796" s="359">
        <f>-H796*('DRE + DCF'!$V$33+K796)/'DRE + DCF'!$V$33</f>
        <v>-90858.801614444121</v>
      </c>
      <c r="J796" s="359">
        <f>-'DRE + DCF'!$V$56*L796</f>
        <v>-1188924.4255577971</v>
      </c>
      <c r="K796" s="360">
        <f>(1+L796)/(1+Ke!$O$12)-1</f>
        <v>2.0000000000000018E-2</v>
      </c>
      <c r="L796" s="360">
        <f>'DRE + DCF'!$Y$31</f>
        <v>7.3550000000000004E-2</v>
      </c>
      <c r="M796" s="361">
        <f>(1+D796)^((5-Dashboard!$F$9)*3/12)</f>
        <v>1.1122138646709017</v>
      </c>
      <c r="N796" s="361">
        <f t="shared" ref="N796:V796" si="809">M796*(1+$D796)</f>
        <v>1.2816596469535118</v>
      </c>
      <c r="O796" s="361">
        <f t="shared" si="809"/>
        <v>1.4769204941668772</v>
      </c>
      <c r="P796" s="361">
        <f t="shared" si="809"/>
        <v>1.7019293314531987</v>
      </c>
      <c r="Q796" s="361">
        <f t="shared" si="809"/>
        <v>1.9612182651000909</v>
      </c>
      <c r="R796" s="361">
        <f t="shared" si="809"/>
        <v>2.2600098677880869</v>
      </c>
      <c r="S796" s="361">
        <f t="shared" si="809"/>
        <v>2.6043223711455985</v>
      </c>
      <c r="T796" s="361">
        <f t="shared" si="809"/>
        <v>3.0010908843896265</v>
      </c>
      <c r="U796" s="361">
        <f t="shared" si="809"/>
        <v>3.4583070806263811</v>
      </c>
      <c r="V796" s="362">
        <f t="shared" si="809"/>
        <v>3.985180164359805</v>
      </c>
      <c r="X796" s="351"/>
    </row>
    <row r="797" spans="3:24" ht="24.75" customHeight="1" x14ac:dyDescent="0.3">
      <c r="C797" s="353">
        <f>ABS(E797-Dashboard!$F$14)</f>
        <v>69.83745048705633</v>
      </c>
      <c r="D797" s="350">
        <f t="shared" si="795"/>
        <v>0.15244999999999845</v>
      </c>
      <c r="E797" s="359" cm="1">
        <f t="array" ref="E797">1000*SUM('DRE + DCF'!$L$36/M797,'DRE + DCF'!$N$36:$V$36/N797:V797,F797/V797)/Dashboard!$F$11</f>
        <v>166.82745048705632</v>
      </c>
      <c r="F797" s="359">
        <f t="shared" si="793"/>
        <v>20666297.50305675</v>
      </c>
      <c r="G797" s="359">
        <f>'DRE + DCF'!$W$31</f>
        <v>2791623.3540418856</v>
      </c>
      <c r="H797" s="359">
        <f>'DRE + DCF'!$W$32</f>
        <v>81081.931703745853</v>
      </c>
      <c r="I797" s="359">
        <f>-H797*('DRE + DCF'!$V$33+K797)/'DRE + DCF'!$V$33</f>
        <v>-90858.801614444121</v>
      </c>
      <c r="J797" s="359">
        <f>-'DRE + DCF'!$V$56*L797</f>
        <v>-1188924.4255577971</v>
      </c>
      <c r="K797" s="360">
        <f>(1+L797)/(1+Ke!$O$12)-1</f>
        <v>2.0000000000000018E-2</v>
      </c>
      <c r="L797" s="360">
        <f>'DRE + DCF'!$Y$31</f>
        <v>7.3550000000000004E-2</v>
      </c>
      <c r="M797" s="361">
        <f>(1+D797)^((5-Dashboard!$F$9)*3/12)</f>
        <v>1.1122862516497154</v>
      </c>
      <c r="N797" s="361">
        <f t="shared" ref="N797:V797" si="810">M797*(1+$D797)</f>
        <v>1.2818542907137127</v>
      </c>
      <c r="O797" s="361">
        <f t="shared" si="810"/>
        <v>1.4772729773330162</v>
      </c>
      <c r="P797" s="361">
        <f t="shared" si="810"/>
        <v>1.7024832427274321</v>
      </c>
      <c r="Q797" s="361">
        <f t="shared" si="810"/>
        <v>1.9620268130812264</v>
      </c>
      <c r="R797" s="361">
        <f t="shared" si="810"/>
        <v>2.2611378007354563</v>
      </c>
      <c r="S797" s="361">
        <f t="shared" si="810"/>
        <v>2.6058482584575731</v>
      </c>
      <c r="T797" s="361">
        <f t="shared" si="810"/>
        <v>3.003109825459426</v>
      </c>
      <c r="U797" s="361">
        <f t="shared" si="810"/>
        <v>3.4609339183507108</v>
      </c>
      <c r="V797" s="362">
        <f t="shared" si="810"/>
        <v>3.9885532942032711</v>
      </c>
      <c r="X797" s="351"/>
    </row>
    <row r="798" spans="3:24" ht="24.75" customHeight="1" x14ac:dyDescent="0.3">
      <c r="C798" s="353">
        <f>ABS(E798-Dashboard!$F$14)</f>
        <v>69.635130952997415</v>
      </c>
      <c r="D798" s="350">
        <f t="shared" si="795"/>
        <v>0.15254999999999844</v>
      </c>
      <c r="E798" s="359" cm="1">
        <f t="array" ref="E798">1000*SUM('DRE + DCF'!$L$36/M798,'DRE + DCF'!$N$36:$V$36/N798:V798,F798/V798)/Dashboard!$F$11</f>
        <v>166.62513095299741</v>
      </c>
      <c r="F798" s="359">
        <f t="shared" si="793"/>
        <v>20646136.441995837</v>
      </c>
      <c r="G798" s="359">
        <f>'DRE + DCF'!$W$31</f>
        <v>2791623.3540418856</v>
      </c>
      <c r="H798" s="359">
        <f>'DRE + DCF'!$W$32</f>
        <v>81081.931703745853</v>
      </c>
      <c r="I798" s="359">
        <f>-H798*('DRE + DCF'!$V$33+K798)/'DRE + DCF'!$V$33</f>
        <v>-90858.801614444121</v>
      </c>
      <c r="J798" s="359">
        <f>-'DRE + DCF'!$V$56*L798</f>
        <v>-1188924.4255577971</v>
      </c>
      <c r="K798" s="360">
        <f>(1+L798)/(1+Ke!$O$12)-1</f>
        <v>2.0000000000000018E-2</v>
      </c>
      <c r="L798" s="360">
        <f>'DRE + DCF'!$Y$31</f>
        <v>7.3550000000000004E-2</v>
      </c>
      <c r="M798" s="361">
        <f>(1+D798)^((5-Dashboard!$F$9)*3/12)</f>
        <v>1.1123586370582614</v>
      </c>
      <c r="N798" s="361">
        <f t="shared" ref="N798:V798" si="811">M798*(1+$D798)</f>
        <v>1.2820489471414975</v>
      </c>
      <c r="O798" s="361">
        <f t="shared" si="811"/>
        <v>1.4776255140279309</v>
      </c>
      <c r="P798" s="361">
        <f t="shared" si="811"/>
        <v>1.7030372861928893</v>
      </c>
      <c r="Q798" s="361">
        <f t="shared" si="811"/>
        <v>1.9628356242016118</v>
      </c>
      <c r="R798" s="361">
        <f t="shared" si="811"/>
        <v>2.2622661986735646</v>
      </c>
      <c r="S798" s="361">
        <f t="shared" si="811"/>
        <v>2.6073749072812133</v>
      </c>
      <c r="T798" s="361">
        <f t="shared" si="811"/>
        <v>3.0051299493869581</v>
      </c>
      <c r="U798" s="361">
        <f t="shared" si="811"/>
        <v>3.4635625231659337</v>
      </c>
      <c r="V798" s="362">
        <f t="shared" si="811"/>
        <v>3.9919289860748912</v>
      </c>
      <c r="X798" s="351"/>
    </row>
    <row r="799" spans="3:24" ht="24.75" customHeight="1" x14ac:dyDescent="0.3">
      <c r="C799" s="353">
        <f>ABS(E799-Dashboard!$F$14)</f>
        <v>69.433251957095123</v>
      </c>
      <c r="D799" s="350">
        <f t="shared" si="795"/>
        <v>0.15264999999999843</v>
      </c>
      <c r="E799" s="359" cm="1">
        <f t="array" ref="E799">1000*SUM('DRE + DCF'!$L$36/M799,'DRE + DCF'!$N$36:$V$36/N799:V799,F799/V799)/Dashboard!$F$11</f>
        <v>166.42325195709512</v>
      </c>
      <c r="F799" s="359">
        <f t="shared" si="793"/>
        <v>20626018.50744528</v>
      </c>
      <c r="G799" s="359">
        <f>'DRE + DCF'!$W$31</f>
        <v>2791623.3540418856</v>
      </c>
      <c r="H799" s="359">
        <f>'DRE + DCF'!$W$32</f>
        <v>81081.931703745853</v>
      </c>
      <c r="I799" s="359">
        <f>-H799*('DRE + DCF'!$V$33+K799)/'DRE + DCF'!$V$33</f>
        <v>-90858.801614444121</v>
      </c>
      <c r="J799" s="359">
        <f>-'DRE + DCF'!$V$56*L799</f>
        <v>-1188924.4255577971</v>
      </c>
      <c r="K799" s="360">
        <f>(1+L799)/(1+Ke!$O$12)-1</f>
        <v>2.0000000000000018E-2</v>
      </c>
      <c r="L799" s="360">
        <f>'DRE + DCF'!$Y$31</f>
        <v>7.3550000000000004E-2</v>
      </c>
      <c r="M799" s="361">
        <f>(1+D799)^((5-Dashboard!$F$9)*3/12)</f>
        <v>1.1124310208967105</v>
      </c>
      <c r="N799" s="361">
        <f t="shared" ref="N799:V799" si="812">M799*(1+$D799)</f>
        <v>1.2822436162365916</v>
      </c>
      <c r="O799" s="361">
        <f t="shared" si="812"/>
        <v>1.4779781042551052</v>
      </c>
      <c r="P799" s="361">
        <f t="shared" si="812"/>
        <v>1.7035914618696446</v>
      </c>
      <c r="Q799" s="361">
        <f t="shared" si="812"/>
        <v>1.9636446985240432</v>
      </c>
      <c r="R799" s="361">
        <f t="shared" si="812"/>
        <v>2.2633950617537351</v>
      </c>
      <c r="S799" s="361">
        <f t="shared" si="812"/>
        <v>2.6089023179304389</v>
      </c>
      <c r="T799" s="361">
        <f t="shared" si="812"/>
        <v>3.007151256762516</v>
      </c>
      <c r="U799" s="361">
        <f t="shared" si="812"/>
        <v>3.4661928961073092</v>
      </c>
      <c r="V799" s="362">
        <f t="shared" si="812"/>
        <v>3.9953072416980846</v>
      </c>
      <c r="X799" s="351"/>
    </row>
    <row r="800" spans="3:24" ht="24.75" customHeight="1" x14ac:dyDescent="0.3">
      <c r="C800" s="353">
        <f>ABS(E800-Dashboard!$F$14)</f>
        <v>69.231812045002712</v>
      </c>
      <c r="D800" s="350">
        <f t="shared" si="795"/>
        <v>0.15274999999999841</v>
      </c>
      <c r="E800" s="359" cm="1">
        <f t="array" ref="E800">1000*SUM('DRE + DCF'!$L$36/M800,'DRE + DCF'!$N$36:$V$36/N800:V800,F800/V800)/Dashboard!$F$11</f>
        <v>166.22181204500271</v>
      </c>
      <c r="F800" s="359">
        <f t="shared" si="793"/>
        <v>20605943.551444236</v>
      </c>
      <c r="G800" s="359">
        <f>'DRE + DCF'!$W$31</f>
        <v>2791623.3540418856</v>
      </c>
      <c r="H800" s="359">
        <f>'DRE + DCF'!$W$32</f>
        <v>81081.931703745853</v>
      </c>
      <c r="I800" s="359">
        <f>-H800*('DRE + DCF'!$V$33+K800)/'DRE + DCF'!$V$33</f>
        <v>-90858.801614444121</v>
      </c>
      <c r="J800" s="359">
        <f>-'DRE + DCF'!$V$56*L800</f>
        <v>-1188924.4255577971</v>
      </c>
      <c r="K800" s="360">
        <f>(1+L800)/(1+Ke!$O$12)-1</f>
        <v>2.0000000000000018E-2</v>
      </c>
      <c r="L800" s="360">
        <f>'DRE + DCF'!$Y$31</f>
        <v>7.3550000000000004E-2</v>
      </c>
      <c r="M800" s="361">
        <f>(1+D800)^((5-Dashboard!$F$9)*3/12)</f>
        <v>1.1125034031652323</v>
      </c>
      <c r="N800" s="361">
        <f t="shared" ref="N800:V800" si="813">M800*(1+$D800)</f>
        <v>1.2824382979987197</v>
      </c>
      <c r="O800" s="361">
        <f t="shared" si="813"/>
        <v>1.4783307480180221</v>
      </c>
      <c r="P800" s="361">
        <f t="shared" si="813"/>
        <v>1.7041457697777727</v>
      </c>
      <c r="Q800" s="361">
        <f t="shared" si="813"/>
        <v>1.9644540361113247</v>
      </c>
      <c r="R800" s="361">
        <f t="shared" si="813"/>
        <v>2.2645243901273266</v>
      </c>
      <c r="S800" s="361">
        <f t="shared" si="813"/>
        <v>2.6104304907192724</v>
      </c>
      <c r="T800" s="361">
        <f t="shared" si="813"/>
        <v>3.0091737481766372</v>
      </c>
      <c r="U800" s="361">
        <f t="shared" si="813"/>
        <v>3.4688250382106136</v>
      </c>
      <c r="V800" s="362">
        <f t="shared" si="813"/>
        <v>3.9986880627972794</v>
      </c>
      <c r="X800" s="351"/>
    </row>
    <row r="801" spans="3:24" ht="24.75" customHeight="1" x14ac:dyDescent="0.3">
      <c r="C801" s="353">
        <f>ABS(E801-Dashboard!$F$14)</f>
        <v>69.030809769052453</v>
      </c>
      <c r="D801" s="350">
        <f t="shared" si="795"/>
        <v>0.1528499999999984</v>
      </c>
      <c r="E801" s="359" cm="1">
        <f t="array" ref="E801">1000*SUM('DRE + DCF'!$L$36/M801,'DRE + DCF'!$N$36:$V$36/N801:V801,F801/V801)/Dashboard!$F$11</f>
        <v>166.02080976905245</v>
      </c>
      <c r="F801" s="359">
        <f t="shared" si="793"/>
        <v>20585911.426737942</v>
      </c>
      <c r="G801" s="359">
        <f>'DRE + DCF'!$W$31</f>
        <v>2791623.3540418856</v>
      </c>
      <c r="H801" s="359">
        <f>'DRE + DCF'!$W$32</f>
        <v>81081.931703745853</v>
      </c>
      <c r="I801" s="359">
        <f>-H801*('DRE + DCF'!$V$33+K801)/'DRE + DCF'!$V$33</f>
        <v>-90858.801614444121</v>
      </c>
      <c r="J801" s="359">
        <f>-'DRE + DCF'!$V$56*L801</f>
        <v>-1188924.4255577971</v>
      </c>
      <c r="K801" s="360">
        <f>(1+L801)/(1+Ke!$O$12)-1</f>
        <v>2.0000000000000018E-2</v>
      </c>
      <c r="L801" s="360">
        <f>'DRE + DCF'!$Y$31</f>
        <v>7.3550000000000004E-2</v>
      </c>
      <c r="M801" s="361">
        <f>(1+D801)^((5-Dashboard!$F$9)*3/12)</f>
        <v>1.1125757838639976</v>
      </c>
      <c r="N801" s="361">
        <f t="shared" ref="N801:V801" si="814">M801*(1+$D801)</f>
        <v>1.2826329924276079</v>
      </c>
      <c r="O801" s="361">
        <f t="shared" si="814"/>
        <v>1.4786834453201656</v>
      </c>
      <c r="P801" s="361">
        <f t="shared" si="814"/>
        <v>1.7047002099373505</v>
      </c>
      <c r="Q801" s="361">
        <f t="shared" si="814"/>
        <v>1.9652636370262717</v>
      </c>
      <c r="R801" s="361">
        <f t="shared" si="814"/>
        <v>2.2656541839457343</v>
      </c>
      <c r="S801" s="361">
        <f t="shared" si="814"/>
        <v>2.6119594259618362</v>
      </c>
      <c r="T801" s="361">
        <f t="shared" si="814"/>
        <v>3.0111974242200987</v>
      </c>
      <c r="U801" s="361">
        <f t="shared" si="814"/>
        <v>3.4714589505121358</v>
      </c>
      <c r="V801" s="362">
        <f t="shared" si="814"/>
        <v>4.0020714510979101</v>
      </c>
      <c r="X801" s="351"/>
    </row>
    <row r="802" spans="3:24" ht="24.75" customHeight="1" x14ac:dyDescent="0.3">
      <c r="C802" s="353">
        <f>ABS(E802-Dashboard!$F$14)</f>
        <v>68.830243688215617</v>
      </c>
      <c r="D802" s="350">
        <f t="shared" si="795"/>
        <v>0.15294999999999839</v>
      </c>
      <c r="E802" s="359" cm="1">
        <f t="array" ref="E802">1000*SUM('DRE + DCF'!$L$36/M802,'DRE + DCF'!$N$36:$V$36/N802:V802,F802/V802)/Dashboard!$F$11</f>
        <v>165.82024368821561</v>
      </c>
      <c r="F802" s="359">
        <f t="shared" si="793"/>
        <v>20565921.986773424</v>
      </c>
      <c r="G802" s="359">
        <f>'DRE + DCF'!$W$31</f>
        <v>2791623.3540418856</v>
      </c>
      <c r="H802" s="359">
        <f>'DRE + DCF'!$W$32</f>
        <v>81081.931703745853</v>
      </c>
      <c r="I802" s="359">
        <f>-H802*('DRE + DCF'!$V$33+K802)/'DRE + DCF'!$V$33</f>
        <v>-90858.801614444121</v>
      </c>
      <c r="J802" s="359">
        <f>-'DRE + DCF'!$V$56*L802</f>
        <v>-1188924.4255577971</v>
      </c>
      <c r="K802" s="360">
        <f>(1+L802)/(1+Ke!$O$12)-1</f>
        <v>2.0000000000000018E-2</v>
      </c>
      <c r="L802" s="360">
        <f>'DRE + DCF'!$Y$31</f>
        <v>7.3550000000000004E-2</v>
      </c>
      <c r="M802" s="361">
        <f>(1+D802)^((5-Dashboard!$F$9)*3/12)</f>
        <v>1.1126481629931761</v>
      </c>
      <c r="N802" s="361">
        <f t="shared" ref="N802:V802" si="815">M802*(1+$D802)</f>
        <v>1.2828276995229806</v>
      </c>
      <c r="O802" s="361">
        <f t="shared" si="815"/>
        <v>1.4790361961650185</v>
      </c>
      <c r="P802" s="361">
        <f t="shared" si="815"/>
        <v>1.7052547823684556</v>
      </c>
      <c r="Q802" s="361">
        <f t="shared" si="815"/>
        <v>1.9660735013317081</v>
      </c>
      <c r="R802" s="361">
        <f t="shared" si="815"/>
        <v>2.2667844433603896</v>
      </c>
      <c r="S802" s="361">
        <f t="shared" si="815"/>
        <v>2.6134891239723577</v>
      </c>
      <c r="T802" s="361">
        <f t="shared" si="815"/>
        <v>3.0132222854839257</v>
      </c>
      <c r="U802" s="361">
        <f t="shared" si="815"/>
        <v>3.4740946340486873</v>
      </c>
      <c r="V802" s="362">
        <f t="shared" si="815"/>
        <v>4.0054574083264285</v>
      </c>
      <c r="X802" s="351"/>
    </row>
    <row r="803" spans="3:24" ht="24.75" customHeight="1" x14ac:dyDescent="0.3">
      <c r="C803" s="353">
        <f>ABS(E803-Dashboard!$F$14)</f>
        <v>68.630112368063195</v>
      </c>
      <c r="D803" s="350">
        <f t="shared" si="795"/>
        <v>0.15304999999999838</v>
      </c>
      <c r="E803" s="359" cm="1">
        <f t="array" ref="E803">1000*SUM('DRE + DCF'!$L$36/M803,'DRE + DCF'!$N$36:$V$36/N803:V803,F803/V803)/Dashboard!$F$11</f>
        <v>165.62011236806319</v>
      </c>
      <c r="F803" s="359">
        <f t="shared" si="793"/>
        <v>20545975.085695192</v>
      </c>
      <c r="G803" s="359">
        <f>'DRE + DCF'!$W$31</f>
        <v>2791623.3540418856</v>
      </c>
      <c r="H803" s="359">
        <f>'DRE + DCF'!$W$32</f>
        <v>81081.931703745853</v>
      </c>
      <c r="I803" s="359">
        <f>-H803*('DRE + DCF'!$V$33+K803)/'DRE + DCF'!$V$33</f>
        <v>-90858.801614444121</v>
      </c>
      <c r="J803" s="359">
        <f>-'DRE + DCF'!$V$56*L803</f>
        <v>-1188924.4255577971</v>
      </c>
      <c r="K803" s="360">
        <f>(1+L803)/(1+Ke!$O$12)-1</f>
        <v>2.0000000000000018E-2</v>
      </c>
      <c r="L803" s="360">
        <f>'DRE + DCF'!$Y$31</f>
        <v>7.3550000000000004E-2</v>
      </c>
      <c r="M803" s="361">
        <f>(1+D803)^((5-Dashboard!$F$9)*3/12)</f>
        <v>1.1127205405529383</v>
      </c>
      <c r="N803" s="361">
        <f t="shared" ref="N803:V803" si="816">M803*(1+$D803)</f>
        <v>1.2830224192845636</v>
      </c>
      <c r="O803" s="361">
        <f t="shared" si="816"/>
        <v>1.4793890005560639</v>
      </c>
      <c r="P803" s="361">
        <f t="shared" si="816"/>
        <v>1.7058094870911671</v>
      </c>
      <c r="Q803" s="361">
        <f t="shared" si="816"/>
        <v>1.9668836290904674</v>
      </c>
      <c r="R803" s="361">
        <f t="shared" si="816"/>
        <v>2.2679151685227601</v>
      </c>
      <c r="S803" s="361">
        <f t="shared" si="816"/>
        <v>2.615019585065165</v>
      </c>
      <c r="T803" s="361">
        <f t="shared" si="816"/>
        <v>3.0152483325593842</v>
      </c>
      <c r="U803" s="361">
        <f t="shared" si="816"/>
        <v>3.4767320898575931</v>
      </c>
      <c r="V803" s="362">
        <f t="shared" si="816"/>
        <v>4.0088459362102924</v>
      </c>
      <c r="X803" s="351"/>
    </row>
    <row r="804" spans="3:24" ht="24.75" customHeight="1" x14ac:dyDescent="0.3">
      <c r="C804" s="353">
        <f>ABS(E804-Dashboard!$F$14)</f>
        <v>68.430414380726361</v>
      </c>
      <c r="D804" s="350">
        <f t="shared" si="795"/>
        <v>0.15314999999999837</v>
      </c>
      <c r="E804" s="359" cm="1">
        <f t="array" ref="E804">1000*SUM('DRE + DCF'!$L$36/M804,'DRE + DCF'!$N$36:$V$36/N804:V804,F804/V804)/Dashboard!$F$11</f>
        <v>165.42041438072636</v>
      </c>
      <c r="F804" s="359">
        <f t="shared" si="793"/>
        <v>20526070.578341004</v>
      </c>
      <c r="G804" s="359">
        <f>'DRE + DCF'!$W$31</f>
        <v>2791623.3540418856</v>
      </c>
      <c r="H804" s="359">
        <f>'DRE + DCF'!$W$32</f>
        <v>81081.931703745853</v>
      </c>
      <c r="I804" s="359">
        <f>-H804*('DRE + DCF'!$V$33+K804)/'DRE + DCF'!$V$33</f>
        <v>-90858.801614444121</v>
      </c>
      <c r="J804" s="359">
        <f>-'DRE + DCF'!$V$56*L804</f>
        <v>-1188924.4255577971</v>
      </c>
      <c r="K804" s="360">
        <f>(1+L804)/(1+Ke!$O$12)-1</f>
        <v>2.0000000000000018E-2</v>
      </c>
      <c r="L804" s="360">
        <f>'DRE + DCF'!$Y$31</f>
        <v>7.3550000000000004E-2</v>
      </c>
      <c r="M804" s="361">
        <f>(1+D804)^((5-Dashboard!$F$9)*3/12)</f>
        <v>1.1127929165434542</v>
      </c>
      <c r="N804" s="361">
        <f t="shared" ref="N804:V804" si="817">M804*(1+$D804)</f>
        <v>1.2832171517120825</v>
      </c>
      <c r="O804" s="361">
        <f t="shared" si="817"/>
        <v>1.4797418584967859</v>
      </c>
      <c r="P804" s="361">
        <f t="shared" si="817"/>
        <v>1.7063643241255662</v>
      </c>
      <c r="Q804" s="361">
        <f t="shared" si="817"/>
        <v>1.9676940203653939</v>
      </c>
      <c r="R804" s="361">
        <f t="shared" si="817"/>
        <v>2.2690463595843506</v>
      </c>
      <c r="S804" s="361">
        <f t="shared" si="817"/>
        <v>2.6165508095546901</v>
      </c>
      <c r="T804" s="361">
        <f t="shared" si="817"/>
        <v>3.0172755660379864</v>
      </c>
      <c r="U804" s="361">
        <f t="shared" si="817"/>
        <v>3.4793713189766988</v>
      </c>
      <c r="V804" s="362">
        <f t="shared" si="817"/>
        <v>4.0122370364779743</v>
      </c>
      <c r="X804" s="351"/>
    </row>
    <row r="805" spans="3:24" ht="24.75" customHeight="1" x14ac:dyDescent="0.3">
      <c r="C805" s="353">
        <f>ABS(E805-Dashboard!$F$14)</f>
        <v>68.23114830485811</v>
      </c>
      <c r="D805" s="350">
        <f t="shared" si="795"/>
        <v>0.15324999999999836</v>
      </c>
      <c r="E805" s="359" cm="1">
        <f t="array" ref="E805">1000*SUM('DRE + DCF'!$L$36/M805,'DRE + DCF'!$N$36:$V$36/N805:V805,F805/V805)/Dashboard!$F$11</f>
        <v>165.2211483048581</v>
      </c>
      <c r="F805" s="359">
        <f t="shared" si="793"/>
        <v>20506208.320237637</v>
      </c>
      <c r="G805" s="359">
        <f>'DRE + DCF'!$W$31</f>
        <v>2791623.3540418856</v>
      </c>
      <c r="H805" s="359">
        <f>'DRE + DCF'!$W$32</f>
        <v>81081.931703745853</v>
      </c>
      <c r="I805" s="359">
        <f>-H805*('DRE + DCF'!$V$33+K805)/'DRE + DCF'!$V$33</f>
        <v>-90858.801614444121</v>
      </c>
      <c r="J805" s="359">
        <f>-'DRE + DCF'!$V$56*L805</f>
        <v>-1188924.4255577971</v>
      </c>
      <c r="K805" s="360">
        <f>(1+L805)/(1+Ke!$O$12)-1</f>
        <v>2.0000000000000018E-2</v>
      </c>
      <c r="L805" s="360">
        <f>'DRE + DCF'!$Y$31</f>
        <v>7.3550000000000004E-2</v>
      </c>
      <c r="M805" s="361">
        <f>(1+D805)^((5-Dashboard!$F$9)*3/12)</f>
        <v>1.1128652909648942</v>
      </c>
      <c r="N805" s="361">
        <f t="shared" ref="N805:V805" si="818">M805*(1+$D805)</f>
        <v>1.2834118968052624</v>
      </c>
      <c r="O805" s="361">
        <f t="shared" si="818"/>
        <v>1.4800947699906666</v>
      </c>
      <c r="P805" s="361">
        <f t="shared" si="818"/>
        <v>1.7069192934917337</v>
      </c>
      <c r="Q805" s="361">
        <f t="shared" si="818"/>
        <v>1.9685046752193389</v>
      </c>
      <c r="R805" s="361">
        <f t="shared" si="818"/>
        <v>2.2701780166966992</v>
      </c>
      <c r="S805" s="361">
        <f t="shared" si="818"/>
        <v>2.6180827977554646</v>
      </c>
      <c r="T805" s="361">
        <f t="shared" si="818"/>
        <v>3.0193039865114852</v>
      </c>
      <c r="U805" s="361">
        <f t="shared" si="818"/>
        <v>3.4820123224443651</v>
      </c>
      <c r="V805" s="362">
        <f t="shared" si="818"/>
        <v>4.0156307108589582</v>
      </c>
      <c r="X805" s="351"/>
    </row>
    <row r="806" spans="3:24" ht="24.75" customHeight="1" x14ac:dyDescent="0.3">
      <c r="C806" s="353">
        <f>ABS(E806-Dashboard!$F$14)</f>
        <v>68.032312725593883</v>
      </c>
      <c r="D806" s="350">
        <f t="shared" si="795"/>
        <v>0.15334999999999835</v>
      </c>
      <c r="E806" s="359" cm="1">
        <f t="array" ref="E806">1000*SUM('DRE + DCF'!$L$36/M806,'DRE + DCF'!$N$36:$V$36/N806:V806,F806/V806)/Dashboard!$F$11</f>
        <v>165.02231272559388</v>
      </c>
      <c r="F806" s="359">
        <f t="shared" si="793"/>
        <v>20486388.167596705</v>
      </c>
      <c r="G806" s="359">
        <f>'DRE + DCF'!$W$31</f>
        <v>2791623.3540418856</v>
      </c>
      <c r="H806" s="359">
        <f>'DRE + DCF'!$W$32</f>
        <v>81081.931703745853</v>
      </c>
      <c r="I806" s="359">
        <f>-H806*('DRE + DCF'!$V$33+K806)/'DRE + DCF'!$V$33</f>
        <v>-90858.801614444121</v>
      </c>
      <c r="J806" s="359">
        <f>-'DRE + DCF'!$V$56*L806</f>
        <v>-1188924.4255577971</v>
      </c>
      <c r="K806" s="360">
        <f>(1+L806)/(1+Ke!$O$12)-1</f>
        <v>2.0000000000000018E-2</v>
      </c>
      <c r="L806" s="360">
        <f>'DRE + DCF'!$Y$31</f>
        <v>7.3550000000000004E-2</v>
      </c>
      <c r="M806" s="361">
        <f>(1+D806)^((5-Dashboard!$F$9)*3/12)</f>
        <v>1.112937663817428</v>
      </c>
      <c r="N806" s="361">
        <f t="shared" ref="N806:V806" si="819">M806*(1+$D806)</f>
        <v>1.2836066545638287</v>
      </c>
      <c r="O806" s="361">
        <f t="shared" si="819"/>
        <v>1.4804477350411898</v>
      </c>
      <c r="P806" s="361">
        <f t="shared" si="819"/>
        <v>1.7074743952097537</v>
      </c>
      <c r="Q806" s="361">
        <f t="shared" si="819"/>
        <v>1.9693155937151665</v>
      </c>
      <c r="R806" s="361">
        <f t="shared" si="819"/>
        <v>2.271310140011384</v>
      </c>
      <c r="S806" s="361">
        <f t="shared" si="819"/>
        <v>2.6196155499821261</v>
      </c>
      <c r="T806" s="361">
        <f t="shared" si="819"/>
        <v>3.0213335945718809</v>
      </c>
      <c r="U806" s="361">
        <f t="shared" si="819"/>
        <v>3.4846551012994738</v>
      </c>
      <c r="V806" s="362">
        <f t="shared" si="819"/>
        <v>4.0190269610837426</v>
      </c>
      <c r="X806" s="351"/>
    </row>
    <row r="807" spans="3:24" ht="24.75" customHeight="1" x14ac:dyDescent="0.3">
      <c r="C807" s="353">
        <f>ABS(E807-Dashboard!$F$14)</f>
        <v>67.833906234514174</v>
      </c>
      <c r="D807" s="350">
        <f t="shared" si="795"/>
        <v>0.15344999999999834</v>
      </c>
      <c r="E807" s="359" cm="1">
        <f t="array" ref="E807">1000*SUM('DRE + DCF'!$L$36/M807,'DRE + DCF'!$N$36:$V$36/N807:V807,F807/V807)/Dashboard!$F$11</f>
        <v>164.82390623451417</v>
      </c>
      <c r="F807" s="359">
        <f t="shared" si="793"/>
        <v>20466609.977310501</v>
      </c>
      <c r="G807" s="359">
        <f>'DRE + DCF'!$W$31</f>
        <v>2791623.3540418856</v>
      </c>
      <c r="H807" s="359">
        <f>'DRE + DCF'!$W$32</f>
        <v>81081.931703745853</v>
      </c>
      <c r="I807" s="359">
        <f>-H807*('DRE + DCF'!$V$33+K807)/'DRE + DCF'!$V$33</f>
        <v>-90858.801614444121</v>
      </c>
      <c r="J807" s="359">
        <f>-'DRE + DCF'!$V$56*L807</f>
        <v>-1188924.4255577971</v>
      </c>
      <c r="K807" s="360">
        <f>(1+L807)/(1+Ke!$O$12)-1</f>
        <v>2.0000000000000018E-2</v>
      </c>
      <c r="L807" s="360">
        <f>'DRE + DCF'!$Y$31</f>
        <v>7.3550000000000004E-2</v>
      </c>
      <c r="M807" s="361">
        <f>(1+D807)^((5-Dashboard!$F$9)*3/12)</f>
        <v>1.1130100351012258</v>
      </c>
      <c r="N807" s="361">
        <f t="shared" ref="N807:V807" si="820">M807*(1+$D807)</f>
        <v>1.2838014249875069</v>
      </c>
      <c r="O807" s="361">
        <f t="shared" si="820"/>
        <v>1.4808007536518377</v>
      </c>
      <c r="P807" s="361">
        <f t="shared" si="820"/>
        <v>1.7080296292997097</v>
      </c>
      <c r="Q807" s="361">
        <f t="shared" si="820"/>
        <v>1.9701267759157473</v>
      </c>
      <c r="R807" s="361">
        <f t="shared" si="820"/>
        <v>2.2724427296800154</v>
      </c>
      <c r="S807" s="361">
        <f t="shared" si="820"/>
        <v>2.6211490665494099</v>
      </c>
      <c r="T807" s="361">
        <f t="shared" si="820"/>
        <v>3.0233643908114125</v>
      </c>
      <c r="U807" s="361">
        <f t="shared" si="820"/>
        <v>3.4872996565814187</v>
      </c>
      <c r="V807" s="362">
        <f t="shared" si="820"/>
        <v>4.0224257888838313</v>
      </c>
      <c r="X807" s="351"/>
    </row>
    <row r="808" spans="3:24" ht="24.75" customHeight="1" x14ac:dyDescent="0.3">
      <c r="C808" s="353">
        <f>ABS(E808-Dashboard!$F$14)</f>
        <v>67.635927429605445</v>
      </c>
      <c r="D808" s="350">
        <f t="shared" si="795"/>
        <v>0.15354999999999833</v>
      </c>
      <c r="E808" s="359" cm="1">
        <f t="array" ref="E808">1000*SUM('DRE + DCF'!$L$36/M808,'DRE + DCF'!$N$36:$V$36/N808:V808,F808/V808)/Dashboard!$F$11</f>
        <v>164.62592742960544</v>
      </c>
      <c r="F808" s="359">
        <f t="shared" si="793"/>
        <v>20446873.606947862</v>
      </c>
      <c r="G808" s="359">
        <f>'DRE + DCF'!$W$31</f>
        <v>2791623.3540418856</v>
      </c>
      <c r="H808" s="359">
        <f>'DRE + DCF'!$W$32</f>
        <v>81081.931703745853</v>
      </c>
      <c r="I808" s="359">
        <f>-H808*('DRE + DCF'!$V$33+K808)/'DRE + DCF'!$V$33</f>
        <v>-90858.801614444121</v>
      </c>
      <c r="J808" s="359">
        <f>-'DRE + DCF'!$V$56*L808</f>
        <v>-1188924.4255577971</v>
      </c>
      <c r="K808" s="360">
        <f>(1+L808)/(1+Ke!$O$12)-1</f>
        <v>2.0000000000000018E-2</v>
      </c>
      <c r="L808" s="360">
        <f>'DRE + DCF'!$Y$31</f>
        <v>7.3550000000000004E-2</v>
      </c>
      <c r="M808" s="361">
        <f>(1+D808)^((5-Dashboard!$F$9)*3/12)</f>
        <v>1.1130824048164574</v>
      </c>
      <c r="N808" s="361">
        <f t="shared" ref="N808:V808" si="821">M808*(1+$D808)</f>
        <v>1.2839962080760225</v>
      </c>
      <c r="O808" s="361">
        <f t="shared" si="821"/>
        <v>1.4811538258260937</v>
      </c>
      <c r="P808" s="361">
        <f t="shared" si="821"/>
        <v>1.7085849957816879</v>
      </c>
      <c r="Q808" s="361">
        <f t="shared" si="821"/>
        <v>1.9709382218839631</v>
      </c>
      <c r="R808" s="361">
        <f t="shared" si="821"/>
        <v>2.2735757858542422</v>
      </c>
      <c r="S808" s="361">
        <f t="shared" si="821"/>
        <v>2.6226833477721572</v>
      </c>
      <c r="T808" s="361">
        <f t="shared" si="821"/>
        <v>3.0253963758225675</v>
      </c>
      <c r="U808" s="361">
        <f t="shared" si="821"/>
        <v>3.4899459893301175</v>
      </c>
      <c r="V808" s="362">
        <f t="shared" si="821"/>
        <v>4.0258271959917513</v>
      </c>
      <c r="X808" s="351"/>
    </row>
    <row r="809" spans="3:24" ht="24.75" customHeight="1" x14ac:dyDescent="0.3">
      <c r="C809" s="353">
        <f>ABS(E809-Dashboard!$F$14)</f>
        <v>67.438374915223037</v>
      </c>
      <c r="D809" s="350">
        <f t="shared" si="795"/>
        <v>0.15364999999999832</v>
      </c>
      <c r="E809" s="359" cm="1">
        <f t="array" ref="E809">1000*SUM('DRE + DCF'!$L$36/M809,'DRE + DCF'!$N$36:$V$36/N809:V809,F809/V809)/Dashboard!$F$11</f>
        <v>164.42837491522303</v>
      </c>
      <c r="F809" s="359">
        <f t="shared" si="793"/>
        <v>20427178.914750084</v>
      </c>
      <c r="G809" s="359">
        <f>'DRE + DCF'!$W$31</f>
        <v>2791623.3540418856</v>
      </c>
      <c r="H809" s="359">
        <f>'DRE + DCF'!$W$32</f>
        <v>81081.931703745853</v>
      </c>
      <c r="I809" s="359">
        <f>-H809*('DRE + DCF'!$V$33+K809)/'DRE + DCF'!$V$33</f>
        <v>-90858.801614444121</v>
      </c>
      <c r="J809" s="359">
        <f>-'DRE + DCF'!$V$56*L809</f>
        <v>-1188924.4255577971</v>
      </c>
      <c r="K809" s="360">
        <f>(1+L809)/(1+Ke!$O$12)-1</f>
        <v>2.0000000000000018E-2</v>
      </c>
      <c r="L809" s="360">
        <f>'DRE + DCF'!$Y$31</f>
        <v>7.3550000000000004E-2</v>
      </c>
      <c r="M809" s="361">
        <f>(1+D809)^((5-Dashboard!$F$9)*3/12)</f>
        <v>1.1131547729632931</v>
      </c>
      <c r="N809" s="361">
        <f t="shared" ref="N809:V809" si="822">M809*(1+$D809)</f>
        <v>1.2841910038291011</v>
      </c>
      <c r="O809" s="361">
        <f t="shared" si="822"/>
        <v>1.4815069515674404</v>
      </c>
      <c r="P809" s="361">
        <f t="shared" si="822"/>
        <v>1.7091404946757751</v>
      </c>
      <c r="Q809" s="361">
        <f t="shared" si="822"/>
        <v>1.971749931682705</v>
      </c>
      <c r="R809" s="361">
        <f t="shared" si="822"/>
        <v>2.2747093086857491</v>
      </c>
      <c r="S809" s="361">
        <f t="shared" si="822"/>
        <v>2.6242183939653105</v>
      </c>
      <c r="T809" s="361">
        <f t="shared" si="822"/>
        <v>3.0274295501980761</v>
      </c>
      <c r="U809" s="361">
        <f t="shared" si="822"/>
        <v>3.4925941005860053</v>
      </c>
      <c r="V809" s="362">
        <f t="shared" si="822"/>
        <v>4.0292311841410386</v>
      </c>
      <c r="X809" s="351"/>
    </row>
    <row r="810" spans="3:24" ht="24.75" customHeight="1" x14ac:dyDescent="0.3">
      <c r="C810" s="353">
        <f>ABS(E810-Dashboard!$F$14)</f>
        <v>67.241247302053452</v>
      </c>
      <c r="D810" s="350">
        <f t="shared" si="795"/>
        <v>0.1537499999999983</v>
      </c>
      <c r="E810" s="359" cm="1">
        <f t="array" ref="E810">1000*SUM('DRE + DCF'!$L$36/M810,'DRE + DCF'!$N$36:$V$36/N810:V810,F810/V810)/Dashboard!$F$11</f>
        <v>164.23124730205345</v>
      </c>
      <c r="F810" s="359">
        <f t="shared" si="793"/>
        <v>20407525.759626862</v>
      </c>
      <c r="G810" s="359">
        <f>'DRE + DCF'!$W$31</f>
        <v>2791623.3540418856</v>
      </c>
      <c r="H810" s="359">
        <f>'DRE + DCF'!$W$32</f>
        <v>81081.931703745853</v>
      </c>
      <c r="I810" s="359">
        <f>-H810*('DRE + DCF'!$V$33+K810)/'DRE + DCF'!$V$33</f>
        <v>-90858.801614444121</v>
      </c>
      <c r="J810" s="359">
        <f>-'DRE + DCF'!$V$56*L810</f>
        <v>-1188924.4255577971</v>
      </c>
      <c r="K810" s="360">
        <f>(1+L810)/(1+Ke!$O$12)-1</f>
        <v>2.0000000000000018E-2</v>
      </c>
      <c r="L810" s="360">
        <f>'DRE + DCF'!$Y$31</f>
        <v>7.3550000000000004E-2</v>
      </c>
      <c r="M810" s="361">
        <f>(1+D810)^((5-Dashboard!$F$9)*3/12)</f>
        <v>1.1132271395419027</v>
      </c>
      <c r="N810" s="361">
        <f t="shared" ref="N810:V810" si="823">M810*(1+$D810)</f>
        <v>1.2843858122464682</v>
      </c>
      <c r="O810" s="361">
        <f t="shared" si="823"/>
        <v>1.4818601308793604</v>
      </c>
      <c r="P810" s="361">
        <f t="shared" si="823"/>
        <v>1.7096961260020596</v>
      </c>
      <c r="Q810" s="361">
        <f t="shared" si="823"/>
        <v>1.9725619053748733</v>
      </c>
      <c r="R810" s="361">
        <f t="shared" si="823"/>
        <v>2.2758432983262566</v>
      </c>
      <c r="S810" s="361">
        <f t="shared" si="823"/>
        <v>2.6257542054439145</v>
      </c>
      <c r="T810" s="361">
        <f t="shared" si="823"/>
        <v>3.0294639145309117</v>
      </c>
      <c r="U810" s="361">
        <f t="shared" si="823"/>
        <v>3.4952439913900339</v>
      </c>
      <c r="V810" s="362">
        <f t="shared" si="823"/>
        <v>4.0326377550662453</v>
      </c>
      <c r="X810" s="351"/>
    </row>
    <row r="811" spans="3:24" ht="24.75" customHeight="1" x14ac:dyDescent="0.3">
      <c r="C811" s="353">
        <f>ABS(E811-Dashboard!$F$14)</f>
        <v>67.044543207076813</v>
      </c>
      <c r="D811" s="350">
        <f t="shared" si="795"/>
        <v>0.15384999999999829</v>
      </c>
      <c r="E811" s="359" cm="1">
        <f t="array" ref="E811">1000*SUM('DRE + DCF'!$L$36/M811,'DRE + DCF'!$N$36:$V$36/N811:V811,F811/V811)/Dashboard!$F$11</f>
        <v>164.03454320707681</v>
      </c>
      <c r="F811" s="359">
        <f t="shared" si="793"/>
        <v>20387914.00115221</v>
      </c>
      <c r="G811" s="359">
        <f>'DRE + DCF'!$W$31</f>
        <v>2791623.3540418856</v>
      </c>
      <c r="H811" s="359">
        <f>'DRE + DCF'!$W$32</f>
        <v>81081.931703745853</v>
      </c>
      <c r="I811" s="359">
        <f>-H811*('DRE + DCF'!$V$33+K811)/'DRE + DCF'!$V$33</f>
        <v>-90858.801614444121</v>
      </c>
      <c r="J811" s="359">
        <f>-'DRE + DCF'!$V$56*L811</f>
        <v>-1188924.4255577971</v>
      </c>
      <c r="K811" s="360">
        <f>(1+L811)/(1+Ke!$O$12)-1</f>
        <v>2.0000000000000018E-2</v>
      </c>
      <c r="L811" s="360">
        <f>'DRE + DCF'!$Y$31</f>
        <v>7.3550000000000004E-2</v>
      </c>
      <c r="M811" s="361">
        <f>(1+D811)^((5-Dashboard!$F$9)*3/12)</f>
        <v>1.1132995045524559</v>
      </c>
      <c r="N811" s="361">
        <f t="shared" ref="N811:V811" si="824">M811*(1+$D811)</f>
        <v>1.2845806333278493</v>
      </c>
      <c r="O811" s="361">
        <f t="shared" si="824"/>
        <v>1.4822133637653367</v>
      </c>
      <c r="P811" s="361">
        <f t="shared" si="824"/>
        <v>1.7102518897806311</v>
      </c>
      <c r="Q811" s="361">
        <f t="shared" si="824"/>
        <v>1.9733741430233782</v>
      </c>
      <c r="R811" s="361">
        <f t="shared" si="824"/>
        <v>2.2769777549275214</v>
      </c>
      <c r="S811" s="361">
        <f t="shared" si="824"/>
        <v>2.6272907825231164</v>
      </c>
      <c r="T811" s="361">
        <f t="shared" si="824"/>
        <v>3.0314994694142934</v>
      </c>
      <c r="U811" s="361">
        <f t="shared" si="824"/>
        <v>3.497895662783677</v>
      </c>
      <c r="V811" s="362">
        <f t="shared" si="824"/>
        <v>4.0360469105029395</v>
      </c>
      <c r="X811" s="351"/>
    </row>
    <row r="812" spans="3:24" ht="24.75" customHeight="1" x14ac:dyDescent="0.3">
      <c r="C812" s="353">
        <f>ABS(E812-Dashboard!$F$14)</f>
        <v>66.848261253530197</v>
      </c>
      <c r="D812" s="350">
        <f t="shared" si="795"/>
        <v>0.15394999999999828</v>
      </c>
      <c r="E812" s="359" cm="1">
        <f t="array" ref="E812">1000*SUM('DRE + DCF'!$L$36/M812,'DRE + DCF'!$N$36:$V$36/N812:V812,F812/V812)/Dashboard!$F$11</f>
        <v>163.83826125353019</v>
      </c>
      <c r="F812" s="359">
        <f t="shared" si="793"/>
        <v>20368343.499560513</v>
      </c>
      <c r="G812" s="359">
        <f>'DRE + DCF'!$W$31</f>
        <v>2791623.3540418856</v>
      </c>
      <c r="H812" s="359">
        <f>'DRE + DCF'!$W$32</f>
        <v>81081.931703745853</v>
      </c>
      <c r="I812" s="359">
        <f>-H812*('DRE + DCF'!$V$33+K812)/'DRE + DCF'!$V$33</f>
        <v>-90858.801614444121</v>
      </c>
      <c r="J812" s="359">
        <f>-'DRE + DCF'!$V$56*L812</f>
        <v>-1188924.4255577971</v>
      </c>
      <c r="K812" s="360">
        <f>(1+L812)/(1+Ke!$O$12)-1</f>
        <v>2.0000000000000018E-2</v>
      </c>
      <c r="L812" s="360">
        <f>'DRE + DCF'!$Y$31</f>
        <v>7.3550000000000004E-2</v>
      </c>
      <c r="M812" s="361">
        <f>(1+D812)^((5-Dashboard!$F$9)*3/12)</f>
        <v>1.1133718679951228</v>
      </c>
      <c r="N812" s="361">
        <f t="shared" ref="N812:V812" si="825">M812*(1+$D812)</f>
        <v>1.2847754670729701</v>
      </c>
      <c r="O812" s="361">
        <f t="shared" si="825"/>
        <v>1.4825666502288515</v>
      </c>
      <c r="P812" s="361">
        <f t="shared" si="825"/>
        <v>1.7108077860315807</v>
      </c>
      <c r="Q812" s="361">
        <f t="shared" si="825"/>
        <v>1.9741866446911396</v>
      </c>
      <c r="R812" s="361">
        <f t="shared" si="825"/>
        <v>2.278112678641337</v>
      </c>
      <c r="S812" s="361">
        <f t="shared" si="825"/>
        <v>2.6288281255181669</v>
      </c>
      <c r="T812" s="361">
        <f t="shared" si="825"/>
        <v>3.0335362154416843</v>
      </c>
      <c r="U812" s="361">
        <f t="shared" si="825"/>
        <v>3.5005491158089264</v>
      </c>
      <c r="V812" s="362">
        <f t="shared" si="825"/>
        <v>4.0394586521877045</v>
      </c>
      <c r="X812" s="351"/>
    </row>
    <row r="813" spans="3:24" ht="24.75" customHeight="1" x14ac:dyDescent="0.3">
      <c r="C813" s="353">
        <f>ABS(E813-Dashboard!$F$14)</f>
        <v>66.652400070871252</v>
      </c>
      <c r="D813" s="350">
        <f t="shared" si="795"/>
        <v>0.15404999999999827</v>
      </c>
      <c r="E813" s="359" cm="1">
        <f t="array" ref="E813">1000*SUM('DRE + DCF'!$L$36/M813,'DRE + DCF'!$N$36:$V$36/N813:V813,F813/V813)/Dashboard!$F$11</f>
        <v>163.64240007087125</v>
      </c>
      <c r="F813" s="359">
        <f t="shared" si="793"/>
        <v>20348814.115742527</v>
      </c>
      <c r="G813" s="359">
        <f>'DRE + DCF'!$W$31</f>
        <v>2791623.3540418856</v>
      </c>
      <c r="H813" s="359">
        <f>'DRE + DCF'!$W$32</f>
        <v>81081.931703745853</v>
      </c>
      <c r="I813" s="359">
        <f>-H813*('DRE + DCF'!$V$33+K813)/'DRE + DCF'!$V$33</f>
        <v>-90858.801614444121</v>
      </c>
      <c r="J813" s="359">
        <f>-'DRE + DCF'!$V$56*L813</f>
        <v>-1188924.4255577971</v>
      </c>
      <c r="K813" s="360">
        <f>(1+L813)/(1+Ke!$O$12)-1</f>
        <v>2.0000000000000018E-2</v>
      </c>
      <c r="L813" s="360">
        <f>'DRE + DCF'!$Y$31</f>
        <v>7.3550000000000004E-2</v>
      </c>
      <c r="M813" s="361">
        <f>(1+D813)^((5-Dashboard!$F$9)*3/12)</f>
        <v>1.1134442298700733</v>
      </c>
      <c r="N813" s="361">
        <f t="shared" ref="N813:V813" si="826">M813*(1+$D813)</f>
        <v>1.2849703134815562</v>
      </c>
      <c r="O813" s="361">
        <f t="shared" si="826"/>
        <v>1.4829199902733876</v>
      </c>
      <c r="P813" s="361">
        <f t="shared" si="826"/>
        <v>1.7113638147750003</v>
      </c>
      <c r="Q813" s="361">
        <f t="shared" si="826"/>
        <v>1.9749994104410862</v>
      </c>
      <c r="R813" s="361">
        <f t="shared" si="826"/>
        <v>2.2792480696195319</v>
      </c>
      <c r="S813" s="361">
        <f t="shared" si="826"/>
        <v>2.6303662347444168</v>
      </c>
      <c r="T813" s="361">
        <f t="shared" si="826"/>
        <v>3.0355741532067895</v>
      </c>
      <c r="U813" s="361">
        <f t="shared" si="826"/>
        <v>3.5032043515082902</v>
      </c>
      <c r="V813" s="362">
        <f t="shared" si="826"/>
        <v>4.0428729818581361</v>
      </c>
      <c r="X813" s="351"/>
    </row>
    <row r="814" spans="3:24" ht="24.75" customHeight="1" x14ac:dyDescent="0.3">
      <c r="C814" s="353">
        <f>ABS(E814-Dashboard!$F$14)</f>
        <v>66.456958294740772</v>
      </c>
      <c r="D814" s="350">
        <f t="shared" si="795"/>
        <v>0.15414999999999826</v>
      </c>
      <c r="E814" s="359" cm="1">
        <f t="array" ref="E814">1000*SUM('DRE + DCF'!$L$36/M814,'DRE + DCF'!$N$36:$V$36/N814:V814,F814/V814)/Dashboard!$F$11</f>
        <v>163.44695829474077</v>
      </c>
      <c r="F814" s="359">
        <f t="shared" si="793"/>
        <v>20329325.711241394</v>
      </c>
      <c r="G814" s="359">
        <f>'DRE + DCF'!$W$31</f>
        <v>2791623.3540418856</v>
      </c>
      <c r="H814" s="359">
        <f>'DRE + DCF'!$W$32</f>
        <v>81081.931703745853</v>
      </c>
      <c r="I814" s="359">
        <f>-H814*('DRE + DCF'!$V$33+K814)/'DRE + DCF'!$V$33</f>
        <v>-90858.801614444121</v>
      </c>
      <c r="J814" s="359">
        <f>-'DRE + DCF'!$V$56*L814</f>
        <v>-1188924.4255577971</v>
      </c>
      <c r="K814" s="360">
        <f>(1+L814)/(1+Ke!$O$12)-1</f>
        <v>2.0000000000000018E-2</v>
      </c>
      <c r="L814" s="360">
        <f>'DRE + DCF'!$Y$31</f>
        <v>7.3550000000000004E-2</v>
      </c>
      <c r="M814" s="361">
        <f>(1+D814)^((5-Dashboard!$F$9)*3/12)</f>
        <v>1.1135165901774771</v>
      </c>
      <c r="N814" s="361">
        <f t="shared" ref="N814:V814" si="827">M814*(1+$D814)</f>
        <v>1.2851651725533333</v>
      </c>
      <c r="O814" s="361">
        <f t="shared" si="827"/>
        <v>1.4832733839024272</v>
      </c>
      <c r="P814" s="361">
        <f t="shared" si="827"/>
        <v>1.7119199760309838</v>
      </c>
      <c r="Q814" s="361">
        <f t="shared" si="827"/>
        <v>1.975812440336157</v>
      </c>
      <c r="R814" s="361">
        <f t="shared" si="827"/>
        <v>2.2803839280139719</v>
      </c>
      <c r="S814" s="361">
        <f t="shared" si="827"/>
        <v>2.6319051105173217</v>
      </c>
      <c r="T814" s="361">
        <f t="shared" si="827"/>
        <v>3.0376132833035623</v>
      </c>
      <c r="U814" s="361">
        <f t="shared" si="827"/>
        <v>3.505861370924801</v>
      </c>
      <c r="V814" s="362">
        <f t="shared" si="827"/>
        <v>4.0462899012528526</v>
      </c>
      <c r="X814" s="351"/>
    </row>
    <row r="815" spans="3:24" ht="24.75" customHeight="1" x14ac:dyDescent="0.3">
      <c r="C815" s="353">
        <f>ABS(E815-Dashboard!$F$14)</f>
        <v>66.261934566927422</v>
      </c>
      <c r="D815" s="350">
        <f t="shared" si="795"/>
        <v>0.15424999999999825</v>
      </c>
      <c r="E815" s="359" cm="1">
        <f t="array" ref="E815">1000*SUM('DRE + DCF'!$L$36/M815,'DRE + DCF'!$N$36:$V$36/N815:V815,F815/V815)/Dashboard!$F$11</f>
        <v>163.25193456692742</v>
      </c>
      <c r="F815" s="359">
        <f t="shared" si="793"/>
        <v>20309878.148248799</v>
      </c>
      <c r="G815" s="359">
        <f>'DRE + DCF'!$W$31</f>
        <v>2791623.3540418856</v>
      </c>
      <c r="H815" s="359">
        <f>'DRE + DCF'!$W$32</f>
        <v>81081.931703745853</v>
      </c>
      <c r="I815" s="359">
        <f>-H815*('DRE + DCF'!$V$33+K815)/'DRE + DCF'!$V$33</f>
        <v>-90858.801614444121</v>
      </c>
      <c r="J815" s="359">
        <f>-'DRE + DCF'!$V$56*L815</f>
        <v>-1188924.4255577971</v>
      </c>
      <c r="K815" s="360">
        <f>(1+L815)/(1+Ke!$O$12)-1</f>
        <v>2.0000000000000018E-2</v>
      </c>
      <c r="L815" s="360">
        <f>'DRE + DCF'!$Y$31</f>
        <v>7.3550000000000004E-2</v>
      </c>
      <c r="M815" s="361">
        <f>(1+D815)^((5-Dashboard!$F$9)*3/12)</f>
        <v>1.1135889489175037</v>
      </c>
      <c r="N815" s="361">
        <f t="shared" ref="N815:V815" si="828">M815*(1+$D815)</f>
        <v>1.2853600442880266</v>
      </c>
      <c r="O815" s="361">
        <f t="shared" si="828"/>
        <v>1.4836268311194525</v>
      </c>
      <c r="P815" s="361">
        <f t="shared" si="828"/>
        <v>1.7124762698196254</v>
      </c>
      <c r="Q815" s="361">
        <f t="shared" si="828"/>
        <v>1.9766257344392997</v>
      </c>
      <c r="R815" s="361">
        <f t="shared" si="828"/>
        <v>2.281520253976558</v>
      </c>
      <c r="S815" s="361">
        <f t="shared" si="828"/>
        <v>2.6334447531524381</v>
      </c>
      <c r="T815" s="361">
        <f t="shared" si="828"/>
        <v>3.0396536063261972</v>
      </c>
      <c r="U815" s="361">
        <f t="shared" si="828"/>
        <v>3.5085201751020079</v>
      </c>
      <c r="V815" s="362">
        <f t="shared" si="828"/>
        <v>4.0497094121114863</v>
      </c>
      <c r="X815" s="351"/>
    </row>
    <row r="816" spans="3:24" ht="24.75" customHeight="1" x14ac:dyDescent="0.3">
      <c r="C816" s="353">
        <f>ABS(E816-Dashboard!$F$14)</f>
        <v>66.067327535331444</v>
      </c>
      <c r="D816" s="350">
        <f t="shared" si="795"/>
        <v>0.15434999999999824</v>
      </c>
      <c r="E816" s="359" cm="1">
        <f t="array" ref="E816">1000*SUM('DRE + DCF'!$L$36/M816,'DRE + DCF'!$N$36:$V$36/N816:V816,F816/V816)/Dashboard!$F$11</f>
        <v>163.05732753533144</v>
      </c>
      <c r="F816" s="359">
        <f t="shared" si="793"/>
        <v>20290471.289600991</v>
      </c>
      <c r="G816" s="359">
        <f>'DRE + DCF'!$W$31</f>
        <v>2791623.3540418856</v>
      </c>
      <c r="H816" s="359">
        <f>'DRE + DCF'!$W$32</f>
        <v>81081.931703745853</v>
      </c>
      <c r="I816" s="359">
        <f>-H816*('DRE + DCF'!$V$33+K816)/'DRE + DCF'!$V$33</f>
        <v>-90858.801614444121</v>
      </c>
      <c r="J816" s="359">
        <f>-'DRE + DCF'!$V$56*L816</f>
        <v>-1188924.4255577971</v>
      </c>
      <c r="K816" s="360">
        <f>(1+L816)/(1+Ke!$O$12)-1</f>
        <v>2.0000000000000018E-2</v>
      </c>
      <c r="L816" s="360">
        <f>'DRE + DCF'!$Y$31</f>
        <v>7.3550000000000004E-2</v>
      </c>
      <c r="M816" s="361">
        <f>(1+D816)^((5-Dashboard!$F$9)*3/12)</f>
        <v>1.1136613060903233</v>
      </c>
      <c r="N816" s="361">
        <f t="shared" ref="N816:V816" si="829">M816*(1+$D816)</f>
        <v>1.2855549286853627</v>
      </c>
      <c r="O816" s="361">
        <f t="shared" si="829"/>
        <v>1.4839803319279461</v>
      </c>
      <c r="P816" s="361">
        <f t="shared" si="829"/>
        <v>1.7130326961610218</v>
      </c>
      <c r="Q816" s="361">
        <f t="shared" si="829"/>
        <v>1.9774392928134725</v>
      </c>
      <c r="R816" s="361">
        <f t="shared" si="829"/>
        <v>2.2826570476592285</v>
      </c>
      <c r="S816" s="361">
        <f t="shared" si="829"/>
        <v>2.6349851629654264</v>
      </c>
      <c r="T816" s="361">
        <f t="shared" si="829"/>
        <v>3.0416951228691351</v>
      </c>
      <c r="U816" s="361">
        <f t="shared" si="829"/>
        <v>3.5111807650839806</v>
      </c>
      <c r="V816" s="362">
        <f t="shared" si="829"/>
        <v>4.0531315161746866</v>
      </c>
      <c r="X816" s="351"/>
    </row>
    <row r="817" spans="3:24" ht="24.75" customHeight="1" x14ac:dyDescent="0.3">
      <c r="C817" s="353">
        <f>ABS(E817-Dashboard!$F$14)</f>
        <v>65.873135853928787</v>
      </c>
      <c r="D817" s="350">
        <f t="shared" si="795"/>
        <v>0.15444999999999823</v>
      </c>
      <c r="E817" s="359" cm="1">
        <f t="array" ref="E817">1000*SUM('DRE + DCF'!$L$36/M817,'DRE + DCF'!$N$36:$V$36/N817:V817,F817/V817)/Dashboard!$F$11</f>
        <v>162.86313585392878</v>
      </c>
      <c r="F817" s="359">
        <f t="shared" si="793"/>
        <v>20271104.998775002</v>
      </c>
      <c r="G817" s="359">
        <f>'DRE + DCF'!$W$31</f>
        <v>2791623.3540418856</v>
      </c>
      <c r="H817" s="359">
        <f>'DRE + DCF'!$W$32</f>
        <v>81081.931703745853</v>
      </c>
      <c r="I817" s="359">
        <f>-H817*('DRE + DCF'!$V$33+K817)/'DRE + DCF'!$V$33</f>
        <v>-90858.801614444121</v>
      </c>
      <c r="J817" s="359">
        <f>-'DRE + DCF'!$V$56*L817</f>
        <v>-1188924.4255577971</v>
      </c>
      <c r="K817" s="360">
        <f>(1+L817)/(1+Ke!$O$12)-1</f>
        <v>2.0000000000000018E-2</v>
      </c>
      <c r="L817" s="360">
        <f>'DRE + DCF'!$Y$31</f>
        <v>7.3550000000000004E-2</v>
      </c>
      <c r="M817" s="361">
        <f>(1+D817)^((5-Dashboard!$F$9)*3/12)</f>
        <v>1.1137336616961053</v>
      </c>
      <c r="N817" s="361">
        <f t="shared" ref="N817:V817" si="830">M817*(1+$D817)</f>
        <v>1.2857498257450668</v>
      </c>
      <c r="O817" s="361">
        <f t="shared" si="830"/>
        <v>1.48433388633139</v>
      </c>
      <c r="P817" s="361">
        <f t="shared" si="830"/>
        <v>1.7135892550752705</v>
      </c>
      <c r="Q817" s="361">
        <f t="shared" si="830"/>
        <v>1.978253115521643</v>
      </c>
      <c r="R817" s="361">
        <f t="shared" si="830"/>
        <v>2.283794309213957</v>
      </c>
      <c r="S817" s="361">
        <f t="shared" si="830"/>
        <v>2.6365263402720487</v>
      </c>
      <c r="T817" s="361">
        <f t="shared" si="830"/>
        <v>3.0437378335270617</v>
      </c>
      <c r="U817" s="361">
        <f t="shared" si="830"/>
        <v>3.5138431419153111</v>
      </c>
      <c r="V817" s="362">
        <f t="shared" si="830"/>
        <v>4.0565562151841243</v>
      </c>
      <c r="X817" s="351"/>
    </row>
    <row r="818" spans="3:24" ht="24.75" customHeight="1" x14ac:dyDescent="0.3">
      <c r="C818" s="353">
        <f>ABS(E818-Dashboard!$F$14)</f>
        <v>65.679358182736266</v>
      </c>
      <c r="D818" s="350">
        <f t="shared" si="795"/>
        <v>0.15454999999999822</v>
      </c>
      <c r="E818" s="359" cm="1">
        <f t="array" ref="E818">1000*SUM('DRE + DCF'!$L$36/M818,'DRE + DCF'!$N$36:$V$36/N818:V818,F818/V818)/Dashboard!$F$11</f>
        <v>162.66935818273626</v>
      </c>
      <c r="F818" s="359">
        <f t="shared" si="793"/>
        <v>20251779.139884759</v>
      </c>
      <c r="G818" s="359">
        <f>'DRE + DCF'!$W$31</f>
        <v>2791623.3540418856</v>
      </c>
      <c r="H818" s="359">
        <f>'DRE + DCF'!$W$32</f>
        <v>81081.931703745853</v>
      </c>
      <c r="I818" s="359">
        <f>-H818*('DRE + DCF'!$V$33+K818)/'DRE + DCF'!$V$33</f>
        <v>-90858.801614444121</v>
      </c>
      <c r="J818" s="359">
        <f>-'DRE + DCF'!$V$56*L818</f>
        <v>-1188924.4255577971</v>
      </c>
      <c r="K818" s="360">
        <f>(1+L818)/(1+Ke!$O$12)-1</f>
        <v>2.0000000000000018E-2</v>
      </c>
      <c r="L818" s="360">
        <f>'DRE + DCF'!$Y$31</f>
        <v>7.3550000000000004E-2</v>
      </c>
      <c r="M818" s="361">
        <f>(1+D818)^((5-Dashboard!$F$9)*3/12)</f>
        <v>1.1138060157350196</v>
      </c>
      <c r="N818" s="361">
        <f t="shared" ref="N818:V818" si="831">M818*(1+$D818)</f>
        <v>1.2859447354668649</v>
      </c>
      <c r="O818" s="361">
        <f t="shared" si="831"/>
        <v>1.4846874943332666</v>
      </c>
      <c r="P818" s="361">
        <f t="shared" si="831"/>
        <v>1.7141459465824702</v>
      </c>
      <c r="Q818" s="361">
        <f t="shared" si="831"/>
        <v>1.9790672026267879</v>
      </c>
      <c r="R818" s="361">
        <f t="shared" si="831"/>
        <v>2.2849320387927543</v>
      </c>
      <c r="S818" s="361">
        <f t="shared" si="831"/>
        <v>2.6380682853881705</v>
      </c>
      <c r="T818" s="361">
        <f t="shared" si="831"/>
        <v>3.0457817388949073</v>
      </c>
      <c r="U818" s="361">
        <f t="shared" si="831"/>
        <v>3.5165073066411097</v>
      </c>
      <c r="V818" s="362">
        <f t="shared" si="831"/>
        <v>4.0599835108824864</v>
      </c>
      <c r="X818" s="351"/>
    </row>
    <row r="819" spans="3:24" ht="24.75" customHeight="1" x14ac:dyDescent="0.3">
      <c r="C819" s="353">
        <f>ABS(E819-Dashboard!$F$14)</f>
        <v>65.485993187775861</v>
      </c>
      <c r="D819" s="350">
        <f t="shared" si="795"/>
        <v>0.15464999999999821</v>
      </c>
      <c r="E819" s="359" cm="1">
        <f t="array" ref="E819">1000*SUM('DRE + DCF'!$L$36/M819,'DRE + DCF'!$N$36:$V$36/N819:V819,F819/V819)/Dashboard!$F$11</f>
        <v>162.47599318777586</v>
      </c>
      <c r="F819" s="359">
        <f t="shared" si="793"/>
        <v>20232493.577677295</v>
      </c>
      <c r="G819" s="359">
        <f>'DRE + DCF'!$W$31</f>
        <v>2791623.3540418856</v>
      </c>
      <c r="H819" s="359">
        <f>'DRE + DCF'!$W$32</f>
        <v>81081.931703745853</v>
      </c>
      <c r="I819" s="359">
        <f>-H819*('DRE + DCF'!$V$33+K819)/'DRE + DCF'!$V$33</f>
        <v>-90858.801614444121</v>
      </c>
      <c r="J819" s="359">
        <f>-'DRE + DCF'!$V$56*L819</f>
        <v>-1188924.4255577971</v>
      </c>
      <c r="K819" s="360">
        <f>(1+L819)/(1+Ke!$O$12)-1</f>
        <v>2.0000000000000018E-2</v>
      </c>
      <c r="L819" s="360">
        <f>'DRE + DCF'!$Y$31</f>
        <v>7.3550000000000004E-2</v>
      </c>
      <c r="M819" s="361">
        <f>(1+D819)^((5-Dashboard!$F$9)*3/12)</f>
        <v>1.1138783682072357</v>
      </c>
      <c r="N819" s="361">
        <f t="shared" ref="N819:V819" si="832">M819*(1+$D819)</f>
        <v>1.2861396578504827</v>
      </c>
      <c r="O819" s="361">
        <f t="shared" si="832"/>
        <v>1.4850411559370575</v>
      </c>
      <c r="P819" s="361">
        <f t="shared" si="832"/>
        <v>1.7147027707027207</v>
      </c>
      <c r="Q819" s="361">
        <f t="shared" si="832"/>
        <v>1.9798815541918933</v>
      </c>
      <c r="R819" s="361">
        <f t="shared" si="832"/>
        <v>2.2860702365476659</v>
      </c>
      <c r="S819" s="361">
        <f t="shared" si="832"/>
        <v>2.6396109986297582</v>
      </c>
      <c r="T819" s="361">
        <f t="shared" si="832"/>
        <v>3.0478268395678456</v>
      </c>
      <c r="U819" s="361">
        <f t="shared" si="832"/>
        <v>3.5191732603070074</v>
      </c>
      <c r="V819" s="362">
        <f t="shared" si="832"/>
        <v>4.0634134050134794</v>
      </c>
      <c r="X819" s="351"/>
    </row>
    <row r="820" spans="3:24" ht="24.75" customHeight="1" x14ac:dyDescent="0.3">
      <c r="C820" s="353">
        <f>ABS(E820-Dashboard!$F$14)</f>
        <v>65.293039541039931</v>
      </c>
      <c r="D820" s="350">
        <f t="shared" si="795"/>
        <v>0.15474999999999819</v>
      </c>
      <c r="E820" s="359" cm="1">
        <f t="array" ref="E820">1000*SUM('DRE + DCF'!$L$36/M820,'DRE + DCF'!$N$36:$V$36/N820:V820,F820/V820)/Dashboard!$F$11</f>
        <v>162.28303954103993</v>
      </c>
      <c r="F820" s="359">
        <f t="shared" si="793"/>
        <v>20213248.177528962</v>
      </c>
      <c r="G820" s="359">
        <f>'DRE + DCF'!$W$31</f>
        <v>2791623.3540418856</v>
      </c>
      <c r="H820" s="359">
        <f>'DRE + DCF'!$W$32</f>
        <v>81081.931703745853</v>
      </c>
      <c r="I820" s="359">
        <f>-H820*('DRE + DCF'!$V$33+K820)/'DRE + DCF'!$V$33</f>
        <v>-90858.801614444121</v>
      </c>
      <c r="J820" s="359">
        <f>-'DRE + DCF'!$V$56*L820</f>
        <v>-1188924.4255577971</v>
      </c>
      <c r="K820" s="360">
        <f>(1+L820)/(1+Ke!$O$12)-1</f>
        <v>2.0000000000000018E-2</v>
      </c>
      <c r="L820" s="360">
        <f>'DRE + DCF'!$Y$31</f>
        <v>7.3550000000000004E-2</v>
      </c>
      <c r="M820" s="361">
        <f>(1+D820)^((5-Dashboard!$F$9)*3/12)</f>
        <v>1.1139507191129232</v>
      </c>
      <c r="N820" s="361">
        <f t="shared" ref="N820:V820" si="833">M820*(1+$D820)</f>
        <v>1.286334592895646</v>
      </c>
      <c r="O820" s="361">
        <f t="shared" si="833"/>
        <v>1.4853948711462448</v>
      </c>
      <c r="P820" s="361">
        <f t="shared" si="833"/>
        <v>1.7152597274561234</v>
      </c>
      <c r="Q820" s="361">
        <f t="shared" si="833"/>
        <v>1.9806961702799555</v>
      </c>
      <c r="R820" s="361">
        <f t="shared" si="833"/>
        <v>2.2872089026307751</v>
      </c>
      <c r="S820" s="361">
        <f t="shared" si="833"/>
        <v>2.6411544803128835</v>
      </c>
      <c r="T820" s="361">
        <f t="shared" si="833"/>
        <v>3.0498731361412972</v>
      </c>
      <c r="U820" s="361">
        <f t="shared" si="833"/>
        <v>3.5218410039591572</v>
      </c>
      <c r="V820" s="362">
        <f t="shared" si="833"/>
        <v>4.0668458993218302</v>
      </c>
      <c r="X820" s="351"/>
    </row>
    <row r="821" spans="3:24" ht="24.75" customHeight="1" x14ac:dyDescent="0.3">
      <c r="C821" s="353">
        <f>ABS(E821-Dashboard!$F$14)</f>
        <v>65.100495920456936</v>
      </c>
      <c r="D821" s="350">
        <f t="shared" si="795"/>
        <v>0.15484999999999818</v>
      </c>
      <c r="E821" s="359" cm="1">
        <f t="array" ref="E821">1000*SUM('DRE + DCF'!$L$36/M821,'DRE + DCF'!$N$36:$V$36/N821:V821,F821/V821)/Dashboard!$F$11</f>
        <v>162.09049592045693</v>
      </c>
      <c r="F821" s="359">
        <f t="shared" si="793"/>
        <v>20194042.805441715</v>
      </c>
      <c r="G821" s="359">
        <f>'DRE + DCF'!$W$31</f>
        <v>2791623.3540418856</v>
      </c>
      <c r="H821" s="359">
        <f>'DRE + DCF'!$W$32</f>
        <v>81081.931703745853</v>
      </c>
      <c r="I821" s="359">
        <f>-H821*('DRE + DCF'!$V$33+K821)/'DRE + DCF'!$V$33</f>
        <v>-90858.801614444121</v>
      </c>
      <c r="J821" s="359">
        <f>-'DRE + DCF'!$V$56*L821</f>
        <v>-1188924.4255577971</v>
      </c>
      <c r="K821" s="360">
        <f>(1+L821)/(1+Ke!$O$12)-1</f>
        <v>2.0000000000000018E-2</v>
      </c>
      <c r="L821" s="360">
        <f>'DRE + DCF'!$Y$31</f>
        <v>7.3550000000000004E-2</v>
      </c>
      <c r="M821" s="361">
        <f>(1+D821)^((5-Dashboard!$F$9)*3/12)</f>
        <v>1.1140230684522516</v>
      </c>
      <c r="N821" s="361">
        <f t="shared" ref="N821:V821" si="834">M821*(1+$D821)</f>
        <v>1.2865295406020807</v>
      </c>
      <c r="O821" s="361">
        <f t="shared" si="834"/>
        <v>1.4857486399643105</v>
      </c>
      <c r="P821" s="361">
        <f t="shared" si="834"/>
        <v>1.7158168168627812</v>
      </c>
      <c r="Q821" s="361">
        <f t="shared" si="834"/>
        <v>1.9815110509539797</v>
      </c>
      <c r="R821" s="361">
        <f t="shared" si="834"/>
        <v>2.2883480371941998</v>
      </c>
      <c r="S821" s="361">
        <f t="shared" si="834"/>
        <v>2.6426987307537173</v>
      </c>
      <c r="T821" s="361">
        <f t="shared" si="834"/>
        <v>3.0519206292109256</v>
      </c>
      <c r="U821" s="361">
        <f t="shared" si="834"/>
        <v>3.5245105386442317</v>
      </c>
      <c r="V821" s="362">
        <f t="shared" si="834"/>
        <v>4.0702809955532846</v>
      </c>
      <c r="X821" s="351"/>
    </row>
    <row r="822" spans="3:24" ht="24.75" customHeight="1" x14ac:dyDescent="0.3">
      <c r="C822" s="353">
        <f>ABS(E822-Dashboard!$F$14)</f>
        <v>64.908361009856364</v>
      </c>
      <c r="D822" s="350">
        <f t="shared" si="795"/>
        <v>0.15494999999999817</v>
      </c>
      <c r="E822" s="359" cm="1">
        <f t="array" ref="E822">1000*SUM('DRE + DCF'!$L$36/M822,'DRE + DCF'!$N$36:$V$36/N822:V822,F822/V822)/Dashboard!$F$11</f>
        <v>161.89836100985636</v>
      </c>
      <c r="F822" s="359">
        <f t="shared" si="793"/>
        <v>20174877.328039326</v>
      </c>
      <c r="G822" s="359">
        <f>'DRE + DCF'!$W$31</f>
        <v>2791623.3540418856</v>
      </c>
      <c r="H822" s="359">
        <f>'DRE + DCF'!$W$32</f>
        <v>81081.931703745853</v>
      </c>
      <c r="I822" s="359">
        <f>-H822*('DRE + DCF'!$V$33+K822)/'DRE + DCF'!$V$33</f>
        <v>-90858.801614444121</v>
      </c>
      <c r="J822" s="359">
        <f>-'DRE + DCF'!$V$56*L822</f>
        <v>-1188924.4255577971</v>
      </c>
      <c r="K822" s="360">
        <f>(1+L822)/(1+Ke!$O$12)-1</f>
        <v>2.0000000000000018E-2</v>
      </c>
      <c r="L822" s="360">
        <f>'DRE + DCF'!$Y$31</f>
        <v>7.3550000000000004E-2</v>
      </c>
      <c r="M822" s="361">
        <f>(1+D822)^((5-Dashboard!$F$9)*3/12)</f>
        <v>1.1140954162253907</v>
      </c>
      <c r="N822" s="361">
        <f t="shared" ref="N822:V822" si="835">M822*(1+$D822)</f>
        <v>1.286724500969513</v>
      </c>
      <c r="O822" s="361">
        <f t="shared" si="835"/>
        <v>1.4861024623947365</v>
      </c>
      <c r="P822" s="361">
        <f t="shared" si="835"/>
        <v>1.7163740389427982</v>
      </c>
      <c r="Q822" s="361">
        <f t="shared" si="835"/>
        <v>1.9823261962769816</v>
      </c>
      <c r="R822" s="361">
        <f t="shared" si="835"/>
        <v>2.2894876403900963</v>
      </c>
      <c r="S822" s="361">
        <f t="shared" si="835"/>
        <v>2.6442437502685374</v>
      </c>
      <c r="T822" s="361">
        <f t="shared" si="835"/>
        <v>3.0539693193726425</v>
      </c>
      <c r="U822" s="361">
        <f t="shared" si="835"/>
        <v>3.5271818654094278</v>
      </c>
      <c r="V822" s="362">
        <f t="shared" si="835"/>
        <v>4.0737186954546125</v>
      </c>
      <c r="X822" s="351"/>
    </row>
    <row r="823" spans="3:24" ht="24.75" customHeight="1" x14ac:dyDescent="0.3">
      <c r="C823" s="353">
        <f>ABS(E823-Dashboard!$F$14)</f>
        <v>64.716633498935224</v>
      </c>
      <c r="D823" s="350">
        <f t="shared" si="795"/>
        <v>0.15504999999999816</v>
      </c>
      <c r="E823" s="359" cm="1">
        <f t="array" ref="E823">1000*SUM('DRE + DCF'!$L$36/M823,'DRE + DCF'!$N$36:$V$36/N823:V823,F823/V823)/Dashboard!$F$11</f>
        <v>161.70663349893522</v>
      </c>
      <c r="F823" s="359">
        <f t="shared" si="793"/>
        <v>20155751.612563752</v>
      </c>
      <c r="G823" s="359">
        <f>'DRE + DCF'!$W$31</f>
        <v>2791623.3540418856</v>
      </c>
      <c r="H823" s="359">
        <f>'DRE + DCF'!$W$32</f>
        <v>81081.931703745853</v>
      </c>
      <c r="I823" s="359">
        <f>-H823*('DRE + DCF'!$V$33+K823)/'DRE + DCF'!$V$33</f>
        <v>-90858.801614444121</v>
      </c>
      <c r="J823" s="359">
        <f>-'DRE + DCF'!$V$56*L823</f>
        <v>-1188924.4255577971</v>
      </c>
      <c r="K823" s="360">
        <f>(1+L823)/(1+Ke!$O$12)-1</f>
        <v>2.0000000000000018E-2</v>
      </c>
      <c r="L823" s="360">
        <f>'DRE + DCF'!$Y$31</f>
        <v>7.3550000000000004E-2</v>
      </c>
      <c r="M823" s="361">
        <f>(1+D823)^((5-Dashboard!$F$9)*3/12)</f>
        <v>1.1141677624325097</v>
      </c>
      <c r="N823" s="361">
        <f t="shared" ref="N823:V823" si="836">M823*(1+$D823)</f>
        <v>1.2869194739976682</v>
      </c>
      <c r="O823" s="361">
        <f t="shared" si="836"/>
        <v>1.4864563384410041</v>
      </c>
      <c r="P823" s="361">
        <f t="shared" si="836"/>
        <v>1.7169313937162791</v>
      </c>
      <c r="Q823" s="361">
        <f t="shared" si="836"/>
        <v>1.9831416063119849</v>
      </c>
      <c r="R823" s="361">
        <f t="shared" si="836"/>
        <v>2.2906277123706547</v>
      </c>
      <c r="S823" s="361">
        <f t="shared" si="836"/>
        <v>2.6457895391737205</v>
      </c>
      <c r="T823" s="361">
        <f t="shared" si="836"/>
        <v>3.0560192072226009</v>
      </c>
      <c r="U823" s="361">
        <f t="shared" si="836"/>
        <v>3.5298549853024594</v>
      </c>
      <c r="V823" s="362">
        <f t="shared" si="836"/>
        <v>4.0771590007735989</v>
      </c>
      <c r="X823" s="351"/>
    </row>
    <row r="824" spans="3:24" ht="24.75" customHeight="1" x14ac:dyDescent="0.3">
      <c r="C824" s="353">
        <f>ABS(E824-Dashboard!$F$14)</f>
        <v>64.525312083223511</v>
      </c>
      <c r="D824" s="350">
        <f t="shared" si="795"/>
        <v>0.15514999999999815</v>
      </c>
      <c r="E824" s="359" cm="1">
        <f t="array" ref="E824">1000*SUM('DRE + DCF'!$L$36/M824,'DRE + DCF'!$N$36:$V$36/N824:V824,F824/V824)/Dashboard!$F$11</f>
        <v>161.51531208322351</v>
      </c>
      <c r="F824" s="359">
        <f t="shared" si="793"/>
        <v>20136665.526871406</v>
      </c>
      <c r="G824" s="359">
        <f>'DRE + DCF'!$W$31</f>
        <v>2791623.3540418856</v>
      </c>
      <c r="H824" s="359">
        <f>'DRE + DCF'!$W$32</f>
        <v>81081.931703745853</v>
      </c>
      <c r="I824" s="359">
        <f>-H824*('DRE + DCF'!$V$33+K824)/'DRE + DCF'!$V$33</f>
        <v>-90858.801614444121</v>
      </c>
      <c r="J824" s="359">
        <f>-'DRE + DCF'!$V$56*L824</f>
        <v>-1188924.4255577971</v>
      </c>
      <c r="K824" s="360">
        <f>(1+L824)/(1+Ke!$O$12)-1</f>
        <v>2.0000000000000018E-2</v>
      </c>
      <c r="L824" s="360">
        <f>'DRE + DCF'!$Y$31</f>
        <v>7.3550000000000004E-2</v>
      </c>
      <c r="M824" s="361">
        <f>(1+D824)^((5-Dashboard!$F$9)*3/12)</f>
        <v>1.1142401070737784</v>
      </c>
      <c r="N824" s="361">
        <f t="shared" ref="N824:V824" si="837">M824*(1+$D824)</f>
        <v>1.2871144596862731</v>
      </c>
      <c r="O824" s="361">
        <f t="shared" si="837"/>
        <v>1.486810268106596</v>
      </c>
      <c r="P824" s="361">
        <f t="shared" si="837"/>
        <v>1.7174888812033315</v>
      </c>
      <c r="Q824" s="361">
        <f t="shared" si="837"/>
        <v>1.9839572811220252</v>
      </c>
      <c r="R824" s="361">
        <f t="shared" si="837"/>
        <v>2.2917682532881036</v>
      </c>
      <c r="S824" s="361">
        <f t="shared" si="837"/>
        <v>2.6473360977857485</v>
      </c>
      <c r="T824" s="361">
        <f t="shared" si="837"/>
        <v>3.0580702933572024</v>
      </c>
      <c r="U824" s="361">
        <f t="shared" si="837"/>
        <v>3.5325298993715664</v>
      </c>
      <c r="V824" s="362">
        <f t="shared" si="837"/>
        <v>4.0806019132590583</v>
      </c>
      <c r="X824" s="351"/>
    </row>
    <row r="825" spans="3:24" ht="24.75" customHeight="1" x14ac:dyDescent="0.3">
      <c r="C825" s="353">
        <f>ABS(E825-Dashboard!$F$14)</f>
        <v>64.334395464051269</v>
      </c>
      <c r="D825" s="350">
        <f t="shared" si="795"/>
        <v>0.15524999999999814</v>
      </c>
      <c r="E825" s="359" cm="1">
        <f t="array" ref="E825">1000*SUM('DRE + DCF'!$L$36/M825,'DRE + DCF'!$N$36:$V$36/N825:V825,F825/V825)/Dashboard!$F$11</f>
        <v>161.32439546405126</v>
      </c>
      <c r="F825" s="359">
        <f t="shared" si="793"/>
        <v>20117618.939429563</v>
      </c>
      <c r="G825" s="359">
        <f>'DRE + DCF'!$W$31</f>
        <v>2791623.3540418856</v>
      </c>
      <c r="H825" s="359">
        <f>'DRE + DCF'!$W$32</f>
        <v>81081.931703745853</v>
      </c>
      <c r="I825" s="359">
        <f>-H825*('DRE + DCF'!$V$33+K825)/'DRE + DCF'!$V$33</f>
        <v>-90858.801614444121</v>
      </c>
      <c r="J825" s="359">
        <f>-'DRE + DCF'!$V$56*L825</f>
        <v>-1188924.4255577971</v>
      </c>
      <c r="K825" s="360">
        <f>(1+L825)/(1+Ke!$O$12)-1</f>
        <v>2.0000000000000018E-2</v>
      </c>
      <c r="L825" s="360">
        <f>'DRE + DCF'!$Y$31</f>
        <v>7.3550000000000004E-2</v>
      </c>
      <c r="M825" s="361">
        <f>(1+D825)^((5-Dashboard!$F$9)*3/12)</f>
        <v>1.1143124501493658</v>
      </c>
      <c r="N825" s="361">
        <f t="shared" ref="N825:V825" si="838">M825*(1+$D825)</f>
        <v>1.2873094580350526</v>
      </c>
      <c r="O825" s="361">
        <f t="shared" si="838"/>
        <v>1.4871642513949921</v>
      </c>
      <c r="P825" s="361">
        <f t="shared" si="838"/>
        <v>1.7180465014240618</v>
      </c>
      <c r="Q825" s="361">
        <f t="shared" si="838"/>
        <v>1.9847732207701441</v>
      </c>
      <c r="R825" s="361">
        <f t="shared" si="838"/>
        <v>2.292909263294705</v>
      </c>
      <c r="S825" s="361">
        <f t="shared" si="838"/>
        <v>2.6488834264212038</v>
      </c>
      <c r="T825" s="361">
        <f t="shared" si="838"/>
        <v>3.0601225783730905</v>
      </c>
      <c r="U825" s="361">
        <f t="shared" si="838"/>
        <v>3.535206608665507</v>
      </c>
      <c r="V825" s="362">
        <f t="shared" si="838"/>
        <v>4.0840474346608202</v>
      </c>
      <c r="X825" s="351"/>
    </row>
    <row r="826" spans="3:24" ht="24.75" customHeight="1" x14ac:dyDescent="0.3">
      <c r="C826" s="353">
        <f>ABS(E826-Dashboard!$F$14)</f>
        <v>64.143882348514197</v>
      </c>
      <c r="D826" s="350">
        <f t="shared" si="795"/>
        <v>0.15534999999999813</v>
      </c>
      <c r="E826" s="359" cm="1">
        <f t="array" ref="E826">1000*SUM('DRE + DCF'!$L$36/M826,'DRE + DCF'!$N$36:$V$36/N826:V826,F826/V826)/Dashboard!$F$11</f>
        <v>161.13388234851419</v>
      </c>
      <c r="F826" s="359">
        <f t="shared" si="793"/>
        <v>20098611.719312713</v>
      </c>
      <c r="G826" s="359">
        <f>'DRE + DCF'!$W$31</f>
        <v>2791623.3540418856</v>
      </c>
      <c r="H826" s="359">
        <f>'DRE + DCF'!$W$32</f>
        <v>81081.931703745853</v>
      </c>
      <c r="I826" s="359">
        <f>-H826*('DRE + DCF'!$V$33+K826)/'DRE + DCF'!$V$33</f>
        <v>-90858.801614444121</v>
      </c>
      <c r="J826" s="359">
        <f>-'DRE + DCF'!$V$56*L826</f>
        <v>-1188924.4255577971</v>
      </c>
      <c r="K826" s="360">
        <f>(1+L826)/(1+Ke!$O$12)-1</f>
        <v>2.0000000000000018E-2</v>
      </c>
      <c r="L826" s="360">
        <f>'DRE + DCF'!$Y$31</f>
        <v>7.3550000000000004E-2</v>
      </c>
      <c r="M826" s="361">
        <f>(1+D826)^((5-Dashboard!$F$9)*3/12)</f>
        <v>1.1143847916594416</v>
      </c>
      <c r="N826" s="361">
        <f t="shared" ref="N826:V826" si="839">M826*(1+$D826)</f>
        <v>1.2875044690437338</v>
      </c>
      <c r="O826" s="361">
        <f t="shared" si="839"/>
        <v>1.4875182883096754</v>
      </c>
      <c r="P826" s="361">
        <f t="shared" si="839"/>
        <v>1.7186042543985807</v>
      </c>
      <c r="Q826" s="361">
        <f t="shared" si="839"/>
        <v>1.9855894253193969</v>
      </c>
      <c r="R826" s="361">
        <f t="shared" si="839"/>
        <v>2.2940507425427614</v>
      </c>
      <c r="S826" s="361">
        <f t="shared" si="839"/>
        <v>2.6504315253967752</v>
      </c>
      <c r="T826" s="361">
        <f t="shared" si="839"/>
        <v>3.062176062867159</v>
      </c>
      <c r="U826" s="361">
        <f t="shared" si="839"/>
        <v>3.5378851142335663</v>
      </c>
      <c r="V826" s="362">
        <f t="shared" si="839"/>
        <v>4.0874955667297446</v>
      </c>
      <c r="X826" s="351"/>
    </row>
    <row r="827" spans="3:24" ht="24.75" customHeight="1" x14ac:dyDescent="0.3">
      <c r="C827" s="353">
        <f>ABS(E827-Dashboard!$F$14)</f>
        <v>63.95377144944139</v>
      </c>
      <c r="D827" s="350">
        <f t="shared" si="795"/>
        <v>0.15544999999999812</v>
      </c>
      <c r="E827" s="359" cm="1">
        <f t="array" ref="E827">1000*SUM('DRE + DCF'!$L$36/M827,'DRE + DCF'!$N$36:$V$36/N827:V827,F827/V827)/Dashboard!$F$11</f>
        <v>160.94377144944139</v>
      </c>
      <c r="F827" s="359">
        <f t="shared" si="793"/>
        <v>20079643.736198973</v>
      </c>
      <c r="G827" s="359">
        <f>'DRE + DCF'!$W$31</f>
        <v>2791623.3540418856</v>
      </c>
      <c r="H827" s="359">
        <f>'DRE + DCF'!$W$32</f>
        <v>81081.931703745853</v>
      </c>
      <c r="I827" s="359">
        <f>-H827*('DRE + DCF'!$V$33+K827)/'DRE + DCF'!$V$33</f>
        <v>-90858.801614444121</v>
      </c>
      <c r="J827" s="359">
        <f>-'DRE + DCF'!$V$56*L827</f>
        <v>-1188924.4255577971</v>
      </c>
      <c r="K827" s="360">
        <f>(1+L827)/(1+Ke!$O$12)-1</f>
        <v>2.0000000000000018E-2</v>
      </c>
      <c r="L827" s="360">
        <f>'DRE + DCF'!$Y$31</f>
        <v>7.3550000000000004E-2</v>
      </c>
      <c r="M827" s="361">
        <f>(1+D827)^((5-Dashboard!$F$9)*3/12)</f>
        <v>1.1144571316041754</v>
      </c>
      <c r="N827" s="361">
        <f t="shared" ref="N827:V827" si="840">M827*(1+$D827)</f>
        <v>1.2876994927120422</v>
      </c>
      <c r="O827" s="361">
        <f t="shared" si="840"/>
        <v>1.4878723788541266</v>
      </c>
      <c r="P827" s="361">
        <f t="shared" si="840"/>
        <v>1.7191621401469976</v>
      </c>
      <c r="Q827" s="361">
        <f t="shared" si="840"/>
        <v>1.9864058948328451</v>
      </c>
      <c r="R827" s="361">
        <f t="shared" si="840"/>
        <v>2.295192691184607</v>
      </c>
      <c r="S827" s="361">
        <f t="shared" si="840"/>
        <v>2.6519803950292498</v>
      </c>
      <c r="T827" s="361">
        <f t="shared" si="840"/>
        <v>3.0642307474365418</v>
      </c>
      <c r="U827" s="361">
        <f t="shared" si="840"/>
        <v>3.5405654171255465</v>
      </c>
      <c r="V827" s="362">
        <f t="shared" si="840"/>
        <v>4.0909463112177056</v>
      </c>
      <c r="X827" s="351"/>
    </row>
    <row r="828" spans="3:24" ht="24.75" customHeight="1" x14ac:dyDescent="0.3">
      <c r="C828" s="353">
        <f>ABS(E828-Dashboard!$F$14)</f>
        <v>63.764061485361665</v>
      </c>
      <c r="D828" s="350">
        <f t="shared" si="795"/>
        <v>0.15554999999999811</v>
      </c>
      <c r="E828" s="359" cm="1">
        <f t="array" ref="E828">1000*SUM('DRE + DCF'!$L$36/M828,'DRE + DCF'!$N$36:$V$36/N828:V828,F828/V828)/Dashboard!$F$11</f>
        <v>160.75406148536166</v>
      </c>
      <c r="F828" s="359">
        <f t="shared" si="793"/>
        <v>20060714.860366534</v>
      </c>
      <c r="G828" s="359">
        <f>'DRE + DCF'!$W$31</f>
        <v>2791623.3540418856</v>
      </c>
      <c r="H828" s="359">
        <f>'DRE + DCF'!$W$32</f>
        <v>81081.931703745853</v>
      </c>
      <c r="I828" s="359">
        <f>-H828*('DRE + DCF'!$V$33+K828)/'DRE + DCF'!$V$33</f>
        <v>-90858.801614444121</v>
      </c>
      <c r="J828" s="359">
        <f>-'DRE + DCF'!$V$56*L828</f>
        <v>-1188924.4255577971</v>
      </c>
      <c r="K828" s="360">
        <f>(1+L828)/(1+Ke!$O$12)-1</f>
        <v>2.0000000000000018E-2</v>
      </c>
      <c r="L828" s="360">
        <f>'DRE + DCF'!$Y$31</f>
        <v>7.3550000000000004E-2</v>
      </c>
      <c r="M828" s="361">
        <f>(1+D828)^((5-Dashboard!$F$9)*3/12)</f>
        <v>1.114529469983736</v>
      </c>
      <c r="N828" s="361">
        <f t="shared" ref="N828:V828" si="841">M828*(1+$D828)</f>
        <v>1.2878945290397041</v>
      </c>
      <c r="O828" s="361">
        <f t="shared" si="841"/>
        <v>1.4882265230318277</v>
      </c>
      <c r="P828" s="361">
        <f t="shared" si="841"/>
        <v>1.7197201586894255</v>
      </c>
      <c r="Q828" s="361">
        <f t="shared" si="841"/>
        <v>1.9872226293735624</v>
      </c>
      <c r="R828" s="361">
        <f t="shared" si="841"/>
        <v>2.2963351093726163</v>
      </c>
      <c r="S828" s="361">
        <f t="shared" si="841"/>
        <v>2.6535300356355225</v>
      </c>
      <c r="T828" s="361">
        <f t="shared" si="841"/>
        <v>3.0662866326786231</v>
      </c>
      <c r="U828" s="361">
        <f t="shared" si="841"/>
        <v>3.5432475183917771</v>
      </c>
      <c r="V828" s="362">
        <f t="shared" si="841"/>
        <v>4.0943996698776113</v>
      </c>
      <c r="X828" s="351"/>
    </row>
    <row r="829" spans="3:24" ht="24.75" customHeight="1" x14ac:dyDescent="0.3">
      <c r="C829" s="353">
        <f>ABS(E829-Dashboard!$F$14)</f>
        <v>63.574751180471381</v>
      </c>
      <c r="D829" s="350">
        <f t="shared" si="795"/>
        <v>0.1556499999999981</v>
      </c>
      <c r="E829" s="359" cm="1">
        <f t="array" ref="E829">1000*SUM('DRE + DCF'!$L$36/M829,'DRE + DCF'!$N$36:$V$36/N829:V829,F829/V829)/Dashboard!$F$11</f>
        <v>160.56475118047138</v>
      </c>
      <c r="F829" s="359">
        <f t="shared" si="793"/>
        <v>20041824.962690104</v>
      </c>
      <c r="G829" s="359">
        <f>'DRE + DCF'!$W$31</f>
        <v>2791623.3540418856</v>
      </c>
      <c r="H829" s="359">
        <f>'DRE + DCF'!$W$32</f>
        <v>81081.931703745853</v>
      </c>
      <c r="I829" s="359">
        <f>-H829*('DRE + DCF'!$V$33+K829)/'DRE + DCF'!$V$33</f>
        <v>-90858.801614444121</v>
      </c>
      <c r="J829" s="359">
        <f>-'DRE + DCF'!$V$56*L829</f>
        <v>-1188924.4255577971</v>
      </c>
      <c r="K829" s="360">
        <f>(1+L829)/(1+Ke!$O$12)-1</f>
        <v>2.0000000000000018E-2</v>
      </c>
      <c r="L829" s="360">
        <f>'DRE + DCF'!$Y$31</f>
        <v>7.3550000000000004E-2</v>
      </c>
      <c r="M829" s="361">
        <f>(1+D829)^((5-Dashboard!$F$9)*3/12)</f>
        <v>1.114601806798293</v>
      </c>
      <c r="N829" s="361">
        <f t="shared" ref="N829:V829" si="842">M829*(1+$D829)</f>
        <v>1.2880895780264452</v>
      </c>
      <c r="O829" s="361">
        <f t="shared" si="842"/>
        <v>1.4885807208462589</v>
      </c>
      <c r="P829" s="361">
        <f t="shared" si="842"/>
        <v>1.7202783100459762</v>
      </c>
      <c r="Q829" s="361">
        <f t="shared" si="842"/>
        <v>1.9880396290046292</v>
      </c>
      <c r="R829" s="361">
        <f t="shared" si="842"/>
        <v>2.2974779972591959</v>
      </c>
      <c r="S829" s="361">
        <f t="shared" si="842"/>
        <v>2.6550804475325851</v>
      </c>
      <c r="T829" s="361">
        <f t="shared" si="842"/>
        <v>3.0683437191910268</v>
      </c>
      <c r="U829" s="361">
        <f t="shared" si="842"/>
        <v>3.5459314190831042</v>
      </c>
      <c r="V829" s="362">
        <f t="shared" si="842"/>
        <v>4.0978556444633822</v>
      </c>
      <c r="X829" s="351"/>
    </row>
    <row r="830" spans="3:24" ht="24.75" customHeight="1" x14ac:dyDescent="0.3">
      <c r="C830" s="353">
        <f>ABS(E830-Dashboard!$F$14)</f>
        <v>63.385839264601302</v>
      </c>
      <c r="D830" s="350">
        <f t="shared" si="795"/>
        <v>0.15574999999999808</v>
      </c>
      <c r="E830" s="359" cm="1">
        <f t="array" ref="E830">1000*SUM('DRE + DCF'!$L$36/M830,'DRE + DCF'!$N$36:$V$36/N830:V830,F830/V830)/Dashboard!$F$11</f>
        <v>160.3758392646013</v>
      </c>
      <c r="F830" s="359">
        <f t="shared" si="793"/>
        <v>20022973.914637402</v>
      </c>
      <c r="G830" s="359">
        <f>'DRE + DCF'!$W$31</f>
        <v>2791623.3540418856</v>
      </c>
      <c r="H830" s="359">
        <f>'DRE + DCF'!$W$32</f>
        <v>81081.931703745853</v>
      </c>
      <c r="I830" s="359">
        <f>-H830*('DRE + DCF'!$V$33+K830)/'DRE + DCF'!$V$33</f>
        <v>-90858.801614444121</v>
      </c>
      <c r="J830" s="359">
        <f>-'DRE + DCF'!$V$56*L830</f>
        <v>-1188924.4255577971</v>
      </c>
      <c r="K830" s="360">
        <f>(1+L830)/(1+Ke!$O$12)-1</f>
        <v>2.0000000000000018E-2</v>
      </c>
      <c r="L830" s="360">
        <f>'DRE + DCF'!$Y$31</f>
        <v>7.3550000000000004E-2</v>
      </c>
      <c r="M830" s="361">
        <f>(1+D830)^((5-Dashboard!$F$9)*3/12)</f>
        <v>1.1146741420480157</v>
      </c>
      <c r="N830" s="361">
        <f t="shared" ref="N830:V830" si="843">M830*(1+$D830)</f>
        <v>1.288284639671992</v>
      </c>
      <c r="O830" s="361">
        <f t="shared" si="843"/>
        <v>1.4889349723009022</v>
      </c>
      <c r="P830" s="361">
        <f t="shared" si="843"/>
        <v>1.7208365942367649</v>
      </c>
      <c r="Q830" s="361">
        <f t="shared" si="843"/>
        <v>1.9888568937891378</v>
      </c>
      <c r="R830" s="361">
        <f t="shared" si="843"/>
        <v>2.2986213549967922</v>
      </c>
      <c r="S830" s="361">
        <f t="shared" si="843"/>
        <v>2.6566316310375382</v>
      </c>
      <c r="T830" s="361">
        <f t="shared" si="843"/>
        <v>3.0704020075716296</v>
      </c>
      <c r="U830" s="361">
        <f t="shared" si="843"/>
        <v>3.5486171202509049</v>
      </c>
      <c r="V830" s="362">
        <f t="shared" si="843"/>
        <v>4.1013142367299764</v>
      </c>
      <c r="X830" s="351"/>
    </row>
    <row r="831" spans="3:24" ht="24.75" customHeight="1" x14ac:dyDescent="0.3">
      <c r="C831" s="353">
        <f>ABS(E831-Dashboard!$F$14)</f>
        <v>63.197324473184963</v>
      </c>
      <c r="D831" s="350">
        <f t="shared" si="795"/>
        <v>0.15584999999999807</v>
      </c>
      <c r="E831" s="359" cm="1">
        <f t="array" ref="E831">1000*SUM('DRE + DCF'!$L$36/M831,'DRE + DCF'!$N$36:$V$36/N831:V831,F831/V831)/Dashboard!$F$11</f>
        <v>160.18732447318496</v>
      </c>
      <c r="F831" s="359">
        <f t="shared" si="793"/>
        <v>20004161.58826568</v>
      </c>
      <c r="G831" s="359">
        <f>'DRE + DCF'!$W$31</f>
        <v>2791623.3540418856</v>
      </c>
      <c r="H831" s="359">
        <f>'DRE + DCF'!$W$32</f>
        <v>81081.931703745853</v>
      </c>
      <c r="I831" s="359">
        <f>-H831*('DRE + DCF'!$V$33+K831)/'DRE + DCF'!$V$33</f>
        <v>-90858.801614444121</v>
      </c>
      <c r="J831" s="359">
        <f>-'DRE + DCF'!$V$56*L831</f>
        <v>-1188924.4255577971</v>
      </c>
      <c r="K831" s="360">
        <f>(1+L831)/(1+Ke!$O$12)-1</f>
        <v>2.0000000000000018E-2</v>
      </c>
      <c r="L831" s="360">
        <f>'DRE + DCF'!$Y$31</f>
        <v>7.3550000000000004E-2</v>
      </c>
      <c r="M831" s="361">
        <f>(1+D831)^((5-Dashboard!$F$9)*3/12)</f>
        <v>1.1147464757330734</v>
      </c>
      <c r="N831" s="361">
        <f t="shared" ref="N831:V831" si="844">M831*(1+$D831)</f>
        <v>1.2884797139760706</v>
      </c>
      <c r="O831" s="361">
        <f t="shared" si="844"/>
        <v>1.4892892773992388</v>
      </c>
      <c r="P831" s="361">
        <f t="shared" si="844"/>
        <v>1.7213950112819072</v>
      </c>
      <c r="Q831" s="361">
        <f t="shared" si="844"/>
        <v>1.9896744237901891</v>
      </c>
      <c r="R831" s="361">
        <f t="shared" si="844"/>
        <v>2.299765182737886</v>
      </c>
      <c r="S831" s="361">
        <f t="shared" si="844"/>
        <v>2.6581835864675809</v>
      </c>
      <c r="T831" s="361">
        <f t="shared" si="844"/>
        <v>3.0724614984185483</v>
      </c>
      <c r="U831" s="361">
        <f t="shared" si="844"/>
        <v>3.5513046229470731</v>
      </c>
      <c r="V831" s="362">
        <f t="shared" si="844"/>
        <v>4.1047754484333678</v>
      </c>
      <c r="X831" s="351"/>
    </row>
    <row r="832" spans="3:24" ht="24.75" customHeight="1" x14ac:dyDescent="0.3">
      <c r="C832" s="353">
        <f>ABS(E832-Dashboard!$F$14)</f>
        <v>63.009205547226159</v>
      </c>
      <c r="D832" s="350">
        <f t="shared" si="795"/>
        <v>0.15594999999999806</v>
      </c>
      <c r="E832" s="359" cm="1">
        <f t="array" ref="E832">1000*SUM('DRE + DCF'!$L$36/M832,'DRE + DCF'!$N$36:$V$36/N832:V832,F832/V832)/Dashboard!$F$11</f>
        <v>159.99920554722615</v>
      </c>
      <c r="F832" s="359">
        <f t="shared" si="793"/>
        <v>19985387.856218226</v>
      </c>
      <c r="G832" s="359">
        <f>'DRE + DCF'!$W$31</f>
        <v>2791623.3540418856</v>
      </c>
      <c r="H832" s="359">
        <f>'DRE + DCF'!$W$32</f>
        <v>81081.931703745853</v>
      </c>
      <c r="I832" s="359">
        <f>-H832*('DRE + DCF'!$V$33+K832)/'DRE + DCF'!$V$33</f>
        <v>-90858.801614444121</v>
      </c>
      <c r="J832" s="359">
        <f>-'DRE + DCF'!$V$56*L832</f>
        <v>-1188924.4255577971</v>
      </c>
      <c r="K832" s="360">
        <f>(1+L832)/(1+Ke!$O$12)-1</f>
        <v>2.0000000000000018E-2</v>
      </c>
      <c r="L832" s="360">
        <f>'DRE + DCF'!$Y$31</f>
        <v>7.3550000000000004E-2</v>
      </c>
      <c r="M832" s="361">
        <f>(1+D832)^((5-Dashboard!$F$9)*3/12)</f>
        <v>1.1148188078536352</v>
      </c>
      <c r="N832" s="361">
        <f t="shared" ref="N832:V832" si="845">M832*(1+$D832)</f>
        <v>1.2886748009384075</v>
      </c>
      <c r="O832" s="361">
        <f t="shared" si="845"/>
        <v>1.4896436361447496</v>
      </c>
      <c r="P832" s="361">
        <f t="shared" si="845"/>
        <v>1.7219535612015204</v>
      </c>
      <c r="Q832" s="361">
        <f t="shared" si="845"/>
        <v>1.9904922190708942</v>
      </c>
      <c r="R832" s="361">
        <f t="shared" si="845"/>
        <v>2.3009094806349961</v>
      </c>
      <c r="S832" s="361">
        <f t="shared" si="845"/>
        <v>2.6597363141400194</v>
      </c>
      <c r="T832" s="361">
        <f t="shared" si="845"/>
        <v>3.0745221923301504</v>
      </c>
      <c r="U832" s="361">
        <f t="shared" si="845"/>
        <v>3.5539939282240312</v>
      </c>
      <c r="V832" s="362">
        <f t="shared" si="845"/>
        <v>4.1082392813305617</v>
      </c>
      <c r="X832" s="351"/>
    </row>
    <row r="833" spans="3:24" ht="24.75" customHeight="1" x14ac:dyDescent="0.3">
      <c r="C833" s="353">
        <f>ABS(E833-Dashboard!$F$14)</f>
        <v>62.821481233267363</v>
      </c>
      <c r="D833" s="350">
        <f t="shared" si="795"/>
        <v>0.15604999999999805</v>
      </c>
      <c r="E833" s="359" cm="1">
        <f t="array" ref="E833">1000*SUM('DRE + DCF'!$L$36/M833,'DRE + DCF'!$N$36:$V$36/N833:V833,F833/V833)/Dashboard!$F$11</f>
        <v>159.81148123326736</v>
      </c>
      <c r="F833" s="359">
        <f t="shared" si="793"/>
        <v>19966652.591720957</v>
      </c>
      <c r="G833" s="359">
        <f>'DRE + DCF'!$W$31</f>
        <v>2791623.3540418856</v>
      </c>
      <c r="H833" s="359">
        <f>'DRE + DCF'!$W$32</f>
        <v>81081.931703745853</v>
      </c>
      <c r="I833" s="359">
        <f>-H833*('DRE + DCF'!$V$33+K833)/'DRE + DCF'!$V$33</f>
        <v>-90858.801614444121</v>
      </c>
      <c r="J833" s="359">
        <f>-'DRE + DCF'!$V$56*L833</f>
        <v>-1188924.4255577971</v>
      </c>
      <c r="K833" s="360">
        <f>(1+L833)/(1+Ke!$O$12)-1</f>
        <v>2.0000000000000018E-2</v>
      </c>
      <c r="L833" s="360">
        <f>'DRE + DCF'!$Y$31</f>
        <v>7.3550000000000004E-2</v>
      </c>
      <c r="M833" s="361">
        <f>(1+D833)^((5-Dashboard!$F$9)*3/12)</f>
        <v>1.1148911384098701</v>
      </c>
      <c r="N833" s="361">
        <f t="shared" ref="N833:V833" si="846">M833*(1+$D833)</f>
        <v>1.2888699005587281</v>
      </c>
      <c r="O833" s="361">
        <f t="shared" si="846"/>
        <v>1.489998048540915</v>
      </c>
      <c r="P833" s="361">
        <f t="shared" si="846"/>
        <v>1.7225122440157219</v>
      </c>
      <c r="Q833" s="361">
        <f t="shared" si="846"/>
        <v>1.9913102796943718</v>
      </c>
      <c r="R833" s="361">
        <f t="shared" si="846"/>
        <v>2.3020542488406748</v>
      </c>
      <c r="S833" s="361">
        <f t="shared" si="846"/>
        <v>2.6612898143722576</v>
      </c>
      <c r="T833" s="361">
        <f t="shared" si="846"/>
        <v>3.0765840899050434</v>
      </c>
      <c r="U833" s="361">
        <f t="shared" si="846"/>
        <v>3.5566850371347192</v>
      </c>
      <c r="V833" s="362">
        <f t="shared" si="846"/>
        <v>4.1117057371795847</v>
      </c>
      <c r="X833" s="351"/>
    </row>
    <row r="834" spans="3:24" ht="24.75" customHeight="1" x14ac:dyDescent="0.3">
      <c r="C834" s="353">
        <f>ABS(E834-Dashboard!$F$14)</f>
        <v>62.634150283357926</v>
      </c>
      <c r="D834" s="350">
        <f t="shared" si="795"/>
        <v>0.15614999999999804</v>
      </c>
      <c r="E834" s="359" cm="1">
        <f t="array" ref="E834">1000*SUM('DRE + DCF'!$L$36/M834,'DRE + DCF'!$N$36:$V$36/N834:V834,F834/V834)/Dashboard!$F$11</f>
        <v>159.62415028335792</v>
      </c>
      <c r="F834" s="359">
        <f t="shared" si="793"/>
        <v>19947955.668578997</v>
      </c>
      <c r="G834" s="359">
        <f>'DRE + DCF'!$W$31</f>
        <v>2791623.3540418856</v>
      </c>
      <c r="H834" s="359">
        <f>'DRE + DCF'!$W$32</f>
        <v>81081.931703745853</v>
      </c>
      <c r="I834" s="359">
        <f>-H834*('DRE + DCF'!$V$33+K834)/'DRE + DCF'!$V$33</f>
        <v>-90858.801614444121</v>
      </c>
      <c r="J834" s="359">
        <f>-'DRE + DCF'!$V$56*L834</f>
        <v>-1188924.4255577971</v>
      </c>
      <c r="K834" s="360">
        <f>(1+L834)/(1+Ke!$O$12)-1</f>
        <v>2.0000000000000018E-2</v>
      </c>
      <c r="L834" s="360">
        <f>'DRE + DCF'!$Y$31</f>
        <v>7.3550000000000004E-2</v>
      </c>
      <c r="M834" s="361">
        <f>(1+D834)^((5-Dashboard!$F$9)*3/12)</f>
        <v>1.1149634674019475</v>
      </c>
      <c r="N834" s="361">
        <f t="shared" ref="N834:V834" si="847">M834*(1+$D834)</f>
        <v>1.2890650128367593</v>
      </c>
      <c r="O834" s="361">
        <f t="shared" si="847"/>
        <v>1.4903525145912166</v>
      </c>
      <c r="P834" s="361">
        <f t="shared" si="847"/>
        <v>1.7230710597446321</v>
      </c>
      <c r="Q834" s="361">
        <f t="shared" si="847"/>
        <v>1.9921286057237531</v>
      </c>
      <c r="R834" s="361">
        <f t="shared" si="847"/>
        <v>2.3031994875075132</v>
      </c>
      <c r="S834" s="361">
        <f t="shared" si="847"/>
        <v>2.6628440874818069</v>
      </c>
      <c r="T834" s="361">
        <f t="shared" si="847"/>
        <v>3.0786471917420859</v>
      </c>
      <c r="U834" s="361">
        <f t="shared" si="847"/>
        <v>3.5593779507326064</v>
      </c>
      <c r="V834" s="362">
        <f t="shared" si="847"/>
        <v>4.1151748177394962</v>
      </c>
      <c r="X834" s="351"/>
    </row>
    <row r="835" spans="3:24" ht="24.75" customHeight="1" x14ac:dyDescent="0.3">
      <c r="C835" s="353">
        <f>ABS(E835-Dashboard!$F$14)</f>
        <v>62.447211455023094</v>
      </c>
      <c r="D835" s="350">
        <f t="shared" si="795"/>
        <v>0.15624999999999803</v>
      </c>
      <c r="E835" s="359" cm="1">
        <f t="array" ref="E835">1000*SUM('DRE + DCF'!$L$36/M835,'DRE + DCF'!$N$36:$V$36/N835:V835,F835/V835)/Dashboard!$F$11</f>
        <v>159.43721145502309</v>
      </c>
      <c r="F835" s="359">
        <f t="shared" si="793"/>
        <v>19929296.961173274</v>
      </c>
      <c r="G835" s="359">
        <f>'DRE + DCF'!$W$31</f>
        <v>2791623.3540418856</v>
      </c>
      <c r="H835" s="359">
        <f>'DRE + DCF'!$W$32</f>
        <v>81081.931703745853</v>
      </c>
      <c r="I835" s="359">
        <f>-H835*('DRE + DCF'!$V$33+K835)/'DRE + DCF'!$V$33</f>
        <v>-90858.801614444121</v>
      </c>
      <c r="J835" s="359">
        <f>-'DRE + DCF'!$V$56*L835</f>
        <v>-1188924.4255577971</v>
      </c>
      <c r="K835" s="360">
        <f>(1+L835)/(1+Ke!$O$12)-1</f>
        <v>2.0000000000000018E-2</v>
      </c>
      <c r="L835" s="360">
        <f>'DRE + DCF'!$Y$31</f>
        <v>7.3550000000000004E-2</v>
      </c>
      <c r="M835" s="361">
        <f>(1+D835)^((5-Dashboard!$F$9)*3/12)</f>
        <v>1.1150357948300367</v>
      </c>
      <c r="N835" s="361">
        <f t="shared" ref="N835:V835" si="848">M835*(1+$D835)</f>
        <v>1.2892601377722277</v>
      </c>
      <c r="O835" s="361">
        <f t="shared" si="848"/>
        <v>1.4907070342991358</v>
      </c>
      <c r="P835" s="361">
        <f t="shared" si="848"/>
        <v>1.7236300084083727</v>
      </c>
      <c r="Q835" s="361">
        <f t="shared" si="848"/>
        <v>1.9929471972221775</v>
      </c>
      <c r="R835" s="361">
        <f t="shared" si="848"/>
        <v>2.3043451967881388</v>
      </c>
      <c r="S835" s="361">
        <f t="shared" si="848"/>
        <v>2.6643991337862807</v>
      </c>
      <c r="T835" s="361">
        <f t="shared" si="848"/>
        <v>3.0807114984403818</v>
      </c>
      <c r="U835" s="361">
        <f t="shared" si="848"/>
        <v>3.5620726700716854</v>
      </c>
      <c r="V835" s="362">
        <f t="shared" si="848"/>
        <v>4.1186465247703792</v>
      </c>
      <c r="X835" s="351"/>
    </row>
    <row r="836" spans="3:24" ht="24.75" customHeight="1" x14ac:dyDescent="0.3">
      <c r="C836" s="353">
        <f>ABS(E836-Dashboard!$F$14)</f>
        <v>62.26066351123238</v>
      </c>
      <c r="D836" s="350">
        <f t="shared" si="795"/>
        <v>0.15634999999999802</v>
      </c>
      <c r="E836" s="359" cm="1">
        <f t="array" ref="E836">1000*SUM('DRE + DCF'!$L$36/M836,'DRE + DCF'!$N$36:$V$36/N836:V836,F836/V836)/Dashboard!$F$11</f>
        <v>159.25066351123237</v>
      </c>
      <c r="F836" s="359">
        <f t="shared" si="793"/>
        <v>19910676.344457161</v>
      </c>
      <c r="G836" s="359">
        <f>'DRE + DCF'!$W$31</f>
        <v>2791623.3540418856</v>
      </c>
      <c r="H836" s="359">
        <f>'DRE + DCF'!$W$32</f>
        <v>81081.931703745853</v>
      </c>
      <c r="I836" s="359">
        <f>-H836*('DRE + DCF'!$V$33+K836)/'DRE + DCF'!$V$33</f>
        <v>-90858.801614444121</v>
      </c>
      <c r="J836" s="359">
        <f>-'DRE + DCF'!$V$56*L836</f>
        <v>-1188924.4255577971</v>
      </c>
      <c r="K836" s="360">
        <f>(1+L836)/(1+Ke!$O$12)-1</f>
        <v>2.0000000000000018E-2</v>
      </c>
      <c r="L836" s="360">
        <f>'DRE + DCF'!$Y$31</f>
        <v>7.3550000000000004E-2</v>
      </c>
      <c r="M836" s="361">
        <f>(1+D836)^((5-Dashboard!$F$9)*3/12)</f>
        <v>1.1151081206943063</v>
      </c>
      <c r="N836" s="361">
        <f t="shared" ref="N836:V836" si="849">M836*(1+$D836)</f>
        <v>1.2894552753648589</v>
      </c>
      <c r="O836" s="361">
        <f t="shared" si="849"/>
        <v>1.491061607668152</v>
      </c>
      <c r="P836" s="361">
        <f t="shared" si="849"/>
        <v>1.7241890900270647</v>
      </c>
      <c r="Q836" s="361">
        <f t="shared" si="849"/>
        <v>1.9937660542527929</v>
      </c>
      <c r="R836" s="361">
        <f t="shared" si="849"/>
        <v>2.3054913768352132</v>
      </c>
      <c r="S836" s="361">
        <f t="shared" si="849"/>
        <v>2.6659549536033942</v>
      </c>
      <c r="T836" s="361">
        <f t="shared" si="849"/>
        <v>3.0827770105992793</v>
      </c>
      <c r="U836" s="361">
        <f t="shared" si="849"/>
        <v>3.5647691962064703</v>
      </c>
      <c r="V836" s="362">
        <f t="shared" si="849"/>
        <v>4.1221208600333448</v>
      </c>
      <c r="X836" s="351"/>
    </row>
    <row r="837" spans="3:24" ht="24.75" customHeight="1" x14ac:dyDescent="0.3">
      <c r="C837" s="353">
        <f>ABS(E837-Dashboard!$F$14)</f>
        <v>62.074505220368863</v>
      </c>
      <c r="D837" s="350">
        <f t="shared" si="795"/>
        <v>0.15644999999999801</v>
      </c>
      <c r="E837" s="359" cm="1">
        <f t="array" ref="E837">1000*SUM('DRE + DCF'!$L$36/M837,'DRE + DCF'!$N$36:$V$36/N837:V837,F837/V837)/Dashboard!$F$11</f>
        <v>159.06450522036886</v>
      </c>
      <c r="F837" s="359">
        <f t="shared" si="793"/>
        <v>19892093.693953127</v>
      </c>
      <c r="G837" s="359">
        <f>'DRE + DCF'!$W$31</f>
        <v>2791623.3540418856</v>
      </c>
      <c r="H837" s="359">
        <f>'DRE + DCF'!$W$32</f>
        <v>81081.931703745853</v>
      </c>
      <c r="I837" s="359">
        <f>-H837*('DRE + DCF'!$V$33+K837)/'DRE + DCF'!$V$33</f>
        <v>-90858.801614444121</v>
      </c>
      <c r="J837" s="359">
        <f>-'DRE + DCF'!$V$56*L837</f>
        <v>-1188924.4255577971</v>
      </c>
      <c r="K837" s="360">
        <f>(1+L837)/(1+Ke!$O$12)-1</f>
        <v>2.0000000000000018E-2</v>
      </c>
      <c r="L837" s="360">
        <f>'DRE + DCF'!$Y$31</f>
        <v>7.3550000000000004E-2</v>
      </c>
      <c r="M837" s="361">
        <f>(1+D837)^((5-Dashboard!$F$9)*3/12)</f>
        <v>1.1151804449949254</v>
      </c>
      <c r="N837" s="361">
        <f t="shared" ref="N837:V837" si="850">M837*(1+$D837)</f>
        <v>1.2896504256143793</v>
      </c>
      <c r="O837" s="361">
        <f t="shared" si="850"/>
        <v>1.4914162347017463</v>
      </c>
      <c r="P837" s="361">
        <f t="shared" si="850"/>
        <v>1.7247483046208316</v>
      </c>
      <c r="Q837" s="361">
        <f t="shared" si="850"/>
        <v>1.9945851768787572</v>
      </c>
      <c r="R837" s="361">
        <f t="shared" si="850"/>
        <v>2.3066380278014349</v>
      </c>
      <c r="S837" s="361">
        <f t="shared" si="850"/>
        <v>2.6675115472509647</v>
      </c>
      <c r="T837" s="361">
        <f t="shared" si="850"/>
        <v>3.084843728818373</v>
      </c>
      <c r="U837" s="361">
        <f t="shared" si="850"/>
        <v>3.5674675301920011</v>
      </c>
      <c r="V837" s="362">
        <f t="shared" si="850"/>
        <v>4.1255978252905328</v>
      </c>
      <c r="X837" s="351"/>
    </row>
    <row r="838" spans="3:24" ht="24.75" customHeight="1" x14ac:dyDescent="0.3">
      <c r="C838" s="353">
        <f>ABS(E838-Dashboard!$F$14)</f>
        <v>61.888735356198325</v>
      </c>
      <c r="D838" s="350">
        <f t="shared" si="795"/>
        <v>0.156549999999998</v>
      </c>
      <c r="E838" s="359" cm="1">
        <f t="array" ref="E838">1000*SUM('DRE + DCF'!$L$36/M838,'DRE + DCF'!$N$36:$V$36/N838:V838,F838/V838)/Dashboard!$F$11</f>
        <v>158.87873535619832</v>
      </c>
      <c r="F838" s="359">
        <f t="shared" si="793"/>
        <v>19873548.885749422</v>
      </c>
      <c r="G838" s="359">
        <f>'DRE + DCF'!$W$31</f>
        <v>2791623.3540418856</v>
      </c>
      <c r="H838" s="359">
        <f>'DRE + DCF'!$W$32</f>
        <v>81081.931703745853</v>
      </c>
      <c r="I838" s="359">
        <f>-H838*('DRE + DCF'!$V$33+K838)/'DRE + DCF'!$V$33</f>
        <v>-90858.801614444121</v>
      </c>
      <c r="J838" s="359">
        <f>-'DRE + DCF'!$V$56*L838</f>
        <v>-1188924.4255577971</v>
      </c>
      <c r="K838" s="360">
        <f>(1+L838)/(1+Ke!$O$12)-1</f>
        <v>2.0000000000000018E-2</v>
      </c>
      <c r="L838" s="360">
        <f>'DRE + DCF'!$Y$31</f>
        <v>7.3550000000000004E-2</v>
      </c>
      <c r="M838" s="361">
        <f>(1+D838)^((5-Dashboard!$F$9)*3/12)</f>
        <v>1.1152527677320634</v>
      </c>
      <c r="N838" s="361">
        <f t="shared" ref="N838:V838" si="851">M838*(1+$D838)</f>
        <v>1.2898455885205156</v>
      </c>
      <c r="O838" s="361">
        <f t="shared" si="851"/>
        <v>1.4917709154033996</v>
      </c>
      <c r="P838" s="361">
        <f t="shared" si="851"/>
        <v>1.7253076522097988</v>
      </c>
      <c r="Q838" s="361">
        <f t="shared" si="851"/>
        <v>1.9954045651632393</v>
      </c>
      <c r="R838" s="361">
        <f t="shared" si="851"/>
        <v>2.3077851498395403</v>
      </c>
      <c r="S838" s="361">
        <f t="shared" si="851"/>
        <v>2.6690689150469158</v>
      </c>
      <c r="T838" s="361">
        <f t="shared" si="851"/>
        <v>3.0869116536975052</v>
      </c>
      <c r="U838" s="361">
        <f t="shared" si="851"/>
        <v>3.5701676730838434</v>
      </c>
      <c r="V838" s="362">
        <f t="shared" si="851"/>
        <v>4.1290774223051114</v>
      </c>
      <c r="X838" s="351"/>
    </row>
    <row r="839" spans="3:24" ht="24.75" customHeight="1" x14ac:dyDescent="0.3">
      <c r="C839" s="353">
        <f>ABS(E839-Dashboard!$F$14)</f>
        <v>61.70335269783898</v>
      </c>
      <c r="D839" s="350">
        <f t="shared" si="795"/>
        <v>0.15664999999999799</v>
      </c>
      <c r="E839" s="359" cm="1">
        <f t="array" ref="E839">1000*SUM('DRE + DCF'!$L$36/M839,'DRE + DCF'!$N$36:$V$36/N839:V839,F839/V839)/Dashboard!$F$11</f>
        <v>158.69335269783898</v>
      </c>
      <c r="F839" s="359">
        <f t="shared" si="793"/>
        <v>19855041.796496801</v>
      </c>
      <c r="G839" s="359">
        <f>'DRE + DCF'!$W$31</f>
        <v>2791623.3540418856</v>
      </c>
      <c r="H839" s="359">
        <f>'DRE + DCF'!$W$32</f>
        <v>81081.931703745853</v>
      </c>
      <c r="I839" s="359">
        <f>-H839*('DRE + DCF'!$V$33+K839)/'DRE + DCF'!$V$33</f>
        <v>-90858.801614444121</v>
      </c>
      <c r="J839" s="359">
        <f>-'DRE + DCF'!$V$56*L839</f>
        <v>-1188924.4255577971</v>
      </c>
      <c r="K839" s="360">
        <f>(1+L839)/(1+Ke!$O$12)-1</f>
        <v>2.0000000000000018E-2</v>
      </c>
      <c r="L839" s="360">
        <f>'DRE + DCF'!$Y$31</f>
        <v>7.3550000000000004E-2</v>
      </c>
      <c r="M839" s="361">
        <f>(1+D839)^((5-Dashboard!$F$9)*3/12)</f>
        <v>1.115325088905889</v>
      </c>
      <c r="N839" s="361">
        <f t="shared" ref="N839:V839" si="852">M839*(1+$D839)</f>
        <v>1.2900407640829943</v>
      </c>
      <c r="O839" s="361">
        <f t="shared" si="852"/>
        <v>1.4921256497765927</v>
      </c>
      <c r="P839" s="361">
        <f t="shared" si="852"/>
        <v>1.7258671328140929</v>
      </c>
      <c r="Q839" s="361">
        <f t="shared" si="852"/>
        <v>1.9962242191694171</v>
      </c>
      <c r="R839" s="361">
        <f t="shared" si="852"/>
        <v>2.3089327431023023</v>
      </c>
      <c r="S839" s="361">
        <f t="shared" si="852"/>
        <v>2.6706270573092734</v>
      </c>
      <c r="T839" s="361">
        <f t="shared" si="852"/>
        <v>3.0889807858367657</v>
      </c>
      <c r="U839" s="361">
        <f t="shared" si="852"/>
        <v>3.5728696259380888</v>
      </c>
      <c r="V839" s="362">
        <f t="shared" si="852"/>
        <v>4.1325596528412829</v>
      </c>
      <c r="X839" s="351"/>
    </row>
    <row r="840" spans="3:24" ht="24.75" customHeight="1" x14ac:dyDescent="0.3">
      <c r="C840" s="353">
        <f>ABS(E840-Dashboard!$F$14)</f>
        <v>61.518356029731009</v>
      </c>
      <c r="D840" s="350">
        <f t="shared" si="795"/>
        <v>0.15674999999999797</v>
      </c>
      <c r="E840" s="359" cm="1">
        <f t="array" ref="E840">1000*SUM('DRE + DCF'!$L$36/M840,'DRE + DCF'!$N$36:$V$36/N840:V840,F840/V840)/Dashboard!$F$11</f>
        <v>158.508356029731</v>
      </c>
      <c r="F840" s="359">
        <f t="shared" si="793"/>
        <v>19836572.303405207</v>
      </c>
      <c r="G840" s="359">
        <f>'DRE + DCF'!$W$31</f>
        <v>2791623.3540418856</v>
      </c>
      <c r="H840" s="359">
        <f>'DRE + DCF'!$W$32</f>
        <v>81081.931703745853</v>
      </c>
      <c r="I840" s="359">
        <f>-H840*('DRE + DCF'!$V$33+K840)/'DRE + DCF'!$V$33</f>
        <v>-90858.801614444121</v>
      </c>
      <c r="J840" s="359">
        <f>-'DRE + DCF'!$V$56*L840</f>
        <v>-1188924.4255577971</v>
      </c>
      <c r="K840" s="360">
        <f>(1+L840)/(1+Ke!$O$12)-1</f>
        <v>2.0000000000000018E-2</v>
      </c>
      <c r="L840" s="360">
        <f>'DRE + DCF'!$Y$31</f>
        <v>7.3550000000000004E-2</v>
      </c>
      <c r="M840" s="361">
        <f>(1+D840)^((5-Dashboard!$F$9)*3/12)</f>
        <v>1.1153974085165712</v>
      </c>
      <c r="N840" s="361">
        <f t="shared" ref="N840:V840" si="853">M840*(1+$D840)</f>
        <v>1.2902359523015414</v>
      </c>
      <c r="O840" s="361">
        <f t="shared" si="853"/>
        <v>1.4924804378248053</v>
      </c>
      <c r="P840" s="361">
        <f t="shared" si="853"/>
        <v>1.7264267464538405</v>
      </c>
      <c r="Q840" s="361">
        <f t="shared" si="853"/>
        <v>1.9970441389604765</v>
      </c>
      <c r="R840" s="361">
        <f t="shared" si="853"/>
        <v>2.3100808077425272</v>
      </c>
      <c r="S840" s="361">
        <f t="shared" si="853"/>
        <v>2.6721859743561636</v>
      </c>
      <c r="T840" s="361">
        <f t="shared" si="853"/>
        <v>3.0910511258364868</v>
      </c>
      <c r="U840" s="361">
        <f t="shared" si="853"/>
        <v>3.5755733898113498</v>
      </c>
      <c r="V840" s="362">
        <f t="shared" si="853"/>
        <v>4.1360445186642716</v>
      </c>
      <c r="X840" s="351"/>
    </row>
    <row r="841" spans="3:24" ht="24.75" customHeight="1" x14ac:dyDescent="0.3">
      <c r="C841" s="353">
        <f>ABS(E841-Dashboard!$F$14)</f>
        <v>61.333744141606402</v>
      </c>
      <c r="D841" s="350">
        <f t="shared" si="795"/>
        <v>0.15684999999999796</v>
      </c>
      <c r="E841" s="359" cm="1">
        <f t="array" ref="E841">1000*SUM('DRE + DCF'!$L$36/M841,'DRE + DCF'!$N$36:$V$36/N841:V841,F841/V841)/Dashboard!$F$11</f>
        <v>158.3237441416064</v>
      </c>
      <c r="F841" s="359">
        <f t="shared" si="793"/>
        <v>19818140.28424057</v>
      </c>
      <c r="G841" s="359">
        <f>'DRE + DCF'!$W$31</f>
        <v>2791623.3540418856</v>
      </c>
      <c r="H841" s="359">
        <f>'DRE + DCF'!$W$32</f>
        <v>81081.931703745853</v>
      </c>
      <c r="I841" s="359">
        <f>-H841*('DRE + DCF'!$V$33+K841)/'DRE + DCF'!$V$33</f>
        <v>-90858.801614444121</v>
      </c>
      <c r="J841" s="359">
        <f>-'DRE + DCF'!$V$56*L841</f>
        <v>-1188924.4255577971</v>
      </c>
      <c r="K841" s="360">
        <f>(1+L841)/(1+Ke!$O$12)-1</f>
        <v>2.0000000000000018E-2</v>
      </c>
      <c r="L841" s="360">
        <f>'DRE + DCF'!$Y$31</f>
        <v>7.3550000000000004E-2</v>
      </c>
      <c r="M841" s="361">
        <f>(1+D841)^((5-Dashboard!$F$9)*3/12)</f>
        <v>1.115469726564279</v>
      </c>
      <c r="N841" s="361">
        <f t="shared" ref="N841:V841" si="854">M841*(1+$D841)</f>
        <v>1.2904311531758839</v>
      </c>
      <c r="O841" s="361">
        <f t="shared" si="854"/>
        <v>1.4928352795515185</v>
      </c>
      <c r="P841" s="361">
        <f t="shared" si="854"/>
        <v>1.7269864931491712</v>
      </c>
      <c r="Q841" s="361">
        <f t="shared" si="854"/>
        <v>1.997864324599615</v>
      </c>
      <c r="R841" s="361">
        <f t="shared" si="854"/>
        <v>2.3112293439130607</v>
      </c>
      <c r="S841" s="361">
        <f t="shared" si="854"/>
        <v>2.6737456665058197</v>
      </c>
      <c r="T841" s="361">
        <f t="shared" si="854"/>
        <v>3.093122674297252</v>
      </c>
      <c r="U841" s="361">
        <f t="shared" si="854"/>
        <v>3.5782789657607696</v>
      </c>
      <c r="V841" s="362">
        <f t="shared" si="854"/>
        <v>4.1395320215403393</v>
      </c>
      <c r="X841" s="351"/>
    </row>
    <row r="842" spans="3:24" ht="24.75" customHeight="1" x14ac:dyDescent="0.3">
      <c r="C842" s="353">
        <f>ABS(E842-Dashboard!$F$14)</f>
        <v>61.1495158284594</v>
      </c>
      <c r="D842" s="350">
        <f t="shared" si="795"/>
        <v>0.15694999999999795</v>
      </c>
      <c r="E842" s="359" cm="1">
        <f t="array" ref="E842">1000*SUM('DRE + DCF'!$L$36/M842,'DRE + DCF'!$N$36:$V$36/N842:V842,F842/V842)/Dashboard!$F$11</f>
        <v>158.13951582845939</v>
      </c>
      <c r="F842" s="359">
        <f t="shared" si="793"/>
        <v>19799745.617321555</v>
      </c>
      <c r="G842" s="359">
        <f>'DRE + DCF'!$W$31</f>
        <v>2791623.3540418856</v>
      </c>
      <c r="H842" s="359">
        <f>'DRE + DCF'!$W$32</f>
        <v>81081.931703745853</v>
      </c>
      <c r="I842" s="359">
        <f>-H842*('DRE + DCF'!$V$33+K842)/'DRE + DCF'!$V$33</f>
        <v>-90858.801614444121</v>
      </c>
      <c r="J842" s="359">
        <f>-'DRE + DCF'!$V$56*L842</f>
        <v>-1188924.4255577971</v>
      </c>
      <c r="K842" s="360">
        <f>(1+L842)/(1+Ke!$O$12)-1</f>
        <v>2.0000000000000018E-2</v>
      </c>
      <c r="L842" s="360">
        <f>'DRE + DCF'!$Y$31</f>
        <v>7.3550000000000004E-2</v>
      </c>
      <c r="M842" s="361">
        <f>(1+D842)^((5-Dashboard!$F$9)*3/12)</f>
        <v>1.1155420430491811</v>
      </c>
      <c r="N842" s="361">
        <f t="shared" ref="N842:V842" si="855">M842*(1+$D842)</f>
        <v>1.2906263667057478</v>
      </c>
      <c r="O842" s="361">
        <f t="shared" si="855"/>
        <v>1.4931901749602123</v>
      </c>
      <c r="P842" s="361">
        <f t="shared" si="855"/>
        <v>1.7275463729202145</v>
      </c>
      <c r="Q842" s="361">
        <f t="shared" si="855"/>
        <v>1.9986847761500386</v>
      </c>
      <c r="R842" s="361">
        <f t="shared" si="855"/>
        <v>2.3123783517667831</v>
      </c>
      <c r="S842" s="361">
        <f t="shared" si="855"/>
        <v>2.6753061340765747</v>
      </c>
      <c r="T842" s="361">
        <f t="shared" si="855"/>
        <v>3.0951954318198873</v>
      </c>
      <c r="U842" s="361">
        <f t="shared" si="855"/>
        <v>3.5809863548440122</v>
      </c>
      <c r="V842" s="362">
        <f t="shared" si="855"/>
        <v>4.1430221632367727</v>
      </c>
      <c r="X842" s="351"/>
    </row>
    <row r="843" spans="3:24" ht="24.75" customHeight="1" x14ac:dyDescent="0.3">
      <c r="C843" s="353">
        <f>ABS(E843-Dashboard!$F$14)</f>
        <v>60.96566989051631</v>
      </c>
      <c r="D843" s="350">
        <f t="shared" si="795"/>
        <v>0.15704999999999794</v>
      </c>
      <c r="E843" s="359" cm="1">
        <f t="array" ref="E843">1000*SUM('DRE + DCF'!$L$36/M843,'DRE + DCF'!$N$36:$V$36/N843:V843,F843/V843)/Dashboard!$F$11</f>
        <v>157.9556698905163</v>
      </c>
      <c r="F843" s="359">
        <f t="shared" si="793"/>
        <v>19781388.181516349</v>
      </c>
      <c r="G843" s="359">
        <f>'DRE + DCF'!$W$31</f>
        <v>2791623.3540418856</v>
      </c>
      <c r="H843" s="359">
        <f>'DRE + DCF'!$W$32</f>
        <v>81081.931703745853</v>
      </c>
      <c r="I843" s="359">
        <f>-H843*('DRE + DCF'!$V$33+K843)/'DRE + DCF'!$V$33</f>
        <v>-90858.801614444121</v>
      </c>
      <c r="J843" s="359">
        <f>-'DRE + DCF'!$V$56*L843</f>
        <v>-1188924.4255577971</v>
      </c>
      <c r="K843" s="360">
        <f>(1+L843)/(1+Ke!$O$12)-1</f>
        <v>2.0000000000000018E-2</v>
      </c>
      <c r="L843" s="360">
        <f>'DRE + DCF'!$Y$31</f>
        <v>7.3550000000000004E-2</v>
      </c>
      <c r="M843" s="361">
        <f>(1+D843)^((5-Dashboard!$F$9)*3/12)</f>
        <v>1.1156143579714466</v>
      </c>
      <c r="N843" s="361">
        <f t="shared" ref="N843:V843" si="856">M843*(1+$D843)</f>
        <v>1.29082159289086</v>
      </c>
      <c r="O843" s="361">
        <f t="shared" si="856"/>
        <v>1.4935451240543669</v>
      </c>
      <c r="P843" s="361">
        <f t="shared" si="856"/>
        <v>1.7281063857871022</v>
      </c>
      <c r="Q843" s="361">
        <f t="shared" si="856"/>
        <v>1.999505493674963</v>
      </c>
      <c r="R843" s="361">
        <f t="shared" si="856"/>
        <v>2.3135278314566117</v>
      </c>
      <c r="S843" s="361">
        <f t="shared" si="856"/>
        <v>2.6768673773868676</v>
      </c>
      <c r="T843" s="361">
        <f t="shared" si="856"/>
        <v>3.0972693990054698</v>
      </c>
      <c r="U843" s="361">
        <f t="shared" si="856"/>
        <v>3.5836955581192722</v>
      </c>
      <c r="V843" s="362">
        <f t="shared" si="856"/>
        <v>4.1465149455218961</v>
      </c>
      <c r="X843" s="351"/>
    </row>
    <row r="844" spans="3:24" ht="24.75" customHeight="1" x14ac:dyDescent="0.3">
      <c r="C844" s="353">
        <f>ABS(E844-Dashboard!$F$14)</f>
        <v>60.782205133206631</v>
      </c>
      <c r="D844" s="350">
        <f t="shared" si="795"/>
        <v>0.15714999999999793</v>
      </c>
      <c r="E844" s="359" cm="1">
        <f t="array" ref="E844">1000*SUM('DRE + DCF'!$L$36/M844,'DRE + DCF'!$N$36:$V$36/N844:V844,F844/V844)/Dashboard!$F$11</f>
        <v>157.77220513320663</v>
      </c>
      <c r="F844" s="359">
        <f t="shared" si="793"/>
        <v>19763067.856239513</v>
      </c>
      <c r="G844" s="359">
        <f>'DRE + DCF'!$W$31</f>
        <v>2791623.3540418856</v>
      </c>
      <c r="H844" s="359">
        <f>'DRE + DCF'!$W$32</f>
        <v>81081.931703745853</v>
      </c>
      <c r="I844" s="359">
        <f>-H844*('DRE + DCF'!$V$33+K844)/'DRE + DCF'!$V$33</f>
        <v>-90858.801614444121</v>
      </c>
      <c r="J844" s="359">
        <f>-'DRE + DCF'!$V$56*L844</f>
        <v>-1188924.4255577971</v>
      </c>
      <c r="K844" s="360">
        <f>(1+L844)/(1+Ke!$O$12)-1</f>
        <v>2.0000000000000018E-2</v>
      </c>
      <c r="L844" s="360">
        <f>'DRE + DCF'!$Y$31</f>
        <v>7.3550000000000004E-2</v>
      </c>
      <c r="M844" s="361">
        <f>(1+D844)^((5-Dashboard!$F$9)*3/12)</f>
        <v>1.1156866713312439</v>
      </c>
      <c r="N844" s="361">
        <f t="shared" ref="N844:V844" si="857">M844*(1+$D844)</f>
        <v>1.2910168317309465</v>
      </c>
      <c r="O844" s="361">
        <f t="shared" si="857"/>
        <v>1.4939001268374621</v>
      </c>
      <c r="P844" s="361">
        <f t="shared" si="857"/>
        <v>1.7286665317699661</v>
      </c>
      <c r="Q844" s="361">
        <f t="shared" si="857"/>
        <v>2.0003264772376128</v>
      </c>
      <c r="R844" s="361">
        <f t="shared" si="857"/>
        <v>2.3146777831354997</v>
      </c>
      <c r="S844" s="361">
        <f t="shared" si="857"/>
        <v>2.6784293967552384</v>
      </c>
      <c r="T844" s="361">
        <f t="shared" si="857"/>
        <v>3.0993445764553185</v>
      </c>
      <c r="U844" s="361">
        <f t="shared" si="857"/>
        <v>3.5864065766452651</v>
      </c>
      <c r="V844" s="362">
        <f t="shared" si="857"/>
        <v>4.1500103701650612</v>
      </c>
      <c r="X844" s="351"/>
    </row>
    <row r="845" spans="3:24" ht="24.75" customHeight="1" x14ac:dyDescent="0.3">
      <c r="C845" s="353">
        <f>ABS(E845-Dashboard!$F$14)</f>
        <v>60.59912036713321</v>
      </c>
      <c r="D845" s="350">
        <f t="shared" si="795"/>
        <v>0.15724999999999792</v>
      </c>
      <c r="E845" s="359" cm="1">
        <f t="array" ref="E845">1000*SUM('DRE + DCF'!$L$36/M845,'DRE + DCF'!$N$36:$V$36/N845:V845,F845/V845)/Dashboard!$F$11</f>
        <v>157.58912036713321</v>
      </c>
      <c r="F845" s="359">
        <f t="shared" si="793"/>
        <v>19744784.521448795</v>
      </c>
      <c r="G845" s="359">
        <f>'DRE + DCF'!$W$31</f>
        <v>2791623.3540418856</v>
      </c>
      <c r="H845" s="359">
        <f>'DRE + DCF'!$W$32</f>
        <v>81081.931703745853</v>
      </c>
      <c r="I845" s="359">
        <f>-H845*('DRE + DCF'!$V$33+K845)/'DRE + DCF'!$V$33</f>
        <v>-90858.801614444121</v>
      </c>
      <c r="J845" s="359">
        <f>-'DRE + DCF'!$V$56*L845</f>
        <v>-1188924.4255577971</v>
      </c>
      <c r="K845" s="360">
        <f>(1+L845)/(1+Ke!$O$12)-1</f>
        <v>2.0000000000000018E-2</v>
      </c>
      <c r="L845" s="360">
        <f>'DRE + DCF'!$Y$31</f>
        <v>7.3550000000000004E-2</v>
      </c>
      <c r="M845" s="361">
        <f>(1+D845)^((5-Dashboard!$F$9)*3/12)</f>
        <v>1.1157589831287422</v>
      </c>
      <c r="N845" s="361">
        <f t="shared" ref="N845:V845" si="858">M845*(1+$D845)</f>
        <v>1.2912120832257346</v>
      </c>
      <c r="O845" s="361">
        <f t="shared" si="858"/>
        <v>1.4942551833129787</v>
      </c>
      <c r="P845" s="361">
        <f t="shared" si="858"/>
        <v>1.7292268108889415</v>
      </c>
      <c r="Q845" s="361">
        <f t="shared" si="858"/>
        <v>2.0011477269012237</v>
      </c>
      <c r="R845" s="361">
        <f t="shared" si="858"/>
        <v>2.3158282069564367</v>
      </c>
      <c r="S845" s="361">
        <f t="shared" si="858"/>
        <v>2.6799921925003316</v>
      </c>
      <c r="T845" s="361">
        <f t="shared" si="858"/>
        <v>3.1014209647710032</v>
      </c>
      <c r="U845" s="361">
        <f t="shared" si="858"/>
        <v>3.5891194114812368</v>
      </c>
      <c r="V845" s="362">
        <f t="shared" si="858"/>
        <v>4.1535084389366537</v>
      </c>
      <c r="X845" s="351"/>
    </row>
    <row r="846" spans="3:24" ht="24.75" customHeight="1" x14ac:dyDescent="0.3">
      <c r="C846" s="353">
        <f>ABS(E846-Dashboard!$F$14)</f>
        <v>60.41641440804365</v>
      </c>
      <c r="D846" s="350">
        <f t="shared" si="795"/>
        <v>0.15734999999999791</v>
      </c>
      <c r="E846" s="359" cm="1">
        <f t="array" ref="E846">1000*SUM('DRE + DCF'!$L$36/M846,'DRE + DCF'!$N$36:$V$36/N846:V846,F846/V846)/Dashboard!$F$11</f>
        <v>157.40641440804364</v>
      </c>
      <c r="F846" s="359">
        <f t="shared" ref="F846:F909" si="859">AVERAGE(SUM(G846:J846)*(1+L846)/(D846-L846),G846*(1+L846)*(1-L846/D846)/(D846-L846))</f>
        <v>19726538.057642005</v>
      </c>
      <c r="G846" s="359">
        <f>'DRE + DCF'!$W$31</f>
        <v>2791623.3540418856</v>
      </c>
      <c r="H846" s="359">
        <f>'DRE + DCF'!$W$32</f>
        <v>81081.931703745853</v>
      </c>
      <c r="I846" s="359">
        <f>-H846*('DRE + DCF'!$V$33+K846)/'DRE + DCF'!$V$33</f>
        <v>-90858.801614444121</v>
      </c>
      <c r="J846" s="359">
        <f>-'DRE + DCF'!$V$56*L846</f>
        <v>-1188924.4255577971</v>
      </c>
      <c r="K846" s="360">
        <f>(1+L846)/(1+Ke!$O$12)-1</f>
        <v>2.0000000000000018E-2</v>
      </c>
      <c r="L846" s="360">
        <f>'DRE + DCF'!$Y$31</f>
        <v>7.3550000000000004E-2</v>
      </c>
      <c r="M846" s="361">
        <f>(1+D846)^((5-Dashboard!$F$9)*3/12)</f>
        <v>1.1158312933641101</v>
      </c>
      <c r="N846" s="361">
        <f t="shared" ref="N846:V846" si="860">M846*(1+$D846)</f>
        <v>1.2914073473749506</v>
      </c>
      <c r="O846" s="361">
        <f t="shared" si="860"/>
        <v>1.4946102934843963</v>
      </c>
      <c r="P846" s="361">
        <f t="shared" si="860"/>
        <v>1.7297872231641629</v>
      </c>
      <c r="Q846" s="361">
        <f t="shared" si="860"/>
        <v>2.0019692427290403</v>
      </c>
      <c r="R846" s="361">
        <f t="shared" si="860"/>
        <v>2.3169791030724505</v>
      </c>
      <c r="S846" s="361">
        <f t="shared" si="860"/>
        <v>2.6815557649408954</v>
      </c>
      <c r="T846" s="361">
        <f t="shared" si="860"/>
        <v>3.1034985645543398</v>
      </c>
      <c r="U846" s="361">
        <f t="shared" si="860"/>
        <v>3.5918340636869588</v>
      </c>
      <c r="V846" s="362">
        <f t="shared" si="860"/>
        <v>4.1570091536080938</v>
      </c>
      <c r="X846" s="351"/>
    </row>
    <row r="847" spans="3:24" ht="24.75" customHeight="1" x14ac:dyDescent="0.3">
      <c r="C847" s="353">
        <f>ABS(E847-Dashboard!$F$14)</f>
        <v>60.234086076801319</v>
      </c>
      <c r="D847" s="350">
        <f t="shared" ref="D847:D910" si="861">D846+0.0001</f>
        <v>0.1574499999999979</v>
      </c>
      <c r="E847" s="359" cm="1">
        <f t="array" ref="E847">1000*SUM('DRE + DCF'!$L$36/M847,'DRE + DCF'!$N$36:$V$36/N847:V847,F847/V847)/Dashboard!$F$11</f>
        <v>157.22408607680131</v>
      </c>
      <c r="F847" s="359">
        <f t="shared" si="859"/>
        <v>19708328.34585391</v>
      </c>
      <c r="G847" s="359">
        <f>'DRE + DCF'!$W$31</f>
        <v>2791623.3540418856</v>
      </c>
      <c r="H847" s="359">
        <f>'DRE + DCF'!$W$32</f>
        <v>81081.931703745853</v>
      </c>
      <c r="I847" s="359">
        <f>-H847*('DRE + DCF'!$V$33+K847)/'DRE + DCF'!$V$33</f>
        <v>-90858.801614444121</v>
      </c>
      <c r="J847" s="359">
        <f>-'DRE + DCF'!$V$56*L847</f>
        <v>-1188924.4255577971</v>
      </c>
      <c r="K847" s="360">
        <f>(1+L847)/(1+Ke!$O$12)-1</f>
        <v>2.0000000000000018E-2</v>
      </c>
      <c r="L847" s="360">
        <f>'DRE + DCF'!$Y$31</f>
        <v>7.3550000000000004E-2</v>
      </c>
      <c r="M847" s="361">
        <f>(1+D847)^((5-Dashboard!$F$9)*3/12)</f>
        <v>1.1159036020375164</v>
      </c>
      <c r="N847" s="361">
        <f t="shared" ref="N847:V847" si="862">M847*(1+$D847)</f>
        <v>1.2916026241783209</v>
      </c>
      <c r="O847" s="361">
        <f t="shared" si="862"/>
        <v>1.4949654573551949</v>
      </c>
      <c r="P847" s="361">
        <f t="shared" si="862"/>
        <v>1.7303477686157671</v>
      </c>
      <c r="Q847" s="361">
        <f t="shared" si="862"/>
        <v>2.0027910247843161</v>
      </c>
      <c r="R847" s="361">
        <f t="shared" si="862"/>
        <v>2.3181304716366022</v>
      </c>
      <c r="S847" s="361">
        <f t="shared" si="862"/>
        <v>2.6831201143957801</v>
      </c>
      <c r="T847" s="361">
        <f t="shared" si="862"/>
        <v>3.10557737640739</v>
      </c>
      <c r="U847" s="361">
        <f t="shared" si="862"/>
        <v>3.5945505343227269</v>
      </c>
      <c r="V847" s="362">
        <f t="shared" si="862"/>
        <v>4.1605125159518321</v>
      </c>
      <c r="X847" s="351"/>
    </row>
    <row r="848" spans="3:24" ht="24.75" customHeight="1" x14ac:dyDescent="0.3">
      <c r="C848" s="353">
        <f>ABS(E848-Dashboard!$F$14)</f>
        <v>60.052134199356388</v>
      </c>
      <c r="D848" s="350">
        <f t="shared" si="861"/>
        <v>0.15754999999999789</v>
      </c>
      <c r="E848" s="359" cm="1">
        <f t="array" ref="E848">1000*SUM('DRE + DCF'!$L$36/M848,'DRE + DCF'!$N$36:$V$36/N848:V848,F848/V848)/Dashboard!$F$11</f>
        <v>157.04213419935638</v>
      </c>
      <c r="F848" s="359">
        <f t="shared" si="859"/>
        <v>19690155.267653111</v>
      </c>
      <c r="G848" s="359">
        <f>'DRE + DCF'!$W$31</f>
        <v>2791623.3540418856</v>
      </c>
      <c r="H848" s="359">
        <f>'DRE + DCF'!$W$32</f>
        <v>81081.931703745853</v>
      </c>
      <c r="I848" s="359">
        <f>-H848*('DRE + DCF'!$V$33+K848)/'DRE + DCF'!$V$33</f>
        <v>-90858.801614444121</v>
      </c>
      <c r="J848" s="359">
        <f>-'DRE + DCF'!$V$56*L848</f>
        <v>-1188924.4255577971</v>
      </c>
      <c r="K848" s="360">
        <f>(1+L848)/(1+Ke!$O$12)-1</f>
        <v>2.0000000000000018E-2</v>
      </c>
      <c r="L848" s="360">
        <f>'DRE + DCF'!$Y$31</f>
        <v>7.3550000000000004E-2</v>
      </c>
      <c r="M848" s="361">
        <f>(1+D848)^((5-Dashboard!$F$9)*3/12)</f>
        <v>1.1159759091491295</v>
      </c>
      <c r="N848" s="361">
        <f t="shared" ref="N848:V848" si="863">M848*(1+$D848)</f>
        <v>1.2917979136355724</v>
      </c>
      <c r="O848" s="361">
        <f t="shared" si="863"/>
        <v>1.4953206749288541</v>
      </c>
      <c r="P848" s="361">
        <f t="shared" si="863"/>
        <v>1.7309084472638918</v>
      </c>
      <c r="Q848" s="361">
        <f t="shared" si="863"/>
        <v>2.0036130731303143</v>
      </c>
      <c r="R848" s="361">
        <f t="shared" si="863"/>
        <v>2.3192823128019913</v>
      </c>
      <c r="S848" s="361">
        <f t="shared" si="863"/>
        <v>2.6846852411839399</v>
      </c>
      <c r="T848" s="361">
        <f t="shared" si="863"/>
        <v>3.1076574009324638</v>
      </c>
      <c r="U848" s="361">
        <f t="shared" si="863"/>
        <v>3.5972688244493667</v>
      </c>
      <c r="V848" s="362">
        <f t="shared" si="863"/>
        <v>4.1640185277413568</v>
      </c>
      <c r="X848" s="351"/>
    </row>
    <row r="849" spans="3:24" ht="24.75" customHeight="1" x14ac:dyDescent="0.3">
      <c r="C849" s="353">
        <f>ABS(E849-Dashboard!$F$14)</f>
        <v>59.870557606718009</v>
      </c>
      <c r="D849" s="350">
        <f t="shared" si="861"/>
        <v>0.15764999999999788</v>
      </c>
      <c r="E849" s="359" cm="1">
        <f t="array" ref="E849">1000*SUM('DRE + DCF'!$L$36/M849,'DRE + DCF'!$N$36:$V$36/N849:V849,F849/V849)/Dashboard!$F$11</f>
        <v>156.860557606718</v>
      </c>
      <c r="F849" s="359">
        <f t="shared" si="859"/>
        <v>19672018.705139019</v>
      </c>
      <c r="G849" s="359">
        <f>'DRE + DCF'!$W$31</f>
        <v>2791623.3540418856</v>
      </c>
      <c r="H849" s="359">
        <f>'DRE + DCF'!$W$32</f>
        <v>81081.931703745853</v>
      </c>
      <c r="I849" s="359">
        <f>-H849*('DRE + DCF'!$V$33+K849)/'DRE + DCF'!$V$33</f>
        <v>-90858.801614444121</v>
      </c>
      <c r="J849" s="359">
        <f>-'DRE + DCF'!$V$56*L849</f>
        <v>-1188924.4255577971</v>
      </c>
      <c r="K849" s="360">
        <f>(1+L849)/(1+Ke!$O$12)-1</f>
        <v>2.0000000000000018E-2</v>
      </c>
      <c r="L849" s="360">
        <f>'DRE + DCF'!$Y$31</f>
        <v>7.3550000000000004E-2</v>
      </c>
      <c r="M849" s="361">
        <f>(1+D849)^((5-Dashboard!$F$9)*3/12)</f>
        <v>1.1160482146991184</v>
      </c>
      <c r="N849" s="361">
        <f t="shared" ref="N849:V849" si="864">M849*(1+$D849)</f>
        <v>1.291993215746432</v>
      </c>
      <c r="O849" s="361">
        <f t="shared" si="864"/>
        <v>1.4956759462088542</v>
      </c>
      <c r="P849" s="361">
        <f t="shared" si="864"/>
        <v>1.7314692591286769</v>
      </c>
      <c r="Q849" s="361">
        <f t="shared" si="864"/>
        <v>2.0044353878303092</v>
      </c>
      <c r="R849" s="361">
        <f t="shared" si="864"/>
        <v>2.3204346267217533</v>
      </c>
      <c r="S849" s="361">
        <f t="shared" si="864"/>
        <v>2.6862511456244325</v>
      </c>
      <c r="T849" s="361">
        <f t="shared" si="864"/>
        <v>3.1097386387321184</v>
      </c>
      <c r="U849" s="361">
        <f t="shared" si="864"/>
        <v>3.5999889351282301</v>
      </c>
      <c r="V849" s="362">
        <f t="shared" si="864"/>
        <v>4.1675271907511879</v>
      </c>
      <c r="X849" s="351"/>
    </row>
    <row r="850" spans="3:24" ht="24.75" customHeight="1" x14ac:dyDescent="0.3">
      <c r="C850" s="353">
        <f>ABS(E850-Dashboard!$F$14)</f>
        <v>59.689355134925322</v>
      </c>
      <c r="D850" s="350">
        <f t="shared" si="861"/>
        <v>0.15774999999999786</v>
      </c>
      <c r="E850" s="359" cm="1">
        <f t="array" ref="E850">1000*SUM('DRE + DCF'!$L$36/M850,'DRE + DCF'!$N$36:$V$36/N850:V850,F850/V850)/Dashboard!$F$11</f>
        <v>156.67935513492532</v>
      </c>
      <c r="F850" s="359">
        <f t="shared" si="859"/>
        <v>19653918.540938765</v>
      </c>
      <c r="G850" s="359">
        <f>'DRE + DCF'!$W$31</f>
        <v>2791623.3540418856</v>
      </c>
      <c r="H850" s="359">
        <f>'DRE + DCF'!$W$32</f>
        <v>81081.931703745853</v>
      </c>
      <c r="I850" s="359">
        <f>-H850*('DRE + DCF'!$V$33+K850)/'DRE + DCF'!$V$33</f>
        <v>-90858.801614444121</v>
      </c>
      <c r="J850" s="359">
        <f>-'DRE + DCF'!$V$56*L850</f>
        <v>-1188924.4255577971</v>
      </c>
      <c r="K850" s="360">
        <f>(1+L850)/(1+Ke!$O$12)-1</f>
        <v>2.0000000000000018E-2</v>
      </c>
      <c r="L850" s="360">
        <f>'DRE + DCF'!$Y$31</f>
        <v>7.3550000000000004E-2</v>
      </c>
      <c r="M850" s="361">
        <f>(1+D850)^((5-Dashboard!$F$9)*3/12)</f>
        <v>1.1161205186876515</v>
      </c>
      <c r="N850" s="361">
        <f t="shared" ref="N850:V850" si="865">M850*(1+$D850)</f>
        <v>1.2921885305106262</v>
      </c>
      <c r="O850" s="361">
        <f t="shared" si="865"/>
        <v>1.4960312711986747</v>
      </c>
      <c r="P850" s="361">
        <f t="shared" si="865"/>
        <v>1.7320302042302624</v>
      </c>
      <c r="Q850" s="361">
        <f t="shared" si="865"/>
        <v>2.0052579689475825</v>
      </c>
      <c r="R850" s="361">
        <f t="shared" si="865"/>
        <v>2.3215874135490591</v>
      </c>
      <c r="S850" s="361">
        <f t="shared" si="865"/>
        <v>2.687817828036418</v>
      </c>
      <c r="T850" s="361">
        <f t="shared" si="865"/>
        <v>3.111821090409157</v>
      </c>
      <c r="U850" s="361">
        <f t="shared" si="865"/>
        <v>3.602710867421195</v>
      </c>
      <c r="V850" s="362">
        <f t="shared" si="865"/>
        <v>4.1710385067568803</v>
      </c>
      <c r="X850" s="351"/>
    </row>
    <row r="851" spans="3:24" ht="24.75" customHeight="1" x14ac:dyDescent="0.3">
      <c r="C851" s="353">
        <f>ABS(E851-Dashboard!$F$14)</f>
        <v>59.508525625019971</v>
      </c>
      <c r="D851" s="350">
        <f t="shared" si="861"/>
        <v>0.15784999999999785</v>
      </c>
      <c r="E851" s="359" cm="1">
        <f t="array" ref="E851">1000*SUM('DRE + DCF'!$L$36/M851,'DRE + DCF'!$N$36:$V$36/N851:V851,F851/V851)/Dashboard!$F$11</f>
        <v>156.49852562501997</v>
      </c>
      <c r="F851" s="359">
        <f t="shared" si="859"/>
        <v>19635854.658204187</v>
      </c>
      <c r="G851" s="359">
        <f>'DRE + DCF'!$W$31</f>
        <v>2791623.3540418856</v>
      </c>
      <c r="H851" s="359">
        <f>'DRE + DCF'!$W$32</f>
        <v>81081.931703745853</v>
      </c>
      <c r="I851" s="359">
        <f>-H851*('DRE + DCF'!$V$33+K851)/'DRE + DCF'!$V$33</f>
        <v>-90858.801614444121</v>
      </c>
      <c r="J851" s="359">
        <f>-'DRE + DCF'!$V$56*L851</f>
        <v>-1188924.4255577971</v>
      </c>
      <c r="K851" s="360">
        <f>(1+L851)/(1+Ke!$O$12)-1</f>
        <v>2.0000000000000018E-2</v>
      </c>
      <c r="L851" s="360">
        <f>'DRE + DCF'!$Y$31</f>
        <v>7.3550000000000004E-2</v>
      </c>
      <c r="M851" s="361">
        <f>(1+D851)^((5-Dashboard!$F$9)*3/12)</f>
        <v>1.1161928211148975</v>
      </c>
      <c r="N851" s="361">
        <f t="shared" ref="N851:V851" si="866">M851*(1+$D851)</f>
        <v>1.2923838579278817</v>
      </c>
      <c r="O851" s="361">
        <f t="shared" si="866"/>
        <v>1.496386649901795</v>
      </c>
      <c r="P851" s="361">
        <f t="shared" si="866"/>
        <v>1.7325912825887901</v>
      </c>
      <c r="Q851" s="361">
        <f t="shared" si="866"/>
        <v>2.0060808165454267</v>
      </c>
      <c r="R851" s="361">
        <f t="shared" si="866"/>
        <v>2.3227406734371181</v>
      </c>
      <c r="S851" s="361">
        <f t="shared" si="866"/>
        <v>2.689385288739162</v>
      </c>
      <c r="T851" s="361">
        <f t="shared" si="866"/>
        <v>3.1139047565666331</v>
      </c>
      <c r="U851" s="361">
        <f t="shared" si="866"/>
        <v>3.6054346223906695</v>
      </c>
      <c r="V851" s="362">
        <f t="shared" si="866"/>
        <v>4.1745524775350287</v>
      </c>
      <c r="X851" s="351"/>
    </row>
    <row r="852" spans="3:24" ht="24.75" customHeight="1" x14ac:dyDescent="0.3">
      <c r="C852" s="353">
        <f>ABS(E852-Dashboard!$F$14)</f>
        <v>59.328067923017912</v>
      </c>
      <c r="D852" s="350">
        <f t="shared" si="861"/>
        <v>0.15794999999999784</v>
      </c>
      <c r="E852" s="359" cm="1">
        <f t="array" ref="E852">1000*SUM('DRE + DCF'!$L$36/M852,'DRE + DCF'!$N$36:$V$36/N852:V852,F852/V852)/Dashboard!$F$11</f>
        <v>156.31806792301791</v>
      </c>
      <c r="F852" s="359">
        <f t="shared" si="859"/>
        <v>19617826.940608829</v>
      </c>
      <c r="G852" s="359">
        <f>'DRE + DCF'!$W$31</f>
        <v>2791623.3540418856</v>
      </c>
      <c r="H852" s="359">
        <f>'DRE + DCF'!$W$32</f>
        <v>81081.931703745853</v>
      </c>
      <c r="I852" s="359">
        <f>-H852*('DRE + DCF'!$V$33+K852)/'DRE + DCF'!$V$33</f>
        <v>-90858.801614444121</v>
      </c>
      <c r="J852" s="359">
        <f>-'DRE + DCF'!$V$56*L852</f>
        <v>-1188924.4255577971</v>
      </c>
      <c r="K852" s="360">
        <f>(1+L852)/(1+Ke!$O$12)-1</f>
        <v>2.0000000000000018E-2</v>
      </c>
      <c r="L852" s="360">
        <f>'DRE + DCF'!$Y$31</f>
        <v>7.3550000000000004E-2</v>
      </c>
      <c r="M852" s="361">
        <f>(1+D852)^((5-Dashboard!$F$9)*3/12)</f>
        <v>1.1162651219810247</v>
      </c>
      <c r="N852" s="361">
        <f t="shared" ref="N852:V852" si="867">M852*(1+$D852)</f>
        <v>1.2925791979979251</v>
      </c>
      <c r="O852" s="361">
        <f t="shared" si="867"/>
        <v>1.4967420823216946</v>
      </c>
      <c r="P852" s="361">
        <f t="shared" si="867"/>
        <v>1.733152494224403</v>
      </c>
      <c r="Q852" s="361">
        <f t="shared" si="867"/>
        <v>2.0069039306871437</v>
      </c>
      <c r="R852" s="361">
        <f t="shared" si="867"/>
        <v>2.3238944065391736</v>
      </c>
      <c r="S852" s="361">
        <f t="shared" si="867"/>
        <v>2.6909535280520309</v>
      </c>
      <c r="T852" s="361">
        <f t="shared" si="867"/>
        <v>3.1159896378078433</v>
      </c>
      <c r="U852" s="361">
        <f t="shared" si="867"/>
        <v>3.6081602010995852</v>
      </c>
      <c r="V852" s="362">
        <f t="shared" si="867"/>
        <v>4.1780691048632566</v>
      </c>
      <c r="X852" s="351"/>
    </row>
    <row r="853" spans="3:24" ht="24.75" customHeight="1" x14ac:dyDescent="0.3">
      <c r="C853" s="353">
        <f>ABS(E853-Dashboard!$F$14)</f>
        <v>59.147980879881786</v>
      </c>
      <c r="D853" s="350">
        <f t="shared" si="861"/>
        <v>0.15804999999999783</v>
      </c>
      <c r="E853" s="359" cm="1">
        <f t="array" ref="E853">1000*SUM('DRE + DCF'!$L$36/M853,'DRE + DCF'!$N$36:$V$36/N853:V853,F853/V853)/Dashboard!$F$11</f>
        <v>156.13798087988178</v>
      </c>
      <c r="F853" s="359">
        <f t="shared" si="859"/>
        <v>19599835.272344962</v>
      </c>
      <c r="G853" s="359">
        <f>'DRE + DCF'!$W$31</f>
        <v>2791623.3540418856</v>
      </c>
      <c r="H853" s="359">
        <f>'DRE + DCF'!$W$32</f>
        <v>81081.931703745853</v>
      </c>
      <c r="I853" s="359">
        <f>-H853*('DRE + DCF'!$V$33+K853)/'DRE + DCF'!$V$33</f>
        <v>-90858.801614444121</v>
      </c>
      <c r="J853" s="359">
        <f>-'DRE + DCF'!$V$56*L853</f>
        <v>-1188924.4255577971</v>
      </c>
      <c r="K853" s="360">
        <f>(1+L853)/(1+Ke!$O$12)-1</f>
        <v>2.0000000000000018E-2</v>
      </c>
      <c r="L853" s="360">
        <f>'DRE + DCF'!$Y$31</f>
        <v>7.3550000000000004E-2</v>
      </c>
      <c r="M853" s="361">
        <f>(1+D853)^((5-Dashboard!$F$9)*3/12)</f>
        <v>1.1163374212862021</v>
      </c>
      <c r="N853" s="361">
        <f t="shared" ref="N853:V853" si="868">M853*(1+$D853)</f>
        <v>1.2927745507204838</v>
      </c>
      <c r="O853" s="361">
        <f t="shared" si="868"/>
        <v>1.4970975684618533</v>
      </c>
      <c r="P853" s="361">
        <f t="shared" si="868"/>
        <v>1.733713839157246</v>
      </c>
      <c r="Q853" s="361">
        <f t="shared" si="868"/>
        <v>2.007727311436045</v>
      </c>
      <c r="R853" s="361">
        <f t="shared" si="868"/>
        <v>2.3250486130085073</v>
      </c>
      <c r="S853" s="361">
        <f t="shared" si="868"/>
        <v>2.6925225462944966</v>
      </c>
      <c r="T853" s="361">
        <f t="shared" si="868"/>
        <v>3.1180757347363359</v>
      </c>
      <c r="U853" s="361">
        <f t="shared" si="868"/>
        <v>3.6108876046114071</v>
      </c>
      <c r="V853" s="362">
        <f t="shared" si="868"/>
        <v>4.1815883905202318</v>
      </c>
      <c r="X853" s="351"/>
    </row>
    <row r="854" spans="3:24" ht="24.75" customHeight="1" x14ac:dyDescent="0.3">
      <c r="C854" s="353">
        <f>ABS(E854-Dashboard!$F$14)</f>
        <v>58.968263351493434</v>
      </c>
      <c r="D854" s="350">
        <f t="shared" si="861"/>
        <v>0.15814999999999782</v>
      </c>
      <c r="E854" s="359" cm="1">
        <f t="array" ref="E854">1000*SUM('DRE + DCF'!$L$36/M854,'DRE + DCF'!$N$36:$V$36/N854:V854,F854/V854)/Dashboard!$F$11</f>
        <v>155.95826335149343</v>
      </c>
      <c r="F854" s="359">
        <f t="shared" si="859"/>
        <v>19581879.538120579</v>
      </c>
      <c r="G854" s="359">
        <f>'DRE + DCF'!$W$31</f>
        <v>2791623.3540418856</v>
      </c>
      <c r="H854" s="359">
        <f>'DRE + DCF'!$W$32</f>
        <v>81081.931703745853</v>
      </c>
      <c r="I854" s="359">
        <f>-H854*('DRE + DCF'!$V$33+K854)/'DRE + DCF'!$V$33</f>
        <v>-90858.801614444121</v>
      </c>
      <c r="J854" s="359">
        <f>-'DRE + DCF'!$V$56*L854</f>
        <v>-1188924.4255577971</v>
      </c>
      <c r="K854" s="360">
        <f>(1+L854)/(1+Ke!$O$12)-1</f>
        <v>2.0000000000000018E-2</v>
      </c>
      <c r="L854" s="360">
        <f>'DRE + DCF'!$Y$31</f>
        <v>7.3550000000000004E-2</v>
      </c>
      <c r="M854" s="361">
        <f>(1+D854)^((5-Dashboard!$F$9)*3/12)</f>
        <v>1.1164097190305977</v>
      </c>
      <c r="N854" s="361">
        <f t="shared" ref="N854:V854" si="869">M854*(1+$D854)</f>
        <v>1.2929699160952843</v>
      </c>
      <c r="O854" s="361">
        <f t="shared" si="869"/>
        <v>1.4974531083257507</v>
      </c>
      <c r="P854" s="361">
        <f t="shared" si="869"/>
        <v>1.734275317407465</v>
      </c>
      <c r="Q854" s="361">
        <f t="shared" si="869"/>
        <v>2.0085509588554515</v>
      </c>
      <c r="R854" s="361">
        <f t="shared" si="869"/>
        <v>2.3262032929984366</v>
      </c>
      <c r="S854" s="361">
        <f t="shared" si="869"/>
        <v>2.6940923437861342</v>
      </c>
      <c r="T854" s="361">
        <f t="shared" si="869"/>
        <v>3.1201630479559053</v>
      </c>
      <c r="U854" s="361">
        <f t="shared" si="869"/>
        <v>3.6136168339901249</v>
      </c>
      <c r="V854" s="362">
        <f t="shared" si="869"/>
        <v>4.1851103362856552</v>
      </c>
      <c r="X854" s="351"/>
    </row>
    <row r="855" spans="3:24" ht="24.75" customHeight="1" x14ac:dyDescent="0.3">
      <c r="C855" s="353">
        <f>ABS(E855-Dashboard!$F$14)</f>
        <v>58.788914198626642</v>
      </c>
      <c r="D855" s="350">
        <f t="shared" si="861"/>
        <v>0.15824999999999781</v>
      </c>
      <c r="E855" s="359" cm="1">
        <f t="array" ref="E855">1000*SUM('DRE + DCF'!$L$36/M855,'DRE + DCF'!$N$36:$V$36/N855:V855,F855/V855)/Dashboard!$F$11</f>
        <v>155.77891419862664</v>
      </c>
      <c r="F855" s="359">
        <f t="shared" si="859"/>
        <v>19563959.623156503</v>
      </c>
      <c r="G855" s="359">
        <f>'DRE + DCF'!$W$31</f>
        <v>2791623.3540418856</v>
      </c>
      <c r="H855" s="359">
        <f>'DRE + DCF'!$W$32</f>
        <v>81081.931703745853</v>
      </c>
      <c r="I855" s="359">
        <f>-H855*('DRE + DCF'!$V$33+K855)/'DRE + DCF'!$V$33</f>
        <v>-90858.801614444121</v>
      </c>
      <c r="J855" s="359">
        <f>-'DRE + DCF'!$V$56*L855</f>
        <v>-1188924.4255577971</v>
      </c>
      <c r="K855" s="360">
        <f>(1+L855)/(1+Ke!$O$12)-1</f>
        <v>2.0000000000000018E-2</v>
      </c>
      <c r="L855" s="360">
        <f>'DRE + DCF'!$Y$31</f>
        <v>7.3550000000000004E-2</v>
      </c>
      <c r="M855" s="361">
        <f>(1+D855)^((5-Dashboard!$F$9)*3/12)</f>
        <v>1.1164820152143802</v>
      </c>
      <c r="N855" s="361">
        <f t="shared" ref="N855:V855" si="870">M855*(1+$D855)</f>
        <v>1.2931652941220533</v>
      </c>
      <c r="O855" s="361">
        <f t="shared" si="870"/>
        <v>1.4978087019168653</v>
      </c>
      <c r="P855" s="361">
        <f t="shared" si="870"/>
        <v>1.7348369289952059</v>
      </c>
      <c r="Q855" s="361">
        <f t="shared" si="870"/>
        <v>2.0093748730086936</v>
      </c>
      <c r="R855" s="361">
        <f t="shared" si="870"/>
        <v>2.327358446662315</v>
      </c>
      <c r="S855" s="361">
        <f t="shared" si="870"/>
        <v>2.6956629208466212</v>
      </c>
      <c r="T855" s="361">
        <f t="shared" si="870"/>
        <v>3.1222515780705931</v>
      </c>
      <c r="U855" s="361">
        <f t="shared" si="870"/>
        <v>3.6163478903002573</v>
      </c>
      <c r="V855" s="362">
        <f t="shared" si="870"/>
        <v>4.188634943940265</v>
      </c>
      <c r="X855" s="351"/>
    </row>
    <row r="856" spans="3:24" ht="24.75" customHeight="1" x14ac:dyDescent="0.3">
      <c r="C856" s="353">
        <f>ABS(E856-Dashboard!$F$14)</f>
        <v>58.609932286919943</v>
      </c>
      <c r="D856" s="350">
        <f t="shared" si="861"/>
        <v>0.1583499999999978</v>
      </c>
      <c r="E856" s="359" cm="1">
        <f t="array" ref="E856">1000*SUM('DRE + DCF'!$L$36/M856,'DRE + DCF'!$N$36:$V$36/N856:V856,F856/V856)/Dashboard!$F$11</f>
        <v>155.59993228691994</v>
      </c>
      <c r="F856" s="359">
        <f t="shared" si="859"/>
        <v>19546075.41318344</v>
      </c>
      <c r="G856" s="359">
        <f>'DRE + DCF'!$W$31</f>
        <v>2791623.3540418856</v>
      </c>
      <c r="H856" s="359">
        <f>'DRE + DCF'!$W$32</f>
        <v>81081.931703745853</v>
      </c>
      <c r="I856" s="359">
        <f>-H856*('DRE + DCF'!$V$33+K856)/'DRE + DCF'!$V$33</f>
        <v>-90858.801614444121</v>
      </c>
      <c r="J856" s="359">
        <f>-'DRE + DCF'!$V$56*L856</f>
        <v>-1188924.4255577971</v>
      </c>
      <c r="K856" s="360">
        <f>(1+L856)/(1+Ke!$O$12)-1</f>
        <v>2.0000000000000018E-2</v>
      </c>
      <c r="L856" s="360">
        <f>'DRE + DCF'!$Y$31</f>
        <v>7.3550000000000004E-2</v>
      </c>
      <c r="M856" s="361">
        <f>(1+D856)^((5-Dashboard!$F$9)*3/12)</f>
        <v>1.1165543098377182</v>
      </c>
      <c r="N856" s="361">
        <f t="shared" ref="N856:V856" si="871">M856*(1+$D856)</f>
        <v>1.2933606848005184</v>
      </c>
      <c r="O856" s="361">
        <f t="shared" si="871"/>
        <v>1.4981643492386776</v>
      </c>
      <c r="P856" s="361">
        <f t="shared" si="871"/>
        <v>1.7353986739406189</v>
      </c>
      <c r="Q856" s="361">
        <f t="shared" si="871"/>
        <v>2.0101990539591119</v>
      </c>
      <c r="R856" s="361">
        <f t="shared" si="871"/>
        <v>2.3285140741535328</v>
      </c>
      <c r="S856" s="361">
        <f t="shared" si="871"/>
        <v>2.6972342777957397</v>
      </c>
      <c r="T856" s="361">
        <f t="shared" si="871"/>
        <v>3.1243413256846888</v>
      </c>
      <c r="U856" s="361">
        <f t="shared" si="871"/>
        <v>3.6190807746068523</v>
      </c>
      <c r="V856" s="362">
        <f t="shared" si="871"/>
        <v>4.1921622152658395</v>
      </c>
      <c r="X856" s="351"/>
    </row>
    <row r="857" spans="3:24" ht="24.75" customHeight="1" x14ac:dyDescent="0.3">
      <c r="C857" s="353">
        <f>ABS(E857-Dashboard!$F$14)</f>
        <v>58.431316486849781</v>
      </c>
      <c r="D857" s="350">
        <f t="shared" si="861"/>
        <v>0.15844999999999779</v>
      </c>
      <c r="E857" s="359" cm="1">
        <f t="array" ref="E857">1000*SUM('DRE + DCF'!$L$36/M857,'DRE + DCF'!$N$36:$V$36/N857:V857,F857/V857)/Dashboard!$F$11</f>
        <v>155.42131648684978</v>
      </c>
      <c r="F857" s="359">
        <f t="shared" si="859"/>
        <v>19528226.794439059</v>
      </c>
      <c r="G857" s="359">
        <f>'DRE + DCF'!$W$31</f>
        <v>2791623.3540418856</v>
      </c>
      <c r="H857" s="359">
        <f>'DRE + DCF'!$W$32</f>
        <v>81081.931703745853</v>
      </c>
      <c r="I857" s="359">
        <f>-H857*('DRE + DCF'!$V$33+K857)/'DRE + DCF'!$V$33</f>
        <v>-90858.801614444121</v>
      </c>
      <c r="J857" s="359">
        <f>-'DRE + DCF'!$V$56*L857</f>
        <v>-1188924.4255577971</v>
      </c>
      <c r="K857" s="360">
        <f>(1+L857)/(1+Ke!$O$12)-1</f>
        <v>2.0000000000000018E-2</v>
      </c>
      <c r="L857" s="360">
        <f>'DRE + DCF'!$Y$31</f>
        <v>7.3550000000000004E-2</v>
      </c>
      <c r="M857" s="361">
        <f>(1+D857)^((5-Dashboard!$F$9)*3/12)</f>
        <v>1.1166266029007796</v>
      </c>
      <c r="N857" s="361">
        <f t="shared" ref="N857:V857" si="872">M857*(1+$D857)</f>
        <v>1.2935560881304056</v>
      </c>
      <c r="O857" s="361">
        <f t="shared" si="872"/>
        <v>1.4985200502946654</v>
      </c>
      <c r="P857" s="361">
        <f t="shared" si="872"/>
        <v>1.7359605522638517</v>
      </c>
      <c r="Q857" s="361">
        <f t="shared" si="872"/>
        <v>2.0110235017700551</v>
      </c>
      <c r="R857" s="361">
        <f t="shared" si="872"/>
        <v>2.3296701756255156</v>
      </c>
      <c r="S857" s="361">
        <f t="shared" si="872"/>
        <v>2.6988064149533733</v>
      </c>
      <c r="T857" s="361">
        <f t="shared" si="872"/>
        <v>3.1264322914027294</v>
      </c>
      <c r="U857" s="361">
        <f t="shared" si="872"/>
        <v>3.6218154879754847</v>
      </c>
      <c r="V857" s="362">
        <f t="shared" si="872"/>
        <v>4.1956921520451917</v>
      </c>
      <c r="X857" s="351"/>
    </row>
    <row r="858" spans="3:24" ht="24.75" customHeight="1" x14ac:dyDescent="0.3">
      <c r="C858" s="353">
        <f>ABS(E858-Dashboard!$F$14)</f>
        <v>58.253065673703546</v>
      </c>
      <c r="D858" s="350">
        <f t="shared" si="861"/>
        <v>0.15854999999999778</v>
      </c>
      <c r="E858" s="359" cm="1">
        <f t="array" ref="E858">1000*SUM('DRE + DCF'!$L$36/M858,'DRE + DCF'!$N$36:$V$36/N858:V858,F858/V858)/Dashboard!$F$11</f>
        <v>155.24306567370354</v>
      </c>
      <c r="F858" s="359">
        <f t="shared" si="859"/>
        <v>19510413.653665137</v>
      </c>
      <c r="G858" s="359">
        <f>'DRE + DCF'!$W$31</f>
        <v>2791623.3540418856</v>
      </c>
      <c r="H858" s="359">
        <f>'DRE + DCF'!$W$32</f>
        <v>81081.931703745853</v>
      </c>
      <c r="I858" s="359">
        <f>-H858*('DRE + DCF'!$V$33+K858)/'DRE + DCF'!$V$33</f>
        <v>-90858.801614444121</v>
      </c>
      <c r="J858" s="359">
        <f>-'DRE + DCF'!$V$56*L858</f>
        <v>-1188924.4255577971</v>
      </c>
      <c r="K858" s="360">
        <f>(1+L858)/(1+Ke!$O$12)-1</f>
        <v>2.0000000000000018E-2</v>
      </c>
      <c r="L858" s="360">
        <f>'DRE + DCF'!$Y$31</f>
        <v>7.3550000000000004E-2</v>
      </c>
      <c r="M858" s="361">
        <f>(1+D858)^((5-Dashboard!$F$9)*3/12)</f>
        <v>1.116698894403733</v>
      </c>
      <c r="N858" s="361">
        <f t="shared" ref="N858:V858" si="873">M858*(1+$D858)</f>
        <v>1.2937515041114425</v>
      </c>
      <c r="O858" s="361">
        <f t="shared" si="873"/>
        <v>1.4988758050883086</v>
      </c>
      <c r="P858" s="361">
        <f t="shared" si="873"/>
        <v>1.7365225639850566</v>
      </c>
      <c r="Q858" s="361">
        <f t="shared" si="873"/>
        <v>2.0118482165048834</v>
      </c>
      <c r="R858" s="361">
        <f t="shared" si="873"/>
        <v>2.330826751231728</v>
      </c>
      <c r="S858" s="361">
        <f t="shared" si="873"/>
        <v>2.7003793326395131</v>
      </c>
      <c r="T858" s="361">
        <f t="shared" si="873"/>
        <v>3.1285244758295017</v>
      </c>
      <c r="U858" s="361">
        <f t="shared" si="873"/>
        <v>3.6245520314722621</v>
      </c>
      <c r="V858" s="362">
        <f t="shared" si="873"/>
        <v>4.1992247560621809</v>
      </c>
      <c r="X858" s="351"/>
    </row>
    <row r="859" spans="3:24" ht="24.75" customHeight="1" x14ac:dyDescent="0.3">
      <c r="C859" s="353">
        <f>ABS(E859-Dashboard!$F$14)</f>
        <v>58.075178727553308</v>
      </c>
      <c r="D859" s="350">
        <f t="shared" si="861"/>
        <v>0.15864999999999777</v>
      </c>
      <c r="E859" s="359" cm="1">
        <f t="array" ref="E859">1000*SUM('DRE + DCF'!$L$36/M859,'DRE + DCF'!$N$36:$V$36/N859:V859,F859/V859)/Dashboard!$F$11</f>
        <v>155.0651787275533</v>
      </c>
      <c r="F859" s="359">
        <f t="shared" si="859"/>
        <v>19492635.878104687</v>
      </c>
      <c r="G859" s="359">
        <f>'DRE + DCF'!$W$31</f>
        <v>2791623.3540418856</v>
      </c>
      <c r="H859" s="359">
        <f>'DRE + DCF'!$W$32</f>
        <v>81081.931703745853</v>
      </c>
      <c r="I859" s="359">
        <f>-H859*('DRE + DCF'!$V$33+K859)/'DRE + DCF'!$V$33</f>
        <v>-90858.801614444121</v>
      </c>
      <c r="J859" s="359">
        <f>-'DRE + DCF'!$V$56*L859</f>
        <v>-1188924.4255577971</v>
      </c>
      <c r="K859" s="360">
        <f>(1+L859)/(1+Ke!$O$12)-1</f>
        <v>2.0000000000000018E-2</v>
      </c>
      <c r="L859" s="360">
        <f>'DRE + DCF'!$Y$31</f>
        <v>7.3550000000000004E-2</v>
      </c>
      <c r="M859" s="361">
        <f>(1+D859)^((5-Dashboard!$F$9)*3/12)</f>
        <v>1.1167711843467469</v>
      </c>
      <c r="N859" s="361">
        <f t="shared" ref="N859:V859" si="874">M859*(1+$D859)</f>
        <v>1.2939469327433557</v>
      </c>
      <c r="O859" s="361">
        <f t="shared" si="874"/>
        <v>1.4992316136230861</v>
      </c>
      <c r="P859" s="361">
        <f t="shared" si="874"/>
        <v>1.7370847091243853</v>
      </c>
      <c r="Q859" s="361">
        <f t="shared" si="874"/>
        <v>2.012673198226965</v>
      </c>
      <c r="R859" s="361">
        <f t="shared" si="874"/>
        <v>2.3319838011256686</v>
      </c>
      <c r="S859" s="361">
        <f t="shared" si="874"/>
        <v>2.7019530311742508</v>
      </c>
      <c r="T859" s="361">
        <f t="shared" si="874"/>
        <v>3.1306178795700395</v>
      </c>
      <c r="U859" s="361">
        <f t="shared" si="874"/>
        <v>3.6272904061638189</v>
      </c>
      <c r="V859" s="362">
        <f t="shared" si="874"/>
        <v>4.2027600291017002</v>
      </c>
      <c r="X859" s="351"/>
    </row>
    <row r="860" spans="3:24" ht="24.75" customHeight="1" x14ac:dyDescent="0.3">
      <c r="C860" s="353">
        <f>ABS(E860-Dashboard!$F$14)</f>
        <v>57.897654533229073</v>
      </c>
      <c r="D860" s="350">
        <f t="shared" si="861"/>
        <v>0.15874999999999775</v>
      </c>
      <c r="E860" s="359" cm="1">
        <f t="array" ref="E860">1000*SUM('DRE + DCF'!$L$36/M860,'DRE + DCF'!$N$36:$V$36/N860:V860,F860/V860)/Dashboard!$F$11</f>
        <v>154.88765453322907</v>
      </c>
      <c r="F860" s="359">
        <f t="shared" si="859"/>
        <v>19474893.355499096</v>
      </c>
      <c r="G860" s="359">
        <f>'DRE + DCF'!$W$31</f>
        <v>2791623.3540418856</v>
      </c>
      <c r="H860" s="359">
        <f>'DRE + DCF'!$W$32</f>
        <v>81081.931703745853</v>
      </c>
      <c r="I860" s="359">
        <f>-H860*('DRE + DCF'!$V$33+K860)/'DRE + DCF'!$V$33</f>
        <v>-90858.801614444121</v>
      </c>
      <c r="J860" s="359">
        <f>-'DRE + DCF'!$V$56*L860</f>
        <v>-1188924.4255577971</v>
      </c>
      <c r="K860" s="360">
        <f>(1+L860)/(1+Ke!$O$12)-1</f>
        <v>2.0000000000000018E-2</v>
      </c>
      <c r="L860" s="360">
        <f>'DRE + DCF'!$Y$31</f>
        <v>7.3550000000000004E-2</v>
      </c>
      <c r="M860" s="361">
        <f>(1+D860)^((5-Dashboard!$F$9)*3/12)</f>
        <v>1.1168434727299896</v>
      </c>
      <c r="N860" s="361">
        <f t="shared" ref="N860:V860" si="875">M860*(1+$D860)</f>
        <v>1.2941423740258728</v>
      </c>
      <c r="O860" s="361">
        <f t="shared" si="875"/>
        <v>1.4995874759024772</v>
      </c>
      <c r="P860" s="361">
        <f t="shared" si="875"/>
        <v>1.737646987701992</v>
      </c>
      <c r="Q860" s="361">
        <f t="shared" si="875"/>
        <v>2.0134984469996793</v>
      </c>
      <c r="R860" s="361">
        <f t="shared" si="875"/>
        <v>2.3331413254608737</v>
      </c>
      <c r="S860" s="361">
        <f t="shared" si="875"/>
        <v>2.7035275108777821</v>
      </c>
      <c r="T860" s="361">
        <f t="shared" si="875"/>
        <v>3.1327125032296239</v>
      </c>
      <c r="U860" s="361">
        <f t="shared" si="875"/>
        <v>3.6300306131173197</v>
      </c>
      <c r="V860" s="362">
        <f t="shared" si="875"/>
        <v>4.2062979729496863</v>
      </c>
      <c r="X860" s="351"/>
    </row>
    <row r="861" spans="3:24" ht="24.75" customHeight="1" x14ac:dyDescent="0.3">
      <c r="C861" s="353">
        <f>ABS(E861-Dashboard!$F$14)</f>
        <v>57.72049198029292</v>
      </c>
      <c r="D861" s="350">
        <f t="shared" si="861"/>
        <v>0.15884999999999774</v>
      </c>
      <c r="E861" s="359" cm="1">
        <f t="array" ref="E861">1000*SUM('DRE + DCF'!$L$36/M861,'DRE + DCF'!$N$36:$V$36/N861:V861,F861/V861)/Dashboard!$F$11</f>
        <v>154.71049198029291</v>
      </c>
      <c r="F861" s="359">
        <f t="shared" si="859"/>
        <v>19457185.974085327</v>
      </c>
      <c r="G861" s="359">
        <f>'DRE + DCF'!$W$31</f>
        <v>2791623.3540418856</v>
      </c>
      <c r="H861" s="359">
        <f>'DRE + DCF'!$W$32</f>
        <v>81081.931703745853</v>
      </c>
      <c r="I861" s="359">
        <f>-H861*('DRE + DCF'!$V$33+K861)/'DRE + DCF'!$V$33</f>
        <v>-90858.801614444121</v>
      </c>
      <c r="J861" s="359">
        <f>-'DRE + DCF'!$V$56*L861</f>
        <v>-1188924.4255577971</v>
      </c>
      <c r="K861" s="360">
        <f>(1+L861)/(1+Ke!$O$12)-1</f>
        <v>2.0000000000000018E-2</v>
      </c>
      <c r="L861" s="360">
        <f>'DRE + DCF'!$Y$31</f>
        <v>7.3550000000000004E-2</v>
      </c>
      <c r="M861" s="361">
        <f>(1+D861)^((5-Dashboard!$F$9)*3/12)</f>
        <v>1.116915759553629</v>
      </c>
      <c r="N861" s="361">
        <f t="shared" ref="N861:V861" si="876">M861*(1+$D861)</f>
        <v>1.2943378279587203</v>
      </c>
      <c r="O861" s="361">
        <f t="shared" si="876"/>
        <v>1.4999433919299601</v>
      </c>
      <c r="P861" s="361">
        <f t="shared" si="876"/>
        <v>1.7382093997380308</v>
      </c>
      <c r="Q861" s="361">
        <f t="shared" si="876"/>
        <v>2.0143239628864129</v>
      </c>
      <c r="R861" s="361">
        <f t="shared" si="876"/>
        <v>2.3342993243909151</v>
      </c>
      <c r="S861" s="361">
        <f t="shared" si="876"/>
        <v>2.7051027720704068</v>
      </c>
      <c r="T861" s="361">
        <f t="shared" si="876"/>
        <v>3.1348083474137849</v>
      </c>
      <c r="U861" s="361">
        <f t="shared" si="876"/>
        <v>3.6327726534004574</v>
      </c>
      <c r="V861" s="362">
        <f t="shared" si="876"/>
        <v>4.2098385893931116</v>
      </c>
      <c r="X861" s="351"/>
    </row>
    <row r="862" spans="3:24" ht="24.75" customHeight="1" x14ac:dyDescent="0.3">
      <c r="C862" s="353">
        <f>ABS(E862-Dashboard!$F$14)</f>
        <v>57.543689963012767</v>
      </c>
      <c r="D862" s="350">
        <f t="shared" si="861"/>
        <v>0.15894999999999773</v>
      </c>
      <c r="E862" s="359" cm="1">
        <f t="array" ref="E862">1000*SUM('DRE + DCF'!$L$36/M862,'DRE + DCF'!$N$36:$V$36/N862:V862,F862/V862)/Dashboard!$F$11</f>
        <v>154.53368996301276</v>
      </c>
      <c r="F862" s="359">
        <f t="shared" si="859"/>
        <v>19439513.622593112</v>
      </c>
      <c r="G862" s="359">
        <f>'DRE + DCF'!$W$31</f>
        <v>2791623.3540418856</v>
      </c>
      <c r="H862" s="359">
        <f>'DRE + DCF'!$W$32</f>
        <v>81081.931703745853</v>
      </c>
      <c r="I862" s="359">
        <f>-H862*('DRE + DCF'!$V$33+K862)/'DRE + DCF'!$V$33</f>
        <v>-90858.801614444121</v>
      </c>
      <c r="J862" s="359">
        <f>-'DRE + DCF'!$V$56*L862</f>
        <v>-1188924.4255577971</v>
      </c>
      <c r="K862" s="360">
        <f>(1+L862)/(1+Ke!$O$12)-1</f>
        <v>2.0000000000000018E-2</v>
      </c>
      <c r="L862" s="360">
        <f>'DRE + DCF'!$Y$31</f>
        <v>7.3550000000000004E-2</v>
      </c>
      <c r="M862" s="361">
        <f>(1+D862)^((5-Dashboard!$F$9)*3/12)</f>
        <v>1.1169880448178335</v>
      </c>
      <c r="N862" s="361">
        <f t="shared" ref="N862:V862" si="877">M862*(1+$D862)</f>
        <v>1.2945332945416257</v>
      </c>
      <c r="O862" s="361">
        <f t="shared" si="877"/>
        <v>1.5002993617090141</v>
      </c>
      <c r="P862" s="361">
        <f t="shared" si="877"/>
        <v>1.7387719452526584</v>
      </c>
      <c r="Q862" s="361">
        <f t="shared" si="877"/>
        <v>2.0151497459505645</v>
      </c>
      <c r="R862" s="361">
        <f t="shared" si="877"/>
        <v>2.335457798069402</v>
      </c>
      <c r="S862" s="361">
        <f t="shared" si="877"/>
        <v>2.7066788150725283</v>
      </c>
      <c r="T862" s="361">
        <f t="shared" si="877"/>
        <v>3.1369054127283005</v>
      </c>
      <c r="U862" s="361">
        <f t="shared" si="877"/>
        <v>3.6355165280814568</v>
      </c>
      <c r="V862" s="362">
        <f t="shared" si="877"/>
        <v>4.2133818802199956</v>
      </c>
      <c r="X862" s="351"/>
    </row>
    <row r="863" spans="3:24" ht="24.75" customHeight="1" x14ac:dyDescent="0.3">
      <c r="C863" s="353">
        <f>ABS(E863-Dashboard!$F$14)</f>
        <v>57.367247380336565</v>
      </c>
      <c r="D863" s="350">
        <f t="shared" si="861"/>
        <v>0.15904999999999772</v>
      </c>
      <c r="E863" s="359" cm="1">
        <f t="array" ref="E863">1000*SUM('DRE + DCF'!$L$36/M863,'DRE + DCF'!$N$36:$V$36/N863:V863,F863/V863)/Dashboard!$F$11</f>
        <v>154.35724738033656</v>
      </c>
      <c r="F863" s="359">
        <f t="shared" si="859"/>
        <v>19421876.190242141</v>
      </c>
      <c r="G863" s="359">
        <f>'DRE + DCF'!$W$31</f>
        <v>2791623.3540418856</v>
      </c>
      <c r="H863" s="359">
        <f>'DRE + DCF'!$W$32</f>
        <v>81081.931703745853</v>
      </c>
      <c r="I863" s="359">
        <f>-H863*('DRE + DCF'!$V$33+K863)/'DRE + DCF'!$V$33</f>
        <v>-90858.801614444121</v>
      </c>
      <c r="J863" s="359">
        <f>-'DRE + DCF'!$V$56*L863</f>
        <v>-1188924.4255577971</v>
      </c>
      <c r="K863" s="360">
        <f>(1+L863)/(1+Ke!$O$12)-1</f>
        <v>2.0000000000000018E-2</v>
      </c>
      <c r="L863" s="360">
        <f>'DRE + DCF'!$Y$31</f>
        <v>7.3550000000000004E-2</v>
      </c>
      <c r="M863" s="361">
        <f>(1+D863)^((5-Dashboard!$F$9)*3/12)</f>
        <v>1.1170603285227714</v>
      </c>
      <c r="N863" s="361">
        <f t="shared" ref="N863:V863" si="878">M863*(1+$D863)</f>
        <v>1.2947287737743156</v>
      </c>
      <c r="O863" s="361">
        <f t="shared" si="878"/>
        <v>1.5006553852431175</v>
      </c>
      <c r="P863" s="361">
        <f t="shared" si="878"/>
        <v>1.7393346242660319</v>
      </c>
      <c r="Q863" s="361">
        <f t="shared" si="878"/>
        <v>2.0159757962555402</v>
      </c>
      <c r="R863" s="361">
        <f t="shared" si="878"/>
        <v>2.3366167466499794</v>
      </c>
      <c r="S863" s="361">
        <f t="shared" si="878"/>
        <v>2.7082556402046531</v>
      </c>
      <c r="T863" s="361">
        <f t="shared" si="878"/>
        <v>3.139003699779197</v>
      </c>
      <c r="U863" s="361">
        <f t="shared" si="878"/>
        <v>3.6382622382290712</v>
      </c>
      <c r="V863" s="362">
        <f t="shared" si="878"/>
        <v>4.216927847219397</v>
      </c>
      <c r="X863" s="351"/>
    </row>
    <row r="864" spans="3:24" ht="24.75" customHeight="1" x14ac:dyDescent="0.3">
      <c r="C864" s="353">
        <f>ABS(E864-Dashboard!$F$14)</f>
        <v>57.191163135866546</v>
      </c>
      <c r="D864" s="350">
        <f t="shared" si="861"/>
        <v>0.15914999999999771</v>
      </c>
      <c r="E864" s="359" cm="1">
        <f t="array" ref="E864">1000*SUM('DRE + DCF'!$L$36/M864,'DRE + DCF'!$N$36:$V$36/N864:V864,F864/V864)/Dashboard!$F$11</f>
        <v>154.18116313586654</v>
      </c>
      <c r="F864" s="359">
        <f t="shared" si="859"/>
        <v>19404273.566739317</v>
      </c>
      <c r="G864" s="359">
        <f>'DRE + DCF'!$W$31</f>
        <v>2791623.3540418856</v>
      </c>
      <c r="H864" s="359">
        <f>'DRE + DCF'!$W$32</f>
        <v>81081.931703745853</v>
      </c>
      <c r="I864" s="359">
        <f>-H864*('DRE + DCF'!$V$33+K864)/'DRE + DCF'!$V$33</f>
        <v>-90858.801614444121</v>
      </c>
      <c r="J864" s="359">
        <f>-'DRE + DCF'!$V$56*L864</f>
        <v>-1188924.4255577971</v>
      </c>
      <c r="K864" s="360">
        <f>(1+L864)/(1+Ke!$O$12)-1</f>
        <v>2.0000000000000018E-2</v>
      </c>
      <c r="L864" s="360">
        <f>'DRE + DCF'!$Y$31</f>
        <v>7.3550000000000004E-2</v>
      </c>
      <c r="M864" s="361">
        <f>(1+D864)^((5-Dashboard!$F$9)*3/12)</f>
        <v>1.1171326106686108</v>
      </c>
      <c r="N864" s="361">
        <f t="shared" ref="N864:V864" si="879">M864*(1+$D864)</f>
        <v>1.2949242656565176</v>
      </c>
      <c r="O864" s="361">
        <f t="shared" si="879"/>
        <v>1.5010114625357494</v>
      </c>
      <c r="P864" s="361">
        <f t="shared" si="879"/>
        <v>1.7398974367983104</v>
      </c>
      <c r="Q864" s="361">
        <f t="shared" si="879"/>
        <v>2.0168021138647574</v>
      </c>
      <c r="R864" s="361">
        <f t="shared" si="879"/>
        <v>2.3377761702863289</v>
      </c>
      <c r="S864" s="361">
        <f t="shared" si="879"/>
        <v>2.7098332477873925</v>
      </c>
      <c r="T864" s="361">
        <f t="shared" si="879"/>
        <v>3.14110320917275</v>
      </c>
      <c r="U864" s="361">
        <f t="shared" si="879"/>
        <v>3.641009784912586</v>
      </c>
      <c r="V864" s="362">
        <f t="shared" si="879"/>
        <v>4.2204764921814153</v>
      </c>
      <c r="X864" s="351"/>
    </row>
    <row r="865" spans="3:24" ht="24.75" customHeight="1" x14ac:dyDescent="0.3">
      <c r="C865" s="353">
        <f>ABS(E865-Dashboard!$F$14)</f>
        <v>57.015436137833817</v>
      </c>
      <c r="D865" s="350">
        <f t="shared" si="861"/>
        <v>0.1592499999999977</v>
      </c>
      <c r="E865" s="359" cm="1">
        <f t="array" ref="E865">1000*SUM('DRE + DCF'!$L$36/M865,'DRE + DCF'!$N$36:$V$36/N865:V865,F865/V865)/Dashboard!$F$11</f>
        <v>154.00543613783381</v>
      </c>
      <c r="F865" s="359">
        <f t="shared" si="859"/>
        <v>19386705.642276011</v>
      </c>
      <c r="G865" s="359">
        <f>'DRE + DCF'!$W$31</f>
        <v>2791623.3540418856</v>
      </c>
      <c r="H865" s="359">
        <f>'DRE + DCF'!$W$32</f>
        <v>81081.931703745853</v>
      </c>
      <c r="I865" s="359">
        <f>-H865*('DRE + DCF'!$V$33+K865)/'DRE + DCF'!$V$33</f>
        <v>-90858.801614444121</v>
      </c>
      <c r="J865" s="359">
        <f>-'DRE + DCF'!$V$56*L865</f>
        <v>-1188924.4255577971</v>
      </c>
      <c r="K865" s="360">
        <f>(1+L865)/(1+Ke!$O$12)-1</f>
        <v>2.0000000000000018E-2</v>
      </c>
      <c r="L865" s="360">
        <f>'DRE + DCF'!$Y$31</f>
        <v>7.3550000000000004E-2</v>
      </c>
      <c r="M865" s="361">
        <f>(1+D865)^((5-Dashboard!$F$9)*3/12)</f>
        <v>1.1172048912555197</v>
      </c>
      <c r="N865" s="361">
        <f t="shared" ref="N865:V865" si="880">M865*(1+$D865)</f>
        <v>1.2951197701879587</v>
      </c>
      <c r="O865" s="361">
        <f t="shared" si="880"/>
        <v>1.5013675935903881</v>
      </c>
      <c r="P865" s="361">
        <f t="shared" si="880"/>
        <v>1.7404603828696539</v>
      </c>
      <c r="Q865" s="361">
        <f t="shared" si="880"/>
        <v>2.0176286988416421</v>
      </c>
      <c r="R865" s="361">
        <f t="shared" si="880"/>
        <v>2.3389360691321688</v>
      </c>
      <c r="S865" s="361">
        <f t="shared" si="880"/>
        <v>2.711411638141461</v>
      </c>
      <c r="T865" s="361">
        <f t="shared" si="880"/>
        <v>3.1432039415154822</v>
      </c>
      <c r="U865" s="361">
        <f t="shared" si="880"/>
        <v>3.6437591692018154</v>
      </c>
      <c r="V865" s="362">
        <f t="shared" si="880"/>
        <v>4.2240278168971956</v>
      </c>
      <c r="X865" s="351"/>
    </row>
    <row r="866" spans="3:24" ht="24.75" customHeight="1" x14ac:dyDescent="0.3">
      <c r="C866" s="353">
        <f>ABS(E866-Dashboard!$F$14)</f>
        <v>56.840065299072947</v>
      </c>
      <c r="D866" s="350">
        <f t="shared" si="861"/>
        <v>0.15934999999999769</v>
      </c>
      <c r="E866" s="359" cm="1">
        <f t="array" ref="E866">1000*SUM('DRE + DCF'!$L$36/M866,'DRE + DCF'!$N$36:$V$36/N866:V866,F866/V866)/Dashboard!$F$11</f>
        <v>153.83006529907294</v>
      </c>
      <c r="F866" s="359">
        <f t="shared" si="859"/>
        <v>19369172.307525333</v>
      </c>
      <c r="G866" s="359">
        <f>'DRE + DCF'!$W$31</f>
        <v>2791623.3540418856</v>
      </c>
      <c r="H866" s="359">
        <f>'DRE + DCF'!$W$32</f>
        <v>81081.931703745853</v>
      </c>
      <c r="I866" s="359">
        <f>-H866*('DRE + DCF'!$V$33+K866)/'DRE + DCF'!$V$33</f>
        <v>-90858.801614444121</v>
      </c>
      <c r="J866" s="359">
        <f>-'DRE + DCF'!$V$56*L866</f>
        <v>-1188924.4255577971</v>
      </c>
      <c r="K866" s="360">
        <f>(1+L866)/(1+Ke!$O$12)-1</f>
        <v>2.0000000000000018E-2</v>
      </c>
      <c r="L866" s="360">
        <f>'DRE + DCF'!$Y$31</f>
        <v>7.3550000000000004E-2</v>
      </c>
      <c r="M866" s="361">
        <f>(1+D866)^((5-Dashboard!$F$9)*3/12)</f>
        <v>1.1172771702836664</v>
      </c>
      <c r="N866" s="361">
        <f t="shared" ref="N866:V866" si="881">M866*(1+$D866)</f>
        <v>1.295315287368366</v>
      </c>
      <c r="O866" s="361">
        <f t="shared" si="881"/>
        <v>1.501723778410512</v>
      </c>
      <c r="P866" s="361">
        <f t="shared" si="881"/>
        <v>1.7410234625002234</v>
      </c>
      <c r="Q866" s="361">
        <f t="shared" si="881"/>
        <v>2.0184555512496298</v>
      </c>
      <c r="R866" s="361">
        <f t="shared" si="881"/>
        <v>2.3400964433412534</v>
      </c>
      <c r="S866" s="361">
        <f t="shared" si="881"/>
        <v>2.7129908115876766</v>
      </c>
      <c r="T866" s="361">
        <f t="shared" si="881"/>
        <v>3.1453058974141666</v>
      </c>
      <c r="U866" s="361">
        <f t="shared" si="881"/>
        <v>3.6465103921671065</v>
      </c>
      <c r="V866" s="362">
        <f t="shared" si="881"/>
        <v>4.2275818231589266</v>
      </c>
      <c r="X866" s="351"/>
    </row>
    <row r="867" spans="3:24" ht="24.75" customHeight="1" x14ac:dyDescent="0.3">
      <c r="C867" s="353">
        <f>ABS(E867-Dashboard!$F$14)</f>
        <v>56.665049536996762</v>
      </c>
      <c r="D867" s="350">
        <f t="shared" si="861"/>
        <v>0.15944999999999768</v>
      </c>
      <c r="E867" s="359" cm="1">
        <f t="array" ref="E867">1000*SUM('DRE + DCF'!$L$36/M867,'DRE + DCF'!$N$36:$V$36/N867:V867,F867/V867)/Dashboard!$F$11</f>
        <v>153.65504953699676</v>
      </c>
      <c r="F867" s="359">
        <f t="shared" si="859"/>
        <v>19351673.453639403</v>
      </c>
      <c r="G867" s="359">
        <f>'DRE + DCF'!$W$31</f>
        <v>2791623.3540418856</v>
      </c>
      <c r="H867" s="359">
        <f>'DRE + DCF'!$W$32</f>
        <v>81081.931703745853</v>
      </c>
      <c r="I867" s="359">
        <f>-H867*('DRE + DCF'!$V$33+K867)/'DRE + DCF'!$V$33</f>
        <v>-90858.801614444121</v>
      </c>
      <c r="J867" s="359">
        <f>-'DRE + DCF'!$V$56*L867</f>
        <v>-1188924.4255577971</v>
      </c>
      <c r="K867" s="360">
        <f>(1+L867)/(1+Ke!$O$12)-1</f>
        <v>2.0000000000000018E-2</v>
      </c>
      <c r="L867" s="360">
        <f>'DRE + DCF'!$Y$31</f>
        <v>7.3550000000000004E-2</v>
      </c>
      <c r="M867" s="361">
        <f>(1+D867)^((5-Dashboard!$F$9)*3/12)</f>
        <v>1.1173494477532189</v>
      </c>
      <c r="N867" s="361">
        <f t="shared" ref="N867:V867" si="882">M867*(1+$D867)</f>
        <v>1.295510817197467</v>
      </c>
      <c r="O867" s="361">
        <f t="shared" si="882"/>
        <v>1.5020800169996</v>
      </c>
      <c r="P867" s="361">
        <f t="shared" si="882"/>
        <v>1.7415866757101828</v>
      </c>
      <c r="Q867" s="361">
        <f t="shared" si="882"/>
        <v>2.0192826711521672</v>
      </c>
      <c r="R867" s="361">
        <f t="shared" si="882"/>
        <v>2.3412572930673754</v>
      </c>
      <c r="S867" s="361">
        <f t="shared" si="882"/>
        <v>2.7145707684469631</v>
      </c>
      <c r="T867" s="361">
        <f t="shared" si="882"/>
        <v>3.147409077475825</v>
      </c>
      <c r="U867" s="361">
        <f t="shared" si="882"/>
        <v>3.6492634548793377</v>
      </c>
      <c r="V867" s="362">
        <f t="shared" si="882"/>
        <v>4.2311385127598395</v>
      </c>
      <c r="X867" s="351"/>
    </row>
    <row r="868" spans="3:24" ht="24.75" customHeight="1" x14ac:dyDescent="0.3">
      <c r="C868" s="353">
        <f>ABS(E868-Dashboard!$F$14)</f>
        <v>56.490387773571641</v>
      </c>
      <c r="D868" s="350">
        <f t="shared" si="861"/>
        <v>0.15954999999999767</v>
      </c>
      <c r="E868" s="359" cm="1">
        <f t="array" ref="E868">1000*SUM('DRE + DCF'!$L$36/M868,'DRE + DCF'!$N$36:$V$36/N868:V868,F868/V868)/Dashboard!$F$11</f>
        <v>153.48038777357164</v>
      </c>
      <c r="F868" s="359">
        <f t="shared" si="859"/>
        <v>19334208.972246684</v>
      </c>
      <c r="G868" s="359">
        <f>'DRE + DCF'!$W$31</f>
        <v>2791623.3540418856</v>
      </c>
      <c r="H868" s="359">
        <f>'DRE + DCF'!$W$32</f>
        <v>81081.931703745853</v>
      </c>
      <c r="I868" s="359">
        <f>-H868*('DRE + DCF'!$V$33+K868)/'DRE + DCF'!$V$33</f>
        <v>-90858.801614444121</v>
      </c>
      <c r="J868" s="359">
        <f>-'DRE + DCF'!$V$56*L868</f>
        <v>-1188924.4255577971</v>
      </c>
      <c r="K868" s="360">
        <f>(1+L868)/(1+Ke!$O$12)-1</f>
        <v>2.0000000000000018E-2</v>
      </c>
      <c r="L868" s="360">
        <f>'DRE + DCF'!$Y$31</f>
        <v>7.3550000000000004E-2</v>
      </c>
      <c r="M868" s="361">
        <f>(1+D868)^((5-Dashboard!$F$9)*3/12)</f>
        <v>1.1174217236643451</v>
      </c>
      <c r="N868" s="361">
        <f t="shared" ref="N868:V868" si="883">M868*(1+$D868)</f>
        <v>1.2957063596749887</v>
      </c>
      <c r="O868" s="361">
        <f t="shared" si="883"/>
        <v>1.5024363093611302</v>
      </c>
      <c r="P868" s="361">
        <f t="shared" si="883"/>
        <v>1.7421500225196949</v>
      </c>
      <c r="Q868" s="361">
        <f t="shared" si="883"/>
        <v>2.0201100586127079</v>
      </c>
      <c r="R868" s="361">
        <f t="shared" si="883"/>
        <v>2.3424186184643605</v>
      </c>
      <c r="S868" s="361">
        <f t="shared" si="883"/>
        <v>2.7161515090403436</v>
      </c>
      <c r="T868" s="361">
        <f t="shared" si="883"/>
        <v>3.1495134823077242</v>
      </c>
      <c r="U868" s="361">
        <f t="shared" si="883"/>
        <v>3.6520183584099142</v>
      </c>
      <c r="V868" s="362">
        <f t="shared" si="883"/>
        <v>4.2346978874942076</v>
      </c>
      <c r="X868" s="351"/>
    </row>
    <row r="869" spans="3:24" ht="24.75" customHeight="1" x14ac:dyDescent="0.3">
      <c r="C869" s="353">
        <f>ABS(E869-Dashboard!$F$14)</f>
        <v>56.316078935292168</v>
      </c>
      <c r="D869" s="350">
        <f t="shared" si="861"/>
        <v>0.15964999999999765</v>
      </c>
      <c r="E869" s="359" cm="1">
        <f t="array" ref="E869">1000*SUM('DRE + DCF'!$L$36/M869,'DRE + DCF'!$N$36:$V$36/N869:V869,F869/V869)/Dashboard!$F$11</f>
        <v>153.30607893529216</v>
      </c>
      <c r="F869" s="359">
        <f t="shared" si="859"/>
        <v>19316778.755449302</v>
      </c>
      <c r="G869" s="359">
        <f>'DRE + DCF'!$W$31</f>
        <v>2791623.3540418856</v>
      </c>
      <c r="H869" s="359">
        <f>'DRE + DCF'!$W$32</f>
        <v>81081.931703745853</v>
      </c>
      <c r="I869" s="359">
        <f>-H869*('DRE + DCF'!$V$33+K869)/'DRE + DCF'!$V$33</f>
        <v>-90858.801614444121</v>
      </c>
      <c r="J869" s="359">
        <f>-'DRE + DCF'!$V$56*L869</f>
        <v>-1188924.4255577971</v>
      </c>
      <c r="K869" s="360">
        <f>(1+L869)/(1+Ke!$O$12)-1</f>
        <v>2.0000000000000018E-2</v>
      </c>
      <c r="L869" s="360">
        <f>'DRE + DCF'!$Y$31</f>
        <v>7.3550000000000004E-2</v>
      </c>
      <c r="M869" s="361">
        <f>(1+D869)^((5-Dashboard!$F$9)*3/12)</f>
        <v>1.1174939980172132</v>
      </c>
      <c r="N869" s="361">
        <f t="shared" ref="N869:V869" si="884">M869*(1+$D869)</f>
        <v>1.2959019148006585</v>
      </c>
      <c r="O869" s="361">
        <f t="shared" si="884"/>
        <v>1.5027926554985807</v>
      </c>
      <c r="P869" s="361">
        <f t="shared" si="884"/>
        <v>1.7427135029489256</v>
      </c>
      <c r="Q869" s="361">
        <f t="shared" si="884"/>
        <v>2.0209377136947175</v>
      </c>
      <c r="R869" s="361">
        <f t="shared" si="884"/>
        <v>2.3435804196860746</v>
      </c>
      <c r="S869" s="361">
        <f t="shared" si="884"/>
        <v>2.7177330336889507</v>
      </c>
      <c r="T869" s="361">
        <f t="shared" si="884"/>
        <v>3.1516191125173854</v>
      </c>
      <c r="U869" s="361">
        <f t="shared" si="884"/>
        <v>3.6547751038307785</v>
      </c>
      <c r="V869" s="362">
        <f t="shared" si="884"/>
        <v>4.2382599491573538</v>
      </c>
      <c r="X869" s="351"/>
    </row>
    <row r="870" spans="3:24" ht="24.75" customHeight="1" x14ac:dyDescent="0.3">
      <c r="C870" s="353">
        <f>ABS(E870-Dashboard!$F$14)</f>
        <v>56.14212195315703</v>
      </c>
      <c r="D870" s="350">
        <f t="shared" si="861"/>
        <v>0.15974999999999764</v>
      </c>
      <c r="E870" s="359" cm="1">
        <f t="array" ref="E870">1000*SUM('DRE + DCF'!$L$36/M870,'DRE + DCF'!$N$36:$V$36/N870:V870,F870/V870)/Dashboard!$F$11</f>
        <v>153.13212195315703</v>
      </c>
      <c r="F870" s="359">
        <f t="shared" si="859"/>
        <v>19299382.695820384</v>
      </c>
      <c r="G870" s="359">
        <f>'DRE + DCF'!$W$31</f>
        <v>2791623.3540418856</v>
      </c>
      <c r="H870" s="359">
        <f>'DRE + DCF'!$W$32</f>
        <v>81081.931703745853</v>
      </c>
      <c r="I870" s="359">
        <f>-H870*('DRE + DCF'!$V$33+K870)/'DRE + DCF'!$V$33</f>
        <v>-90858.801614444121</v>
      </c>
      <c r="J870" s="359">
        <f>-'DRE + DCF'!$V$56*L870</f>
        <v>-1188924.4255577971</v>
      </c>
      <c r="K870" s="360">
        <f>(1+L870)/(1+Ke!$O$12)-1</f>
        <v>2.0000000000000018E-2</v>
      </c>
      <c r="L870" s="360">
        <f>'DRE + DCF'!$Y$31</f>
        <v>7.3550000000000004E-2</v>
      </c>
      <c r="M870" s="361">
        <f>(1+D870)^((5-Dashboard!$F$9)*3/12)</f>
        <v>1.1175662708119909</v>
      </c>
      <c r="N870" s="361">
        <f t="shared" ref="N870:V870" si="885">M870*(1+$D870)</f>
        <v>1.2960974825742038</v>
      </c>
      <c r="O870" s="361">
        <f t="shared" si="885"/>
        <v>1.5031490554154296</v>
      </c>
      <c r="P870" s="361">
        <f t="shared" si="885"/>
        <v>1.743277117018041</v>
      </c>
      <c r="Q870" s="361">
        <f t="shared" si="885"/>
        <v>2.021765636461669</v>
      </c>
      <c r="R870" s="361">
        <f t="shared" si="885"/>
        <v>2.3447426968864158</v>
      </c>
      <c r="S870" s="361">
        <f t="shared" si="885"/>
        <v>2.7193153427140153</v>
      </c>
      <c r="T870" s="361">
        <f t="shared" si="885"/>
        <v>3.1537259687125729</v>
      </c>
      <c r="U870" s="361">
        <f t="shared" si="885"/>
        <v>3.6575336922143991</v>
      </c>
      <c r="V870" s="362">
        <f t="shared" si="885"/>
        <v>4.2418246995456403</v>
      </c>
      <c r="X870" s="351"/>
    </row>
    <row r="871" spans="3:24" ht="24.75" customHeight="1" x14ac:dyDescent="0.3">
      <c r="C871" s="353">
        <f>ABS(E871-Dashboard!$F$14)</f>
        <v>55.968515762644088</v>
      </c>
      <c r="D871" s="350">
        <f t="shared" si="861"/>
        <v>0.15984999999999763</v>
      </c>
      <c r="E871" s="359" cm="1">
        <f t="array" ref="E871">1000*SUM('DRE + DCF'!$L$36/M871,'DRE + DCF'!$N$36:$V$36/N871:V871,F871/V871)/Dashboard!$F$11</f>
        <v>152.95851576264408</v>
      </c>
      <c r="F871" s="359">
        <f t="shared" si="859"/>
        <v>19282020.686401431</v>
      </c>
      <c r="G871" s="359">
        <f>'DRE + DCF'!$W$31</f>
        <v>2791623.3540418856</v>
      </c>
      <c r="H871" s="359">
        <f>'DRE + DCF'!$W$32</f>
        <v>81081.931703745853</v>
      </c>
      <c r="I871" s="359">
        <f>-H871*('DRE + DCF'!$V$33+K871)/'DRE + DCF'!$V$33</f>
        <v>-90858.801614444121</v>
      </c>
      <c r="J871" s="359">
        <f>-'DRE + DCF'!$V$56*L871</f>
        <v>-1188924.4255577971</v>
      </c>
      <c r="K871" s="360">
        <f>(1+L871)/(1+Ke!$O$12)-1</f>
        <v>2.0000000000000018E-2</v>
      </c>
      <c r="L871" s="360">
        <f>'DRE + DCF'!$Y$31</f>
        <v>7.3550000000000004E-2</v>
      </c>
      <c r="M871" s="361">
        <f>(1+D871)^((5-Dashboard!$F$9)*3/12)</f>
        <v>1.1176385420488464</v>
      </c>
      <c r="N871" s="361">
        <f t="shared" ref="N871:V871" si="886">M871*(1+$D871)</f>
        <v>1.2962930629953517</v>
      </c>
      <c r="O871" s="361">
        <f t="shared" si="886"/>
        <v>1.5035055091151557</v>
      </c>
      <c r="P871" s="361">
        <f t="shared" si="886"/>
        <v>1.7438408647472097</v>
      </c>
      <c r="Q871" s="361">
        <f t="shared" si="886"/>
        <v>2.0225938269770469</v>
      </c>
      <c r="R871" s="361">
        <f t="shared" si="886"/>
        <v>2.3459054502193228</v>
      </c>
      <c r="S871" s="361">
        <f t="shared" si="886"/>
        <v>2.720898436436876</v>
      </c>
      <c r="T871" s="361">
        <f t="shared" si="886"/>
        <v>3.1558340515013041</v>
      </c>
      <c r="U871" s="361">
        <f t="shared" si="886"/>
        <v>3.6602941246337801</v>
      </c>
      <c r="V871" s="362">
        <f t="shared" si="886"/>
        <v>4.2453921404564809</v>
      </c>
      <c r="X871" s="351"/>
    </row>
    <row r="872" spans="3:24" ht="24.75" customHeight="1" x14ac:dyDescent="0.3">
      <c r="C872" s="353">
        <f>ABS(E872-Dashboard!$F$14)</f>
        <v>55.79525930368608</v>
      </c>
      <c r="D872" s="350">
        <f t="shared" si="861"/>
        <v>0.15994999999999762</v>
      </c>
      <c r="E872" s="359" cm="1">
        <f t="array" ref="E872">1000*SUM('DRE + DCF'!$L$36/M872,'DRE + DCF'!$N$36:$V$36/N872:V872,F872/V872)/Dashboard!$F$11</f>
        <v>152.78525930368608</v>
      </c>
      <c r="F872" s="359">
        <f t="shared" si="859"/>
        <v>19264692.620699696</v>
      </c>
      <c r="G872" s="359">
        <f>'DRE + DCF'!$W$31</f>
        <v>2791623.3540418856</v>
      </c>
      <c r="H872" s="359">
        <f>'DRE + DCF'!$W$32</f>
        <v>81081.931703745853</v>
      </c>
      <c r="I872" s="359">
        <f>-H872*('DRE + DCF'!$V$33+K872)/'DRE + DCF'!$V$33</f>
        <v>-90858.801614444121</v>
      </c>
      <c r="J872" s="359">
        <f>-'DRE + DCF'!$V$56*L872</f>
        <v>-1188924.4255577971</v>
      </c>
      <c r="K872" s="360">
        <f>(1+L872)/(1+Ke!$O$12)-1</f>
        <v>2.0000000000000018E-2</v>
      </c>
      <c r="L872" s="360">
        <f>'DRE + DCF'!$Y$31</f>
        <v>7.3550000000000004E-2</v>
      </c>
      <c r="M872" s="361">
        <f>(1+D872)^((5-Dashboard!$F$9)*3/12)</f>
        <v>1.1177108117279475</v>
      </c>
      <c r="N872" s="361">
        <f t="shared" ref="N872:V872" si="887">M872*(1+$D872)</f>
        <v>1.29648865606383</v>
      </c>
      <c r="O872" s="361">
        <f t="shared" si="887"/>
        <v>1.5038620166012364</v>
      </c>
      <c r="P872" s="361">
        <f t="shared" si="887"/>
        <v>1.7444047461566006</v>
      </c>
      <c r="Q872" s="361">
        <f t="shared" si="887"/>
        <v>2.0234222853043446</v>
      </c>
      <c r="R872" s="361">
        <f t="shared" si="887"/>
        <v>2.3470686798387699</v>
      </c>
      <c r="S872" s="361">
        <f t="shared" si="887"/>
        <v>2.7224823151789757</v>
      </c>
      <c r="T872" s="361">
        <f t="shared" si="887"/>
        <v>3.1579433614918462</v>
      </c>
      <c r="U872" s="361">
        <f t="shared" si="887"/>
        <v>3.6630564021624594</v>
      </c>
      <c r="V872" s="362">
        <f t="shared" si="887"/>
        <v>4.2489622736883357</v>
      </c>
      <c r="X872" s="351"/>
    </row>
    <row r="873" spans="3:24" ht="24.75" customHeight="1" x14ac:dyDescent="0.3">
      <c r="C873" s="353">
        <f>ABS(E873-Dashboard!$F$14)</f>
        <v>55.622351520646973</v>
      </c>
      <c r="D873" s="350">
        <f t="shared" si="861"/>
        <v>0.16004999999999761</v>
      </c>
      <c r="E873" s="359" cm="1">
        <f t="array" ref="E873">1000*SUM('DRE + DCF'!$L$36/M873,'DRE + DCF'!$N$36:$V$36/N873:V873,F873/V873)/Dashboard!$F$11</f>
        <v>152.61235152064697</v>
      </c>
      <c r="F873" s="359">
        <f t="shared" si="859"/>
        <v>19247398.392685585</v>
      </c>
      <c r="G873" s="359">
        <f>'DRE + DCF'!$W$31</f>
        <v>2791623.3540418856</v>
      </c>
      <c r="H873" s="359">
        <f>'DRE + DCF'!$W$32</f>
        <v>81081.931703745853</v>
      </c>
      <c r="I873" s="359">
        <f>-H873*('DRE + DCF'!$V$33+K873)/'DRE + DCF'!$V$33</f>
        <v>-90858.801614444121</v>
      </c>
      <c r="J873" s="359">
        <f>-'DRE + DCF'!$V$56*L873</f>
        <v>-1188924.4255577971</v>
      </c>
      <c r="K873" s="360">
        <f>(1+L873)/(1+Ke!$O$12)-1</f>
        <v>2.0000000000000018E-2</v>
      </c>
      <c r="L873" s="360">
        <f>'DRE + DCF'!$Y$31</f>
        <v>7.3550000000000004E-2</v>
      </c>
      <c r="M873" s="361">
        <f>(1+D873)^((5-Dashboard!$F$9)*3/12)</f>
        <v>1.1177830798494619</v>
      </c>
      <c r="N873" s="361">
        <f t="shared" ref="N873:V873" si="888">M873*(1+$D873)</f>
        <v>1.2966842617793657</v>
      </c>
      <c r="O873" s="361">
        <f t="shared" si="888"/>
        <v>1.50421857787715</v>
      </c>
      <c r="P873" s="361">
        <f t="shared" si="888"/>
        <v>1.7449687612663842</v>
      </c>
      <c r="Q873" s="361">
        <f t="shared" si="888"/>
        <v>2.0242510115070647</v>
      </c>
      <c r="R873" s="361">
        <f t="shared" si="888"/>
        <v>2.3482323858987653</v>
      </c>
      <c r="S873" s="361">
        <f t="shared" si="888"/>
        <v>2.724066979261857</v>
      </c>
      <c r="T873" s="361">
        <f t="shared" si="888"/>
        <v>3.1600538992927105</v>
      </c>
      <c r="U873" s="361">
        <f t="shared" si="888"/>
        <v>3.6658205258745014</v>
      </c>
      <c r="V873" s="362">
        <f t="shared" si="888"/>
        <v>4.2525351010407064</v>
      </c>
      <c r="X873" s="351"/>
    </row>
    <row r="874" spans="3:24" ht="24.75" customHeight="1" x14ac:dyDescent="0.3">
      <c r="C874" s="353">
        <f>ABS(E874-Dashboard!$F$14)</f>
        <v>55.449791362297091</v>
      </c>
      <c r="D874" s="350">
        <f t="shared" si="861"/>
        <v>0.1601499999999976</v>
      </c>
      <c r="E874" s="359" cm="1">
        <f t="array" ref="E874">1000*SUM('DRE + DCF'!$L$36/M874,'DRE + DCF'!$N$36:$V$36/N874:V874,F874/V874)/Dashboard!$F$11</f>
        <v>152.43979136229709</v>
      </c>
      <c r="F874" s="359">
        <f t="shared" si="859"/>
        <v>19230137.896790072</v>
      </c>
      <c r="G874" s="359">
        <f>'DRE + DCF'!$W$31</f>
        <v>2791623.3540418856</v>
      </c>
      <c r="H874" s="359">
        <f>'DRE + DCF'!$W$32</f>
        <v>81081.931703745853</v>
      </c>
      <c r="I874" s="359">
        <f>-H874*('DRE + DCF'!$V$33+K874)/'DRE + DCF'!$V$33</f>
        <v>-90858.801614444121</v>
      </c>
      <c r="J874" s="359">
        <f>-'DRE + DCF'!$V$56*L874</f>
        <v>-1188924.4255577971</v>
      </c>
      <c r="K874" s="360">
        <f>(1+L874)/(1+Ke!$O$12)-1</f>
        <v>2.0000000000000018E-2</v>
      </c>
      <c r="L874" s="360">
        <f>'DRE + DCF'!$Y$31</f>
        <v>7.3550000000000004E-2</v>
      </c>
      <c r="M874" s="361">
        <f>(1+D874)^((5-Dashboard!$F$9)*3/12)</f>
        <v>1.1178553464135579</v>
      </c>
      <c r="N874" s="361">
        <f t="shared" ref="N874:V874" si="889">M874*(1+$D874)</f>
        <v>1.2968798801416865</v>
      </c>
      <c r="O874" s="361">
        <f t="shared" si="889"/>
        <v>1.5045751929463744</v>
      </c>
      <c r="P874" s="361">
        <f t="shared" si="889"/>
        <v>1.7455329100967327</v>
      </c>
      <c r="Q874" s="361">
        <f t="shared" si="889"/>
        <v>2.0250800056487201</v>
      </c>
      <c r="R874" s="361">
        <f t="shared" si="889"/>
        <v>2.3493965685533578</v>
      </c>
      <c r="S874" s="361">
        <f t="shared" si="889"/>
        <v>2.7256524290071722</v>
      </c>
      <c r="T874" s="361">
        <f t="shared" si="889"/>
        <v>3.1621656655126644</v>
      </c>
      <c r="U874" s="361">
        <f t="shared" si="889"/>
        <v>3.6685864968445099</v>
      </c>
      <c r="V874" s="362">
        <f t="shared" si="889"/>
        <v>4.2561106243141493</v>
      </c>
      <c r="X874" s="351"/>
    </row>
    <row r="875" spans="3:24" ht="24.75" customHeight="1" x14ac:dyDescent="0.3">
      <c r="C875" s="353">
        <f>ABS(E875-Dashboard!$F$14)</f>
        <v>55.277577781790185</v>
      </c>
      <c r="D875" s="350">
        <f t="shared" si="861"/>
        <v>0.16024999999999759</v>
      </c>
      <c r="E875" s="359" cm="1">
        <f t="array" ref="E875">1000*SUM('DRE + DCF'!$L$36/M875,'DRE + DCF'!$N$36:$V$36/N875:V875,F875/V875)/Dashboard!$F$11</f>
        <v>152.26757778179018</v>
      </c>
      <c r="F875" s="359">
        <f t="shared" si="859"/>
        <v>19212911.027902137</v>
      </c>
      <c r="G875" s="359">
        <f>'DRE + DCF'!$W$31</f>
        <v>2791623.3540418856</v>
      </c>
      <c r="H875" s="359">
        <f>'DRE + DCF'!$W$32</f>
        <v>81081.931703745853</v>
      </c>
      <c r="I875" s="359">
        <f>-H875*('DRE + DCF'!$V$33+K875)/'DRE + DCF'!$V$33</f>
        <v>-90858.801614444121</v>
      </c>
      <c r="J875" s="359">
        <f>-'DRE + DCF'!$V$56*L875</f>
        <v>-1188924.4255577971</v>
      </c>
      <c r="K875" s="360">
        <f>(1+L875)/(1+Ke!$O$12)-1</f>
        <v>2.0000000000000018E-2</v>
      </c>
      <c r="L875" s="360">
        <f>'DRE + DCF'!$Y$31</f>
        <v>7.3550000000000004E-2</v>
      </c>
      <c r="M875" s="361">
        <f>(1+D875)^((5-Dashboard!$F$9)*3/12)</f>
        <v>1.1179276114204026</v>
      </c>
      <c r="N875" s="361">
        <f t="shared" ref="N875:V875" si="890">M875*(1+$D875)</f>
        <v>1.2970755111505194</v>
      </c>
      <c r="O875" s="361">
        <f t="shared" si="890"/>
        <v>1.504931861812387</v>
      </c>
      <c r="P875" s="361">
        <f t="shared" si="890"/>
        <v>1.7460971926678184</v>
      </c>
      <c r="Q875" s="361">
        <f t="shared" si="890"/>
        <v>2.0259092677928319</v>
      </c>
      <c r="R875" s="361">
        <f t="shared" si="890"/>
        <v>2.3505612279566281</v>
      </c>
      <c r="S875" s="361">
        <f t="shared" si="890"/>
        <v>2.7272386647366722</v>
      </c>
      <c r="T875" s="361">
        <f t="shared" si="890"/>
        <v>3.1642786607607172</v>
      </c>
      <c r="U875" s="361">
        <f t="shared" si="890"/>
        <v>3.6713543161476143</v>
      </c>
      <c r="V875" s="362">
        <f t="shared" si="890"/>
        <v>4.2596888453102606</v>
      </c>
      <c r="X875" s="351"/>
    </row>
    <row r="876" spans="3:24" ht="24.75" customHeight="1" x14ac:dyDescent="0.3">
      <c r="C876" s="353">
        <f>ABS(E876-Dashboard!$F$14)</f>
        <v>55.105709736638843</v>
      </c>
      <c r="D876" s="350">
        <f t="shared" si="861"/>
        <v>0.16034999999999758</v>
      </c>
      <c r="E876" s="359" cm="1">
        <f t="array" ref="E876">1000*SUM('DRE + DCF'!$L$36/M876,'DRE + DCF'!$N$36:$V$36/N876:V876,F876/V876)/Dashboard!$F$11</f>
        <v>152.09570973663884</v>
      </c>
      <c r="F876" s="359">
        <f t="shared" si="859"/>
        <v>19195717.681366213</v>
      </c>
      <c r="G876" s="359">
        <f>'DRE + DCF'!$W$31</f>
        <v>2791623.3540418856</v>
      </c>
      <c r="H876" s="359">
        <f>'DRE + DCF'!$W$32</f>
        <v>81081.931703745853</v>
      </c>
      <c r="I876" s="359">
        <f>-H876*('DRE + DCF'!$V$33+K876)/'DRE + DCF'!$V$33</f>
        <v>-90858.801614444121</v>
      </c>
      <c r="J876" s="359">
        <f>-'DRE + DCF'!$V$56*L876</f>
        <v>-1188924.4255577971</v>
      </c>
      <c r="K876" s="360">
        <f>(1+L876)/(1+Ke!$O$12)-1</f>
        <v>2.0000000000000018E-2</v>
      </c>
      <c r="L876" s="360">
        <f>'DRE + DCF'!$Y$31</f>
        <v>7.3550000000000004E-2</v>
      </c>
      <c r="M876" s="361">
        <f>(1+D876)^((5-Dashboard!$F$9)*3/12)</f>
        <v>1.1179998748701645</v>
      </c>
      <c r="N876" s="361">
        <f t="shared" ref="N876:V876" si="891">M876*(1+$D876)</f>
        <v>1.2972711548055926</v>
      </c>
      <c r="O876" s="361">
        <f t="shared" si="891"/>
        <v>1.5052885844786663</v>
      </c>
      <c r="P876" s="361">
        <f t="shared" si="891"/>
        <v>1.7466616089998168</v>
      </c>
      <c r="Q876" s="361">
        <f t="shared" si="891"/>
        <v>2.026738798002933</v>
      </c>
      <c r="R876" s="361">
        <f t="shared" si="891"/>
        <v>2.3517263642626984</v>
      </c>
      <c r="S876" s="361">
        <f t="shared" si="891"/>
        <v>2.7288256867722165</v>
      </c>
      <c r="T876" s="361">
        <f t="shared" si="891"/>
        <v>3.1663928856461347</v>
      </c>
      <c r="U876" s="361">
        <f t="shared" si="891"/>
        <v>3.6741239848594849</v>
      </c>
      <c r="V876" s="362">
        <f t="shared" si="891"/>
        <v>4.2632697658316943</v>
      </c>
      <c r="X876" s="351"/>
    </row>
    <row r="877" spans="3:24" ht="24.75" customHeight="1" x14ac:dyDescent="0.3">
      <c r="C877" s="353">
        <f>ABS(E877-Dashboard!$F$14)</f>
        <v>54.934186188691811</v>
      </c>
      <c r="D877" s="350">
        <f t="shared" si="861"/>
        <v>0.16044999999999757</v>
      </c>
      <c r="E877" s="359" cm="1">
        <f t="array" ref="E877">1000*SUM('DRE + DCF'!$L$36/M877,'DRE + DCF'!$N$36:$V$36/N877:V877,F877/V877)/Dashboard!$F$11</f>
        <v>151.92418618869181</v>
      </c>
      <c r="F877" s="359">
        <f t="shared" si="859"/>
        <v>19178557.75297967</v>
      </c>
      <c r="G877" s="359">
        <f>'DRE + DCF'!$W$31</f>
        <v>2791623.3540418856</v>
      </c>
      <c r="H877" s="359">
        <f>'DRE + DCF'!$W$32</f>
        <v>81081.931703745853</v>
      </c>
      <c r="I877" s="359">
        <f>-H877*('DRE + DCF'!$V$33+K877)/'DRE + DCF'!$V$33</f>
        <v>-90858.801614444121</v>
      </c>
      <c r="J877" s="359">
        <f>-'DRE + DCF'!$V$56*L877</f>
        <v>-1188924.4255577971</v>
      </c>
      <c r="K877" s="360">
        <f>(1+L877)/(1+Ke!$O$12)-1</f>
        <v>2.0000000000000018E-2</v>
      </c>
      <c r="L877" s="360">
        <f>'DRE + DCF'!$Y$31</f>
        <v>7.3550000000000004E-2</v>
      </c>
      <c r="M877" s="361">
        <f>(1+D877)^((5-Dashboard!$F$9)*3/12)</f>
        <v>1.1180721367630109</v>
      </c>
      <c r="N877" s="361">
        <f t="shared" ref="N877:V877" si="892">M877*(1+$D877)</f>
        <v>1.2974668111066332</v>
      </c>
      <c r="O877" s="361">
        <f t="shared" si="892"/>
        <v>1.5056453609486893</v>
      </c>
      <c r="P877" s="361">
        <f t="shared" si="892"/>
        <v>1.7472261591129028</v>
      </c>
      <c r="Q877" s="361">
        <f t="shared" si="892"/>
        <v>2.0275685963425638</v>
      </c>
      <c r="R877" s="361">
        <f t="shared" si="892"/>
        <v>2.3528919776257231</v>
      </c>
      <c r="S877" s="361">
        <f t="shared" si="892"/>
        <v>2.7304134954357644</v>
      </c>
      <c r="T877" s="361">
        <f t="shared" si="892"/>
        <v>3.168508340778426</v>
      </c>
      <c r="U877" s="361">
        <f t="shared" si="892"/>
        <v>3.6768955040563167</v>
      </c>
      <c r="V877" s="362">
        <f t="shared" si="892"/>
        <v>4.2668533876821435</v>
      </c>
      <c r="X877" s="351"/>
    </row>
    <row r="878" spans="3:24" ht="24.75" customHeight="1" x14ac:dyDescent="0.3">
      <c r="C878" s="353">
        <f>ABS(E878-Dashboard!$F$14)</f>
        <v>54.763006104109834</v>
      </c>
      <c r="D878" s="350">
        <f t="shared" si="861"/>
        <v>0.16054999999999756</v>
      </c>
      <c r="E878" s="359" cm="1">
        <f t="array" ref="E878">1000*SUM('DRE + DCF'!$L$36/M878,'DRE + DCF'!$N$36:$V$36/N878:V878,F878/V878)/Dashboard!$F$11</f>
        <v>151.75300610410983</v>
      </c>
      <c r="F878" s="359">
        <f t="shared" si="859"/>
        <v>19161431.138990276</v>
      </c>
      <c r="G878" s="359">
        <f>'DRE + DCF'!$W$31</f>
        <v>2791623.3540418856</v>
      </c>
      <c r="H878" s="359">
        <f>'DRE + DCF'!$W$32</f>
        <v>81081.931703745853</v>
      </c>
      <c r="I878" s="359">
        <f>-H878*('DRE + DCF'!$V$33+K878)/'DRE + DCF'!$V$33</f>
        <v>-90858.801614444121</v>
      </c>
      <c r="J878" s="359">
        <f>-'DRE + DCF'!$V$56*L878</f>
        <v>-1188924.4255577971</v>
      </c>
      <c r="K878" s="360">
        <f>(1+L878)/(1+Ke!$O$12)-1</f>
        <v>2.0000000000000018E-2</v>
      </c>
      <c r="L878" s="360">
        <f>'DRE + DCF'!$Y$31</f>
        <v>7.3550000000000004E-2</v>
      </c>
      <c r="M878" s="361">
        <f>(1+D878)^((5-Dashboard!$F$9)*3/12)</f>
        <v>1.1181443970991096</v>
      </c>
      <c r="N878" s="361">
        <f t="shared" ref="N878:V878" si="893">M878*(1+$D878)</f>
        <v>1.2976624800533689</v>
      </c>
      <c r="O878" s="361">
        <f t="shared" si="893"/>
        <v>1.506002191225934</v>
      </c>
      <c r="P878" s="361">
        <f t="shared" si="893"/>
        <v>1.747790843027254</v>
      </c>
      <c r="Q878" s="361">
        <f t="shared" si="893"/>
        <v>2.0283986628752753</v>
      </c>
      <c r="R878" s="361">
        <f t="shared" si="893"/>
        <v>2.3540580681998957</v>
      </c>
      <c r="S878" s="361">
        <f t="shared" si="893"/>
        <v>2.7320020910493832</v>
      </c>
      <c r="T878" s="361">
        <f t="shared" si="893"/>
        <v>3.1706250267673548</v>
      </c>
      <c r="U878" s="361">
        <f t="shared" si="893"/>
        <v>3.6796688748148458</v>
      </c>
      <c r="V878" s="362">
        <f t="shared" si="893"/>
        <v>4.2704397126663602</v>
      </c>
      <c r="X878" s="351"/>
    </row>
    <row r="879" spans="3:24" ht="24.75" customHeight="1" x14ac:dyDescent="0.3">
      <c r="C879" s="353">
        <f>ABS(E879-Dashboard!$F$14)</f>
        <v>54.592168453343064</v>
      </c>
      <c r="D879" s="350">
        <f t="shared" si="861"/>
        <v>0.16064999999999754</v>
      </c>
      <c r="E879" s="359" cm="1">
        <f t="array" ref="E879">1000*SUM('DRE + DCF'!$L$36/M879,'DRE + DCF'!$N$36:$V$36/N879:V879,F879/V879)/Dashboard!$F$11</f>
        <v>151.58216845334306</v>
      </c>
      <c r="F879" s="359">
        <f t="shared" si="859"/>
        <v>19144337.736093715</v>
      </c>
      <c r="G879" s="359">
        <f>'DRE + DCF'!$W$31</f>
        <v>2791623.3540418856</v>
      </c>
      <c r="H879" s="359">
        <f>'DRE + DCF'!$W$32</f>
        <v>81081.931703745853</v>
      </c>
      <c r="I879" s="359">
        <f>-H879*('DRE + DCF'!$V$33+K879)/'DRE + DCF'!$V$33</f>
        <v>-90858.801614444121</v>
      </c>
      <c r="J879" s="359">
        <f>-'DRE + DCF'!$V$56*L879</f>
        <v>-1188924.4255577971</v>
      </c>
      <c r="K879" s="360">
        <f>(1+L879)/(1+Ke!$O$12)-1</f>
        <v>2.0000000000000018E-2</v>
      </c>
      <c r="L879" s="360">
        <f>'DRE + DCF'!$Y$31</f>
        <v>7.3550000000000004E-2</v>
      </c>
      <c r="M879" s="361">
        <f>(1+D879)^((5-Dashboard!$F$9)*3/12)</f>
        <v>1.1182166558786282</v>
      </c>
      <c r="N879" s="361">
        <f t="shared" ref="N879:V879" si="894">M879*(1+$D879)</f>
        <v>1.2978581616455269</v>
      </c>
      <c r="O879" s="361">
        <f t="shared" si="894"/>
        <v>1.5063590753138776</v>
      </c>
      <c r="P879" s="361">
        <f t="shared" si="894"/>
        <v>1.7483556607630484</v>
      </c>
      <c r="Q879" s="361">
        <f t="shared" si="894"/>
        <v>2.0292289976646276</v>
      </c>
      <c r="R879" s="361">
        <f t="shared" si="894"/>
        <v>2.3552246361394449</v>
      </c>
      <c r="S879" s="361">
        <f t="shared" si="894"/>
        <v>2.7335914739352409</v>
      </c>
      <c r="T879" s="361">
        <f t="shared" si="894"/>
        <v>3.1727429442229305</v>
      </c>
      <c r="U879" s="361">
        <f t="shared" si="894"/>
        <v>3.6824440982123363</v>
      </c>
      <c r="V879" s="362">
        <f t="shared" si="894"/>
        <v>4.2740287425901391</v>
      </c>
      <c r="X879" s="351"/>
    </row>
    <row r="880" spans="3:24" ht="24.75" customHeight="1" x14ac:dyDescent="0.3">
      <c r="C880" s="353">
        <f>ABS(E880-Dashboard!$F$14)</f>
        <v>54.421672211107634</v>
      </c>
      <c r="D880" s="350">
        <f t="shared" si="861"/>
        <v>0.16074999999999753</v>
      </c>
      <c r="E880" s="359" cm="1">
        <f t="array" ref="E880">1000*SUM('DRE + DCF'!$L$36/M880,'DRE + DCF'!$N$36:$V$36/N880:V880,F880/V880)/Dashboard!$F$11</f>
        <v>151.41167221110763</v>
      </c>
      <c r="F880" s="359">
        <f t="shared" si="859"/>
        <v>19127277.441431127</v>
      </c>
      <c r="G880" s="359">
        <f>'DRE + DCF'!$W$31</f>
        <v>2791623.3540418856</v>
      </c>
      <c r="H880" s="359">
        <f>'DRE + DCF'!$W$32</f>
        <v>81081.931703745853</v>
      </c>
      <c r="I880" s="359">
        <f>-H880*('DRE + DCF'!$V$33+K880)/'DRE + DCF'!$V$33</f>
        <v>-90858.801614444121</v>
      </c>
      <c r="J880" s="359">
        <f>-'DRE + DCF'!$V$56*L880</f>
        <v>-1188924.4255577971</v>
      </c>
      <c r="K880" s="360">
        <f>(1+L880)/(1+Ke!$O$12)-1</f>
        <v>2.0000000000000018E-2</v>
      </c>
      <c r="L880" s="360">
        <f>'DRE + DCF'!$Y$31</f>
        <v>7.3550000000000004E-2</v>
      </c>
      <c r="M880" s="361">
        <f>(1+D880)^((5-Dashboard!$F$9)*3/12)</f>
        <v>1.1182889131017344</v>
      </c>
      <c r="N880" s="361">
        <f t="shared" ref="N880:V880" si="895">M880*(1+$D880)</f>
        <v>1.2980538558828354</v>
      </c>
      <c r="O880" s="361">
        <f t="shared" si="895"/>
        <v>1.506716013215998</v>
      </c>
      <c r="P880" s="361">
        <f t="shared" si="895"/>
        <v>1.7489206123404659</v>
      </c>
      <c r="Q880" s="361">
        <f t="shared" si="895"/>
        <v>2.0300596007741913</v>
      </c>
      <c r="R880" s="361">
        <f t="shared" si="895"/>
        <v>2.3563916815986374</v>
      </c>
      <c r="S880" s="361">
        <f t="shared" si="895"/>
        <v>2.7351816444156127</v>
      </c>
      <c r="T880" s="361">
        <f t="shared" si="895"/>
        <v>3.1748620937554155</v>
      </c>
      <c r="U880" s="361">
        <f t="shared" si="895"/>
        <v>3.6852211753265904</v>
      </c>
      <c r="V880" s="362">
        <f t="shared" si="895"/>
        <v>4.2776204792603307</v>
      </c>
      <c r="X880" s="351"/>
    </row>
    <row r="881" spans="3:24" ht="24.75" customHeight="1" x14ac:dyDescent="0.3">
      <c r="C881" s="353">
        <f>ABS(E881-Dashboard!$F$14)</f>
        <v>54.25151635636287</v>
      </c>
      <c r="D881" s="350">
        <f t="shared" si="861"/>
        <v>0.16084999999999752</v>
      </c>
      <c r="E881" s="359" cm="1">
        <f t="array" ref="E881">1000*SUM('DRE + DCF'!$L$36/M881,'DRE + DCF'!$N$36:$V$36/N881:V881,F881/V881)/Dashboard!$F$11</f>
        <v>151.24151635636287</v>
      </c>
      <c r="F881" s="359">
        <f t="shared" si="859"/>
        <v>19110250.152586602</v>
      </c>
      <c r="G881" s="359">
        <f>'DRE + DCF'!$W$31</f>
        <v>2791623.3540418856</v>
      </c>
      <c r="H881" s="359">
        <f>'DRE + DCF'!$W$32</f>
        <v>81081.931703745853</v>
      </c>
      <c r="I881" s="359">
        <f>-H881*('DRE + DCF'!$V$33+K881)/'DRE + DCF'!$V$33</f>
        <v>-90858.801614444121</v>
      </c>
      <c r="J881" s="359">
        <f>-'DRE + DCF'!$V$56*L881</f>
        <v>-1188924.4255577971</v>
      </c>
      <c r="K881" s="360">
        <f>(1+L881)/(1+Ke!$O$12)-1</f>
        <v>2.0000000000000018E-2</v>
      </c>
      <c r="L881" s="360">
        <f>'DRE + DCF'!$Y$31</f>
        <v>7.3550000000000004E-2</v>
      </c>
      <c r="M881" s="361">
        <f>(1+D881)^((5-Dashboard!$F$9)*3/12)</f>
        <v>1.1183611687685959</v>
      </c>
      <c r="N881" s="361">
        <f t="shared" ref="N881:V881" si="896">M881*(1+$D881)</f>
        <v>1.2982495627650217</v>
      </c>
      <c r="O881" s="361">
        <f t="shared" si="896"/>
        <v>1.5070730049357721</v>
      </c>
      <c r="P881" s="361">
        <f t="shared" si="896"/>
        <v>1.7494856977796873</v>
      </c>
      <c r="Q881" s="361">
        <f t="shared" si="896"/>
        <v>2.0308904722675458</v>
      </c>
      <c r="R881" s="361">
        <f t="shared" si="896"/>
        <v>2.3575592047317753</v>
      </c>
      <c r="S881" s="361">
        <f t="shared" si="896"/>
        <v>2.7367726028128754</v>
      </c>
      <c r="T881" s="361">
        <f t="shared" si="896"/>
        <v>3.1769824759753194</v>
      </c>
      <c r="U881" s="361">
        <f t="shared" si="896"/>
        <v>3.6880001072359416</v>
      </c>
      <c r="V881" s="362">
        <f t="shared" si="896"/>
        <v>4.2812149244848339</v>
      </c>
      <c r="X881" s="351"/>
    </row>
    <row r="882" spans="3:24" ht="24.75" customHeight="1" x14ac:dyDescent="0.3">
      <c r="C882" s="353">
        <f>ABS(E882-Dashboard!$F$14)</f>
        <v>54.081699872288468</v>
      </c>
      <c r="D882" s="350">
        <f t="shared" si="861"/>
        <v>0.16094999999999751</v>
      </c>
      <c r="E882" s="359" cm="1">
        <f t="array" ref="E882">1000*SUM('DRE + DCF'!$L$36/M882,'DRE + DCF'!$N$36:$V$36/N882:V882,F882/V882)/Dashboard!$F$11</f>
        <v>151.07169987228846</v>
      </c>
      <c r="F882" s="359">
        <f t="shared" si="859"/>
        <v>19093255.767584771</v>
      </c>
      <c r="G882" s="359">
        <f>'DRE + DCF'!$W$31</f>
        <v>2791623.3540418856</v>
      </c>
      <c r="H882" s="359">
        <f>'DRE + DCF'!$W$32</f>
        <v>81081.931703745853</v>
      </c>
      <c r="I882" s="359">
        <f>-H882*('DRE + DCF'!$V$33+K882)/'DRE + DCF'!$V$33</f>
        <v>-90858.801614444121</v>
      </c>
      <c r="J882" s="359">
        <f>-'DRE + DCF'!$V$56*L882</f>
        <v>-1188924.4255577971</v>
      </c>
      <c r="K882" s="360">
        <f>(1+L882)/(1+Ke!$O$12)-1</f>
        <v>2.0000000000000018E-2</v>
      </c>
      <c r="L882" s="360">
        <f>'DRE + DCF'!$Y$31</f>
        <v>7.3550000000000004E-2</v>
      </c>
      <c r="M882" s="361">
        <f>(1+D882)^((5-Dashboard!$F$9)*3/12)</f>
        <v>1.1184334228793802</v>
      </c>
      <c r="N882" s="361">
        <f t="shared" ref="N882:V882" si="897">M882*(1+$D882)</f>
        <v>1.2984452822918136</v>
      </c>
      <c r="O882" s="361">
        <f t="shared" si="897"/>
        <v>1.5074300504766778</v>
      </c>
      <c r="P882" s="361">
        <f t="shared" si="897"/>
        <v>1.7500509171008953</v>
      </c>
      <c r="Q882" s="361">
        <f t="shared" si="897"/>
        <v>2.0317216122082802</v>
      </c>
      <c r="R882" s="361">
        <f t="shared" si="897"/>
        <v>2.3587272056931976</v>
      </c>
      <c r="S882" s="361">
        <f t="shared" si="897"/>
        <v>2.7383643494495118</v>
      </c>
      <c r="T882" s="361">
        <f t="shared" si="897"/>
        <v>3.1791040914934037</v>
      </c>
      <c r="U882" s="361">
        <f t="shared" si="897"/>
        <v>3.6907808950192589</v>
      </c>
      <c r="V882" s="362">
        <f t="shared" si="897"/>
        <v>4.2848120800725997</v>
      </c>
      <c r="X882" s="351"/>
    </row>
    <row r="883" spans="3:24" ht="24.75" customHeight="1" x14ac:dyDescent="0.3">
      <c r="C883" s="353">
        <f>ABS(E883-Dashboard!$F$14)</f>
        <v>53.912221746262034</v>
      </c>
      <c r="D883" s="350">
        <f t="shared" si="861"/>
        <v>0.1610499999999975</v>
      </c>
      <c r="E883" s="359" cm="1">
        <f t="array" ref="E883">1000*SUM('DRE + DCF'!$L$36/M883,'DRE + DCF'!$N$36:$V$36/N883:V883,F883/V883)/Dashboard!$F$11</f>
        <v>150.90222174626203</v>
      </c>
      <c r="F883" s="359">
        <f t="shared" si="859"/>
        <v>19076294.184888363</v>
      </c>
      <c r="G883" s="359">
        <f>'DRE + DCF'!$W$31</f>
        <v>2791623.3540418856</v>
      </c>
      <c r="H883" s="359">
        <f>'DRE + DCF'!$W$32</f>
        <v>81081.931703745853</v>
      </c>
      <c r="I883" s="359">
        <f>-H883*('DRE + DCF'!$V$33+K883)/'DRE + DCF'!$V$33</f>
        <v>-90858.801614444121</v>
      </c>
      <c r="J883" s="359">
        <f>-'DRE + DCF'!$V$56*L883</f>
        <v>-1188924.4255577971</v>
      </c>
      <c r="K883" s="360">
        <f>(1+L883)/(1+Ke!$O$12)-1</f>
        <v>2.0000000000000018E-2</v>
      </c>
      <c r="L883" s="360">
        <f>'DRE + DCF'!$Y$31</f>
        <v>7.3550000000000004E-2</v>
      </c>
      <c r="M883" s="361">
        <f>(1+D883)^((5-Dashboard!$F$9)*3/12)</f>
        <v>1.1185056754342548</v>
      </c>
      <c r="N883" s="361">
        <f t="shared" ref="N883:V883" si="898">M883*(1+$D883)</f>
        <v>1.2986410144629388</v>
      </c>
      <c r="O883" s="361">
        <f t="shared" si="898"/>
        <v>1.5077871498421918</v>
      </c>
      <c r="P883" s="361">
        <f t="shared" si="898"/>
        <v>1.7506162703242729</v>
      </c>
      <c r="Q883" s="361">
        <f t="shared" si="898"/>
        <v>2.0325530206599924</v>
      </c>
      <c r="R883" s="361">
        <f t="shared" si="898"/>
        <v>2.3598956846372792</v>
      </c>
      <c r="S883" s="361">
        <f t="shared" si="898"/>
        <v>2.739956884648107</v>
      </c>
      <c r="T883" s="361">
        <f t="shared" si="898"/>
        <v>3.1812269409206779</v>
      </c>
      <c r="U883" s="361">
        <f t="shared" si="898"/>
        <v>3.693563539755945</v>
      </c>
      <c r="V883" s="362">
        <f t="shared" si="898"/>
        <v>4.2884119478336302</v>
      </c>
      <c r="X883" s="351"/>
    </row>
    <row r="884" spans="3:24" ht="24.75" customHeight="1" x14ac:dyDescent="0.3">
      <c r="C884" s="353">
        <f>ABS(E884-Dashboard!$F$14)</f>
        <v>53.743080969836242</v>
      </c>
      <c r="D884" s="350">
        <f t="shared" si="861"/>
        <v>0.16114999999999749</v>
      </c>
      <c r="E884" s="359" cm="1">
        <f t="array" ref="E884">1000*SUM('DRE + DCF'!$L$36/M884,'DRE + DCF'!$N$36:$V$36/N884:V884,F884/V884)/Dashboard!$F$11</f>
        <v>150.73308096983624</v>
      </c>
      <c r="F884" s="359">
        <f t="shared" si="859"/>
        <v>19059365.303395778</v>
      </c>
      <c r="G884" s="359">
        <f>'DRE + DCF'!$W$31</f>
        <v>2791623.3540418856</v>
      </c>
      <c r="H884" s="359">
        <f>'DRE + DCF'!$W$32</f>
        <v>81081.931703745853</v>
      </c>
      <c r="I884" s="359">
        <f>-H884*('DRE + DCF'!$V$33+K884)/'DRE + DCF'!$V$33</f>
        <v>-90858.801614444121</v>
      </c>
      <c r="J884" s="359">
        <f>-'DRE + DCF'!$V$56*L884</f>
        <v>-1188924.4255577971</v>
      </c>
      <c r="K884" s="360">
        <f>(1+L884)/(1+Ke!$O$12)-1</f>
        <v>2.0000000000000018E-2</v>
      </c>
      <c r="L884" s="360">
        <f>'DRE + DCF'!$Y$31</f>
        <v>7.3550000000000004E-2</v>
      </c>
      <c r="M884" s="361">
        <f>(1+D884)^((5-Dashboard!$F$9)*3/12)</f>
        <v>1.1185779264333875</v>
      </c>
      <c r="N884" s="361">
        <f t="shared" ref="N884:V884" si="899">M884*(1+$D884)</f>
        <v>1.2988367592781251</v>
      </c>
      <c r="O884" s="361">
        <f t="shared" si="899"/>
        <v>1.5081443030357917</v>
      </c>
      <c r="P884" s="361">
        <f t="shared" si="899"/>
        <v>1.7511817574700057</v>
      </c>
      <c r="Q884" s="361">
        <f t="shared" si="899"/>
        <v>2.0333846976862926</v>
      </c>
      <c r="R884" s="361">
        <f t="shared" si="899"/>
        <v>2.3610646417184333</v>
      </c>
      <c r="S884" s="361">
        <f t="shared" si="899"/>
        <v>2.7415502087313528</v>
      </c>
      <c r="T884" s="361">
        <f t="shared" si="899"/>
        <v>3.1833510248684034</v>
      </c>
      <c r="U884" s="361">
        <f t="shared" si="899"/>
        <v>3.6963480425259383</v>
      </c>
      <c r="V884" s="362">
        <f t="shared" si="899"/>
        <v>4.2920145295789842</v>
      </c>
      <c r="X884" s="351"/>
    </row>
    <row r="885" spans="3:24" ht="24.75" customHeight="1" x14ac:dyDescent="0.3">
      <c r="C885" s="353">
        <f>ABS(E885-Dashboard!$F$14)</f>
        <v>53.574276538717143</v>
      </c>
      <c r="D885" s="350">
        <f t="shared" si="861"/>
        <v>0.16124999999999748</v>
      </c>
      <c r="E885" s="359" cm="1">
        <f t="array" ref="E885">1000*SUM('DRE + DCF'!$L$36/M885,'DRE + DCF'!$N$36:$V$36/N885:V885,F885/V885)/Dashboard!$F$11</f>
        <v>150.56427653871714</v>
      </c>
      <c r="F885" s="359">
        <f t="shared" si="859"/>
        <v>19042469.022438727</v>
      </c>
      <c r="G885" s="359">
        <f>'DRE + DCF'!$W$31</f>
        <v>2791623.3540418856</v>
      </c>
      <c r="H885" s="359">
        <f>'DRE + DCF'!$W$32</f>
        <v>81081.931703745853</v>
      </c>
      <c r="I885" s="359">
        <f>-H885*('DRE + DCF'!$V$33+K885)/'DRE + DCF'!$V$33</f>
        <v>-90858.801614444121</v>
      </c>
      <c r="J885" s="359">
        <f>-'DRE + DCF'!$V$56*L885</f>
        <v>-1188924.4255577971</v>
      </c>
      <c r="K885" s="360">
        <f>(1+L885)/(1+Ke!$O$12)-1</f>
        <v>2.0000000000000018E-2</v>
      </c>
      <c r="L885" s="360">
        <f>'DRE + DCF'!$Y$31</f>
        <v>7.3550000000000004E-2</v>
      </c>
      <c r="M885" s="361">
        <f>(1+D885)^((5-Dashboard!$F$9)*3/12)</f>
        <v>1.1186501758769452</v>
      </c>
      <c r="N885" s="361">
        <f t="shared" ref="N885:V885" si="900">M885*(1+$D885)</f>
        <v>1.2990325167370997</v>
      </c>
      <c r="O885" s="361">
        <f t="shared" si="900"/>
        <v>1.5085015100609538</v>
      </c>
      <c r="P885" s="361">
        <f t="shared" si="900"/>
        <v>1.7517473785582787</v>
      </c>
      <c r="Q885" s="361">
        <f t="shared" si="900"/>
        <v>2.0342166433507964</v>
      </c>
      <c r="R885" s="361">
        <f t="shared" si="900"/>
        <v>2.3622340770911072</v>
      </c>
      <c r="S885" s="361">
        <f t="shared" si="900"/>
        <v>2.7431443220220424</v>
      </c>
      <c r="T885" s="361">
        <f t="shared" si="900"/>
        <v>3.1854763439480895</v>
      </c>
      <c r="U885" s="361">
        <f t="shared" si="900"/>
        <v>3.699134404409711</v>
      </c>
      <c r="V885" s="362">
        <f t="shared" si="900"/>
        <v>4.2956198271207677</v>
      </c>
      <c r="X885" s="351"/>
    </row>
    <row r="886" spans="3:24" ht="24.75" customHeight="1" x14ac:dyDescent="0.3">
      <c r="C886" s="353">
        <f>ABS(E886-Dashboard!$F$14)</f>
        <v>53.405807452741342</v>
      </c>
      <c r="D886" s="350">
        <f t="shared" si="861"/>
        <v>0.16134999999999747</v>
      </c>
      <c r="E886" s="359" cm="1">
        <f t="array" ref="E886">1000*SUM('DRE + DCF'!$L$36/M886,'DRE + DCF'!$N$36:$V$36/N886:V886,F886/V886)/Dashboard!$F$11</f>
        <v>150.39580745274134</v>
      </c>
      <c r="F886" s="359">
        <f t="shared" si="859"/>
        <v>19025605.241779797</v>
      </c>
      <c r="G886" s="359">
        <f>'DRE + DCF'!$W$31</f>
        <v>2791623.3540418856</v>
      </c>
      <c r="H886" s="359">
        <f>'DRE + DCF'!$W$32</f>
        <v>81081.931703745853</v>
      </c>
      <c r="I886" s="359">
        <f>-H886*('DRE + DCF'!$V$33+K886)/'DRE + DCF'!$V$33</f>
        <v>-90858.801614444121</v>
      </c>
      <c r="J886" s="359">
        <f>-'DRE + DCF'!$V$56*L886</f>
        <v>-1188924.4255577971</v>
      </c>
      <c r="K886" s="360">
        <f>(1+L886)/(1+Ke!$O$12)-1</f>
        <v>2.0000000000000018E-2</v>
      </c>
      <c r="L886" s="360">
        <f>'DRE + DCF'!$Y$31</f>
        <v>7.3550000000000004E-2</v>
      </c>
      <c r="M886" s="361">
        <f>(1+D886)^((5-Dashboard!$F$9)*3/12)</f>
        <v>1.1187224237650957</v>
      </c>
      <c r="N886" s="361">
        <f t="shared" ref="N886:V886" si="901">M886*(1+$D886)</f>
        <v>1.299228286839591</v>
      </c>
      <c r="O886" s="361">
        <f t="shared" si="901"/>
        <v>1.5088587709211556</v>
      </c>
      <c r="P886" s="361">
        <f t="shared" si="901"/>
        <v>1.7523131336092803</v>
      </c>
      <c r="Q886" s="361">
        <f t="shared" si="901"/>
        <v>2.0350488577171331</v>
      </c>
      <c r="R886" s="361">
        <f t="shared" si="901"/>
        <v>2.3634039909097875</v>
      </c>
      <c r="S886" s="361">
        <f t="shared" si="901"/>
        <v>2.7447392248430758</v>
      </c>
      <c r="T886" s="361">
        <f t="shared" si="901"/>
        <v>3.187602898771499</v>
      </c>
      <c r="U886" s="361">
        <f t="shared" si="901"/>
        <v>3.7019226264882721</v>
      </c>
      <c r="V886" s="362">
        <f t="shared" si="901"/>
        <v>4.2992278422721455</v>
      </c>
      <c r="X886" s="351"/>
    </row>
    <row r="887" spans="3:24" ht="24.75" customHeight="1" x14ac:dyDescent="0.3">
      <c r="C887" s="353">
        <f>ABS(E887-Dashboard!$F$14)</f>
        <v>53.237672715854288</v>
      </c>
      <c r="D887" s="350">
        <f t="shared" si="861"/>
        <v>0.16144999999999746</v>
      </c>
      <c r="E887" s="359" cm="1">
        <f t="array" ref="E887">1000*SUM('DRE + DCF'!$L$36/M887,'DRE + DCF'!$N$36:$V$36/N887:V887,F887/V887)/Dashboard!$F$11</f>
        <v>150.22767271585428</v>
      </c>
      <c r="F887" s="359">
        <f t="shared" si="859"/>
        <v>19008773.861610129</v>
      </c>
      <c r="G887" s="359">
        <f>'DRE + DCF'!$W$31</f>
        <v>2791623.3540418856</v>
      </c>
      <c r="H887" s="359">
        <f>'DRE + DCF'!$W$32</f>
        <v>81081.931703745853</v>
      </c>
      <c r="I887" s="359">
        <f>-H887*('DRE + DCF'!$V$33+K887)/'DRE + DCF'!$V$33</f>
        <v>-90858.801614444121</v>
      </c>
      <c r="J887" s="359">
        <f>-'DRE + DCF'!$V$56*L887</f>
        <v>-1188924.4255577971</v>
      </c>
      <c r="K887" s="360">
        <f>(1+L887)/(1+Ke!$O$12)-1</f>
        <v>2.0000000000000018E-2</v>
      </c>
      <c r="L887" s="360">
        <f>'DRE + DCF'!$Y$31</f>
        <v>7.3550000000000004E-2</v>
      </c>
      <c r="M887" s="361">
        <f>(1+D887)^((5-Dashboard!$F$9)*3/12)</f>
        <v>1.1187946700980065</v>
      </c>
      <c r="N887" s="361">
        <f t="shared" ref="N887:V887" si="902">M887*(1+$D887)</f>
        <v>1.2994240695853267</v>
      </c>
      <c r="O887" s="361">
        <f t="shared" si="902"/>
        <v>1.5092160856198744</v>
      </c>
      <c r="P887" s="361">
        <f t="shared" si="902"/>
        <v>1.7528790226431992</v>
      </c>
      <c r="Q887" s="361">
        <f t="shared" si="902"/>
        <v>2.0358813408489391</v>
      </c>
      <c r="R887" s="361">
        <f t="shared" si="902"/>
        <v>2.3645743833289949</v>
      </c>
      <c r="S887" s="361">
        <f t="shared" si="902"/>
        <v>2.746334917517455</v>
      </c>
      <c r="T887" s="361">
        <f t="shared" si="902"/>
        <v>3.189730689950641</v>
      </c>
      <c r="U887" s="361">
        <f t="shared" si="902"/>
        <v>3.704712709843164</v>
      </c>
      <c r="V887" s="362">
        <f t="shared" si="902"/>
        <v>4.302838576847333</v>
      </c>
      <c r="X887" s="351"/>
    </row>
    <row r="888" spans="3:24" ht="24.75" customHeight="1" x14ac:dyDescent="0.3">
      <c r="C888" s="353">
        <f>ABS(E888-Dashboard!$F$14)</f>
        <v>53.069871336088497</v>
      </c>
      <c r="D888" s="350">
        <f t="shared" si="861"/>
        <v>0.16154999999999745</v>
      </c>
      <c r="E888" s="359" cm="1">
        <f t="array" ref="E888">1000*SUM('DRE + DCF'!$L$36/M888,'DRE + DCF'!$N$36:$V$36/N888:V888,F888/V888)/Dashboard!$F$11</f>
        <v>150.05987133608849</v>
      </c>
      <c r="F888" s="359">
        <f t="shared" si="859"/>
        <v>18991974.782547064</v>
      </c>
      <c r="G888" s="359">
        <f>'DRE + DCF'!$W$31</f>
        <v>2791623.3540418856</v>
      </c>
      <c r="H888" s="359">
        <f>'DRE + DCF'!$W$32</f>
        <v>81081.931703745853</v>
      </c>
      <c r="I888" s="359">
        <f>-H888*('DRE + DCF'!$V$33+K888)/'DRE + DCF'!$V$33</f>
        <v>-90858.801614444121</v>
      </c>
      <c r="J888" s="359">
        <f>-'DRE + DCF'!$V$56*L888</f>
        <v>-1188924.4255577971</v>
      </c>
      <c r="K888" s="360">
        <f>(1+L888)/(1+Ke!$O$12)-1</f>
        <v>2.0000000000000018E-2</v>
      </c>
      <c r="L888" s="360">
        <f>'DRE + DCF'!$Y$31</f>
        <v>7.3550000000000004E-2</v>
      </c>
      <c r="M888" s="361">
        <f>(1+D888)^((5-Dashboard!$F$9)*3/12)</f>
        <v>1.1188669148758448</v>
      </c>
      <c r="N888" s="361">
        <f t="shared" ref="N888:V888" si="903">M888*(1+$D888)</f>
        <v>1.2996198649740347</v>
      </c>
      <c r="O888" s="361">
        <f t="shared" si="903"/>
        <v>1.5095734541605867</v>
      </c>
      <c r="P888" s="361">
        <f t="shared" si="903"/>
        <v>1.7534450456802257</v>
      </c>
      <c r="Q888" s="361">
        <f t="shared" si="903"/>
        <v>2.0367140928098615</v>
      </c>
      <c r="R888" s="361">
        <f t="shared" si="903"/>
        <v>2.3657452545032895</v>
      </c>
      <c r="S888" s="361">
        <f t="shared" si="903"/>
        <v>2.74793140036829</v>
      </c>
      <c r="T888" s="361">
        <f t="shared" si="903"/>
        <v>3.1918597180977799</v>
      </c>
      <c r="U888" s="361">
        <f t="shared" si="903"/>
        <v>3.7075046555564679</v>
      </c>
      <c r="V888" s="362">
        <f t="shared" si="903"/>
        <v>4.306452032661606</v>
      </c>
      <c r="X888" s="351"/>
    </row>
    <row r="889" spans="3:24" ht="24.75" customHeight="1" x14ac:dyDescent="0.3">
      <c r="C889" s="353">
        <f>ABS(E889-Dashboard!$F$14)</f>
        <v>52.902402325541701</v>
      </c>
      <c r="D889" s="350">
        <f t="shared" si="861"/>
        <v>0.16164999999999743</v>
      </c>
      <c r="E889" s="359" cm="1">
        <f t="array" ref="E889">1000*SUM('DRE + DCF'!$L$36/M889,'DRE + DCF'!$N$36:$V$36/N889:V889,F889/V889)/Dashboard!$F$11</f>
        <v>149.8924023255417</v>
      </c>
      <c r="F889" s="359">
        <f t="shared" si="859"/>
        <v>18975207.905631781</v>
      </c>
      <c r="G889" s="359">
        <f>'DRE + DCF'!$W$31</f>
        <v>2791623.3540418856</v>
      </c>
      <c r="H889" s="359">
        <f>'DRE + DCF'!$W$32</f>
        <v>81081.931703745853</v>
      </c>
      <c r="I889" s="359">
        <f>-H889*('DRE + DCF'!$V$33+K889)/'DRE + DCF'!$V$33</f>
        <v>-90858.801614444121</v>
      </c>
      <c r="J889" s="359">
        <f>-'DRE + DCF'!$V$56*L889</f>
        <v>-1188924.4255577971</v>
      </c>
      <c r="K889" s="360">
        <f>(1+L889)/(1+Ke!$O$12)-1</f>
        <v>2.0000000000000018E-2</v>
      </c>
      <c r="L889" s="360">
        <f>'DRE + DCF'!$Y$31</f>
        <v>7.3550000000000004E-2</v>
      </c>
      <c r="M889" s="361">
        <f>(1+D889)^((5-Dashboard!$F$9)*3/12)</f>
        <v>1.118939158098778</v>
      </c>
      <c r="N889" s="361">
        <f t="shared" ref="N889:V889" si="904">M889*(1+$D889)</f>
        <v>1.2998156730054424</v>
      </c>
      <c r="O889" s="361">
        <f t="shared" si="904"/>
        <v>1.5099308765467687</v>
      </c>
      <c r="P889" s="361">
        <f t="shared" si="904"/>
        <v>1.7540112027405499</v>
      </c>
      <c r="Q889" s="361">
        <f t="shared" si="904"/>
        <v>2.0375471136635555</v>
      </c>
      <c r="R889" s="361">
        <f t="shared" si="904"/>
        <v>2.3669166045872641</v>
      </c>
      <c r="S889" s="361">
        <f t="shared" si="904"/>
        <v>2.749528673718789</v>
      </c>
      <c r="T889" s="361">
        <f t="shared" si="904"/>
        <v>3.193989983825424</v>
      </c>
      <c r="U889" s="361">
        <f t="shared" si="904"/>
        <v>3.7102984647107955</v>
      </c>
      <c r="V889" s="362">
        <f t="shared" si="904"/>
        <v>4.3100682115312861</v>
      </c>
      <c r="X889" s="351"/>
    </row>
    <row r="890" spans="3:24" ht="24.75" customHeight="1" x14ac:dyDescent="0.3">
      <c r="C890" s="353">
        <f>ABS(E890-Dashboard!$F$14)</f>
        <v>52.735264700355046</v>
      </c>
      <c r="D890" s="350">
        <f t="shared" si="861"/>
        <v>0.16174999999999742</v>
      </c>
      <c r="E890" s="359" cm="1">
        <f t="array" ref="E890">1000*SUM('DRE + DCF'!$L$36/M890,'DRE + DCF'!$N$36:$V$36/N890:V890,F890/V890)/Dashboard!$F$11</f>
        <v>149.72526470035504</v>
      </c>
      <c r="F890" s="359">
        <f t="shared" si="859"/>
        <v>18958473.132327013</v>
      </c>
      <c r="G890" s="359">
        <f>'DRE + DCF'!$W$31</f>
        <v>2791623.3540418856</v>
      </c>
      <c r="H890" s="359">
        <f>'DRE + DCF'!$W$32</f>
        <v>81081.931703745853</v>
      </c>
      <c r="I890" s="359">
        <f>-H890*('DRE + DCF'!$V$33+K890)/'DRE + DCF'!$V$33</f>
        <v>-90858.801614444121</v>
      </c>
      <c r="J890" s="359">
        <f>-'DRE + DCF'!$V$56*L890</f>
        <v>-1188924.4255577971</v>
      </c>
      <c r="K890" s="360">
        <f>(1+L890)/(1+Ke!$O$12)-1</f>
        <v>2.0000000000000018E-2</v>
      </c>
      <c r="L890" s="360">
        <f>'DRE + DCF'!$Y$31</f>
        <v>7.3550000000000004E-2</v>
      </c>
      <c r="M890" s="361">
        <f>(1+D890)^((5-Dashboard!$F$9)*3/12)</f>
        <v>1.1190113997669735</v>
      </c>
      <c r="N890" s="361">
        <f t="shared" ref="N890:V890" si="905">M890*(1+$D890)</f>
        <v>1.3000114936792786</v>
      </c>
      <c r="O890" s="361">
        <f t="shared" si="905"/>
        <v>1.5102883527818984</v>
      </c>
      <c r="P890" s="361">
        <f t="shared" si="905"/>
        <v>1.7545774938443666</v>
      </c>
      <c r="Q890" s="361">
        <f t="shared" si="905"/>
        <v>2.0383804034736883</v>
      </c>
      <c r="R890" s="361">
        <f t="shared" si="905"/>
        <v>2.3680884337355521</v>
      </c>
      <c r="S890" s="361">
        <f t="shared" si="905"/>
        <v>2.7511267378922715</v>
      </c>
      <c r="T890" s="361">
        <f t="shared" si="905"/>
        <v>3.1961214877463391</v>
      </c>
      <c r="U890" s="361">
        <f t="shared" si="905"/>
        <v>3.7130941383893012</v>
      </c>
      <c r="V890" s="362">
        <f t="shared" si="905"/>
        <v>4.313687115273761</v>
      </c>
      <c r="X890" s="351"/>
    </row>
    <row r="891" spans="3:24" ht="24.75" customHeight="1" x14ac:dyDescent="0.3">
      <c r="C891" s="353">
        <f>ABS(E891-Dashboard!$F$14)</f>
        <v>52.568457480692004</v>
      </c>
      <c r="D891" s="350">
        <f t="shared" si="861"/>
        <v>0.16184999999999741</v>
      </c>
      <c r="E891" s="359" cm="1">
        <f t="array" ref="E891">1000*SUM('DRE + DCF'!$L$36/M891,'DRE + DCF'!$N$36:$V$36/N891:V891,F891/V891)/Dashboard!$F$11</f>
        <v>149.558457480692</v>
      </c>
      <c r="F891" s="359">
        <f t="shared" si="859"/>
        <v>18941770.364514709</v>
      </c>
      <c r="G891" s="359">
        <f>'DRE + DCF'!$W$31</f>
        <v>2791623.3540418856</v>
      </c>
      <c r="H891" s="359">
        <f>'DRE + DCF'!$W$32</f>
        <v>81081.931703745853</v>
      </c>
      <c r="I891" s="359">
        <f>-H891*('DRE + DCF'!$V$33+K891)/'DRE + DCF'!$V$33</f>
        <v>-90858.801614444121</v>
      </c>
      <c r="J891" s="359">
        <f>-'DRE + DCF'!$V$56*L891</f>
        <v>-1188924.4255577971</v>
      </c>
      <c r="K891" s="360">
        <f>(1+L891)/(1+Ke!$O$12)-1</f>
        <v>2.0000000000000018E-2</v>
      </c>
      <c r="L891" s="360">
        <f>'DRE + DCF'!$Y$31</f>
        <v>7.3550000000000004E-2</v>
      </c>
      <c r="M891" s="361">
        <f>(1+D891)^((5-Dashboard!$F$9)*3/12)</f>
        <v>1.1190836398805983</v>
      </c>
      <c r="N891" s="361">
        <f t="shared" ref="N891:V891" si="906">M891*(1+$D891)</f>
        <v>1.3002073269952703</v>
      </c>
      <c r="O891" s="361">
        <f t="shared" si="906"/>
        <v>1.5106458828694513</v>
      </c>
      <c r="P891" s="361">
        <f t="shared" si="906"/>
        <v>1.7551439190118681</v>
      </c>
      <c r="Q891" s="361">
        <f t="shared" si="906"/>
        <v>2.0392139623039345</v>
      </c>
      <c r="R891" s="361">
        <f t="shared" si="906"/>
        <v>2.3692607421028211</v>
      </c>
      <c r="S891" s="361">
        <f t="shared" si="906"/>
        <v>2.7527255932121566</v>
      </c>
      <c r="T891" s="361">
        <f t="shared" si="906"/>
        <v>3.1982542304735371</v>
      </c>
      <c r="U891" s="361">
        <f t="shared" si="906"/>
        <v>3.7158916776756707</v>
      </c>
      <c r="V891" s="362">
        <f t="shared" si="906"/>
        <v>4.3173087457074679</v>
      </c>
      <c r="X891" s="351"/>
    </row>
    <row r="892" spans="3:24" ht="24.75" customHeight="1" x14ac:dyDescent="0.3">
      <c r="C892" s="353">
        <f>ABS(E892-Dashboard!$F$14)</f>
        <v>52.401979690716914</v>
      </c>
      <c r="D892" s="350">
        <f t="shared" si="861"/>
        <v>0.1619499999999974</v>
      </c>
      <c r="E892" s="359" cm="1">
        <f t="array" ref="E892">1000*SUM('DRE + DCF'!$L$36/M892,'DRE + DCF'!$N$36:$V$36/N892:V892,F892/V892)/Dashboard!$F$11</f>
        <v>149.39197969071691</v>
      </c>
      <c r="F892" s="359">
        <f t="shared" si="859"/>
        <v>18925099.504493795</v>
      </c>
      <c r="G892" s="359">
        <f>'DRE + DCF'!$W$31</f>
        <v>2791623.3540418856</v>
      </c>
      <c r="H892" s="359">
        <f>'DRE + DCF'!$W$32</f>
        <v>81081.931703745853</v>
      </c>
      <c r="I892" s="359">
        <f>-H892*('DRE + DCF'!$V$33+K892)/'DRE + DCF'!$V$33</f>
        <v>-90858.801614444121</v>
      </c>
      <c r="J892" s="359">
        <f>-'DRE + DCF'!$V$56*L892</f>
        <v>-1188924.4255577971</v>
      </c>
      <c r="K892" s="360">
        <f>(1+L892)/(1+Ke!$O$12)-1</f>
        <v>2.0000000000000018E-2</v>
      </c>
      <c r="L892" s="360">
        <f>'DRE + DCF'!$Y$31</f>
        <v>7.3550000000000004E-2</v>
      </c>
      <c r="M892" s="361">
        <f>(1+D892)^((5-Dashboard!$F$9)*3/12)</f>
        <v>1.1191558784398201</v>
      </c>
      <c r="N892" s="361">
        <f t="shared" ref="N892:V892" si="907">M892*(1+$D892)</f>
        <v>1.300403172953146</v>
      </c>
      <c r="O892" s="361">
        <f t="shared" si="907"/>
        <v>1.5110034668129046</v>
      </c>
      <c r="P892" s="361">
        <f t="shared" si="907"/>
        <v>1.7557104782632507</v>
      </c>
      <c r="Q892" s="361">
        <f t="shared" si="907"/>
        <v>2.0400477902179794</v>
      </c>
      <c r="R892" s="361">
        <f t="shared" si="907"/>
        <v>2.3704335298437758</v>
      </c>
      <c r="S892" s="361">
        <f t="shared" si="907"/>
        <v>2.7543252400019691</v>
      </c>
      <c r="T892" s="361">
        <f t="shared" si="907"/>
        <v>3.2003882126202807</v>
      </c>
      <c r="U892" s="361">
        <f t="shared" si="907"/>
        <v>3.7186910836541269</v>
      </c>
      <c r="V892" s="362">
        <f t="shared" si="907"/>
        <v>4.3209331046519033</v>
      </c>
      <c r="X892" s="351"/>
    </row>
    <row r="893" spans="3:24" ht="24.75" customHeight="1" x14ac:dyDescent="0.3">
      <c r="C893" s="353">
        <f>ABS(E893-Dashboard!$F$14)</f>
        <v>52.235830358573637</v>
      </c>
      <c r="D893" s="350">
        <f t="shared" si="861"/>
        <v>0.16204999999999739</v>
      </c>
      <c r="E893" s="359" cm="1">
        <f t="array" ref="E893">1000*SUM('DRE + DCF'!$L$36/M893,'DRE + DCF'!$N$36:$V$36/N893:V893,F893/V893)/Dashboard!$F$11</f>
        <v>149.22583035857363</v>
      </c>
      <c r="F893" s="359">
        <f t="shared" si="859"/>
        <v>18908460.454977833</v>
      </c>
      <c r="G893" s="359">
        <f>'DRE + DCF'!$W$31</f>
        <v>2791623.3540418856</v>
      </c>
      <c r="H893" s="359">
        <f>'DRE + DCF'!$W$32</f>
        <v>81081.931703745853</v>
      </c>
      <c r="I893" s="359">
        <f>-H893*('DRE + DCF'!$V$33+K893)/'DRE + DCF'!$V$33</f>
        <v>-90858.801614444121</v>
      </c>
      <c r="J893" s="359">
        <f>-'DRE + DCF'!$V$56*L893</f>
        <v>-1188924.4255577971</v>
      </c>
      <c r="K893" s="360">
        <f>(1+L893)/(1+Ke!$O$12)-1</f>
        <v>2.0000000000000018E-2</v>
      </c>
      <c r="L893" s="360">
        <f>'DRE + DCF'!$Y$31</f>
        <v>7.3550000000000004E-2</v>
      </c>
      <c r="M893" s="361">
        <f>(1+D893)^((5-Dashboard!$F$9)*3/12)</f>
        <v>1.1192281154448056</v>
      </c>
      <c r="N893" s="361">
        <f t="shared" ref="N893:V893" si="908">M893*(1+$D893)</f>
        <v>1.3005990315526335</v>
      </c>
      <c r="O893" s="361">
        <f t="shared" si="908"/>
        <v>1.5113611046157343</v>
      </c>
      <c r="P893" s="361">
        <f t="shared" si="908"/>
        <v>1.75627717161871</v>
      </c>
      <c r="Q893" s="361">
        <f t="shared" si="908"/>
        <v>2.0408818872795171</v>
      </c>
      <c r="R893" s="361">
        <f t="shared" si="908"/>
        <v>2.3716067971131576</v>
      </c>
      <c r="S893" s="361">
        <f t="shared" si="908"/>
        <v>2.7559256785853385</v>
      </c>
      <c r="T893" s="361">
        <f t="shared" si="908"/>
        <v>3.2025234348000855</v>
      </c>
      <c r="U893" s="361">
        <f t="shared" si="908"/>
        <v>3.721492357409431</v>
      </c>
      <c r="V893" s="362">
        <f t="shared" si="908"/>
        <v>4.3245601939276197</v>
      </c>
      <c r="X893" s="351"/>
    </row>
    <row r="894" spans="3:24" ht="24.75" customHeight="1" x14ac:dyDescent="0.3">
      <c r="C894" s="353">
        <f>ABS(E894-Dashboard!$F$14)</f>
        <v>52.070008516364865</v>
      </c>
      <c r="D894" s="350">
        <f t="shared" si="861"/>
        <v>0.16214999999999738</v>
      </c>
      <c r="E894" s="359" cm="1">
        <f t="array" ref="E894">1000*SUM('DRE + DCF'!$L$36/M894,'DRE + DCF'!$N$36:$V$36/N894:V894,F894/V894)/Dashboard!$F$11</f>
        <v>149.06000851636486</v>
      </c>
      <c r="F894" s="359">
        <f t="shared" si="859"/>
        <v>18891853.119092844</v>
      </c>
      <c r="G894" s="359">
        <f>'DRE + DCF'!$W$31</f>
        <v>2791623.3540418856</v>
      </c>
      <c r="H894" s="359">
        <f>'DRE + DCF'!$W$32</f>
        <v>81081.931703745853</v>
      </c>
      <c r="I894" s="359">
        <f>-H894*('DRE + DCF'!$V$33+K894)/'DRE + DCF'!$V$33</f>
        <v>-90858.801614444121</v>
      </c>
      <c r="J894" s="359">
        <f>-'DRE + DCF'!$V$56*L894</f>
        <v>-1188924.4255577971</v>
      </c>
      <c r="K894" s="360">
        <f>(1+L894)/(1+Ke!$O$12)-1</f>
        <v>2.0000000000000018E-2</v>
      </c>
      <c r="L894" s="360">
        <f>'DRE + DCF'!$Y$31</f>
        <v>7.3550000000000004E-2</v>
      </c>
      <c r="M894" s="361">
        <f>(1+D894)^((5-Dashboard!$F$9)*3/12)</f>
        <v>1.1193003508957224</v>
      </c>
      <c r="N894" s="361">
        <f t="shared" ref="N894:V894" si="909">M894*(1+$D894)</f>
        <v>1.3007949027934609</v>
      </c>
      <c r="O894" s="361">
        <f t="shared" si="909"/>
        <v>1.5117187962814171</v>
      </c>
      <c r="P894" s="361">
        <f t="shared" si="909"/>
        <v>1.756843999098445</v>
      </c>
      <c r="Q894" s="361">
        <f t="shared" si="909"/>
        <v>2.0417162535522531</v>
      </c>
      <c r="R894" s="361">
        <f t="shared" si="909"/>
        <v>2.3727805440657455</v>
      </c>
      <c r="S894" s="361">
        <f t="shared" si="909"/>
        <v>2.7575269092859997</v>
      </c>
      <c r="T894" s="361">
        <f t="shared" si="909"/>
        <v>3.2046598976267173</v>
      </c>
      <c r="U894" s="361">
        <f t="shared" si="909"/>
        <v>3.7242955000268809</v>
      </c>
      <c r="V894" s="362">
        <f t="shared" si="909"/>
        <v>4.3281900153562294</v>
      </c>
      <c r="X894" s="351"/>
    </row>
    <row r="895" spans="3:24" ht="24.75" customHeight="1" x14ac:dyDescent="0.3">
      <c r="C895" s="353">
        <f>ABS(E895-Dashboard!$F$14)</f>
        <v>51.904513200130836</v>
      </c>
      <c r="D895" s="350">
        <f t="shared" si="861"/>
        <v>0.16224999999999737</v>
      </c>
      <c r="E895" s="359" cm="1">
        <f t="array" ref="E895">1000*SUM('DRE + DCF'!$L$36/M895,'DRE + DCF'!$N$36:$V$36/N895:V895,F895/V895)/Dashboard!$F$11</f>
        <v>148.89451320013083</v>
      </c>
      <c r="F895" s="359">
        <f t="shared" si="859"/>
        <v>18875277.400375001</v>
      </c>
      <c r="G895" s="359">
        <f>'DRE + DCF'!$W$31</f>
        <v>2791623.3540418856</v>
      </c>
      <c r="H895" s="359">
        <f>'DRE + DCF'!$W$32</f>
        <v>81081.931703745853</v>
      </c>
      <c r="I895" s="359">
        <f>-H895*('DRE + DCF'!$V$33+K895)/'DRE + DCF'!$V$33</f>
        <v>-90858.801614444121</v>
      </c>
      <c r="J895" s="359">
        <f>-'DRE + DCF'!$V$56*L895</f>
        <v>-1188924.4255577971</v>
      </c>
      <c r="K895" s="360">
        <f>(1+L895)/(1+Ke!$O$12)-1</f>
        <v>2.0000000000000018E-2</v>
      </c>
      <c r="L895" s="360">
        <f>'DRE + DCF'!$Y$31</f>
        <v>7.3550000000000004E-2</v>
      </c>
      <c r="M895" s="361">
        <f>(1+D895)^((5-Dashboard!$F$9)*3/12)</f>
        <v>1.1193725847927376</v>
      </c>
      <c r="N895" s="361">
        <f t="shared" ref="N895:V895" si="910">M895*(1+$D895)</f>
        <v>1.3009907866753563</v>
      </c>
      <c r="O895" s="361">
        <f t="shared" si="910"/>
        <v>1.5120765418134294</v>
      </c>
      <c r="P895" s="361">
        <f t="shared" si="910"/>
        <v>1.7574109607226542</v>
      </c>
      <c r="Q895" s="361">
        <f t="shared" si="910"/>
        <v>2.0425508890999002</v>
      </c>
      <c r="R895" s="361">
        <f t="shared" si="910"/>
        <v>2.3739547708563538</v>
      </c>
      <c r="S895" s="361">
        <f t="shared" si="910"/>
        <v>2.759128932427791</v>
      </c>
      <c r="T895" s="361">
        <f t="shared" si="910"/>
        <v>3.2067976017141926</v>
      </c>
      <c r="U895" s="361">
        <f t="shared" si="910"/>
        <v>3.7271005125923118</v>
      </c>
      <c r="V895" s="362">
        <f t="shared" si="910"/>
        <v>4.3318225707604041</v>
      </c>
      <c r="X895" s="351"/>
    </row>
    <row r="896" spans="3:24" ht="24.75" customHeight="1" x14ac:dyDescent="0.3">
      <c r="C896" s="353">
        <f>ABS(E896-Dashboard!$F$14)</f>
        <v>51.739343449828922</v>
      </c>
      <c r="D896" s="350">
        <f t="shared" si="861"/>
        <v>0.16234999999999736</v>
      </c>
      <c r="E896" s="359" cm="1">
        <f t="array" ref="E896">1000*SUM('DRE + DCF'!$L$36/M896,'DRE + DCF'!$N$36:$V$36/N896:V896,F896/V896)/Dashboard!$F$11</f>
        <v>148.72934344982892</v>
      </c>
      <c r="F896" s="359">
        <f t="shared" si="859"/>
        <v>18858733.20276843</v>
      </c>
      <c r="G896" s="359">
        <f>'DRE + DCF'!$W$31</f>
        <v>2791623.3540418856</v>
      </c>
      <c r="H896" s="359">
        <f>'DRE + DCF'!$W$32</f>
        <v>81081.931703745853</v>
      </c>
      <c r="I896" s="359">
        <f>-H896*('DRE + DCF'!$V$33+K896)/'DRE + DCF'!$V$33</f>
        <v>-90858.801614444121</v>
      </c>
      <c r="J896" s="359">
        <f>-'DRE + DCF'!$V$56*L896</f>
        <v>-1188924.4255577971</v>
      </c>
      <c r="K896" s="360">
        <f>(1+L896)/(1+Ke!$O$12)-1</f>
        <v>2.0000000000000018E-2</v>
      </c>
      <c r="L896" s="360">
        <f>'DRE + DCF'!$Y$31</f>
        <v>7.3550000000000004E-2</v>
      </c>
      <c r="M896" s="361">
        <f>(1+D896)^((5-Dashboard!$F$9)*3/12)</f>
        <v>1.1194448171360181</v>
      </c>
      <c r="N896" s="361">
        <f t="shared" ref="N896:V896" si="911">M896*(1+$D896)</f>
        <v>1.3011866831980476</v>
      </c>
      <c r="O896" s="361">
        <f t="shared" si="911"/>
        <v>1.5124343412152472</v>
      </c>
      <c r="P896" s="361">
        <f t="shared" si="911"/>
        <v>1.7579780565115386</v>
      </c>
      <c r="Q896" s="361">
        <f t="shared" si="911"/>
        <v>2.0433857939861824</v>
      </c>
      <c r="R896" s="361">
        <f t="shared" si="911"/>
        <v>2.3751294776398337</v>
      </c>
      <c r="S896" s="361">
        <f t="shared" si="911"/>
        <v>2.7607317483346545</v>
      </c>
      <c r="T896" s="361">
        <f t="shared" si="911"/>
        <v>3.2089365476767782</v>
      </c>
      <c r="U896" s="361">
        <f t="shared" si="911"/>
        <v>3.7299073961920945</v>
      </c>
      <c r="V896" s="362">
        <f t="shared" si="911"/>
        <v>4.3354578619638708</v>
      </c>
      <c r="X896" s="351"/>
    </row>
    <row r="897" spans="3:24" ht="24.75" customHeight="1" x14ac:dyDescent="0.3">
      <c r="C897" s="353">
        <f>ABS(E897-Dashboard!$F$14)</f>
        <v>51.57449830931283</v>
      </c>
      <c r="D897" s="350">
        <f t="shared" si="861"/>
        <v>0.16244999999999735</v>
      </c>
      <c r="E897" s="359" cm="1">
        <f t="array" ref="E897">1000*SUM('DRE + DCF'!$L$36/M897,'DRE + DCF'!$N$36:$V$36/N897:V897,F897/V897)/Dashboard!$F$11</f>
        <v>148.56449830931282</v>
      </c>
      <c r="F897" s="359">
        <f t="shared" si="859"/>
        <v>18842220.430622987</v>
      </c>
      <c r="G897" s="359">
        <f>'DRE + DCF'!$W$31</f>
        <v>2791623.3540418856</v>
      </c>
      <c r="H897" s="359">
        <f>'DRE + DCF'!$W$32</f>
        <v>81081.931703745853</v>
      </c>
      <c r="I897" s="359">
        <f>-H897*('DRE + DCF'!$V$33+K897)/'DRE + DCF'!$V$33</f>
        <v>-90858.801614444121</v>
      </c>
      <c r="J897" s="359">
        <f>-'DRE + DCF'!$V$56*L897</f>
        <v>-1188924.4255577971</v>
      </c>
      <c r="K897" s="360">
        <f>(1+L897)/(1+Ke!$O$12)-1</f>
        <v>2.0000000000000018E-2</v>
      </c>
      <c r="L897" s="360">
        <f>'DRE + DCF'!$Y$31</f>
        <v>7.3550000000000004E-2</v>
      </c>
      <c r="M897" s="361">
        <f>(1+D897)^((5-Dashboard!$F$9)*3/12)</f>
        <v>1.1195170479257313</v>
      </c>
      <c r="N897" s="361">
        <f t="shared" ref="N897:V897" si="912">M897*(1+$D897)</f>
        <v>1.3013825923612632</v>
      </c>
      <c r="O897" s="361">
        <f t="shared" si="912"/>
        <v>1.5127921944903469</v>
      </c>
      <c r="P897" s="361">
        <f t="shared" si="912"/>
        <v>1.7585452864852997</v>
      </c>
      <c r="Q897" s="361">
        <f t="shared" si="912"/>
        <v>2.044220968274832</v>
      </c>
      <c r="R897" s="361">
        <f t="shared" si="912"/>
        <v>2.376304664571073</v>
      </c>
      <c r="S897" s="361">
        <f t="shared" si="912"/>
        <v>2.7623353573306373</v>
      </c>
      <c r="T897" s="361">
        <f t="shared" si="912"/>
        <v>3.2110767361289918</v>
      </c>
      <c r="U897" s="361">
        <f t="shared" si="912"/>
        <v>3.732716151913138</v>
      </c>
      <c r="V897" s="362">
        <f t="shared" si="912"/>
        <v>4.339095890791417</v>
      </c>
      <c r="X897" s="351"/>
    </row>
    <row r="898" spans="3:24" ht="24.75" customHeight="1" x14ac:dyDescent="0.3">
      <c r="C898" s="353">
        <f>ABS(E898-Dashboard!$F$14)</f>
        <v>51.40997682631199</v>
      </c>
      <c r="D898" s="350">
        <f t="shared" si="861"/>
        <v>0.16254999999999734</v>
      </c>
      <c r="E898" s="359" cm="1">
        <f t="array" ref="E898">1000*SUM('DRE + DCF'!$L$36/M898,'DRE + DCF'!$N$36:$V$36/N898:V898,F898/V898)/Dashboard!$F$11</f>
        <v>148.39997682631198</v>
      </c>
      <c r="F898" s="359">
        <f t="shared" si="859"/>
        <v>18825738.988692079</v>
      </c>
      <c r="G898" s="359">
        <f>'DRE + DCF'!$W$31</f>
        <v>2791623.3540418856</v>
      </c>
      <c r="H898" s="359">
        <f>'DRE + DCF'!$W$32</f>
        <v>81081.931703745853</v>
      </c>
      <c r="I898" s="359">
        <f>-H898*('DRE + DCF'!$V$33+K898)/'DRE + DCF'!$V$33</f>
        <v>-90858.801614444121</v>
      </c>
      <c r="J898" s="359">
        <f>-'DRE + DCF'!$V$56*L898</f>
        <v>-1188924.4255577971</v>
      </c>
      <c r="K898" s="360">
        <f>(1+L898)/(1+Ke!$O$12)-1</f>
        <v>2.0000000000000018E-2</v>
      </c>
      <c r="L898" s="360">
        <f>'DRE + DCF'!$Y$31</f>
        <v>7.3550000000000004E-2</v>
      </c>
      <c r="M898" s="361">
        <f>(1+D898)^((5-Dashboard!$F$9)*3/12)</f>
        <v>1.1195892771620439</v>
      </c>
      <c r="N898" s="361">
        <f t="shared" ref="N898:V898" si="913">M898*(1+$D898)</f>
        <v>1.3015785141647311</v>
      </c>
      <c r="O898" s="361">
        <f t="shared" si="913"/>
        <v>1.5131501016422046</v>
      </c>
      <c r="P898" s="361">
        <f t="shared" si="913"/>
        <v>1.759112650664141</v>
      </c>
      <c r="Q898" s="361">
        <f t="shared" si="913"/>
        <v>2.0450564120295924</v>
      </c>
      <c r="R898" s="361">
        <f t="shared" si="913"/>
        <v>2.3774803318049971</v>
      </c>
      <c r="S898" s="361">
        <f t="shared" si="913"/>
        <v>2.7639397597398929</v>
      </c>
      <c r="T898" s="361">
        <f t="shared" si="913"/>
        <v>3.2132181676856049</v>
      </c>
      <c r="U898" s="361">
        <f t="shared" si="913"/>
        <v>3.7355267808428914</v>
      </c>
      <c r="V898" s="362">
        <f t="shared" si="913"/>
        <v>4.3427366590688932</v>
      </c>
      <c r="X898" s="351"/>
    </row>
    <row r="899" spans="3:24" ht="24.75" customHeight="1" x14ac:dyDescent="0.3">
      <c r="C899" s="353">
        <f>ABS(E899-Dashboard!$F$14)</f>
        <v>51.245778052411524</v>
      </c>
      <c r="D899" s="350">
        <f t="shared" si="861"/>
        <v>0.16264999999999732</v>
      </c>
      <c r="E899" s="359" cm="1">
        <f t="array" ref="E899">1000*SUM('DRE + DCF'!$L$36/M899,'DRE + DCF'!$N$36:$V$36/N899:V899,F899/V899)/Dashboard!$F$11</f>
        <v>148.23577805241152</v>
      </c>
      <c r="F899" s="359">
        <f t="shared" si="859"/>
        <v>18809288.782130461</v>
      </c>
      <c r="G899" s="359">
        <f>'DRE + DCF'!$W$31</f>
        <v>2791623.3540418856</v>
      </c>
      <c r="H899" s="359">
        <f>'DRE + DCF'!$W$32</f>
        <v>81081.931703745853</v>
      </c>
      <c r="I899" s="359">
        <f>-H899*('DRE + DCF'!$V$33+K899)/'DRE + DCF'!$V$33</f>
        <v>-90858.801614444121</v>
      </c>
      <c r="J899" s="359">
        <f>-'DRE + DCF'!$V$56*L899</f>
        <v>-1188924.4255577971</v>
      </c>
      <c r="K899" s="360">
        <f>(1+L899)/(1+Ke!$O$12)-1</f>
        <v>2.0000000000000018E-2</v>
      </c>
      <c r="L899" s="360">
        <f>'DRE + DCF'!$Y$31</f>
        <v>7.3550000000000004E-2</v>
      </c>
      <c r="M899" s="361">
        <f>(1+D899)^((5-Dashboard!$F$9)*3/12)</f>
        <v>1.1196615048451231</v>
      </c>
      <c r="N899" s="361">
        <f t="shared" ref="N899:V899" si="914">M899*(1+$D899)</f>
        <v>1.3017744486081793</v>
      </c>
      <c r="O899" s="361">
        <f t="shared" si="914"/>
        <v>1.5135080626742961</v>
      </c>
      <c r="P899" s="361">
        <f t="shared" si="914"/>
        <v>1.7596801490682663</v>
      </c>
      <c r="Q899" s="361">
        <f t="shared" si="914"/>
        <v>2.0458921253142153</v>
      </c>
      <c r="R899" s="361">
        <f t="shared" si="914"/>
        <v>2.3786564794965668</v>
      </c>
      <c r="S899" s="361">
        <f t="shared" si="914"/>
        <v>2.7655449558866771</v>
      </c>
      <c r="T899" s="361">
        <f t="shared" si="914"/>
        <v>3.2153608429616378</v>
      </c>
      <c r="U899" s="361">
        <f t="shared" si="914"/>
        <v>3.7383392840693395</v>
      </c>
      <c r="V899" s="362">
        <f t="shared" si="914"/>
        <v>4.3463801686232078</v>
      </c>
      <c r="X899" s="351"/>
    </row>
    <row r="900" spans="3:24" ht="24.75" customHeight="1" x14ac:dyDescent="0.3">
      <c r="C900" s="353">
        <f>ABS(E900-Dashboard!$F$14)</f>
        <v>51.081901043031749</v>
      </c>
      <c r="D900" s="350">
        <f t="shared" si="861"/>
        <v>0.16274999999999731</v>
      </c>
      <c r="E900" s="359" cm="1">
        <f t="array" ref="E900">1000*SUM('DRE + DCF'!$L$36/M900,'DRE + DCF'!$N$36:$V$36/N900:V900,F900/V900)/Dashboard!$F$11</f>
        <v>148.07190104303174</v>
      </c>
      <c r="F900" s="359">
        <f t="shared" si="859"/>
        <v>18792869.716492064</v>
      </c>
      <c r="G900" s="359">
        <f>'DRE + DCF'!$W$31</f>
        <v>2791623.3540418856</v>
      </c>
      <c r="H900" s="359">
        <f>'DRE + DCF'!$W$32</f>
        <v>81081.931703745853</v>
      </c>
      <c r="I900" s="359">
        <f>-H900*('DRE + DCF'!$V$33+K900)/'DRE + DCF'!$V$33</f>
        <v>-90858.801614444121</v>
      </c>
      <c r="J900" s="359">
        <f>-'DRE + DCF'!$V$56*L900</f>
        <v>-1188924.4255577971</v>
      </c>
      <c r="K900" s="360">
        <f>(1+L900)/(1+Ke!$O$12)-1</f>
        <v>2.0000000000000018E-2</v>
      </c>
      <c r="L900" s="360">
        <f>'DRE + DCF'!$Y$31</f>
        <v>7.3550000000000004E-2</v>
      </c>
      <c r="M900" s="361">
        <f>(1+D900)^((5-Dashboard!$F$9)*3/12)</f>
        <v>1.1197337309751358</v>
      </c>
      <c r="N900" s="361">
        <f t="shared" ref="N900:V900" si="915">M900*(1+$D900)</f>
        <v>1.3019703956913362</v>
      </c>
      <c r="O900" s="361">
        <f t="shared" si="915"/>
        <v>1.5138660775900976</v>
      </c>
      <c r="P900" s="361">
        <f t="shared" si="915"/>
        <v>1.7602477817178819</v>
      </c>
      <c r="Q900" s="361">
        <f t="shared" si="915"/>
        <v>2.0467281081924624</v>
      </c>
      <c r="R900" s="361">
        <f t="shared" si="915"/>
        <v>2.3798331078007799</v>
      </c>
      <c r="S900" s="361">
        <f t="shared" si="915"/>
        <v>2.7671509460953505</v>
      </c>
      <c r="T900" s="361">
        <f t="shared" si="915"/>
        <v>3.2175047625723612</v>
      </c>
      <c r="U900" s="361">
        <f t="shared" si="915"/>
        <v>3.741153662681004</v>
      </c>
      <c r="V900" s="362">
        <f t="shared" si="915"/>
        <v>4.350026421282327</v>
      </c>
      <c r="X900" s="351"/>
    </row>
    <row r="901" spans="3:24" ht="24.75" customHeight="1" x14ac:dyDescent="0.3">
      <c r="C901" s="353">
        <f>ABS(E901-Dashboard!$F$14)</f>
        <v>50.918344857408059</v>
      </c>
      <c r="D901" s="350">
        <f t="shared" si="861"/>
        <v>0.1628499999999973</v>
      </c>
      <c r="E901" s="359" cm="1">
        <f t="array" ref="E901">1000*SUM('DRE + DCF'!$L$36/M901,'DRE + DCF'!$N$36:$V$36/N901:V901,F901/V901)/Dashboard!$F$11</f>
        <v>147.90834485740805</v>
      </c>
      <c r="F901" s="359">
        <f t="shared" si="859"/>
        <v>18776481.697727863</v>
      </c>
      <c r="G901" s="359">
        <f>'DRE + DCF'!$W$31</f>
        <v>2791623.3540418856</v>
      </c>
      <c r="H901" s="359">
        <f>'DRE + DCF'!$W$32</f>
        <v>81081.931703745853</v>
      </c>
      <c r="I901" s="359">
        <f>-H901*('DRE + DCF'!$V$33+K901)/'DRE + DCF'!$V$33</f>
        <v>-90858.801614444121</v>
      </c>
      <c r="J901" s="359">
        <f>-'DRE + DCF'!$V$56*L901</f>
        <v>-1188924.4255577971</v>
      </c>
      <c r="K901" s="360">
        <f>(1+L901)/(1+Ke!$O$12)-1</f>
        <v>2.0000000000000018E-2</v>
      </c>
      <c r="L901" s="360">
        <f>'DRE + DCF'!$Y$31</f>
        <v>7.3550000000000004E-2</v>
      </c>
      <c r="M901" s="361">
        <f>(1+D901)^((5-Dashboard!$F$9)*3/12)</f>
        <v>1.1198059555522493</v>
      </c>
      <c r="N901" s="361">
        <f t="shared" ref="N901:V901" si="916">M901*(1+$D901)</f>
        <v>1.30216635541393</v>
      </c>
      <c r="O901" s="361">
        <f t="shared" si="916"/>
        <v>1.514224146393085</v>
      </c>
      <c r="P901" s="361">
        <f t="shared" si="916"/>
        <v>1.7608155486331947</v>
      </c>
      <c r="Q901" s="361">
        <f t="shared" si="916"/>
        <v>2.0475643607281055</v>
      </c>
      <c r="R901" s="361">
        <f t="shared" si="916"/>
        <v>2.3810102168726721</v>
      </c>
      <c r="S901" s="361">
        <f t="shared" si="916"/>
        <v>2.7687577306903801</v>
      </c>
      <c r="T901" s="361">
        <f t="shared" si="916"/>
        <v>3.2196499271333008</v>
      </c>
      <c r="U901" s="361">
        <f t="shared" si="916"/>
        <v>3.7439699177669499</v>
      </c>
      <c r="V901" s="362">
        <f t="shared" si="916"/>
        <v>4.3536754188752873</v>
      </c>
      <c r="X901" s="351"/>
    </row>
    <row r="902" spans="3:24" ht="24.75" customHeight="1" x14ac:dyDescent="0.3">
      <c r="C902" s="353">
        <f>ABS(E902-Dashboard!$F$14)</f>
        <v>50.755108558571195</v>
      </c>
      <c r="D902" s="350">
        <f t="shared" si="861"/>
        <v>0.16294999999999729</v>
      </c>
      <c r="E902" s="359" cm="1">
        <f t="array" ref="E902">1000*SUM('DRE + DCF'!$L$36/M902,'DRE + DCF'!$N$36:$V$36/N902:V902,F902/V902)/Dashboard!$F$11</f>
        <v>147.74510855857119</v>
      </c>
      <c r="F902" s="359">
        <f t="shared" si="859"/>
        <v>18760124.632183716</v>
      </c>
      <c r="G902" s="359">
        <f>'DRE + DCF'!$W$31</f>
        <v>2791623.3540418856</v>
      </c>
      <c r="H902" s="359">
        <f>'DRE + DCF'!$W$32</f>
        <v>81081.931703745853</v>
      </c>
      <c r="I902" s="359">
        <f>-H902*('DRE + DCF'!$V$33+K902)/'DRE + DCF'!$V$33</f>
        <v>-90858.801614444121</v>
      </c>
      <c r="J902" s="359">
        <f>-'DRE + DCF'!$V$56*L902</f>
        <v>-1188924.4255577971</v>
      </c>
      <c r="K902" s="360">
        <f>(1+L902)/(1+Ke!$O$12)-1</f>
        <v>2.0000000000000018E-2</v>
      </c>
      <c r="L902" s="360">
        <f>'DRE + DCF'!$Y$31</f>
        <v>7.3550000000000004E-2</v>
      </c>
      <c r="M902" s="361">
        <f>(1+D902)^((5-Dashboard!$F$9)*3/12)</f>
        <v>1.1198781785766301</v>
      </c>
      <c r="N902" s="361">
        <f t="shared" ref="N902:V902" si="917">M902*(1+$D902)</f>
        <v>1.3023623277756888</v>
      </c>
      <c r="O902" s="361">
        <f t="shared" si="917"/>
        <v>1.5145822690867337</v>
      </c>
      <c r="P902" s="361">
        <f t="shared" si="917"/>
        <v>1.7613834498344128</v>
      </c>
      <c r="Q902" s="361">
        <f t="shared" si="917"/>
        <v>2.0484008829849256</v>
      </c>
      <c r="R902" s="361">
        <f t="shared" si="917"/>
        <v>2.3821878068673135</v>
      </c>
      <c r="S902" s="361">
        <f t="shared" si="917"/>
        <v>2.7703653099963357</v>
      </c>
      <c r="T902" s="361">
        <f t="shared" si="917"/>
        <v>3.2217963372602312</v>
      </c>
      <c r="U902" s="361">
        <f t="shared" si="917"/>
        <v>3.746788050416777</v>
      </c>
      <c r="V902" s="362">
        <f t="shared" si="917"/>
        <v>4.3573271632321804</v>
      </c>
      <c r="X902" s="351"/>
    </row>
    <row r="903" spans="3:24" ht="24.75" customHeight="1" x14ac:dyDescent="0.3">
      <c r="C903" s="353">
        <f>ABS(E903-Dashboard!$F$14)</f>
        <v>50.592191213327155</v>
      </c>
      <c r="D903" s="350">
        <f t="shared" si="861"/>
        <v>0.16304999999999728</v>
      </c>
      <c r="E903" s="359" cm="1">
        <f t="array" ref="E903">1000*SUM('DRE + DCF'!$L$36/M903,'DRE + DCF'!$N$36:$V$36/N903:V903,F903/V903)/Dashboard!$F$11</f>
        <v>147.58219121332715</v>
      </c>
      <c r="F903" s="359">
        <f t="shared" si="859"/>
        <v>18743798.426598229</v>
      </c>
      <c r="G903" s="359">
        <f>'DRE + DCF'!$W$31</f>
        <v>2791623.3540418856</v>
      </c>
      <c r="H903" s="359">
        <f>'DRE + DCF'!$W$32</f>
        <v>81081.931703745853</v>
      </c>
      <c r="I903" s="359">
        <f>-H903*('DRE + DCF'!$V$33+K903)/'DRE + DCF'!$V$33</f>
        <v>-90858.801614444121</v>
      </c>
      <c r="J903" s="359">
        <f>-'DRE + DCF'!$V$56*L903</f>
        <v>-1188924.4255577971</v>
      </c>
      <c r="K903" s="360">
        <f>(1+L903)/(1+Ke!$O$12)-1</f>
        <v>2.0000000000000018E-2</v>
      </c>
      <c r="L903" s="360">
        <f>'DRE + DCF'!$Y$31</f>
        <v>7.3550000000000004E-2</v>
      </c>
      <c r="M903" s="361">
        <f>(1+D903)^((5-Dashboard!$F$9)*3/12)</f>
        <v>1.1199504000484453</v>
      </c>
      <c r="N903" s="361">
        <f t="shared" ref="N903:V903" si="918">M903*(1+$D903)</f>
        <v>1.3025583127763412</v>
      </c>
      <c r="O903" s="361">
        <f t="shared" si="918"/>
        <v>1.5149404456745199</v>
      </c>
      <c r="P903" s="361">
        <f t="shared" si="918"/>
        <v>1.7619514853417462</v>
      </c>
      <c r="Q903" s="361">
        <f t="shared" si="918"/>
        <v>2.0492376750267129</v>
      </c>
      <c r="R903" s="361">
        <f t="shared" si="918"/>
        <v>2.3833658779398128</v>
      </c>
      <c r="S903" s="361">
        <f t="shared" si="918"/>
        <v>2.7719736843378926</v>
      </c>
      <c r="T903" s="361">
        <f t="shared" si="918"/>
        <v>3.2239439935691783</v>
      </c>
      <c r="U903" s="361">
        <f t="shared" si="918"/>
        <v>3.749608061720624</v>
      </c>
      <c r="V903" s="362">
        <f t="shared" si="918"/>
        <v>4.360981656184161</v>
      </c>
      <c r="X903" s="351"/>
    </row>
    <row r="904" spans="3:24" ht="24.75" customHeight="1" x14ac:dyDescent="0.3">
      <c r="C904" s="353">
        <f>ABS(E904-Dashboard!$F$14)</f>
        <v>50.42959189223761</v>
      </c>
      <c r="D904" s="350">
        <f t="shared" si="861"/>
        <v>0.16314999999999727</v>
      </c>
      <c r="E904" s="359" cm="1">
        <f t="array" ref="E904">1000*SUM('DRE + DCF'!$L$36/M904,'DRE + DCF'!$N$36:$V$36/N904:V904,F904/V904)/Dashboard!$F$11</f>
        <v>147.41959189223761</v>
      </c>
      <c r="F904" s="359">
        <f t="shared" si="859"/>
        <v>18727502.988100689</v>
      </c>
      <c r="G904" s="359">
        <f>'DRE + DCF'!$W$31</f>
        <v>2791623.3540418856</v>
      </c>
      <c r="H904" s="359">
        <f>'DRE + DCF'!$W$32</f>
        <v>81081.931703745853</v>
      </c>
      <c r="I904" s="359">
        <f>-H904*('DRE + DCF'!$V$33+K904)/'DRE + DCF'!$V$33</f>
        <v>-90858.801614444121</v>
      </c>
      <c r="J904" s="359">
        <f>-'DRE + DCF'!$V$56*L904</f>
        <v>-1188924.4255577971</v>
      </c>
      <c r="K904" s="360">
        <f>(1+L904)/(1+Ke!$O$12)-1</f>
        <v>2.0000000000000018E-2</v>
      </c>
      <c r="L904" s="360">
        <f>'DRE + DCF'!$Y$31</f>
        <v>7.3550000000000004E-2</v>
      </c>
      <c r="M904" s="361">
        <f>(1+D904)^((5-Dashboard!$F$9)*3/12)</f>
        <v>1.1200226199678618</v>
      </c>
      <c r="N904" s="361">
        <f t="shared" ref="N904:V904" si="919">M904*(1+$D904)</f>
        <v>1.3027543104156154</v>
      </c>
      <c r="O904" s="361">
        <f t="shared" si="919"/>
        <v>1.5152986761599194</v>
      </c>
      <c r="P904" s="361">
        <f t="shared" si="919"/>
        <v>1.7625196551754061</v>
      </c>
      <c r="Q904" s="361">
        <f t="shared" si="919"/>
        <v>2.0500747369172689</v>
      </c>
      <c r="R904" s="361">
        <f t="shared" si="919"/>
        <v>2.3845444302453158</v>
      </c>
      <c r="S904" s="361">
        <f t="shared" si="919"/>
        <v>2.7735828540398324</v>
      </c>
      <c r="T904" s="361">
        <f t="shared" si="919"/>
        <v>3.2260928966764233</v>
      </c>
      <c r="U904" s="361">
        <f t="shared" si="919"/>
        <v>3.7524299527691727</v>
      </c>
      <c r="V904" s="362">
        <f t="shared" si="919"/>
        <v>4.3646388995634524</v>
      </c>
      <c r="X904" s="351"/>
    </row>
    <row r="905" spans="3:24" ht="24.75" customHeight="1" x14ac:dyDescent="0.3">
      <c r="C905" s="353">
        <f>ABS(E905-Dashboard!$F$14)</f>
        <v>50.26730966960038</v>
      </c>
      <c r="D905" s="350">
        <f t="shared" si="861"/>
        <v>0.16324999999999726</v>
      </c>
      <c r="E905" s="359" cm="1">
        <f t="array" ref="E905">1000*SUM('DRE + DCF'!$L$36/M905,'DRE + DCF'!$N$36:$V$36/N905:V905,F905/V905)/Dashboard!$F$11</f>
        <v>147.25730966960037</v>
      </c>
      <c r="F905" s="359">
        <f t="shared" si="859"/>
        <v>18711238.224208903</v>
      </c>
      <c r="G905" s="359">
        <f>'DRE + DCF'!$W$31</f>
        <v>2791623.3540418856</v>
      </c>
      <c r="H905" s="359">
        <f>'DRE + DCF'!$W$32</f>
        <v>81081.931703745853</v>
      </c>
      <c r="I905" s="359">
        <f>-H905*('DRE + DCF'!$V$33+K905)/'DRE + DCF'!$V$33</f>
        <v>-90858.801614444121</v>
      </c>
      <c r="J905" s="359">
        <f>-'DRE + DCF'!$V$56*L905</f>
        <v>-1188924.4255577971</v>
      </c>
      <c r="K905" s="360">
        <f>(1+L905)/(1+Ke!$O$12)-1</f>
        <v>2.0000000000000018E-2</v>
      </c>
      <c r="L905" s="360">
        <f>'DRE + DCF'!$Y$31</f>
        <v>7.3550000000000004E-2</v>
      </c>
      <c r="M905" s="361">
        <f>(1+D905)^((5-Dashboard!$F$9)*3/12)</f>
        <v>1.1200948383350462</v>
      </c>
      <c r="N905" s="361">
        <f t="shared" ref="N905:V905" si="920">M905*(1+$D905)</f>
        <v>1.3029503206932393</v>
      </c>
      <c r="O905" s="361">
        <f t="shared" si="920"/>
        <v>1.515656960546407</v>
      </c>
      <c r="P905" s="361">
        <f t="shared" si="920"/>
        <v>1.7630879593556037</v>
      </c>
      <c r="Q905" s="361">
        <f t="shared" si="920"/>
        <v>2.0509120687204012</v>
      </c>
      <c r="R905" s="361">
        <f t="shared" si="920"/>
        <v>2.385723463939001</v>
      </c>
      <c r="S905" s="361">
        <f t="shared" si="920"/>
        <v>2.7751928194270366</v>
      </c>
      <c r="T905" s="361">
        <f t="shared" si="920"/>
        <v>3.2282430471984926</v>
      </c>
      <c r="U905" s="361">
        <f t="shared" si="920"/>
        <v>3.7552537246536377</v>
      </c>
      <c r="V905" s="362">
        <f t="shared" si="920"/>
        <v>4.3682988952033339</v>
      </c>
      <c r="X905" s="351"/>
    </row>
    <row r="906" spans="3:24" ht="24.75" customHeight="1" x14ac:dyDescent="0.3">
      <c r="C906" s="353">
        <f>ABS(E906-Dashboard!$F$14)</f>
        <v>50.105343623429846</v>
      </c>
      <c r="D906" s="350">
        <f t="shared" si="861"/>
        <v>0.16334999999999725</v>
      </c>
      <c r="E906" s="359" cm="1">
        <f t="array" ref="E906">1000*SUM('DRE + DCF'!$L$36/M906,'DRE + DCF'!$N$36:$V$36/N906:V906,F906/V906)/Dashboard!$F$11</f>
        <v>147.09534362342984</v>
      </c>
      <c r="F906" s="359">
        <f t="shared" si="859"/>
        <v>18695004.042827159</v>
      </c>
      <c r="G906" s="359">
        <f>'DRE + DCF'!$W$31</f>
        <v>2791623.3540418856</v>
      </c>
      <c r="H906" s="359">
        <f>'DRE + DCF'!$W$32</f>
        <v>81081.931703745853</v>
      </c>
      <c r="I906" s="359">
        <f>-H906*('DRE + DCF'!$V$33+K906)/'DRE + DCF'!$V$33</f>
        <v>-90858.801614444121</v>
      </c>
      <c r="J906" s="359">
        <f>-'DRE + DCF'!$V$56*L906</f>
        <v>-1188924.4255577971</v>
      </c>
      <c r="K906" s="360">
        <f>(1+L906)/(1+Ke!$O$12)-1</f>
        <v>2.0000000000000018E-2</v>
      </c>
      <c r="L906" s="360">
        <f>'DRE + DCF'!$Y$31</f>
        <v>7.3550000000000004E-2</v>
      </c>
      <c r="M906" s="361">
        <f>(1+D906)^((5-Dashboard!$F$9)*3/12)</f>
        <v>1.1201670551501655</v>
      </c>
      <c r="N906" s="361">
        <f t="shared" ref="N906:V906" si="921">M906*(1+$D906)</f>
        <v>1.3031463436089419</v>
      </c>
      <c r="O906" s="361">
        <f t="shared" si="921"/>
        <v>1.5160152988374589</v>
      </c>
      <c r="P906" s="361">
        <f t="shared" si="921"/>
        <v>1.7636563979025537</v>
      </c>
      <c r="Q906" s="361">
        <f t="shared" si="921"/>
        <v>2.0517496704999307</v>
      </c>
      <c r="R906" s="361">
        <f t="shared" si="921"/>
        <v>2.3869029791760887</v>
      </c>
      <c r="S906" s="361">
        <f t="shared" si="921"/>
        <v>2.7768035808244962</v>
      </c>
      <c r="T906" s="361">
        <f t="shared" si="921"/>
        <v>3.2303944457521698</v>
      </c>
      <c r="U906" s="361">
        <f t="shared" si="921"/>
        <v>3.7580793784657778</v>
      </c>
      <c r="V906" s="362">
        <f t="shared" si="921"/>
        <v>4.3719616449381524</v>
      </c>
      <c r="X906" s="351"/>
    </row>
    <row r="907" spans="3:24" ht="24.75" customHeight="1" x14ac:dyDescent="0.3">
      <c r="C907" s="353">
        <f>ABS(E907-Dashboard!$F$14)</f>
        <v>49.943692835437574</v>
      </c>
      <c r="D907" s="350">
        <f t="shared" si="861"/>
        <v>0.16344999999999724</v>
      </c>
      <c r="E907" s="359" cm="1">
        <f t="array" ref="E907">1000*SUM('DRE + DCF'!$L$36/M907,'DRE + DCF'!$N$36:$V$36/N907:V907,F907/V907)/Dashboard!$F$11</f>
        <v>146.93369283543757</v>
      </c>
      <c r="F907" s="359">
        <f t="shared" si="859"/>
        <v>18678800.352244142</v>
      </c>
      <c r="G907" s="359">
        <f>'DRE + DCF'!$W$31</f>
        <v>2791623.3540418856</v>
      </c>
      <c r="H907" s="359">
        <f>'DRE + DCF'!$W$32</f>
        <v>81081.931703745853</v>
      </c>
      <c r="I907" s="359">
        <f>-H907*('DRE + DCF'!$V$33+K907)/'DRE + DCF'!$V$33</f>
        <v>-90858.801614444121</v>
      </c>
      <c r="J907" s="359">
        <f>-'DRE + DCF'!$V$56*L907</f>
        <v>-1188924.4255577971</v>
      </c>
      <c r="K907" s="360">
        <f>(1+L907)/(1+Ke!$O$12)-1</f>
        <v>2.0000000000000018E-2</v>
      </c>
      <c r="L907" s="360">
        <f>'DRE + DCF'!$Y$31</f>
        <v>7.3550000000000004E-2</v>
      </c>
      <c r="M907" s="361">
        <f>(1+D907)^((5-Dashboard!$F$9)*3/12)</f>
        <v>1.1202392704133866</v>
      </c>
      <c r="N907" s="361">
        <f t="shared" ref="N907:V907" si="922">M907*(1+$D907)</f>
        <v>1.3033423791624514</v>
      </c>
      <c r="O907" s="361">
        <f t="shared" si="922"/>
        <v>1.5163736910365504</v>
      </c>
      <c r="P907" s="361">
        <f t="shared" si="922"/>
        <v>1.7642249708364703</v>
      </c>
      <c r="Q907" s="361">
        <f t="shared" si="922"/>
        <v>2.0525875423196864</v>
      </c>
      <c r="R907" s="361">
        <f t="shared" si="922"/>
        <v>2.3880829761118334</v>
      </c>
      <c r="S907" s="361">
        <f t="shared" si="922"/>
        <v>2.7784151385573059</v>
      </c>
      <c r="T907" s="361">
        <f t="shared" si="922"/>
        <v>3.2325470929544897</v>
      </c>
      <c r="U907" s="361">
        <f t="shared" si="922"/>
        <v>3.760906915297892</v>
      </c>
      <c r="V907" s="362">
        <f t="shared" si="922"/>
        <v>4.3756271506033215</v>
      </c>
      <c r="X907" s="351"/>
    </row>
    <row r="908" spans="3:24" ht="24.75" customHeight="1" x14ac:dyDescent="0.3">
      <c r="C908" s="353">
        <f>ABS(E908-Dashboard!$F$14)</f>
        <v>49.782356391013266</v>
      </c>
      <c r="D908" s="350">
        <f t="shared" si="861"/>
        <v>0.16354999999999723</v>
      </c>
      <c r="E908" s="359" cm="1">
        <f t="array" ref="E908">1000*SUM('DRE + DCF'!$L$36/M908,'DRE + DCF'!$N$36:$V$36/N908:V908,F908/V908)/Dashboard!$F$11</f>
        <v>146.77235639101326</v>
      </c>
      <c r="F908" s="359">
        <f t="shared" si="859"/>
        <v>18662627.061130863</v>
      </c>
      <c r="G908" s="359">
        <f>'DRE + DCF'!$W$31</f>
        <v>2791623.3540418856</v>
      </c>
      <c r="H908" s="359">
        <f>'DRE + DCF'!$W$32</f>
        <v>81081.931703745853</v>
      </c>
      <c r="I908" s="359">
        <f>-H908*('DRE + DCF'!$V$33+K908)/'DRE + DCF'!$V$33</f>
        <v>-90858.801614444121</v>
      </c>
      <c r="J908" s="359">
        <f>-'DRE + DCF'!$V$56*L908</f>
        <v>-1188924.4255577971</v>
      </c>
      <c r="K908" s="360">
        <f>(1+L908)/(1+Ke!$O$12)-1</f>
        <v>2.0000000000000018E-2</v>
      </c>
      <c r="L908" s="360">
        <f>'DRE + DCF'!$Y$31</f>
        <v>7.3550000000000004E-2</v>
      </c>
      <c r="M908" s="361">
        <f>(1+D908)^((5-Dashboard!$F$9)*3/12)</f>
        <v>1.1203114841248758</v>
      </c>
      <c r="N908" s="361">
        <f t="shared" ref="N908:V908" si="923">M908*(1+$D908)</f>
        <v>1.303538427353496</v>
      </c>
      <c r="O908" s="361">
        <f t="shared" si="923"/>
        <v>1.5167321371471567</v>
      </c>
      <c r="P908" s="361">
        <f t="shared" si="923"/>
        <v>1.7647936781775699</v>
      </c>
      <c r="Q908" s="361">
        <f t="shared" si="923"/>
        <v>2.0534256842435066</v>
      </c>
      <c r="R908" s="361">
        <f t="shared" si="923"/>
        <v>2.3892634549015264</v>
      </c>
      <c r="S908" s="361">
        <f t="shared" si="923"/>
        <v>2.7800274929506643</v>
      </c>
      <c r="T908" s="361">
        <f t="shared" si="923"/>
        <v>3.2347009894227376</v>
      </c>
      <c r="U908" s="361">
        <f t="shared" si="923"/>
        <v>3.7637363362428173</v>
      </c>
      <c r="V908" s="362">
        <f t="shared" si="923"/>
        <v>4.3792954140353197</v>
      </c>
      <c r="X908" s="351"/>
    </row>
    <row r="909" spans="3:24" ht="24.75" customHeight="1" x14ac:dyDescent="0.3">
      <c r="C909" s="353">
        <f>ABS(E909-Dashboard!$F$14)</f>
        <v>49.621333379205637</v>
      </c>
      <c r="D909" s="350">
        <f t="shared" si="861"/>
        <v>0.16364999999999721</v>
      </c>
      <c r="E909" s="359" cm="1">
        <f t="array" ref="E909">1000*SUM('DRE + DCF'!$L$36/M909,'DRE + DCF'!$N$36:$V$36/N909:V909,F909/V909)/Dashboard!$F$11</f>
        <v>146.61133337920563</v>
      </c>
      <c r="F909" s="359">
        <f t="shared" si="859"/>
        <v>18646484.078538623</v>
      </c>
      <c r="G909" s="359">
        <f>'DRE + DCF'!$W$31</f>
        <v>2791623.3540418856</v>
      </c>
      <c r="H909" s="359">
        <f>'DRE + DCF'!$W$32</f>
        <v>81081.931703745853</v>
      </c>
      <c r="I909" s="359">
        <f>-H909*('DRE + DCF'!$V$33+K909)/'DRE + DCF'!$V$33</f>
        <v>-90858.801614444121</v>
      </c>
      <c r="J909" s="359">
        <f>-'DRE + DCF'!$V$56*L909</f>
        <v>-1188924.4255577971</v>
      </c>
      <c r="K909" s="360">
        <f>(1+L909)/(1+Ke!$O$12)-1</f>
        <v>2.0000000000000018E-2</v>
      </c>
      <c r="L909" s="360">
        <f>'DRE + DCF'!$Y$31</f>
        <v>7.3550000000000004E-2</v>
      </c>
      <c r="M909" s="361">
        <f>(1+D909)^((5-Dashboard!$F$9)*3/12)</f>
        <v>1.1203836962848002</v>
      </c>
      <c r="N909" s="361">
        <f t="shared" ref="N909:V909" si="924">M909*(1+$D909)</f>
        <v>1.3037344881818045</v>
      </c>
      <c r="O909" s="361">
        <f t="shared" si="924"/>
        <v>1.5170906371727531</v>
      </c>
      <c r="P909" s="361">
        <f t="shared" si="924"/>
        <v>1.7653625199460699</v>
      </c>
      <c r="Q909" s="361">
        <f t="shared" si="924"/>
        <v>2.0542640963352392</v>
      </c>
      <c r="R909" s="361">
        <f t="shared" si="924"/>
        <v>2.3904444157004954</v>
      </c>
      <c r="S909" s="361">
        <f t="shared" si="924"/>
        <v>2.7816406443298747</v>
      </c>
      <c r="T909" s="361">
        <f t="shared" si="924"/>
        <v>3.2368561357744507</v>
      </c>
      <c r="U909" s="361">
        <f t="shared" si="924"/>
        <v>3.7665676423939307</v>
      </c>
      <c r="V909" s="362">
        <f t="shared" si="924"/>
        <v>4.382966437071687</v>
      </c>
      <c r="X909" s="351"/>
    </row>
    <row r="910" spans="3:24" ht="24.75" customHeight="1" x14ac:dyDescent="0.3">
      <c r="C910" s="353">
        <f>ABS(E910-Dashboard!$F$14)</f>
        <v>49.460622892703313</v>
      </c>
      <c r="D910" s="350">
        <f t="shared" si="861"/>
        <v>0.1637499999999972</v>
      </c>
      <c r="E910" s="359" cm="1">
        <f t="array" ref="E910">1000*SUM('DRE + DCF'!$L$36/M910,'DRE + DCF'!$N$36:$V$36/N910:V910,F910/V910)/Dashboard!$F$11</f>
        <v>146.45062289270331</v>
      </c>
      <c r="F910" s="359">
        <f t="shared" ref="F910:F973" si="925">AVERAGE(SUM(G910:J910)*(1+L910)/(D910-L910),G910*(1+L910)*(1-L910/D910)/(D910-L910))</f>
        <v>18630371.313896995</v>
      </c>
      <c r="G910" s="359">
        <f>'DRE + DCF'!$W$31</f>
        <v>2791623.3540418856</v>
      </c>
      <c r="H910" s="359">
        <f>'DRE + DCF'!$W$32</f>
        <v>81081.931703745853</v>
      </c>
      <c r="I910" s="359">
        <f>-H910*('DRE + DCF'!$V$33+K910)/'DRE + DCF'!$V$33</f>
        <v>-90858.801614444121</v>
      </c>
      <c r="J910" s="359">
        <f>-'DRE + DCF'!$V$56*L910</f>
        <v>-1188924.4255577971</v>
      </c>
      <c r="K910" s="360">
        <f>(1+L910)/(1+Ke!$O$12)-1</f>
        <v>2.0000000000000018E-2</v>
      </c>
      <c r="L910" s="360">
        <f>'DRE + DCF'!$Y$31</f>
        <v>7.3550000000000004E-2</v>
      </c>
      <c r="M910" s="361">
        <f>(1+D910)^((5-Dashboard!$F$9)*3/12)</f>
        <v>1.1204559068933262</v>
      </c>
      <c r="N910" s="361">
        <f t="shared" ref="N910:V910" si="926">M910*(1+$D910)</f>
        <v>1.3039305616471053</v>
      </c>
      <c r="O910" s="361">
        <f t="shared" si="926"/>
        <v>1.5174491911168151</v>
      </c>
      <c r="P910" s="361">
        <f t="shared" si="926"/>
        <v>1.7659314961621893</v>
      </c>
      <c r="Q910" s="361">
        <f t="shared" si="926"/>
        <v>2.0551027786587426</v>
      </c>
      <c r="R910" s="361">
        <f t="shared" si="926"/>
        <v>2.3916258586641059</v>
      </c>
      <c r="S910" s="361">
        <f t="shared" si="926"/>
        <v>2.7832545930203465</v>
      </c>
      <c r="T910" s="361">
        <f t="shared" si="926"/>
        <v>3.2390125326274202</v>
      </c>
      <c r="U910" s="361">
        <f t="shared" si="926"/>
        <v>3.7694008348451509</v>
      </c>
      <c r="V910" s="362">
        <f t="shared" si="926"/>
        <v>4.3866402215510334</v>
      </c>
      <c r="X910" s="351"/>
    </row>
    <row r="911" spans="3:24" ht="24.75" customHeight="1" x14ac:dyDescent="0.3">
      <c r="C911" s="353">
        <f>ABS(E911-Dashboard!$F$14)</f>
        <v>49.300224027816128</v>
      </c>
      <c r="D911" s="350">
        <f t="shared" ref="D911:D974" si="927">D910+0.0001</f>
        <v>0.16384999999999719</v>
      </c>
      <c r="E911" s="359" cm="1">
        <f t="array" ref="E911">1000*SUM('DRE + DCF'!$L$36/M911,'DRE + DCF'!$N$36:$V$36/N911:V911,F911/V911)/Dashboard!$F$11</f>
        <v>146.29022402781612</v>
      </c>
      <c r="F911" s="359">
        <f t="shared" si="925"/>
        <v>18614288.67701178</v>
      </c>
      <c r="G911" s="359">
        <f>'DRE + DCF'!$W$31</f>
        <v>2791623.3540418856</v>
      </c>
      <c r="H911" s="359">
        <f>'DRE + DCF'!$W$32</f>
        <v>81081.931703745853</v>
      </c>
      <c r="I911" s="359">
        <f>-H911*('DRE + DCF'!$V$33+K911)/'DRE + DCF'!$V$33</f>
        <v>-90858.801614444121</v>
      </c>
      <c r="J911" s="359">
        <f>-'DRE + DCF'!$V$56*L911</f>
        <v>-1188924.4255577971</v>
      </c>
      <c r="K911" s="360">
        <f>(1+L911)/(1+Ke!$O$12)-1</f>
        <v>2.0000000000000018E-2</v>
      </c>
      <c r="L911" s="360">
        <f>'DRE + DCF'!$Y$31</f>
        <v>7.3550000000000004E-2</v>
      </c>
      <c r="M911" s="361">
        <f>(1+D911)^((5-Dashboard!$F$9)*3/12)</f>
        <v>1.1205281159506206</v>
      </c>
      <c r="N911" s="361">
        <f t="shared" ref="N911:V911" si="928">M911*(1+$D911)</f>
        <v>1.3041266477491267</v>
      </c>
      <c r="O911" s="361">
        <f t="shared" si="928"/>
        <v>1.5178077989828174</v>
      </c>
      <c r="P911" s="361">
        <f t="shared" si="928"/>
        <v>1.7665006068461477</v>
      </c>
      <c r="Q911" s="361">
        <f t="shared" si="928"/>
        <v>2.0559417312778838</v>
      </c>
      <c r="R911" s="361">
        <f t="shared" si="928"/>
        <v>2.3928077839477591</v>
      </c>
      <c r="S911" s="361">
        <f t="shared" si="928"/>
        <v>2.7848693393475927</v>
      </c>
      <c r="T911" s="361">
        <f t="shared" si="928"/>
        <v>3.241170180599688</v>
      </c>
      <c r="U911" s="361">
        <f t="shared" si="928"/>
        <v>3.7722359146909374</v>
      </c>
      <c r="V911" s="362">
        <f t="shared" si="928"/>
        <v>4.3903167693130367</v>
      </c>
      <c r="X911" s="351"/>
    </row>
    <row r="912" spans="3:24" ht="24.75" customHeight="1" x14ac:dyDescent="0.3">
      <c r="C912" s="353">
        <f>ABS(E912-Dashboard!$F$14)</f>
        <v>49.140135884456399</v>
      </c>
      <c r="D912" s="350">
        <f t="shared" si="927"/>
        <v>0.16394999999999718</v>
      </c>
      <c r="E912" s="359" cm="1">
        <f t="array" ref="E912">1000*SUM('DRE + DCF'!$L$36/M912,'DRE + DCF'!$N$36:$V$36/N912:V912,F912/V912)/Dashboard!$F$11</f>
        <v>146.13013588445639</v>
      </c>
      <c r="F912" s="359">
        <f t="shared" si="925"/>
        <v>18598236.078063034</v>
      </c>
      <c r="G912" s="359">
        <f>'DRE + DCF'!$W$31</f>
        <v>2791623.3540418856</v>
      </c>
      <c r="H912" s="359">
        <f>'DRE + DCF'!$W$32</f>
        <v>81081.931703745853</v>
      </c>
      <c r="I912" s="359">
        <f>-H912*('DRE + DCF'!$V$33+K912)/'DRE + DCF'!$V$33</f>
        <v>-90858.801614444121</v>
      </c>
      <c r="J912" s="359">
        <f>-'DRE + DCF'!$V$56*L912</f>
        <v>-1188924.4255577971</v>
      </c>
      <c r="K912" s="360">
        <f>(1+L912)/(1+Ke!$O$12)-1</f>
        <v>2.0000000000000018E-2</v>
      </c>
      <c r="L912" s="360">
        <f>'DRE + DCF'!$Y$31</f>
        <v>7.3550000000000004E-2</v>
      </c>
      <c r="M912" s="361">
        <f>(1+D912)^((5-Dashboard!$F$9)*3/12)</f>
        <v>1.12060032345685</v>
      </c>
      <c r="N912" s="361">
        <f t="shared" ref="N912:V912" si="929">M912*(1+$D912)</f>
        <v>1.3043227464875973</v>
      </c>
      <c r="O912" s="361">
        <f t="shared" si="929"/>
        <v>1.5181664607742351</v>
      </c>
      <c r="P912" s="361">
        <f t="shared" si="929"/>
        <v>1.7670698520181667</v>
      </c>
      <c r="Q912" s="361">
        <f t="shared" si="929"/>
        <v>2.0567809542565403</v>
      </c>
      <c r="R912" s="361">
        <f t="shared" si="929"/>
        <v>2.3939901917068944</v>
      </c>
      <c r="S912" s="361">
        <f t="shared" si="929"/>
        <v>2.7864848836372329</v>
      </c>
      <c r="T912" s="361">
        <f t="shared" si="929"/>
        <v>3.2433290803095494</v>
      </c>
      <c r="U912" s="361">
        <f t="shared" si="929"/>
        <v>3.775072883026291</v>
      </c>
      <c r="V912" s="362">
        <f t="shared" si="929"/>
        <v>4.3939960821984405</v>
      </c>
      <c r="X912" s="351"/>
    </row>
    <row r="913" spans="3:24" ht="24.75" customHeight="1" x14ac:dyDescent="0.3">
      <c r="C913" s="353">
        <f>ABS(E913-Dashboard!$F$14)</f>
        <v>48.98035756612019</v>
      </c>
      <c r="D913" s="350">
        <f t="shared" si="927"/>
        <v>0.16404999999999717</v>
      </c>
      <c r="E913" s="359" cm="1">
        <f t="array" ref="E913">1000*SUM('DRE + DCF'!$L$36/M913,'DRE + DCF'!$N$36:$V$36/N913:V913,F913/V913)/Dashboard!$F$11</f>
        <v>145.97035756612019</v>
      </c>
      <c r="F913" s="359">
        <f t="shared" si="925"/>
        <v>18582213.427603036</v>
      </c>
      <c r="G913" s="359">
        <f>'DRE + DCF'!$W$31</f>
        <v>2791623.3540418856</v>
      </c>
      <c r="H913" s="359">
        <f>'DRE + DCF'!$W$32</f>
        <v>81081.931703745853</v>
      </c>
      <c r="I913" s="359">
        <f>-H913*('DRE + DCF'!$V$33+K913)/'DRE + DCF'!$V$33</f>
        <v>-90858.801614444121</v>
      </c>
      <c r="J913" s="359">
        <f>-'DRE + DCF'!$V$56*L913</f>
        <v>-1188924.4255577971</v>
      </c>
      <c r="K913" s="360">
        <f>(1+L913)/(1+Ke!$O$12)-1</f>
        <v>2.0000000000000018E-2</v>
      </c>
      <c r="L913" s="360">
        <f>'DRE + DCF'!$Y$31</f>
        <v>7.3550000000000004E-2</v>
      </c>
      <c r="M913" s="361">
        <f>(1+D913)^((5-Dashboard!$F$9)*3/12)</f>
        <v>1.1206725294121809</v>
      </c>
      <c r="N913" s="361">
        <f t="shared" ref="N913:V913" si="930">M913*(1+$D913)</f>
        <v>1.304518857862246</v>
      </c>
      <c r="O913" s="361">
        <f t="shared" si="930"/>
        <v>1.5185251764945438</v>
      </c>
      <c r="P913" s="361">
        <f t="shared" si="930"/>
        <v>1.7676392316984693</v>
      </c>
      <c r="Q913" s="361">
        <f t="shared" si="930"/>
        <v>2.0576204476585982</v>
      </c>
      <c r="R913" s="361">
        <f t="shared" si="930"/>
        <v>2.3951730820969854</v>
      </c>
      <c r="S913" s="361">
        <f t="shared" si="930"/>
        <v>2.7881012262149891</v>
      </c>
      <c r="T913" s="361">
        <f t="shared" si="930"/>
        <v>3.24548923237555</v>
      </c>
      <c r="U913" s="361">
        <f t="shared" si="930"/>
        <v>3.7779117409467498</v>
      </c>
      <c r="V913" s="362">
        <f t="shared" si="930"/>
        <v>4.3976781620490533</v>
      </c>
      <c r="X913" s="351"/>
    </row>
    <row r="914" spans="3:24" ht="24.75" customHeight="1" x14ac:dyDescent="0.3">
      <c r="C914" s="353">
        <f>ABS(E914-Dashboard!$F$14)</f>
        <v>48.82088817986893</v>
      </c>
      <c r="D914" s="350">
        <f t="shared" si="927"/>
        <v>0.16414999999999716</v>
      </c>
      <c r="E914" s="359" cm="1">
        <f t="array" ref="E914">1000*SUM('DRE + DCF'!$L$36/M914,'DRE + DCF'!$N$36:$V$36/N914:V914,F914/V914)/Dashboard!$F$11</f>
        <v>145.81088817986893</v>
      </c>
      <c r="F914" s="359">
        <f t="shared" si="925"/>
        <v>18566220.636554342</v>
      </c>
      <c r="G914" s="359">
        <f>'DRE + DCF'!$W$31</f>
        <v>2791623.3540418856</v>
      </c>
      <c r="H914" s="359">
        <f>'DRE + DCF'!$W$32</f>
        <v>81081.931703745853</v>
      </c>
      <c r="I914" s="359">
        <f>-H914*('DRE + DCF'!$V$33+K914)/'DRE + DCF'!$V$33</f>
        <v>-90858.801614444121</v>
      </c>
      <c r="J914" s="359">
        <f>-'DRE + DCF'!$V$56*L914</f>
        <v>-1188924.4255577971</v>
      </c>
      <c r="K914" s="360">
        <f>(1+L914)/(1+Ke!$O$12)-1</f>
        <v>2.0000000000000018E-2</v>
      </c>
      <c r="L914" s="360">
        <f>'DRE + DCF'!$Y$31</f>
        <v>7.3550000000000004E-2</v>
      </c>
      <c r="M914" s="361">
        <f>(1+D914)^((5-Dashboard!$F$9)*3/12)</f>
        <v>1.12074473381678</v>
      </c>
      <c r="N914" s="361">
        <f t="shared" ref="N914:V914" si="931">M914*(1+$D914)</f>
        <v>1.3047149818728012</v>
      </c>
      <c r="O914" s="361">
        <f t="shared" si="931"/>
        <v>1.5188839461472179</v>
      </c>
      <c r="P914" s="361">
        <f t="shared" si="931"/>
        <v>1.7682087459072793</v>
      </c>
      <c r="Q914" s="361">
        <f t="shared" si="931"/>
        <v>2.058460211547954</v>
      </c>
      <c r="R914" s="361">
        <f t="shared" si="931"/>
        <v>2.3963564552735446</v>
      </c>
      <c r="S914" s="361">
        <f t="shared" si="931"/>
        <v>2.7897183674066901</v>
      </c>
      <c r="T914" s="361">
        <f t="shared" si="931"/>
        <v>3.2476506374164904</v>
      </c>
      <c r="U914" s="361">
        <f t="shared" si="931"/>
        <v>3.7807524895483979</v>
      </c>
      <c r="V914" s="362">
        <f t="shared" si="931"/>
        <v>4.4013630107077564</v>
      </c>
      <c r="X914" s="351"/>
    </row>
    <row r="915" spans="3:24" ht="24.75" customHeight="1" x14ac:dyDescent="0.3">
      <c r="C915" s="353">
        <f>ABS(E915-Dashboard!$F$14)</f>
        <v>48.661726836311104</v>
      </c>
      <c r="D915" s="350">
        <f t="shared" si="927"/>
        <v>0.16424999999999715</v>
      </c>
      <c r="E915" s="359" cm="1">
        <f t="array" ref="E915">1000*SUM('DRE + DCF'!$L$36/M915,'DRE + DCF'!$N$36:$V$36/N915:V915,F915/V915)/Dashboard!$F$11</f>
        <v>145.6517268363111</v>
      </c>
      <c r="F915" s="359">
        <f t="shared" si="925"/>
        <v>18550257.616207816</v>
      </c>
      <c r="G915" s="359">
        <f>'DRE + DCF'!$W$31</f>
        <v>2791623.3540418856</v>
      </c>
      <c r="H915" s="359">
        <f>'DRE + DCF'!$W$32</f>
        <v>81081.931703745853</v>
      </c>
      <c r="I915" s="359">
        <f>-H915*('DRE + DCF'!$V$33+K915)/'DRE + DCF'!$V$33</f>
        <v>-90858.801614444121</v>
      </c>
      <c r="J915" s="359">
        <f>-'DRE + DCF'!$V$56*L915</f>
        <v>-1188924.4255577971</v>
      </c>
      <c r="K915" s="360">
        <f>(1+L915)/(1+Ke!$O$12)-1</f>
        <v>2.0000000000000018E-2</v>
      </c>
      <c r="L915" s="360">
        <f>'DRE + DCF'!$Y$31</f>
        <v>7.3550000000000004E-2</v>
      </c>
      <c r="M915" s="361">
        <f>(1+D915)^((5-Dashboard!$F$9)*3/12)</f>
        <v>1.1208169366708136</v>
      </c>
      <c r="N915" s="361">
        <f t="shared" ref="N915:V915" si="932">M915*(1+$D915)</f>
        <v>1.3049111185189914</v>
      </c>
      <c r="O915" s="361">
        <f t="shared" si="932"/>
        <v>1.519242769735732</v>
      </c>
      <c r="P915" s="361">
        <f t="shared" si="932"/>
        <v>1.7687783946648217</v>
      </c>
      <c r="Q915" s="361">
        <f t="shared" si="932"/>
        <v>2.0593002459885135</v>
      </c>
      <c r="R915" s="361">
        <f t="shared" si="932"/>
        <v>2.3975403113921208</v>
      </c>
      <c r="S915" s="361">
        <f t="shared" si="932"/>
        <v>2.7913363075382698</v>
      </c>
      <c r="T915" s="361">
        <f t="shared" si="932"/>
        <v>3.2498132960514226</v>
      </c>
      <c r="U915" s="361">
        <f t="shared" si="932"/>
        <v>3.7835951299278592</v>
      </c>
      <c r="V915" s="362">
        <f t="shared" si="932"/>
        <v>4.4050506300184988</v>
      </c>
      <c r="X915" s="351"/>
    </row>
    <row r="916" spans="3:24" ht="24.75" customHeight="1" x14ac:dyDescent="0.3">
      <c r="C916" s="353">
        <f>ABS(E916-Dashboard!$F$14)</f>
        <v>48.502872649583722</v>
      </c>
      <c r="D916" s="350">
        <f t="shared" si="927"/>
        <v>0.16434999999999714</v>
      </c>
      <c r="E916" s="359" cm="1">
        <f t="array" ref="E916">1000*SUM('DRE + DCF'!$L$36/M916,'DRE + DCF'!$N$36:$V$36/N916:V916,F916/V916)/Dashboard!$F$11</f>
        <v>145.49287264958372</v>
      </c>
      <c r="F916" s="359">
        <f t="shared" si="925"/>
        <v>18534324.27822065</v>
      </c>
      <c r="G916" s="359">
        <f>'DRE + DCF'!$W$31</f>
        <v>2791623.3540418856</v>
      </c>
      <c r="H916" s="359">
        <f>'DRE + DCF'!$W$32</f>
        <v>81081.931703745853</v>
      </c>
      <c r="I916" s="359">
        <f>-H916*('DRE + DCF'!$V$33+K916)/'DRE + DCF'!$V$33</f>
        <v>-90858.801614444121</v>
      </c>
      <c r="J916" s="359">
        <f>-'DRE + DCF'!$V$56*L916</f>
        <v>-1188924.4255577971</v>
      </c>
      <c r="K916" s="360">
        <f>(1+L916)/(1+Ke!$O$12)-1</f>
        <v>2.0000000000000018E-2</v>
      </c>
      <c r="L916" s="360">
        <f>'DRE + DCF'!$Y$31</f>
        <v>7.3550000000000004E-2</v>
      </c>
      <c r="M916" s="361">
        <f>(1+D916)^((5-Dashboard!$F$9)*3/12)</f>
        <v>1.1208891379744481</v>
      </c>
      <c r="N916" s="361">
        <f t="shared" ref="N916:V916" si="933">M916*(1+$D916)</f>
        <v>1.3051072678005453</v>
      </c>
      <c r="O916" s="361">
        <f t="shared" si="933"/>
        <v>1.5196016472635612</v>
      </c>
      <c r="P916" s="361">
        <f t="shared" si="933"/>
        <v>1.7693481779913232</v>
      </c>
      <c r="Q916" s="361">
        <f t="shared" si="933"/>
        <v>2.0601405510441921</v>
      </c>
      <c r="R916" s="361">
        <f t="shared" si="933"/>
        <v>2.3987246506082993</v>
      </c>
      <c r="S916" s="361">
        <f t="shared" si="933"/>
        <v>2.7929550469357665</v>
      </c>
      <c r="T916" s="361">
        <f t="shared" si="933"/>
        <v>3.2519772088996515</v>
      </c>
      <c r="U916" s="361">
        <f t="shared" si="933"/>
        <v>3.7864396631822999</v>
      </c>
      <c r="V916" s="362">
        <f t="shared" si="933"/>
        <v>4.4087410218262999</v>
      </c>
      <c r="X916" s="351"/>
    </row>
    <row r="917" spans="3:24" ht="24.75" customHeight="1" x14ac:dyDescent="0.3">
      <c r="C917" s="353">
        <f>ABS(E917-Dashboard!$F$14)</f>
        <v>48.344324737334617</v>
      </c>
      <c r="D917" s="350">
        <f t="shared" si="927"/>
        <v>0.16444999999999713</v>
      </c>
      <c r="E917" s="359" cm="1">
        <f t="array" ref="E917">1000*SUM('DRE + DCF'!$L$36/M917,'DRE + DCF'!$N$36:$V$36/N917:V917,F917/V917)/Dashboard!$F$11</f>
        <v>145.33432473733461</v>
      </c>
      <c r="F917" s="359">
        <f t="shared" si="925"/>
        <v>18518420.534614455</v>
      </c>
      <c r="G917" s="359">
        <f>'DRE + DCF'!$W$31</f>
        <v>2791623.3540418856</v>
      </c>
      <c r="H917" s="359">
        <f>'DRE + DCF'!$W$32</f>
        <v>81081.931703745853</v>
      </c>
      <c r="I917" s="359">
        <f>-H917*('DRE + DCF'!$V$33+K917)/'DRE + DCF'!$V$33</f>
        <v>-90858.801614444121</v>
      </c>
      <c r="J917" s="359">
        <f>-'DRE + DCF'!$V$56*L917</f>
        <v>-1188924.4255577971</v>
      </c>
      <c r="K917" s="360">
        <f>(1+L917)/(1+Ke!$O$12)-1</f>
        <v>2.0000000000000018E-2</v>
      </c>
      <c r="L917" s="360">
        <f>'DRE + DCF'!$Y$31</f>
        <v>7.3550000000000004E-2</v>
      </c>
      <c r="M917" s="361">
        <f>(1+D917)^((5-Dashboard!$F$9)*3/12)</f>
        <v>1.1209613377278502</v>
      </c>
      <c r="N917" s="361">
        <f t="shared" ref="N917:V917" si="934">M917*(1+$D917)</f>
        <v>1.3053034297171919</v>
      </c>
      <c r="O917" s="361">
        <f t="shared" si="934"/>
        <v>1.5199605787341803</v>
      </c>
      <c r="P917" s="361">
        <f t="shared" si="934"/>
        <v>1.769918095907012</v>
      </c>
      <c r="Q917" s="361">
        <f t="shared" si="934"/>
        <v>2.0609811267789149</v>
      </c>
      <c r="R917" s="361">
        <f t="shared" si="934"/>
        <v>2.3999094730777015</v>
      </c>
      <c r="S917" s="361">
        <f t="shared" si="934"/>
        <v>2.7945745859253224</v>
      </c>
      <c r="T917" s="361">
        <f t="shared" si="934"/>
        <v>3.2541423765807336</v>
      </c>
      <c r="U917" s="361">
        <f t="shared" si="934"/>
        <v>3.7892860904094259</v>
      </c>
      <c r="V917" s="362">
        <f t="shared" si="934"/>
        <v>4.4124341879772446</v>
      </c>
      <c r="X917" s="351"/>
    </row>
    <row r="918" spans="3:24" ht="24.75" customHeight="1" x14ac:dyDescent="0.3">
      <c r="C918" s="353">
        <f>ABS(E918-Dashboard!$F$14)</f>
        <v>48.186082220704023</v>
      </c>
      <c r="D918" s="350">
        <f t="shared" si="927"/>
        <v>0.16454999999999712</v>
      </c>
      <c r="E918" s="359" cm="1">
        <f t="array" ref="E918">1000*SUM('DRE + DCF'!$L$36/M918,'DRE + DCF'!$N$36:$V$36/N918:V918,F918/V918)/Dashboard!$F$11</f>
        <v>145.17608222070402</v>
      </c>
      <c r="F918" s="359">
        <f t="shared" si="925"/>
        <v>18502546.297773317</v>
      </c>
      <c r="G918" s="359">
        <f>'DRE + DCF'!$W$31</f>
        <v>2791623.3540418856</v>
      </c>
      <c r="H918" s="359">
        <f>'DRE + DCF'!$W$32</f>
        <v>81081.931703745853</v>
      </c>
      <c r="I918" s="359">
        <f>-H918*('DRE + DCF'!$V$33+K918)/'DRE + DCF'!$V$33</f>
        <v>-90858.801614444121</v>
      </c>
      <c r="J918" s="359">
        <f>-'DRE + DCF'!$V$56*L918</f>
        <v>-1188924.4255577971</v>
      </c>
      <c r="K918" s="360">
        <f>(1+L918)/(1+Ke!$O$12)-1</f>
        <v>2.0000000000000018E-2</v>
      </c>
      <c r="L918" s="360">
        <f>'DRE + DCF'!$Y$31</f>
        <v>7.3550000000000004E-2</v>
      </c>
      <c r="M918" s="361">
        <f>(1+D918)^((5-Dashboard!$F$9)*3/12)</f>
        <v>1.1210335359311863</v>
      </c>
      <c r="N918" s="361">
        <f t="shared" ref="N918:V918" si="935">M918*(1+$D918)</f>
        <v>1.3054996042686597</v>
      </c>
      <c r="O918" s="361">
        <f t="shared" si="935"/>
        <v>1.5203195641510638</v>
      </c>
      <c r="P918" s="361">
        <f t="shared" si="935"/>
        <v>1.7704881484321169</v>
      </c>
      <c r="Q918" s="361">
        <f t="shared" si="935"/>
        <v>2.0618219732566168</v>
      </c>
      <c r="R918" s="361">
        <f t="shared" si="935"/>
        <v>2.4010947789559869</v>
      </c>
      <c r="S918" s="361">
        <f t="shared" si="935"/>
        <v>2.7961949248331877</v>
      </c>
      <c r="T918" s="361">
        <f t="shared" si="935"/>
        <v>3.2563087997144806</v>
      </c>
      <c r="U918" s="361">
        <f t="shared" si="935"/>
        <v>3.792134412707489</v>
      </c>
      <c r="V918" s="362">
        <f t="shared" si="935"/>
        <v>4.4161301303184954</v>
      </c>
      <c r="X918" s="351"/>
    </row>
    <row r="919" spans="3:24" ht="24.75" customHeight="1" x14ac:dyDescent="0.3">
      <c r="C919" s="353">
        <f>ABS(E919-Dashboard!$F$14)</f>
        <v>48.028144224306871</v>
      </c>
      <c r="D919" s="350">
        <f t="shared" si="927"/>
        <v>0.1646499999999971</v>
      </c>
      <c r="E919" s="359" cm="1">
        <f t="array" ref="E919">1000*SUM('DRE + DCF'!$L$36/M919,'DRE + DCF'!$N$36:$V$36/N919:V919,F919/V919)/Dashboard!$F$11</f>
        <v>145.01814422430687</v>
      </c>
      <c r="F919" s="359">
        <f t="shared" si="925"/>
        <v>18486701.480441883</v>
      </c>
      <c r="G919" s="359">
        <f>'DRE + DCF'!$W$31</f>
        <v>2791623.3540418856</v>
      </c>
      <c r="H919" s="359">
        <f>'DRE + DCF'!$W$32</f>
        <v>81081.931703745853</v>
      </c>
      <c r="I919" s="359">
        <f>-H919*('DRE + DCF'!$V$33+K919)/'DRE + DCF'!$V$33</f>
        <v>-90858.801614444121</v>
      </c>
      <c r="J919" s="359">
        <f>-'DRE + DCF'!$V$56*L919</f>
        <v>-1188924.4255577971</v>
      </c>
      <c r="K919" s="360">
        <f>(1+L919)/(1+Ke!$O$12)-1</f>
        <v>2.0000000000000018E-2</v>
      </c>
      <c r="L919" s="360">
        <f>'DRE + DCF'!$Y$31</f>
        <v>7.3550000000000004E-2</v>
      </c>
      <c r="M919" s="361">
        <f>(1+D919)^((5-Dashboard!$F$9)*3/12)</f>
        <v>1.1211057325846225</v>
      </c>
      <c r="N919" s="361">
        <f t="shared" ref="N919:V919" si="936">M919*(1+$D919)</f>
        <v>1.3056957914546774</v>
      </c>
      <c r="O919" s="361">
        <f t="shared" si="936"/>
        <v>1.5206786035176862</v>
      </c>
      <c r="P919" s="361">
        <f t="shared" si="936"/>
        <v>1.7710583355868688</v>
      </c>
      <c r="Q919" s="361">
        <f t="shared" si="936"/>
        <v>2.0626630905412413</v>
      </c>
      <c r="R919" s="361">
        <f t="shared" si="936"/>
        <v>2.4022805683988508</v>
      </c>
      <c r="S919" s="361">
        <f t="shared" si="936"/>
        <v>2.7978160639857146</v>
      </c>
      <c r="T919" s="361">
        <f t="shared" si="936"/>
        <v>3.2584764789209544</v>
      </c>
      <c r="U919" s="361">
        <f t="shared" si="936"/>
        <v>3.79498463117528</v>
      </c>
      <c r="V919" s="362">
        <f t="shared" si="936"/>
        <v>4.4198288506982788</v>
      </c>
      <c r="X919" s="351"/>
    </row>
    <row r="920" spans="3:24" ht="24.75" customHeight="1" x14ac:dyDescent="0.3">
      <c r="C920" s="353">
        <f>ABS(E920-Dashboard!$F$14)</f>
        <v>47.870509876214939</v>
      </c>
      <c r="D920" s="350">
        <f t="shared" si="927"/>
        <v>0.16474999999999709</v>
      </c>
      <c r="E920" s="359" cm="1">
        <f t="array" ref="E920">1000*SUM('DRE + DCF'!$L$36/M920,'DRE + DCF'!$N$36:$V$36/N920:V920,F920/V920)/Dashboard!$F$11</f>
        <v>144.86050987621493</v>
      </c>
      <c r="F920" s="359">
        <f t="shared" si="925"/>
        <v>18470885.995723449</v>
      </c>
      <c r="G920" s="359">
        <f>'DRE + DCF'!$W$31</f>
        <v>2791623.3540418856</v>
      </c>
      <c r="H920" s="359">
        <f>'DRE + DCF'!$W$32</f>
        <v>81081.931703745853</v>
      </c>
      <c r="I920" s="359">
        <f>-H920*('DRE + DCF'!$V$33+K920)/'DRE + DCF'!$V$33</f>
        <v>-90858.801614444121</v>
      </c>
      <c r="J920" s="359">
        <f>-'DRE + DCF'!$V$56*L920</f>
        <v>-1188924.4255577971</v>
      </c>
      <c r="K920" s="360">
        <f>(1+L920)/(1+Ke!$O$12)-1</f>
        <v>2.0000000000000018E-2</v>
      </c>
      <c r="L920" s="360">
        <f>'DRE + DCF'!$Y$31</f>
        <v>7.3550000000000004E-2</v>
      </c>
      <c r="M920" s="361">
        <f>(1+D920)^((5-Dashboard!$F$9)*3/12)</f>
        <v>1.1211779276883256</v>
      </c>
      <c r="N920" s="361">
        <f t="shared" ref="N920:V920" si="937">M920*(1+$D920)</f>
        <v>1.305891991274974</v>
      </c>
      <c r="O920" s="361">
        <f t="shared" si="937"/>
        <v>1.5210376968375221</v>
      </c>
      <c r="P920" s="361">
        <f t="shared" si="937"/>
        <v>1.7716286573914994</v>
      </c>
      <c r="Q920" s="361">
        <f t="shared" si="937"/>
        <v>2.0635044786967436</v>
      </c>
      <c r="R920" s="361">
        <f t="shared" si="937"/>
        <v>2.4034668415620262</v>
      </c>
      <c r="S920" s="361">
        <f t="shared" si="937"/>
        <v>2.7994380037093629</v>
      </c>
      <c r="T920" s="361">
        <f t="shared" si="937"/>
        <v>3.2606454148204724</v>
      </c>
      <c r="U920" s="361">
        <f t="shared" si="937"/>
        <v>3.7978367469121359</v>
      </c>
      <c r="V920" s="362">
        <f t="shared" si="937"/>
        <v>4.4235303509658994</v>
      </c>
      <c r="X920" s="351"/>
    </row>
    <row r="921" spans="3:24" ht="24.75" customHeight="1" x14ac:dyDescent="0.3">
      <c r="C921" s="353">
        <f>ABS(E921-Dashboard!$F$14)</f>
        <v>47.713178307939231</v>
      </c>
      <c r="D921" s="350">
        <f t="shared" si="927"/>
        <v>0.16484999999999708</v>
      </c>
      <c r="E921" s="359" cm="1">
        <f t="array" ref="E921">1000*SUM('DRE + DCF'!$L$36/M921,'DRE + DCF'!$N$36:$V$36/N921:V921,F921/V921)/Dashboard!$F$11</f>
        <v>144.70317830793923</v>
      </c>
      <c r="F921" s="359">
        <f t="shared" si="925"/>
        <v>18455099.757078081</v>
      </c>
      <c r="G921" s="359">
        <f>'DRE + DCF'!$W$31</f>
        <v>2791623.3540418856</v>
      </c>
      <c r="H921" s="359">
        <f>'DRE + DCF'!$W$32</f>
        <v>81081.931703745853</v>
      </c>
      <c r="I921" s="359">
        <f>-H921*('DRE + DCF'!$V$33+K921)/'DRE + DCF'!$V$33</f>
        <v>-90858.801614444121</v>
      </c>
      <c r="J921" s="359">
        <f>-'DRE + DCF'!$V$56*L921</f>
        <v>-1188924.4255577971</v>
      </c>
      <c r="K921" s="360">
        <f>(1+L921)/(1+Ke!$O$12)-1</f>
        <v>2.0000000000000018E-2</v>
      </c>
      <c r="L921" s="360">
        <f>'DRE + DCF'!$Y$31</f>
        <v>7.3550000000000004E-2</v>
      </c>
      <c r="M921" s="361">
        <f>(1+D921)^((5-Dashboard!$F$9)*3/12)</f>
        <v>1.1212501212424615</v>
      </c>
      <c r="N921" s="361">
        <f t="shared" ref="N921:V921" si="938">M921*(1+$D921)</f>
        <v>1.306088203729278</v>
      </c>
      <c r="O921" s="361">
        <f t="shared" si="938"/>
        <v>1.5213968441140457</v>
      </c>
      <c r="P921" s="361">
        <f t="shared" si="938"/>
        <v>1.7721991138662416</v>
      </c>
      <c r="Q921" s="361">
        <f t="shared" si="938"/>
        <v>2.0643461377870862</v>
      </c>
      <c r="R921" s="361">
        <f t="shared" si="938"/>
        <v>2.4046535986012811</v>
      </c>
      <c r="S921" s="361">
        <f t="shared" si="938"/>
        <v>2.8010607443306954</v>
      </c>
      <c r="T921" s="361">
        <f t="shared" si="938"/>
        <v>3.2628156080336024</v>
      </c>
      <c r="U921" s="361">
        <f t="shared" si="938"/>
        <v>3.8006907610179321</v>
      </c>
      <c r="V921" s="362">
        <f t="shared" si="938"/>
        <v>4.4272346329717269</v>
      </c>
      <c r="X921" s="351"/>
    </row>
    <row r="922" spans="3:24" ht="24.75" customHeight="1" x14ac:dyDescent="0.3">
      <c r="C922" s="353">
        <f>ABS(E922-Dashboard!$F$14)</f>
        <v>47.556148654412269</v>
      </c>
      <c r="D922" s="350">
        <f t="shared" si="927"/>
        <v>0.16494999999999707</v>
      </c>
      <c r="E922" s="359" cm="1">
        <f t="array" ref="E922">1000*SUM('DRE + DCF'!$L$36/M922,'DRE + DCF'!$N$36:$V$36/N922:V922,F922/V922)/Dashboard!$F$11</f>
        <v>144.54614865441226</v>
      </c>
      <c r="F922" s="359">
        <f t="shared" si="925"/>
        <v>18439342.678320747</v>
      </c>
      <c r="G922" s="359">
        <f>'DRE + DCF'!$W$31</f>
        <v>2791623.3540418856</v>
      </c>
      <c r="H922" s="359">
        <f>'DRE + DCF'!$W$32</f>
        <v>81081.931703745853</v>
      </c>
      <c r="I922" s="359">
        <f>-H922*('DRE + DCF'!$V$33+K922)/'DRE + DCF'!$V$33</f>
        <v>-90858.801614444121</v>
      </c>
      <c r="J922" s="359">
        <f>-'DRE + DCF'!$V$56*L922</f>
        <v>-1188924.4255577971</v>
      </c>
      <c r="K922" s="360">
        <f>(1+L922)/(1+Ke!$O$12)-1</f>
        <v>2.0000000000000018E-2</v>
      </c>
      <c r="L922" s="360">
        <f>'DRE + DCF'!$Y$31</f>
        <v>7.3550000000000004E-2</v>
      </c>
      <c r="M922" s="361">
        <f>(1+D922)^((5-Dashboard!$F$9)*3/12)</f>
        <v>1.1213223132471966</v>
      </c>
      <c r="N922" s="361">
        <f t="shared" ref="N922:V922" si="939">M922*(1+$D922)</f>
        <v>1.3062844288173183</v>
      </c>
      <c r="O922" s="361">
        <f t="shared" si="939"/>
        <v>1.5217560453507311</v>
      </c>
      <c r="P922" s="361">
        <f t="shared" si="939"/>
        <v>1.7727697050313296</v>
      </c>
      <c r="Q922" s="361">
        <f t="shared" si="939"/>
        <v>2.065188067876242</v>
      </c>
      <c r="R922" s="361">
        <f t="shared" si="939"/>
        <v>2.4058408396724218</v>
      </c>
      <c r="S922" s="361">
        <f t="shared" si="939"/>
        <v>2.8026842861763805</v>
      </c>
      <c r="T922" s="361">
        <f t="shared" si="939"/>
        <v>3.2649870591811663</v>
      </c>
      <c r="U922" s="361">
        <f t="shared" si="939"/>
        <v>3.8035466745930901</v>
      </c>
      <c r="V922" s="362">
        <f t="shared" si="939"/>
        <v>4.4309416985672092</v>
      </c>
      <c r="X922" s="351"/>
    </row>
    <row r="923" spans="3:24" ht="24.75" customHeight="1" x14ac:dyDescent="0.3">
      <c r="C923" s="353">
        <f>ABS(E923-Dashboard!$F$14)</f>
        <v>47.399420053970729</v>
      </c>
      <c r="D923" s="350">
        <f t="shared" si="927"/>
        <v>0.16504999999999706</v>
      </c>
      <c r="E923" s="359" cm="1">
        <f t="array" ref="E923">1000*SUM('DRE + DCF'!$L$36/M923,'DRE + DCF'!$N$36:$V$36/N923:V923,F923/V923)/Dashboard!$F$11</f>
        <v>144.38942005397072</v>
      </c>
      <c r="F923" s="359">
        <f t="shared" si="925"/>
        <v>18423614.673619419</v>
      </c>
      <c r="G923" s="359">
        <f>'DRE + DCF'!$W$31</f>
        <v>2791623.3540418856</v>
      </c>
      <c r="H923" s="359">
        <f>'DRE + DCF'!$W$32</f>
        <v>81081.931703745853</v>
      </c>
      <c r="I923" s="359">
        <f>-H923*('DRE + DCF'!$V$33+K923)/'DRE + DCF'!$V$33</f>
        <v>-90858.801614444121</v>
      </c>
      <c r="J923" s="359">
        <f>-'DRE + DCF'!$V$56*L923</f>
        <v>-1188924.4255577971</v>
      </c>
      <c r="K923" s="360">
        <f>(1+L923)/(1+Ke!$O$12)-1</f>
        <v>2.0000000000000018E-2</v>
      </c>
      <c r="L923" s="360">
        <f>'DRE + DCF'!$Y$31</f>
        <v>7.3550000000000004E-2</v>
      </c>
      <c r="M923" s="361">
        <f>(1+D923)^((5-Dashboard!$F$9)*3/12)</f>
        <v>1.1213945037026971</v>
      </c>
      <c r="N923" s="361">
        <f t="shared" ref="N923:V923" si="940">M923*(1+$D923)</f>
        <v>1.306480666538824</v>
      </c>
      <c r="O923" s="361">
        <f t="shared" si="940"/>
        <v>1.522115300551053</v>
      </c>
      <c r="P923" s="361">
        <f t="shared" si="940"/>
        <v>1.7733404309069998</v>
      </c>
      <c r="Q923" s="361">
        <f t="shared" si="940"/>
        <v>2.0660302690281949</v>
      </c>
      <c r="R923" s="361">
        <f t="shared" si="940"/>
        <v>2.4070285649312924</v>
      </c>
      <c r="S923" s="361">
        <f t="shared" si="940"/>
        <v>2.8043086295731952</v>
      </c>
      <c r="T923" s="361">
        <f t="shared" si="940"/>
        <v>3.2671597688842429</v>
      </c>
      <c r="U923" s="361">
        <f t="shared" si="940"/>
        <v>3.8064044887385773</v>
      </c>
      <c r="V923" s="362">
        <f t="shared" si="940"/>
        <v>4.434651549604868</v>
      </c>
      <c r="X923" s="351"/>
    </row>
    <row r="924" spans="3:24" ht="24.75" customHeight="1" x14ac:dyDescent="0.3">
      <c r="C924" s="353">
        <f>ABS(E924-Dashboard!$F$14)</f>
        <v>47.242991648338105</v>
      </c>
      <c r="D924" s="350">
        <f t="shared" si="927"/>
        <v>0.16514999999999705</v>
      </c>
      <c r="E924" s="359" cm="1">
        <f t="array" ref="E924">1000*SUM('DRE + DCF'!$L$36/M924,'DRE + DCF'!$N$36:$V$36/N924:V924,F924/V924)/Dashboard!$F$11</f>
        <v>144.2329916483381</v>
      </c>
      <c r="F924" s="359">
        <f t="shared" si="925"/>
        <v>18407915.657493226</v>
      </c>
      <c r="G924" s="359">
        <f>'DRE + DCF'!$W$31</f>
        <v>2791623.3540418856</v>
      </c>
      <c r="H924" s="359">
        <f>'DRE + DCF'!$W$32</f>
        <v>81081.931703745853</v>
      </c>
      <c r="I924" s="359">
        <f>-H924*('DRE + DCF'!$V$33+K924)/'DRE + DCF'!$V$33</f>
        <v>-90858.801614444121</v>
      </c>
      <c r="J924" s="359">
        <f>-'DRE + DCF'!$V$56*L924</f>
        <v>-1188924.4255577971</v>
      </c>
      <c r="K924" s="360">
        <f>(1+L924)/(1+Ke!$O$12)-1</f>
        <v>2.0000000000000018E-2</v>
      </c>
      <c r="L924" s="360">
        <f>'DRE + DCF'!$Y$31</f>
        <v>7.3550000000000004E-2</v>
      </c>
      <c r="M924" s="361">
        <f>(1+D924)^((5-Dashboard!$F$9)*3/12)</f>
        <v>1.1214666926091295</v>
      </c>
      <c r="N924" s="361">
        <f t="shared" ref="N924:V924" si="941">M924*(1+$D924)</f>
        <v>1.3066769168935239</v>
      </c>
      <c r="O924" s="361">
        <f t="shared" si="941"/>
        <v>1.5224746097184856</v>
      </c>
      <c r="P924" s="361">
        <f t="shared" si="941"/>
        <v>1.7739112915134889</v>
      </c>
      <c r="Q924" s="361">
        <f t="shared" si="941"/>
        <v>2.0668727413069363</v>
      </c>
      <c r="R924" s="361">
        <f t="shared" si="941"/>
        <v>2.4082167745337708</v>
      </c>
      <c r="S924" s="361">
        <f t="shared" si="941"/>
        <v>2.805933774848016</v>
      </c>
      <c r="T924" s="361">
        <f t="shared" si="941"/>
        <v>3.2693337377641574</v>
      </c>
      <c r="U924" s="361">
        <f t="shared" si="941"/>
        <v>3.8092642045558982</v>
      </c>
      <c r="V924" s="362">
        <f t="shared" si="941"/>
        <v>4.4383641879382933</v>
      </c>
      <c r="X924" s="351"/>
    </row>
    <row r="925" spans="3:24" ht="24.75" customHeight="1" x14ac:dyDescent="0.3">
      <c r="C925" s="353">
        <f>ABS(E925-Dashboard!$F$14)</f>
        <v>47.08686258260748</v>
      </c>
      <c r="D925" s="350">
        <f t="shared" si="927"/>
        <v>0.16524999999999704</v>
      </c>
      <c r="E925" s="359" cm="1">
        <f t="array" ref="E925">1000*SUM('DRE + DCF'!$L$36/M925,'DRE + DCF'!$N$36:$V$36/N925:V925,F925/V925)/Dashboard!$F$11</f>
        <v>144.07686258260748</v>
      </c>
      <c r="F925" s="359">
        <f t="shared" si="925"/>
        <v>18392245.544810649</v>
      </c>
      <c r="G925" s="359">
        <f>'DRE + DCF'!$W$31</f>
        <v>2791623.3540418856</v>
      </c>
      <c r="H925" s="359">
        <f>'DRE + DCF'!$W$32</f>
        <v>81081.931703745853</v>
      </c>
      <c r="I925" s="359">
        <f>-H925*('DRE + DCF'!$V$33+K925)/'DRE + DCF'!$V$33</f>
        <v>-90858.801614444121</v>
      </c>
      <c r="J925" s="359">
        <f>-'DRE + DCF'!$V$56*L925</f>
        <v>-1188924.4255577971</v>
      </c>
      <c r="K925" s="360">
        <f>(1+L925)/(1+Ke!$O$12)-1</f>
        <v>2.0000000000000018E-2</v>
      </c>
      <c r="L925" s="360">
        <f>'DRE + DCF'!$Y$31</f>
        <v>7.3550000000000004E-2</v>
      </c>
      <c r="M925" s="361">
        <f>(1+D925)^((5-Dashboard!$F$9)*3/12)</f>
        <v>1.1215388799666597</v>
      </c>
      <c r="N925" s="361">
        <f t="shared" ref="N925:V925" si="942">M925*(1+$D925)</f>
        <v>1.3068731798811468</v>
      </c>
      <c r="O925" s="361">
        <f t="shared" si="942"/>
        <v>1.5228339728565023</v>
      </c>
      <c r="P925" s="361">
        <f t="shared" si="942"/>
        <v>1.7744822868710348</v>
      </c>
      <c r="Q925" s="361">
        <f t="shared" si="942"/>
        <v>2.067715484776468</v>
      </c>
      <c r="R925" s="361">
        <f t="shared" si="942"/>
        <v>2.4094054686357733</v>
      </c>
      <c r="S925" s="361">
        <f t="shared" si="942"/>
        <v>2.8075597223278277</v>
      </c>
      <c r="T925" s="361">
        <f t="shared" si="942"/>
        <v>3.271508966442493</v>
      </c>
      <c r="U925" s="361">
        <f t="shared" si="942"/>
        <v>3.8121258231471051</v>
      </c>
      <c r="V925" s="362">
        <f t="shared" si="942"/>
        <v>4.4420796154221529</v>
      </c>
      <c r="X925" s="351"/>
    </row>
    <row r="926" spans="3:24" ht="24.75" customHeight="1" x14ac:dyDescent="0.3">
      <c r="C926" s="353">
        <f>ABS(E926-Dashboard!$F$14)</f>
        <v>46.931032005224282</v>
      </c>
      <c r="D926" s="350">
        <f t="shared" si="927"/>
        <v>0.16534999999999703</v>
      </c>
      <c r="E926" s="359" cm="1">
        <f t="array" ref="E926">1000*SUM('DRE + DCF'!$L$36/M926,'DRE + DCF'!$N$36:$V$36/N926:V926,F926/V926)/Dashboard!$F$11</f>
        <v>143.92103200522428</v>
      </c>
      <c r="F926" s="359">
        <f t="shared" si="925"/>
        <v>18376604.250787627</v>
      </c>
      <c r="G926" s="359">
        <f>'DRE + DCF'!$W$31</f>
        <v>2791623.3540418856</v>
      </c>
      <c r="H926" s="359">
        <f>'DRE + DCF'!$W$32</f>
        <v>81081.931703745853</v>
      </c>
      <c r="I926" s="359">
        <f>-H926*('DRE + DCF'!$V$33+K926)/'DRE + DCF'!$V$33</f>
        <v>-90858.801614444121</v>
      </c>
      <c r="J926" s="359">
        <f>-'DRE + DCF'!$V$56*L926</f>
        <v>-1188924.4255577971</v>
      </c>
      <c r="K926" s="360">
        <f>(1+L926)/(1+Ke!$O$12)-1</f>
        <v>2.0000000000000018E-2</v>
      </c>
      <c r="L926" s="360">
        <f>'DRE + DCF'!$Y$31</f>
        <v>7.3550000000000004E-2</v>
      </c>
      <c r="M926" s="361">
        <f>(1+D926)^((5-Dashboard!$F$9)*3/12)</f>
        <v>1.1216110657754539</v>
      </c>
      <c r="N926" s="361">
        <f t="shared" ref="N926:V926" si="943">M926*(1+$D926)</f>
        <v>1.3070694555014217</v>
      </c>
      <c r="O926" s="361">
        <f t="shared" si="943"/>
        <v>1.5231933899685779</v>
      </c>
      <c r="P926" s="361">
        <f t="shared" si="943"/>
        <v>1.7750534169998777</v>
      </c>
      <c r="Q926" s="361">
        <f t="shared" si="943"/>
        <v>2.0685584995008024</v>
      </c>
      <c r="R926" s="361">
        <f t="shared" si="943"/>
        <v>2.4105946473932538</v>
      </c>
      <c r="S926" s="361">
        <f t="shared" si="943"/>
        <v>2.8091864723397211</v>
      </c>
      <c r="T926" s="361">
        <f t="shared" si="943"/>
        <v>3.2736854555410857</v>
      </c>
      <c r="U926" s="361">
        <f t="shared" si="943"/>
        <v>3.8149893456147943</v>
      </c>
      <c r="V926" s="362">
        <f t="shared" si="943"/>
        <v>4.4457978339121889</v>
      </c>
      <c r="X926" s="351"/>
    </row>
    <row r="927" spans="3:24" ht="24.75" customHeight="1" x14ac:dyDescent="0.3">
      <c r="C927" s="353">
        <f>ABS(E927-Dashboard!$F$14)</f>
        <v>46.77549906796925</v>
      </c>
      <c r="D927" s="350">
        <f t="shared" si="927"/>
        <v>0.16544999999999702</v>
      </c>
      <c r="E927" s="359" cm="1">
        <f t="array" ref="E927">1000*SUM('DRE + DCF'!$L$36/M927,'DRE + DCF'!$N$36:$V$36/N927:V927,F927/V927)/Dashboard!$F$11</f>
        <v>143.76549906796924</v>
      </c>
      <c r="F927" s="359">
        <f t="shared" si="925"/>
        <v>18360991.690985784</v>
      </c>
      <c r="G927" s="359">
        <f>'DRE + DCF'!$W$31</f>
        <v>2791623.3540418856</v>
      </c>
      <c r="H927" s="359">
        <f>'DRE + DCF'!$W$32</f>
        <v>81081.931703745853</v>
      </c>
      <c r="I927" s="359">
        <f>-H927*('DRE + DCF'!$V$33+K927)/'DRE + DCF'!$V$33</f>
        <v>-90858.801614444121</v>
      </c>
      <c r="J927" s="359">
        <f>-'DRE + DCF'!$V$56*L927</f>
        <v>-1188924.4255577971</v>
      </c>
      <c r="K927" s="360">
        <f>(1+L927)/(1+Ke!$O$12)-1</f>
        <v>2.0000000000000018E-2</v>
      </c>
      <c r="L927" s="360">
        <f>'DRE + DCF'!$Y$31</f>
        <v>7.3550000000000004E-2</v>
      </c>
      <c r="M927" s="361">
        <f>(1+D927)^((5-Dashboard!$F$9)*3/12)</f>
        <v>1.1216832500356784</v>
      </c>
      <c r="N927" s="361">
        <f t="shared" ref="N927:V927" si="944">M927*(1+$D927)</f>
        <v>1.307265743754078</v>
      </c>
      <c r="O927" s="361">
        <f t="shared" si="944"/>
        <v>1.5235528610581863</v>
      </c>
      <c r="P927" s="361">
        <f t="shared" si="944"/>
        <v>1.7756246819202586</v>
      </c>
      <c r="Q927" s="361">
        <f t="shared" si="944"/>
        <v>2.0694017855439601</v>
      </c>
      <c r="R927" s="361">
        <f t="shared" si="944"/>
        <v>2.4117843109622021</v>
      </c>
      <c r="S927" s="361">
        <f t="shared" si="944"/>
        <v>2.8108140252108913</v>
      </c>
      <c r="T927" s="361">
        <f t="shared" si="944"/>
        <v>3.2758632056820249</v>
      </c>
      <c r="U927" s="361">
        <f t="shared" si="944"/>
        <v>3.817854773062106</v>
      </c>
      <c r="V927" s="362">
        <f t="shared" si="944"/>
        <v>4.4495188452652199</v>
      </c>
      <c r="X927" s="351"/>
    </row>
    <row r="928" spans="3:24" ht="24.75" customHeight="1" x14ac:dyDescent="0.3">
      <c r="C928" s="353">
        <f>ABS(E928-Dashboard!$F$14)</f>
        <v>46.620262925941844</v>
      </c>
      <c r="D928" s="350">
        <f t="shared" si="927"/>
        <v>0.16554999999999701</v>
      </c>
      <c r="E928" s="359" cm="1">
        <f t="array" ref="E928">1000*SUM('DRE + DCF'!$L$36/M928,'DRE + DCF'!$N$36:$V$36/N928:V928,F928/V928)/Dashboard!$F$11</f>
        <v>143.61026292594184</v>
      </c>
      <c r="F928" s="359">
        <f t="shared" si="925"/>
        <v>18345407.78131061</v>
      </c>
      <c r="G928" s="359">
        <f>'DRE + DCF'!$W$31</f>
        <v>2791623.3540418856</v>
      </c>
      <c r="H928" s="359">
        <f>'DRE + DCF'!$W$32</f>
        <v>81081.931703745853</v>
      </c>
      <c r="I928" s="359">
        <f>-H928*('DRE + DCF'!$V$33+K928)/'DRE + DCF'!$V$33</f>
        <v>-90858.801614444121</v>
      </c>
      <c r="J928" s="359">
        <f>-'DRE + DCF'!$V$56*L928</f>
        <v>-1188924.4255577971</v>
      </c>
      <c r="K928" s="360">
        <f>(1+L928)/(1+Ke!$O$12)-1</f>
        <v>2.0000000000000018E-2</v>
      </c>
      <c r="L928" s="360">
        <f>'DRE + DCF'!$Y$31</f>
        <v>7.3550000000000004E-2</v>
      </c>
      <c r="M928" s="361">
        <f>(1+D928)^((5-Dashboard!$F$9)*3/12)</f>
        <v>1.1217554327474988</v>
      </c>
      <c r="N928" s="361">
        <f t="shared" ref="N928:V928" si="945">M928*(1+$D928)</f>
        <v>1.3074620446388439</v>
      </c>
      <c r="O928" s="361">
        <f t="shared" si="945"/>
        <v>1.5239123861288004</v>
      </c>
      <c r="P928" s="361">
        <f t="shared" si="945"/>
        <v>1.7761960816524187</v>
      </c>
      <c r="Q928" s="361">
        <f t="shared" si="945"/>
        <v>2.0702453429699714</v>
      </c>
      <c r="R928" s="361">
        <f t="shared" si="945"/>
        <v>2.4129744594986438</v>
      </c>
      <c r="S928" s="361">
        <f t="shared" si="945"/>
        <v>2.812442381268637</v>
      </c>
      <c r="T928" s="361">
        <f t="shared" si="945"/>
        <v>3.2780422174876516</v>
      </c>
      <c r="U928" s="361">
        <f t="shared" si="945"/>
        <v>3.8207221065927222</v>
      </c>
      <c r="V928" s="362">
        <f t="shared" si="945"/>
        <v>4.4532426513391359</v>
      </c>
      <c r="X928" s="351"/>
    </row>
    <row r="929" spans="3:24" ht="24.75" customHeight="1" x14ac:dyDescent="0.3">
      <c r="C929" s="353">
        <f>ABS(E929-Dashboard!$F$14)</f>
        <v>46.46532273754282</v>
      </c>
      <c r="D929" s="350">
        <f t="shared" si="927"/>
        <v>0.16564999999999699</v>
      </c>
      <c r="E929" s="359" cm="1">
        <f t="array" ref="E929">1000*SUM('DRE + DCF'!$L$36/M929,'DRE + DCF'!$N$36:$V$36/N929:V929,F929/V929)/Dashboard!$F$11</f>
        <v>143.45532273754282</v>
      </c>
      <c r="F929" s="359">
        <f t="shared" si="925"/>
        <v>18329852.438009646</v>
      </c>
      <c r="G929" s="359">
        <f>'DRE + DCF'!$W$31</f>
        <v>2791623.3540418856</v>
      </c>
      <c r="H929" s="359">
        <f>'DRE + DCF'!$W$32</f>
        <v>81081.931703745853</v>
      </c>
      <c r="I929" s="359">
        <f>-H929*('DRE + DCF'!$V$33+K929)/'DRE + DCF'!$V$33</f>
        <v>-90858.801614444121</v>
      </c>
      <c r="J929" s="359">
        <f>-'DRE + DCF'!$V$56*L929</f>
        <v>-1188924.4255577971</v>
      </c>
      <c r="K929" s="360">
        <f>(1+L929)/(1+Ke!$O$12)-1</f>
        <v>2.0000000000000018E-2</v>
      </c>
      <c r="L929" s="360">
        <f>'DRE + DCF'!$Y$31</f>
        <v>7.3550000000000004E-2</v>
      </c>
      <c r="M929" s="361">
        <f>(1+D929)^((5-Dashboard!$F$9)*3/12)</f>
        <v>1.1218276139110819</v>
      </c>
      <c r="N929" s="361">
        <f t="shared" ref="N929:V929" si="946">M929*(1+$D929)</f>
        <v>1.3076583581554493</v>
      </c>
      <c r="O929" s="361">
        <f t="shared" si="946"/>
        <v>1.5242719651838954</v>
      </c>
      <c r="P929" s="361">
        <f t="shared" si="946"/>
        <v>1.7767676162166031</v>
      </c>
      <c r="Q929" s="361">
        <f t="shared" si="946"/>
        <v>2.0710891718428779</v>
      </c>
      <c r="R929" s="361">
        <f t="shared" si="946"/>
        <v>2.4141650931586445</v>
      </c>
      <c r="S929" s="361">
        <f t="shared" si="946"/>
        <v>2.8140715408403665</v>
      </c>
      <c r="T929" s="361">
        <f t="shared" si="946"/>
        <v>3.2802224915805644</v>
      </c>
      <c r="U929" s="361">
        <f t="shared" si="946"/>
        <v>3.8235913473108751</v>
      </c>
      <c r="V929" s="362">
        <f t="shared" si="946"/>
        <v>4.4569692539929102</v>
      </c>
      <c r="X929" s="351"/>
    </row>
    <row r="930" spans="3:24" ht="24.75" customHeight="1" x14ac:dyDescent="0.3">
      <c r="C930" s="353">
        <f>ABS(E930-Dashboard!$F$14)</f>
        <v>46.310677664458197</v>
      </c>
      <c r="D930" s="350">
        <f t="shared" si="927"/>
        <v>0.16574999999999698</v>
      </c>
      <c r="E930" s="359" cm="1">
        <f t="array" ref="E930">1000*SUM('DRE + DCF'!$L$36/M930,'DRE + DCF'!$N$36:$V$36/N930:V930,F930/V930)/Dashboard!$F$11</f>
        <v>143.30067766445819</v>
      </c>
      <c r="F930" s="359">
        <f t="shared" si="925"/>
        <v>18314325.577670731</v>
      </c>
      <c r="G930" s="359">
        <f>'DRE + DCF'!$W$31</f>
        <v>2791623.3540418856</v>
      </c>
      <c r="H930" s="359">
        <f>'DRE + DCF'!$W$32</f>
        <v>81081.931703745853</v>
      </c>
      <c r="I930" s="359">
        <f>-H930*('DRE + DCF'!$V$33+K930)/'DRE + DCF'!$V$33</f>
        <v>-90858.801614444121</v>
      </c>
      <c r="J930" s="359">
        <f>-'DRE + DCF'!$V$56*L930</f>
        <v>-1188924.4255577971</v>
      </c>
      <c r="K930" s="360">
        <f>(1+L930)/(1+Ke!$O$12)-1</f>
        <v>2.0000000000000018E-2</v>
      </c>
      <c r="L930" s="360">
        <f>'DRE + DCF'!$Y$31</f>
        <v>7.3550000000000004E-2</v>
      </c>
      <c r="M930" s="361">
        <f>(1+D930)^((5-Dashboard!$F$9)*3/12)</f>
        <v>1.1218997935265931</v>
      </c>
      <c r="N930" s="361">
        <f t="shared" ref="N930:V930" si="947">M930*(1+$D930)</f>
        <v>1.3078546843036225</v>
      </c>
      <c r="O930" s="361">
        <f t="shared" si="947"/>
        <v>1.5246315982269441</v>
      </c>
      <c r="P930" s="361">
        <f t="shared" si="947"/>
        <v>1.7773392856330554</v>
      </c>
      <c r="Q930" s="361">
        <f t="shared" si="947"/>
        <v>2.0719332722267287</v>
      </c>
      <c r="R930" s="361">
        <f t="shared" si="947"/>
        <v>2.4153562120983025</v>
      </c>
      <c r="S930" s="361">
        <f t="shared" si="947"/>
        <v>2.8157015042535889</v>
      </c>
      <c r="T930" s="361">
        <f t="shared" si="947"/>
        <v>3.2824040285836125</v>
      </c>
      <c r="U930" s="361">
        <f t="shared" si="947"/>
        <v>3.8264624963213363</v>
      </c>
      <c r="V930" s="362">
        <f t="shared" si="947"/>
        <v>4.4606986550865857</v>
      </c>
      <c r="X930" s="351"/>
    </row>
    <row r="931" spans="3:24" ht="24.75" customHeight="1" x14ac:dyDescent="0.3">
      <c r="C931" s="353">
        <f>ABS(E931-Dashboard!$F$14)</f>
        <v>46.15632687164198</v>
      </c>
      <c r="D931" s="350">
        <f t="shared" si="927"/>
        <v>0.16584999999999697</v>
      </c>
      <c r="E931" s="359" cm="1">
        <f t="array" ref="E931">1000*SUM('DRE + DCF'!$L$36/M931,'DRE + DCF'!$N$36:$V$36/N931:V931,F931/V931)/Dashboard!$F$11</f>
        <v>143.14632687164197</v>
      </c>
      <c r="F931" s="359">
        <f t="shared" si="925"/>
        <v>18298827.117220189</v>
      </c>
      <c r="G931" s="359">
        <f>'DRE + DCF'!$W$31</f>
        <v>2791623.3540418856</v>
      </c>
      <c r="H931" s="359">
        <f>'DRE + DCF'!$W$32</f>
        <v>81081.931703745853</v>
      </c>
      <c r="I931" s="359">
        <f>-H931*('DRE + DCF'!$V$33+K931)/'DRE + DCF'!$V$33</f>
        <v>-90858.801614444121</v>
      </c>
      <c r="J931" s="359">
        <f>-'DRE + DCF'!$V$56*L931</f>
        <v>-1188924.4255577971</v>
      </c>
      <c r="K931" s="360">
        <f>(1+L931)/(1+Ke!$O$12)-1</f>
        <v>2.0000000000000018E-2</v>
      </c>
      <c r="L931" s="360">
        <f>'DRE + DCF'!$Y$31</f>
        <v>7.3550000000000004E-2</v>
      </c>
      <c r="M931" s="361">
        <f>(1+D931)^((5-Dashboard!$F$9)*3/12)</f>
        <v>1.1219719715941987</v>
      </c>
      <c r="N931" s="361">
        <f t="shared" ref="N931:V931" si="948">M931*(1+$D931)</f>
        <v>1.3080510230830931</v>
      </c>
      <c r="O931" s="361">
        <f t="shared" si="948"/>
        <v>1.52499128526142</v>
      </c>
      <c r="P931" s="361">
        <f t="shared" si="948"/>
        <v>1.7779110899220218</v>
      </c>
      <c r="Q931" s="361">
        <f t="shared" si="948"/>
        <v>2.0727776441855839</v>
      </c>
      <c r="R931" s="361">
        <f t="shared" si="948"/>
        <v>2.4165478164737566</v>
      </c>
      <c r="S931" s="361">
        <f t="shared" si="948"/>
        <v>2.8173322718359217</v>
      </c>
      <c r="T931" s="361">
        <f t="shared" si="948"/>
        <v>3.2845868291199007</v>
      </c>
      <c r="U931" s="361">
        <f t="shared" si="948"/>
        <v>3.8293355547294263</v>
      </c>
      <c r="V931" s="362">
        <f t="shared" si="948"/>
        <v>4.4644308564812896</v>
      </c>
      <c r="X931" s="351"/>
    </row>
    <row r="932" spans="3:24" ht="24.75" customHeight="1" x14ac:dyDescent="0.3">
      <c r="C932" s="353">
        <f>ABS(E932-Dashboard!$F$14)</f>
        <v>46.002269527300413</v>
      </c>
      <c r="D932" s="350">
        <f t="shared" si="927"/>
        <v>0.16594999999999696</v>
      </c>
      <c r="E932" s="359" cm="1">
        <f t="array" ref="E932">1000*SUM('DRE + DCF'!$L$36/M932,'DRE + DCF'!$N$36:$V$36/N932:V932,F932/V932)/Dashboard!$F$11</f>
        <v>142.99226952730041</v>
      </c>
      <c r="F932" s="359">
        <f t="shared" si="925"/>
        <v>18283356.973921113</v>
      </c>
      <c r="G932" s="359">
        <f>'DRE + DCF'!$W$31</f>
        <v>2791623.3540418856</v>
      </c>
      <c r="H932" s="359">
        <f>'DRE + DCF'!$W$32</f>
        <v>81081.931703745853</v>
      </c>
      <c r="I932" s="359">
        <f>-H932*('DRE + DCF'!$V$33+K932)/'DRE + DCF'!$V$33</f>
        <v>-90858.801614444121</v>
      </c>
      <c r="J932" s="359">
        <f>-'DRE + DCF'!$V$56*L932</f>
        <v>-1188924.4255577971</v>
      </c>
      <c r="K932" s="360">
        <f>(1+L932)/(1+Ke!$O$12)-1</f>
        <v>2.0000000000000018E-2</v>
      </c>
      <c r="L932" s="360">
        <f>'DRE + DCF'!$Y$31</f>
        <v>7.3550000000000004E-2</v>
      </c>
      <c r="M932" s="361">
        <f>(1+D932)^((5-Dashboard!$F$9)*3/12)</f>
        <v>1.1220441481140646</v>
      </c>
      <c r="N932" s="361">
        <f t="shared" ref="N932:V932" si="949">M932*(1+$D932)</f>
        <v>1.3082473744935903</v>
      </c>
      <c r="O932" s="361">
        <f t="shared" si="949"/>
        <v>1.5253510262907977</v>
      </c>
      <c r="P932" s="361">
        <f t="shared" si="949"/>
        <v>1.7784830291037508</v>
      </c>
      <c r="Q932" s="361">
        <f t="shared" si="949"/>
        <v>2.0736222877835129</v>
      </c>
      <c r="R932" s="361">
        <f t="shared" si="949"/>
        <v>2.4177399064411804</v>
      </c>
      <c r="S932" s="361">
        <f t="shared" si="949"/>
        <v>2.8189638439150868</v>
      </c>
      <c r="T932" s="361">
        <f t="shared" si="949"/>
        <v>3.2867708938127866</v>
      </c>
      <c r="U932" s="361">
        <f t="shared" si="949"/>
        <v>3.8322105236410087</v>
      </c>
      <c r="V932" s="362">
        <f t="shared" si="949"/>
        <v>4.468165860039222</v>
      </c>
      <c r="X932" s="351"/>
    </row>
    <row r="933" spans="3:24" ht="24.75" customHeight="1" x14ac:dyDescent="0.3">
      <c r="C933" s="353">
        <f>ABS(E933-Dashboard!$F$14)</f>
        <v>45.848504802874842</v>
      </c>
      <c r="D933" s="350">
        <f t="shared" si="927"/>
        <v>0.16604999999999695</v>
      </c>
      <c r="E933" s="359" cm="1">
        <f t="array" ref="E933">1000*SUM('DRE + DCF'!$L$36/M933,'DRE + DCF'!$N$36:$V$36/N933:V933,F933/V933)/Dashboard!$F$11</f>
        <v>142.83850480287484</v>
      </c>
      <c r="F933" s="359">
        <f t="shared" si="925"/>
        <v>18267915.065371566</v>
      </c>
      <c r="G933" s="359">
        <f>'DRE + DCF'!$W$31</f>
        <v>2791623.3540418856</v>
      </c>
      <c r="H933" s="359">
        <f>'DRE + DCF'!$W$32</f>
        <v>81081.931703745853</v>
      </c>
      <c r="I933" s="359">
        <f>-H933*('DRE + DCF'!$V$33+K933)/'DRE + DCF'!$V$33</f>
        <v>-90858.801614444121</v>
      </c>
      <c r="J933" s="359">
        <f>-'DRE + DCF'!$V$56*L933</f>
        <v>-1188924.4255577971</v>
      </c>
      <c r="K933" s="360">
        <f>(1+L933)/(1+Ke!$O$12)-1</f>
        <v>2.0000000000000018E-2</v>
      </c>
      <c r="L933" s="360">
        <f>'DRE + DCF'!$Y$31</f>
        <v>7.3550000000000004E-2</v>
      </c>
      <c r="M933" s="361">
        <f>(1+D933)^((5-Dashboard!$F$9)*3/12)</f>
        <v>1.1221163230863567</v>
      </c>
      <c r="N933" s="361">
        <f t="shared" ref="N933:V933" si="950">M933*(1+$D933)</f>
        <v>1.3084437385348426</v>
      </c>
      <c r="O933" s="361">
        <f t="shared" si="950"/>
        <v>1.5257108213185493</v>
      </c>
      <c r="P933" s="361">
        <f t="shared" si="950"/>
        <v>1.7790551031984898</v>
      </c>
      <c r="Q933" s="361">
        <f t="shared" si="950"/>
        <v>2.0744672030845934</v>
      </c>
      <c r="R933" s="361">
        <f t="shared" si="950"/>
        <v>2.4189324821567837</v>
      </c>
      <c r="S933" s="361">
        <f t="shared" si="950"/>
        <v>2.8205962208189104</v>
      </c>
      <c r="T933" s="361">
        <f t="shared" si="950"/>
        <v>3.2889562232858816</v>
      </c>
      <c r="U933" s="361">
        <f t="shared" si="950"/>
        <v>3.8350874041624921</v>
      </c>
      <c r="V933" s="362">
        <f t="shared" si="950"/>
        <v>4.4719036676236623</v>
      </c>
      <c r="X933" s="351"/>
    </row>
    <row r="934" spans="3:24" ht="24.75" customHeight="1" x14ac:dyDescent="0.3">
      <c r="C934" s="353">
        <f>ABS(E934-Dashboard!$F$14)</f>
        <v>45.695031873025997</v>
      </c>
      <c r="D934" s="350">
        <f t="shared" si="927"/>
        <v>0.16614999999999694</v>
      </c>
      <c r="E934" s="359" cm="1">
        <f t="array" ref="E934">1000*SUM('DRE + DCF'!$L$36/M934,'DRE + DCF'!$N$36:$V$36/N934:V934,F934/V934)/Dashboard!$F$11</f>
        <v>142.68503187302599</v>
      </c>
      <c r="F934" s="359">
        <f t="shared" si="925"/>
        <v>18252501.309502877</v>
      </c>
      <c r="G934" s="359">
        <f>'DRE + DCF'!$W$31</f>
        <v>2791623.3540418856</v>
      </c>
      <c r="H934" s="359">
        <f>'DRE + DCF'!$W$32</f>
        <v>81081.931703745853</v>
      </c>
      <c r="I934" s="359">
        <f>-H934*('DRE + DCF'!$V$33+K934)/'DRE + DCF'!$V$33</f>
        <v>-90858.801614444121</v>
      </c>
      <c r="J934" s="359">
        <f>-'DRE + DCF'!$V$56*L934</f>
        <v>-1188924.4255577971</v>
      </c>
      <c r="K934" s="360">
        <f>(1+L934)/(1+Ke!$O$12)-1</f>
        <v>2.0000000000000018E-2</v>
      </c>
      <c r="L934" s="360">
        <f>'DRE + DCF'!$Y$31</f>
        <v>7.3550000000000004E-2</v>
      </c>
      <c r="M934" s="361">
        <f>(1+D934)^((5-Dashboard!$F$9)*3/12)</f>
        <v>1.1221884965112408</v>
      </c>
      <c r="N934" s="361">
        <f t="shared" ref="N934:V934" si="951">M934*(1+$D934)</f>
        <v>1.3086401152065799</v>
      </c>
      <c r="O934" s="361">
        <f t="shared" si="951"/>
        <v>1.526070670348149</v>
      </c>
      <c r="P934" s="361">
        <f t="shared" si="951"/>
        <v>1.7796273122264892</v>
      </c>
      <c r="Q934" s="361">
        <f t="shared" si="951"/>
        <v>2.0753123901529147</v>
      </c>
      <c r="R934" s="361">
        <f t="shared" si="951"/>
        <v>2.4201255437768152</v>
      </c>
      <c r="S934" s="361">
        <f t="shared" si="951"/>
        <v>2.8222294028753256</v>
      </c>
      <c r="T934" s="361">
        <f t="shared" si="951"/>
        <v>3.2911428181630522</v>
      </c>
      <c r="U934" s="361">
        <f t="shared" si="951"/>
        <v>3.8379661974008332</v>
      </c>
      <c r="V934" s="362">
        <f t="shared" si="951"/>
        <v>4.4756442810989698</v>
      </c>
      <c r="X934" s="351"/>
    </row>
    <row r="935" spans="3:24" ht="24.75" customHeight="1" x14ac:dyDescent="0.3">
      <c r="C935" s="353">
        <f>ABS(E935-Dashboard!$F$14)</f>
        <v>45.541849915617249</v>
      </c>
      <c r="D935" s="350">
        <f t="shared" si="927"/>
        <v>0.16624999999999693</v>
      </c>
      <c r="E935" s="359" cm="1">
        <f t="array" ref="E935">1000*SUM('DRE + DCF'!$L$36/M935,'DRE + DCF'!$N$36:$V$36/N935:V935,F935/V935)/Dashboard!$F$11</f>
        <v>142.53184991561724</v>
      </c>
      <c r="F935" s="359">
        <f t="shared" si="925"/>
        <v>18237115.624577895</v>
      </c>
      <c r="G935" s="359">
        <f>'DRE + DCF'!$W$31</f>
        <v>2791623.3540418856</v>
      </c>
      <c r="H935" s="359">
        <f>'DRE + DCF'!$W$32</f>
        <v>81081.931703745853</v>
      </c>
      <c r="I935" s="359">
        <f>-H935*('DRE + DCF'!$V$33+K935)/'DRE + DCF'!$V$33</f>
        <v>-90858.801614444121</v>
      </c>
      <c r="J935" s="359">
        <f>-'DRE + DCF'!$V$56*L935</f>
        <v>-1188924.4255577971</v>
      </c>
      <c r="K935" s="360">
        <f>(1+L935)/(1+Ke!$O$12)-1</f>
        <v>2.0000000000000018E-2</v>
      </c>
      <c r="L935" s="360">
        <f>'DRE + DCF'!$Y$31</f>
        <v>7.3550000000000004E-2</v>
      </c>
      <c r="M935" s="361">
        <f>(1+D935)^((5-Dashboard!$F$9)*3/12)</f>
        <v>1.1222606683888829</v>
      </c>
      <c r="N935" s="361">
        <f t="shared" ref="N935:V935" si="952">M935*(1+$D935)</f>
        <v>1.3088365045085313</v>
      </c>
      <c r="O935" s="361">
        <f t="shared" si="952"/>
        <v>1.5264305733830705</v>
      </c>
      <c r="P935" s="361">
        <f t="shared" si="952"/>
        <v>1.7801996562080014</v>
      </c>
      <c r="Q935" s="361">
        <f t="shared" si="952"/>
        <v>2.0761578490525761</v>
      </c>
      <c r="R935" s="361">
        <f t="shared" si="952"/>
        <v>2.4213190914575602</v>
      </c>
      <c r="S935" s="361">
        <f t="shared" si="952"/>
        <v>2.823863390412372</v>
      </c>
      <c r="T935" s="361">
        <f t="shared" si="952"/>
        <v>3.2933306790684203</v>
      </c>
      <c r="U935" s="361">
        <f t="shared" si="952"/>
        <v>3.8408469044635347</v>
      </c>
      <c r="V935" s="362">
        <f t="shared" si="952"/>
        <v>4.4793877023305857</v>
      </c>
      <c r="X935" s="351"/>
    </row>
    <row r="936" spans="3:24" ht="24.75" customHeight="1" x14ac:dyDescent="0.3">
      <c r="C936" s="353">
        <f>ABS(E936-Dashboard!$F$14)</f>
        <v>45.388958111699012</v>
      </c>
      <c r="D936" s="350">
        <f t="shared" si="927"/>
        <v>0.16634999999999692</v>
      </c>
      <c r="E936" s="359" cm="1">
        <f t="array" ref="E936">1000*SUM('DRE + DCF'!$L$36/M936,'DRE + DCF'!$N$36:$V$36/N936:V936,F936/V936)/Dashboard!$F$11</f>
        <v>142.37895811169901</v>
      </c>
      <c r="F936" s="359">
        <f t="shared" si="925"/>
        <v>18221757.929189265</v>
      </c>
      <c r="G936" s="359">
        <f>'DRE + DCF'!$W$31</f>
        <v>2791623.3540418856</v>
      </c>
      <c r="H936" s="359">
        <f>'DRE + DCF'!$W$32</f>
        <v>81081.931703745853</v>
      </c>
      <c r="I936" s="359">
        <f>-H936*('DRE + DCF'!$V$33+K936)/'DRE + DCF'!$V$33</f>
        <v>-90858.801614444121</v>
      </c>
      <c r="J936" s="359">
        <f>-'DRE + DCF'!$V$56*L936</f>
        <v>-1188924.4255577971</v>
      </c>
      <c r="K936" s="360">
        <f>(1+L936)/(1+Ke!$O$12)-1</f>
        <v>2.0000000000000018E-2</v>
      </c>
      <c r="L936" s="360">
        <f>'DRE + DCF'!$Y$31</f>
        <v>7.3550000000000004E-2</v>
      </c>
      <c r="M936" s="361">
        <f>(1+D936)^((5-Dashboard!$F$9)*3/12)</f>
        <v>1.1223328387194491</v>
      </c>
      <c r="N936" s="361">
        <f t="shared" ref="N936:V936" si="953">M936*(1+$D936)</f>
        <v>1.309032906440426</v>
      </c>
      <c r="O936" s="361">
        <f t="shared" si="953"/>
        <v>1.5267905304267868</v>
      </c>
      <c r="P936" s="361">
        <f t="shared" si="953"/>
        <v>1.7807721351632781</v>
      </c>
      <c r="Q936" s="361">
        <f t="shared" si="953"/>
        <v>2.077003579847684</v>
      </c>
      <c r="R936" s="361">
        <f t="shared" si="953"/>
        <v>2.4225131253553398</v>
      </c>
      <c r="S936" s="361">
        <f t="shared" si="953"/>
        <v>2.8254981837581932</v>
      </c>
      <c r="T936" s="361">
        <f t="shared" si="953"/>
        <v>3.29551980662636</v>
      </c>
      <c r="U936" s="361">
        <f t="shared" si="953"/>
        <v>3.8437295264586449</v>
      </c>
      <c r="V936" s="362">
        <f t="shared" si="953"/>
        <v>4.4831339331850284</v>
      </c>
      <c r="X936" s="351"/>
    </row>
    <row r="937" spans="3:24" ht="24.75" customHeight="1" x14ac:dyDescent="0.3">
      <c r="C937" s="353">
        <f>ABS(E937-Dashboard!$F$14)</f>
        <v>45.236355645492594</v>
      </c>
      <c r="D937" s="350">
        <f t="shared" si="927"/>
        <v>0.16644999999999691</v>
      </c>
      <c r="E937" s="359" cm="1">
        <f t="array" ref="E937">1000*SUM('DRE + DCF'!$L$36/M937,'DRE + DCF'!$N$36:$V$36/N937:V937,F937/V937)/Dashboard!$F$11</f>
        <v>142.22635564549259</v>
      </c>
      <c r="F937" s="359">
        <f t="shared" si="925"/>
        <v>18206428.142257735</v>
      </c>
      <c r="G937" s="359">
        <f>'DRE + DCF'!$W$31</f>
        <v>2791623.3540418856</v>
      </c>
      <c r="H937" s="359">
        <f>'DRE + DCF'!$W$32</f>
        <v>81081.931703745853</v>
      </c>
      <c r="I937" s="359">
        <f>-H937*('DRE + DCF'!$V$33+K937)/'DRE + DCF'!$V$33</f>
        <v>-90858.801614444121</v>
      </c>
      <c r="J937" s="359">
        <f>-'DRE + DCF'!$V$56*L937</f>
        <v>-1188924.4255577971</v>
      </c>
      <c r="K937" s="360">
        <f>(1+L937)/(1+Ke!$O$12)-1</f>
        <v>2.0000000000000018E-2</v>
      </c>
      <c r="L937" s="360">
        <f>'DRE + DCF'!$Y$31</f>
        <v>7.3550000000000004E-2</v>
      </c>
      <c r="M937" s="361">
        <f>(1+D937)^((5-Dashboard!$F$9)*3/12)</f>
        <v>1.1224050075031047</v>
      </c>
      <c r="N937" s="361">
        <f t="shared" ref="N937:V937" si="954">M937*(1+$D937)</f>
        <v>1.309229321001993</v>
      </c>
      <c r="O937" s="361">
        <f t="shared" si="954"/>
        <v>1.5271505414827706</v>
      </c>
      <c r="P937" s="361">
        <f t="shared" si="954"/>
        <v>1.7813447491125731</v>
      </c>
      <c r="Q937" s="361">
        <f t="shared" si="954"/>
        <v>2.0778495826023553</v>
      </c>
      <c r="R937" s="361">
        <f t="shared" si="954"/>
        <v>2.4237076456265108</v>
      </c>
      <c r="S937" s="361">
        <f t="shared" si="954"/>
        <v>2.8271337832410359</v>
      </c>
      <c r="T937" s="361">
        <f t="shared" si="954"/>
        <v>3.2977102014614976</v>
      </c>
      <c r="U937" s="361">
        <f t="shared" si="954"/>
        <v>3.8466140644947537</v>
      </c>
      <c r="V937" s="362">
        <f t="shared" si="954"/>
        <v>4.4868829755298938</v>
      </c>
      <c r="X937" s="351"/>
    </row>
    <row r="938" spans="3:24" ht="24.75" customHeight="1" x14ac:dyDescent="0.3">
      <c r="C938" s="353">
        <f>ABS(E938-Dashboard!$F$14)</f>
        <v>45.084041704374087</v>
      </c>
      <c r="D938" s="350">
        <f t="shared" si="927"/>
        <v>0.16654999999999689</v>
      </c>
      <c r="E938" s="359" cm="1">
        <f t="array" ref="E938">1000*SUM('DRE + DCF'!$L$36/M938,'DRE + DCF'!$N$36:$V$36/N938:V938,F938/V938)/Dashboard!$F$11</f>
        <v>142.07404170437408</v>
      </c>
      <c r="F938" s="359">
        <f t="shared" si="925"/>
        <v>18191126.183030453</v>
      </c>
      <c r="G938" s="359">
        <f>'DRE + DCF'!$W$31</f>
        <v>2791623.3540418856</v>
      </c>
      <c r="H938" s="359">
        <f>'DRE + DCF'!$W$32</f>
        <v>81081.931703745853</v>
      </c>
      <c r="I938" s="359">
        <f>-H938*('DRE + DCF'!$V$33+K938)/'DRE + DCF'!$V$33</f>
        <v>-90858.801614444121</v>
      </c>
      <c r="J938" s="359">
        <f>-'DRE + DCF'!$V$56*L938</f>
        <v>-1188924.4255577971</v>
      </c>
      <c r="K938" s="360">
        <f>(1+L938)/(1+Ke!$O$12)-1</f>
        <v>2.0000000000000018E-2</v>
      </c>
      <c r="L938" s="360">
        <f>'DRE + DCF'!$Y$31</f>
        <v>7.3550000000000004E-2</v>
      </c>
      <c r="M938" s="361">
        <f>(1+D938)^((5-Dashboard!$F$9)*3/12)</f>
        <v>1.1224771747400155</v>
      </c>
      <c r="N938" s="361">
        <f t="shared" ref="N938:V938" si="955">M938*(1+$D938)</f>
        <v>1.3094257481929616</v>
      </c>
      <c r="O938" s="361">
        <f t="shared" si="955"/>
        <v>1.5275106065544952</v>
      </c>
      <c r="P938" s="361">
        <f t="shared" si="955"/>
        <v>1.7819174980761416</v>
      </c>
      <c r="Q938" s="361">
        <f t="shared" si="955"/>
        <v>2.0786958573807173</v>
      </c>
      <c r="R938" s="361">
        <f t="shared" si="955"/>
        <v>2.4249026524274693</v>
      </c>
      <c r="S938" s="361">
        <f t="shared" si="955"/>
        <v>2.8287701891892567</v>
      </c>
      <c r="T938" s="361">
        <f t="shared" si="955"/>
        <v>3.2999018641987186</v>
      </c>
      <c r="U938" s="361">
        <f t="shared" si="955"/>
        <v>3.8495005196810048</v>
      </c>
      <c r="V938" s="362">
        <f t="shared" si="955"/>
        <v>4.490634831233864</v>
      </c>
      <c r="X938" s="351"/>
    </row>
    <row r="939" spans="3:24" ht="24.75" customHeight="1" x14ac:dyDescent="0.3">
      <c r="C939" s="353">
        <f>ABS(E939-Dashboard!$F$14)</f>
        <v>44.932015478858816</v>
      </c>
      <c r="D939" s="350">
        <f t="shared" si="927"/>
        <v>0.16664999999999688</v>
      </c>
      <c r="E939" s="359" cm="1">
        <f t="array" ref="E939">1000*SUM('DRE + DCF'!$L$36/M939,'DRE + DCF'!$N$36:$V$36/N939:V939,F939/V939)/Dashboard!$F$11</f>
        <v>141.92201547885881</v>
      </c>
      <c r="F939" s="359">
        <f t="shared" si="925"/>
        <v>18175851.97107929</v>
      </c>
      <c r="G939" s="359">
        <f>'DRE + DCF'!$W$31</f>
        <v>2791623.3540418856</v>
      </c>
      <c r="H939" s="359">
        <f>'DRE + DCF'!$W$32</f>
        <v>81081.931703745853</v>
      </c>
      <c r="I939" s="359">
        <f>-H939*('DRE + DCF'!$V$33+K939)/'DRE + DCF'!$V$33</f>
        <v>-90858.801614444121</v>
      </c>
      <c r="J939" s="359">
        <f>-'DRE + DCF'!$V$56*L939</f>
        <v>-1188924.4255577971</v>
      </c>
      <c r="K939" s="360">
        <f>(1+L939)/(1+Ke!$O$12)-1</f>
        <v>2.0000000000000018E-2</v>
      </c>
      <c r="L939" s="360">
        <f>'DRE + DCF'!$Y$31</f>
        <v>7.3550000000000004E-2</v>
      </c>
      <c r="M939" s="361">
        <f>(1+D939)^((5-Dashboard!$F$9)*3/12)</f>
        <v>1.1225493404303477</v>
      </c>
      <c r="N939" s="361">
        <f t="shared" ref="N939:V939" si="956">M939*(1+$D939)</f>
        <v>1.3096221880130616</v>
      </c>
      <c r="O939" s="361">
        <f t="shared" si="956"/>
        <v>1.5278707256454342</v>
      </c>
      <c r="P939" s="361">
        <f t="shared" si="956"/>
        <v>1.782490382074241</v>
      </c>
      <c r="Q939" s="361">
        <f t="shared" si="956"/>
        <v>2.0795424042469075</v>
      </c>
      <c r="R939" s="361">
        <f t="shared" si="956"/>
        <v>2.426098145914648</v>
      </c>
      <c r="S939" s="361">
        <f t="shared" si="956"/>
        <v>2.8304074019313163</v>
      </c>
      <c r="T939" s="361">
        <f t="shared" si="956"/>
        <v>3.3020947954631614</v>
      </c>
      <c r="U939" s="361">
        <f t="shared" si="956"/>
        <v>3.8523888931270869</v>
      </c>
      <c r="V939" s="362">
        <f t="shared" si="956"/>
        <v>4.4943895021667037</v>
      </c>
      <c r="X939" s="351"/>
    </row>
    <row r="940" spans="3:24" ht="24.75" customHeight="1" x14ac:dyDescent="0.3">
      <c r="C940" s="353">
        <f>ABS(E940-Dashboard!$F$14)</f>
        <v>44.780276162585537</v>
      </c>
      <c r="D940" s="350">
        <f t="shared" si="927"/>
        <v>0.16674999999999687</v>
      </c>
      <c r="E940" s="359" cm="1">
        <f t="array" ref="E940">1000*SUM('DRE + DCF'!$L$36/M940,'DRE + DCF'!$N$36:$V$36/N940:V940,F940/V940)/Dashboard!$F$11</f>
        <v>141.77027616258553</v>
      </c>
      <c r="F940" s="359">
        <f t="shared" si="925"/>
        <v>18160605.42629914</v>
      </c>
      <c r="G940" s="359">
        <f>'DRE + DCF'!$W$31</f>
        <v>2791623.3540418856</v>
      </c>
      <c r="H940" s="359">
        <f>'DRE + DCF'!$W$32</f>
        <v>81081.931703745853</v>
      </c>
      <c r="I940" s="359">
        <f>-H940*('DRE + DCF'!$V$33+K940)/'DRE + DCF'!$V$33</f>
        <v>-90858.801614444121</v>
      </c>
      <c r="J940" s="359">
        <f>-'DRE + DCF'!$V$56*L940</f>
        <v>-1188924.4255577971</v>
      </c>
      <c r="K940" s="360">
        <f>(1+L940)/(1+Ke!$O$12)-1</f>
        <v>2.0000000000000018E-2</v>
      </c>
      <c r="L940" s="360">
        <f>'DRE + DCF'!$Y$31</f>
        <v>7.3550000000000004E-2</v>
      </c>
      <c r="M940" s="361">
        <f>(1+D940)^((5-Dashboard!$F$9)*3/12)</f>
        <v>1.1226215045742667</v>
      </c>
      <c r="N940" s="361">
        <f t="shared" ref="N940:V940" si="957">M940*(1+$D940)</f>
        <v>1.309818640462022</v>
      </c>
      <c r="O940" s="361">
        <f t="shared" si="957"/>
        <v>1.52823089875906</v>
      </c>
      <c r="P940" s="361">
        <f t="shared" si="957"/>
        <v>1.7830634011271285</v>
      </c>
      <c r="Q940" s="361">
        <f t="shared" si="957"/>
        <v>2.0803892232650716</v>
      </c>
      <c r="R940" s="361">
        <f t="shared" si="957"/>
        <v>2.4272941262445156</v>
      </c>
      <c r="S940" s="361">
        <f t="shared" si="957"/>
        <v>2.8320454217957809</v>
      </c>
      <c r="T940" s="361">
        <f t="shared" si="957"/>
        <v>3.3042889958802184</v>
      </c>
      <c r="U940" s="361">
        <f t="shared" si="957"/>
        <v>3.8552791859432345</v>
      </c>
      <c r="V940" s="362">
        <f t="shared" si="957"/>
        <v>4.498146990199257</v>
      </c>
      <c r="X940" s="351"/>
    </row>
    <row r="941" spans="3:24" ht="24.75" customHeight="1" x14ac:dyDescent="0.3">
      <c r="C941" s="353">
        <f>ABS(E941-Dashboard!$F$14)</f>
        <v>44.628822952300837</v>
      </c>
      <c r="D941" s="350">
        <f t="shared" si="927"/>
        <v>0.16684999999999686</v>
      </c>
      <c r="E941" s="359" cm="1">
        <f t="array" ref="E941">1000*SUM('DRE + DCF'!$L$36/M941,'DRE + DCF'!$N$36:$V$36/N941:V941,F941/V941)/Dashboard!$F$11</f>
        <v>141.61882295230083</v>
      </c>
      <c r="F941" s="359">
        <f t="shared" si="925"/>
        <v>18145386.468906276</v>
      </c>
      <c r="G941" s="359">
        <f>'DRE + DCF'!$W$31</f>
        <v>2791623.3540418856</v>
      </c>
      <c r="H941" s="359">
        <f>'DRE + DCF'!$W$32</f>
        <v>81081.931703745853</v>
      </c>
      <c r="I941" s="359">
        <f>-H941*('DRE + DCF'!$V$33+K941)/'DRE + DCF'!$V$33</f>
        <v>-90858.801614444121</v>
      </c>
      <c r="J941" s="359">
        <f>-'DRE + DCF'!$V$56*L941</f>
        <v>-1188924.4255577971</v>
      </c>
      <c r="K941" s="360">
        <f>(1+L941)/(1+Ke!$O$12)-1</f>
        <v>2.0000000000000018E-2</v>
      </c>
      <c r="L941" s="360">
        <f>'DRE + DCF'!$Y$31</f>
        <v>7.3550000000000004E-2</v>
      </c>
      <c r="M941" s="361">
        <f>(1+D941)^((5-Dashboard!$F$9)*3/12)</f>
        <v>1.1226936671719381</v>
      </c>
      <c r="N941" s="361">
        <f t="shared" ref="N941:V941" si="958">M941*(1+$D941)</f>
        <v>1.3100151055395723</v>
      </c>
      <c r="O941" s="361">
        <f t="shared" si="958"/>
        <v>1.5285911258988458</v>
      </c>
      <c r="P941" s="361">
        <f t="shared" si="958"/>
        <v>1.7836365552550635</v>
      </c>
      <c r="Q941" s="361">
        <f t="shared" si="958"/>
        <v>2.0812363144993653</v>
      </c>
      <c r="R941" s="361">
        <f t="shared" si="958"/>
        <v>2.4284905935735779</v>
      </c>
      <c r="S941" s="361">
        <f t="shared" si="958"/>
        <v>2.8336842491113217</v>
      </c>
      <c r="T941" s="361">
        <f t="shared" si="958"/>
        <v>3.3064844660755366</v>
      </c>
      <c r="U941" s="361">
        <f t="shared" si="958"/>
        <v>3.8581713992402293</v>
      </c>
      <c r="V941" s="362">
        <f t="shared" si="958"/>
        <v>4.5019072972034495</v>
      </c>
      <c r="X941" s="351"/>
    </row>
    <row r="942" spans="3:24" ht="24.75" customHeight="1" x14ac:dyDescent="0.3">
      <c r="C942" s="353">
        <f>ABS(E942-Dashboard!$F$14)</f>
        <v>44.477655047843641</v>
      </c>
      <c r="D942" s="350">
        <f t="shared" si="927"/>
        <v>0.16694999999999685</v>
      </c>
      <c r="E942" s="359" cm="1">
        <f t="array" ref="E942">1000*SUM('DRE + DCF'!$L$36/M942,'DRE + DCF'!$N$36:$V$36/N942:V942,F942/V942)/Dashboard!$F$11</f>
        <v>141.46765504784364</v>
      </c>
      <c r="F942" s="359">
        <f t="shared" si="925"/>
        <v>18130195.019436695</v>
      </c>
      <c r="G942" s="359">
        <f>'DRE + DCF'!$W$31</f>
        <v>2791623.3540418856</v>
      </c>
      <c r="H942" s="359">
        <f>'DRE + DCF'!$W$32</f>
        <v>81081.931703745853</v>
      </c>
      <c r="I942" s="359">
        <f>-H942*('DRE + DCF'!$V$33+K942)/'DRE + DCF'!$V$33</f>
        <v>-90858.801614444121</v>
      </c>
      <c r="J942" s="359">
        <f>-'DRE + DCF'!$V$56*L942</f>
        <v>-1188924.4255577971</v>
      </c>
      <c r="K942" s="360">
        <f>(1+L942)/(1+Ke!$O$12)-1</f>
        <v>2.0000000000000018E-2</v>
      </c>
      <c r="L942" s="360">
        <f>'DRE + DCF'!$Y$31</f>
        <v>7.3550000000000004E-2</v>
      </c>
      <c r="M942" s="361">
        <f>(1+D942)^((5-Dashboard!$F$9)*3/12)</f>
        <v>1.1227658282235276</v>
      </c>
      <c r="N942" s="361">
        <f t="shared" ref="N942:V942" si="959">M942*(1+$D942)</f>
        <v>1.310211583245442</v>
      </c>
      <c r="O942" s="361">
        <f t="shared" si="959"/>
        <v>1.5289514070682644</v>
      </c>
      <c r="P942" s="361">
        <f t="shared" si="959"/>
        <v>1.7842098444783063</v>
      </c>
      <c r="Q942" s="361">
        <f t="shared" si="959"/>
        <v>2.0820836780139538</v>
      </c>
      <c r="R942" s="361">
        <f t="shared" si="959"/>
        <v>2.4296875480583768</v>
      </c>
      <c r="S942" s="361">
        <f t="shared" si="959"/>
        <v>2.8353238842067152</v>
      </c>
      <c r="T942" s="361">
        <f t="shared" si="959"/>
        <v>3.3086812066750175</v>
      </c>
      <c r="U942" s="361">
        <f t="shared" si="959"/>
        <v>3.8610655341294011</v>
      </c>
      <c r="V942" s="362">
        <f t="shared" si="959"/>
        <v>4.5056704250522923</v>
      </c>
      <c r="X942" s="351"/>
    </row>
    <row r="943" spans="3:24" ht="24.75" customHeight="1" x14ac:dyDescent="0.3">
      <c r="C943" s="353">
        <f>ABS(E943-Dashboard!$F$14)</f>
        <v>44.326771652129779</v>
      </c>
      <c r="D943" s="350">
        <f t="shared" si="927"/>
        <v>0.16704999999999684</v>
      </c>
      <c r="E943" s="359" cm="1">
        <f t="array" ref="E943">1000*SUM('DRE + DCF'!$L$36/M943,'DRE + DCF'!$N$36:$V$36/N943:V943,F943/V943)/Dashboard!$F$11</f>
        <v>141.31677165212977</v>
      </c>
      <c r="F943" s="359">
        <f t="shared" si="925"/>
        <v>18115030.998744462</v>
      </c>
      <c r="G943" s="359">
        <f>'DRE + DCF'!$W$31</f>
        <v>2791623.3540418856</v>
      </c>
      <c r="H943" s="359">
        <f>'DRE + DCF'!$W$32</f>
        <v>81081.931703745853</v>
      </c>
      <c r="I943" s="359">
        <f>-H943*('DRE + DCF'!$V$33+K943)/'DRE + DCF'!$V$33</f>
        <v>-90858.801614444121</v>
      </c>
      <c r="J943" s="359">
        <f>-'DRE + DCF'!$V$56*L943</f>
        <v>-1188924.4255577971</v>
      </c>
      <c r="K943" s="360">
        <f>(1+L943)/(1+Ke!$O$12)-1</f>
        <v>2.0000000000000018E-2</v>
      </c>
      <c r="L943" s="360">
        <f>'DRE + DCF'!$Y$31</f>
        <v>7.3550000000000004E-2</v>
      </c>
      <c r="M943" s="361">
        <f>(1+D943)^((5-Dashboard!$F$9)*3/12)</f>
        <v>1.122837987729201</v>
      </c>
      <c r="N943" s="361">
        <f t="shared" ref="N943:V943" si="960">M943*(1+$D943)</f>
        <v>1.3104080735793604</v>
      </c>
      <c r="O943" s="361">
        <f t="shared" si="960"/>
        <v>1.5293117422707885</v>
      </c>
      <c r="P943" s="361">
        <f t="shared" si="960"/>
        <v>1.7847832688171188</v>
      </c>
      <c r="Q943" s="361">
        <f t="shared" si="960"/>
        <v>2.0829313138730128</v>
      </c>
      <c r="R943" s="361">
        <f t="shared" si="960"/>
        <v>2.430884989855493</v>
      </c>
      <c r="S943" s="361">
        <f t="shared" si="960"/>
        <v>2.8369643274108451</v>
      </c>
      <c r="T943" s="361">
        <f t="shared" si="960"/>
        <v>3.3108792183048177</v>
      </c>
      <c r="U943" s="361">
        <f t="shared" si="960"/>
        <v>3.8639615917226271</v>
      </c>
      <c r="V943" s="362">
        <f t="shared" si="960"/>
        <v>4.5094363756198792</v>
      </c>
      <c r="X943" s="351"/>
    </row>
    <row r="944" spans="3:24" ht="24.75" customHeight="1" x14ac:dyDescent="0.3">
      <c r="C944" s="353">
        <f>ABS(E944-Dashboard!$F$14)</f>
        <v>44.176171971136696</v>
      </c>
      <c r="D944" s="350">
        <f t="shared" si="927"/>
        <v>0.16714999999999683</v>
      </c>
      <c r="E944" s="359" cm="1">
        <f t="array" ref="E944">1000*SUM('DRE + DCF'!$L$36/M944,'DRE + DCF'!$N$36:$V$36/N944:V944,F944/V944)/Dashboard!$F$11</f>
        <v>141.16617197113669</v>
      </c>
      <c r="F944" s="359">
        <f t="shared" si="925"/>
        <v>18099894.328000098</v>
      </c>
      <c r="G944" s="359">
        <f>'DRE + DCF'!$W$31</f>
        <v>2791623.3540418856</v>
      </c>
      <c r="H944" s="359">
        <f>'DRE + DCF'!$W$32</f>
        <v>81081.931703745853</v>
      </c>
      <c r="I944" s="359">
        <f>-H944*('DRE + DCF'!$V$33+K944)/'DRE + DCF'!$V$33</f>
        <v>-90858.801614444121</v>
      </c>
      <c r="J944" s="359">
        <f>-'DRE + DCF'!$V$56*L944</f>
        <v>-1188924.4255577971</v>
      </c>
      <c r="K944" s="360">
        <f>(1+L944)/(1+Ke!$O$12)-1</f>
        <v>2.0000000000000018E-2</v>
      </c>
      <c r="L944" s="360">
        <f>'DRE + DCF'!$Y$31</f>
        <v>7.3550000000000004E-2</v>
      </c>
      <c r="M944" s="361">
        <f>(1+D944)^((5-Dashboard!$F$9)*3/12)</f>
        <v>1.1229101456891235</v>
      </c>
      <c r="N944" s="361">
        <f t="shared" ref="N944:V944" si="961">M944*(1+$D944)</f>
        <v>1.310604576541057</v>
      </c>
      <c r="O944" s="361">
        <f t="shared" si="961"/>
        <v>1.5296721315098905</v>
      </c>
      <c r="P944" s="361">
        <f t="shared" si="961"/>
        <v>1.7853568282917638</v>
      </c>
      <c r="Q944" s="361">
        <f t="shared" si="961"/>
        <v>2.0837792221407265</v>
      </c>
      <c r="R944" s="361">
        <f t="shared" si="961"/>
        <v>2.4320829191215423</v>
      </c>
      <c r="S944" s="361">
        <f t="shared" si="961"/>
        <v>2.8386055790527003</v>
      </c>
      <c r="T944" s="361">
        <f t="shared" si="961"/>
        <v>3.3130785015913502</v>
      </c>
      <c r="U944" s="361">
        <f t="shared" si="961"/>
        <v>3.8668595731323339</v>
      </c>
      <c r="V944" s="362">
        <f t="shared" si="961"/>
        <v>4.5132051507813911</v>
      </c>
      <c r="X944" s="351"/>
    </row>
    <row r="945" spans="3:24" ht="24.75" customHeight="1" x14ac:dyDescent="0.3">
      <c r="C945" s="353">
        <f>ABS(E945-Dashboard!$F$14)</f>
        <v>44.025855213888278</v>
      </c>
      <c r="D945" s="350">
        <f t="shared" si="927"/>
        <v>0.16724999999999682</v>
      </c>
      <c r="E945" s="359" cm="1">
        <f t="array" ref="E945">1000*SUM('DRE + DCF'!$L$36/M945,'DRE + DCF'!$N$36:$V$36/N945:V945,F945/V945)/Dashboard!$F$11</f>
        <v>141.01585521388827</v>
      </c>
      <c r="F945" s="359">
        <f t="shared" si="925"/>
        <v>18084784.928688925</v>
      </c>
      <c r="G945" s="359">
        <f>'DRE + DCF'!$W$31</f>
        <v>2791623.3540418856</v>
      </c>
      <c r="H945" s="359">
        <f>'DRE + DCF'!$W$32</f>
        <v>81081.931703745853</v>
      </c>
      <c r="I945" s="359">
        <f>-H945*('DRE + DCF'!$V$33+K945)/'DRE + DCF'!$V$33</f>
        <v>-90858.801614444121</v>
      </c>
      <c r="J945" s="359">
        <f>-'DRE + DCF'!$V$56*L945</f>
        <v>-1188924.4255577971</v>
      </c>
      <c r="K945" s="360">
        <f>(1+L945)/(1+Ke!$O$12)-1</f>
        <v>2.0000000000000018E-2</v>
      </c>
      <c r="L945" s="360">
        <f>'DRE + DCF'!$Y$31</f>
        <v>7.3550000000000004E-2</v>
      </c>
      <c r="M945" s="361">
        <f>(1+D945)^((5-Dashboard!$F$9)*3/12)</f>
        <v>1.1229823021034611</v>
      </c>
      <c r="N945" s="361">
        <f t="shared" ref="N945:V945" si="962">M945*(1+$D945)</f>
        <v>1.3108010921302613</v>
      </c>
      <c r="O945" s="361">
        <f t="shared" si="962"/>
        <v>1.5300325747890433</v>
      </c>
      <c r="P945" s="361">
        <f t="shared" si="962"/>
        <v>1.785930522922506</v>
      </c>
      <c r="Q945" s="361">
        <f t="shared" si="962"/>
        <v>2.0846274028812894</v>
      </c>
      <c r="R945" s="361">
        <f t="shared" si="962"/>
        <v>2.4332813360131782</v>
      </c>
      <c r="S945" s="361">
        <f t="shared" si="962"/>
        <v>2.8402476394613743</v>
      </c>
      <c r="T945" s="361">
        <f t="shared" si="962"/>
        <v>3.31527905716128</v>
      </c>
      <c r="U945" s="361">
        <f t="shared" si="962"/>
        <v>3.8697594794714933</v>
      </c>
      <c r="V945" s="362">
        <f t="shared" si="962"/>
        <v>4.5169767524130879</v>
      </c>
      <c r="X945" s="351"/>
    </row>
    <row r="946" spans="3:24" ht="24.75" customHeight="1" x14ac:dyDescent="0.3">
      <c r="C946" s="353">
        <f>ABS(E946-Dashboard!$F$14)</f>
        <v>43.87582059243941</v>
      </c>
      <c r="D946" s="350">
        <f t="shared" si="927"/>
        <v>0.16734999999999681</v>
      </c>
      <c r="E946" s="359" cm="1">
        <f t="array" ref="E946">1000*SUM('DRE + DCF'!$L$36/M946,'DRE + DCF'!$N$36:$V$36/N946:V946,F946/V946)/Dashboard!$F$11</f>
        <v>140.86582059243941</v>
      </c>
      <c r="F946" s="359">
        <f t="shared" si="925"/>
        <v>18069702.722609475</v>
      </c>
      <c r="G946" s="359">
        <f>'DRE + DCF'!$W$31</f>
        <v>2791623.3540418856</v>
      </c>
      <c r="H946" s="359">
        <f>'DRE + DCF'!$W$32</f>
        <v>81081.931703745853</v>
      </c>
      <c r="I946" s="359">
        <f>-H946*('DRE + DCF'!$V$33+K946)/'DRE + DCF'!$V$33</f>
        <v>-90858.801614444121</v>
      </c>
      <c r="J946" s="359">
        <f>-'DRE + DCF'!$V$56*L946</f>
        <v>-1188924.4255577971</v>
      </c>
      <c r="K946" s="360">
        <f>(1+L946)/(1+Ke!$O$12)-1</f>
        <v>2.0000000000000018E-2</v>
      </c>
      <c r="L946" s="360">
        <f>'DRE + DCF'!$Y$31</f>
        <v>7.3550000000000004E-2</v>
      </c>
      <c r="M946" s="361">
        <f>(1+D946)^((5-Dashboard!$F$9)*3/12)</f>
        <v>1.123054456972379</v>
      </c>
      <c r="N946" s="361">
        <f t="shared" ref="N946:V946" si="963">M946*(1+$D946)</f>
        <v>1.3109976203467031</v>
      </c>
      <c r="O946" s="361">
        <f t="shared" si="963"/>
        <v>1.5303930721117196</v>
      </c>
      <c r="P946" s="361">
        <f t="shared" si="963"/>
        <v>1.7865043527296109</v>
      </c>
      <c r="Q946" s="361">
        <f t="shared" si="963"/>
        <v>2.0854758561589057</v>
      </c>
      <c r="R946" s="361">
        <f t="shared" si="963"/>
        <v>2.4344802406870918</v>
      </c>
      <c r="S946" s="361">
        <f t="shared" si="963"/>
        <v>2.8418905089660687</v>
      </c>
      <c r="T946" s="361">
        <f t="shared" si="963"/>
        <v>3.317480885641531</v>
      </c>
      <c r="U946" s="361">
        <f t="shared" si="963"/>
        <v>3.8726613118536304</v>
      </c>
      <c r="V946" s="362">
        <f t="shared" si="963"/>
        <v>4.5207511823923232</v>
      </c>
      <c r="X946" s="351"/>
    </row>
    <row r="947" spans="3:24" ht="24.75" customHeight="1" x14ac:dyDescent="0.3">
      <c r="C947" s="353">
        <f>ABS(E947-Dashboard!$F$14)</f>
        <v>43.726067321861407</v>
      </c>
      <c r="D947" s="350">
        <f t="shared" si="927"/>
        <v>0.1674499999999968</v>
      </c>
      <c r="E947" s="359" cm="1">
        <f t="array" ref="E947">1000*SUM('DRE + DCF'!$L$36/M947,'DRE + DCF'!$N$36:$V$36/N947:V947,F947/V947)/Dashboard!$F$11</f>
        <v>140.7160673218614</v>
      </c>
      <c r="F947" s="359">
        <f t="shared" si="925"/>
        <v>18054647.631871883</v>
      </c>
      <c r="G947" s="359">
        <f>'DRE + DCF'!$W$31</f>
        <v>2791623.3540418856</v>
      </c>
      <c r="H947" s="359">
        <f>'DRE + DCF'!$W$32</f>
        <v>81081.931703745853</v>
      </c>
      <c r="I947" s="359">
        <f>-H947*('DRE + DCF'!$V$33+K947)/'DRE + DCF'!$V$33</f>
        <v>-90858.801614444121</v>
      </c>
      <c r="J947" s="359">
        <f>-'DRE + DCF'!$V$56*L947</f>
        <v>-1188924.4255577971</v>
      </c>
      <c r="K947" s="360">
        <f>(1+L947)/(1+Ke!$O$12)-1</f>
        <v>2.0000000000000018E-2</v>
      </c>
      <c r="L947" s="360">
        <f>'DRE + DCF'!$Y$31</f>
        <v>7.3550000000000004E-2</v>
      </c>
      <c r="M947" s="361">
        <f>(1+D947)^((5-Dashboard!$F$9)*3/12)</f>
        <v>1.1231266102960429</v>
      </c>
      <c r="N947" s="361">
        <f t="shared" ref="N947:V947" si="964">M947*(1+$D947)</f>
        <v>1.3111941611901117</v>
      </c>
      <c r="O947" s="361">
        <f t="shared" si="964"/>
        <v>1.5307536234813917</v>
      </c>
      <c r="P947" s="361">
        <f t="shared" si="964"/>
        <v>1.7870783177333458</v>
      </c>
      <c r="Q947" s="361">
        <f t="shared" si="964"/>
        <v>2.0863245820377889</v>
      </c>
      <c r="R947" s="361">
        <f t="shared" si="964"/>
        <v>2.4356796333000101</v>
      </c>
      <c r="S947" s="361">
        <f t="shared" si="964"/>
        <v>2.8435341878960889</v>
      </c>
      <c r="T947" s="361">
        <f t="shared" si="964"/>
        <v>3.3196839876592796</v>
      </c>
      <c r="U947" s="361">
        <f t="shared" si="964"/>
        <v>3.8755650713928151</v>
      </c>
      <c r="V947" s="362">
        <f t="shared" si="964"/>
        <v>4.5245284425975294</v>
      </c>
      <c r="X947" s="351"/>
    </row>
    <row r="948" spans="3:24" ht="24.75" customHeight="1" x14ac:dyDescent="0.3">
      <c r="C948" s="353">
        <f>ABS(E948-Dashboard!$F$14)</f>
        <v>43.576594620226885</v>
      </c>
      <c r="D948" s="350">
        <f t="shared" si="927"/>
        <v>0.16754999999999678</v>
      </c>
      <c r="E948" s="359" cm="1">
        <f t="array" ref="E948">1000*SUM('DRE + DCF'!$L$36/M948,'DRE + DCF'!$N$36:$V$36/N948:V948,F948/V948)/Dashboard!$F$11</f>
        <v>140.56659462022688</v>
      </c>
      <c r="F948" s="359">
        <f t="shared" si="925"/>
        <v>18039619.578896295</v>
      </c>
      <c r="G948" s="359">
        <f>'DRE + DCF'!$W$31</f>
        <v>2791623.3540418856</v>
      </c>
      <c r="H948" s="359">
        <f>'DRE + DCF'!$W$32</f>
        <v>81081.931703745853</v>
      </c>
      <c r="I948" s="359">
        <f>-H948*('DRE + DCF'!$V$33+K948)/'DRE + DCF'!$V$33</f>
        <v>-90858.801614444121</v>
      </c>
      <c r="J948" s="359">
        <f>-'DRE + DCF'!$V$56*L948</f>
        <v>-1188924.4255577971</v>
      </c>
      <c r="K948" s="360">
        <f>(1+L948)/(1+Ke!$O$12)-1</f>
        <v>2.0000000000000018E-2</v>
      </c>
      <c r="L948" s="360">
        <f>'DRE + DCF'!$Y$31</f>
        <v>7.3550000000000004E-2</v>
      </c>
      <c r="M948" s="361">
        <f>(1+D948)^((5-Dashboard!$F$9)*3/12)</f>
        <v>1.1231987620746178</v>
      </c>
      <c r="N948" s="361">
        <f t="shared" ref="N948:V948" si="965">M948*(1+$D948)</f>
        <v>1.3113907146602164</v>
      </c>
      <c r="O948" s="361">
        <f t="shared" si="965"/>
        <v>1.5311142289015314</v>
      </c>
      <c r="P948" s="361">
        <f t="shared" si="965"/>
        <v>1.7876524179539779</v>
      </c>
      <c r="Q948" s="361">
        <f t="shared" si="965"/>
        <v>2.087173580582161</v>
      </c>
      <c r="R948" s="361">
        <f t="shared" si="965"/>
        <v>2.4368795140086954</v>
      </c>
      <c r="S948" s="361">
        <f t="shared" si="965"/>
        <v>2.8451786765808444</v>
      </c>
      <c r="T948" s="361">
        <f t="shared" si="965"/>
        <v>3.3218883638419556</v>
      </c>
      <c r="U948" s="361">
        <f t="shared" si="965"/>
        <v>3.8784707592036645</v>
      </c>
      <c r="V948" s="362">
        <f t="shared" si="965"/>
        <v>4.5283085349082262</v>
      </c>
      <c r="X948" s="351"/>
    </row>
    <row r="949" spans="3:24" ht="24.75" customHeight="1" x14ac:dyDescent="0.3">
      <c r="C949" s="353">
        <f>ABS(E949-Dashboard!$F$14)</f>
        <v>43.427401708594616</v>
      </c>
      <c r="D949" s="350">
        <f t="shared" si="927"/>
        <v>0.16764999999999677</v>
      </c>
      <c r="E949" s="359" cm="1">
        <f t="array" ref="E949">1000*SUM('DRE + DCF'!$L$36/M949,'DRE + DCF'!$N$36:$V$36/N949:V949,F949/V949)/Dashboard!$F$11</f>
        <v>140.41740170859461</v>
      </c>
      <c r="F949" s="359">
        <f t="shared" si="925"/>
        <v>18024618.486411277</v>
      </c>
      <c r="G949" s="359">
        <f>'DRE + DCF'!$W$31</f>
        <v>2791623.3540418856</v>
      </c>
      <c r="H949" s="359">
        <f>'DRE + DCF'!$W$32</f>
        <v>81081.931703745853</v>
      </c>
      <c r="I949" s="359">
        <f>-H949*('DRE + DCF'!$V$33+K949)/'DRE + DCF'!$V$33</f>
        <v>-90858.801614444121</v>
      </c>
      <c r="J949" s="359">
        <f>-'DRE + DCF'!$V$56*L949</f>
        <v>-1188924.4255577971</v>
      </c>
      <c r="K949" s="360">
        <f>(1+L949)/(1+Ke!$O$12)-1</f>
        <v>2.0000000000000018E-2</v>
      </c>
      <c r="L949" s="360">
        <f>'DRE + DCF'!$Y$31</f>
        <v>7.3550000000000004E-2</v>
      </c>
      <c r="M949" s="361">
        <f>(1+D949)^((5-Dashboard!$F$9)*3/12)</f>
        <v>1.1232709123082696</v>
      </c>
      <c r="N949" s="361">
        <f t="shared" ref="N949:V949" si="966">M949*(1+$D949)</f>
        <v>1.3115872807567472</v>
      </c>
      <c r="O949" s="361">
        <f t="shared" si="966"/>
        <v>1.5314748883756117</v>
      </c>
      <c r="P949" s="361">
        <f t="shared" si="966"/>
        <v>1.7882266534117781</v>
      </c>
      <c r="Q949" s="361">
        <f t="shared" si="966"/>
        <v>2.0880228518562567</v>
      </c>
      <c r="R949" s="361">
        <f t="shared" si="966"/>
        <v>2.4380798829699515</v>
      </c>
      <c r="S949" s="361">
        <f t="shared" si="966"/>
        <v>2.8468239753498561</v>
      </c>
      <c r="T949" s="361">
        <f t="shared" si="966"/>
        <v>3.3240940148172502</v>
      </c>
      <c r="U949" s="361">
        <f t="shared" si="966"/>
        <v>3.8813783764013512</v>
      </c>
      <c r="V949" s="362">
        <f t="shared" si="966"/>
        <v>4.5320914612050247</v>
      </c>
      <c r="X949" s="351"/>
    </row>
    <row r="950" spans="3:24" ht="24.75" customHeight="1" x14ac:dyDescent="0.3">
      <c r="C950" s="353">
        <f>ABS(E950-Dashboard!$F$14)</f>
        <v>43.278487810995173</v>
      </c>
      <c r="D950" s="350">
        <f t="shared" si="927"/>
        <v>0.16774999999999676</v>
      </c>
      <c r="E950" s="359" cm="1">
        <f t="array" ref="E950">1000*SUM('DRE + DCF'!$L$36/M950,'DRE + DCF'!$N$36:$V$36/N950:V950,F950/V950)/Dashboard!$F$11</f>
        <v>140.26848781099517</v>
      </c>
      <c r="F950" s="359">
        <f t="shared" si="925"/>
        <v>18009644.277452253</v>
      </c>
      <c r="G950" s="359">
        <f>'DRE + DCF'!$W$31</f>
        <v>2791623.3540418856</v>
      </c>
      <c r="H950" s="359">
        <f>'DRE + DCF'!$W$32</f>
        <v>81081.931703745853</v>
      </c>
      <c r="I950" s="359">
        <f>-H950*('DRE + DCF'!$V$33+K950)/'DRE + DCF'!$V$33</f>
        <v>-90858.801614444121</v>
      </c>
      <c r="J950" s="359">
        <f>-'DRE + DCF'!$V$56*L950</f>
        <v>-1188924.4255577971</v>
      </c>
      <c r="K950" s="360">
        <f>(1+L950)/(1+Ke!$O$12)-1</f>
        <v>2.0000000000000018E-2</v>
      </c>
      <c r="L950" s="360">
        <f>'DRE + DCF'!$Y$31</f>
        <v>7.3550000000000004E-2</v>
      </c>
      <c r="M950" s="361">
        <f>(1+D950)^((5-Dashboard!$F$9)*3/12)</f>
        <v>1.1233430609971637</v>
      </c>
      <c r="N950" s="361">
        <f t="shared" ref="N950:V950" si="967">M950*(1+$D950)</f>
        <v>1.3117838594794342</v>
      </c>
      <c r="O950" s="361">
        <f t="shared" si="967"/>
        <v>1.5318356019071051</v>
      </c>
      <c r="P950" s="361">
        <f t="shared" si="967"/>
        <v>1.7888010241270169</v>
      </c>
      <c r="Q950" s="361">
        <f t="shared" si="967"/>
        <v>2.0888723959243181</v>
      </c>
      <c r="R950" s="361">
        <f t="shared" si="967"/>
        <v>2.4392807403406156</v>
      </c>
      <c r="S950" s="361">
        <f t="shared" si="967"/>
        <v>2.848470084532746</v>
      </c>
      <c r="T950" s="361">
        <f t="shared" si="967"/>
        <v>3.3263009412131046</v>
      </c>
      <c r="U950" s="361">
        <f t="shared" si="967"/>
        <v>3.8842879241015922</v>
      </c>
      <c r="V950" s="362">
        <f t="shared" si="967"/>
        <v>4.5358772233696216</v>
      </c>
      <c r="X950" s="351"/>
    </row>
    <row r="951" spans="3:24" ht="24.75" customHeight="1" x14ac:dyDescent="0.3">
      <c r="C951" s="353">
        <f>ABS(E951-Dashboard!$F$14)</f>
        <v>43.129852154416014</v>
      </c>
      <c r="D951" s="350">
        <f t="shared" si="927"/>
        <v>0.16784999999999675</v>
      </c>
      <c r="E951" s="359" cm="1">
        <f t="array" ref="E951">1000*SUM('DRE + DCF'!$L$36/M951,'DRE + DCF'!$N$36:$V$36/N951:V951,F951/V951)/Dashboard!$F$11</f>
        <v>140.11985215441601</v>
      </c>
      <c r="F951" s="359">
        <f t="shared" si="925"/>
        <v>17994696.875359923</v>
      </c>
      <c r="G951" s="359">
        <f>'DRE + DCF'!$W$31</f>
        <v>2791623.3540418856</v>
      </c>
      <c r="H951" s="359">
        <f>'DRE + DCF'!$W$32</f>
        <v>81081.931703745853</v>
      </c>
      <c r="I951" s="359">
        <f>-H951*('DRE + DCF'!$V$33+K951)/'DRE + DCF'!$V$33</f>
        <v>-90858.801614444121</v>
      </c>
      <c r="J951" s="359">
        <f>-'DRE + DCF'!$V$56*L951</f>
        <v>-1188924.4255577971</v>
      </c>
      <c r="K951" s="360">
        <f>(1+L951)/(1+Ke!$O$12)-1</f>
        <v>2.0000000000000018E-2</v>
      </c>
      <c r="L951" s="360">
        <f>'DRE + DCF'!$Y$31</f>
        <v>7.3550000000000004E-2</v>
      </c>
      <c r="M951" s="361">
        <f>(1+D951)^((5-Dashboard!$F$9)*3/12)</f>
        <v>1.123415208141465</v>
      </c>
      <c r="N951" s="361">
        <f t="shared" ref="N951:V951" si="968">M951*(1+$D951)</f>
        <v>1.3119804508280062</v>
      </c>
      <c r="O951" s="361">
        <f t="shared" si="968"/>
        <v>1.5321963694994827</v>
      </c>
      <c r="P951" s="361">
        <f t="shared" si="968"/>
        <v>1.7893755301199659</v>
      </c>
      <c r="Q951" s="361">
        <f t="shared" si="968"/>
        <v>2.0897222128505963</v>
      </c>
      <c r="R951" s="361">
        <f t="shared" si="968"/>
        <v>2.4404820862775622</v>
      </c>
      <c r="S951" s="361">
        <f t="shared" si="968"/>
        <v>2.8501170044592432</v>
      </c>
      <c r="T951" s="361">
        <f t="shared" si="968"/>
        <v>3.3285091436577177</v>
      </c>
      <c r="U951" s="361">
        <f t="shared" si="968"/>
        <v>3.8871994034206545</v>
      </c>
      <c r="V951" s="362">
        <f t="shared" si="968"/>
        <v>4.5396658232847988</v>
      </c>
      <c r="X951" s="351"/>
    </row>
    <row r="952" spans="3:24" ht="24.75" customHeight="1" x14ac:dyDescent="0.3">
      <c r="C952" s="353">
        <f>ABS(E952-Dashboard!$F$14)</f>
        <v>42.981493968787007</v>
      </c>
      <c r="D952" s="350">
        <f t="shared" si="927"/>
        <v>0.16794999999999674</v>
      </c>
      <c r="E952" s="359" cm="1">
        <f t="array" ref="E952">1000*SUM('DRE + DCF'!$L$36/M952,'DRE + DCF'!$N$36:$V$36/N952:V952,F952/V952)/Dashboard!$F$11</f>
        <v>139.971493968787</v>
      </c>
      <c r="F952" s="359">
        <f t="shared" si="925"/>
        <v>17979776.203778721</v>
      </c>
      <c r="G952" s="359">
        <f>'DRE + DCF'!$W$31</f>
        <v>2791623.3540418856</v>
      </c>
      <c r="H952" s="359">
        <f>'DRE + DCF'!$W$32</f>
        <v>81081.931703745853</v>
      </c>
      <c r="I952" s="359">
        <f>-H952*('DRE + DCF'!$V$33+K952)/'DRE + DCF'!$V$33</f>
        <v>-90858.801614444121</v>
      </c>
      <c r="J952" s="359">
        <f>-'DRE + DCF'!$V$56*L952</f>
        <v>-1188924.4255577971</v>
      </c>
      <c r="K952" s="360">
        <f>(1+L952)/(1+Ke!$O$12)-1</f>
        <v>2.0000000000000018E-2</v>
      </c>
      <c r="L952" s="360">
        <f>'DRE + DCF'!$Y$31</f>
        <v>7.3550000000000004E-2</v>
      </c>
      <c r="M952" s="361">
        <f>(1+D952)^((5-Dashboard!$F$9)*3/12)</f>
        <v>1.1234873537413392</v>
      </c>
      <c r="N952" s="361">
        <f t="shared" ref="N952:V952" si="969">M952*(1+$D952)</f>
        <v>1.3121770548021934</v>
      </c>
      <c r="O952" s="361">
        <f t="shared" si="969"/>
        <v>1.5325571911562175</v>
      </c>
      <c r="P952" s="361">
        <f t="shared" si="969"/>
        <v>1.7899501714108992</v>
      </c>
      <c r="Q952" s="361">
        <f t="shared" si="969"/>
        <v>2.0905723026993539</v>
      </c>
      <c r="R952" s="361">
        <f t="shared" si="969"/>
        <v>2.4416839209377037</v>
      </c>
      <c r="S952" s="361">
        <f t="shared" si="969"/>
        <v>2.8517647354591831</v>
      </c>
      <c r="T952" s="361">
        <f t="shared" si="969"/>
        <v>3.3307186227795436</v>
      </c>
      <c r="U952" s="361">
        <f t="shared" si="969"/>
        <v>3.8901128154753568</v>
      </c>
      <c r="V952" s="362">
        <f t="shared" si="969"/>
        <v>4.5434572628344299</v>
      </c>
      <c r="X952" s="351"/>
    </row>
    <row r="953" spans="3:24" ht="24.75" customHeight="1" x14ac:dyDescent="0.3">
      <c r="C953" s="353">
        <f>ABS(E953-Dashboard!$F$14)</f>
        <v>42.833412486965969</v>
      </c>
      <c r="D953" s="350">
        <f t="shared" si="927"/>
        <v>0.16804999999999673</v>
      </c>
      <c r="E953" s="359" cm="1">
        <f t="array" ref="E953">1000*SUM('DRE + DCF'!$L$36/M953,'DRE + DCF'!$N$36:$V$36/N953:V953,F953/V953)/Dashboard!$F$11</f>
        <v>139.82341248696596</v>
      </c>
      <c r="F953" s="359">
        <f t="shared" si="925"/>
        <v>17964882.186655294</v>
      </c>
      <c r="G953" s="359">
        <f>'DRE + DCF'!$W$31</f>
        <v>2791623.3540418856</v>
      </c>
      <c r="H953" s="359">
        <f>'DRE + DCF'!$W$32</f>
        <v>81081.931703745853</v>
      </c>
      <c r="I953" s="359">
        <f>-H953*('DRE + DCF'!$V$33+K953)/'DRE + DCF'!$V$33</f>
        <v>-90858.801614444121</v>
      </c>
      <c r="J953" s="359">
        <f>-'DRE + DCF'!$V$56*L953</f>
        <v>-1188924.4255577971</v>
      </c>
      <c r="K953" s="360">
        <f>(1+L953)/(1+Ke!$O$12)-1</f>
        <v>2.0000000000000018E-2</v>
      </c>
      <c r="L953" s="360">
        <f>'DRE + DCF'!$Y$31</f>
        <v>7.3550000000000004E-2</v>
      </c>
      <c r="M953" s="361">
        <f>(1+D953)^((5-Dashboard!$F$9)*3/12)</f>
        <v>1.1235594977969516</v>
      </c>
      <c r="N953" s="361">
        <f t="shared" ref="N953:V953" si="970">M953*(1+$D953)</f>
        <v>1.3123736714017256</v>
      </c>
      <c r="O953" s="361">
        <f t="shared" si="970"/>
        <v>1.5329180668807811</v>
      </c>
      <c r="P953" s="361">
        <f t="shared" si="970"/>
        <v>1.7905249480200913</v>
      </c>
      <c r="Q953" s="361">
        <f t="shared" si="970"/>
        <v>2.0914226655348616</v>
      </c>
      <c r="R953" s="361">
        <f t="shared" si="970"/>
        <v>2.4428862444779882</v>
      </c>
      <c r="S953" s="361">
        <f t="shared" si="970"/>
        <v>2.8534132778625061</v>
      </c>
      <c r="T953" s="361">
        <f t="shared" si="970"/>
        <v>3.3329293792072909</v>
      </c>
      <c r="U953" s="361">
        <f t="shared" si="970"/>
        <v>3.8930281613830653</v>
      </c>
      <c r="V953" s="362">
        <f t="shared" si="970"/>
        <v>4.5472515439034762</v>
      </c>
      <c r="X953" s="351"/>
    </row>
    <row r="954" spans="3:24" ht="24.75" customHeight="1" x14ac:dyDescent="0.3">
      <c r="C954" s="353">
        <f>ABS(E954-Dashboard!$F$14)</f>
        <v>42.685606944724</v>
      </c>
      <c r="D954" s="350">
        <f t="shared" si="927"/>
        <v>0.16814999999999672</v>
      </c>
      <c r="E954" s="359" cm="1">
        <f t="array" ref="E954">1000*SUM('DRE + DCF'!$L$36/M954,'DRE + DCF'!$N$36:$V$36/N954:V954,F954/V954)/Dashboard!$F$11</f>
        <v>139.675606944724</v>
      </c>
      <c r="F954" s="359">
        <f t="shared" si="925"/>
        <v>17950014.748236913</v>
      </c>
      <c r="G954" s="359">
        <f>'DRE + DCF'!$W$31</f>
        <v>2791623.3540418856</v>
      </c>
      <c r="H954" s="359">
        <f>'DRE + DCF'!$W$32</f>
        <v>81081.931703745853</v>
      </c>
      <c r="I954" s="359">
        <f>-H954*('DRE + DCF'!$V$33+K954)/'DRE + DCF'!$V$33</f>
        <v>-90858.801614444121</v>
      </c>
      <c r="J954" s="359">
        <f>-'DRE + DCF'!$V$56*L954</f>
        <v>-1188924.4255577971</v>
      </c>
      <c r="K954" s="360">
        <f>(1+L954)/(1+Ke!$O$12)-1</f>
        <v>2.0000000000000018E-2</v>
      </c>
      <c r="L954" s="360">
        <f>'DRE + DCF'!$Y$31</f>
        <v>7.3550000000000004E-2</v>
      </c>
      <c r="M954" s="361">
        <f>(1+D954)^((5-Dashboard!$F$9)*3/12)</f>
        <v>1.1236316403084674</v>
      </c>
      <c r="N954" s="361">
        <f t="shared" ref="N954:V954" si="971">M954*(1+$D954)</f>
        <v>1.3125703006263325</v>
      </c>
      <c r="O954" s="361">
        <f t="shared" si="971"/>
        <v>1.533278996676646</v>
      </c>
      <c r="P954" s="361">
        <f t="shared" si="971"/>
        <v>1.791099859967819</v>
      </c>
      <c r="Q954" s="361">
        <f t="shared" si="971"/>
        <v>2.0922733014214017</v>
      </c>
      <c r="R954" s="361">
        <f t="shared" si="971"/>
        <v>2.4440890570554035</v>
      </c>
      <c r="S954" s="361">
        <f t="shared" si="971"/>
        <v>2.8550626319992616</v>
      </c>
      <c r="T954" s="361">
        <f t="shared" si="971"/>
        <v>3.3351414135699278</v>
      </c>
      <c r="U954" s="361">
        <f t="shared" si="971"/>
        <v>3.8959454422616999</v>
      </c>
      <c r="V954" s="362">
        <f t="shared" si="971"/>
        <v>4.5510486683779918</v>
      </c>
      <c r="X954" s="351"/>
    </row>
    <row r="955" spans="3:24" ht="24.75" customHeight="1" x14ac:dyDescent="0.3">
      <c r="C955" s="353">
        <f>ABS(E955-Dashboard!$F$14)</f>
        <v>42.538076580731499</v>
      </c>
      <c r="D955" s="350">
        <f t="shared" si="927"/>
        <v>0.16824999999999671</v>
      </c>
      <c r="E955" s="359" cm="1">
        <f t="array" ref="E955">1000*SUM('DRE + DCF'!$L$36/M955,'DRE + DCF'!$N$36:$V$36/N955:V955,F955/V955)/Dashboard!$F$11</f>
        <v>139.52807658073149</v>
      </c>
      <c r="F955" s="359">
        <f t="shared" si="925"/>
        <v>17935173.813069992</v>
      </c>
      <c r="G955" s="359">
        <f>'DRE + DCF'!$W$31</f>
        <v>2791623.3540418856</v>
      </c>
      <c r="H955" s="359">
        <f>'DRE + DCF'!$W$32</f>
        <v>81081.931703745853</v>
      </c>
      <c r="I955" s="359">
        <f>-H955*('DRE + DCF'!$V$33+K955)/'DRE + DCF'!$V$33</f>
        <v>-90858.801614444121</v>
      </c>
      <c r="J955" s="359">
        <f>-'DRE + DCF'!$V$56*L955</f>
        <v>-1188924.4255577971</v>
      </c>
      <c r="K955" s="360">
        <f>(1+L955)/(1+Ke!$O$12)-1</f>
        <v>2.0000000000000018E-2</v>
      </c>
      <c r="L955" s="360">
        <f>'DRE + DCF'!$Y$31</f>
        <v>7.3550000000000004E-2</v>
      </c>
      <c r="M955" s="361">
        <f>(1+D955)^((5-Dashboard!$F$9)*3/12)</f>
        <v>1.1237037812760515</v>
      </c>
      <c r="N955" s="361">
        <f t="shared" ref="N955:V955" si="972">M955*(1+$D955)</f>
        <v>1.3127669424757435</v>
      </c>
      <c r="O955" s="361">
        <f t="shared" si="972"/>
        <v>1.5336399805472831</v>
      </c>
      <c r="P955" s="361">
        <f t="shared" si="972"/>
        <v>1.7916749072743585</v>
      </c>
      <c r="Q955" s="361">
        <f t="shared" si="972"/>
        <v>2.0931242104232632</v>
      </c>
      <c r="R955" s="361">
        <f t="shared" si="972"/>
        <v>2.4452923588269702</v>
      </c>
      <c r="S955" s="361">
        <f t="shared" si="972"/>
        <v>2.8567127981995997</v>
      </c>
      <c r="T955" s="361">
        <f t="shared" si="972"/>
        <v>3.337354726496673</v>
      </c>
      <c r="U955" s="361">
        <f t="shared" si="972"/>
        <v>3.8988646592297269</v>
      </c>
      <c r="V955" s="362">
        <f t="shared" si="972"/>
        <v>4.5548486381451152</v>
      </c>
      <c r="X955" s="351"/>
    </row>
    <row r="956" spans="3:24" ht="24.75" customHeight="1" x14ac:dyDescent="0.3">
      <c r="C956" s="353">
        <f>ABS(E956-Dashboard!$F$14)</f>
        <v>42.390820636543694</v>
      </c>
      <c r="D956" s="350">
        <f t="shared" si="927"/>
        <v>0.1683499999999967</v>
      </c>
      <c r="E956" s="359" cm="1">
        <f t="array" ref="E956">1000*SUM('DRE + DCF'!$L$36/M956,'DRE + DCF'!$N$36:$V$36/N956:V956,F956/V956)/Dashboard!$F$11</f>
        <v>139.38082063654369</v>
      </c>
      <c r="F956" s="359">
        <f t="shared" si="925"/>
        <v>17920359.305998556</v>
      </c>
      <c r="G956" s="359">
        <f>'DRE + DCF'!$W$31</f>
        <v>2791623.3540418856</v>
      </c>
      <c r="H956" s="359">
        <f>'DRE + DCF'!$W$32</f>
        <v>81081.931703745853</v>
      </c>
      <c r="I956" s="359">
        <f>-H956*('DRE + DCF'!$V$33+K956)/'DRE + DCF'!$V$33</f>
        <v>-90858.801614444121</v>
      </c>
      <c r="J956" s="359">
        <f>-'DRE + DCF'!$V$56*L956</f>
        <v>-1188924.4255577971</v>
      </c>
      <c r="K956" s="360">
        <f>(1+L956)/(1+Ke!$O$12)-1</f>
        <v>2.0000000000000018E-2</v>
      </c>
      <c r="L956" s="360">
        <f>'DRE + DCF'!$Y$31</f>
        <v>7.3550000000000004E-2</v>
      </c>
      <c r="M956" s="361">
        <f>(1+D956)^((5-Dashboard!$F$9)*3/12)</f>
        <v>1.1237759206998696</v>
      </c>
      <c r="N956" s="361">
        <f t="shared" ref="N956:V956" si="973">M956*(1+$D956)</f>
        <v>1.3129635969496889</v>
      </c>
      <c r="O956" s="361">
        <f t="shared" si="973"/>
        <v>1.5340010184961645</v>
      </c>
      <c r="P956" s="361">
        <f t="shared" si="973"/>
        <v>1.7922500899599887</v>
      </c>
      <c r="Q956" s="361">
        <f t="shared" si="973"/>
        <v>2.0939753926047469</v>
      </c>
      <c r="R956" s="361">
        <f t="shared" si="973"/>
        <v>2.4464961499497488</v>
      </c>
      <c r="S956" s="361">
        <f t="shared" si="973"/>
        <v>2.8583637767937811</v>
      </c>
      <c r="T956" s="361">
        <f t="shared" si="973"/>
        <v>3.3395693186170048</v>
      </c>
      <c r="U956" s="361">
        <f t="shared" si="973"/>
        <v>3.9017858134061663</v>
      </c>
      <c r="V956" s="362">
        <f t="shared" si="973"/>
        <v>4.5586514550930817</v>
      </c>
      <c r="X956" s="351"/>
    </row>
    <row r="957" spans="3:24" ht="24.75" customHeight="1" x14ac:dyDescent="0.3">
      <c r="C957" s="353">
        <f>ABS(E957-Dashboard!$F$14)</f>
        <v>42.243838356586551</v>
      </c>
      <c r="D957" s="350">
        <f t="shared" si="927"/>
        <v>0.16844999999999669</v>
      </c>
      <c r="E957" s="359" cm="1">
        <f t="array" ref="E957">1000*SUM('DRE + DCF'!$L$36/M957,'DRE + DCF'!$N$36:$V$36/N957:V957,F957/V957)/Dashboard!$F$11</f>
        <v>139.23383835658655</v>
      </c>
      <c r="F957" s="359">
        <f t="shared" si="925"/>
        <v>17905571.152162738</v>
      </c>
      <c r="G957" s="359">
        <f>'DRE + DCF'!$W$31</f>
        <v>2791623.3540418856</v>
      </c>
      <c r="H957" s="359">
        <f>'DRE + DCF'!$W$32</f>
        <v>81081.931703745853</v>
      </c>
      <c r="I957" s="359">
        <f>-H957*('DRE + DCF'!$V$33+K957)/'DRE + DCF'!$V$33</f>
        <v>-90858.801614444121</v>
      </c>
      <c r="J957" s="359">
        <f>-'DRE + DCF'!$V$56*L957</f>
        <v>-1188924.4255577971</v>
      </c>
      <c r="K957" s="360">
        <f>(1+L957)/(1+Ke!$O$12)-1</f>
        <v>2.0000000000000018E-2</v>
      </c>
      <c r="L957" s="360">
        <f>'DRE + DCF'!$Y$31</f>
        <v>7.3550000000000004E-2</v>
      </c>
      <c r="M957" s="361">
        <f>(1+D957)^((5-Dashboard!$F$9)*3/12)</f>
        <v>1.1238480585800865</v>
      </c>
      <c r="N957" s="361">
        <f t="shared" ref="N957:V957" si="974">M957*(1+$D957)</f>
        <v>1.3131602640478983</v>
      </c>
      <c r="O957" s="361">
        <f t="shared" si="974"/>
        <v>1.5343621105267624</v>
      </c>
      <c r="P957" s="361">
        <f t="shared" si="974"/>
        <v>1.7928254080449904</v>
      </c>
      <c r="Q957" s="361">
        <f t="shared" si="974"/>
        <v>2.0948268480301628</v>
      </c>
      <c r="R957" s="361">
        <f t="shared" si="974"/>
        <v>2.447700430580837</v>
      </c>
      <c r="S957" s="361">
        <f t="shared" si="974"/>
        <v>2.8600155681121708</v>
      </c>
      <c r="T957" s="361">
        <f t="shared" si="974"/>
        <v>3.3417851905606564</v>
      </c>
      <c r="U957" s="361">
        <f t="shared" si="974"/>
        <v>3.9047089059105877</v>
      </c>
      <c r="V957" s="362">
        <f t="shared" si="974"/>
        <v>4.5624571211112128</v>
      </c>
      <c r="X957" s="351"/>
    </row>
    <row r="958" spans="3:24" ht="24.75" customHeight="1" x14ac:dyDescent="0.3">
      <c r="C958" s="353">
        <f>ABS(E958-Dashboard!$F$14)</f>
        <v>42.097128988142842</v>
      </c>
      <c r="D958" s="350">
        <f t="shared" si="927"/>
        <v>0.16854999999999667</v>
      </c>
      <c r="E958" s="359" cm="1">
        <f t="array" ref="E958">1000*SUM('DRE + DCF'!$L$36/M958,'DRE + DCF'!$N$36:$V$36/N958:V958,F958/V958)/Dashboard!$F$11</f>
        <v>139.08712898814284</v>
      </c>
      <c r="F958" s="359">
        <f t="shared" si="925"/>
        <v>17890809.276997287</v>
      </c>
      <c r="G958" s="359">
        <f>'DRE + DCF'!$W$31</f>
        <v>2791623.3540418856</v>
      </c>
      <c r="H958" s="359">
        <f>'DRE + DCF'!$W$32</f>
        <v>81081.931703745853</v>
      </c>
      <c r="I958" s="359">
        <f>-H958*('DRE + DCF'!$V$33+K958)/'DRE + DCF'!$V$33</f>
        <v>-90858.801614444121</v>
      </c>
      <c r="J958" s="359">
        <f>-'DRE + DCF'!$V$56*L958</f>
        <v>-1188924.4255577971</v>
      </c>
      <c r="K958" s="360">
        <f>(1+L958)/(1+Ke!$O$12)-1</f>
        <v>2.0000000000000018E-2</v>
      </c>
      <c r="L958" s="360">
        <f>'DRE + DCF'!$Y$31</f>
        <v>7.3550000000000004E-2</v>
      </c>
      <c r="M958" s="361">
        <f>(1+D958)^((5-Dashboard!$F$9)*3/12)</f>
        <v>1.1239201949168676</v>
      </c>
      <c r="N958" s="361">
        <f t="shared" ref="N958:V958" si="975">M958*(1+$D958)</f>
        <v>1.3133569437701018</v>
      </c>
      <c r="O958" s="361">
        <f t="shared" si="975"/>
        <v>1.5347232566425482</v>
      </c>
      <c r="P958" s="361">
        <f t="shared" si="975"/>
        <v>1.7934008615496444</v>
      </c>
      <c r="Q958" s="361">
        <f t="shared" si="975"/>
        <v>2.0956785767638308</v>
      </c>
      <c r="R958" s="361">
        <f t="shared" si="975"/>
        <v>2.4489052008773675</v>
      </c>
      <c r="S958" s="361">
        <f t="shared" si="975"/>
        <v>2.8616681724852397</v>
      </c>
      <c r="T958" s="361">
        <f t="shared" si="975"/>
        <v>3.3440023429576171</v>
      </c>
      <c r="U958" s="361">
        <f t="shared" si="975"/>
        <v>3.9076339378631122</v>
      </c>
      <c r="V958" s="362">
        <f t="shared" si="975"/>
        <v>4.5662656380899262</v>
      </c>
      <c r="X958" s="351"/>
    </row>
    <row r="959" spans="3:24" ht="24.75" customHeight="1" x14ac:dyDescent="0.3">
      <c r="C959" s="353">
        <f>ABS(E959-Dashboard!$F$14)</f>
        <v>41.950691781337852</v>
      </c>
      <c r="D959" s="350">
        <f t="shared" si="927"/>
        <v>0.16864999999999666</v>
      </c>
      <c r="E959" s="359" cm="1">
        <f t="array" ref="E959">1000*SUM('DRE + DCF'!$L$36/M959,'DRE + DCF'!$N$36:$V$36/N959:V959,F959/V959)/Dashboard!$F$11</f>
        <v>138.94069178133785</v>
      </c>
      <c r="F959" s="359">
        <f t="shared" si="925"/>
        <v>17876073.606230058</v>
      </c>
      <c r="G959" s="359">
        <f>'DRE + DCF'!$W$31</f>
        <v>2791623.3540418856</v>
      </c>
      <c r="H959" s="359">
        <f>'DRE + DCF'!$W$32</f>
        <v>81081.931703745853</v>
      </c>
      <c r="I959" s="359">
        <f>-H959*('DRE + DCF'!$V$33+K959)/'DRE + DCF'!$V$33</f>
        <v>-90858.801614444121</v>
      </c>
      <c r="J959" s="359">
        <f>-'DRE + DCF'!$V$56*L959</f>
        <v>-1188924.4255577971</v>
      </c>
      <c r="K959" s="360">
        <f>(1+L959)/(1+Ke!$O$12)-1</f>
        <v>2.0000000000000018E-2</v>
      </c>
      <c r="L959" s="360">
        <f>'DRE + DCF'!$Y$31</f>
        <v>7.3550000000000004E-2</v>
      </c>
      <c r="M959" s="361">
        <f>(1+D959)^((5-Dashboard!$F$9)*3/12)</f>
        <v>1.1239923297103778</v>
      </c>
      <c r="N959" s="361">
        <f t="shared" ref="N959:V959" si="976">M959*(1+$D959)</f>
        <v>1.3135536361160292</v>
      </c>
      <c r="O959" s="361">
        <f t="shared" si="976"/>
        <v>1.535084456846993</v>
      </c>
      <c r="P959" s="361">
        <f t="shared" si="976"/>
        <v>1.7939764504942333</v>
      </c>
      <c r="Q959" s="361">
        <f t="shared" si="976"/>
        <v>2.0965305788700799</v>
      </c>
      <c r="R959" s="361">
        <f t="shared" si="976"/>
        <v>2.4501104609965116</v>
      </c>
      <c r="S959" s="361">
        <f t="shared" si="976"/>
        <v>2.8633215902435651</v>
      </c>
      <c r="T959" s="361">
        <f t="shared" si="976"/>
        <v>3.3462207764381326</v>
      </c>
      <c r="U959" s="361">
        <f t="shared" si="976"/>
        <v>3.9105609103844126</v>
      </c>
      <c r="V959" s="362">
        <f t="shared" si="976"/>
        <v>4.5700770079207302</v>
      </c>
      <c r="X959" s="351"/>
    </row>
    <row r="960" spans="3:24" ht="24.75" customHeight="1" x14ac:dyDescent="0.3">
      <c r="C960" s="353">
        <f>ABS(E960-Dashboard!$F$14)</f>
        <v>41.804525989125935</v>
      </c>
      <c r="D960" s="350">
        <f t="shared" si="927"/>
        <v>0.16874999999999665</v>
      </c>
      <c r="E960" s="359" cm="1">
        <f t="array" ref="E960">1000*SUM('DRE + DCF'!$L$36/M960,'DRE + DCF'!$N$36:$V$36/N960:V960,F960/V960)/Dashboard!$F$11</f>
        <v>138.79452598912593</v>
      </c>
      <c r="F960" s="359">
        <f t="shared" si="925"/>
        <v>17861364.065880556</v>
      </c>
      <c r="G960" s="359">
        <f>'DRE + DCF'!$W$31</f>
        <v>2791623.3540418856</v>
      </c>
      <c r="H960" s="359">
        <f>'DRE + DCF'!$W$32</f>
        <v>81081.931703745853</v>
      </c>
      <c r="I960" s="359">
        <f>-H960*('DRE + DCF'!$V$33+K960)/'DRE + DCF'!$V$33</f>
        <v>-90858.801614444121</v>
      </c>
      <c r="J960" s="359">
        <f>-'DRE + DCF'!$V$56*L960</f>
        <v>-1188924.4255577971</v>
      </c>
      <c r="K960" s="360">
        <f>(1+L960)/(1+Ke!$O$12)-1</f>
        <v>2.0000000000000018E-2</v>
      </c>
      <c r="L960" s="360">
        <f>'DRE + DCF'!$Y$31</f>
        <v>7.3550000000000004E-2</v>
      </c>
      <c r="M960" s="361">
        <f>(1+D960)^((5-Dashboard!$F$9)*3/12)</f>
        <v>1.1240644629607823</v>
      </c>
      <c r="N960" s="361">
        <f t="shared" ref="N960:V960" si="977">M960*(1+$D960)</f>
        <v>1.3137503410854106</v>
      </c>
      <c r="O960" s="361">
        <f t="shared" si="977"/>
        <v>1.5354457111435691</v>
      </c>
      <c r="P960" s="361">
        <f t="shared" si="977"/>
        <v>1.7945521748990412</v>
      </c>
      <c r="Q960" s="361">
        <f t="shared" si="977"/>
        <v>2.0973828544132482</v>
      </c>
      <c r="R960" s="361">
        <f t="shared" si="977"/>
        <v>2.4513162110954769</v>
      </c>
      <c r="S960" s="361">
        <f t="shared" si="977"/>
        <v>2.8649758217178305</v>
      </c>
      <c r="T960" s="361">
        <f t="shared" si="977"/>
        <v>3.3484404916327049</v>
      </c>
      <c r="U960" s="361">
        <f t="shared" si="977"/>
        <v>3.9134898245957124</v>
      </c>
      <c r="V960" s="362">
        <f t="shared" si="977"/>
        <v>4.5738912324962255</v>
      </c>
      <c r="X960" s="351"/>
    </row>
    <row r="961" spans="3:24" ht="24.75" customHeight="1" x14ac:dyDescent="0.3">
      <c r="C961" s="353">
        <f>ABS(E961-Dashboard!$F$14)</f>
        <v>41.658630867276273</v>
      </c>
      <c r="D961" s="350">
        <f t="shared" si="927"/>
        <v>0.16884999999999664</v>
      </c>
      <c r="E961" s="359" cm="1">
        <f t="array" ref="E961">1000*SUM('DRE + DCF'!$L$36/M961,'DRE + DCF'!$N$36:$V$36/N961:V961,F961/V961)/Dashboard!$F$11</f>
        <v>138.64863086727627</v>
      </c>
      <c r="F961" s="359">
        <f t="shared" si="925"/>
        <v>17846680.58225847</v>
      </c>
      <c r="G961" s="359">
        <f>'DRE + DCF'!$W$31</f>
        <v>2791623.3540418856</v>
      </c>
      <c r="H961" s="359">
        <f>'DRE + DCF'!$W$32</f>
        <v>81081.931703745853</v>
      </c>
      <c r="I961" s="359">
        <f>-H961*('DRE + DCF'!$V$33+K961)/'DRE + DCF'!$V$33</f>
        <v>-90858.801614444121</v>
      </c>
      <c r="J961" s="359">
        <f>-'DRE + DCF'!$V$56*L961</f>
        <v>-1188924.4255577971</v>
      </c>
      <c r="K961" s="360">
        <f>(1+L961)/(1+Ke!$O$12)-1</f>
        <v>2.0000000000000018E-2</v>
      </c>
      <c r="L961" s="360">
        <f>'DRE + DCF'!$Y$31</f>
        <v>7.3550000000000004E-2</v>
      </c>
      <c r="M961" s="361">
        <f>(1+D961)^((5-Dashboard!$F$9)*3/12)</f>
        <v>1.124136594668246</v>
      </c>
      <c r="N961" s="361">
        <f t="shared" ref="N961:V961" si="978">M961*(1+$D961)</f>
        <v>1.3139470586779756</v>
      </c>
      <c r="O961" s="361">
        <f t="shared" si="978"/>
        <v>1.5358070195357474</v>
      </c>
      <c r="P961" s="361">
        <f t="shared" si="978"/>
        <v>1.7951280347843532</v>
      </c>
      <c r="Q961" s="361">
        <f t="shared" si="978"/>
        <v>2.0982354034576853</v>
      </c>
      <c r="R961" s="361">
        <f t="shared" si="978"/>
        <v>2.4525224513315083</v>
      </c>
      <c r="S961" s="361">
        <f t="shared" si="978"/>
        <v>2.866630867238825</v>
      </c>
      <c r="T961" s="361">
        <f t="shared" si="978"/>
        <v>3.3506614891720909</v>
      </c>
      <c r="U961" s="361">
        <f t="shared" si="978"/>
        <v>3.9164206816187872</v>
      </c>
      <c r="V961" s="362">
        <f t="shared" si="978"/>
        <v>4.5777083137101062</v>
      </c>
      <c r="X961" s="351"/>
    </row>
    <row r="962" spans="3:24" ht="24.75" customHeight="1" x14ac:dyDescent="0.3">
      <c r="C962" s="353">
        <f>ABS(E962-Dashboard!$F$14)</f>
        <v>41.513005674359462</v>
      </c>
      <c r="D962" s="350">
        <f t="shared" si="927"/>
        <v>0.16894999999999663</v>
      </c>
      <c r="E962" s="359" cm="1">
        <f t="array" ref="E962">1000*SUM('DRE + DCF'!$L$36/M962,'DRE + DCF'!$N$36:$V$36/N962:V962,F962/V962)/Dashboard!$F$11</f>
        <v>138.50300567435946</v>
      </c>
      <c r="F962" s="359">
        <f t="shared" si="925"/>
        <v>17832023.081962183</v>
      </c>
      <c r="G962" s="359">
        <f>'DRE + DCF'!$W$31</f>
        <v>2791623.3540418856</v>
      </c>
      <c r="H962" s="359">
        <f>'DRE + DCF'!$W$32</f>
        <v>81081.931703745853</v>
      </c>
      <c r="I962" s="359">
        <f>-H962*('DRE + DCF'!$V$33+K962)/'DRE + DCF'!$V$33</f>
        <v>-90858.801614444121</v>
      </c>
      <c r="J962" s="359">
        <f>-'DRE + DCF'!$V$56*L962</f>
        <v>-1188924.4255577971</v>
      </c>
      <c r="K962" s="360">
        <f>(1+L962)/(1+Ke!$O$12)-1</f>
        <v>2.0000000000000018E-2</v>
      </c>
      <c r="L962" s="360">
        <f>'DRE + DCF'!$Y$31</f>
        <v>7.3550000000000004E-2</v>
      </c>
      <c r="M962" s="361">
        <f>(1+D962)^((5-Dashboard!$F$9)*3/12)</f>
        <v>1.124208724832934</v>
      </c>
      <c r="N962" s="361">
        <f t="shared" ref="N962:V962" si="979">M962*(1+$D962)</f>
        <v>1.3141437888934544</v>
      </c>
      <c r="O962" s="361">
        <f t="shared" si="979"/>
        <v>1.5361683820269991</v>
      </c>
      <c r="P962" s="361">
        <f t="shared" si="979"/>
        <v>1.7957040301704554</v>
      </c>
      <c r="Q962" s="361">
        <f t="shared" si="979"/>
        <v>2.0990882260677477</v>
      </c>
      <c r="R962" s="361">
        <f t="shared" si="979"/>
        <v>2.4537291818618865</v>
      </c>
      <c r="S962" s="361">
        <f t="shared" si="979"/>
        <v>2.8682867271374439</v>
      </c>
      <c r="T962" s="361">
        <f t="shared" si="979"/>
        <v>3.3528837696873053</v>
      </c>
      <c r="U962" s="361">
        <f t="shared" si="979"/>
        <v>3.9193534825759642</v>
      </c>
      <c r="V962" s="362">
        <f t="shared" si="979"/>
        <v>4.5815282534571597</v>
      </c>
      <c r="X962" s="351"/>
    </row>
    <row r="963" spans="3:24" ht="24.75" customHeight="1" x14ac:dyDescent="0.3">
      <c r="C963" s="353">
        <f>ABS(E963-Dashboard!$F$14)</f>
        <v>41.36764967173356</v>
      </c>
      <c r="D963" s="350">
        <f t="shared" si="927"/>
        <v>0.16904999999999662</v>
      </c>
      <c r="E963" s="359" cm="1">
        <f t="array" ref="E963">1000*SUM('DRE + DCF'!$L$36/M963,'DRE + DCF'!$N$36:$V$36/N963:V963,F963/V963)/Dashboard!$F$11</f>
        <v>138.35764967173355</v>
      </c>
      <c r="F963" s="359">
        <f t="shared" si="925"/>
        <v>17817391.491877347</v>
      </c>
      <c r="G963" s="359">
        <f>'DRE + DCF'!$W$31</f>
        <v>2791623.3540418856</v>
      </c>
      <c r="H963" s="359">
        <f>'DRE + DCF'!$W$32</f>
        <v>81081.931703745853</v>
      </c>
      <c r="I963" s="359">
        <f>-H963*('DRE + DCF'!$V$33+K963)/'DRE + DCF'!$V$33</f>
        <v>-90858.801614444121</v>
      </c>
      <c r="J963" s="359">
        <f>-'DRE + DCF'!$V$56*L963</f>
        <v>-1188924.4255577971</v>
      </c>
      <c r="K963" s="360">
        <f>(1+L963)/(1+Ke!$O$12)-1</f>
        <v>2.0000000000000018E-2</v>
      </c>
      <c r="L963" s="360">
        <f>'DRE + DCF'!$Y$31</f>
        <v>7.3550000000000004E-2</v>
      </c>
      <c r="M963" s="361">
        <f>(1+D963)^((5-Dashboard!$F$9)*3/12)</f>
        <v>1.1242808534550111</v>
      </c>
      <c r="N963" s="361">
        <f t="shared" ref="N963:V963" si="980">M963*(1+$D963)</f>
        <v>1.3143405317315768</v>
      </c>
      <c r="O963" s="361">
        <f t="shared" si="980"/>
        <v>1.5365297986207955</v>
      </c>
      <c r="P963" s="361">
        <f t="shared" si="980"/>
        <v>1.7962801610776358</v>
      </c>
      <c r="Q963" s="361">
        <f t="shared" si="980"/>
        <v>2.0999413223078038</v>
      </c>
      <c r="R963" s="361">
        <f t="shared" si="980"/>
        <v>2.4549364028439311</v>
      </c>
      <c r="S963" s="361">
        <f t="shared" si="980"/>
        <v>2.8699434017446892</v>
      </c>
      <c r="T963" s="361">
        <f t="shared" si="980"/>
        <v>3.3551073338096193</v>
      </c>
      <c r="U963" s="361">
        <f t="shared" si="980"/>
        <v>3.9222882285901242</v>
      </c>
      <c r="V963" s="362">
        <f t="shared" si="980"/>
        <v>4.5853510536332713</v>
      </c>
      <c r="X963" s="351"/>
    </row>
    <row r="964" spans="3:24" ht="24.75" customHeight="1" x14ac:dyDescent="0.3">
      <c r="C964" s="353">
        <f>ABS(E964-Dashboard!$F$14)</f>
        <v>41.222562123530921</v>
      </c>
      <c r="D964" s="350">
        <f t="shared" si="927"/>
        <v>0.16914999999999661</v>
      </c>
      <c r="E964" s="359" cm="1">
        <f t="array" ref="E964">1000*SUM('DRE + DCF'!$L$36/M964,'DRE + DCF'!$N$36:$V$36/N964:V964,F964/V964)/Dashboard!$F$11</f>
        <v>138.21256212353092</v>
      </c>
      <c r="F964" s="359">
        <f t="shared" si="925"/>
        <v>17802785.739175446</v>
      </c>
      <c r="G964" s="359">
        <f>'DRE + DCF'!$W$31</f>
        <v>2791623.3540418856</v>
      </c>
      <c r="H964" s="359">
        <f>'DRE + DCF'!$W$32</f>
        <v>81081.931703745853</v>
      </c>
      <c r="I964" s="359">
        <f>-H964*('DRE + DCF'!$V$33+K964)/'DRE + DCF'!$V$33</f>
        <v>-90858.801614444121</v>
      </c>
      <c r="J964" s="359">
        <f>-'DRE + DCF'!$V$56*L964</f>
        <v>-1188924.4255577971</v>
      </c>
      <c r="K964" s="360">
        <f>(1+L964)/(1+Ke!$O$12)-1</f>
        <v>2.0000000000000018E-2</v>
      </c>
      <c r="L964" s="360">
        <f>'DRE + DCF'!$Y$31</f>
        <v>7.3550000000000004E-2</v>
      </c>
      <c r="M964" s="361">
        <f>(1+D964)^((5-Dashboard!$F$9)*3/12)</f>
        <v>1.1243529805346426</v>
      </c>
      <c r="N964" s="361">
        <f t="shared" ref="N964:V964" si="981">M964*(1+$D964)</f>
        <v>1.3145372871920735</v>
      </c>
      <c r="O964" s="361">
        <f t="shared" si="981"/>
        <v>1.5368912693206083</v>
      </c>
      <c r="P964" s="361">
        <f t="shared" si="981"/>
        <v>1.7968564275261838</v>
      </c>
      <c r="Q964" s="361">
        <f t="shared" si="981"/>
        <v>2.1007946922422316</v>
      </c>
      <c r="R964" s="361">
        <f t="shared" si="981"/>
        <v>2.456144114434998</v>
      </c>
      <c r="S964" s="361">
        <f t="shared" si="981"/>
        <v>2.8716008913916697</v>
      </c>
      <c r="T964" s="361">
        <f t="shared" si="981"/>
        <v>3.3573321821705608</v>
      </c>
      <c r="U964" s="361">
        <f t="shared" si="981"/>
        <v>3.9252249207846996</v>
      </c>
      <c r="V964" s="362">
        <f t="shared" si="981"/>
        <v>4.5891767161354178</v>
      </c>
      <c r="X964" s="351"/>
    </row>
    <row r="965" spans="3:24" ht="24.75" customHeight="1" x14ac:dyDescent="0.3">
      <c r="C965" s="353">
        <f>ABS(E965-Dashboard!$F$14)</f>
        <v>41.077742296644217</v>
      </c>
      <c r="D965" s="350">
        <f t="shared" si="927"/>
        <v>0.1692499999999966</v>
      </c>
      <c r="E965" s="359" cm="1">
        <f t="array" ref="E965">1000*SUM('DRE + DCF'!$L$36/M965,'DRE + DCF'!$N$36:$V$36/N965:V965,F965/V965)/Dashboard!$F$11</f>
        <v>138.06774229664421</v>
      </c>
      <c r="F965" s="359">
        <f t="shared" si="925"/>
        <v>17788205.751312315</v>
      </c>
      <c r="G965" s="359">
        <f>'DRE + DCF'!$W$31</f>
        <v>2791623.3540418856</v>
      </c>
      <c r="H965" s="359">
        <f>'DRE + DCF'!$W$32</f>
        <v>81081.931703745853</v>
      </c>
      <c r="I965" s="359">
        <f>-H965*('DRE + DCF'!$V$33+K965)/'DRE + DCF'!$V$33</f>
        <v>-90858.801614444121</v>
      </c>
      <c r="J965" s="359">
        <f>-'DRE + DCF'!$V$56*L965</f>
        <v>-1188924.4255577971</v>
      </c>
      <c r="K965" s="360">
        <f>(1+L965)/(1+Ke!$O$12)-1</f>
        <v>2.0000000000000018E-2</v>
      </c>
      <c r="L965" s="360">
        <f>'DRE + DCF'!$Y$31</f>
        <v>7.3550000000000004E-2</v>
      </c>
      <c r="M965" s="361">
        <f>(1+D965)^((5-Dashboard!$F$9)*3/12)</f>
        <v>1.1244251060719932</v>
      </c>
      <c r="N965" s="361">
        <f t="shared" ref="N965:V965" si="982">M965*(1+$D965)</f>
        <v>1.3147340552746742</v>
      </c>
      <c r="O965" s="361">
        <f t="shared" si="982"/>
        <v>1.5372527941299083</v>
      </c>
      <c r="P965" s="361">
        <f t="shared" si="982"/>
        <v>1.7974328295363902</v>
      </c>
      <c r="Q965" s="361">
        <f t="shared" si="982"/>
        <v>2.1016483359354181</v>
      </c>
      <c r="R965" s="361">
        <f t="shared" si="982"/>
        <v>2.4573523167924805</v>
      </c>
      <c r="S965" s="361">
        <f t="shared" si="982"/>
        <v>2.8732591964095993</v>
      </c>
      <c r="T965" s="361">
        <f t="shared" si="982"/>
        <v>3.3595583154019142</v>
      </c>
      <c r="U965" s="361">
        <f t="shared" si="982"/>
        <v>3.9281635602836769</v>
      </c>
      <c r="V965" s="362">
        <f t="shared" si="982"/>
        <v>4.5930052428616754</v>
      </c>
      <c r="X965" s="351"/>
    </row>
    <row r="966" spans="3:24" ht="24.75" customHeight="1" x14ac:dyDescent="0.3">
      <c r="C966" s="353">
        <f>ABS(E966-Dashboard!$F$14)</f>
        <v>40.933189460713621</v>
      </c>
      <c r="D966" s="350">
        <f t="shared" si="927"/>
        <v>0.16934999999999659</v>
      </c>
      <c r="E966" s="359" cm="1">
        <f t="array" ref="E966">1000*SUM('DRE + DCF'!$L$36/M966,'DRE + DCF'!$N$36:$V$36/N966:V966,F966/V966)/Dashboard!$F$11</f>
        <v>137.92318946071362</v>
      </c>
      <c r="F966" s="359">
        <f t="shared" si="925"/>
        <v>17773651.456026774</v>
      </c>
      <c r="G966" s="359">
        <f>'DRE + DCF'!$W$31</f>
        <v>2791623.3540418856</v>
      </c>
      <c r="H966" s="359">
        <f>'DRE + DCF'!$W$32</f>
        <v>81081.931703745853</v>
      </c>
      <c r="I966" s="359">
        <f>-H966*('DRE + DCF'!$V$33+K966)/'DRE + DCF'!$V$33</f>
        <v>-90858.801614444121</v>
      </c>
      <c r="J966" s="359">
        <f>-'DRE + DCF'!$V$56*L966</f>
        <v>-1188924.4255577971</v>
      </c>
      <c r="K966" s="360">
        <f>(1+L966)/(1+Ke!$O$12)-1</f>
        <v>2.0000000000000018E-2</v>
      </c>
      <c r="L966" s="360">
        <f>'DRE + DCF'!$Y$31</f>
        <v>7.3550000000000004E-2</v>
      </c>
      <c r="M966" s="361">
        <f>(1+D966)^((5-Dashboard!$F$9)*3/12)</f>
        <v>1.1244972300672276</v>
      </c>
      <c r="N966" s="361">
        <f t="shared" ref="N966:V966" si="983">M966*(1+$D966)</f>
        <v>1.3149308359791088</v>
      </c>
      <c r="O966" s="361">
        <f t="shared" si="983"/>
        <v>1.5376143730521663</v>
      </c>
      <c r="P966" s="361">
        <f t="shared" si="983"/>
        <v>1.7980093671285453</v>
      </c>
      <c r="Q966" s="361">
        <f t="shared" si="983"/>
        <v>2.1025022534517581</v>
      </c>
      <c r="R966" s="361">
        <f t="shared" si="983"/>
        <v>2.4585610100738062</v>
      </c>
      <c r="S966" s="361">
        <f t="shared" si="983"/>
        <v>2.8749183171297967</v>
      </c>
      <c r="T966" s="361">
        <f t="shared" si="983"/>
        <v>3.3617857341357178</v>
      </c>
      <c r="U966" s="361">
        <f t="shared" si="983"/>
        <v>3.93110414821159</v>
      </c>
      <c r="V966" s="362">
        <f t="shared" si="983"/>
        <v>4.5968366357112096</v>
      </c>
      <c r="X966" s="351"/>
    </row>
    <row r="967" spans="3:24" ht="24.75" customHeight="1" x14ac:dyDescent="0.3">
      <c r="C967" s="353">
        <f>ABS(E967-Dashboard!$F$14)</f>
        <v>40.788902888112872</v>
      </c>
      <c r="D967" s="350">
        <f t="shared" si="927"/>
        <v>0.16944999999999658</v>
      </c>
      <c r="E967" s="359" cm="1">
        <f t="array" ref="E967">1000*SUM('DRE + DCF'!$L$36/M967,'DRE + DCF'!$N$36:$V$36/N967:V967,F967/V967)/Dashboard!$F$11</f>
        <v>137.77890288811287</v>
      </c>
      <c r="F967" s="359">
        <f t="shared" si="925"/>
        <v>17759122.781339183</v>
      </c>
      <c r="G967" s="359">
        <f>'DRE + DCF'!$W$31</f>
        <v>2791623.3540418856</v>
      </c>
      <c r="H967" s="359">
        <f>'DRE + DCF'!$W$32</f>
        <v>81081.931703745853</v>
      </c>
      <c r="I967" s="359">
        <f>-H967*('DRE + DCF'!$V$33+K967)/'DRE + DCF'!$V$33</f>
        <v>-90858.801614444121</v>
      </c>
      <c r="J967" s="359">
        <f>-'DRE + DCF'!$V$56*L967</f>
        <v>-1188924.4255577971</v>
      </c>
      <c r="K967" s="360">
        <f>(1+L967)/(1+Ke!$O$12)-1</f>
        <v>2.0000000000000018E-2</v>
      </c>
      <c r="L967" s="360">
        <f>'DRE + DCF'!$Y$31</f>
        <v>7.3550000000000004E-2</v>
      </c>
      <c r="M967" s="361">
        <f>(1+D967)^((5-Dashboard!$F$9)*3/12)</f>
        <v>1.1245693525205109</v>
      </c>
      <c r="N967" s="361">
        <f t="shared" ref="N967:V967" si="984">M967*(1+$D967)</f>
        <v>1.3151276293051077</v>
      </c>
      <c r="O967" s="361">
        <f t="shared" si="984"/>
        <v>1.5379760060908536</v>
      </c>
      <c r="P967" s="361">
        <f t="shared" si="984"/>
        <v>1.7985860403229434</v>
      </c>
      <c r="Q967" s="361">
        <f t="shared" si="984"/>
        <v>2.1033564448556601</v>
      </c>
      <c r="R967" s="361">
        <f t="shared" si="984"/>
        <v>2.4597701944364445</v>
      </c>
      <c r="S967" s="361">
        <f t="shared" si="984"/>
        <v>2.8765782538836917</v>
      </c>
      <c r="T967" s="361">
        <f t="shared" si="984"/>
        <v>3.3640144390042734</v>
      </c>
      <c r="U967" s="361">
        <f t="shared" si="984"/>
        <v>3.9340466856935361</v>
      </c>
      <c r="V967" s="362">
        <f t="shared" si="984"/>
        <v>4.6006708965842922</v>
      </c>
      <c r="X967" s="351"/>
    </row>
    <row r="968" spans="3:24" ht="24.75" customHeight="1" x14ac:dyDescent="0.3">
      <c r="C968" s="353">
        <f>ABS(E968-Dashboard!$F$14)</f>
        <v>40.64488185393661</v>
      </c>
      <c r="D968" s="350">
        <f t="shared" si="927"/>
        <v>0.16954999999999656</v>
      </c>
      <c r="E968" s="359" cm="1">
        <f t="array" ref="E968">1000*SUM('DRE + DCF'!$L$36/M968,'DRE + DCF'!$N$36:$V$36/N968:V968,F968/V968)/Dashboard!$F$11</f>
        <v>137.63488185393661</v>
      </c>
      <c r="F968" s="359">
        <f t="shared" si="925"/>
        <v>17744619.655550022</v>
      </c>
      <c r="G968" s="359">
        <f>'DRE + DCF'!$W$31</f>
        <v>2791623.3540418856</v>
      </c>
      <c r="H968" s="359">
        <f>'DRE + DCF'!$W$32</f>
        <v>81081.931703745853</v>
      </c>
      <c r="I968" s="359">
        <f>-H968*('DRE + DCF'!$V$33+K968)/'DRE + DCF'!$V$33</f>
        <v>-90858.801614444121</v>
      </c>
      <c r="J968" s="359">
        <f>-'DRE + DCF'!$V$56*L968</f>
        <v>-1188924.4255577971</v>
      </c>
      <c r="K968" s="360">
        <f>(1+L968)/(1+Ke!$O$12)-1</f>
        <v>2.0000000000000018E-2</v>
      </c>
      <c r="L968" s="360">
        <f>'DRE + DCF'!$Y$31</f>
        <v>7.3550000000000004E-2</v>
      </c>
      <c r="M968" s="361">
        <f>(1+D968)^((5-Dashboard!$F$9)*3/12)</f>
        <v>1.1246414734320078</v>
      </c>
      <c r="N968" s="361">
        <f t="shared" ref="N968:V968" si="985">M968*(1+$D968)</f>
        <v>1.3153244352524009</v>
      </c>
      <c r="O968" s="361">
        <f t="shared" si="985"/>
        <v>1.538337693249441</v>
      </c>
      <c r="P968" s="361">
        <f t="shared" si="985"/>
        <v>1.7991628491398783</v>
      </c>
      <c r="Q968" s="361">
        <f t="shared" si="985"/>
        <v>2.1042109102115383</v>
      </c>
      <c r="R968" s="361">
        <f t="shared" si="985"/>
        <v>2.4609798700378973</v>
      </c>
      <c r="S968" s="361">
        <f t="shared" si="985"/>
        <v>2.8782390070028141</v>
      </c>
      <c r="T968" s="361">
        <f t="shared" si="985"/>
        <v>3.3662444306401311</v>
      </c>
      <c r="U968" s="361">
        <f t="shared" si="985"/>
        <v>3.9369911738551537</v>
      </c>
      <c r="V968" s="362">
        <f t="shared" si="985"/>
        <v>4.6045080273822814</v>
      </c>
      <c r="X968" s="351"/>
    </row>
    <row r="969" spans="3:24" ht="24.75" customHeight="1" x14ac:dyDescent="0.3">
      <c r="C969" s="353">
        <f>ABS(E969-Dashboard!$F$14)</f>
        <v>40.501125635986725</v>
      </c>
      <c r="D969" s="350">
        <f t="shared" si="927"/>
        <v>0.16964999999999655</v>
      </c>
      <c r="E969" s="359" cm="1">
        <f t="array" ref="E969">1000*SUM('DRE + DCF'!$L$36/M969,'DRE + DCF'!$N$36:$V$36/N969:V969,F969/V969)/Dashboard!$F$11</f>
        <v>137.49112563598672</v>
      </c>
      <c r="F969" s="359">
        <f t="shared" si="925"/>
        <v>17730142.007238522</v>
      </c>
      <c r="G969" s="359">
        <f>'DRE + DCF'!$W$31</f>
        <v>2791623.3540418856</v>
      </c>
      <c r="H969" s="359">
        <f>'DRE + DCF'!$W$32</f>
        <v>81081.931703745853</v>
      </c>
      <c r="I969" s="359">
        <f>-H969*('DRE + DCF'!$V$33+K969)/'DRE + DCF'!$V$33</f>
        <v>-90858.801614444121</v>
      </c>
      <c r="J969" s="359">
        <f>-'DRE + DCF'!$V$56*L969</f>
        <v>-1188924.4255577971</v>
      </c>
      <c r="K969" s="360">
        <f>(1+L969)/(1+Ke!$O$12)-1</f>
        <v>2.0000000000000018E-2</v>
      </c>
      <c r="L969" s="360">
        <f>'DRE + DCF'!$Y$31</f>
        <v>7.3550000000000004E-2</v>
      </c>
      <c r="M969" s="361">
        <f>(1+D969)^((5-Dashboard!$F$9)*3/12)</f>
        <v>1.1247135928018832</v>
      </c>
      <c r="N969" s="361">
        <f t="shared" ref="N969:V969" si="986">M969*(1+$D969)</f>
        <v>1.3155212538207188</v>
      </c>
      <c r="O969" s="361">
        <f t="shared" si="986"/>
        <v>1.5386994345313991</v>
      </c>
      <c r="P969" s="361">
        <f t="shared" si="986"/>
        <v>1.7997397935996455</v>
      </c>
      <c r="Q969" s="361">
        <f t="shared" si="986"/>
        <v>2.1050656495838194</v>
      </c>
      <c r="R969" s="361">
        <f t="shared" si="986"/>
        <v>2.462190037035707</v>
      </c>
      <c r="S969" s="361">
        <f t="shared" si="986"/>
        <v>2.8799005768188062</v>
      </c>
      <c r="T969" s="361">
        <f t="shared" si="986"/>
        <v>3.3684757096761064</v>
      </c>
      <c r="U969" s="361">
        <f t="shared" si="986"/>
        <v>3.9399376138226461</v>
      </c>
      <c r="V969" s="362">
        <f t="shared" si="986"/>
        <v>4.6083480300076447</v>
      </c>
      <c r="X969" s="351"/>
    </row>
    <row r="970" spans="3:24" ht="24.75" customHeight="1" x14ac:dyDescent="0.3">
      <c r="C970" s="353">
        <f>ABS(E970-Dashboard!$F$14)</f>
        <v>40.357633514759655</v>
      </c>
      <c r="D970" s="350">
        <f t="shared" si="927"/>
        <v>0.16974999999999654</v>
      </c>
      <c r="E970" s="359" cm="1">
        <f t="array" ref="E970">1000*SUM('DRE + DCF'!$L$36/M970,'DRE + DCF'!$N$36:$V$36/N970:V970,F970/V970)/Dashboard!$F$11</f>
        <v>137.34763351475965</v>
      </c>
      <c r="F970" s="359">
        <f t="shared" si="925"/>
        <v>17715689.765261251</v>
      </c>
      <c r="G970" s="359">
        <f>'DRE + DCF'!$W$31</f>
        <v>2791623.3540418856</v>
      </c>
      <c r="H970" s="359">
        <f>'DRE + DCF'!$W$32</f>
        <v>81081.931703745853</v>
      </c>
      <c r="I970" s="359">
        <f>-H970*('DRE + DCF'!$V$33+K970)/'DRE + DCF'!$V$33</f>
        <v>-90858.801614444121</v>
      </c>
      <c r="J970" s="359">
        <f>-'DRE + DCF'!$V$56*L970</f>
        <v>-1188924.4255577971</v>
      </c>
      <c r="K970" s="360">
        <f>(1+L970)/(1+Ke!$O$12)-1</f>
        <v>2.0000000000000018E-2</v>
      </c>
      <c r="L970" s="360">
        <f>'DRE + DCF'!$Y$31</f>
        <v>7.3550000000000004E-2</v>
      </c>
      <c r="M970" s="361">
        <f>(1+D970)^((5-Dashboard!$F$9)*3/12)</f>
        <v>1.1247857106303019</v>
      </c>
      <c r="N970" s="361">
        <f t="shared" ref="N970:V970" si="987">M970*(1+$D970)</f>
        <v>1.3157180850097916</v>
      </c>
      <c r="O970" s="361">
        <f t="shared" si="987"/>
        <v>1.5390612299401991</v>
      </c>
      <c r="P970" s="361">
        <f t="shared" si="987"/>
        <v>1.8003168737225426</v>
      </c>
      <c r="Q970" s="361">
        <f t="shared" si="987"/>
        <v>2.105920663036938</v>
      </c>
      <c r="R970" s="361">
        <f t="shared" si="987"/>
        <v>2.4634006955874508</v>
      </c>
      <c r="S970" s="361">
        <f t="shared" si="987"/>
        <v>2.8815629636634119</v>
      </c>
      <c r="T970" s="361">
        <f t="shared" si="987"/>
        <v>3.3707082767452659</v>
      </c>
      <c r="U970" s="361">
        <f t="shared" si="987"/>
        <v>3.9428860067227629</v>
      </c>
      <c r="V970" s="362">
        <f t="shared" si="987"/>
        <v>4.6121909063639386</v>
      </c>
      <c r="X970" s="351"/>
    </row>
    <row r="971" spans="3:24" ht="24.75" customHeight="1" x14ac:dyDescent="0.3">
      <c r="C971" s="353">
        <f>ABS(E971-Dashboard!$F$14)</f>
        <v>40.214404773433031</v>
      </c>
      <c r="D971" s="350">
        <f t="shared" si="927"/>
        <v>0.16984999999999653</v>
      </c>
      <c r="E971" s="359" cm="1">
        <f t="array" ref="E971">1000*SUM('DRE + DCF'!$L$36/M971,'DRE + DCF'!$N$36:$V$36/N971:V971,F971/V971)/Dashboard!$F$11</f>
        <v>137.20440477343303</v>
      </c>
      <c r="F971" s="359">
        <f t="shared" si="925"/>
        <v>17701262.858750734</v>
      </c>
      <c r="G971" s="359">
        <f>'DRE + DCF'!$W$31</f>
        <v>2791623.3540418856</v>
      </c>
      <c r="H971" s="359">
        <f>'DRE + DCF'!$W$32</f>
        <v>81081.931703745853</v>
      </c>
      <c r="I971" s="359">
        <f>-H971*('DRE + DCF'!$V$33+K971)/'DRE + DCF'!$V$33</f>
        <v>-90858.801614444121</v>
      </c>
      <c r="J971" s="359">
        <f>-'DRE + DCF'!$V$56*L971</f>
        <v>-1188924.4255577971</v>
      </c>
      <c r="K971" s="360">
        <f>(1+L971)/(1+Ke!$O$12)-1</f>
        <v>2.0000000000000018E-2</v>
      </c>
      <c r="L971" s="360">
        <f>'DRE + DCF'!$Y$31</f>
        <v>7.3550000000000004E-2</v>
      </c>
      <c r="M971" s="361">
        <f>(1+D971)^((5-Dashboard!$F$9)*3/12)</f>
        <v>1.1248578269174283</v>
      </c>
      <c r="N971" s="361">
        <f t="shared" ref="N971:V971" si="988">M971*(1+$D971)</f>
        <v>1.3159149288193495</v>
      </c>
      <c r="O971" s="361">
        <f t="shared" si="988"/>
        <v>1.5394230794793113</v>
      </c>
      <c r="P971" s="361">
        <f t="shared" si="988"/>
        <v>1.800894089528867</v>
      </c>
      <c r="Q971" s="361">
        <f t="shared" si="988"/>
        <v>2.1067759506353387</v>
      </c>
      <c r="R971" s="361">
        <f t="shared" si="988"/>
        <v>2.4646118458507438</v>
      </c>
      <c r="S971" s="361">
        <f t="shared" si="988"/>
        <v>2.8832261678684841</v>
      </c>
      <c r="T971" s="361">
        <f t="shared" si="988"/>
        <v>3.3729421324809361</v>
      </c>
      <c r="U971" s="361">
        <f t="shared" si="988"/>
        <v>3.9458363536828114</v>
      </c>
      <c r="V971" s="362">
        <f t="shared" si="988"/>
        <v>4.6160366583558234</v>
      </c>
      <c r="X971" s="351"/>
    </row>
    <row r="972" spans="3:24" ht="24.75" customHeight="1" x14ac:dyDescent="0.3">
      <c r="C972" s="353">
        <f>ABS(E972-Dashboard!$F$14)</f>
        <v>40.071438697853196</v>
      </c>
      <c r="D972" s="350">
        <f t="shared" si="927"/>
        <v>0.16994999999999652</v>
      </c>
      <c r="E972" s="359" cm="1">
        <f t="array" ref="E972">1000*SUM('DRE + DCF'!$L$36/M972,'DRE + DCF'!$N$36:$V$36/N972:V972,F972/V972)/Dashboard!$F$11</f>
        <v>137.06143869785319</v>
      </c>
      <c r="F972" s="359">
        <f t="shared" si="925"/>
        <v>17686861.217114098</v>
      </c>
      <c r="G972" s="359">
        <f>'DRE + DCF'!$W$31</f>
        <v>2791623.3540418856</v>
      </c>
      <c r="H972" s="359">
        <f>'DRE + DCF'!$W$32</f>
        <v>81081.931703745853</v>
      </c>
      <c r="I972" s="359">
        <f>-H972*('DRE + DCF'!$V$33+K972)/'DRE + DCF'!$V$33</f>
        <v>-90858.801614444121</v>
      </c>
      <c r="J972" s="359">
        <f>-'DRE + DCF'!$V$56*L972</f>
        <v>-1188924.4255577971</v>
      </c>
      <c r="K972" s="360">
        <f>(1+L972)/(1+Ke!$O$12)-1</f>
        <v>2.0000000000000018E-2</v>
      </c>
      <c r="L972" s="360">
        <f>'DRE + DCF'!$Y$31</f>
        <v>7.3550000000000004E-2</v>
      </c>
      <c r="M972" s="361">
        <f>(1+D972)^((5-Dashboard!$F$9)*3/12)</f>
        <v>1.1249299416634273</v>
      </c>
      <c r="N972" s="361">
        <f t="shared" ref="N972:V972" si="989">M972*(1+$D972)</f>
        <v>1.3161117852491229</v>
      </c>
      <c r="O972" s="361">
        <f t="shared" si="989"/>
        <v>1.5397849831522066</v>
      </c>
      <c r="P972" s="361">
        <f t="shared" si="989"/>
        <v>1.8014714410389188</v>
      </c>
      <c r="Q972" s="361">
        <f t="shared" si="989"/>
        <v>2.1076315124434766</v>
      </c>
      <c r="R972" s="361">
        <f t="shared" si="989"/>
        <v>2.4658234879832381</v>
      </c>
      <c r="S972" s="361">
        <f t="shared" si="989"/>
        <v>2.8848901897659807</v>
      </c>
      <c r="T972" s="361">
        <f t="shared" si="989"/>
        <v>3.3751772775166988</v>
      </c>
      <c r="U972" s="361">
        <f t="shared" si="989"/>
        <v>3.9487886558306498</v>
      </c>
      <c r="V972" s="362">
        <f t="shared" si="989"/>
        <v>4.6198852878890548</v>
      </c>
      <c r="X972" s="351"/>
    </row>
    <row r="973" spans="3:24" ht="24.75" customHeight="1" x14ac:dyDescent="0.3">
      <c r="C973" s="353">
        <f>ABS(E973-Dashboard!$F$14)</f>
        <v>39.928734576521762</v>
      </c>
      <c r="D973" s="350">
        <f t="shared" si="927"/>
        <v>0.17004999999999651</v>
      </c>
      <c r="E973" s="359" cm="1">
        <f t="array" ref="E973">1000*SUM('DRE + DCF'!$L$36/M973,'DRE + DCF'!$N$36:$V$36/N973:V973,F973/V973)/Dashboard!$F$11</f>
        <v>136.91873457652176</v>
      </c>
      <c r="F973" s="359">
        <f t="shared" si="925"/>
        <v>17672484.770031676</v>
      </c>
      <c r="G973" s="359">
        <f>'DRE + DCF'!$W$31</f>
        <v>2791623.3540418856</v>
      </c>
      <c r="H973" s="359">
        <f>'DRE + DCF'!$W$32</f>
        <v>81081.931703745853</v>
      </c>
      <c r="I973" s="359">
        <f>-H973*('DRE + DCF'!$V$33+K973)/'DRE + DCF'!$V$33</f>
        <v>-90858.801614444121</v>
      </c>
      <c r="J973" s="359">
        <f>-'DRE + DCF'!$V$56*L973</f>
        <v>-1188924.4255577971</v>
      </c>
      <c r="K973" s="360">
        <f>(1+L973)/(1+Ke!$O$12)-1</f>
        <v>2.0000000000000018E-2</v>
      </c>
      <c r="L973" s="360">
        <f>'DRE + DCF'!$Y$31</f>
        <v>7.3550000000000004E-2</v>
      </c>
      <c r="M973" s="361">
        <f>(1+D973)^((5-Dashboard!$F$9)*3/12)</f>
        <v>1.1250020548684636</v>
      </c>
      <c r="N973" s="361">
        <f t="shared" ref="N973:V973" si="990">M973*(1+$D973)</f>
        <v>1.3163086542988418</v>
      </c>
      <c r="O973" s="361">
        <f t="shared" si="990"/>
        <v>1.5401469409623552</v>
      </c>
      <c r="P973" s="361">
        <f t="shared" si="990"/>
        <v>1.8020489282729983</v>
      </c>
      <c r="Q973" s="361">
        <f t="shared" si="990"/>
        <v>2.1084873485258155</v>
      </c>
      <c r="R973" s="361">
        <f t="shared" si="990"/>
        <v>2.4670356221426228</v>
      </c>
      <c r="S973" s="361">
        <f t="shared" si="990"/>
        <v>2.8865550296879672</v>
      </c>
      <c r="T973" s="361">
        <f t="shared" si="990"/>
        <v>3.3774137124863959</v>
      </c>
      <c r="U973" s="361">
        <f t="shared" si="990"/>
        <v>3.9517429142946958</v>
      </c>
      <c r="V973" s="362">
        <f t="shared" si="990"/>
        <v>4.623736796870495</v>
      </c>
      <c r="X973" s="351"/>
    </row>
    <row r="974" spans="3:24" ht="24.75" customHeight="1" x14ac:dyDescent="0.3">
      <c r="C974" s="353">
        <f>ABS(E974-Dashboard!$F$14)</f>
        <v>39.786291700583448</v>
      </c>
      <c r="D974" s="350">
        <f t="shared" si="927"/>
        <v>0.1701499999999965</v>
      </c>
      <c r="E974" s="359" cm="1">
        <f t="array" ref="E974">1000*SUM('DRE + DCF'!$L$36/M974,'DRE + DCF'!$N$36:$V$36/N974:V974,F974/V974)/Dashboard!$F$11</f>
        <v>136.77629170058344</v>
      </c>
      <c r="F974" s="359">
        <f t="shared" ref="F974:F1037" si="991">AVERAGE(SUM(G974:J974)*(1+L974)/(D974-L974),G974*(1+L974)*(1-L974/D974)/(D974-L974))</f>
        <v>17658133.447455674</v>
      </c>
      <c r="G974" s="359">
        <f>'DRE + DCF'!$W$31</f>
        <v>2791623.3540418856</v>
      </c>
      <c r="H974" s="359">
        <f>'DRE + DCF'!$W$32</f>
        <v>81081.931703745853</v>
      </c>
      <c r="I974" s="359">
        <f>-H974*('DRE + DCF'!$V$33+K974)/'DRE + DCF'!$V$33</f>
        <v>-90858.801614444121</v>
      </c>
      <c r="J974" s="359">
        <f>-'DRE + DCF'!$V$56*L974</f>
        <v>-1188924.4255577971</v>
      </c>
      <c r="K974" s="360">
        <f>(1+L974)/(1+Ke!$O$12)-1</f>
        <v>2.0000000000000018E-2</v>
      </c>
      <c r="L974" s="360">
        <f>'DRE + DCF'!$Y$31</f>
        <v>7.3550000000000004E-2</v>
      </c>
      <c r="M974" s="361">
        <f>(1+D974)^((5-Dashboard!$F$9)*3/12)</f>
        <v>1.1250741665327015</v>
      </c>
      <c r="N974" s="361">
        <f t="shared" ref="N974:V974" si="992">M974*(1+$D974)</f>
        <v>1.3165055359682367</v>
      </c>
      <c r="O974" s="361">
        <f t="shared" si="992"/>
        <v>1.5405089529132276</v>
      </c>
      <c r="P974" s="361">
        <f t="shared" si="992"/>
        <v>1.8026265512514079</v>
      </c>
      <c r="Q974" s="361">
        <f t="shared" si="992"/>
        <v>2.1093434589468285</v>
      </c>
      <c r="R974" s="361">
        <f t="shared" si="992"/>
        <v>2.4682482484866237</v>
      </c>
      <c r="S974" s="361">
        <f t="shared" si="992"/>
        <v>2.8882206879666139</v>
      </c>
      <c r="T974" s="361">
        <f t="shared" si="992"/>
        <v>3.3796514380241232</v>
      </c>
      <c r="U974" s="361">
        <f t="shared" si="992"/>
        <v>3.9546991302039158</v>
      </c>
      <c r="V974" s="362">
        <f t="shared" si="992"/>
        <v>4.6275911872080986</v>
      </c>
      <c r="X974" s="351"/>
    </row>
    <row r="975" spans="3:24" ht="24.75" customHeight="1" x14ac:dyDescent="0.3">
      <c r="C975" s="353">
        <f>ABS(E975-Dashboard!$F$14)</f>
        <v>39.644109363812888</v>
      </c>
      <c r="D975" s="350">
        <f t="shared" ref="D975:D1038" si="993">D974+0.0001</f>
        <v>0.17024999999999649</v>
      </c>
      <c r="E975" s="359" cm="1">
        <f t="array" ref="E975">1000*SUM('DRE + DCF'!$L$36/M975,'DRE + DCF'!$N$36:$V$36/N975:V975,F975/V975)/Dashboard!$F$11</f>
        <v>136.63410936381288</v>
      </c>
      <c r="F975" s="359">
        <f t="shared" si="991"/>
        <v>17643807.179608814</v>
      </c>
      <c r="G975" s="359">
        <f>'DRE + DCF'!$W$31</f>
        <v>2791623.3540418856</v>
      </c>
      <c r="H975" s="359">
        <f>'DRE + DCF'!$W$32</f>
        <v>81081.931703745853</v>
      </c>
      <c r="I975" s="359">
        <f>-H975*('DRE + DCF'!$V$33+K975)/'DRE + DCF'!$V$33</f>
        <v>-90858.801614444121</v>
      </c>
      <c r="J975" s="359">
        <f>-'DRE + DCF'!$V$56*L975</f>
        <v>-1188924.4255577971</v>
      </c>
      <c r="K975" s="360">
        <f>(1+L975)/(1+Ke!$O$12)-1</f>
        <v>2.0000000000000018E-2</v>
      </c>
      <c r="L975" s="360">
        <f>'DRE + DCF'!$Y$31</f>
        <v>7.3550000000000004E-2</v>
      </c>
      <c r="M975" s="361">
        <f>(1+D975)^((5-Dashboard!$F$9)*3/12)</f>
        <v>1.1251462766563061</v>
      </c>
      <c r="N975" s="361">
        <f t="shared" ref="N975:V975" si="994">M975*(1+$D975)</f>
        <v>1.3167024302570383</v>
      </c>
      <c r="O975" s="361">
        <f t="shared" si="994"/>
        <v>1.5408710190082944</v>
      </c>
      <c r="P975" s="361">
        <f t="shared" si="994"/>
        <v>1.803204309994451</v>
      </c>
      <c r="Q975" s="361">
        <f t="shared" si="994"/>
        <v>2.1101998437709999</v>
      </c>
      <c r="R975" s="361">
        <f t="shared" si="994"/>
        <v>2.4694613671730052</v>
      </c>
      <c r="S975" s="361">
        <f t="shared" si="994"/>
        <v>2.8898871649342008</v>
      </c>
      <c r="T975" s="361">
        <f t="shared" si="994"/>
        <v>3.3818904547642381</v>
      </c>
      <c r="U975" s="361">
        <f t="shared" si="994"/>
        <v>3.9576573046878378</v>
      </c>
      <c r="V975" s="362">
        <f t="shared" si="994"/>
        <v>4.6314484608109279</v>
      </c>
      <c r="X975" s="351"/>
    </row>
    <row r="976" spans="3:24" ht="24.75" customHeight="1" x14ac:dyDescent="0.3">
      <c r="C976" s="353">
        <f>ABS(E976-Dashboard!$F$14)</f>
        <v>39.502186862602358</v>
      </c>
      <c r="D976" s="350">
        <f t="shared" si="993"/>
        <v>0.17034999999999648</v>
      </c>
      <c r="E976" s="359" cm="1">
        <f t="array" ref="E976">1000*SUM('DRE + DCF'!$L$36/M976,'DRE + DCF'!$N$36:$V$36/N976:V976,F976/V976)/Dashboard!$F$11</f>
        <v>136.49218686260235</v>
      </c>
      <c r="F976" s="359">
        <f t="shared" si="991"/>
        <v>17629505.896983001</v>
      </c>
      <c r="G976" s="359">
        <f>'DRE + DCF'!$W$31</f>
        <v>2791623.3540418856</v>
      </c>
      <c r="H976" s="359">
        <f>'DRE + DCF'!$W$32</f>
        <v>81081.931703745853</v>
      </c>
      <c r="I976" s="359">
        <f>-H976*('DRE + DCF'!$V$33+K976)/'DRE + DCF'!$V$33</f>
        <v>-90858.801614444121</v>
      </c>
      <c r="J976" s="359">
        <f>-'DRE + DCF'!$V$56*L976</f>
        <v>-1188924.4255577971</v>
      </c>
      <c r="K976" s="360">
        <f>(1+L976)/(1+Ke!$O$12)-1</f>
        <v>2.0000000000000018E-2</v>
      </c>
      <c r="L976" s="360">
        <f>'DRE + DCF'!$Y$31</f>
        <v>7.3550000000000004E-2</v>
      </c>
      <c r="M976" s="361">
        <f>(1+D976)^((5-Dashboard!$F$9)*3/12)</f>
        <v>1.1252183852394417</v>
      </c>
      <c r="N976" s="361">
        <f t="shared" ref="N976:V976" si="995">M976*(1+$D976)</f>
        <v>1.3168993371649766</v>
      </c>
      <c r="O976" s="361">
        <f t="shared" si="995"/>
        <v>1.5412331392510257</v>
      </c>
      <c r="P976" s="361">
        <f t="shared" si="995"/>
        <v>1.8037822045224323</v>
      </c>
      <c r="Q976" s="361">
        <f t="shared" si="995"/>
        <v>2.1110565030628221</v>
      </c>
      <c r="R976" s="361">
        <f t="shared" si="995"/>
        <v>2.4706749783595665</v>
      </c>
      <c r="S976" s="361">
        <f t="shared" si="995"/>
        <v>2.8915544609231101</v>
      </c>
      <c r="T976" s="361">
        <f t="shared" si="995"/>
        <v>3.3841307633413518</v>
      </c>
      <c r="U976" s="361">
        <f t="shared" si="995"/>
        <v>3.9606174388765392</v>
      </c>
      <c r="V976" s="362">
        <f t="shared" si="995"/>
        <v>4.6353086195891438</v>
      </c>
      <c r="X976" s="351"/>
    </row>
    <row r="977" spans="3:24" ht="24.75" customHeight="1" x14ac:dyDescent="0.3">
      <c r="C977" s="353">
        <f>ABS(E977-Dashboard!$F$14)</f>
        <v>39.36052349594901</v>
      </c>
      <c r="D977" s="350">
        <f t="shared" si="993"/>
        <v>0.17044999999999647</v>
      </c>
      <c r="E977" s="359" cm="1">
        <f t="array" ref="E977">1000*SUM('DRE + DCF'!$L$36/M977,'DRE + DCF'!$N$36:$V$36/N977:V977,F977/V977)/Dashboard!$F$11</f>
        <v>136.35052349594901</v>
      </c>
      <c r="F977" s="359">
        <f t="shared" si="991"/>
        <v>17615229.530337967</v>
      </c>
      <c r="G977" s="359">
        <f>'DRE + DCF'!$W$31</f>
        <v>2791623.3540418856</v>
      </c>
      <c r="H977" s="359">
        <f>'DRE + DCF'!$W$32</f>
        <v>81081.931703745853</v>
      </c>
      <c r="I977" s="359">
        <f>-H977*('DRE + DCF'!$V$33+K977)/'DRE + DCF'!$V$33</f>
        <v>-90858.801614444121</v>
      </c>
      <c r="J977" s="359">
        <f>-'DRE + DCF'!$V$56*L977</f>
        <v>-1188924.4255577971</v>
      </c>
      <c r="K977" s="360">
        <f>(1+L977)/(1+Ke!$O$12)-1</f>
        <v>2.0000000000000018E-2</v>
      </c>
      <c r="L977" s="360">
        <f>'DRE + DCF'!$Y$31</f>
        <v>7.3550000000000004E-2</v>
      </c>
      <c r="M977" s="361">
        <f>(1+D977)^((5-Dashboard!$F$9)*3/12)</f>
        <v>1.1252904922822728</v>
      </c>
      <c r="N977" s="361">
        <f t="shared" ref="N977:V977" si="996">M977*(1+$D977)</f>
        <v>1.3170962566917823</v>
      </c>
      <c r="O977" s="361">
        <f t="shared" si="996"/>
        <v>1.5415953136448919</v>
      </c>
      <c r="P977" s="361">
        <f t="shared" si="996"/>
        <v>1.8043602348556582</v>
      </c>
      <c r="Q977" s="361">
        <f t="shared" si="996"/>
        <v>2.1119134368867987</v>
      </c>
      <c r="R977" s="361">
        <f t="shared" si="996"/>
        <v>2.4718890822041462</v>
      </c>
      <c r="S977" s="361">
        <f t="shared" si="996"/>
        <v>2.8932225762658339</v>
      </c>
      <c r="T977" s="361">
        <f t="shared" si="996"/>
        <v>3.386372364390335</v>
      </c>
      <c r="U977" s="361">
        <f t="shared" si="996"/>
        <v>3.9635795339006554</v>
      </c>
      <c r="V977" s="362">
        <f t="shared" si="996"/>
        <v>4.6391716654540076</v>
      </c>
      <c r="X977" s="351"/>
    </row>
    <row r="978" spans="3:24" ht="24.75" customHeight="1" x14ac:dyDescent="0.3">
      <c r="C978" s="353">
        <f>ABS(E978-Dashboard!$F$14)</f>
        <v>39.219118565442486</v>
      </c>
      <c r="D978" s="350">
        <f t="shared" si="993"/>
        <v>0.17054999999999645</v>
      </c>
      <c r="E978" s="359" cm="1">
        <f t="array" ref="E978">1000*SUM('DRE + DCF'!$L$36/M978,'DRE + DCF'!$N$36:$V$36/N978:V978,F978/V978)/Dashboard!$F$11</f>
        <v>136.20911856544248</v>
      </c>
      <c r="F978" s="359">
        <f t="shared" si="991"/>
        <v>17600978.010699973</v>
      </c>
      <c r="G978" s="359">
        <f>'DRE + DCF'!$W$31</f>
        <v>2791623.3540418856</v>
      </c>
      <c r="H978" s="359">
        <f>'DRE + DCF'!$W$32</f>
        <v>81081.931703745853</v>
      </c>
      <c r="I978" s="359">
        <f>-H978*('DRE + DCF'!$V$33+K978)/'DRE + DCF'!$V$33</f>
        <v>-90858.801614444121</v>
      </c>
      <c r="J978" s="359">
        <f>-'DRE + DCF'!$V$56*L978</f>
        <v>-1188924.4255577971</v>
      </c>
      <c r="K978" s="360">
        <f>(1+L978)/(1+Ke!$O$12)-1</f>
        <v>2.0000000000000018E-2</v>
      </c>
      <c r="L978" s="360">
        <f>'DRE + DCF'!$Y$31</f>
        <v>7.3550000000000004E-2</v>
      </c>
      <c r="M978" s="361">
        <f>(1+D978)^((5-Dashboard!$F$9)*3/12)</f>
        <v>1.1253625977849639</v>
      </c>
      <c r="N978" s="361">
        <f t="shared" ref="N978:V978" si="997">M978*(1+$D978)</f>
        <v>1.3172931888371855</v>
      </c>
      <c r="O978" s="361">
        <f t="shared" si="997"/>
        <v>1.5419575421933627</v>
      </c>
      <c r="P978" s="361">
        <f t="shared" si="997"/>
        <v>1.8049384010144351</v>
      </c>
      <c r="Q978" s="361">
        <f t="shared" si="997"/>
        <v>2.1127706453074406</v>
      </c>
      <c r="R978" s="361">
        <f t="shared" si="997"/>
        <v>2.473103678864617</v>
      </c>
      <c r="S978" s="361">
        <f t="shared" si="997"/>
        <v>2.8948915112949685</v>
      </c>
      <c r="T978" s="361">
        <f t="shared" si="997"/>
        <v>3.3886152585463152</v>
      </c>
      <c r="U978" s="361">
        <f t="shared" si="997"/>
        <v>3.9665435908913773</v>
      </c>
      <c r="V978" s="362">
        <f t="shared" si="997"/>
        <v>4.6430376003178875</v>
      </c>
      <c r="X978" s="351"/>
    </row>
    <row r="979" spans="3:24" ht="24.75" customHeight="1" x14ac:dyDescent="0.3">
      <c r="C979" s="353">
        <f>ABS(E979-Dashboard!$F$14)</f>
        <v>39.077971375252432</v>
      </c>
      <c r="D979" s="350">
        <f t="shared" si="993"/>
        <v>0.17064999999999644</v>
      </c>
      <c r="E979" s="359" cm="1">
        <f t="array" ref="E979">1000*SUM('DRE + DCF'!$L$36/M979,'DRE + DCF'!$N$36:$V$36/N979:V979,F979/V979)/Dashboard!$F$11</f>
        <v>136.06797137525243</v>
      </c>
      <c r="F979" s="359">
        <f t="shared" si="991"/>
        <v>17586751.269360479</v>
      </c>
      <c r="G979" s="359">
        <f>'DRE + DCF'!$W$31</f>
        <v>2791623.3540418856</v>
      </c>
      <c r="H979" s="359">
        <f>'DRE + DCF'!$W$32</f>
        <v>81081.931703745853</v>
      </c>
      <c r="I979" s="359">
        <f>-H979*('DRE + DCF'!$V$33+K979)/'DRE + DCF'!$V$33</f>
        <v>-90858.801614444121</v>
      </c>
      <c r="J979" s="359">
        <f>-'DRE + DCF'!$V$56*L979</f>
        <v>-1188924.4255577971</v>
      </c>
      <c r="K979" s="360">
        <f>(1+L979)/(1+Ke!$O$12)-1</f>
        <v>2.0000000000000018E-2</v>
      </c>
      <c r="L979" s="360">
        <f>'DRE + DCF'!$Y$31</f>
        <v>7.3550000000000004E-2</v>
      </c>
      <c r="M979" s="361">
        <f>(1+D979)^((5-Dashboard!$F$9)*3/12)</f>
        <v>1.1254347017476796</v>
      </c>
      <c r="N979" s="361">
        <f t="shared" ref="N979:V979" si="998">M979*(1+$D979)</f>
        <v>1.317490133600917</v>
      </c>
      <c r="O979" s="361">
        <f t="shared" si="998"/>
        <v>1.5423198248999088</v>
      </c>
      <c r="P979" s="361">
        <f t="shared" si="998"/>
        <v>1.8055167030190726</v>
      </c>
      <c r="Q979" s="361">
        <f t="shared" si="998"/>
        <v>2.1136281283892711</v>
      </c>
      <c r="R979" s="361">
        <f t="shared" si="998"/>
        <v>2.4743187684988928</v>
      </c>
      <c r="S979" s="361">
        <f t="shared" si="998"/>
        <v>2.8965612663432201</v>
      </c>
      <c r="T979" s="361">
        <f t="shared" si="998"/>
        <v>3.3908594464446802</v>
      </c>
      <c r="U979" s="361">
        <f t="shared" si="998"/>
        <v>3.9695096109804529</v>
      </c>
      <c r="V979" s="362">
        <f t="shared" si="998"/>
        <v>4.6469064260942528</v>
      </c>
      <c r="X979" s="351"/>
    </row>
    <row r="980" spans="3:24" ht="24.75" customHeight="1" x14ac:dyDescent="0.3">
      <c r="C980" s="353">
        <f>ABS(E980-Dashboard!$F$14)</f>
        <v>38.93708123211637</v>
      </c>
      <c r="D980" s="350">
        <f t="shared" si="993"/>
        <v>0.17074999999999643</v>
      </c>
      <c r="E980" s="359" cm="1">
        <f t="array" ref="E980">1000*SUM('DRE + DCF'!$L$36/M980,'DRE + DCF'!$N$36:$V$36/N980:V980,F980/V980)/Dashboard!$F$11</f>
        <v>135.92708123211636</v>
      </c>
      <c r="F980" s="359">
        <f t="shared" si="991"/>
        <v>17572549.237874832</v>
      </c>
      <c r="G980" s="359">
        <f>'DRE + DCF'!$W$31</f>
        <v>2791623.3540418856</v>
      </c>
      <c r="H980" s="359">
        <f>'DRE + DCF'!$W$32</f>
        <v>81081.931703745853</v>
      </c>
      <c r="I980" s="359">
        <f>-H980*('DRE + DCF'!$V$33+K980)/'DRE + DCF'!$V$33</f>
        <v>-90858.801614444121</v>
      </c>
      <c r="J980" s="359">
        <f>-'DRE + DCF'!$V$56*L980</f>
        <v>-1188924.4255577971</v>
      </c>
      <c r="K980" s="360">
        <f>(1+L980)/(1+Ke!$O$12)-1</f>
        <v>2.0000000000000018E-2</v>
      </c>
      <c r="L980" s="360">
        <f>'DRE + DCF'!$Y$31</f>
        <v>7.3550000000000004E-2</v>
      </c>
      <c r="M980" s="361">
        <f>(1+D980)^((5-Dashboard!$F$9)*3/12)</f>
        <v>1.1255068041705842</v>
      </c>
      <c r="N980" s="361">
        <f t="shared" ref="N980:V980" si="999">M980*(1+$D980)</f>
        <v>1.3176870909827074</v>
      </c>
      <c r="O980" s="361">
        <f t="shared" si="999"/>
        <v>1.542682161768</v>
      </c>
      <c r="P980" s="361">
        <f t="shared" si="999"/>
        <v>1.8060951408898804</v>
      </c>
      <c r="Q980" s="361">
        <f t="shared" si="999"/>
        <v>2.114485886196821</v>
      </c>
      <c r="R980" s="361">
        <f t="shared" si="999"/>
        <v>2.4755343512649204</v>
      </c>
      <c r="S980" s="361">
        <f t="shared" si="999"/>
        <v>2.8982318417433968</v>
      </c>
      <c r="T980" s="361">
        <f t="shared" si="999"/>
        <v>3.3931049287210713</v>
      </c>
      <c r="U980" s="361">
        <f t="shared" si="999"/>
        <v>3.9724775953001821</v>
      </c>
      <c r="V980" s="362">
        <f t="shared" si="999"/>
        <v>4.6507781446976741</v>
      </c>
      <c r="X980" s="351"/>
    </row>
    <row r="981" spans="3:24" ht="24.75" customHeight="1" x14ac:dyDescent="0.3">
      <c r="C981" s="353">
        <f>ABS(E981-Dashboard!$F$14)</f>
        <v>38.796447445327161</v>
      </c>
      <c r="D981" s="350">
        <f t="shared" si="993"/>
        <v>0.17084999999999642</v>
      </c>
      <c r="E981" s="359" cm="1">
        <f t="array" ref="E981">1000*SUM('DRE + DCF'!$L$36/M981,'DRE + DCF'!$N$36:$V$36/N981:V981,F981/V981)/Dashboard!$F$11</f>
        <v>135.78644744532716</v>
      </c>
      <c r="F981" s="359">
        <f t="shared" si="991"/>
        <v>17558371.848060977</v>
      </c>
      <c r="G981" s="359">
        <f>'DRE + DCF'!$W$31</f>
        <v>2791623.3540418856</v>
      </c>
      <c r="H981" s="359">
        <f>'DRE + DCF'!$W$32</f>
        <v>81081.931703745853</v>
      </c>
      <c r="I981" s="359">
        <f>-H981*('DRE + DCF'!$V$33+K981)/'DRE + DCF'!$V$33</f>
        <v>-90858.801614444121</v>
      </c>
      <c r="J981" s="359">
        <f>-'DRE + DCF'!$V$56*L981</f>
        <v>-1188924.4255577971</v>
      </c>
      <c r="K981" s="360">
        <f>(1+L981)/(1+Ke!$O$12)-1</f>
        <v>2.0000000000000018E-2</v>
      </c>
      <c r="L981" s="360">
        <f>'DRE + DCF'!$Y$31</f>
        <v>7.3550000000000004E-2</v>
      </c>
      <c r="M981" s="361">
        <f>(1+D981)^((5-Dashboard!$F$9)*3/12)</f>
        <v>1.1255789050538421</v>
      </c>
      <c r="N981" s="361">
        <f t="shared" ref="N981:V981" si="1000">M981*(1+$D981)</f>
        <v>1.3178840609822868</v>
      </c>
      <c r="O981" s="361">
        <f t="shared" si="1000"/>
        <v>1.5430445528011059</v>
      </c>
      <c r="P981" s="361">
        <f t="shared" si="1000"/>
        <v>1.8066737146471692</v>
      </c>
      <c r="Q981" s="361">
        <f t="shared" si="1000"/>
        <v>2.1153439187946317</v>
      </c>
      <c r="R981" s="361">
        <f t="shared" si="1000"/>
        <v>2.4767504273206868</v>
      </c>
      <c r="S981" s="361">
        <f t="shared" si="1000"/>
        <v>2.8999032378284171</v>
      </c>
      <c r="T981" s="361">
        <f t="shared" si="1000"/>
        <v>3.3953517060113918</v>
      </c>
      <c r="U981" s="361">
        <f t="shared" si="1000"/>
        <v>3.9754475449834259</v>
      </c>
      <c r="V981" s="362">
        <f t="shared" si="1000"/>
        <v>4.6546527580438299</v>
      </c>
      <c r="X981" s="351"/>
    </row>
    <row r="982" spans="3:24" ht="24.75" customHeight="1" x14ac:dyDescent="0.3">
      <c r="C982" s="353">
        <f>ABS(E982-Dashboard!$F$14)</f>
        <v>38.656069326721067</v>
      </c>
      <c r="D982" s="350">
        <f t="shared" si="993"/>
        <v>0.17094999999999641</v>
      </c>
      <c r="E982" s="359" cm="1">
        <f t="array" ref="E982">1000*SUM('DRE + DCF'!$L$36/M982,'DRE + DCF'!$N$36:$V$36/N982:V982,F982/V982)/Dashboard!$F$11</f>
        <v>135.64606932672106</v>
      </c>
      <c r="F982" s="359">
        <f t="shared" si="991"/>
        <v>17544219.03199815</v>
      </c>
      <c r="G982" s="359">
        <f>'DRE + DCF'!$W$31</f>
        <v>2791623.3540418856</v>
      </c>
      <c r="H982" s="359">
        <f>'DRE + DCF'!$W$32</f>
        <v>81081.931703745853</v>
      </c>
      <c r="I982" s="359">
        <f>-H982*('DRE + DCF'!$V$33+K982)/'DRE + DCF'!$V$33</f>
        <v>-90858.801614444121</v>
      </c>
      <c r="J982" s="359">
        <f>-'DRE + DCF'!$V$56*L982</f>
        <v>-1188924.4255577971</v>
      </c>
      <c r="K982" s="360">
        <f>(1+L982)/(1+Ke!$O$12)-1</f>
        <v>2.0000000000000018E-2</v>
      </c>
      <c r="L982" s="360">
        <f>'DRE + DCF'!$Y$31</f>
        <v>7.3550000000000004E-2</v>
      </c>
      <c r="M982" s="361">
        <f>(1+D982)^((5-Dashboard!$F$9)*3/12)</f>
        <v>1.1256510043976176</v>
      </c>
      <c r="N982" s="361">
        <f t="shared" ref="N982:V982" si="1001">M982*(1+$D982)</f>
        <v>1.3180810435993862</v>
      </c>
      <c r="O982" s="361">
        <f t="shared" si="1001"/>
        <v>1.5434069980026965</v>
      </c>
      <c r="P982" s="361">
        <f t="shared" si="1001"/>
        <v>1.807252424311252</v>
      </c>
      <c r="Q982" s="361">
        <f t="shared" si="1001"/>
        <v>2.1162022262472542</v>
      </c>
      <c r="R982" s="361">
        <f t="shared" si="1001"/>
        <v>2.4779669968242146</v>
      </c>
      <c r="S982" s="361">
        <f t="shared" si="1001"/>
        <v>2.9015754549313053</v>
      </c>
      <c r="T982" s="361">
        <f t="shared" si="1001"/>
        <v>3.3975997789518013</v>
      </c>
      <c r="U982" s="361">
        <f t="shared" si="1001"/>
        <v>3.9784194611635995</v>
      </c>
      <c r="V982" s="362">
        <f t="shared" si="1001"/>
        <v>4.6585302680495024</v>
      </c>
      <c r="X982" s="351"/>
    </row>
    <row r="983" spans="3:24" ht="24.75" customHeight="1" x14ac:dyDescent="0.3">
      <c r="C983" s="353">
        <f>ABS(E983-Dashboard!$F$14)</f>
        <v>38.515946190665474</v>
      </c>
      <c r="D983" s="350">
        <f t="shared" si="993"/>
        <v>0.1710499999999964</v>
      </c>
      <c r="E983" s="359" cm="1">
        <f t="array" ref="E983">1000*SUM('DRE + DCF'!$L$36/M983,'DRE + DCF'!$N$36:$V$36/N983:V983,F983/V983)/Dashboard!$F$11</f>
        <v>135.50594619066547</v>
      </c>
      <c r="F983" s="359">
        <f t="shared" si="991"/>
        <v>17530090.722025611</v>
      </c>
      <c r="G983" s="359">
        <f>'DRE + DCF'!$W$31</f>
        <v>2791623.3540418856</v>
      </c>
      <c r="H983" s="359">
        <f>'DRE + DCF'!$W$32</f>
        <v>81081.931703745853</v>
      </c>
      <c r="I983" s="359">
        <f>-H983*('DRE + DCF'!$V$33+K983)/'DRE + DCF'!$V$33</f>
        <v>-90858.801614444121</v>
      </c>
      <c r="J983" s="359">
        <f>-'DRE + DCF'!$V$56*L983</f>
        <v>-1188924.4255577971</v>
      </c>
      <c r="K983" s="360">
        <f>(1+L983)/(1+Ke!$O$12)-1</f>
        <v>2.0000000000000018E-2</v>
      </c>
      <c r="L983" s="360">
        <f>'DRE + DCF'!$Y$31</f>
        <v>7.3550000000000004E-2</v>
      </c>
      <c r="M983" s="361">
        <f>(1+D983)^((5-Dashboard!$F$9)*3/12)</f>
        <v>1.1257231022020753</v>
      </c>
      <c r="N983" s="361">
        <f t="shared" ref="N983:V983" si="1002">M983*(1+$D983)</f>
        <v>1.3182780388337361</v>
      </c>
      <c r="O983" s="361">
        <f t="shared" si="1002"/>
        <v>1.5437694973762419</v>
      </c>
      <c r="P983" s="361">
        <f t="shared" si="1002"/>
        <v>1.8078312699024426</v>
      </c>
      <c r="Q983" s="361">
        <f t="shared" si="1002"/>
        <v>2.1170608086192488</v>
      </c>
      <c r="R983" s="361">
        <f t="shared" si="1002"/>
        <v>2.4791840599335635</v>
      </c>
      <c r="S983" s="361">
        <f t="shared" si="1002"/>
        <v>2.9032484933851905</v>
      </c>
      <c r="T983" s="361">
        <f t="shared" si="1002"/>
        <v>3.399849148178717</v>
      </c>
      <c r="U983" s="361">
        <f t="shared" si="1002"/>
        <v>3.9813933449746743</v>
      </c>
      <c r="V983" s="362">
        <f t="shared" si="1002"/>
        <v>4.6624106766325779</v>
      </c>
      <c r="X983" s="351"/>
    </row>
    <row r="984" spans="3:24" ht="24.75" customHeight="1" x14ac:dyDescent="0.3">
      <c r="C984" s="353">
        <f>ABS(E984-Dashboard!$F$14)</f>
        <v>38.376077354046927</v>
      </c>
      <c r="D984" s="350">
        <f t="shared" si="993"/>
        <v>0.17114999999999639</v>
      </c>
      <c r="E984" s="359" cm="1">
        <f t="array" ref="E984">1000*SUM('DRE + DCF'!$L$36/M984,'DRE + DCF'!$N$36:$V$36/N984:V984,F984/V984)/Dashboard!$F$11</f>
        <v>135.36607735404692</v>
      </c>
      <c r="F984" s="359">
        <f t="shared" si="991"/>
        <v>17515986.850741342</v>
      </c>
      <c r="G984" s="359">
        <f>'DRE + DCF'!$W$31</f>
        <v>2791623.3540418856</v>
      </c>
      <c r="H984" s="359">
        <f>'DRE + DCF'!$W$32</f>
        <v>81081.931703745853</v>
      </c>
      <c r="I984" s="359">
        <f>-H984*('DRE + DCF'!$V$33+K984)/'DRE + DCF'!$V$33</f>
        <v>-90858.801614444121</v>
      </c>
      <c r="J984" s="359">
        <f>-'DRE + DCF'!$V$56*L984</f>
        <v>-1188924.4255577971</v>
      </c>
      <c r="K984" s="360">
        <f>(1+L984)/(1+Ke!$O$12)-1</f>
        <v>2.0000000000000018E-2</v>
      </c>
      <c r="L984" s="360">
        <f>'DRE + DCF'!$Y$31</f>
        <v>7.3550000000000004E-2</v>
      </c>
      <c r="M984" s="361">
        <f>(1+D984)^((5-Dashboard!$F$9)*3/12)</f>
        <v>1.1257951984673793</v>
      </c>
      <c r="N984" s="361">
        <f t="shared" ref="N984:V984" si="1003">M984*(1+$D984)</f>
        <v>1.3184750466850672</v>
      </c>
      <c r="O984" s="361">
        <f t="shared" si="1003"/>
        <v>1.5441320509252117</v>
      </c>
      <c r="P984" s="361">
        <f t="shared" si="1003"/>
        <v>1.808410251441056</v>
      </c>
      <c r="Q984" s="361">
        <f t="shared" si="1003"/>
        <v>2.1179196659751862</v>
      </c>
      <c r="R984" s="361">
        <f t="shared" si="1003"/>
        <v>2.4804016168068315</v>
      </c>
      <c r="S984" s="361">
        <f t="shared" si="1003"/>
        <v>2.9049223535233115</v>
      </c>
      <c r="T984" s="361">
        <f t="shared" si="1003"/>
        <v>3.4020998143288157</v>
      </c>
      <c r="U984" s="361">
        <f t="shared" si="1003"/>
        <v>3.9843691975511799</v>
      </c>
      <c r="V984" s="362">
        <f t="shared" si="1003"/>
        <v>4.6662939857120502</v>
      </c>
      <c r="X984" s="351"/>
    </row>
    <row r="985" spans="3:24" ht="24.75" customHeight="1" x14ac:dyDescent="0.3">
      <c r="C985" s="353">
        <f>ABS(E985-Dashboard!$F$14)</f>
        <v>38.236462136259163</v>
      </c>
      <c r="D985" s="350">
        <f t="shared" si="993"/>
        <v>0.17124999999999638</v>
      </c>
      <c r="E985" s="359" cm="1">
        <f t="array" ref="E985">1000*SUM('DRE + DCF'!$L$36/M985,'DRE + DCF'!$N$36:$V$36/N985:V985,F985/V985)/Dashboard!$F$11</f>
        <v>135.22646213625916</v>
      </c>
      <c r="F985" s="359">
        <f t="shared" si="991"/>
        <v>17501907.351000793</v>
      </c>
      <c r="G985" s="359">
        <f>'DRE + DCF'!$W$31</f>
        <v>2791623.3540418856</v>
      </c>
      <c r="H985" s="359">
        <f>'DRE + DCF'!$W$32</f>
        <v>81081.931703745853</v>
      </c>
      <c r="I985" s="359">
        <f>-H985*('DRE + DCF'!$V$33+K985)/'DRE + DCF'!$V$33</f>
        <v>-90858.801614444121</v>
      </c>
      <c r="J985" s="359">
        <f>-'DRE + DCF'!$V$56*L985</f>
        <v>-1188924.4255577971</v>
      </c>
      <c r="K985" s="360">
        <f>(1+L985)/(1+Ke!$O$12)-1</f>
        <v>2.0000000000000018E-2</v>
      </c>
      <c r="L985" s="360">
        <f>'DRE + DCF'!$Y$31</f>
        <v>7.3550000000000004E-2</v>
      </c>
      <c r="M985" s="361">
        <f>(1+D985)^((5-Dashboard!$F$9)*3/12)</f>
        <v>1.1258672931936939</v>
      </c>
      <c r="N985" s="361">
        <f t="shared" ref="N985:V985" si="1004">M985*(1+$D985)</f>
        <v>1.31867206715311</v>
      </c>
      <c r="O985" s="361">
        <f t="shared" si="1004"/>
        <v>1.5444946586530752</v>
      </c>
      <c r="P985" s="361">
        <f t="shared" si="1004"/>
        <v>1.8089893689474088</v>
      </c>
      <c r="Q985" s="361">
        <f t="shared" si="1004"/>
        <v>2.1187787983796458</v>
      </c>
      <c r="R985" s="361">
        <f t="shared" si="1004"/>
        <v>2.4816196676021525</v>
      </c>
      <c r="S985" s="361">
        <f t="shared" si="1004"/>
        <v>2.9065970356790118</v>
      </c>
      <c r="T985" s="361">
        <f t="shared" si="1004"/>
        <v>3.404351778039032</v>
      </c>
      <c r="U985" s="361">
        <f t="shared" si="1004"/>
        <v>3.9873470200282037</v>
      </c>
      <c r="V985" s="362">
        <f t="shared" si="1004"/>
        <v>4.670180197208019</v>
      </c>
      <c r="X985" s="351"/>
    </row>
    <row r="986" spans="3:24" ht="24.75" customHeight="1" x14ac:dyDescent="0.3">
      <c r="C986" s="353">
        <f>ABS(E986-Dashboard!$F$14)</f>
        <v>38.097099859191232</v>
      </c>
      <c r="D986" s="350">
        <f t="shared" si="993"/>
        <v>0.17134999999999637</v>
      </c>
      <c r="E986" s="359" cm="1">
        <f t="array" ref="E986">1000*SUM('DRE + DCF'!$L$36/M986,'DRE + DCF'!$N$36:$V$36/N986:V986,F986/V986)/Dashboard!$F$11</f>
        <v>135.08709985919123</v>
      </c>
      <c r="F986" s="359">
        <f t="shared" si="991"/>
        <v>17487852.155915633</v>
      </c>
      <c r="G986" s="359">
        <f>'DRE + DCF'!$W$31</f>
        <v>2791623.3540418856</v>
      </c>
      <c r="H986" s="359">
        <f>'DRE + DCF'!$W$32</f>
        <v>81081.931703745853</v>
      </c>
      <c r="I986" s="359">
        <f>-H986*('DRE + DCF'!$V$33+K986)/'DRE + DCF'!$V$33</f>
        <v>-90858.801614444121</v>
      </c>
      <c r="J986" s="359">
        <f>-'DRE + DCF'!$V$56*L986</f>
        <v>-1188924.4255577971</v>
      </c>
      <c r="K986" s="360">
        <f>(1+L986)/(1+Ke!$O$12)-1</f>
        <v>2.0000000000000018E-2</v>
      </c>
      <c r="L986" s="360">
        <f>'DRE + DCF'!$Y$31</f>
        <v>7.3550000000000004E-2</v>
      </c>
      <c r="M986" s="361">
        <f>(1+D986)^((5-Dashboard!$F$9)*3/12)</f>
        <v>1.1259393863811835</v>
      </c>
      <c r="N986" s="361">
        <f t="shared" ref="N986:V986" si="1005">M986*(1+$D986)</f>
        <v>1.3188691002375952</v>
      </c>
      <c r="O986" s="361">
        <f t="shared" si="1005"/>
        <v>1.5448573205633023</v>
      </c>
      <c r="P986" s="361">
        <f t="shared" si="1005"/>
        <v>1.8095686224418184</v>
      </c>
      <c r="Q986" s="361">
        <f t="shared" si="1005"/>
        <v>2.1196382058972172</v>
      </c>
      <c r="R986" s="361">
        <f t="shared" si="1005"/>
        <v>2.4828382124776978</v>
      </c>
      <c r="S986" s="361">
        <f t="shared" si="1005"/>
        <v>2.9082725401857421</v>
      </c>
      <c r="T986" s="361">
        <f t="shared" si="1005"/>
        <v>3.4066050399465584</v>
      </c>
      <c r="U986" s="361">
        <f t="shared" si="1005"/>
        <v>3.9903268135413885</v>
      </c>
      <c r="V986" s="362">
        <f t="shared" si="1005"/>
        <v>4.6740693130416906</v>
      </c>
      <c r="X986" s="351"/>
    </row>
    <row r="987" spans="3:24" ht="24.75" customHeight="1" x14ac:dyDescent="0.3">
      <c r="C987" s="353">
        <f>ABS(E987-Dashboard!$F$14)</f>
        <v>37.957989847215529</v>
      </c>
      <c r="D987" s="350">
        <f t="shared" si="993"/>
        <v>0.17144999999999636</v>
      </c>
      <c r="E987" s="359" cm="1">
        <f t="array" ref="E987">1000*SUM('DRE + DCF'!$L$36/M987,'DRE + DCF'!$N$36:$V$36/N987:V987,F987/V987)/Dashboard!$F$11</f>
        <v>134.94798984721552</v>
      </c>
      <c r="F987" s="359">
        <f t="shared" si="991"/>
        <v>17473821.198852457</v>
      </c>
      <c r="G987" s="359">
        <f>'DRE + DCF'!$W$31</f>
        <v>2791623.3540418856</v>
      </c>
      <c r="H987" s="359">
        <f>'DRE + DCF'!$W$32</f>
        <v>81081.931703745853</v>
      </c>
      <c r="I987" s="359">
        <f>-H987*('DRE + DCF'!$V$33+K987)/'DRE + DCF'!$V$33</f>
        <v>-90858.801614444121</v>
      </c>
      <c r="J987" s="359">
        <f>-'DRE + DCF'!$V$56*L987</f>
        <v>-1188924.4255577971</v>
      </c>
      <c r="K987" s="360">
        <f>(1+L987)/(1+Ke!$O$12)-1</f>
        <v>2.0000000000000018E-2</v>
      </c>
      <c r="L987" s="360">
        <f>'DRE + DCF'!$Y$31</f>
        <v>7.3550000000000004E-2</v>
      </c>
      <c r="M987" s="361">
        <f>(1+D987)^((5-Dashboard!$F$9)*3/12)</f>
        <v>1.1260114780300121</v>
      </c>
      <c r="N987" s="361">
        <f t="shared" ref="N987:V987" si="1006">M987*(1+$D987)</f>
        <v>1.3190661459382536</v>
      </c>
      <c r="O987" s="361">
        <f t="shared" si="1006"/>
        <v>1.5452200366593623</v>
      </c>
      <c r="P987" s="361">
        <f t="shared" si="1006"/>
        <v>1.8101480119446043</v>
      </c>
      <c r="Q987" s="361">
        <f t="shared" si="1006"/>
        <v>2.1204978885924999</v>
      </c>
      <c r="R987" s="361">
        <f t="shared" si="1006"/>
        <v>2.4840572515916763</v>
      </c>
      <c r="S987" s="361">
        <f t="shared" si="1006"/>
        <v>2.9099488673770599</v>
      </c>
      <c r="T987" s="361">
        <f t="shared" si="1006"/>
        <v>3.4088596006888463</v>
      </c>
      <c r="U987" s="361">
        <f t="shared" si="1006"/>
        <v>3.9933085792269365</v>
      </c>
      <c r="V987" s="362">
        <f t="shared" si="1006"/>
        <v>4.6779613351353797</v>
      </c>
      <c r="X987" s="351"/>
    </row>
    <row r="988" spans="3:24" ht="24.75" customHeight="1" x14ac:dyDescent="0.3">
      <c r="C988" s="353">
        <f>ABS(E988-Dashboard!$F$14)</f>
        <v>37.819131427176174</v>
      </c>
      <c r="D988" s="350">
        <f t="shared" si="993"/>
        <v>0.17154999999999634</v>
      </c>
      <c r="E988" s="359" cm="1">
        <f t="array" ref="E988">1000*SUM('DRE + DCF'!$L$36/M988,'DRE + DCF'!$N$36:$V$36/N988:V988,F988/V988)/Dashboard!$F$11</f>
        <v>134.80913142717617</v>
      </c>
      <c r="F988" s="359">
        <f t="shared" si="991"/>
        <v>17459814.41343157</v>
      </c>
      <c r="G988" s="359">
        <f>'DRE + DCF'!$W$31</f>
        <v>2791623.3540418856</v>
      </c>
      <c r="H988" s="359">
        <f>'DRE + DCF'!$W$32</f>
        <v>81081.931703745853</v>
      </c>
      <c r="I988" s="359">
        <f>-H988*('DRE + DCF'!$V$33+K988)/'DRE + DCF'!$V$33</f>
        <v>-90858.801614444121</v>
      </c>
      <c r="J988" s="359">
        <f>-'DRE + DCF'!$V$56*L988</f>
        <v>-1188924.4255577971</v>
      </c>
      <c r="K988" s="360">
        <f>(1+L988)/(1+Ke!$O$12)-1</f>
        <v>2.0000000000000018E-2</v>
      </c>
      <c r="L988" s="360">
        <f>'DRE + DCF'!$Y$31</f>
        <v>7.3550000000000004E-2</v>
      </c>
      <c r="M988" s="361">
        <f>(1+D988)^((5-Dashboard!$F$9)*3/12)</f>
        <v>1.126083568140344</v>
      </c>
      <c r="N988" s="361">
        <f t="shared" ref="N988:V988" si="1007">M988*(1+$D988)</f>
        <v>1.319263204254816</v>
      </c>
      <c r="O988" s="361">
        <f t="shared" si="1007"/>
        <v>1.5455828069447248</v>
      </c>
      <c r="P988" s="361">
        <f t="shared" si="1007"/>
        <v>1.8107275374760867</v>
      </c>
      <c r="Q988" s="361">
        <f t="shared" si="1007"/>
        <v>2.1213578465301026</v>
      </c>
      <c r="R988" s="361">
        <f t="shared" si="1007"/>
        <v>2.4852767851023341</v>
      </c>
      <c r="S988" s="361">
        <f t="shared" si="1007"/>
        <v>2.9116260175866304</v>
      </c>
      <c r="T988" s="361">
        <f t="shared" si="1007"/>
        <v>3.4111154609036061</v>
      </c>
      <c r="U988" s="361">
        <f t="shared" si="1007"/>
        <v>3.9962923182216072</v>
      </c>
      <c r="V988" s="362">
        <f t="shared" si="1007"/>
        <v>4.6818562654125095</v>
      </c>
      <c r="X988" s="351"/>
    </row>
    <row r="989" spans="3:24" ht="24.75" customHeight="1" x14ac:dyDescent="0.3">
      <c r="C989" s="353">
        <f>ABS(E989-Dashboard!$F$14)</f>
        <v>37.680523928377298</v>
      </c>
      <c r="D989" s="350">
        <f t="shared" si="993"/>
        <v>0.17164999999999633</v>
      </c>
      <c r="E989" s="359" cm="1">
        <f t="array" ref="E989">1000*SUM('DRE + DCF'!$L$36/M989,'DRE + DCF'!$N$36:$V$36/N989:V989,F989/V989)/Dashboard!$F$11</f>
        <v>134.67052392837729</v>
      </c>
      <c r="F989" s="359">
        <f t="shared" si="991"/>
        <v>17445831.733525738</v>
      </c>
      <c r="G989" s="359">
        <f>'DRE + DCF'!$W$31</f>
        <v>2791623.3540418856</v>
      </c>
      <c r="H989" s="359">
        <f>'DRE + DCF'!$W$32</f>
        <v>81081.931703745853</v>
      </c>
      <c r="I989" s="359">
        <f>-H989*('DRE + DCF'!$V$33+K989)/'DRE + DCF'!$V$33</f>
        <v>-90858.801614444121</v>
      </c>
      <c r="J989" s="359">
        <f>-'DRE + DCF'!$V$56*L989</f>
        <v>-1188924.4255577971</v>
      </c>
      <c r="K989" s="360">
        <f>(1+L989)/(1+Ke!$O$12)-1</f>
        <v>2.0000000000000018E-2</v>
      </c>
      <c r="L989" s="360">
        <f>'DRE + DCF'!$Y$31</f>
        <v>7.3550000000000004E-2</v>
      </c>
      <c r="M989" s="361">
        <f>(1+D989)^((5-Dashboard!$F$9)*3/12)</f>
        <v>1.1261556567123434</v>
      </c>
      <c r="N989" s="361">
        <f t="shared" ref="N989:V989" si="1008">M989*(1+$D989)</f>
        <v>1.319460275187013</v>
      </c>
      <c r="O989" s="361">
        <f t="shared" si="1008"/>
        <v>1.545945631422859</v>
      </c>
      <c r="P989" s="361">
        <f t="shared" si="1008"/>
        <v>1.811307199056587</v>
      </c>
      <c r="Q989" s="361">
        <f t="shared" si="1008"/>
        <v>2.1222180797746435</v>
      </c>
      <c r="R989" s="361">
        <f t="shared" si="1008"/>
        <v>2.4864968131679532</v>
      </c>
      <c r="S989" s="361">
        <f t="shared" si="1008"/>
        <v>2.913303991148223</v>
      </c>
      <c r="T989" s="361">
        <f t="shared" si="1008"/>
        <v>3.4133726212288047</v>
      </c>
      <c r="U989" s="361">
        <f t="shared" si="1008"/>
        <v>3.9992780316627163</v>
      </c>
      <c r="V989" s="362">
        <f t="shared" si="1008"/>
        <v>4.6857541057976064</v>
      </c>
      <c r="X989" s="351"/>
    </row>
    <row r="990" spans="3:24" ht="24.75" customHeight="1" x14ac:dyDescent="0.3">
      <c r="C990" s="353">
        <f>ABS(E990-Dashboard!$F$14)</f>
        <v>37.542166682571391</v>
      </c>
      <c r="D990" s="350">
        <f t="shared" si="993"/>
        <v>0.17174999999999632</v>
      </c>
      <c r="E990" s="359" cm="1">
        <f t="array" ref="E990">1000*SUM('DRE + DCF'!$L$36/M990,'DRE + DCF'!$N$36:$V$36/N990:V990,F990/V990)/Dashboard!$F$11</f>
        <v>134.53216668257139</v>
      </c>
      <c r="F990" s="359">
        <f t="shared" si="991"/>
        <v>17431873.093258958</v>
      </c>
      <c r="G990" s="359">
        <f>'DRE + DCF'!$W$31</f>
        <v>2791623.3540418856</v>
      </c>
      <c r="H990" s="359">
        <f>'DRE + DCF'!$W$32</f>
        <v>81081.931703745853</v>
      </c>
      <c r="I990" s="359">
        <f>-H990*('DRE + DCF'!$V$33+K990)/'DRE + DCF'!$V$33</f>
        <v>-90858.801614444121</v>
      </c>
      <c r="J990" s="359">
        <f>-'DRE + DCF'!$V$56*L990</f>
        <v>-1188924.4255577971</v>
      </c>
      <c r="K990" s="360">
        <f>(1+L990)/(1+Ke!$O$12)-1</f>
        <v>2.0000000000000018E-2</v>
      </c>
      <c r="L990" s="360">
        <f>'DRE + DCF'!$Y$31</f>
        <v>7.3550000000000004E-2</v>
      </c>
      <c r="M990" s="361">
        <f>(1+D990)^((5-Dashboard!$F$9)*3/12)</f>
        <v>1.1262277437461743</v>
      </c>
      <c r="N990" s="361">
        <f t="shared" ref="N990:V990" si="1009">M990*(1+$D990)</f>
        <v>1.3196573587345755</v>
      </c>
      <c r="O990" s="361">
        <f t="shared" si="1009"/>
        <v>1.5463085100972338</v>
      </c>
      <c r="P990" s="361">
        <f t="shared" si="1009"/>
        <v>1.8118869967064279</v>
      </c>
      <c r="Q990" s="361">
        <f t="shared" si="1009"/>
        <v>2.1230785883907504</v>
      </c>
      <c r="R990" s="361">
        <f t="shared" si="1009"/>
        <v>2.4877173359468538</v>
      </c>
      <c r="S990" s="361">
        <f t="shared" si="1009"/>
        <v>2.9149827883957169</v>
      </c>
      <c r="T990" s="361">
        <f t="shared" si="1009"/>
        <v>3.4156310823026703</v>
      </c>
      <c r="U990" s="361">
        <f t="shared" si="1009"/>
        <v>4.0022657206881416</v>
      </c>
      <c r="V990" s="362">
        <f t="shared" si="1009"/>
        <v>4.6896548582163149</v>
      </c>
      <c r="X990" s="351"/>
    </row>
    <row r="991" spans="3:24" ht="24.75" customHeight="1" x14ac:dyDescent="0.3">
      <c r="C991" s="353">
        <f>ABS(E991-Dashboard!$F$14)</f>
        <v>37.404059023947681</v>
      </c>
      <c r="D991" s="350">
        <f t="shared" si="993"/>
        <v>0.17184999999999631</v>
      </c>
      <c r="E991" s="359" cm="1">
        <f t="array" ref="E991">1000*SUM('DRE + DCF'!$L$36/M991,'DRE + DCF'!$N$36:$V$36/N991:V991,F991/V991)/Dashboard!$F$11</f>
        <v>134.39405902394768</v>
      </c>
      <c r="F991" s="359">
        <f t="shared" si="991"/>
        <v>17417938.427005224</v>
      </c>
      <c r="G991" s="359">
        <f>'DRE + DCF'!$W$31</f>
        <v>2791623.3540418856</v>
      </c>
      <c r="H991" s="359">
        <f>'DRE + DCF'!$W$32</f>
        <v>81081.931703745853</v>
      </c>
      <c r="I991" s="359">
        <f>-H991*('DRE + DCF'!$V$33+K991)/'DRE + DCF'!$V$33</f>
        <v>-90858.801614444121</v>
      </c>
      <c r="J991" s="359">
        <f>-'DRE + DCF'!$V$56*L991</f>
        <v>-1188924.4255577971</v>
      </c>
      <c r="K991" s="360">
        <f>(1+L991)/(1+Ke!$O$12)-1</f>
        <v>2.0000000000000018E-2</v>
      </c>
      <c r="L991" s="360">
        <f>'DRE + DCF'!$Y$31</f>
        <v>7.3550000000000004E-2</v>
      </c>
      <c r="M991" s="361">
        <f>(1+D991)^((5-Dashboard!$F$9)*3/12)</f>
        <v>1.1262998292420008</v>
      </c>
      <c r="N991" s="361">
        <f t="shared" ref="N991:V991" si="1010">M991*(1+$D991)</f>
        <v>1.3198544548972344</v>
      </c>
      <c r="O991" s="361">
        <f t="shared" si="1010"/>
        <v>1.5466714429713193</v>
      </c>
      <c r="P991" s="361">
        <f t="shared" si="1010"/>
        <v>1.8124669304459349</v>
      </c>
      <c r="Q991" s="361">
        <f t="shared" si="1010"/>
        <v>2.1239393724430622</v>
      </c>
      <c r="R991" s="361">
        <f t="shared" si="1010"/>
        <v>2.4889383535973946</v>
      </c>
      <c r="S991" s="361">
        <f t="shared" si="1010"/>
        <v>2.9166624096630978</v>
      </c>
      <c r="T991" s="361">
        <f t="shared" si="1010"/>
        <v>3.4178908447636904</v>
      </c>
      <c r="U991" s="361">
        <f t="shared" si="1010"/>
        <v>4.0052553864363176</v>
      </c>
      <c r="V991" s="362">
        <f t="shared" si="1010"/>
        <v>4.6935585245953844</v>
      </c>
      <c r="X991" s="351"/>
    </row>
    <row r="992" spans="3:24" ht="24.75" customHeight="1" x14ac:dyDescent="0.3">
      <c r="C992" s="353">
        <f>ABS(E992-Dashboard!$F$14)</f>
        <v>37.266200289120818</v>
      </c>
      <c r="D992" s="350">
        <f t="shared" si="993"/>
        <v>0.1719499999999963</v>
      </c>
      <c r="E992" s="359" cm="1">
        <f t="array" ref="E992">1000*SUM('DRE + DCF'!$L$36/M992,'DRE + DCF'!$N$36:$V$36/N992:V992,F992/V992)/Dashboard!$F$11</f>
        <v>134.25620028912081</v>
      </c>
      <c r="F992" s="359">
        <f t="shared" si="991"/>
        <v>17404027.669387311</v>
      </c>
      <c r="G992" s="359">
        <f>'DRE + DCF'!$W$31</f>
        <v>2791623.3540418856</v>
      </c>
      <c r="H992" s="359">
        <f>'DRE + DCF'!$W$32</f>
        <v>81081.931703745853</v>
      </c>
      <c r="I992" s="359">
        <f>-H992*('DRE + DCF'!$V$33+K992)/'DRE + DCF'!$V$33</f>
        <v>-90858.801614444121</v>
      </c>
      <c r="J992" s="359">
        <f>-'DRE + DCF'!$V$56*L992</f>
        <v>-1188924.4255577971</v>
      </c>
      <c r="K992" s="360">
        <f>(1+L992)/(1+Ke!$O$12)-1</f>
        <v>2.0000000000000018E-2</v>
      </c>
      <c r="L992" s="360">
        <f>'DRE + DCF'!$Y$31</f>
        <v>7.3550000000000004E-2</v>
      </c>
      <c r="M992" s="361">
        <f>(1+D992)^((5-Dashboard!$F$9)*3/12)</f>
        <v>1.126371913199987</v>
      </c>
      <c r="N992" s="361">
        <f t="shared" ref="N992:V992" si="1011">M992*(1+$D992)</f>
        <v>1.3200515636747205</v>
      </c>
      <c r="O992" s="361">
        <f t="shared" si="1011"/>
        <v>1.5470344300485839</v>
      </c>
      <c r="P992" s="361">
        <f t="shared" si="1011"/>
        <v>1.8130470002954322</v>
      </c>
      <c r="Q992" s="361">
        <f t="shared" si="1011"/>
        <v>2.124800431996225</v>
      </c>
      <c r="R992" s="361">
        <f t="shared" si="1011"/>
        <v>2.4901598662779678</v>
      </c>
      <c r="S992" s="361">
        <f t="shared" si="1011"/>
        <v>2.9183428552844553</v>
      </c>
      <c r="T992" s="361">
        <f t="shared" si="1011"/>
        <v>3.4201519092506065</v>
      </c>
      <c r="U992" s="361">
        <f t="shared" si="1011"/>
        <v>4.0082470300462356</v>
      </c>
      <c r="V992" s="362">
        <f t="shared" si="1011"/>
        <v>4.6974651068626709</v>
      </c>
      <c r="X992" s="351"/>
    </row>
    <row r="993" spans="3:24" ht="24.75" customHeight="1" x14ac:dyDescent="0.3">
      <c r="C993" s="353">
        <f>ABS(E993-Dashboard!$F$14)</f>
        <v>37.128589817119305</v>
      </c>
      <c r="D993" s="350">
        <f t="shared" si="993"/>
        <v>0.17204999999999629</v>
      </c>
      <c r="E993" s="359" cm="1">
        <f t="array" ref="E993">1000*SUM('DRE + DCF'!$L$36/M993,'DRE + DCF'!$N$36:$V$36/N993:V993,F993/V993)/Dashboard!$F$11</f>
        <v>134.1185898171193</v>
      </c>
      <c r="F993" s="359">
        <f t="shared" si="991"/>
        <v>17390140.755275585</v>
      </c>
      <c r="G993" s="359">
        <f>'DRE + DCF'!$W$31</f>
        <v>2791623.3540418856</v>
      </c>
      <c r="H993" s="359">
        <f>'DRE + DCF'!$W$32</f>
        <v>81081.931703745853</v>
      </c>
      <c r="I993" s="359">
        <f>-H993*('DRE + DCF'!$V$33+K993)/'DRE + DCF'!$V$33</f>
        <v>-90858.801614444121</v>
      </c>
      <c r="J993" s="359">
        <f>-'DRE + DCF'!$V$56*L993</f>
        <v>-1188924.4255577971</v>
      </c>
      <c r="K993" s="360">
        <f>(1+L993)/(1+Ke!$O$12)-1</f>
        <v>2.0000000000000018E-2</v>
      </c>
      <c r="L993" s="360">
        <f>'DRE + DCF'!$Y$31</f>
        <v>7.3550000000000004E-2</v>
      </c>
      <c r="M993" s="361">
        <f>(1+D993)^((5-Dashboard!$F$9)*3/12)</f>
        <v>1.1264439956202967</v>
      </c>
      <c r="N993" s="361">
        <f t="shared" ref="N993:V993" si="1012">M993*(1+$D993)</f>
        <v>1.3202486850667645</v>
      </c>
      <c r="O993" s="361">
        <f t="shared" si="1012"/>
        <v>1.5473974713324965</v>
      </c>
      <c r="P993" s="361">
        <f t="shared" si="1012"/>
        <v>1.8136272062752468</v>
      </c>
      <c r="Q993" s="361">
        <f t="shared" si="1012"/>
        <v>2.1256617671148961</v>
      </c>
      <c r="R993" s="361">
        <f t="shared" si="1012"/>
        <v>2.491381874147006</v>
      </c>
      <c r="S993" s="361">
        <f t="shared" si="1012"/>
        <v>2.9200241255939892</v>
      </c>
      <c r="T993" s="361">
        <f t="shared" si="1012"/>
        <v>3.4224142764024239</v>
      </c>
      <c r="U993" s="361">
        <f t="shared" si="1012"/>
        <v>4.011240652657448</v>
      </c>
      <c r="V993" s="362">
        <f t="shared" si="1012"/>
        <v>4.7013746069471472</v>
      </c>
      <c r="X993" s="351"/>
    </row>
    <row r="994" spans="3:24" ht="24.75" customHeight="1" x14ac:dyDescent="0.3">
      <c r="C994" s="353">
        <f>ABS(E994-Dashboard!$F$14)</f>
        <v>36.991226949374081</v>
      </c>
      <c r="D994" s="350">
        <f t="shared" si="993"/>
        <v>0.17214999999999628</v>
      </c>
      <c r="E994" s="359" cm="1">
        <f t="array" ref="E994">1000*SUM('DRE + DCF'!$L$36/M994,'DRE + DCF'!$N$36:$V$36/N994:V994,F994/V994)/Dashboard!$F$11</f>
        <v>133.98122694937408</v>
      </c>
      <c r="F994" s="359">
        <f t="shared" si="991"/>
        <v>17376277.619786765</v>
      </c>
      <c r="G994" s="359">
        <f>'DRE + DCF'!$W$31</f>
        <v>2791623.3540418856</v>
      </c>
      <c r="H994" s="359">
        <f>'DRE + DCF'!$W$32</f>
        <v>81081.931703745853</v>
      </c>
      <c r="I994" s="359">
        <f>-H994*('DRE + DCF'!$V$33+K994)/'DRE + DCF'!$V$33</f>
        <v>-90858.801614444121</v>
      </c>
      <c r="J994" s="359">
        <f>-'DRE + DCF'!$V$56*L994</f>
        <v>-1188924.4255577971</v>
      </c>
      <c r="K994" s="360">
        <f>(1+L994)/(1+Ke!$O$12)-1</f>
        <v>2.0000000000000018E-2</v>
      </c>
      <c r="L994" s="360">
        <f>'DRE + DCF'!$Y$31</f>
        <v>7.3550000000000004E-2</v>
      </c>
      <c r="M994" s="361">
        <f>(1+D994)^((5-Dashboard!$F$9)*3/12)</f>
        <v>1.1265160765030944</v>
      </c>
      <c r="N994" s="361">
        <f t="shared" ref="N994:V994" si="1013">M994*(1+$D994)</f>
        <v>1.3204458190730979</v>
      </c>
      <c r="O994" s="361">
        <f t="shared" si="1013"/>
        <v>1.5477605668265266</v>
      </c>
      <c r="P994" s="361">
        <f t="shared" si="1013"/>
        <v>1.8142075484057074</v>
      </c>
      <c r="Q994" s="361">
        <f t="shared" si="1013"/>
        <v>2.1265233778637431</v>
      </c>
      <c r="R994" s="361">
        <f t="shared" si="1013"/>
        <v>2.4926043773629787</v>
      </c>
      <c r="S994" s="361">
        <f t="shared" si="1013"/>
        <v>2.9217062209260063</v>
      </c>
      <c r="T994" s="361">
        <f t="shared" si="1013"/>
        <v>3.4246779468584072</v>
      </c>
      <c r="U994" s="361">
        <f t="shared" si="1013"/>
        <v>4.0142362554100695</v>
      </c>
      <c r="V994" s="362">
        <f t="shared" si="1013"/>
        <v>4.7052870267788975</v>
      </c>
      <c r="X994" s="351"/>
    </row>
    <row r="995" spans="3:24" ht="24.75" customHeight="1" x14ac:dyDescent="0.3">
      <c r="C995" s="353">
        <f>ABS(E995-Dashboard!$F$14)</f>
        <v>36.854111029707482</v>
      </c>
      <c r="D995" s="350">
        <f t="shared" si="993"/>
        <v>0.17224999999999627</v>
      </c>
      <c r="E995" s="359" cm="1">
        <f t="array" ref="E995">1000*SUM('DRE + DCF'!$L$36/M995,'DRE + DCF'!$N$36:$V$36/N995:V995,F995/V995)/Dashboard!$F$11</f>
        <v>133.84411102970748</v>
      </c>
      <c r="F995" s="359">
        <f t="shared" si="991"/>
        <v>17362438.198282756</v>
      </c>
      <c r="G995" s="359">
        <f>'DRE + DCF'!$W$31</f>
        <v>2791623.3540418856</v>
      </c>
      <c r="H995" s="359">
        <f>'DRE + DCF'!$W$32</f>
        <v>81081.931703745853</v>
      </c>
      <c r="I995" s="359">
        <f>-H995*('DRE + DCF'!$V$33+K995)/'DRE + DCF'!$V$33</f>
        <v>-90858.801614444121</v>
      </c>
      <c r="J995" s="359">
        <f>-'DRE + DCF'!$V$56*L995</f>
        <v>-1188924.4255577971</v>
      </c>
      <c r="K995" s="360">
        <f>(1+L995)/(1+Ke!$O$12)-1</f>
        <v>2.0000000000000018E-2</v>
      </c>
      <c r="L995" s="360">
        <f>'DRE + DCF'!$Y$31</f>
        <v>7.3550000000000004E-2</v>
      </c>
      <c r="M995" s="361">
        <f>(1+D995)^((5-Dashboard!$F$9)*3/12)</f>
        <v>1.1265881558485435</v>
      </c>
      <c r="N995" s="361">
        <f t="shared" ref="N995:V995" si="1014">M995*(1+$D995)</f>
        <v>1.3206429656934509</v>
      </c>
      <c r="O995" s="361">
        <f t="shared" si="1014"/>
        <v>1.5481237165341428</v>
      </c>
      <c r="P995" s="361">
        <f t="shared" si="1014"/>
        <v>1.814788026707143</v>
      </c>
      <c r="Q995" s="361">
        <f t="shared" si="1014"/>
        <v>2.1273852643074416</v>
      </c>
      <c r="R995" s="361">
        <f t="shared" si="1014"/>
        <v>2.4938273760843903</v>
      </c>
      <c r="S995" s="361">
        <f t="shared" si="1014"/>
        <v>2.9233891416149174</v>
      </c>
      <c r="T995" s="361">
        <f t="shared" si="1014"/>
        <v>3.426942921258076</v>
      </c>
      <c r="U995" s="361">
        <f t="shared" si="1014"/>
        <v>4.0172338394447671</v>
      </c>
      <c r="V995" s="362">
        <f t="shared" si="1014"/>
        <v>4.7092023682891133</v>
      </c>
      <c r="X995" s="351"/>
    </row>
    <row r="996" spans="3:24" ht="24.75" customHeight="1" x14ac:dyDescent="0.3">
      <c r="C996" s="353">
        <f>ABS(E996-Dashboard!$F$14)</f>
        <v>36.71724140432174</v>
      </c>
      <c r="D996" s="350">
        <f t="shared" si="993"/>
        <v>0.17234999999999626</v>
      </c>
      <c r="E996" s="359" cm="1">
        <f t="array" ref="E996">1000*SUM('DRE + DCF'!$L$36/M996,'DRE + DCF'!$N$36:$V$36/N996:V996,F996/V996)/Dashboard!$F$11</f>
        <v>133.70724140432173</v>
      </c>
      <c r="F996" s="359">
        <f t="shared" si="991"/>
        <v>17348622.426369447</v>
      </c>
      <c r="G996" s="359">
        <f>'DRE + DCF'!$W$31</f>
        <v>2791623.3540418856</v>
      </c>
      <c r="H996" s="359">
        <f>'DRE + DCF'!$W$32</f>
        <v>81081.931703745853</v>
      </c>
      <c r="I996" s="359">
        <f>-H996*('DRE + DCF'!$V$33+K996)/'DRE + DCF'!$V$33</f>
        <v>-90858.801614444121</v>
      </c>
      <c r="J996" s="359">
        <f>-'DRE + DCF'!$V$56*L996</f>
        <v>-1188924.4255577971</v>
      </c>
      <c r="K996" s="360">
        <f>(1+L996)/(1+Ke!$O$12)-1</f>
        <v>2.0000000000000018E-2</v>
      </c>
      <c r="L996" s="360">
        <f>'DRE + DCF'!$Y$31</f>
        <v>7.3550000000000004E-2</v>
      </c>
      <c r="M996" s="361">
        <f>(1+D996)^((5-Dashboard!$F$9)*3/12)</f>
        <v>1.1266602336568083</v>
      </c>
      <c r="N996" s="361">
        <f t="shared" ref="N996:V996" si="1015">M996*(1+$D996)</f>
        <v>1.320840124927555</v>
      </c>
      <c r="O996" s="361">
        <f t="shared" si="1015"/>
        <v>1.5484869204588141</v>
      </c>
      <c r="P996" s="361">
        <f t="shared" si="1015"/>
        <v>1.8153686411998848</v>
      </c>
      <c r="Q996" s="361">
        <f t="shared" si="1015"/>
        <v>2.1282474265106783</v>
      </c>
      <c r="R996" s="361">
        <f t="shared" si="1015"/>
        <v>2.4950508704697856</v>
      </c>
      <c r="S996" s="361">
        <f t="shared" si="1015"/>
        <v>2.9250728879952437</v>
      </c>
      <c r="T996" s="361">
        <f t="shared" si="1015"/>
        <v>3.4292092002412127</v>
      </c>
      <c r="U996" s="361">
        <f t="shared" si="1015"/>
        <v>4.0202334059027729</v>
      </c>
      <c r="V996" s="362">
        <f t="shared" si="1015"/>
        <v>4.7131206334101003</v>
      </c>
      <c r="X996" s="351"/>
    </row>
    <row r="997" spans="3:24" ht="24.75" customHeight="1" x14ac:dyDescent="0.3">
      <c r="C997" s="353">
        <f>ABS(E997-Dashboard!$F$14)</f>
        <v>36.580617421787977</v>
      </c>
      <c r="D997" s="350">
        <f t="shared" si="993"/>
        <v>0.17244999999999625</v>
      </c>
      <c r="E997" s="359" cm="1">
        <f t="array" ref="E997">1000*SUM('DRE + DCF'!$L$36/M997,'DRE + DCF'!$N$36:$V$36/N997:V997,F997/V997)/Dashboard!$F$11</f>
        <v>133.57061742178797</v>
      </c>
      <c r="F997" s="359">
        <f t="shared" si="991"/>
        <v>17334830.239895523</v>
      </c>
      <c r="G997" s="359">
        <f>'DRE + DCF'!$W$31</f>
        <v>2791623.3540418856</v>
      </c>
      <c r="H997" s="359">
        <f>'DRE + DCF'!$W$32</f>
        <v>81081.931703745853</v>
      </c>
      <c r="I997" s="359">
        <f>-H997*('DRE + DCF'!$V$33+K997)/'DRE + DCF'!$V$33</f>
        <v>-90858.801614444121</v>
      </c>
      <c r="J997" s="359">
        <f>-'DRE + DCF'!$V$56*L997</f>
        <v>-1188924.4255577971</v>
      </c>
      <c r="K997" s="360">
        <f>(1+L997)/(1+Ke!$O$12)-1</f>
        <v>2.0000000000000018E-2</v>
      </c>
      <c r="L997" s="360">
        <f>'DRE + DCF'!$Y$31</f>
        <v>7.3550000000000004E-2</v>
      </c>
      <c r="M997" s="361">
        <f>(1+D997)^((5-Dashboard!$F$9)*3/12)</f>
        <v>1.1267323099280526</v>
      </c>
      <c r="N997" s="361">
        <f t="shared" ref="N997:V997" si="1016">M997*(1+$D997)</f>
        <v>1.3210372967751411</v>
      </c>
      <c r="O997" s="361">
        <f t="shared" si="1016"/>
        <v>1.5488501786040092</v>
      </c>
      <c r="P997" s="361">
        <f t="shared" si="1016"/>
        <v>1.8159493919042646</v>
      </c>
      <c r="Q997" s="361">
        <f t="shared" si="1016"/>
        <v>2.1291098645381483</v>
      </c>
      <c r="R997" s="361">
        <f t="shared" si="1016"/>
        <v>2.4962748606777438</v>
      </c>
      <c r="S997" s="361">
        <f t="shared" si="1016"/>
        <v>2.9267574604016113</v>
      </c>
      <c r="T997" s="361">
        <f t="shared" si="1016"/>
        <v>3.4314767844478582</v>
      </c>
      <c r="U997" s="361">
        <f t="shared" si="1016"/>
        <v>4.0232349559258784</v>
      </c>
      <c r="V997" s="362">
        <f t="shared" si="1016"/>
        <v>4.7170418240752809</v>
      </c>
      <c r="X997" s="351"/>
    </row>
    <row r="998" spans="3:24" ht="24.75" customHeight="1" x14ac:dyDescent="0.3">
      <c r="C998" s="353">
        <f>ABS(E998-Dashboard!$F$14)</f>
        <v>36.444238433035181</v>
      </c>
      <c r="D998" s="350">
        <f t="shared" si="993"/>
        <v>0.17254999999999623</v>
      </c>
      <c r="E998" s="359" cm="1">
        <f t="array" ref="E998">1000*SUM('DRE + DCF'!$L$36/M998,'DRE + DCF'!$N$36:$V$36/N998:V998,F998/V998)/Dashboard!$F$11</f>
        <v>133.43423843303518</v>
      </c>
      <c r="F998" s="359">
        <f t="shared" si="991"/>
        <v>17321061.574951313</v>
      </c>
      <c r="G998" s="359">
        <f>'DRE + DCF'!$W$31</f>
        <v>2791623.3540418856</v>
      </c>
      <c r="H998" s="359">
        <f>'DRE + DCF'!$W$32</f>
        <v>81081.931703745853</v>
      </c>
      <c r="I998" s="359">
        <f>-H998*('DRE + DCF'!$V$33+K998)/'DRE + DCF'!$V$33</f>
        <v>-90858.801614444121</v>
      </c>
      <c r="J998" s="359">
        <f>-'DRE + DCF'!$V$56*L998</f>
        <v>-1188924.4255577971</v>
      </c>
      <c r="K998" s="360">
        <f>(1+L998)/(1+Ke!$O$12)-1</f>
        <v>2.0000000000000018E-2</v>
      </c>
      <c r="L998" s="360">
        <f>'DRE + DCF'!$Y$31</f>
        <v>7.3550000000000004E-2</v>
      </c>
      <c r="M998" s="361">
        <f>(1+D998)^((5-Dashboard!$F$9)*3/12)</f>
        <v>1.1268043846624405</v>
      </c>
      <c r="N998" s="361">
        <f t="shared" ref="N998:V998" si="1017">M998*(1+$D998)</f>
        <v>1.3212344812359402</v>
      </c>
      <c r="O998" s="361">
        <f t="shared" si="1017"/>
        <v>1.5492134909731967</v>
      </c>
      <c r="P998" s="361">
        <f t="shared" si="1017"/>
        <v>1.8165302788406159</v>
      </c>
      <c r="Q998" s="361">
        <f t="shared" si="1017"/>
        <v>2.1299725784545571</v>
      </c>
      <c r="R998" s="361">
        <f t="shared" si="1017"/>
        <v>2.4974993468668827</v>
      </c>
      <c r="S998" s="361">
        <f t="shared" si="1017"/>
        <v>2.9284428591687539</v>
      </c>
      <c r="T998" s="361">
        <f t="shared" si="1017"/>
        <v>3.4337456745183115</v>
      </c>
      <c r="U998" s="361">
        <f t="shared" si="1017"/>
        <v>4.026238490656433</v>
      </c>
      <c r="V998" s="362">
        <f t="shared" si="1017"/>
        <v>4.720965942219185</v>
      </c>
      <c r="X998" s="351"/>
    </row>
    <row r="999" spans="3:24" ht="24.75" customHeight="1" x14ac:dyDescent="0.3">
      <c r="C999" s="353">
        <f>ABS(E999-Dashboard!$F$14)</f>
        <v>36.308103791338837</v>
      </c>
      <c r="D999" s="350">
        <f t="shared" si="993"/>
        <v>0.17264999999999622</v>
      </c>
      <c r="E999" s="359" cm="1">
        <f t="array" ref="E999">1000*SUM('DRE + DCF'!$L$36/M999,'DRE + DCF'!$N$36:$V$36/N999:V999,F999/V999)/Dashboard!$F$11</f>
        <v>133.29810379133883</v>
      </c>
      <c r="F999" s="359">
        <f t="shared" si="991"/>
        <v>17307316.367867582</v>
      </c>
      <c r="G999" s="359">
        <f>'DRE + DCF'!$W$31</f>
        <v>2791623.3540418856</v>
      </c>
      <c r="H999" s="359">
        <f>'DRE + DCF'!$W$32</f>
        <v>81081.931703745853</v>
      </c>
      <c r="I999" s="359">
        <f>-H999*('DRE + DCF'!$V$33+K999)/'DRE + DCF'!$V$33</f>
        <v>-90858.801614444121</v>
      </c>
      <c r="J999" s="359">
        <f>-'DRE + DCF'!$V$56*L999</f>
        <v>-1188924.4255577971</v>
      </c>
      <c r="K999" s="360">
        <f>(1+L999)/(1+Ke!$O$12)-1</f>
        <v>2.0000000000000018E-2</v>
      </c>
      <c r="L999" s="360">
        <f>'DRE + DCF'!$Y$31</f>
        <v>7.3550000000000004E-2</v>
      </c>
      <c r="M999" s="361">
        <f>(1+D999)^((5-Dashboard!$F$9)*3/12)</f>
        <v>1.1268764578601353</v>
      </c>
      <c r="N999" s="361">
        <f t="shared" ref="N999:V999" si="1018">M999*(1+$D999)</f>
        <v>1.3214316783096833</v>
      </c>
      <c r="O999" s="361">
        <f t="shared" si="1018"/>
        <v>1.5495768575698452</v>
      </c>
      <c r="P999" s="361">
        <f t="shared" si="1018"/>
        <v>1.8171113020292731</v>
      </c>
      <c r="Q999" s="361">
        <f t="shared" si="1018"/>
        <v>2.1308355683246201</v>
      </c>
      <c r="R999" s="361">
        <f t="shared" si="1018"/>
        <v>2.4987243291958574</v>
      </c>
      <c r="S999" s="361">
        <f t="shared" si="1018"/>
        <v>2.9301290846315129</v>
      </c>
      <c r="T999" s="361">
        <f t="shared" si="1018"/>
        <v>3.4360158710931326</v>
      </c>
      <c r="U999" s="361">
        <f t="shared" si="1018"/>
        <v>4.0292440112373491</v>
      </c>
      <c r="V999" s="362">
        <f t="shared" si="1018"/>
        <v>4.7248929897774623</v>
      </c>
      <c r="X999" s="351"/>
    </row>
    <row r="1000" spans="3:24" ht="24.75" customHeight="1" x14ac:dyDescent="0.3">
      <c r="C1000" s="353">
        <f>ABS(E1000-Dashboard!$F$14)</f>
        <v>36.172212852310466</v>
      </c>
      <c r="D1000" s="350">
        <f t="shared" si="993"/>
        <v>0.17274999999999621</v>
      </c>
      <c r="E1000" s="359" cm="1">
        <f t="array" ref="E1000">1000*SUM('DRE + DCF'!$L$36/M1000,'DRE + DCF'!$N$36:$V$36/N1000:V1000,F1000/V1000)/Dashboard!$F$11</f>
        <v>133.16221285231046</v>
      </c>
      <c r="F1000" s="359">
        <f t="shared" si="991"/>
        <v>17293594.555214416</v>
      </c>
      <c r="G1000" s="359">
        <f>'DRE + DCF'!$W$31</f>
        <v>2791623.3540418856</v>
      </c>
      <c r="H1000" s="359">
        <f>'DRE + DCF'!$W$32</f>
        <v>81081.931703745853</v>
      </c>
      <c r="I1000" s="359">
        <f>-H1000*('DRE + DCF'!$V$33+K1000)/'DRE + DCF'!$V$33</f>
        <v>-90858.801614444121</v>
      </c>
      <c r="J1000" s="359">
        <f>-'DRE + DCF'!$V$56*L1000</f>
        <v>-1188924.4255577971</v>
      </c>
      <c r="K1000" s="360">
        <f>(1+L1000)/(1+Ke!$O$12)-1</f>
        <v>2.0000000000000018E-2</v>
      </c>
      <c r="L1000" s="360">
        <f>'DRE + DCF'!$Y$31</f>
        <v>7.3550000000000004E-2</v>
      </c>
      <c r="M1000" s="361">
        <f>(1+D1000)^((5-Dashboard!$F$9)*3/12)</f>
        <v>1.1269485295213011</v>
      </c>
      <c r="N1000" s="361">
        <f t="shared" ref="N1000:V1000" si="1019">M1000*(1+$D1000)</f>
        <v>1.3216288879961016</v>
      </c>
      <c r="O1000" s="361">
        <f t="shared" si="1019"/>
        <v>1.549940278397423</v>
      </c>
      <c r="P1000" s="361">
        <f t="shared" si="1019"/>
        <v>1.8176924614905718</v>
      </c>
      <c r="Q1000" s="361">
        <f t="shared" si="1019"/>
        <v>2.1316988342130614</v>
      </c>
      <c r="R1000" s="361">
        <f t="shared" si="1019"/>
        <v>2.4999498078233597</v>
      </c>
      <c r="S1000" s="361">
        <f t="shared" si="1019"/>
        <v>2.9318161371248355</v>
      </c>
      <c r="T1000" s="361">
        <f t="shared" si="1019"/>
        <v>3.4382873748131395</v>
      </c>
      <c r="U1000" s="361">
        <f t="shared" si="1019"/>
        <v>4.032251518812096</v>
      </c>
      <c r="V1000" s="362">
        <f t="shared" si="1019"/>
        <v>4.7288229686868704</v>
      </c>
      <c r="X1000" s="351"/>
    </row>
    <row r="1001" spans="3:24" ht="24.75" customHeight="1" x14ac:dyDescent="0.3">
      <c r="C1001" s="353">
        <f>ABS(E1001-Dashboard!$F$14)</f>
        <v>36.036564973886229</v>
      </c>
      <c r="D1001" s="350">
        <f t="shared" si="993"/>
        <v>0.1728499999999962</v>
      </c>
      <c r="E1001" s="359" cm="1">
        <f t="array" ref="E1001">1000*SUM('DRE + DCF'!$L$36/M1001,'DRE + DCF'!$N$36:$V$36/N1001:V1001,F1001/V1001)/Dashboard!$F$11</f>
        <v>133.02656497388622</v>
      </c>
      <c r="F1001" s="359">
        <f t="shared" si="991"/>
        <v>17279896.073800031</v>
      </c>
      <c r="G1001" s="359">
        <f>'DRE + DCF'!$W$31</f>
        <v>2791623.3540418856</v>
      </c>
      <c r="H1001" s="359">
        <f>'DRE + DCF'!$W$32</f>
        <v>81081.931703745853</v>
      </c>
      <c r="I1001" s="359">
        <f>-H1001*('DRE + DCF'!$V$33+K1001)/'DRE + DCF'!$V$33</f>
        <v>-90858.801614444121</v>
      </c>
      <c r="J1001" s="359">
        <f>-'DRE + DCF'!$V$56*L1001</f>
        <v>-1188924.4255577971</v>
      </c>
      <c r="K1001" s="360">
        <f>(1+L1001)/(1+Ke!$O$12)-1</f>
        <v>2.0000000000000018E-2</v>
      </c>
      <c r="L1001" s="360">
        <f>'DRE + DCF'!$Y$31</f>
        <v>7.3550000000000004E-2</v>
      </c>
      <c r="M1001" s="361">
        <f>(1+D1001)^((5-Dashboard!$F$9)*3/12)</f>
        <v>1.1270205996461018</v>
      </c>
      <c r="N1001" s="361">
        <f t="shared" ref="N1001:V1001" si="1020">M1001*(1+$D1001)</f>
        <v>1.3218261102949262</v>
      </c>
      <c r="O1001" s="361">
        <f t="shared" si="1020"/>
        <v>1.5503037534593993</v>
      </c>
      <c r="P1001" s="361">
        <f t="shared" si="1020"/>
        <v>1.8182737572448506</v>
      </c>
      <c r="Q1001" s="361">
        <f t="shared" si="1020"/>
        <v>2.132562376184616</v>
      </c>
      <c r="R1001" s="361">
        <f t="shared" si="1020"/>
        <v>2.5011757829081187</v>
      </c>
      <c r="S1001" s="361">
        <f t="shared" si="1020"/>
        <v>2.9335040169837776</v>
      </c>
      <c r="T1001" s="361">
        <f t="shared" si="1020"/>
        <v>3.4405601863194124</v>
      </c>
      <c r="U1001" s="361">
        <f t="shared" si="1020"/>
        <v>4.0352610145247096</v>
      </c>
      <c r="V1001" s="362">
        <f t="shared" si="1020"/>
        <v>4.7327558808852901</v>
      </c>
      <c r="X1001" s="351"/>
    </row>
    <row r="1002" spans="3:24" ht="24.75" customHeight="1" x14ac:dyDescent="0.3">
      <c r="C1002" s="353">
        <f>ABS(E1002-Dashboard!$F$14)</f>
        <v>35.901159516316412</v>
      </c>
      <c r="D1002" s="350">
        <f t="shared" si="993"/>
        <v>0.17294999999999619</v>
      </c>
      <c r="E1002" s="359" cm="1">
        <f t="array" ref="E1002">1000*SUM('DRE + DCF'!$L$36/M1002,'DRE + DCF'!$N$36:$V$36/N1002:V1002,F1002/V1002)/Dashboard!$F$11</f>
        <v>132.89115951631641</v>
      </c>
      <c r="F1002" s="359">
        <f t="shared" si="991"/>
        <v>17266220.860669643</v>
      </c>
      <c r="G1002" s="359">
        <f>'DRE + DCF'!$W$31</f>
        <v>2791623.3540418856</v>
      </c>
      <c r="H1002" s="359">
        <f>'DRE + DCF'!$W$32</f>
        <v>81081.931703745853</v>
      </c>
      <c r="I1002" s="359">
        <f>-H1002*('DRE + DCF'!$V$33+K1002)/'DRE + DCF'!$V$33</f>
        <v>-90858.801614444121</v>
      </c>
      <c r="J1002" s="359">
        <f>-'DRE + DCF'!$V$56*L1002</f>
        <v>-1188924.4255577971</v>
      </c>
      <c r="K1002" s="360">
        <f>(1+L1002)/(1+Ke!$O$12)-1</f>
        <v>2.0000000000000018E-2</v>
      </c>
      <c r="L1002" s="360">
        <f>'DRE + DCF'!$Y$31</f>
        <v>7.3550000000000004E-2</v>
      </c>
      <c r="M1002" s="361">
        <f>(1+D1002)^((5-Dashboard!$F$9)*3/12)</f>
        <v>1.1270926682347009</v>
      </c>
      <c r="N1002" s="361">
        <f t="shared" ref="N1002:V1002" si="1021">M1002*(1+$D1002)</f>
        <v>1.322023345205888</v>
      </c>
      <c r="O1002" s="361">
        <f t="shared" si="1021"/>
        <v>1.5506672827592414</v>
      </c>
      <c r="P1002" s="361">
        <f t="shared" si="1021"/>
        <v>1.8188551893124463</v>
      </c>
      <c r="Q1002" s="361">
        <f t="shared" si="1021"/>
        <v>2.1334261943040267</v>
      </c>
      <c r="R1002" s="361">
        <f t="shared" si="1021"/>
        <v>2.5024022546088998</v>
      </c>
      <c r="S1002" s="361">
        <f t="shared" si="1021"/>
        <v>2.9351927245434992</v>
      </c>
      <c r="T1002" s="361">
        <f t="shared" si="1021"/>
        <v>3.4428343062532862</v>
      </c>
      <c r="U1002" s="361">
        <f t="shared" si="1021"/>
        <v>4.0382724995197785</v>
      </c>
      <c r="V1002" s="362">
        <f t="shared" si="1021"/>
        <v>4.7366917283117091</v>
      </c>
      <c r="X1002" s="351"/>
    </row>
    <row r="1003" spans="3:24" ht="24.75" customHeight="1" x14ac:dyDescent="0.3">
      <c r="C1003" s="353">
        <f>ABS(E1003-Dashboard!$F$14)</f>
        <v>35.765995842154453</v>
      </c>
      <c r="D1003" s="350">
        <f t="shared" si="993"/>
        <v>0.17304999999999618</v>
      </c>
      <c r="E1003" s="359" cm="1">
        <f t="array" ref="E1003">1000*SUM('DRE + DCF'!$L$36/M1003,'DRE + DCF'!$N$36:$V$36/N1003:V1003,F1003/V1003)/Dashboard!$F$11</f>
        <v>132.75599584215445</v>
      </c>
      <c r="F1003" s="359">
        <f t="shared" si="991"/>
        <v>17252568.853104323</v>
      </c>
      <c r="G1003" s="359">
        <f>'DRE + DCF'!$W$31</f>
        <v>2791623.3540418856</v>
      </c>
      <c r="H1003" s="359">
        <f>'DRE + DCF'!$W$32</f>
        <v>81081.931703745853</v>
      </c>
      <c r="I1003" s="359">
        <f>-H1003*('DRE + DCF'!$V$33+K1003)/'DRE + DCF'!$V$33</f>
        <v>-90858.801614444121</v>
      </c>
      <c r="J1003" s="359">
        <f>-'DRE + DCF'!$V$56*L1003</f>
        <v>-1188924.4255577971</v>
      </c>
      <c r="K1003" s="360">
        <f>(1+L1003)/(1+Ke!$O$12)-1</f>
        <v>2.0000000000000018E-2</v>
      </c>
      <c r="L1003" s="360">
        <f>'DRE + DCF'!$Y$31</f>
        <v>7.3550000000000004E-2</v>
      </c>
      <c r="M1003" s="361">
        <f>(1+D1003)^((5-Dashboard!$F$9)*3/12)</f>
        <v>1.1271647352872622</v>
      </c>
      <c r="N1003" s="361">
        <f t="shared" ref="N1003:V1003" si="1022">M1003*(1+$D1003)</f>
        <v>1.3222205927287187</v>
      </c>
      <c r="O1003" s="361">
        <f t="shared" si="1022"/>
        <v>1.5510308663004184</v>
      </c>
      <c r="P1003" s="361">
        <f t="shared" si="1022"/>
        <v>1.8194367577136998</v>
      </c>
      <c r="Q1003" s="361">
        <f t="shared" si="1022"/>
        <v>2.1342902886360484</v>
      </c>
      <c r="R1003" s="361">
        <f t="shared" si="1022"/>
        <v>2.5036292230845083</v>
      </c>
      <c r="S1003" s="361">
        <f t="shared" si="1022"/>
        <v>2.936882260139273</v>
      </c>
      <c r="T1003" s="361">
        <f t="shared" si="1022"/>
        <v>3.4451097352563629</v>
      </c>
      <c r="U1003" s="361">
        <f t="shared" si="1022"/>
        <v>4.041285974942463</v>
      </c>
      <c r="V1003" s="362">
        <f t="shared" si="1022"/>
        <v>4.7406305129062405</v>
      </c>
      <c r="X1003" s="351"/>
    </row>
    <row r="1004" spans="3:24" ht="24.75" customHeight="1" x14ac:dyDescent="0.3">
      <c r="C1004" s="353">
        <f>ABS(E1004-Dashboard!$F$14)</f>
        <v>35.631073316246372</v>
      </c>
      <c r="D1004" s="350">
        <f t="shared" si="993"/>
        <v>0.17314999999999617</v>
      </c>
      <c r="E1004" s="359" cm="1">
        <f t="array" ref="E1004">1000*SUM('DRE + DCF'!$L$36/M1004,'DRE + DCF'!$N$36:$V$36/N1004:V1004,F1004/V1004)/Dashboard!$F$11</f>
        <v>132.62107331624637</v>
      </c>
      <c r="F1004" s="359">
        <f t="shared" si="991"/>
        <v>17238939.988619864</v>
      </c>
      <c r="G1004" s="359">
        <f>'DRE + DCF'!$W$31</f>
        <v>2791623.3540418856</v>
      </c>
      <c r="H1004" s="359">
        <f>'DRE + DCF'!$W$32</f>
        <v>81081.931703745853</v>
      </c>
      <c r="I1004" s="359">
        <f>-H1004*('DRE + DCF'!$V$33+K1004)/'DRE + DCF'!$V$33</f>
        <v>-90858.801614444121</v>
      </c>
      <c r="J1004" s="359">
        <f>-'DRE + DCF'!$V$56*L1004</f>
        <v>-1188924.4255577971</v>
      </c>
      <c r="K1004" s="360">
        <f>(1+L1004)/(1+Ke!$O$12)-1</f>
        <v>2.0000000000000018E-2</v>
      </c>
      <c r="L1004" s="360">
        <f>'DRE + DCF'!$Y$31</f>
        <v>7.3550000000000004E-2</v>
      </c>
      <c r="M1004" s="361">
        <f>(1+D1004)^((5-Dashboard!$F$9)*3/12)</f>
        <v>1.1272368008039495</v>
      </c>
      <c r="N1004" s="361">
        <f t="shared" ref="N1004:V1004" si="1023">M1004*(1+$D1004)</f>
        <v>1.3224178528631489</v>
      </c>
      <c r="O1004" s="361">
        <f t="shared" si="1023"/>
        <v>1.5513945040863981</v>
      </c>
      <c r="P1004" s="361">
        <f t="shared" si="1023"/>
        <v>1.8200184624689519</v>
      </c>
      <c r="Q1004" s="361">
        <f t="shared" si="1023"/>
        <v>2.135154659245444</v>
      </c>
      <c r="R1004" s="361">
        <f t="shared" si="1023"/>
        <v>2.5048566884937844</v>
      </c>
      <c r="S1004" s="361">
        <f t="shared" si="1023"/>
        <v>2.9385726241064734</v>
      </c>
      <c r="T1004" s="361">
        <f t="shared" si="1023"/>
        <v>3.4473864739704978</v>
      </c>
      <c r="U1004" s="361">
        <f t="shared" si="1023"/>
        <v>4.044301441938476</v>
      </c>
      <c r="V1004" s="362">
        <f t="shared" si="1023"/>
        <v>4.7445722366101073</v>
      </c>
      <c r="X1004" s="351"/>
    </row>
    <row r="1005" spans="3:24" ht="24.75" customHeight="1" x14ac:dyDescent="0.3">
      <c r="C1005" s="353">
        <f>ABS(E1005-Dashboard!$F$14)</f>
        <v>35.496391305719968</v>
      </c>
      <c r="D1005" s="350">
        <f t="shared" si="993"/>
        <v>0.17324999999999616</v>
      </c>
      <c r="E1005" s="359" cm="1">
        <f t="array" ref="E1005">1000*SUM('DRE + DCF'!$L$36/M1005,'DRE + DCF'!$N$36:$V$36/N1005:V1005,F1005/V1005)/Dashboard!$F$11</f>
        <v>132.48639130571996</v>
      </c>
      <c r="F1005" s="359">
        <f t="shared" si="991"/>
        <v>17225334.204965651</v>
      </c>
      <c r="G1005" s="359">
        <f>'DRE + DCF'!$W$31</f>
        <v>2791623.3540418856</v>
      </c>
      <c r="H1005" s="359">
        <f>'DRE + DCF'!$W$32</f>
        <v>81081.931703745853</v>
      </c>
      <c r="I1005" s="359">
        <f>-H1005*('DRE + DCF'!$V$33+K1005)/'DRE + DCF'!$V$33</f>
        <v>-90858.801614444121</v>
      </c>
      <c r="J1005" s="359">
        <f>-'DRE + DCF'!$V$56*L1005</f>
        <v>-1188924.4255577971</v>
      </c>
      <c r="K1005" s="360">
        <f>(1+L1005)/(1+Ke!$O$12)-1</f>
        <v>2.0000000000000018E-2</v>
      </c>
      <c r="L1005" s="360">
        <f>'DRE + DCF'!$Y$31</f>
        <v>7.3550000000000004E-2</v>
      </c>
      <c r="M1005" s="361">
        <f>(1+D1005)^((5-Dashboard!$F$9)*3/12)</f>
        <v>1.1273088647849263</v>
      </c>
      <c r="N1005" s="361">
        <f t="shared" ref="N1005:V1005" si="1024">M1005*(1+$D1005)</f>
        <v>1.3226151256089105</v>
      </c>
      <c r="O1005" s="361">
        <f t="shared" si="1024"/>
        <v>1.551758196120649</v>
      </c>
      <c r="P1005" s="361">
        <f t="shared" si="1024"/>
        <v>1.8206003035985454</v>
      </c>
      <c r="Q1005" s="361">
        <f t="shared" si="1024"/>
        <v>2.1360193061969865</v>
      </c>
      <c r="R1005" s="361">
        <f t="shared" si="1024"/>
        <v>2.5060846509956063</v>
      </c>
      <c r="S1005" s="361">
        <f t="shared" si="1024"/>
        <v>2.9402638167805852</v>
      </c>
      <c r="T1005" s="361">
        <f t="shared" si="1024"/>
        <v>3.4496645230378102</v>
      </c>
      <c r="U1005" s="361">
        <f t="shared" si="1024"/>
        <v>4.0473189016540978</v>
      </c>
      <c r="V1005" s="362">
        <f t="shared" si="1024"/>
        <v>4.7485169013656545</v>
      </c>
      <c r="X1005" s="351"/>
    </row>
    <row r="1006" spans="3:24" ht="24.75" customHeight="1" x14ac:dyDescent="0.3">
      <c r="C1006" s="353">
        <f>ABS(E1006-Dashboard!$F$14)</f>
        <v>35.361949179974417</v>
      </c>
      <c r="D1006" s="350">
        <f t="shared" si="993"/>
        <v>0.17334999999999615</v>
      </c>
      <c r="E1006" s="359" cm="1">
        <f t="array" ref="E1006">1000*SUM('DRE + DCF'!$L$36/M1006,'DRE + DCF'!$N$36:$V$36/N1006:V1006,F1006/V1006)/Dashboard!$F$11</f>
        <v>132.35194917997441</v>
      </c>
      <c r="F1006" s="359">
        <f t="shared" si="991"/>
        <v>17211751.440123543</v>
      </c>
      <c r="G1006" s="359">
        <f>'DRE + DCF'!$W$31</f>
        <v>2791623.3540418856</v>
      </c>
      <c r="H1006" s="359">
        <f>'DRE + DCF'!$W$32</f>
        <v>81081.931703745853</v>
      </c>
      <c r="I1006" s="359">
        <f>-H1006*('DRE + DCF'!$V$33+K1006)/'DRE + DCF'!$V$33</f>
        <v>-90858.801614444121</v>
      </c>
      <c r="J1006" s="359">
        <f>-'DRE + DCF'!$V$56*L1006</f>
        <v>-1188924.4255577971</v>
      </c>
      <c r="K1006" s="360">
        <f>(1+L1006)/(1+Ke!$O$12)-1</f>
        <v>2.0000000000000018E-2</v>
      </c>
      <c r="L1006" s="360">
        <f>'DRE + DCF'!$Y$31</f>
        <v>7.3550000000000004E-2</v>
      </c>
      <c r="M1006" s="361">
        <f>(1+D1006)^((5-Dashboard!$F$9)*3/12)</f>
        <v>1.1273809272303563</v>
      </c>
      <c r="N1006" s="361">
        <f t="shared" ref="N1006:V1006" si="1025">M1006*(1+$D1006)</f>
        <v>1.3228124109657342</v>
      </c>
      <c r="O1006" s="361">
        <f t="shared" si="1025"/>
        <v>1.552121942406639</v>
      </c>
      <c r="P1006" s="361">
        <f t="shared" si="1025"/>
        <v>1.821182281122824</v>
      </c>
      <c r="Q1006" s="361">
        <f t="shared" si="1025"/>
        <v>2.1368842295554584</v>
      </c>
      <c r="R1006" s="361">
        <f t="shared" si="1025"/>
        <v>2.5073131107488886</v>
      </c>
      <c r="S1006" s="361">
        <f t="shared" si="1025"/>
        <v>2.9419558384971989</v>
      </c>
      <c r="T1006" s="361">
        <f t="shared" si="1025"/>
        <v>3.451943883100677</v>
      </c>
      <c r="U1006" s="361">
        <f t="shared" si="1025"/>
        <v>4.0503383552361658</v>
      </c>
      <c r="V1006" s="362">
        <f t="shared" si="1025"/>
        <v>4.7524645091163391</v>
      </c>
      <c r="X1006" s="351"/>
    </row>
    <row r="1007" spans="3:24" ht="24.75" customHeight="1" x14ac:dyDescent="0.3">
      <c r="C1007" s="353">
        <f>ABS(E1007-Dashboard!$F$14)</f>
        <v>35.227746310669559</v>
      </c>
      <c r="D1007" s="350">
        <f t="shared" si="993"/>
        <v>0.17344999999999614</v>
      </c>
      <c r="E1007" s="359" cm="1">
        <f t="array" ref="E1007">1000*SUM('DRE + DCF'!$L$36/M1007,'DRE + DCF'!$N$36:$V$36/N1007:V1007,F1007/V1007)/Dashboard!$F$11</f>
        <v>132.21774631066955</v>
      </c>
      <c r="F1007" s="359">
        <f t="shared" si="991"/>
        <v>17198191.632306747</v>
      </c>
      <c r="G1007" s="359">
        <f>'DRE + DCF'!$W$31</f>
        <v>2791623.3540418856</v>
      </c>
      <c r="H1007" s="359">
        <f>'DRE + DCF'!$W$32</f>
        <v>81081.931703745853</v>
      </c>
      <c r="I1007" s="359">
        <f>-H1007*('DRE + DCF'!$V$33+K1007)/'DRE + DCF'!$V$33</f>
        <v>-90858.801614444121</v>
      </c>
      <c r="J1007" s="359">
        <f>-'DRE + DCF'!$V$56*L1007</f>
        <v>-1188924.4255577971</v>
      </c>
      <c r="K1007" s="360">
        <f>(1+L1007)/(1+Ke!$O$12)-1</f>
        <v>2.0000000000000018E-2</v>
      </c>
      <c r="L1007" s="360">
        <f>'DRE + DCF'!$Y$31</f>
        <v>7.3550000000000004E-2</v>
      </c>
      <c r="M1007" s="361">
        <f>(1+D1007)^((5-Dashboard!$F$9)*3/12)</f>
        <v>1.127452988140403</v>
      </c>
      <c r="N1007" s="361">
        <f t="shared" ref="N1007:V1007" si="1026">M1007*(1+$D1007)</f>
        <v>1.3230097089333515</v>
      </c>
      <c r="O1007" s="361">
        <f t="shared" si="1026"/>
        <v>1.552485742947836</v>
      </c>
      <c r="P1007" s="361">
        <f t="shared" si="1026"/>
        <v>1.8217643950621321</v>
      </c>
      <c r="Q1007" s="361">
        <f t="shared" si="1026"/>
        <v>2.1377494293856518</v>
      </c>
      <c r="R1007" s="361">
        <f t="shared" si="1026"/>
        <v>2.5085420679125847</v>
      </c>
      <c r="S1007" s="361">
        <f t="shared" si="1026"/>
        <v>2.9436486895920129</v>
      </c>
      <c r="T1007" s="361">
        <f t="shared" si="1026"/>
        <v>3.4542245548017361</v>
      </c>
      <c r="U1007" s="361">
        <f t="shared" si="1026"/>
        <v>4.0533598038320839</v>
      </c>
      <c r="V1007" s="362">
        <f t="shared" si="1026"/>
        <v>4.7564150618067433</v>
      </c>
      <c r="X1007" s="351"/>
    </row>
    <row r="1008" spans="3:24" ht="24.75" customHeight="1" x14ac:dyDescent="0.3">
      <c r="C1008" s="353">
        <f>ABS(E1008-Dashboard!$F$14)</f>
        <v>35.09378207171541</v>
      </c>
      <c r="D1008" s="350">
        <f t="shared" si="993"/>
        <v>0.17354999999999612</v>
      </c>
      <c r="E1008" s="359" cm="1">
        <f t="array" ref="E1008">1000*SUM('DRE + DCF'!$L$36/M1008,'DRE + DCF'!$N$36:$V$36/N1008:V1008,F1008/V1008)/Dashboard!$F$11</f>
        <v>132.0837820717154</v>
      </c>
      <c r="F1008" s="359">
        <f t="shared" si="991"/>
        <v>17184654.719958737</v>
      </c>
      <c r="G1008" s="359">
        <f>'DRE + DCF'!$W$31</f>
        <v>2791623.3540418856</v>
      </c>
      <c r="H1008" s="359">
        <f>'DRE + DCF'!$W$32</f>
        <v>81081.931703745853</v>
      </c>
      <c r="I1008" s="359">
        <f>-H1008*('DRE + DCF'!$V$33+K1008)/'DRE + DCF'!$V$33</f>
        <v>-90858.801614444121</v>
      </c>
      <c r="J1008" s="359">
        <f>-'DRE + DCF'!$V$56*L1008</f>
        <v>-1188924.4255577971</v>
      </c>
      <c r="K1008" s="360">
        <f>(1+L1008)/(1+Ke!$O$12)-1</f>
        <v>2.0000000000000018E-2</v>
      </c>
      <c r="L1008" s="360">
        <f>'DRE + DCF'!$Y$31</f>
        <v>7.3550000000000004E-2</v>
      </c>
      <c r="M1008" s="361">
        <f>(1+D1008)^((5-Dashboard!$F$9)*3/12)</f>
        <v>1.1275250475152299</v>
      </c>
      <c r="N1008" s="361">
        <f t="shared" ref="N1008:V1008" si="1027">M1008*(1+$D1008)</f>
        <v>1.3232070195114936</v>
      </c>
      <c r="O1008" s="361">
        <f t="shared" si="1027"/>
        <v>1.5528495977477081</v>
      </c>
      <c r="P1008" s="361">
        <f t="shared" si="1027"/>
        <v>1.8223466454368169</v>
      </c>
      <c r="Q1008" s="361">
        <f t="shared" si="1027"/>
        <v>2.1386149057523696</v>
      </c>
      <c r="R1008" s="361">
        <f t="shared" si="1027"/>
        <v>2.5097715226456851</v>
      </c>
      <c r="S1008" s="361">
        <f t="shared" si="1027"/>
        <v>2.9453423704008341</v>
      </c>
      <c r="T1008" s="361">
        <f t="shared" si="1027"/>
        <v>3.4565065387838874</v>
      </c>
      <c r="U1008" s="361">
        <f t="shared" si="1027"/>
        <v>4.0563832485898175</v>
      </c>
      <c r="V1008" s="362">
        <f t="shared" si="1027"/>
        <v>4.7603685613825641</v>
      </c>
      <c r="X1008" s="351"/>
    </row>
    <row r="1009" spans="3:24" ht="24.75" customHeight="1" x14ac:dyDescent="0.3">
      <c r="C1009" s="353">
        <f>ABS(E1009-Dashboard!$F$14)</f>
        <v>34.960055839261955</v>
      </c>
      <c r="D1009" s="350">
        <f t="shared" si="993"/>
        <v>0.17364999999999611</v>
      </c>
      <c r="E1009" s="359" cm="1">
        <f t="array" ref="E1009">1000*SUM('DRE + DCF'!$L$36/M1009,'DRE + DCF'!$N$36:$V$36/N1009:V1009,F1009/V1009)/Dashboard!$F$11</f>
        <v>131.95005583926195</v>
      </c>
      <c r="F1009" s="359">
        <f t="shared" si="991"/>
        <v>17171140.641752116</v>
      </c>
      <c r="G1009" s="359">
        <f>'DRE + DCF'!$W$31</f>
        <v>2791623.3540418856</v>
      </c>
      <c r="H1009" s="359">
        <f>'DRE + DCF'!$W$32</f>
        <v>81081.931703745853</v>
      </c>
      <c r="I1009" s="359">
        <f>-H1009*('DRE + DCF'!$V$33+K1009)/'DRE + DCF'!$V$33</f>
        <v>-90858.801614444121</v>
      </c>
      <c r="J1009" s="359">
        <f>-'DRE + DCF'!$V$56*L1009</f>
        <v>-1188924.4255577971</v>
      </c>
      <c r="K1009" s="360">
        <f>(1+L1009)/(1+Ke!$O$12)-1</f>
        <v>2.0000000000000018E-2</v>
      </c>
      <c r="L1009" s="360">
        <f>'DRE + DCF'!$Y$31</f>
        <v>7.3550000000000004E-2</v>
      </c>
      <c r="M1009" s="361">
        <f>(1+D1009)^((5-Dashboard!$F$9)*3/12)</f>
        <v>1.1275971053550007</v>
      </c>
      <c r="N1009" s="361">
        <f t="shared" ref="N1009:V1009" si="1028">M1009*(1+$D1009)</f>
        <v>1.323404342699892</v>
      </c>
      <c r="O1009" s="361">
        <f t="shared" si="1028"/>
        <v>1.553213506809723</v>
      </c>
      <c r="P1009" s="361">
        <f t="shared" si="1028"/>
        <v>1.8229290322672254</v>
      </c>
      <c r="Q1009" s="361">
        <f t="shared" si="1028"/>
        <v>2.139480658720422</v>
      </c>
      <c r="R1009" s="361">
        <f t="shared" si="1028"/>
        <v>2.5110014751072152</v>
      </c>
      <c r="S1009" s="361">
        <f t="shared" si="1028"/>
        <v>2.9470368812595731</v>
      </c>
      <c r="T1009" s="361">
        <f t="shared" si="1028"/>
        <v>3.4587898356902862</v>
      </c>
      <c r="U1009" s="361">
        <f t="shared" si="1028"/>
        <v>4.0594086906578912</v>
      </c>
      <c r="V1009" s="362">
        <f t="shared" si="1028"/>
        <v>4.7643250097906185</v>
      </c>
      <c r="X1009" s="351"/>
    </row>
    <row r="1010" spans="3:24" ht="24.75" customHeight="1" x14ac:dyDescent="0.3">
      <c r="C1010" s="353">
        <f>ABS(E1010-Dashboard!$F$14)</f>
        <v>34.826566991688523</v>
      </c>
      <c r="D1010" s="350">
        <f t="shared" si="993"/>
        <v>0.1737499999999961</v>
      </c>
      <c r="E1010" s="359" cm="1">
        <f t="array" ref="E1010">1000*SUM('DRE + DCF'!$L$36/M1010,'DRE + DCF'!$N$36:$V$36/N1010:V1010,F1010/V1010)/Dashboard!$F$11</f>
        <v>131.81656699168852</v>
      </c>
      <c r="F1010" s="359">
        <f t="shared" si="991"/>
        <v>17157649.336587556</v>
      </c>
      <c r="G1010" s="359">
        <f>'DRE + DCF'!$W$31</f>
        <v>2791623.3540418856</v>
      </c>
      <c r="H1010" s="359">
        <f>'DRE + DCF'!$W$32</f>
        <v>81081.931703745853</v>
      </c>
      <c r="I1010" s="359">
        <f>-H1010*('DRE + DCF'!$V$33+K1010)/'DRE + DCF'!$V$33</f>
        <v>-90858.801614444121</v>
      </c>
      <c r="J1010" s="359">
        <f>-'DRE + DCF'!$V$56*L1010</f>
        <v>-1188924.4255577971</v>
      </c>
      <c r="K1010" s="360">
        <f>(1+L1010)/(1+Ke!$O$12)-1</f>
        <v>2.0000000000000018E-2</v>
      </c>
      <c r="L1010" s="360">
        <f>'DRE + DCF'!$Y$31</f>
        <v>7.3550000000000004E-2</v>
      </c>
      <c r="M1010" s="361">
        <f>(1+D1010)^((5-Dashboard!$F$9)*3/12)</f>
        <v>1.1276691616598788</v>
      </c>
      <c r="N1010" s="361">
        <f t="shared" ref="N1010:V1010" si="1029">M1010*(1+$D1010)</f>
        <v>1.3236016784982785</v>
      </c>
      <c r="O1010" s="361">
        <f t="shared" si="1029"/>
        <v>1.5535774701373493</v>
      </c>
      <c r="P1010" s="361">
        <f t="shared" si="1029"/>
        <v>1.8235115555737076</v>
      </c>
      <c r="Q1010" s="361">
        <f t="shared" si="1029"/>
        <v>2.140346688354632</v>
      </c>
      <c r="R1010" s="361">
        <f t="shared" si="1029"/>
        <v>2.5122319254562409</v>
      </c>
      <c r="S1010" s="361">
        <f t="shared" si="1029"/>
        <v>2.9487322225042529</v>
      </c>
      <c r="T1010" s="361">
        <f t="shared" si="1029"/>
        <v>3.4610744461643552</v>
      </c>
      <c r="U1010" s="361">
        <f t="shared" si="1029"/>
        <v>4.0624361311853985</v>
      </c>
      <c r="V1010" s="362">
        <f t="shared" si="1029"/>
        <v>4.7682844089788459</v>
      </c>
      <c r="X1010" s="351"/>
    </row>
    <row r="1011" spans="3:24" ht="24.75" customHeight="1" x14ac:dyDescent="0.3">
      <c r="C1011" s="353">
        <f>ABS(E1011-Dashboard!$F$14)</f>
        <v>34.693314909593752</v>
      </c>
      <c r="D1011" s="350">
        <f t="shared" si="993"/>
        <v>0.17384999999999609</v>
      </c>
      <c r="E1011" s="359" cm="1">
        <f t="array" ref="E1011">1000*SUM('DRE + DCF'!$L$36/M1011,'DRE + DCF'!$N$36:$V$36/N1011:V1011,F1011/V1011)/Dashboard!$F$11</f>
        <v>131.68331490959375</v>
      </c>
      <c r="F1011" s="359">
        <f t="shared" si="991"/>
        <v>17144180.743592687</v>
      </c>
      <c r="G1011" s="359">
        <f>'DRE + DCF'!$W$31</f>
        <v>2791623.3540418856</v>
      </c>
      <c r="H1011" s="359">
        <f>'DRE + DCF'!$W$32</f>
        <v>81081.931703745853</v>
      </c>
      <c r="I1011" s="359">
        <f>-H1011*('DRE + DCF'!$V$33+K1011)/'DRE + DCF'!$V$33</f>
        <v>-90858.801614444121</v>
      </c>
      <c r="J1011" s="359">
        <f>-'DRE + DCF'!$V$56*L1011</f>
        <v>-1188924.4255577971</v>
      </c>
      <c r="K1011" s="360">
        <f>(1+L1011)/(1+Ke!$O$12)-1</f>
        <v>2.0000000000000018E-2</v>
      </c>
      <c r="L1011" s="360">
        <f>'DRE + DCF'!$Y$31</f>
        <v>7.3550000000000004E-2</v>
      </c>
      <c r="M1011" s="361">
        <f>(1+D1011)^((5-Dashboard!$F$9)*3/12)</f>
        <v>1.1277412164300276</v>
      </c>
      <c r="N1011" s="361">
        <f t="shared" ref="N1011:V1011" si="1030">M1011*(1+$D1011)</f>
        <v>1.3237990269063835</v>
      </c>
      <c r="O1011" s="361">
        <f t="shared" si="1030"/>
        <v>1.5539414877340532</v>
      </c>
      <c r="P1011" s="361">
        <f t="shared" si="1030"/>
        <v>1.8240942153766122</v>
      </c>
      <c r="Q1011" s="361">
        <f t="shared" si="1030"/>
        <v>2.1412129947198291</v>
      </c>
      <c r="R1011" s="361">
        <f t="shared" si="1030"/>
        <v>2.513462873851863</v>
      </c>
      <c r="S1011" s="361">
        <f t="shared" si="1030"/>
        <v>2.9504283944709995</v>
      </c>
      <c r="T1011" s="361">
        <f t="shared" si="1030"/>
        <v>3.4633603708497711</v>
      </c>
      <c r="U1011" s="361">
        <f t="shared" si="1030"/>
        <v>4.0654655713219903</v>
      </c>
      <c r="V1011" s="362">
        <f t="shared" si="1030"/>
        <v>4.7722467608963024</v>
      </c>
      <c r="X1011" s="351"/>
    </row>
    <row r="1012" spans="3:24" ht="24.75" customHeight="1" x14ac:dyDescent="0.3">
      <c r="C1012" s="353">
        <f>ABS(E1012-Dashboard!$F$14)</f>
        <v>34.560298975785187</v>
      </c>
      <c r="D1012" s="350">
        <f t="shared" si="993"/>
        <v>0.17394999999999608</v>
      </c>
      <c r="E1012" s="359" cm="1">
        <f t="array" ref="E1012">1000*SUM('DRE + DCF'!$L$36/M1012,'DRE + DCF'!$N$36:$V$36/N1012:V1012,F1012/V1012)/Dashboard!$F$11</f>
        <v>131.55029897578518</v>
      </c>
      <c r="F1012" s="359">
        <f t="shared" si="991"/>
        <v>17130734.802121013</v>
      </c>
      <c r="G1012" s="359">
        <f>'DRE + DCF'!$W$31</f>
        <v>2791623.3540418856</v>
      </c>
      <c r="H1012" s="359">
        <f>'DRE + DCF'!$W$32</f>
        <v>81081.931703745853</v>
      </c>
      <c r="I1012" s="359">
        <f>-H1012*('DRE + DCF'!$V$33+K1012)/'DRE + DCF'!$V$33</f>
        <v>-90858.801614444121</v>
      </c>
      <c r="J1012" s="359">
        <f>-'DRE + DCF'!$V$56*L1012</f>
        <v>-1188924.4255577971</v>
      </c>
      <c r="K1012" s="360">
        <f>(1+L1012)/(1+Ke!$O$12)-1</f>
        <v>2.0000000000000018E-2</v>
      </c>
      <c r="L1012" s="360">
        <f>'DRE + DCF'!$Y$31</f>
        <v>7.3550000000000004E-2</v>
      </c>
      <c r="M1012" s="361">
        <f>(1+D1012)^((5-Dashboard!$F$9)*3/12)</f>
        <v>1.1278132696656107</v>
      </c>
      <c r="N1012" s="361">
        <f t="shared" ref="N1012:V1012" si="1031">M1012*(1+$D1012)</f>
        <v>1.3239963879239391</v>
      </c>
      <c r="O1012" s="361">
        <f t="shared" si="1031"/>
        <v>1.5543055596033031</v>
      </c>
      <c r="P1012" s="361">
        <f t="shared" si="1031"/>
        <v>1.8246770116962916</v>
      </c>
      <c r="Q1012" s="361">
        <f t="shared" si="1031"/>
        <v>2.1420795778808541</v>
      </c>
      <c r="R1012" s="361">
        <f t="shared" si="1031"/>
        <v>2.5146943204532204</v>
      </c>
      <c r="S1012" s="361">
        <f t="shared" si="1031"/>
        <v>2.9521253974960482</v>
      </c>
      <c r="T1012" s="361">
        <f t="shared" si="1031"/>
        <v>3.4656476103904743</v>
      </c>
      <c r="U1012" s="361">
        <f t="shared" si="1031"/>
        <v>4.0684970122178834</v>
      </c>
      <c r="V1012" s="362">
        <f t="shared" si="1031"/>
        <v>4.7762120674931685</v>
      </c>
      <c r="X1012" s="351"/>
    </row>
    <row r="1013" spans="3:24" ht="24.75" customHeight="1" x14ac:dyDescent="0.3">
      <c r="C1013" s="353">
        <f>ABS(E1013-Dashboard!$F$14)</f>
        <v>34.427518575269048</v>
      </c>
      <c r="D1013" s="350">
        <f t="shared" si="993"/>
        <v>0.17404999999999607</v>
      </c>
      <c r="E1013" s="359" cm="1">
        <f t="array" ref="E1013">1000*SUM('DRE + DCF'!$L$36/M1013,'DRE + DCF'!$N$36:$V$36/N1013:V1013,F1013/V1013)/Dashboard!$F$11</f>
        <v>131.41751857526904</v>
      </c>
      <c r="F1013" s="359">
        <f t="shared" si="991"/>
        <v>17117311.45175086</v>
      </c>
      <c r="G1013" s="359">
        <f>'DRE + DCF'!$W$31</f>
        <v>2791623.3540418856</v>
      </c>
      <c r="H1013" s="359">
        <f>'DRE + DCF'!$W$32</f>
        <v>81081.931703745853</v>
      </c>
      <c r="I1013" s="359">
        <f>-H1013*('DRE + DCF'!$V$33+K1013)/'DRE + DCF'!$V$33</f>
        <v>-90858.801614444121</v>
      </c>
      <c r="J1013" s="359">
        <f>-'DRE + DCF'!$V$56*L1013</f>
        <v>-1188924.4255577971</v>
      </c>
      <c r="K1013" s="360">
        <f>(1+L1013)/(1+Ke!$O$12)-1</f>
        <v>2.0000000000000018E-2</v>
      </c>
      <c r="L1013" s="360">
        <f>'DRE + DCF'!$Y$31</f>
        <v>7.3550000000000004E-2</v>
      </c>
      <c r="M1013" s="361">
        <f>(1+D1013)^((5-Dashboard!$F$9)*3/12)</f>
        <v>1.1278853213667914</v>
      </c>
      <c r="N1013" s="361">
        <f t="shared" ref="N1013:V1013" si="1032">M1013*(1+$D1013)</f>
        <v>1.3241937615506769</v>
      </c>
      <c r="O1013" s="361">
        <f t="shared" si="1032"/>
        <v>1.5546696857485669</v>
      </c>
      <c r="P1013" s="361">
        <f t="shared" si="1032"/>
        <v>1.8252599445530988</v>
      </c>
      <c r="Q1013" s="361">
        <f t="shared" si="1032"/>
        <v>2.1429464379025585</v>
      </c>
      <c r="R1013" s="361">
        <f t="shared" si="1032"/>
        <v>2.5159262654194903</v>
      </c>
      <c r="S1013" s="361">
        <f t="shared" si="1032"/>
        <v>2.9538232319157425</v>
      </c>
      <c r="T1013" s="361">
        <f t="shared" si="1032"/>
        <v>3.467936165430666</v>
      </c>
      <c r="U1013" s="361">
        <f t="shared" si="1032"/>
        <v>4.0715304550238596</v>
      </c>
      <c r="V1013" s="362">
        <f t="shared" si="1032"/>
        <v>4.7801803307207464</v>
      </c>
      <c r="X1013" s="351"/>
    </row>
    <row r="1014" spans="3:24" ht="24.75" customHeight="1" x14ac:dyDescent="0.3">
      <c r="C1014" s="353">
        <f>ABS(E1014-Dashboard!$F$14)</f>
        <v>34.294973095240223</v>
      </c>
      <c r="D1014" s="350">
        <f t="shared" si="993"/>
        <v>0.17414999999999606</v>
      </c>
      <c r="E1014" s="359" cm="1">
        <f t="array" ref="E1014">1000*SUM('DRE + DCF'!$L$36/M1014,'DRE + DCF'!$N$36:$V$36/N1014:V1014,F1014/V1014)/Dashboard!$F$11</f>
        <v>131.28497309524022</v>
      </c>
      <c r="F1014" s="359">
        <f t="shared" si="991"/>
        <v>17103910.632284269</v>
      </c>
      <c r="G1014" s="359">
        <f>'DRE + DCF'!$W$31</f>
        <v>2791623.3540418856</v>
      </c>
      <c r="H1014" s="359">
        <f>'DRE + DCF'!$W$32</f>
        <v>81081.931703745853</v>
      </c>
      <c r="I1014" s="359">
        <f>-H1014*('DRE + DCF'!$V$33+K1014)/'DRE + DCF'!$V$33</f>
        <v>-90858.801614444121</v>
      </c>
      <c r="J1014" s="359">
        <f>-'DRE + DCF'!$V$56*L1014</f>
        <v>-1188924.4255577971</v>
      </c>
      <c r="K1014" s="360">
        <f>(1+L1014)/(1+Ke!$O$12)-1</f>
        <v>2.0000000000000018E-2</v>
      </c>
      <c r="L1014" s="360">
        <f>'DRE + DCF'!$Y$31</f>
        <v>7.3550000000000004E-2</v>
      </c>
      <c r="M1014" s="361">
        <f>(1+D1014)^((5-Dashboard!$F$9)*3/12)</f>
        <v>1.127957371533733</v>
      </c>
      <c r="N1014" s="361">
        <f t="shared" ref="N1014:V1014" si="1033">M1014*(1+$D1014)</f>
        <v>1.3243911477863282</v>
      </c>
      <c r="O1014" s="361">
        <f t="shared" si="1033"/>
        <v>1.5550338661733119</v>
      </c>
      <c r="P1014" s="361">
        <f t="shared" si="1033"/>
        <v>1.825843013967388</v>
      </c>
      <c r="Q1014" s="361">
        <f t="shared" si="1033"/>
        <v>2.1438135748498013</v>
      </c>
      <c r="R1014" s="361">
        <f t="shared" si="1033"/>
        <v>2.5171587089098857</v>
      </c>
      <c r="S1014" s="361">
        <f t="shared" si="1033"/>
        <v>2.9555218980665323</v>
      </c>
      <c r="T1014" s="361">
        <f t="shared" si="1033"/>
        <v>3.470226036614807</v>
      </c>
      <c r="U1014" s="361">
        <f t="shared" si="1033"/>
        <v>4.0745659008912618</v>
      </c>
      <c r="V1014" s="362">
        <f t="shared" si="1033"/>
        <v>4.7841515525314593</v>
      </c>
      <c r="X1014" s="351"/>
    </row>
    <row r="1015" spans="3:24" ht="24.75" customHeight="1" x14ac:dyDescent="0.3">
      <c r="C1015" s="353">
        <f>ABS(E1015-Dashboard!$F$14)</f>
        <v>34.162661925072385</v>
      </c>
      <c r="D1015" s="350">
        <f t="shared" si="993"/>
        <v>0.17424999999999605</v>
      </c>
      <c r="E1015" s="359" cm="1">
        <f t="array" ref="E1015">1000*SUM('DRE + DCF'!$L$36/M1015,'DRE + DCF'!$N$36:$V$36/N1015:V1015,F1015/V1015)/Dashboard!$F$11</f>
        <v>131.15266192507238</v>
      </c>
      <c r="F1015" s="359">
        <f t="shared" si="991"/>
        <v>17090532.283745982</v>
      </c>
      <c r="G1015" s="359">
        <f>'DRE + DCF'!$W$31</f>
        <v>2791623.3540418856</v>
      </c>
      <c r="H1015" s="359">
        <f>'DRE + DCF'!$W$32</f>
        <v>81081.931703745853</v>
      </c>
      <c r="I1015" s="359">
        <f>-H1015*('DRE + DCF'!$V$33+K1015)/'DRE + DCF'!$V$33</f>
        <v>-90858.801614444121</v>
      </c>
      <c r="J1015" s="359">
        <f>-'DRE + DCF'!$V$56*L1015</f>
        <v>-1188924.4255577971</v>
      </c>
      <c r="K1015" s="360">
        <f>(1+L1015)/(1+Ke!$O$12)-1</f>
        <v>2.0000000000000018E-2</v>
      </c>
      <c r="L1015" s="360">
        <f>'DRE + DCF'!$Y$31</f>
        <v>7.3550000000000004E-2</v>
      </c>
      <c r="M1015" s="361">
        <f>(1+D1015)^((5-Dashboard!$F$9)*3/12)</f>
        <v>1.1280294201665988</v>
      </c>
      <c r="N1015" s="361">
        <f t="shared" ref="N1015:V1015" si="1034">M1015*(1+$D1015)</f>
        <v>1.3245885466306242</v>
      </c>
      <c r="O1015" s="361">
        <f t="shared" si="1034"/>
        <v>1.5553981008810052</v>
      </c>
      <c r="P1015" s="361">
        <f t="shared" si="1034"/>
        <v>1.826426219959514</v>
      </c>
      <c r="Q1015" s="361">
        <f t="shared" si="1034"/>
        <v>2.1446809887874521</v>
      </c>
      <c r="R1015" s="361">
        <f t="shared" si="1034"/>
        <v>2.518391651083657</v>
      </c>
      <c r="S1015" s="361">
        <f t="shared" si="1034"/>
        <v>2.9572213962849743</v>
      </c>
      <c r="T1015" s="361">
        <f t="shared" si="1034"/>
        <v>3.4725172245876195</v>
      </c>
      <c r="U1015" s="361">
        <f t="shared" si="1034"/>
        <v>4.077603350971998</v>
      </c>
      <c r="V1015" s="362">
        <f t="shared" si="1034"/>
        <v>4.7881257348788528</v>
      </c>
      <c r="X1015" s="351"/>
    </row>
    <row r="1016" spans="3:24" ht="24.75" customHeight="1" x14ac:dyDescent="0.3">
      <c r="C1016" s="353">
        <f>ABS(E1016-Dashboard!$F$14)</f>
        <v>34.030584456307466</v>
      </c>
      <c r="D1016" s="350">
        <f t="shared" si="993"/>
        <v>0.17434999999999604</v>
      </c>
      <c r="E1016" s="359" cm="1">
        <f t="array" ref="E1016">1000*SUM('DRE + DCF'!$L$36/M1016,'DRE + DCF'!$N$36:$V$36/N1016:V1016,F1016/V1016)/Dashboard!$F$11</f>
        <v>131.02058445630746</v>
      </c>
      <c r="F1016" s="359">
        <f t="shared" si="991"/>
        <v>17077176.346382327</v>
      </c>
      <c r="G1016" s="359">
        <f>'DRE + DCF'!$W$31</f>
        <v>2791623.3540418856</v>
      </c>
      <c r="H1016" s="359">
        <f>'DRE + DCF'!$W$32</f>
        <v>81081.931703745853</v>
      </c>
      <c r="I1016" s="359">
        <f>-H1016*('DRE + DCF'!$V$33+K1016)/'DRE + DCF'!$V$33</f>
        <v>-90858.801614444121</v>
      </c>
      <c r="J1016" s="359">
        <f>-'DRE + DCF'!$V$56*L1016</f>
        <v>-1188924.4255577971</v>
      </c>
      <c r="K1016" s="360">
        <f>(1+L1016)/(1+Ke!$O$12)-1</f>
        <v>2.0000000000000018E-2</v>
      </c>
      <c r="L1016" s="360">
        <f>'DRE + DCF'!$Y$31</f>
        <v>7.3550000000000004E-2</v>
      </c>
      <c r="M1016" s="361">
        <f>(1+D1016)^((5-Dashboard!$F$9)*3/12)</f>
        <v>1.1281014672655523</v>
      </c>
      <c r="N1016" s="361">
        <f t="shared" ref="N1016:V1016" si="1035">M1016*(1+$D1016)</f>
        <v>1.3247859580832968</v>
      </c>
      <c r="O1016" s="361">
        <f t="shared" si="1035"/>
        <v>1.5557623898751143</v>
      </c>
      <c r="P1016" s="361">
        <f t="shared" si="1035"/>
        <v>1.8270095625498342</v>
      </c>
      <c r="Q1016" s="361">
        <f t="shared" si="1035"/>
        <v>2.1455486797803904</v>
      </c>
      <c r="R1016" s="361">
        <f t="shared" si="1035"/>
        <v>2.5196250921000929</v>
      </c>
      <c r="S1016" s="361">
        <f t="shared" si="1035"/>
        <v>2.9589217269077341</v>
      </c>
      <c r="T1016" s="361">
        <f t="shared" si="1035"/>
        <v>3.4748097299940857</v>
      </c>
      <c r="U1016" s="361">
        <f t="shared" si="1035"/>
        <v>4.0806428064185409</v>
      </c>
      <c r="V1016" s="362">
        <f t="shared" si="1035"/>
        <v>4.7921028797175973</v>
      </c>
      <c r="X1016" s="351"/>
    </row>
    <row r="1017" spans="3:24" ht="24.75" customHeight="1" x14ac:dyDescent="0.3">
      <c r="C1017" s="353">
        <f>ABS(E1017-Dashboard!$F$14)</f>
        <v>33.898740082646256</v>
      </c>
      <c r="D1017" s="350">
        <f t="shared" si="993"/>
        <v>0.17444999999999602</v>
      </c>
      <c r="E1017" s="359" cm="1">
        <f t="array" ref="E1017">1000*SUM('DRE + DCF'!$L$36/M1017,'DRE + DCF'!$N$36:$V$36/N1017:V1017,F1017/V1017)/Dashboard!$F$11</f>
        <v>130.88874008264625</v>
      </c>
      <c r="F1017" s="359">
        <f t="shared" si="991"/>
        <v>17063842.76066022</v>
      </c>
      <c r="G1017" s="359">
        <f>'DRE + DCF'!$W$31</f>
        <v>2791623.3540418856</v>
      </c>
      <c r="H1017" s="359">
        <f>'DRE + DCF'!$W$32</f>
        <v>81081.931703745853</v>
      </c>
      <c r="I1017" s="359">
        <f>-H1017*('DRE + DCF'!$V$33+K1017)/'DRE + DCF'!$V$33</f>
        <v>-90858.801614444121</v>
      </c>
      <c r="J1017" s="359">
        <f>-'DRE + DCF'!$V$56*L1017</f>
        <v>-1188924.4255577971</v>
      </c>
      <c r="K1017" s="360">
        <f>(1+L1017)/(1+Ke!$O$12)-1</f>
        <v>2.0000000000000018E-2</v>
      </c>
      <c r="L1017" s="360">
        <f>'DRE + DCF'!$Y$31</f>
        <v>7.3550000000000004E-2</v>
      </c>
      <c r="M1017" s="361">
        <f>(1+D1017)^((5-Dashboard!$F$9)*3/12)</f>
        <v>1.1281735128307566</v>
      </c>
      <c r="N1017" s="361">
        <f t="shared" ref="N1017:V1017" si="1036">M1017*(1+$D1017)</f>
        <v>1.3249833821440775</v>
      </c>
      <c r="O1017" s="361">
        <f t="shared" si="1036"/>
        <v>1.5561267331591064</v>
      </c>
      <c r="P1017" s="361">
        <f t="shared" si="1036"/>
        <v>1.8275930417587063</v>
      </c>
      <c r="Q1017" s="361">
        <f t="shared" si="1036"/>
        <v>2.1464166478935054</v>
      </c>
      <c r="R1017" s="361">
        <f t="shared" si="1036"/>
        <v>2.5208590321185187</v>
      </c>
      <c r="S1017" s="361">
        <f t="shared" si="1036"/>
        <v>2.9606228902715843</v>
      </c>
      <c r="T1017" s="361">
        <f t="shared" si="1036"/>
        <v>3.4771035534794503</v>
      </c>
      <c r="U1017" s="361">
        <f t="shared" si="1036"/>
        <v>4.0836842683839265</v>
      </c>
      <c r="V1017" s="362">
        <f t="shared" si="1036"/>
        <v>4.7960829890034864</v>
      </c>
      <c r="X1017" s="351"/>
    </row>
    <row r="1018" spans="3:24" ht="24.75" customHeight="1" x14ac:dyDescent="0.3">
      <c r="C1018" s="353">
        <f>ABS(E1018-Dashboard!$F$14)</f>
        <v>33.767128199938114</v>
      </c>
      <c r="D1018" s="350">
        <f t="shared" si="993"/>
        <v>0.17454999999999601</v>
      </c>
      <c r="E1018" s="359" cm="1">
        <f t="array" ref="E1018">1000*SUM('DRE + DCF'!$L$36/M1018,'DRE + DCF'!$N$36:$V$36/N1018:V1018,F1018/V1018)/Dashboard!$F$11</f>
        <v>130.75712819993811</v>
      </c>
      <c r="F1018" s="359">
        <f t="shared" si="991"/>
        <v>17050531.467266079</v>
      </c>
      <c r="G1018" s="359">
        <f>'DRE + DCF'!$W$31</f>
        <v>2791623.3540418856</v>
      </c>
      <c r="H1018" s="359">
        <f>'DRE + DCF'!$W$32</f>
        <v>81081.931703745853</v>
      </c>
      <c r="I1018" s="359">
        <f>-H1018*('DRE + DCF'!$V$33+K1018)/'DRE + DCF'!$V$33</f>
        <v>-90858.801614444121</v>
      </c>
      <c r="J1018" s="359">
        <f>-'DRE + DCF'!$V$56*L1018</f>
        <v>-1188924.4255577971</v>
      </c>
      <c r="K1018" s="360">
        <f>(1+L1018)/(1+Ke!$O$12)-1</f>
        <v>2.0000000000000018E-2</v>
      </c>
      <c r="L1018" s="360">
        <f>'DRE + DCF'!$Y$31</f>
        <v>7.3550000000000004E-2</v>
      </c>
      <c r="M1018" s="361">
        <f>(1+D1018)^((5-Dashboard!$F$9)*3/12)</f>
        <v>1.128245556862375</v>
      </c>
      <c r="N1018" s="361">
        <f t="shared" ref="N1018:V1018" si="1037">M1018*(1+$D1018)</f>
        <v>1.3251808188126981</v>
      </c>
      <c r="O1018" s="361">
        <f t="shared" si="1037"/>
        <v>1.5564911307364493</v>
      </c>
      <c r="P1018" s="361">
        <f t="shared" si="1037"/>
        <v>1.8281766576064902</v>
      </c>
      <c r="Q1018" s="361">
        <f t="shared" si="1037"/>
        <v>2.1472848931916957</v>
      </c>
      <c r="R1018" s="361">
        <f t="shared" si="1037"/>
        <v>2.5220934712982976</v>
      </c>
      <c r="S1018" s="361">
        <f t="shared" si="1037"/>
        <v>2.9623248867134055</v>
      </c>
      <c r="T1018" s="361">
        <f t="shared" si="1037"/>
        <v>3.4793986956892184</v>
      </c>
      <c r="U1018" s="361">
        <f t="shared" si="1037"/>
        <v>4.0867277380217573</v>
      </c>
      <c r="V1018" s="362">
        <f t="shared" si="1037"/>
        <v>4.8000660646934383</v>
      </c>
      <c r="X1018" s="351"/>
    </row>
    <row r="1019" spans="3:24" ht="24.75" customHeight="1" x14ac:dyDescent="0.3">
      <c r="C1019" s="353">
        <f>ABS(E1019-Dashboard!$F$14)</f>
        <v>33.635748206171442</v>
      </c>
      <c r="D1019" s="350">
        <f t="shared" si="993"/>
        <v>0.174649999999996</v>
      </c>
      <c r="E1019" s="359" cm="1">
        <f t="array" ref="E1019">1000*SUM('DRE + DCF'!$L$36/M1019,'DRE + DCF'!$N$36:$V$36/N1019:V1019,F1019/V1019)/Dashboard!$F$11</f>
        <v>130.62574820617144</v>
      </c>
      <c r="F1019" s="359">
        <f t="shared" si="991"/>
        <v>17037242.407104805</v>
      </c>
      <c r="G1019" s="359">
        <f>'DRE + DCF'!$W$31</f>
        <v>2791623.3540418856</v>
      </c>
      <c r="H1019" s="359">
        <f>'DRE + DCF'!$W$32</f>
        <v>81081.931703745853</v>
      </c>
      <c r="I1019" s="359">
        <f>-H1019*('DRE + DCF'!$V$33+K1019)/'DRE + DCF'!$V$33</f>
        <v>-90858.801614444121</v>
      </c>
      <c r="J1019" s="359">
        <f>-'DRE + DCF'!$V$56*L1019</f>
        <v>-1188924.4255577971</v>
      </c>
      <c r="K1019" s="360">
        <f>(1+L1019)/(1+Ke!$O$12)-1</f>
        <v>2.0000000000000018E-2</v>
      </c>
      <c r="L1019" s="360">
        <f>'DRE + DCF'!$Y$31</f>
        <v>7.3550000000000004E-2</v>
      </c>
      <c r="M1019" s="361">
        <f>(1+D1019)^((5-Dashboard!$F$9)*3/12)</f>
        <v>1.1283175993605707</v>
      </c>
      <c r="N1019" s="361">
        <f t="shared" ref="N1019:V1019" si="1038">M1019*(1+$D1019)</f>
        <v>1.3253782680888899</v>
      </c>
      <c r="O1019" s="361">
        <f t="shared" si="1038"/>
        <v>1.5568555826106092</v>
      </c>
      <c r="P1019" s="361">
        <f t="shared" si="1038"/>
        <v>1.8287604101135457</v>
      </c>
      <c r="Q1019" s="361">
        <f t="shared" si="1038"/>
        <v>2.148153415739869</v>
      </c>
      <c r="R1019" s="361">
        <f t="shared" si="1038"/>
        <v>2.5233284097988284</v>
      </c>
      <c r="S1019" s="361">
        <f t="shared" si="1038"/>
        <v>2.9640277165701838</v>
      </c>
      <c r="T1019" s="361">
        <f t="shared" si="1038"/>
        <v>3.4816951572691544</v>
      </c>
      <c r="U1019" s="361">
        <f t="shared" si="1038"/>
        <v>4.089773216486198</v>
      </c>
      <c r="V1019" s="362">
        <f t="shared" si="1038"/>
        <v>4.8040521087454957</v>
      </c>
      <c r="X1019" s="351"/>
    </row>
    <row r="1020" spans="3:24" ht="24.75" customHeight="1" x14ac:dyDescent="0.3">
      <c r="C1020" s="353">
        <f>ABS(E1020-Dashboard!$F$14)</f>
        <v>33.504599501463517</v>
      </c>
      <c r="D1020" s="350">
        <f t="shared" si="993"/>
        <v>0.17474999999999599</v>
      </c>
      <c r="E1020" s="359" cm="1">
        <f t="array" ref="E1020">1000*SUM('DRE + DCF'!$L$36/M1020,'DRE + DCF'!$N$36:$V$36/N1020:V1020,F1020/V1020)/Dashboard!$F$11</f>
        <v>130.49459950146351</v>
      </c>
      <c r="F1020" s="359">
        <f t="shared" si="991"/>
        <v>17023975.521298751</v>
      </c>
      <c r="G1020" s="359">
        <f>'DRE + DCF'!$W$31</f>
        <v>2791623.3540418856</v>
      </c>
      <c r="H1020" s="359">
        <f>'DRE + DCF'!$W$32</f>
        <v>81081.931703745853</v>
      </c>
      <c r="I1020" s="359">
        <f>-H1020*('DRE + DCF'!$V$33+K1020)/'DRE + DCF'!$V$33</f>
        <v>-90858.801614444121</v>
      </c>
      <c r="J1020" s="359">
        <f>-'DRE + DCF'!$V$56*L1020</f>
        <v>-1188924.4255577971</v>
      </c>
      <c r="K1020" s="360">
        <f>(1+L1020)/(1+Ke!$O$12)-1</f>
        <v>2.0000000000000018E-2</v>
      </c>
      <c r="L1020" s="360">
        <f>'DRE + DCF'!$Y$31</f>
        <v>7.3550000000000004E-2</v>
      </c>
      <c r="M1020" s="361">
        <f>(1+D1020)^((5-Dashboard!$F$9)*3/12)</f>
        <v>1.1283896403255071</v>
      </c>
      <c r="N1020" s="361">
        <f t="shared" ref="N1020:V1020" si="1039">M1020*(1+$D1020)</f>
        <v>1.3255757299723849</v>
      </c>
      <c r="O1020" s="361">
        <f t="shared" si="1039"/>
        <v>1.5572200887850538</v>
      </c>
      <c r="P1020" s="361">
        <f t="shared" si="1039"/>
        <v>1.8293442993002356</v>
      </c>
      <c r="Q1020" s="361">
        <f t="shared" si="1039"/>
        <v>2.1490222156029444</v>
      </c>
      <c r="R1020" s="361">
        <f t="shared" si="1039"/>
        <v>2.5245638477795502</v>
      </c>
      <c r="S1020" s="361">
        <f t="shared" si="1039"/>
        <v>2.9657313801790166</v>
      </c>
      <c r="T1020" s="361">
        <f t="shared" si="1039"/>
        <v>3.4839929388652879</v>
      </c>
      <c r="U1020" s="361">
        <f t="shared" si="1039"/>
        <v>4.0928207049319827</v>
      </c>
      <c r="V1020" s="362">
        <f t="shared" si="1039"/>
        <v>4.80804112311883</v>
      </c>
      <c r="X1020" s="351"/>
    </row>
    <row r="1021" spans="3:24" ht="24.75" customHeight="1" x14ac:dyDescent="0.3">
      <c r="C1021" s="353">
        <f>ABS(E1021-Dashboard!$F$14)</f>
        <v>33.373681488051275</v>
      </c>
      <c r="D1021" s="350">
        <f t="shared" si="993"/>
        <v>0.17484999999999598</v>
      </c>
      <c r="E1021" s="359" cm="1">
        <f t="array" ref="E1021">1000*SUM('DRE + DCF'!$L$36/M1021,'DRE + DCF'!$N$36:$V$36/N1021:V1021,F1021/V1021)/Dashboard!$F$11</f>
        <v>130.36368148805127</v>
      </c>
      <c r="F1021" s="359">
        <f t="shared" si="991"/>
        <v>17010730.751186687</v>
      </c>
      <c r="G1021" s="359">
        <f>'DRE + DCF'!$W$31</f>
        <v>2791623.3540418856</v>
      </c>
      <c r="H1021" s="359">
        <f>'DRE + DCF'!$W$32</f>
        <v>81081.931703745853</v>
      </c>
      <c r="I1021" s="359">
        <f>-H1021*('DRE + DCF'!$V$33+K1021)/'DRE + DCF'!$V$33</f>
        <v>-90858.801614444121</v>
      </c>
      <c r="J1021" s="359">
        <f>-'DRE + DCF'!$V$56*L1021</f>
        <v>-1188924.4255577971</v>
      </c>
      <c r="K1021" s="360">
        <f>(1+L1021)/(1+Ke!$O$12)-1</f>
        <v>2.0000000000000018E-2</v>
      </c>
      <c r="L1021" s="360">
        <f>'DRE + DCF'!$Y$31</f>
        <v>7.3550000000000004E-2</v>
      </c>
      <c r="M1021" s="361">
        <f>(1+D1021)^((5-Dashboard!$F$9)*3/12)</f>
        <v>1.128461679757347</v>
      </c>
      <c r="N1021" s="361">
        <f t="shared" ref="N1021:V1021" si="1040">M1021*(1+$D1021)</f>
        <v>1.3257732044629145</v>
      </c>
      <c r="O1021" s="361">
        <f t="shared" si="1040"/>
        <v>1.5575846492632497</v>
      </c>
      <c r="P1021" s="361">
        <f t="shared" si="1040"/>
        <v>1.8299283251869225</v>
      </c>
      <c r="Q1021" s="361">
        <f t="shared" si="1040"/>
        <v>2.1498912928458487</v>
      </c>
      <c r="R1021" s="361">
        <f t="shared" si="1040"/>
        <v>2.5257997853999368</v>
      </c>
      <c r="S1021" s="361">
        <f t="shared" si="1040"/>
        <v>2.9674358778771053</v>
      </c>
      <c r="T1021" s="361">
        <f t="shared" si="1040"/>
        <v>3.4862920411239053</v>
      </c>
      <c r="U1021" s="361">
        <f t="shared" si="1040"/>
        <v>4.095870204514406</v>
      </c>
      <c r="V1021" s="362">
        <f t="shared" si="1040"/>
        <v>4.8120331097737337</v>
      </c>
      <c r="X1021" s="351"/>
    </row>
    <row r="1022" spans="3:24" ht="24.75" customHeight="1" x14ac:dyDescent="0.3">
      <c r="C1022" s="353">
        <f>ABS(E1022-Dashboard!$F$14)</f>
        <v>33.242993570281115</v>
      </c>
      <c r="D1022" s="350">
        <f t="shared" si="993"/>
        <v>0.17494999999999597</v>
      </c>
      <c r="E1022" s="359" cm="1">
        <f t="array" ref="E1022">1000*SUM('DRE + DCF'!$L$36/M1022,'DRE + DCF'!$N$36:$V$36/N1022:V1022,F1022/V1022)/Dashboard!$F$11</f>
        <v>130.23299357028111</v>
      </c>
      <c r="F1022" s="359">
        <f t="shared" si="991"/>
        <v>16997508.038322777</v>
      </c>
      <c r="G1022" s="359">
        <f>'DRE + DCF'!$W$31</f>
        <v>2791623.3540418856</v>
      </c>
      <c r="H1022" s="359">
        <f>'DRE + DCF'!$W$32</f>
        <v>81081.931703745853</v>
      </c>
      <c r="I1022" s="359">
        <f>-H1022*('DRE + DCF'!$V$33+K1022)/'DRE + DCF'!$V$33</f>
        <v>-90858.801614444121</v>
      </c>
      <c r="J1022" s="359">
        <f>-'DRE + DCF'!$V$56*L1022</f>
        <v>-1188924.4255577971</v>
      </c>
      <c r="K1022" s="360">
        <f>(1+L1022)/(1+Ke!$O$12)-1</f>
        <v>2.0000000000000018E-2</v>
      </c>
      <c r="L1022" s="360">
        <f>'DRE + DCF'!$Y$31</f>
        <v>7.3550000000000004E-2</v>
      </c>
      <c r="M1022" s="361">
        <f>(1+D1022)^((5-Dashboard!$F$9)*3/12)</f>
        <v>1.1285337176562535</v>
      </c>
      <c r="N1022" s="361">
        <f t="shared" ref="N1022:V1022" si="1041">M1022*(1+$D1022)</f>
        <v>1.3259706915602105</v>
      </c>
      <c r="O1022" s="361">
        <f t="shared" si="1041"/>
        <v>1.5579492640486641</v>
      </c>
      <c r="P1022" s="361">
        <f t="shared" si="1041"/>
        <v>1.8305124877939716</v>
      </c>
      <c r="Q1022" s="361">
        <f t="shared" si="1041"/>
        <v>2.1507606475335193</v>
      </c>
      <c r="R1022" s="361">
        <f t="shared" si="1041"/>
        <v>2.5270362228194996</v>
      </c>
      <c r="S1022" s="361">
        <f t="shared" si="1041"/>
        <v>2.9691412100017609</v>
      </c>
      <c r="T1022" s="361">
        <f t="shared" si="1041"/>
        <v>3.4885924646915569</v>
      </c>
      <c r="U1022" s="361">
        <f t="shared" si="1041"/>
        <v>4.0989217163893308</v>
      </c>
      <c r="V1022" s="362">
        <f t="shared" si="1041"/>
        <v>4.8160280706716279</v>
      </c>
      <c r="X1022" s="351"/>
    </row>
    <row r="1023" spans="3:24" ht="24.75" customHeight="1" x14ac:dyDescent="0.3">
      <c r="C1023" s="353">
        <f>ABS(E1023-Dashboard!$F$14)</f>
        <v>33.112535154599712</v>
      </c>
      <c r="D1023" s="350">
        <f t="shared" si="993"/>
        <v>0.17504999999999596</v>
      </c>
      <c r="E1023" s="359" cm="1">
        <f t="array" ref="E1023">1000*SUM('DRE + DCF'!$L$36/M1023,'DRE + DCF'!$N$36:$V$36/N1023:V1023,F1023/V1023)/Dashboard!$F$11</f>
        <v>130.10253515459971</v>
      </c>
      <c r="F1023" s="359">
        <f t="shared" si="991"/>
        <v>16984307.324475572</v>
      </c>
      <c r="G1023" s="359">
        <f>'DRE + DCF'!$W$31</f>
        <v>2791623.3540418856</v>
      </c>
      <c r="H1023" s="359">
        <f>'DRE + DCF'!$W$32</f>
        <v>81081.931703745853</v>
      </c>
      <c r="I1023" s="359">
        <f>-H1023*('DRE + DCF'!$V$33+K1023)/'DRE + DCF'!$V$33</f>
        <v>-90858.801614444121</v>
      </c>
      <c r="J1023" s="359">
        <f>-'DRE + DCF'!$V$56*L1023</f>
        <v>-1188924.4255577971</v>
      </c>
      <c r="K1023" s="360">
        <f>(1+L1023)/(1+Ke!$O$12)-1</f>
        <v>2.0000000000000018E-2</v>
      </c>
      <c r="L1023" s="360">
        <f>'DRE + DCF'!$Y$31</f>
        <v>7.3550000000000004E-2</v>
      </c>
      <c r="M1023" s="361">
        <f>(1+D1023)^((5-Dashboard!$F$9)*3/12)</f>
        <v>1.1286057540223899</v>
      </c>
      <c r="N1023" s="361">
        <f t="shared" ref="N1023:V1023" si="1042">M1023*(1+$D1023)</f>
        <v>1.3261681912640046</v>
      </c>
      <c r="O1023" s="361">
        <f t="shared" si="1042"/>
        <v>1.5583139331447633</v>
      </c>
      <c r="P1023" s="361">
        <f t="shared" si="1042"/>
        <v>1.8310967871417478</v>
      </c>
      <c r="Q1023" s="361">
        <f t="shared" si="1042"/>
        <v>2.1516302797309033</v>
      </c>
      <c r="R1023" s="361">
        <f t="shared" si="1042"/>
        <v>2.5282731601977892</v>
      </c>
      <c r="S1023" s="361">
        <f t="shared" si="1042"/>
        <v>2.970847376890402</v>
      </c>
      <c r="T1023" s="361">
        <f t="shared" si="1042"/>
        <v>3.4908942102150546</v>
      </c>
      <c r="U1023" s="361">
        <f t="shared" si="1042"/>
        <v>4.1019752417131858</v>
      </c>
      <c r="V1023" s="362">
        <f t="shared" si="1042"/>
        <v>4.8200260077750627</v>
      </c>
      <c r="X1023" s="351"/>
    </row>
    <row r="1024" spans="3:24" ht="24.75" customHeight="1" x14ac:dyDescent="0.3">
      <c r="C1024" s="353">
        <f>ABS(E1024-Dashboard!$F$14)</f>
        <v>32.982305649544045</v>
      </c>
      <c r="D1024" s="350">
        <f t="shared" si="993"/>
        <v>0.17514999999999595</v>
      </c>
      <c r="E1024" s="359" cm="1">
        <f t="array" ref="E1024">1000*SUM('DRE + DCF'!$L$36/M1024,'DRE + DCF'!$N$36:$V$36/N1024:V1024,F1024/V1024)/Dashboard!$F$11</f>
        <v>129.97230564954404</v>
      </c>
      <c r="F1024" s="359">
        <f t="shared" si="991"/>
        <v>16971128.551626995</v>
      </c>
      <c r="G1024" s="359">
        <f>'DRE + DCF'!$W$31</f>
        <v>2791623.3540418856</v>
      </c>
      <c r="H1024" s="359">
        <f>'DRE + DCF'!$W$32</f>
        <v>81081.931703745853</v>
      </c>
      <c r="I1024" s="359">
        <f>-H1024*('DRE + DCF'!$V$33+K1024)/'DRE + DCF'!$V$33</f>
        <v>-90858.801614444121</v>
      </c>
      <c r="J1024" s="359">
        <f>-'DRE + DCF'!$V$56*L1024</f>
        <v>-1188924.4255577971</v>
      </c>
      <c r="K1024" s="360">
        <f>(1+L1024)/(1+Ke!$O$12)-1</f>
        <v>2.0000000000000018E-2</v>
      </c>
      <c r="L1024" s="360">
        <f>'DRE + DCF'!$Y$31</f>
        <v>7.3550000000000004E-2</v>
      </c>
      <c r="M1024" s="361">
        <f>(1+D1024)^((5-Dashboard!$F$9)*3/12)</f>
        <v>1.1286777888559192</v>
      </c>
      <c r="N1024" s="361">
        <f t="shared" ref="N1024:V1024" si="1043">M1024*(1+$D1024)</f>
        <v>1.3263657035740288</v>
      </c>
      <c r="O1024" s="361">
        <f t="shared" si="1043"/>
        <v>1.5586786565550146</v>
      </c>
      <c r="P1024" s="361">
        <f t="shared" si="1043"/>
        <v>1.831681223250619</v>
      </c>
      <c r="Q1024" s="361">
        <f t="shared" si="1043"/>
        <v>2.1525001895029576</v>
      </c>
      <c r="R1024" s="361">
        <f t="shared" si="1043"/>
        <v>2.5295105976943919</v>
      </c>
      <c r="S1024" s="361">
        <f t="shared" si="1043"/>
        <v>2.9725543788805542</v>
      </c>
      <c r="T1024" s="361">
        <f t="shared" si="1043"/>
        <v>3.4931972783414711</v>
      </c>
      <c r="U1024" s="361">
        <f t="shared" si="1043"/>
        <v>4.1050307816429656</v>
      </c>
      <c r="V1024" s="362">
        <f t="shared" si="1043"/>
        <v>4.8240269230477146</v>
      </c>
      <c r="X1024" s="351"/>
    </row>
    <row r="1025" spans="3:24" ht="24.75" customHeight="1" x14ac:dyDescent="0.3">
      <c r="C1025" s="353">
        <f>ABS(E1025-Dashboard!$F$14)</f>
        <v>32.85230446573236</v>
      </c>
      <c r="D1025" s="350">
        <f t="shared" si="993"/>
        <v>0.17524999999999594</v>
      </c>
      <c r="E1025" s="359" cm="1">
        <f t="array" ref="E1025">1000*SUM('DRE + DCF'!$L$36/M1025,'DRE + DCF'!$N$36:$V$36/N1025:V1025,F1025/V1025)/Dashboard!$F$11</f>
        <v>129.84230446573235</v>
      </c>
      <c r="F1025" s="359">
        <f t="shared" si="991"/>
        <v>16957971.661971334</v>
      </c>
      <c r="G1025" s="359">
        <f>'DRE + DCF'!$W$31</f>
        <v>2791623.3540418856</v>
      </c>
      <c r="H1025" s="359">
        <f>'DRE + DCF'!$W$32</f>
        <v>81081.931703745853</v>
      </c>
      <c r="I1025" s="359">
        <f>-H1025*('DRE + DCF'!$V$33+K1025)/'DRE + DCF'!$V$33</f>
        <v>-90858.801614444121</v>
      </c>
      <c r="J1025" s="359">
        <f>-'DRE + DCF'!$V$56*L1025</f>
        <v>-1188924.4255577971</v>
      </c>
      <c r="K1025" s="360">
        <f>(1+L1025)/(1+Ke!$O$12)-1</f>
        <v>2.0000000000000018E-2</v>
      </c>
      <c r="L1025" s="360">
        <f>'DRE + DCF'!$Y$31</f>
        <v>7.3550000000000004E-2</v>
      </c>
      <c r="M1025" s="361">
        <f>(1+D1025)^((5-Dashboard!$F$9)*3/12)</f>
        <v>1.1287498221570045</v>
      </c>
      <c r="N1025" s="361">
        <f t="shared" ref="N1025:V1025" si="1044">M1025*(1+$D1025)</f>
        <v>1.3265632284900148</v>
      </c>
      <c r="O1025" s="361">
        <f t="shared" si="1044"/>
        <v>1.5590434342828845</v>
      </c>
      <c r="P1025" s="361">
        <f t="shared" si="1044"/>
        <v>1.8322657961409536</v>
      </c>
      <c r="Q1025" s="361">
        <f t="shared" si="1044"/>
        <v>2.1533703769146482</v>
      </c>
      <c r="R1025" s="361">
        <f t="shared" si="1044"/>
        <v>2.5307485354689314</v>
      </c>
      <c r="S1025" s="361">
        <f t="shared" si="1044"/>
        <v>2.9742622163098513</v>
      </c>
      <c r="T1025" s="361">
        <f t="shared" si="1044"/>
        <v>3.4955016697181405</v>
      </c>
      <c r="U1025" s="361">
        <f t="shared" si="1044"/>
        <v>4.1080883373362305</v>
      </c>
      <c r="V1025" s="362">
        <f t="shared" si="1044"/>
        <v>4.8280308184543879</v>
      </c>
      <c r="X1025" s="351"/>
    </row>
    <row r="1026" spans="3:24" ht="24.75" customHeight="1" x14ac:dyDescent="0.3">
      <c r="C1026" s="353">
        <f>ABS(E1026-Dashboard!$F$14)</f>
        <v>32.722531015854216</v>
      </c>
      <c r="D1026" s="350">
        <f t="shared" si="993"/>
        <v>0.17534999999999593</v>
      </c>
      <c r="E1026" s="359" cm="1">
        <f t="array" ref="E1026">1000*SUM('DRE + DCF'!$L$36/M1026,'DRE + DCF'!$N$36:$V$36/N1026:V1026,F1026/V1026)/Dashboard!$F$11</f>
        <v>129.71253101585421</v>
      </c>
      <c r="F1026" s="359">
        <f t="shared" si="991"/>
        <v>16944836.597914256</v>
      </c>
      <c r="G1026" s="359">
        <f>'DRE + DCF'!$W$31</f>
        <v>2791623.3540418856</v>
      </c>
      <c r="H1026" s="359">
        <f>'DRE + DCF'!$W$32</f>
        <v>81081.931703745853</v>
      </c>
      <c r="I1026" s="359">
        <f>-H1026*('DRE + DCF'!$V$33+K1026)/'DRE + DCF'!$V$33</f>
        <v>-90858.801614444121</v>
      </c>
      <c r="J1026" s="359">
        <f>-'DRE + DCF'!$V$56*L1026</f>
        <v>-1188924.4255577971</v>
      </c>
      <c r="K1026" s="360">
        <f>(1+L1026)/(1+Ke!$O$12)-1</f>
        <v>2.0000000000000018E-2</v>
      </c>
      <c r="L1026" s="360">
        <f>'DRE + DCF'!$Y$31</f>
        <v>7.3550000000000004E-2</v>
      </c>
      <c r="M1026" s="361">
        <f>(1+D1026)^((5-Dashboard!$F$9)*3/12)</f>
        <v>1.1288218539258086</v>
      </c>
      <c r="N1026" s="361">
        <f t="shared" ref="N1026:V1026" si="1045">M1026*(1+$D1026)</f>
        <v>1.3267607660116945</v>
      </c>
      <c r="O1026" s="361">
        <f t="shared" si="1045"/>
        <v>1.5594082663318396</v>
      </c>
      <c r="P1026" s="361">
        <f t="shared" si="1045"/>
        <v>1.8328505058331213</v>
      </c>
      <c r="Q1026" s="361">
        <f t="shared" si="1045"/>
        <v>2.1542408420309513</v>
      </c>
      <c r="R1026" s="361">
        <f t="shared" si="1045"/>
        <v>2.5319869736810698</v>
      </c>
      <c r="S1026" s="361">
        <f t="shared" si="1045"/>
        <v>2.9759708895160348</v>
      </c>
      <c r="T1026" s="361">
        <f t="shared" si="1045"/>
        <v>3.4978073849926594</v>
      </c>
      <c r="U1026" s="361">
        <f t="shared" si="1045"/>
        <v>4.1111479099511081</v>
      </c>
      <c r="V1026" s="362">
        <f t="shared" si="1045"/>
        <v>4.8320376959610183</v>
      </c>
      <c r="X1026" s="351"/>
    </row>
    <row r="1027" spans="3:24" ht="24.75" customHeight="1" x14ac:dyDescent="0.3">
      <c r="C1027" s="353">
        <f>ABS(E1027-Dashboard!$F$14)</f>
        <v>32.59298471466137</v>
      </c>
      <c r="D1027" s="350">
        <f t="shared" si="993"/>
        <v>0.17544999999999591</v>
      </c>
      <c r="E1027" s="359" cm="1">
        <f t="array" ref="E1027">1000*SUM('DRE + DCF'!$L$36/M1027,'DRE + DCF'!$N$36:$V$36/N1027:V1027,F1027/V1027)/Dashboard!$F$11</f>
        <v>129.58298471466136</v>
      </c>
      <c r="F1027" s="359">
        <f t="shared" si="991"/>
        <v>16931723.302071795</v>
      </c>
      <c r="G1027" s="359">
        <f>'DRE + DCF'!$W$31</f>
        <v>2791623.3540418856</v>
      </c>
      <c r="H1027" s="359">
        <f>'DRE + DCF'!$W$32</f>
        <v>81081.931703745853</v>
      </c>
      <c r="I1027" s="359">
        <f>-H1027*('DRE + DCF'!$V$33+K1027)/'DRE + DCF'!$V$33</f>
        <v>-90858.801614444121</v>
      </c>
      <c r="J1027" s="359">
        <f>-'DRE + DCF'!$V$56*L1027</f>
        <v>-1188924.4255577971</v>
      </c>
      <c r="K1027" s="360">
        <f>(1+L1027)/(1+Ke!$O$12)-1</f>
        <v>2.0000000000000018E-2</v>
      </c>
      <c r="L1027" s="360">
        <f>'DRE + DCF'!$Y$31</f>
        <v>7.3550000000000004E-2</v>
      </c>
      <c r="M1027" s="361">
        <f>(1+D1027)^((5-Dashboard!$F$9)*3/12)</f>
        <v>1.1288938841624945</v>
      </c>
      <c r="N1027" s="361">
        <f t="shared" ref="N1027:V1027" si="1046">M1027*(1+$D1027)</f>
        <v>1.3269583161387994</v>
      </c>
      <c r="O1027" s="361">
        <f t="shared" si="1046"/>
        <v>1.5597731527053464</v>
      </c>
      <c r="P1027" s="361">
        <f t="shared" si="1046"/>
        <v>1.8334353523474931</v>
      </c>
      <c r="Q1027" s="361">
        <f t="shared" si="1046"/>
        <v>2.1551115849168534</v>
      </c>
      <c r="R1027" s="361">
        <f t="shared" si="1046"/>
        <v>2.5332259124905065</v>
      </c>
      <c r="S1027" s="361">
        <f t="shared" si="1046"/>
        <v>2.9776803988369553</v>
      </c>
      <c r="T1027" s="361">
        <f t="shared" si="1046"/>
        <v>3.500114424812887</v>
      </c>
      <c r="U1027" s="361">
        <f t="shared" si="1046"/>
        <v>4.114209500646294</v>
      </c>
      <c r="V1027" s="362">
        <f t="shared" si="1046"/>
        <v>4.8360475575346697</v>
      </c>
      <c r="X1027" s="351"/>
    </row>
    <row r="1028" spans="3:24" ht="24.75" customHeight="1" x14ac:dyDescent="0.3">
      <c r="C1028" s="353">
        <f>ABS(E1028-Dashboard!$F$14)</f>
        <v>32.463664978958647</v>
      </c>
      <c r="D1028" s="350">
        <f t="shared" si="993"/>
        <v>0.1755499999999959</v>
      </c>
      <c r="E1028" s="359" cm="1">
        <f t="array" ref="E1028">1000*SUM('DRE + DCF'!$L$36/M1028,'DRE + DCF'!$N$36:$V$36/N1028:V1028,F1028/V1028)/Dashboard!$F$11</f>
        <v>129.45366497895864</v>
      </c>
      <c r="F1028" s="359">
        <f t="shared" si="991"/>
        <v>16918631.717269395</v>
      </c>
      <c r="G1028" s="359">
        <f>'DRE + DCF'!$W$31</f>
        <v>2791623.3540418856</v>
      </c>
      <c r="H1028" s="359">
        <f>'DRE + DCF'!$W$32</f>
        <v>81081.931703745853</v>
      </c>
      <c r="I1028" s="359">
        <f>-H1028*('DRE + DCF'!$V$33+K1028)/'DRE + DCF'!$V$33</f>
        <v>-90858.801614444121</v>
      </c>
      <c r="J1028" s="359">
        <f>-'DRE + DCF'!$V$56*L1028</f>
        <v>-1188924.4255577971</v>
      </c>
      <c r="K1028" s="360">
        <f>(1+L1028)/(1+Ke!$O$12)-1</f>
        <v>2.0000000000000018E-2</v>
      </c>
      <c r="L1028" s="360">
        <f>'DRE + DCF'!$Y$31</f>
        <v>7.3550000000000004E-2</v>
      </c>
      <c r="M1028" s="361">
        <f>(1+D1028)^((5-Dashboard!$F$9)*3/12)</f>
        <v>1.1289659128672251</v>
      </c>
      <c r="N1028" s="361">
        <f t="shared" ref="N1028:V1028" si="1047">M1028*(1+$D1028)</f>
        <v>1.3271558788710618</v>
      </c>
      <c r="O1028" s="361">
        <f t="shared" si="1047"/>
        <v>1.5601380934068712</v>
      </c>
      <c r="P1028" s="361">
        <f t="shared" si="1047"/>
        <v>1.8340203357044409</v>
      </c>
      <c r="Q1028" s="361">
        <f t="shared" si="1047"/>
        <v>2.1559826056373481</v>
      </c>
      <c r="R1028" s="361">
        <f t="shared" si="1047"/>
        <v>2.5344653520569755</v>
      </c>
      <c r="S1028" s="361">
        <f t="shared" si="1047"/>
        <v>2.979390744610567</v>
      </c>
      <c r="T1028" s="361">
        <f t="shared" si="1047"/>
        <v>3.5024227898269396</v>
      </c>
      <c r="U1028" s="361">
        <f t="shared" si="1047"/>
        <v>4.1172731105810447</v>
      </c>
      <c r="V1028" s="362">
        <f t="shared" si="1047"/>
        <v>4.8400604051435305</v>
      </c>
      <c r="X1028" s="351"/>
    </row>
    <row r="1029" spans="3:24" ht="24.75" customHeight="1" x14ac:dyDescent="0.3">
      <c r="C1029" s="353">
        <f>ABS(E1029-Dashboard!$F$14)</f>
        <v>32.334571227593884</v>
      </c>
      <c r="D1029" s="350">
        <f t="shared" si="993"/>
        <v>0.17564999999999589</v>
      </c>
      <c r="E1029" s="359" cm="1">
        <f t="array" ref="E1029">1000*SUM('DRE + DCF'!$L$36/M1029,'DRE + DCF'!$N$36:$V$36/N1029:V1029,F1029/V1029)/Dashboard!$F$11</f>
        <v>129.32457122759388</v>
      </c>
      <c r="F1029" s="359">
        <f t="shared" si="991"/>
        <v>16905561.786540892</v>
      </c>
      <c r="G1029" s="359">
        <f>'DRE + DCF'!$W$31</f>
        <v>2791623.3540418856</v>
      </c>
      <c r="H1029" s="359">
        <f>'DRE + DCF'!$W$32</f>
        <v>81081.931703745853</v>
      </c>
      <c r="I1029" s="359">
        <f>-H1029*('DRE + DCF'!$V$33+K1029)/'DRE + DCF'!$V$33</f>
        <v>-90858.801614444121</v>
      </c>
      <c r="J1029" s="359">
        <f>-'DRE + DCF'!$V$56*L1029</f>
        <v>-1188924.4255577971</v>
      </c>
      <c r="K1029" s="360">
        <f>(1+L1029)/(1+Ke!$O$12)-1</f>
        <v>2.0000000000000018E-2</v>
      </c>
      <c r="L1029" s="360">
        <f>'DRE + DCF'!$Y$31</f>
        <v>7.3550000000000004E-2</v>
      </c>
      <c r="M1029" s="361">
        <f>(1+D1029)^((5-Dashboard!$F$9)*3/12)</f>
        <v>1.1290379400401636</v>
      </c>
      <c r="N1029" s="361">
        <f t="shared" ref="N1029:V1029" si="1048">M1029*(1+$D1029)</f>
        <v>1.3273534542082137</v>
      </c>
      <c r="O1029" s="361">
        <f t="shared" si="1048"/>
        <v>1.5605030884398809</v>
      </c>
      <c r="P1029" s="361">
        <f t="shared" si="1048"/>
        <v>1.8346054559243397</v>
      </c>
      <c r="Q1029" s="361">
        <f t="shared" si="1048"/>
        <v>2.1568539042574422</v>
      </c>
      <c r="R1029" s="361">
        <f t="shared" si="1048"/>
        <v>2.535705292540253</v>
      </c>
      <c r="S1029" s="361">
        <f t="shared" si="1048"/>
        <v>2.9811019271749379</v>
      </c>
      <c r="T1029" s="361">
        <f t="shared" si="1048"/>
        <v>3.5047324806832036</v>
      </c>
      <c r="U1029" s="361">
        <f t="shared" si="1048"/>
        <v>4.1203387409151935</v>
      </c>
      <c r="V1029" s="362">
        <f t="shared" si="1048"/>
        <v>4.8440762407569302</v>
      </c>
      <c r="X1029" s="351"/>
    </row>
    <row r="1030" spans="3:24" ht="24.75" customHeight="1" x14ac:dyDescent="0.3">
      <c r="C1030" s="353">
        <f>ABS(E1030-Dashboard!$F$14)</f>
        <v>32.205702881449568</v>
      </c>
      <c r="D1030" s="350">
        <f t="shared" si="993"/>
        <v>0.17574999999999588</v>
      </c>
      <c r="E1030" s="359" cm="1">
        <f t="array" ref="E1030">1000*SUM('DRE + DCF'!$L$36/M1030,'DRE + DCF'!$N$36:$V$36/N1030:V1030,F1030/V1030)/Dashboard!$F$11</f>
        <v>129.19570288144956</v>
      </c>
      <c r="F1030" s="359">
        <f t="shared" si="991"/>
        <v>16892513.453127574</v>
      </c>
      <c r="G1030" s="359">
        <f>'DRE + DCF'!$W$31</f>
        <v>2791623.3540418856</v>
      </c>
      <c r="H1030" s="359">
        <f>'DRE + DCF'!$W$32</f>
        <v>81081.931703745853</v>
      </c>
      <c r="I1030" s="359">
        <f>-H1030*('DRE + DCF'!$V$33+K1030)/'DRE + DCF'!$V$33</f>
        <v>-90858.801614444121</v>
      </c>
      <c r="J1030" s="359">
        <f>-'DRE + DCF'!$V$56*L1030</f>
        <v>-1188924.4255577971</v>
      </c>
      <c r="K1030" s="360">
        <f>(1+L1030)/(1+Ke!$O$12)-1</f>
        <v>2.0000000000000018E-2</v>
      </c>
      <c r="L1030" s="360">
        <f>'DRE + DCF'!$Y$31</f>
        <v>7.3550000000000004E-2</v>
      </c>
      <c r="M1030" s="361">
        <f>(1+D1030)^((5-Dashboard!$F$9)*3/12)</f>
        <v>1.1291099656814725</v>
      </c>
      <c r="N1030" s="361">
        <f t="shared" ref="N1030:V1030" si="1049">M1030*(1+$D1030)</f>
        <v>1.3275510421499865</v>
      </c>
      <c r="O1030" s="361">
        <f t="shared" si="1049"/>
        <v>1.5608681378078411</v>
      </c>
      <c r="P1030" s="361">
        <f t="shared" si="1049"/>
        <v>1.8351907130275626</v>
      </c>
      <c r="Q1030" s="361">
        <f t="shared" si="1049"/>
        <v>2.1577254808421493</v>
      </c>
      <c r="R1030" s="361">
        <f t="shared" si="1049"/>
        <v>2.536945734100148</v>
      </c>
      <c r="S1030" s="361">
        <f t="shared" si="1049"/>
        <v>2.9828139468682386</v>
      </c>
      <c r="T1030" s="361">
        <f t="shared" si="1049"/>
        <v>3.5070434980303191</v>
      </c>
      <c r="U1030" s="361">
        <f t="shared" si="1049"/>
        <v>4.1234063928091329</v>
      </c>
      <c r="V1030" s="362">
        <f t="shared" si="1049"/>
        <v>4.8480950663453211</v>
      </c>
      <c r="X1030" s="351"/>
    </row>
    <row r="1031" spans="3:24" ht="24.75" customHeight="1" x14ac:dyDescent="0.3">
      <c r="C1031" s="353">
        <f>ABS(E1031-Dashboard!$F$14)</f>
        <v>32.077059363433037</v>
      </c>
      <c r="D1031" s="350">
        <f t="shared" si="993"/>
        <v>0.17584999999999587</v>
      </c>
      <c r="E1031" s="359" cm="1">
        <f t="array" ref="E1031">1000*SUM('DRE + DCF'!$L$36/M1031,'DRE + DCF'!$N$36:$V$36/N1031:V1031,F1031/V1031)/Dashboard!$F$11</f>
        <v>129.06705936343303</v>
      </c>
      <c r="F1031" s="359">
        <f t="shared" si="991"/>
        <v>16879486.660477184</v>
      </c>
      <c r="G1031" s="359">
        <f>'DRE + DCF'!$W$31</f>
        <v>2791623.3540418856</v>
      </c>
      <c r="H1031" s="359">
        <f>'DRE + DCF'!$W$32</f>
        <v>81081.931703745853</v>
      </c>
      <c r="I1031" s="359">
        <f>-H1031*('DRE + DCF'!$V$33+K1031)/'DRE + DCF'!$V$33</f>
        <v>-90858.801614444121</v>
      </c>
      <c r="J1031" s="359">
        <f>-'DRE + DCF'!$V$56*L1031</f>
        <v>-1188924.4255577971</v>
      </c>
      <c r="K1031" s="360">
        <f>(1+L1031)/(1+Ke!$O$12)-1</f>
        <v>2.0000000000000018E-2</v>
      </c>
      <c r="L1031" s="360">
        <f>'DRE + DCF'!$Y$31</f>
        <v>7.3550000000000004E-2</v>
      </c>
      <c r="M1031" s="361">
        <f>(1+D1031)^((5-Dashboard!$F$9)*3/12)</f>
        <v>1.1291819897913147</v>
      </c>
      <c r="N1031" s="361">
        <f t="shared" ref="N1031:V1031" si="1050">M1031*(1+$D1031)</f>
        <v>1.3277486426961127</v>
      </c>
      <c r="O1031" s="361">
        <f t="shared" si="1050"/>
        <v>1.5612332415142185</v>
      </c>
      <c r="P1031" s="361">
        <f t="shared" si="1050"/>
        <v>1.8357761070344873</v>
      </c>
      <c r="Q1031" s="361">
        <f t="shared" si="1050"/>
        <v>2.1585973354564945</v>
      </c>
      <c r="R1031" s="361">
        <f t="shared" si="1050"/>
        <v>2.53818667689651</v>
      </c>
      <c r="S1031" s="361">
        <f t="shared" si="1050"/>
        <v>2.9845268040287509</v>
      </c>
      <c r="T1031" s="361">
        <f t="shared" si="1050"/>
        <v>3.5093558425171945</v>
      </c>
      <c r="U1031" s="361">
        <f t="shared" si="1050"/>
        <v>4.1264760674238286</v>
      </c>
      <c r="V1031" s="362">
        <f t="shared" si="1050"/>
        <v>4.8521168838802913</v>
      </c>
      <c r="X1031" s="351"/>
    </row>
    <row r="1032" spans="3:24" ht="24.75" customHeight="1" x14ac:dyDescent="0.3">
      <c r="C1032" s="353">
        <f>ABS(E1032-Dashboard!$F$14)</f>
        <v>31.948640098467635</v>
      </c>
      <c r="D1032" s="350">
        <f t="shared" si="993"/>
        <v>0.17594999999999586</v>
      </c>
      <c r="E1032" s="359" cm="1">
        <f t="array" ref="E1032">1000*SUM('DRE + DCF'!$L$36/M1032,'DRE + DCF'!$N$36:$V$36/N1032:V1032,F1032/V1032)/Dashboard!$F$11</f>
        <v>128.93864009846763</v>
      </c>
      <c r="F1032" s="359">
        <f t="shared" si="991"/>
        <v>16866481.352242969</v>
      </c>
      <c r="G1032" s="359">
        <f>'DRE + DCF'!$W$31</f>
        <v>2791623.3540418856</v>
      </c>
      <c r="H1032" s="359">
        <f>'DRE + DCF'!$W$32</f>
        <v>81081.931703745853</v>
      </c>
      <c r="I1032" s="359">
        <f>-H1032*('DRE + DCF'!$V$33+K1032)/'DRE + DCF'!$V$33</f>
        <v>-90858.801614444121</v>
      </c>
      <c r="J1032" s="359">
        <f>-'DRE + DCF'!$V$56*L1032</f>
        <v>-1188924.4255577971</v>
      </c>
      <c r="K1032" s="360">
        <f>(1+L1032)/(1+Ke!$O$12)-1</f>
        <v>2.0000000000000018E-2</v>
      </c>
      <c r="L1032" s="360">
        <f>'DRE + DCF'!$Y$31</f>
        <v>7.3550000000000004E-2</v>
      </c>
      <c r="M1032" s="361">
        <f>(1+D1032)^((5-Dashboard!$F$9)*3/12)</f>
        <v>1.1292540123698531</v>
      </c>
      <c r="N1032" s="361">
        <f t="shared" ref="N1032:V1032" si="1051">M1032*(1+$D1032)</f>
        <v>1.327946255846324</v>
      </c>
      <c r="O1032" s="361">
        <f t="shared" si="1051"/>
        <v>1.5615983995624791</v>
      </c>
      <c r="P1032" s="361">
        <f t="shared" si="1051"/>
        <v>1.8363616379654908</v>
      </c>
      <c r="Q1032" s="361">
        <f t="shared" si="1051"/>
        <v>2.1594694681655113</v>
      </c>
      <c r="R1032" s="361">
        <f t="shared" si="1051"/>
        <v>2.539428121089224</v>
      </c>
      <c r="S1032" s="361">
        <f t="shared" si="1051"/>
        <v>2.9862404989948623</v>
      </c>
      <c r="T1032" s="361">
        <f t="shared" si="1051"/>
        <v>3.5116695147929957</v>
      </c>
      <c r="U1032" s="361">
        <f t="shared" si="1051"/>
        <v>4.1295477659208091</v>
      </c>
      <c r="V1032" s="362">
        <f t="shared" si="1051"/>
        <v>4.856141695334558</v>
      </c>
      <c r="X1032" s="351"/>
    </row>
    <row r="1033" spans="3:24" ht="24.75" customHeight="1" x14ac:dyDescent="0.3">
      <c r="C1033" s="353">
        <f>ABS(E1033-Dashboard!$F$14)</f>
        <v>31.820444513483423</v>
      </c>
      <c r="D1033" s="350">
        <f t="shared" si="993"/>
        <v>0.17604999999999585</v>
      </c>
      <c r="E1033" s="359" cm="1">
        <f t="array" ref="E1033">1000*SUM('DRE + DCF'!$L$36/M1033,'DRE + DCF'!$N$36:$V$36/N1033:V1033,F1033/V1033)/Dashboard!$F$11</f>
        <v>128.81044451348342</v>
      </c>
      <c r="F1033" s="359">
        <f t="shared" si="991"/>
        <v>16853497.47228273</v>
      </c>
      <c r="G1033" s="359">
        <f>'DRE + DCF'!$W$31</f>
        <v>2791623.3540418856</v>
      </c>
      <c r="H1033" s="359">
        <f>'DRE + DCF'!$W$32</f>
        <v>81081.931703745853</v>
      </c>
      <c r="I1033" s="359">
        <f>-H1033*('DRE + DCF'!$V$33+K1033)/'DRE + DCF'!$V$33</f>
        <v>-90858.801614444121</v>
      </c>
      <c r="J1033" s="359">
        <f>-'DRE + DCF'!$V$56*L1033</f>
        <v>-1188924.4255577971</v>
      </c>
      <c r="K1033" s="360">
        <f>(1+L1033)/(1+Ke!$O$12)-1</f>
        <v>2.0000000000000018E-2</v>
      </c>
      <c r="L1033" s="360">
        <f>'DRE + DCF'!$Y$31</f>
        <v>7.3550000000000004E-2</v>
      </c>
      <c r="M1033" s="361">
        <f>(1+D1033)^((5-Dashboard!$F$9)*3/12)</f>
        <v>1.1293260334172506</v>
      </c>
      <c r="N1033" s="361">
        <f t="shared" ref="N1033:V1033" si="1052">M1033*(1+$D1033)</f>
        <v>1.3281438816003528</v>
      </c>
      <c r="O1033" s="361">
        <f t="shared" si="1052"/>
        <v>1.5619636119560893</v>
      </c>
      <c r="P1033" s="361">
        <f t="shared" si="1052"/>
        <v>1.8369473058409524</v>
      </c>
      <c r="Q1033" s="361">
        <f t="shared" si="1052"/>
        <v>2.1603418790342444</v>
      </c>
      <c r="R1033" s="361">
        <f t="shared" si="1052"/>
        <v>2.5406700668382141</v>
      </c>
      <c r="S1033" s="361">
        <f t="shared" si="1052"/>
        <v>2.987955032105071</v>
      </c>
      <c r="T1033" s="361">
        <f t="shared" si="1052"/>
        <v>3.5139845155071563</v>
      </c>
      <c r="U1033" s="361">
        <f t="shared" si="1052"/>
        <v>4.1326214894621769</v>
      </c>
      <c r="V1033" s="362">
        <f t="shared" si="1052"/>
        <v>4.860169502681976</v>
      </c>
      <c r="X1033" s="351"/>
    </row>
    <row r="1034" spans="3:24" ht="24.75" customHeight="1" x14ac:dyDescent="0.3">
      <c r="C1034" s="353">
        <f>ABS(E1034-Dashboard!$F$14)</f>
        <v>31.692472037408365</v>
      </c>
      <c r="D1034" s="350">
        <f t="shared" si="993"/>
        <v>0.17614999999999584</v>
      </c>
      <c r="E1034" s="359" cm="1">
        <f t="array" ref="E1034">1000*SUM('DRE + DCF'!$L$36/M1034,'DRE + DCF'!$N$36:$V$36/N1034:V1034,F1034/V1034)/Dashboard!$F$11</f>
        <v>128.68247203740836</v>
      </c>
      <c r="F1034" s="359">
        <f t="shared" si="991"/>
        <v>16840534.964657843</v>
      </c>
      <c r="G1034" s="359">
        <f>'DRE + DCF'!$W$31</f>
        <v>2791623.3540418856</v>
      </c>
      <c r="H1034" s="359">
        <f>'DRE + DCF'!$W$32</f>
        <v>81081.931703745853</v>
      </c>
      <c r="I1034" s="359">
        <f>-H1034*('DRE + DCF'!$V$33+K1034)/'DRE + DCF'!$V$33</f>
        <v>-90858.801614444121</v>
      </c>
      <c r="J1034" s="359">
        <f>-'DRE + DCF'!$V$56*L1034</f>
        <v>-1188924.4255577971</v>
      </c>
      <c r="K1034" s="360">
        <f>(1+L1034)/(1+Ke!$O$12)-1</f>
        <v>2.0000000000000018E-2</v>
      </c>
      <c r="L1034" s="360">
        <f>'DRE + DCF'!$Y$31</f>
        <v>7.3550000000000004E-2</v>
      </c>
      <c r="M1034" s="361">
        <f>(1+D1034)^((5-Dashboard!$F$9)*3/12)</f>
        <v>1.1293980529336696</v>
      </c>
      <c r="N1034" s="361">
        <f t="shared" ref="N1034:V1034" si="1053">M1034*(1+$D1034)</f>
        <v>1.3283415199579307</v>
      </c>
      <c r="O1034" s="361">
        <f t="shared" si="1053"/>
        <v>1.5623288786985146</v>
      </c>
      <c r="P1034" s="361">
        <f t="shared" si="1053"/>
        <v>1.8375331106812514</v>
      </c>
      <c r="Q1034" s="361">
        <f t="shared" si="1053"/>
        <v>2.1612145681277459</v>
      </c>
      <c r="R1034" s="361">
        <f t="shared" si="1053"/>
        <v>2.5419125143034393</v>
      </c>
      <c r="S1034" s="361">
        <f t="shared" si="1053"/>
        <v>2.9896704036979793</v>
      </c>
      <c r="T1034" s="361">
        <f t="shared" si="1053"/>
        <v>3.5163008453093658</v>
      </c>
      <c r="U1034" s="361">
        <f t="shared" si="1053"/>
        <v>4.1356972392105957</v>
      </c>
      <c r="V1034" s="362">
        <f t="shared" si="1053"/>
        <v>4.8642003078975247</v>
      </c>
      <c r="X1034" s="351"/>
    </row>
    <row r="1035" spans="3:24" ht="24.75" customHeight="1" x14ac:dyDescent="0.3">
      <c r="C1035" s="353">
        <f>ABS(E1035-Dashboard!$F$14)</f>
        <v>31.564722101159035</v>
      </c>
      <c r="D1035" s="350">
        <f t="shared" si="993"/>
        <v>0.17624999999999583</v>
      </c>
      <c r="E1035" s="359" cm="1">
        <f t="array" ref="E1035">1000*SUM('DRE + DCF'!$L$36/M1035,'DRE + DCF'!$N$36:$V$36/N1035:V1035,F1035/V1035)/Dashboard!$F$11</f>
        <v>128.55472210115903</v>
      </c>
      <c r="F1035" s="359">
        <f t="shared" si="991"/>
        <v>16827593.77363234</v>
      </c>
      <c r="G1035" s="359">
        <f>'DRE + DCF'!$W$31</f>
        <v>2791623.3540418856</v>
      </c>
      <c r="H1035" s="359">
        <f>'DRE + DCF'!$W$32</f>
        <v>81081.931703745853</v>
      </c>
      <c r="I1035" s="359">
        <f>-H1035*('DRE + DCF'!$V$33+K1035)/'DRE + DCF'!$V$33</f>
        <v>-90858.801614444121</v>
      </c>
      <c r="J1035" s="359">
        <f>-'DRE + DCF'!$V$56*L1035</f>
        <v>-1188924.4255577971</v>
      </c>
      <c r="K1035" s="360">
        <f>(1+L1035)/(1+Ke!$O$12)-1</f>
        <v>2.0000000000000018E-2</v>
      </c>
      <c r="L1035" s="360">
        <f>'DRE + DCF'!$Y$31</f>
        <v>7.3550000000000004E-2</v>
      </c>
      <c r="M1035" s="361">
        <f>(1+D1035)^((5-Dashboard!$F$9)*3/12)</f>
        <v>1.1294700709192731</v>
      </c>
      <c r="N1035" s="361">
        <f t="shared" ref="N1035:V1035" si="1054">M1035*(1+$D1035)</f>
        <v>1.3285391709187901</v>
      </c>
      <c r="O1035" s="361">
        <f t="shared" si="1054"/>
        <v>1.5626941997932213</v>
      </c>
      <c r="P1035" s="361">
        <f t="shared" si="1054"/>
        <v>1.8381190525067701</v>
      </c>
      <c r="Q1035" s="361">
        <f t="shared" si="1054"/>
        <v>2.1620875355110805</v>
      </c>
      <c r="R1035" s="361">
        <f t="shared" si="1054"/>
        <v>2.5431554636448994</v>
      </c>
      <c r="S1035" s="361">
        <f t="shared" si="1054"/>
        <v>2.9913866141123022</v>
      </c>
      <c r="T1035" s="361">
        <f t="shared" si="1054"/>
        <v>3.5186185048495831</v>
      </c>
      <c r="U1035" s="361">
        <f t="shared" si="1054"/>
        <v>4.1387750163293076</v>
      </c>
      <c r="V1035" s="362">
        <f t="shared" si="1054"/>
        <v>4.8682341129573308</v>
      </c>
      <c r="X1035" s="351"/>
    </row>
    <row r="1036" spans="3:24" ht="24.75" customHeight="1" x14ac:dyDescent="0.3">
      <c r="C1036" s="353">
        <f>ABS(E1036-Dashboard!$F$14)</f>
        <v>31.43719413763192</v>
      </c>
      <c r="D1036" s="350">
        <f t="shared" si="993"/>
        <v>0.17634999999999582</v>
      </c>
      <c r="E1036" s="359" cm="1">
        <f t="array" ref="E1036">1000*SUM('DRE + DCF'!$L$36/M1036,'DRE + DCF'!$N$36:$V$36/N1036:V1036,F1036/V1036)/Dashboard!$F$11</f>
        <v>128.42719413763191</v>
      </c>
      <c r="F1036" s="359">
        <f t="shared" si="991"/>
        <v>16814673.843671937</v>
      </c>
      <c r="G1036" s="359">
        <f>'DRE + DCF'!$W$31</f>
        <v>2791623.3540418856</v>
      </c>
      <c r="H1036" s="359">
        <f>'DRE + DCF'!$W$32</f>
        <v>81081.931703745853</v>
      </c>
      <c r="I1036" s="359">
        <f>-H1036*('DRE + DCF'!$V$33+K1036)/'DRE + DCF'!$V$33</f>
        <v>-90858.801614444121</v>
      </c>
      <c r="J1036" s="359">
        <f>-'DRE + DCF'!$V$56*L1036</f>
        <v>-1188924.4255577971</v>
      </c>
      <c r="K1036" s="360">
        <f>(1+L1036)/(1+Ke!$O$12)-1</f>
        <v>2.0000000000000018E-2</v>
      </c>
      <c r="L1036" s="360">
        <f>'DRE + DCF'!$Y$31</f>
        <v>7.3550000000000004E-2</v>
      </c>
      <c r="M1036" s="361">
        <f>(1+D1036)^((5-Dashboard!$F$9)*3/12)</f>
        <v>1.1295420873742237</v>
      </c>
      <c r="N1036" s="361">
        <f t="shared" ref="N1036:V1036" si="1055">M1036*(1+$D1036)</f>
        <v>1.3287368344826633</v>
      </c>
      <c r="O1036" s="361">
        <f t="shared" si="1055"/>
        <v>1.5630595752436753</v>
      </c>
      <c r="P1036" s="361">
        <f t="shared" si="1055"/>
        <v>1.8387051313378908</v>
      </c>
      <c r="Q1036" s="361">
        <f t="shared" si="1055"/>
        <v>2.1629607812493203</v>
      </c>
      <c r="R1036" s="361">
        <f t="shared" si="1055"/>
        <v>2.5443989150226289</v>
      </c>
      <c r="S1036" s="361">
        <f t="shared" si="1055"/>
        <v>2.9931036636868589</v>
      </c>
      <c r="T1036" s="361">
        <f t="shared" si="1055"/>
        <v>3.5209374947780239</v>
      </c>
      <c r="U1036" s="361">
        <f t="shared" si="1055"/>
        <v>4.1418548219821139</v>
      </c>
      <c r="V1036" s="362">
        <f t="shared" si="1055"/>
        <v>4.872270919838642</v>
      </c>
      <c r="X1036" s="351"/>
    </row>
    <row r="1037" spans="3:24" ht="24.75" customHeight="1" x14ac:dyDescent="0.3">
      <c r="C1037" s="353">
        <f>ABS(E1037-Dashboard!$F$14)</f>
        <v>31.309887581694554</v>
      </c>
      <c r="D1037" s="350">
        <f t="shared" si="993"/>
        <v>0.1764499999999958</v>
      </c>
      <c r="E1037" s="359" cm="1">
        <f t="array" ref="E1037">1000*SUM('DRE + DCF'!$L$36/M1037,'DRE + DCF'!$N$36:$V$36/N1037:V1037,F1037/V1037)/Dashboard!$F$11</f>
        <v>128.29988758169455</v>
      </c>
      <c r="F1037" s="359">
        <f t="shared" si="991"/>
        <v>16801775.119443126</v>
      </c>
      <c r="G1037" s="359">
        <f>'DRE + DCF'!$W$31</f>
        <v>2791623.3540418856</v>
      </c>
      <c r="H1037" s="359">
        <f>'DRE + DCF'!$W$32</f>
        <v>81081.931703745853</v>
      </c>
      <c r="I1037" s="359">
        <f>-H1037*('DRE + DCF'!$V$33+K1037)/'DRE + DCF'!$V$33</f>
        <v>-90858.801614444121</v>
      </c>
      <c r="J1037" s="359">
        <f>-'DRE + DCF'!$V$56*L1037</f>
        <v>-1188924.4255577971</v>
      </c>
      <c r="K1037" s="360">
        <f>(1+L1037)/(1+Ke!$O$12)-1</f>
        <v>2.0000000000000018E-2</v>
      </c>
      <c r="L1037" s="360">
        <f>'DRE + DCF'!$Y$31</f>
        <v>7.3550000000000004E-2</v>
      </c>
      <c r="M1037" s="361">
        <f>(1+D1037)^((5-Dashboard!$F$9)*3/12)</f>
        <v>1.1296141022986839</v>
      </c>
      <c r="N1037" s="361">
        <f t="shared" ref="N1037:V1037" si="1056">M1037*(1+$D1037)</f>
        <v>1.3289345106492818</v>
      </c>
      <c r="O1037" s="361">
        <f t="shared" si="1056"/>
        <v>1.563425005053342</v>
      </c>
      <c r="P1037" s="361">
        <f t="shared" si="1056"/>
        <v>1.8392913471949977</v>
      </c>
      <c r="Q1037" s="361">
        <f t="shared" si="1056"/>
        <v>2.1638343054075473</v>
      </c>
      <c r="R1037" s="361">
        <f t="shared" si="1056"/>
        <v>2.5456428685966999</v>
      </c>
      <c r="S1037" s="361">
        <f t="shared" si="1056"/>
        <v>2.9948215527605768</v>
      </c>
      <c r="T1037" s="361">
        <f t="shared" si="1056"/>
        <v>3.5232578157451679</v>
      </c>
      <c r="U1037" s="361">
        <f t="shared" si="1056"/>
        <v>4.1449366573333881</v>
      </c>
      <c r="V1037" s="362">
        <f t="shared" si="1056"/>
        <v>4.8763107305198465</v>
      </c>
      <c r="X1037" s="351"/>
    </row>
    <row r="1038" spans="3:24" ht="24.75" customHeight="1" x14ac:dyDescent="0.3">
      <c r="C1038" s="353">
        <f>ABS(E1038-Dashboard!$F$14)</f>
        <v>31.182801870176363</v>
      </c>
      <c r="D1038" s="350">
        <f t="shared" si="993"/>
        <v>0.17654999999999579</v>
      </c>
      <c r="E1038" s="359" cm="1">
        <f t="array" ref="E1038">1000*SUM('DRE + DCF'!$L$36/M1038,'DRE + DCF'!$N$36:$V$36/N1038:V1038,F1038/V1038)/Dashboard!$F$11</f>
        <v>128.17280187017636</v>
      </c>
      <c r="F1038" s="359">
        <f t="shared" ref="F1038:F1101" si="1057">AVERAGE(SUM(G1038:J1038)*(1+L1038)/(D1038-L1038),G1038*(1+L1038)*(1-L1038/D1038)/(D1038-L1038))</f>
        <v>16788897.545812227</v>
      </c>
      <c r="G1038" s="359">
        <f>'DRE + DCF'!$W$31</f>
        <v>2791623.3540418856</v>
      </c>
      <c r="H1038" s="359">
        <f>'DRE + DCF'!$W$32</f>
        <v>81081.931703745853</v>
      </c>
      <c r="I1038" s="359">
        <f>-H1038*('DRE + DCF'!$V$33+K1038)/'DRE + DCF'!$V$33</f>
        <v>-90858.801614444121</v>
      </c>
      <c r="J1038" s="359">
        <f>-'DRE + DCF'!$V$56*L1038</f>
        <v>-1188924.4255577971</v>
      </c>
      <c r="K1038" s="360">
        <f>(1+L1038)/(1+Ke!$O$12)-1</f>
        <v>2.0000000000000018E-2</v>
      </c>
      <c r="L1038" s="360">
        <f>'DRE + DCF'!$Y$31</f>
        <v>7.3550000000000004E-2</v>
      </c>
      <c r="M1038" s="361">
        <f>(1+D1038)^((5-Dashboard!$F$9)*3/12)</f>
        <v>1.1296861156928164</v>
      </c>
      <c r="N1038" s="361">
        <f t="shared" ref="N1038:V1038" si="1058">M1038*(1+$D1038)</f>
        <v>1.3291321994183785</v>
      </c>
      <c r="O1038" s="361">
        <f t="shared" si="1058"/>
        <v>1.5637904892256875</v>
      </c>
      <c r="P1038" s="361">
        <f t="shared" si="1058"/>
        <v>1.8398777000984761</v>
      </c>
      <c r="Q1038" s="361">
        <f t="shared" si="1058"/>
        <v>2.1647081080508541</v>
      </c>
      <c r="R1038" s="361">
        <f t="shared" si="1058"/>
        <v>2.5468873245272232</v>
      </c>
      <c r="S1038" s="361">
        <f t="shared" si="1058"/>
        <v>2.9965402816724938</v>
      </c>
      <c r="T1038" s="361">
        <f t="shared" si="1058"/>
        <v>3.5255794684017596</v>
      </c>
      <c r="U1038" s="361">
        <f t="shared" si="1058"/>
        <v>4.1480205235480749</v>
      </c>
      <c r="V1038" s="362">
        <f t="shared" si="1058"/>
        <v>4.8803535469804702</v>
      </c>
      <c r="X1038" s="351"/>
    </row>
    <row r="1039" spans="3:24" ht="24.75" customHeight="1" x14ac:dyDescent="0.3">
      <c r="C1039" s="353">
        <f>ABS(E1039-Dashboard!$F$14)</f>
        <v>31.055936441860197</v>
      </c>
      <c r="D1039" s="350">
        <f t="shared" ref="D1039:D1102" si="1059">D1038+0.0001</f>
        <v>0.17664999999999578</v>
      </c>
      <c r="E1039" s="359" cm="1">
        <f t="array" ref="E1039">1000*SUM('DRE + DCF'!$L$36/M1039,'DRE + DCF'!$N$36:$V$36/N1039:V1039,F1039/V1039)/Dashboard!$F$11</f>
        <v>128.04593644186019</v>
      </c>
      <c r="F1039" s="359">
        <f t="shared" si="1057"/>
        <v>16776041.067844458</v>
      </c>
      <c r="G1039" s="359">
        <f>'DRE + DCF'!$W$31</f>
        <v>2791623.3540418856</v>
      </c>
      <c r="H1039" s="359">
        <f>'DRE + DCF'!$W$32</f>
        <v>81081.931703745853</v>
      </c>
      <c r="I1039" s="359">
        <f>-H1039*('DRE + DCF'!$V$33+K1039)/'DRE + DCF'!$V$33</f>
        <v>-90858.801614444121</v>
      </c>
      <c r="J1039" s="359">
        <f>-'DRE + DCF'!$V$56*L1039</f>
        <v>-1188924.4255577971</v>
      </c>
      <c r="K1039" s="360">
        <f>(1+L1039)/(1+Ke!$O$12)-1</f>
        <v>2.0000000000000018E-2</v>
      </c>
      <c r="L1039" s="360">
        <f>'DRE + DCF'!$Y$31</f>
        <v>7.3550000000000004E-2</v>
      </c>
      <c r="M1039" s="361">
        <f>(1+D1039)^((5-Dashboard!$F$9)*3/12)</f>
        <v>1.1297581275567841</v>
      </c>
      <c r="N1039" s="361">
        <f t="shared" ref="N1039:V1039" si="1060">M1039*(1+$D1039)</f>
        <v>1.3293299007896853</v>
      </c>
      <c r="O1039" s="361">
        <f t="shared" si="1060"/>
        <v>1.5641560277641775</v>
      </c>
      <c r="P1039" s="361">
        <f t="shared" si="1060"/>
        <v>1.8404641900687129</v>
      </c>
      <c r="Q1039" s="361">
        <f t="shared" si="1060"/>
        <v>2.165582189244343</v>
      </c>
      <c r="R1039" s="361">
        <f t="shared" si="1060"/>
        <v>2.5481322829743469</v>
      </c>
      <c r="S1039" s="361">
        <f t="shared" si="1060"/>
        <v>2.9982598507617544</v>
      </c>
      <c r="T1039" s="361">
        <f t="shared" si="1060"/>
        <v>3.5279024533988057</v>
      </c>
      <c r="U1039" s="361">
        <f t="shared" si="1060"/>
        <v>4.15110642179169</v>
      </c>
      <c r="V1039" s="362">
        <f t="shared" si="1060"/>
        <v>4.884399371201174</v>
      </c>
      <c r="X1039" s="351"/>
    </row>
    <row r="1040" spans="3:24" ht="24.75" customHeight="1" x14ac:dyDescent="0.3">
      <c r="C1040" s="353">
        <f>ABS(E1040-Dashboard!$F$14)</f>
        <v>30.929290737473437</v>
      </c>
      <c r="D1040" s="350">
        <f t="shared" si="1059"/>
        <v>0.17674999999999577</v>
      </c>
      <c r="E1040" s="359" cm="1">
        <f t="array" ref="E1040">1000*SUM('DRE + DCF'!$L$36/M1040,'DRE + DCF'!$N$36:$V$36/N1040:V1040,F1040/V1040)/Dashboard!$F$11</f>
        <v>127.91929073747343</v>
      </c>
      <c r="F1040" s="359">
        <f t="shared" si="1057"/>
        <v>16763205.630803026</v>
      </c>
      <c r="G1040" s="359">
        <f>'DRE + DCF'!$W$31</f>
        <v>2791623.3540418856</v>
      </c>
      <c r="H1040" s="359">
        <f>'DRE + DCF'!$W$32</f>
        <v>81081.931703745853</v>
      </c>
      <c r="I1040" s="359">
        <f>-H1040*('DRE + DCF'!$V$33+K1040)/'DRE + DCF'!$V$33</f>
        <v>-90858.801614444121</v>
      </c>
      <c r="J1040" s="359">
        <f>-'DRE + DCF'!$V$56*L1040</f>
        <v>-1188924.4255577971</v>
      </c>
      <c r="K1040" s="360">
        <f>(1+L1040)/(1+Ke!$O$12)-1</f>
        <v>2.0000000000000018E-2</v>
      </c>
      <c r="L1040" s="360">
        <f>'DRE + DCF'!$Y$31</f>
        <v>7.3550000000000004E-2</v>
      </c>
      <c r="M1040" s="361">
        <f>(1+D1040)^((5-Dashboard!$F$9)*3/12)</f>
        <v>1.1298301378907489</v>
      </c>
      <c r="N1040" s="361">
        <f t="shared" ref="N1040:V1040" si="1061">M1040*(1+$D1040)</f>
        <v>1.329527614762934</v>
      </c>
      <c r="O1040" s="361">
        <f t="shared" si="1061"/>
        <v>1.564521620672277</v>
      </c>
      <c r="P1040" s="361">
        <f t="shared" si="1061"/>
        <v>1.8410508171260953</v>
      </c>
      <c r="Q1040" s="361">
        <f t="shared" si="1061"/>
        <v>2.1664565490531249</v>
      </c>
      <c r="R1040" s="361">
        <f t="shared" si="1061"/>
        <v>2.5493777440982557</v>
      </c>
      <c r="S1040" s="361">
        <f t="shared" si="1061"/>
        <v>2.9999802603676113</v>
      </c>
      <c r="T1040" s="361">
        <f t="shared" si="1061"/>
        <v>3.5302267713875737</v>
      </c>
      <c r="U1040" s="361">
        <f t="shared" si="1061"/>
        <v>4.1541943532303121</v>
      </c>
      <c r="V1040" s="362">
        <f t="shared" si="1061"/>
        <v>4.8884482051637521</v>
      </c>
      <c r="X1040" s="351"/>
    </row>
    <row r="1041" spans="3:24" ht="24.75" customHeight="1" x14ac:dyDescent="0.3">
      <c r="C1041" s="353">
        <f>ABS(E1041-Dashboard!$F$14)</f>
        <v>30.80286419967932</v>
      </c>
      <c r="D1041" s="350">
        <f t="shared" si="1059"/>
        <v>0.17684999999999576</v>
      </c>
      <c r="E1041" s="359" cm="1">
        <f t="array" ref="E1041">1000*SUM('DRE + DCF'!$L$36/M1041,'DRE + DCF'!$N$36:$V$36/N1041:V1041,F1041/V1041)/Dashboard!$F$11</f>
        <v>127.79286419967931</v>
      </c>
      <c r="F1041" s="359">
        <f t="shared" si="1057"/>
        <v>16750391.180148203</v>
      </c>
      <c r="G1041" s="359">
        <f>'DRE + DCF'!$W$31</f>
        <v>2791623.3540418856</v>
      </c>
      <c r="H1041" s="359">
        <f>'DRE + DCF'!$W$32</f>
        <v>81081.931703745853</v>
      </c>
      <c r="I1041" s="359">
        <f>-H1041*('DRE + DCF'!$V$33+K1041)/'DRE + DCF'!$V$33</f>
        <v>-90858.801614444121</v>
      </c>
      <c r="J1041" s="359">
        <f>-'DRE + DCF'!$V$56*L1041</f>
        <v>-1188924.4255577971</v>
      </c>
      <c r="K1041" s="360">
        <f>(1+L1041)/(1+Ke!$O$12)-1</f>
        <v>2.0000000000000018E-2</v>
      </c>
      <c r="L1041" s="360">
        <f>'DRE + DCF'!$Y$31</f>
        <v>7.3550000000000004E-2</v>
      </c>
      <c r="M1041" s="361">
        <f>(1+D1041)^((5-Dashboard!$F$9)*3/12)</f>
        <v>1.129902146694874</v>
      </c>
      <c r="N1041" s="361">
        <f t="shared" ref="N1041:V1041" si="1062">M1041*(1+$D1041)</f>
        <v>1.3297253413378576</v>
      </c>
      <c r="O1041" s="361">
        <f t="shared" si="1062"/>
        <v>1.564887267953452</v>
      </c>
      <c r="P1041" s="361">
        <f t="shared" si="1062"/>
        <v>1.8416375812910133</v>
      </c>
      <c r="Q1041" s="361">
        <f t="shared" si="1062"/>
        <v>2.1673311875423211</v>
      </c>
      <c r="R1041" s="361">
        <f t="shared" si="1062"/>
        <v>2.5506237080591712</v>
      </c>
      <c r="S1041" s="361">
        <f t="shared" si="1062"/>
        <v>3.0017015108294247</v>
      </c>
      <c r="T1041" s="361">
        <f t="shared" si="1062"/>
        <v>3.5325524230195957</v>
      </c>
      <c r="U1041" s="361">
        <f t="shared" si="1062"/>
        <v>4.1572843190305964</v>
      </c>
      <c r="V1041" s="362">
        <f t="shared" si="1062"/>
        <v>4.8925000508511394</v>
      </c>
      <c r="X1041" s="351"/>
    </row>
    <row r="1042" spans="3:24" ht="24.75" customHeight="1" x14ac:dyDescent="0.3">
      <c r="C1042" s="353">
        <f>ABS(E1042-Dashboard!$F$14)</f>
        <v>30.676656273068247</v>
      </c>
      <c r="D1042" s="350">
        <f t="shared" si="1059"/>
        <v>0.17694999999999575</v>
      </c>
      <c r="E1042" s="359" cm="1">
        <f t="array" ref="E1042">1000*SUM('DRE + DCF'!$L$36/M1042,'DRE + DCF'!$N$36:$V$36/N1042:V1042,F1042/V1042)/Dashboard!$F$11</f>
        <v>127.66665627306824</v>
      </c>
      <c r="F1042" s="359">
        <f t="shared" si="1057"/>
        <v>16737597.661536414</v>
      </c>
      <c r="G1042" s="359">
        <f>'DRE + DCF'!$W$31</f>
        <v>2791623.3540418856</v>
      </c>
      <c r="H1042" s="359">
        <f>'DRE + DCF'!$W$32</f>
        <v>81081.931703745853</v>
      </c>
      <c r="I1042" s="359">
        <f>-H1042*('DRE + DCF'!$V$33+K1042)/'DRE + DCF'!$V$33</f>
        <v>-90858.801614444121</v>
      </c>
      <c r="J1042" s="359">
        <f>-'DRE + DCF'!$V$56*L1042</f>
        <v>-1188924.4255577971</v>
      </c>
      <c r="K1042" s="360">
        <f>(1+L1042)/(1+Ke!$O$12)-1</f>
        <v>2.0000000000000018E-2</v>
      </c>
      <c r="L1042" s="360">
        <f>'DRE + DCF'!$Y$31</f>
        <v>7.3550000000000004E-2</v>
      </c>
      <c r="M1042" s="361">
        <f>(1+D1042)^((5-Dashboard!$F$9)*3/12)</f>
        <v>1.1299741539693213</v>
      </c>
      <c r="N1042" s="361">
        <f t="shared" ref="N1042:V1042" si="1063">M1042*(1+$D1042)</f>
        <v>1.3299230805141879</v>
      </c>
      <c r="O1042" s="361">
        <f t="shared" si="1063"/>
        <v>1.5652529696111679</v>
      </c>
      <c r="P1042" s="361">
        <f t="shared" si="1063"/>
        <v>1.8422244825838574</v>
      </c>
      <c r="Q1042" s="361">
        <f t="shared" si="1063"/>
        <v>2.1682061047770631</v>
      </c>
      <c r="R1042" s="361">
        <f t="shared" si="1063"/>
        <v>2.5518701750173554</v>
      </c>
      <c r="S1042" s="361">
        <f t="shared" si="1063"/>
        <v>3.0034236024866656</v>
      </c>
      <c r="T1042" s="361">
        <f t="shared" si="1063"/>
        <v>3.5348794089466682</v>
      </c>
      <c r="U1042" s="361">
        <f t="shared" si="1063"/>
        <v>4.1603763203597657</v>
      </c>
      <c r="V1042" s="362">
        <f t="shared" si="1063"/>
        <v>4.8965549102474082</v>
      </c>
      <c r="X1042" s="351"/>
    </row>
    <row r="1043" spans="3:24" ht="24.75" customHeight="1" x14ac:dyDescent="0.3">
      <c r="C1043" s="353">
        <f>ABS(E1043-Dashboard!$F$14)</f>
        <v>30.550666404149283</v>
      </c>
      <c r="D1043" s="350">
        <f t="shared" si="1059"/>
        <v>0.17704999999999574</v>
      </c>
      <c r="E1043" s="359" cm="1">
        <f t="array" ref="E1043">1000*SUM('DRE + DCF'!$L$36/M1043,'DRE + DCF'!$N$36:$V$36/N1043:V1043,F1043/V1043)/Dashboard!$F$11</f>
        <v>127.54066640414928</v>
      </c>
      <c r="F1043" s="359">
        <f t="shared" si="1057"/>
        <v>16724825.020819344</v>
      </c>
      <c r="G1043" s="359">
        <f>'DRE + DCF'!$W$31</f>
        <v>2791623.3540418856</v>
      </c>
      <c r="H1043" s="359">
        <f>'DRE + DCF'!$W$32</f>
        <v>81081.931703745853</v>
      </c>
      <c r="I1043" s="359">
        <f>-H1043*('DRE + DCF'!$V$33+K1043)/'DRE + DCF'!$V$33</f>
        <v>-90858.801614444121</v>
      </c>
      <c r="J1043" s="359">
        <f>-'DRE + DCF'!$V$56*L1043</f>
        <v>-1188924.4255577971</v>
      </c>
      <c r="K1043" s="360">
        <f>(1+L1043)/(1+Ke!$O$12)-1</f>
        <v>2.0000000000000018E-2</v>
      </c>
      <c r="L1043" s="360">
        <f>'DRE + DCF'!$Y$31</f>
        <v>7.3550000000000004E-2</v>
      </c>
      <c r="M1043" s="361">
        <f>(1+D1043)^((5-Dashboard!$F$9)*3/12)</f>
        <v>1.1300461597142537</v>
      </c>
      <c r="N1043" s="361">
        <f t="shared" ref="N1043:V1043" si="1064">M1043*(1+$D1043)</f>
        <v>1.3301208322916576</v>
      </c>
      <c r="O1043" s="361">
        <f t="shared" si="1064"/>
        <v>1.5656187256488898</v>
      </c>
      <c r="P1043" s="361">
        <f t="shared" si="1064"/>
        <v>1.8428115210250191</v>
      </c>
      <c r="Q1043" s="361">
        <f t="shared" si="1064"/>
        <v>2.1690813008224907</v>
      </c>
      <c r="R1043" s="361">
        <f t="shared" si="1064"/>
        <v>2.5531171451331036</v>
      </c>
      <c r="S1043" s="361">
        <f t="shared" si="1064"/>
        <v>3.0051465356789087</v>
      </c>
      <c r="T1043" s="361">
        <f t="shared" si="1064"/>
        <v>3.5372077298208464</v>
      </c>
      <c r="U1043" s="361">
        <f t="shared" si="1064"/>
        <v>4.1634703583856121</v>
      </c>
      <c r="V1043" s="362">
        <f t="shared" si="1064"/>
        <v>4.900612785337767</v>
      </c>
      <c r="X1043" s="351"/>
    </row>
    <row r="1044" spans="3:24" ht="24.75" customHeight="1" x14ac:dyDescent="0.3">
      <c r="C1044" s="353">
        <f>ABS(E1044-Dashboard!$F$14)</f>
        <v>30.424894041341489</v>
      </c>
      <c r="D1044" s="350">
        <f t="shared" si="1059"/>
        <v>0.17714999999999573</v>
      </c>
      <c r="E1044" s="359" cm="1">
        <f t="array" ref="E1044">1000*SUM('DRE + DCF'!$L$36/M1044,'DRE + DCF'!$N$36:$V$36/N1044:V1044,F1044/V1044)/Dashboard!$F$11</f>
        <v>127.41489404134148</v>
      </c>
      <c r="F1044" s="359">
        <f t="shared" si="1057"/>
        <v>16712073.204043014</v>
      </c>
      <c r="G1044" s="359">
        <f>'DRE + DCF'!$W$31</f>
        <v>2791623.3540418856</v>
      </c>
      <c r="H1044" s="359">
        <f>'DRE + DCF'!$W$32</f>
        <v>81081.931703745853</v>
      </c>
      <c r="I1044" s="359">
        <f>-H1044*('DRE + DCF'!$V$33+K1044)/'DRE + DCF'!$V$33</f>
        <v>-90858.801614444121</v>
      </c>
      <c r="J1044" s="359">
        <f>-'DRE + DCF'!$V$56*L1044</f>
        <v>-1188924.4255577971</v>
      </c>
      <c r="K1044" s="360">
        <f>(1+L1044)/(1+Ke!$O$12)-1</f>
        <v>2.0000000000000018E-2</v>
      </c>
      <c r="L1044" s="360">
        <f>'DRE + DCF'!$Y$31</f>
        <v>7.3550000000000004E-2</v>
      </c>
      <c r="M1044" s="361">
        <f>(1+D1044)^((5-Dashboard!$F$9)*3/12)</f>
        <v>1.1301181639298334</v>
      </c>
      <c r="N1044" s="361">
        <f t="shared" ref="N1044:V1044" si="1065">M1044*(1+$D1044)</f>
        <v>1.3303185966699986</v>
      </c>
      <c r="O1044" s="361">
        <f t="shared" si="1065"/>
        <v>1.5659845360700833</v>
      </c>
      <c r="P1044" s="361">
        <f t="shared" si="1065"/>
        <v>1.8433986966348919</v>
      </c>
      <c r="Q1044" s="361">
        <f t="shared" si="1065"/>
        <v>2.169956775743755</v>
      </c>
      <c r="R1044" s="361">
        <f t="shared" si="1065"/>
        <v>2.5543646185667517</v>
      </c>
      <c r="S1044" s="361">
        <f t="shared" si="1065"/>
        <v>3.0068703107458408</v>
      </c>
      <c r="T1044" s="361">
        <f t="shared" si="1065"/>
        <v>3.5395373862944535</v>
      </c>
      <c r="U1044" s="361">
        <f t="shared" si="1065"/>
        <v>4.1665664342765005</v>
      </c>
      <c r="V1044" s="362">
        <f t="shared" si="1065"/>
        <v>4.9046736781085647</v>
      </c>
      <c r="X1044" s="351"/>
    </row>
    <row r="1045" spans="3:24" ht="24.75" customHeight="1" x14ac:dyDescent="0.3">
      <c r="C1045" s="353">
        <f>ABS(E1045-Dashboard!$F$14)</f>
        <v>30.299338634965466</v>
      </c>
      <c r="D1045" s="350">
        <f t="shared" si="1059"/>
        <v>0.17724999999999572</v>
      </c>
      <c r="E1045" s="359" cm="1">
        <f t="array" ref="E1045">1000*SUM('DRE + DCF'!$L$36/M1045,'DRE + DCF'!$N$36:$V$36/N1045:V1045,F1045/V1045)/Dashboard!$F$11</f>
        <v>127.28933863496546</v>
      </c>
      <c r="F1045" s="359">
        <f t="shared" si="1057"/>
        <v>16699342.15744691</v>
      </c>
      <c r="G1045" s="359">
        <f>'DRE + DCF'!$W$31</f>
        <v>2791623.3540418856</v>
      </c>
      <c r="H1045" s="359">
        <f>'DRE + DCF'!$W$32</f>
        <v>81081.931703745853</v>
      </c>
      <c r="I1045" s="359">
        <f>-H1045*('DRE + DCF'!$V$33+K1045)/'DRE + DCF'!$V$33</f>
        <v>-90858.801614444121</v>
      </c>
      <c r="J1045" s="359">
        <f>-'DRE + DCF'!$V$56*L1045</f>
        <v>-1188924.4255577971</v>
      </c>
      <c r="K1045" s="360">
        <f>(1+L1045)/(1+Ke!$O$12)-1</f>
        <v>2.0000000000000018E-2</v>
      </c>
      <c r="L1045" s="360">
        <f>'DRE + DCF'!$Y$31</f>
        <v>7.3550000000000004E-2</v>
      </c>
      <c r="M1045" s="361">
        <f>(1+D1045)^((5-Dashboard!$F$9)*3/12)</f>
        <v>1.1301901666162231</v>
      </c>
      <c r="N1045" s="361">
        <f t="shared" ref="N1045:V1045" si="1066">M1045*(1+$D1045)</f>
        <v>1.3305163736489438</v>
      </c>
      <c r="O1045" s="361">
        <f t="shared" si="1066"/>
        <v>1.5663504008782134</v>
      </c>
      <c r="P1045" s="361">
        <f t="shared" si="1066"/>
        <v>1.84398600943387</v>
      </c>
      <c r="Q1045" s="361">
        <f t="shared" si="1066"/>
        <v>2.1708325296060154</v>
      </c>
      <c r="R1045" s="361">
        <f t="shared" si="1066"/>
        <v>2.5556125954786721</v>
      </c>
      <c r="S1045" s="361">
        <f t="shared" si="1066"/>
        <v>3.0085949280272559</v>
      </c>
      <c r="T1045" s="361">
        <f t="shared" si="1066"/>
        <v>3.541868379020074</v>
      </c>
      <c r="U1045" s="361">
        <f t="shared" si="1066"/>
        <v>4.1696645492013671</v>
      </c>
      <c r="V1045" s="362">
        <f t="shared" si="1066"/>
        <v>4.9087375905472914</v>
      </c>
      <c r="X1045" s="351"/>
    </row>
    <row r="1046" spans="3:24" ht="24.75" customHeight="1" x14ac:dyDescent="0.3">
      <c r="C1046" s="353">
        <f>ABS(E1046-Dashboard!$F$14)</f>
        <v>30.173999637234914</v>
      </c>
      <c r="D1046" s="350">
        <f t="shared" si="1059"/>
        <v>0.17734999999999571</v>
      </c>
      <c r="E1046" s="359" cm="1">
        <f t="array" ref="E1046">1000*SUM('DRE + DCF'!$L$36/M1046,'DRE + DCF'!$N$36:$V$36/N1046:V1046,F1046/V1046)/Dashboard!$F$11</f>
        <v>127.16399963723491</v>
      </c>
      <c r="F1046" s="359">
        <f t="shared" si="1057"/>
        <v>16686631.827463072</v>
      </c>
      <c r="G1046" s="359">
        <f>'DRE + DCF'!$W$31</f>
        <v>2791623.3540418856</v>
      </c>
      <c r="H1046" s="359">
        <f>'DRE + DCF'!$W$32</f>
        <v>81081.931703745853</v>
      </c>
      <c r="I1046" s="359">
        <f>-H1046*('DRE + DCF'!$V$33+K1046)/'DRE + DCF'!$V$33</f>
        <v>-90858.801614444121</v>
      </c>
      <c r="J1046" s="359">
        <f>-'DRE + DCF'!$V$56*L1046</f>
        <v>-1188924.4255577971</v>
      </c>
      <c r="K1046" s="360">
        <f>(1+L1046)/(1+Ke!$O$12)-1</f>
        <v>2.0000000000000018E-2</v>
      </c>
      <c r="L1046" s="360">
        <f>'DRE + DCF'!$Y$31</f>
        <v>7.3550000000000004E-2</v>
      </c>
      <c r="M1046" s="361">
        <f>(1+D1046)^((5-Dashboard!$F$9)*3/12)</f>
        <v>1.1302621677735847</v>
      </c>
      <c r="N1046" s="361">
        <f t="shared" ref="N1046:V1046" si="1067">M1046*(1+$D1046)</f>
        <v>1.3307141632282251</v>
      </c>
      <c r="O1046" s="361">
        <f t="shared" si="1067"/>
        <v>1.5667163200767451</v>
      </c>
      <c r="P1046" s="361">
        <f t="shared" si="1067"/>
        <v>1.8445734594423491</v>
      </c>
      <c r="Q1046" s="361">
        <f t="shared" si="1067"/>
        <v>2.1717085624744419</v>
      </c>
      <c r="R1046" s="361">
        <f t="shared" si="1067"/>
        <v>2.5568610760292749</v>
      </c>
      <c r="S1046" s="361">
        <f t="shared" si="1067"/>
        <v>3.010320387863056</v>
      </c>
      <c r="T1046" s="361">
        <f t="shared" si="1067"/>
        <v>3.544200708650556</v>
      </c>
      <c r="U1046" s="361">
        <f t="shared" si="1067"/>
        <v>4.1727647043297171</v>
      </c>
      <c r="V1046" s="362">
        <f t="shared" si="1067"/>
        <v>4.9128045246425742</v>
      </c>
      <c r="X1046" s="351"/>
    </row>
    <row r="1047" spans="3:24" ht="24.75" customHeight="1" x14ac:dyDescent="0.3">
      <c r="C1047" s="353">
        <f>ABS(E1047-Dashboard!$F$14)</f>
        <v>30.048876502248262</v>
      </c>
      <c r="D1047" s="350">
        <f t="shared" si="1059"/>
        <v>0.17744999999999569</v>
      </c>
      <c r="E1047" s="359" cm="1">
        <f t="array" ref="E1047">1000*SUM('DRE + DCF'!$L$36/M1047,'DRE + DCF'!$N$36:$V$36/N1047:V1047,F1047/V1047)/Dashboard!$F$11</f>
        <v>127.03887650224826</v>
      </c>
      <c r="F1047" s="359">
        <f t="shared" si="1057"/>
        <v>16673942.160715224</v>
      </c>
      <c r="G1047" s="359">
        <f>'DRE + DCF'!$W$31</f>
        <v>2791623.3540418856</v>
      </c>
      <c r="H1047" s="359">
        <f>'DRE + DCF'!$W$32</f>
        <v>81081.931703745853</v>
      </c>
      <c r="I1047" s="359">
        <f>-H1047*('DRE + DCF'!$V$33+K1047)/'DRE + DCF'!$V$33</f>
        <v>-90858.801614444121</v>
      </c>
      <c r="J1047" s="359">
        <f>-'DRE + DCF'!$V$56*L1047</f>
        <v>-1188924.4255577971</v>
      </c>
      <c r="K1047" s="360">
        <f>(1+L1047)/(1+Ke!$O$12)-1</f>
        <v>2.0000000000000018E-2</v>
      </c>
      <c r="L1047" s="360">
        <f>'DRE + DCF'!$Y$31</f>
        <v>7.3550000000000004E-2</v>
      </c>
      <c r="M1047" s="361">
        <f>(1+D1047)^((5-Dashboard!$F$9)*3/12)</f>
        <v>1.1303341674020808</v>
      </c>
      <c r="N1047" s="361">
        <f t="shared" ref="N1047:V1047" si="1068">M1047*(1+$D1047)</f>
        <v>1.3309119654075752</v>
      </c>
      <c r="O1047" s="361">
        <f t="shared" si="1068"/>
        <v>1.5670822936691435</v>
      </c>
      <c r="P1047" s="361">
        <f t="shared" si="1068"/>
        <v>1.8451610466807262</v>
      </c>
      <c r="Q1047" s="361">
        <f t="shared" si="1068"/>
        <v>2.1725848744142131</v>
      </c>
      <c r="R1047" s="361">
        <f t="shared" si="1068"/>
        <v>2.5581100603790059</v>
      </c>
      <c r="S1047" s="361">
        <f t="shared" si="1068"/>
        <v>3.0120466905932495</v>
      </c>
      <c r="T1047" s="361">
        <f t="shared" si="1068"/>
        <v>3.5465343758390087</v>
      </c>
      <c r="U1047" s="361">
        <f t="shared" si="1068"/>
        <v>4.1758669008316254</v>
      </c>
      <c r="V1047" s="362">
        <f t="shared" si="1068"/>
        <v>4.9168744823841788</v>
      </c>
      <c r="X1047" s="351"/>
    </row>
    <row r="1048" spans="3:24" ht="24.75" customHeight="1" x14ac:dyDescent="0.3">
      <c r="C1048" s="353">
        <f>ABS(E1048-Dashboard!$F$14)</f>
        <v>29.923968685979986</v>
      </c>
      <c r="D1048" s="350">
        <f t="shared" si="1059"/>
        <v>0.17754999999999568</v>
      </c>
      <c r="E1048" s="359" cm="1">
        <f t="array" ref="E1048">1000*SUM('DRE + DCF'!$L$36/M1048,'DRE + DCF'!$N$36:$V$36/N1048:V1048,F1048/V1048)/Dashboard!$F$11</f>
        <v>126.91396868597998</v>
      </c>
      <c r="F1048" s="359">
        <f t="shared" si="1057"/>
        <v>16661273.104017889</v>
      </c>
      <c r="G1048" s="359">
        <f>'DRE + DCF'!$W$31</f>
        <v>2791623.3540418856</v>
      </c>
      <c r="H1048" s="359">
        <f>'DRE + DCF'!$W$32</f>
        <v>81081.931703745853</v>
      </c>
      <c r="I1048" s="359">
        <f>-H1048*('DRE + DCF'!$V$33+K1048)/'DRE + DCF'!$V$33</f>
        <v>-90858.801614444121</v>
      </c>
      <c r="J1048" s="359">
        <f>-'DRE + DCF'!$V$56*L1048</f>
        <v>-1188924.4255577971</v>
      </c>
      <c r="K1048" s="360">
        <f>(1+L1048)/(1+Ke!$O$12)-1</f>
        <v>2.0000000000000018E-2</v>
      </c>
      <c r="L1048" s="360">
        <f>'DRE + DCF'!$Y$31</f>
        <v>7.3550000000000004E-2</v>
      </c>
      <c r="M1048" s="361">
        <f>(1+D1048)^((5-Dashboard!$F$9)*3/12)</f>
        <v>1.1304061655018738</v>
      </c>
      <c r="N1048" s="361">
        <f t="shared" ref="N1048:V1048" si="1069">M1048*(1+$D1048)</f>
        <v>1.3311097801867267</v>
      </c>
      <c r="O1048" s="361">
        <f t="shared" si="1069"/>
        <v>1.5674483216588742</v>
      </c>
      <c r="P1048" s="361">
        <f t="shared" si="1069"/>
        <v>1.8457487711694005</v>
      </c>
      <c r="Q1048" s="361">
        <f t="shared" si="1069"/>
        <v>2.1734614654905196</v>
      </c>
      <c r="R1048" s="361">
        <f t="shared" si="1069"/>
        <v>2.5593595486883518</v>
      </c>
      <c r="S1048" s="361">
        <f t="shared" si="1069"/>
        <v>3.0137738365579576</v>
      </c>
      <c r="T1048" s="361">
        <f t="shared" si="1069"/>
        <v>3.5488693812388097</v>
      </c>
      <c r="U1048" s="361">
        <f t="shared" si="1069"/>
        <v>4.1789711398777447</v>
      </c>
      <c r="V1048" s="362">
        <f t="shared" si="1069"/>
        <v>4.9209474657630201</v>
      </c>
      <c r="X1048" s="351"/>
    </row>
    <row r="1049" spans="3:24" ht="24.75" customHeight="1" x14ac:dyDescent="0.3">
      <c r="C1049" s="353">
        <f>ABS(E1049-Dashboard!$F$14)</f>
        <v>29.799275646272775</v>
      </c>
      <c r="D1049" s="350">
        <f t="shared" si="1059"/>
        <v>0.17764999999999567</v>
      </c>
      <c r="E1049" s="359" cm="1">
        <f t="array" ref="E1049">1000*SUM('DRE + DCF'!$L$36/M1049,'DRE + DCF'!$N$36:$V$36/N1049:V1049,F1049/V1049)/Dashboard!$F$11</f>
        <v>126.78927564627277</v>
      </c>
      <c r="F1049" s="359">
        <f t="shared" si="1057"/>
        <v>16648624.604375506</v>
      </c>
      <c r="G1049" s="359">
        <f>'DRE + DCF'!$W$31</f>
        <v>2791623.3540418856</v>
      </c>
      <c r="H1049" s="359">
        <f>'DRE + DCF'!$W$32</f>
        <v>81081.931703745853</v>
      </c>
      <c r="I1049" s="359">
        <f>-H1049*('DRE + DCF'!$V$33+K1049)/'DRE + DCF'!$V$33</f>
        <v>-90858.801614444121</v>
      </c>
      <c r="J1049" s="359">
        <f>-'DRE + DCF'!$V$56*L1049</f>
        <v>-1188924.4255577971</v>
      </c>
      <c r="K1049" s="360">
        <f>(1+L1049)/(1+Ke!$O$12)-1</f>
        <v>2.0000000000000018E-2</v>
      </c>
      <c r="L1049" s="360">
        <f>'DRE + DCF'!$Y$31</f>
        <v>7.3550000000000004E-2</v>
      </c>
      <c r="M1049" s="361">
        <f>(1+D1049)^((5-Dashboard!$F$9)*3/12)</f>
        <v>1.1304781620731259</v>
      </c>
      <c r="N1049" s="361">
        <f t="shared" ref="N1049:V1049" si="1070">M1049*(1+$D1049)</f>
        <v>1.3313076075654118</v>
      </c>
      <c r="O1049" s="361">
        <f t="shared" si="1070"/>
        <v>1.5678144040494013</v>
      </c>
      <c r="P1049" s="361">
        <f t="shared" si="1070"/>
        <v>1.8463366329287707</v>
      </c>
      <c r="Q1049" s="361">
        <f t="shared" si="1070"/>
        <v>2.1743383357685588</v>
      </c>
      <c r="R1049" s="361">
        <f t="shared" si="1070"/>
        <v>2.560609541117834</v>
      </c>
      <c r="S1049" s="361">
        <f t="shared" si="1070"/>
        <v>3.015501826097406</v>
      </c>
      <c r="T1049" s="361">
        <f t="shared" si="1070"/>
        <v>3.5512057255035971</v>
      </c>
      <c r="U1049" s="361">
        <f t="shared" si="1070"/>
        <v>4.1820774226392956</v>
      </c>
      <c r="V1049" s="362">
        <f t="shared" si="1070"/>
        <v>4.9250234767711483</v>
      </c>
      <c r="X1049" s="351"/>
    </row>
    <row r="1050" spans="3:24" ht="24.75" customHeight="1" x14ac:dyDescent="0.3">
      <c r="C1050" s="353">
        <f>ABS(E1050-Dashboard!$F$14)</f>
        <v>29.67479684282894</v>
      </c>
      <c r="D1050" s="350">
        <f t="shared" si="1059"/>
        <v>0.17774999999999566</v>
      </c>
      <c r="E1050" s="359" cm="1">
        <f t="array" ref="E1050">1000*SUM('DRE + DCF'!$L$36/M1050,'DRE + DCF'!$N$36:$V$36/N1050:V1050,F1050/V1050)/Dashboard!$F$11</f>
        <v>126.66479684282893</v>
      </c>
      <c r="F1050" s="359">
        <f t="shared" si="1057"/>
        <v>16635996.608981565</v>
      </c>
      <c r="G1050" s="359">
        <f>'DRE + DCF'!$W$31</f>
        <v>2791623.3540418856</v>
      </c>
      <c r="H1050" s="359">
        <f>'DRE + DCF'!$W$32</f>
        <v>81081.931703745853</v>
      </c>
      <c r="I1050" s="359">
        <f>-H1050*('DRE + DCF'!$V$33+K1050)/'DRE + DCF'!$V$33</f>
        <v>-90858.801614444121</v>
      </c>
      <c r="J1050" s="359">
        <f>-'DRE + DCF'!$V$56*L1050</f>
        <v>-1188924.4255577971</v>
      </c>
      <c r="K1050" s="360">
        <f>(1+L1050)/(1+Ke!$O$12)-1</f>
        <v>2.0000000000000018E-2</v>
      </c>
      <c r="L1050" s="360">
        <f>'DRE + DCF'!$Y$31</f>
        <v>7.3550000000000004E-2</v>
      </c>
      <c r="M1050" s="361">
        <f>(1+D1050)^((5-Dashboard!$F$9)*3/12)</f>
        <v>1.130550157115999</v>
      </c>
      <c r="N1050" s="361">
        <f t="shared" ref="N1050:V1050" si="1071">M1050*(1+$D1050)</f>
        <v>1.331505447543363</v>
      </c>
      <c r="O1050" s="361">
        <f t="shared" si="1071"/>
        <v>1.56818054084419</v>
      </c>
      <c r="P1050" s="361">
        <f t="shared" si="1071"/>
        <v>1.8469246319792378</v>
      </c>
      <c r="Q1050" s="361">
        <f t="shared" si="1071"/>
        <v>2.1752154853135393</v>
      </c>
      <c r="R1050" s="361">
        <f t="shared" si="1071"/>
        <v>2.5618600378280112</v>
      </c>
      <c r="S1050" s="361">
        <f t="shared" si="1071"/>
        <v>3.0172306595519292</v>
      </c>
      <c r="T1050" s="361">
        <f t="shared" si="1071"/>
        <v>3.5535434092872715</v>
      </c>
      <c r="U1050" s="361">
        <f t="shared" si="1071"/>
        <v>4.1851857502880687</v>
      </c>
      <c r="V1050" s="362">
        <f t="shared" si="1071"/>
        <v>4.9291025174017546</v>
      </c>
      <c r="X1050" s="351"/>
    </row>
    <row r="1051" spans="3:24" ht="24.75" customHeight="1" x14ac:dyDescent="0.3">
      <c r="C1051" s="353">
        <f>ABS(E1051-Dashboard!$F$14)</f>
        <v>29.55053173720222</v>
      </c>
      <c r="D1051" s="350">
        <f t="shared" si="1059"/>
        <v>0.17784999999999565</v>
      </c>
      <c r="E1051" s="359" cm="1">
        <f t="array" ref="E1051">1000*SUM('DRE + DCF'!$L$36/M1051,'DRE + DCF'!$N$36:$V$36/N1051:V1051,F1051/V1051)/Dashboard!$F$11</f>
        <v>126.54053173720222</v>
      </c>
      <c r="F1051" s="359">
        <f t="shared" si="1057"/>
        <v>16623389.065217741</v>
      </c>
      <c r="G1051" s="359">
        <f>'DRE + DCF'!$W$31</f>
        <v>2791623.3540418856</v>
      </c>
      <c r="H1051" s="359">
        <f>'DRE + DCF'!$W$32</f>
        <v>81081.931703745853</v>
      </c>
      <c r="I1051" s="359">
        <f>-H1051*('DRE + DCF'!$V$33+K1051)/'DRE + DCF'!$V$33</f>
        <v>-90858.801614444121</v>
      </c>
      <c r="J1051" s="359">
        <f>-'DRE + DCF'!$V$56*L1051</f>
        <v>-1188924.4255577971</v>
      </c>
      <c r="K1051" s="360">
        <f>(1+L1051)/(1+Ke!$O$12)-1</f>
        <v>2.0000000000000018E-2</v>
      </c>
      <c r="L1051" s="360">
        <f>'DRE + DCF'!$Y$31</f>
        <v>7.3550000000000004E-2</v>
      </c>
      <c r="M1051" s="361">
        <f>(1+D1051)^((5-Dashboard!$F$9)*3/12)</f>
        <v>1.130622150630656</v>
      </c>
      <c r="N1051" s="361">
        <f t="shared" ref="N1051:V1051" si="1072">M1051*(1+$D1051)</f>
        <v>1.3317033001203131</v>
      </c>
      <c r="O1051" s="361">
        <f t="shared" si="1072"/>
        <v>1.568546732046705</v>
      </c>
      <c r="P1051" s="361">
        <f t="shared" si="1072"/>
        <v>1.8475127683412047</v>
      </c>
      <c r="Q1051" s="361">
        <f t="shared" si="1072"/>
        <v>2.1760929141906797</v>
      </c>
      <c r="R1051" s="361">
        <f t="shared" si="1072"/>
        <v>2.5631110389794824</v>
      </c>
      <c r="S1051" s="361">
        <f t="shared" si="1072"/>
        <v>3.018960337261972</v>
      </c>
      <c r="T1051" s="361">
        <f t="shared" si="1072"/>
        <v>3.5558824332440007</v>
      </c>
      <c r="U1051" s="361">
        <f t="shared" si="1072"/>
        <v>4.1882961239964303</v>
      </c>
      <c r="V1051" s="362">
        <f t="shared" si="1072"/>
        <v>4.9331845896491773</v>
      </c>
      <c r="X1051" s="351"/>
    </row>
    <row r="1052" spans="3:24" ht="24.75" customHeight="1" x14ac:dyDescent="0.3">
      <c r="C1052" s="353">
        <f>ABS(E1052-Dashboard!$F$14)</f>
        <v>29.426479792789593</v>
      </c>
      <c r="D1052" s="350">
        <f t="shared" si="1059"/>
        <v>0.17794999999999564</v>
      </c>
      <c r="E1052" s="359" cm="1">
        <f t="array" ref="E1052">1000*SUM('DRE + DCF'!$L$36/M1052,'DRE + DCF'!$N$36:$V$36/N1052:V1052,F1052/V1052)/Dashboard!$F$11</f>
        <v>126.41647979278959</v>
      </c>
      <c r="F1052" s="359">
        <f t="shared" si="1057"/>
        <v>16610801.920653045</v>
      </c>
      <c r="G1052" s="359">
        <f>'DRE + DCF'!$W$31</f>
        <v>2791623.3540418856</v>
      </c>
      <c r="H1052" s="359">
        <f>'DRE + DCF'!$W$32</f>
        <v>81081.931703745853</v>
      </c>
      <c r="I1052" s="359">
        <f>-H1052*('DRE + DCF'!$V$33+K1052)/'DRE + DCF'!$V$33</f>
        <v>-90858.801614444121</v>
      </c>
      <c r="J1052" s="359">
        <f>-'DRE + DCF'!$V$56*L1052</f>
        <v>-1188924.4255577971</v>
      </c>
      <c r="K1052" s="360">
        <f>(1+L1052)/(1+Ke!$O$12)-1</f>
        <v>2.0000000000000018E-2</v>
      </c>
      <c r="L1052" s="360">
        <f>'DRE + DCF'!$Y$31</f>
        <v>7.3550000000000004E-2</v>
      </c>
      <c r="M1052" s="361">
        <f>(1+D1052)^((5-Dashboard!$F$9)*3/12)</f>
        <v>1.1306941426172583</v>
      </c>
      <c r="N1052" s="361">
        <f t="shared" ref="N1052:V1052" si="1073">M1052*(1+$D1052)</f>
        <v>1.3319011652959944</v>
      </c>
      <c r="O1052" s="361">
        <f t="shared" si="1073"/>
        <v>1.5689129776604107</v>
      </c>
      <c r="P1052" s="361">
        <f t="shared" si="1073"/>
        <v>1.8481010420350739</v>
      </c>
      <c r="Q1052" s="361">
        <f t="shared" si="1073"/>
        <v>2.1769706224652072</v>
      </c>
      <c r="R1052" s="361">
        <f t="shared" si="1073"/>
        <v>2.5643625447328815</v>
      </c>
      <c r="S1052" s="361">
        <f t="shared" si="1073"/>
        <v>3.0206908595680866</v>
      </c>
      <c r="T1052" s="361">
        <f t="shared" si="1073"/>
        <v>3.5582227980282144</v>
      </c>
      <c r="U1052" s="361">
        <f t="shared" si="1073"/>
        <v>4.1914085449373193</v>
      </c>
      <c r="V1052" s="362">
        <f t="shared" si="1073"/>
        <v>4.9372696955088973</v>
      </c>
      <c r="X1052" s="351"/>
    </row>
    <row r="1053" spans="3:24" ht="24.75" customHeight="1" x14ac:dyDescent="0.3">
      <c r="C1053" s="353">
        <f>ABS(E1053-Dashboard!$F$14)</f>
        <v>29.302640474823264</v>
      </c>
      <c r="D1053" s="350">
        <f t="shared" si="1059"/>
        <v>0.17804999999999563</v>
      </c>
      <c r="E1053" s="359" cm="1">
        <f t="array" ref="E1053">1000*SUM('DRE + DCF'!$L$36/M1053,'DRE + DCF'!$N$36:$V$36/N1053:V1053,F1053/V1053)/Dashboard!$F$11</f>
        <v>126.29264047482326</v>
      </c>
      <c r="F1053" s="359">
        <f t="shared" si="1057"/>
        <v>16598235.123042936</v>
      </c>
      <c r="G1053" s="359">
        <f>'DRE + DCF'!$W$31</f>
        <v>2791623.3540418856</v>
      </c>
      <c r="H1053" s="359">
        <f>'DRE + DCF'!$W$32</f>
        <v>81081.931703745853</v>
      </c>
      <c r="I1053" s="359">
        <f>-H1053*('DRE + DCF'!$V$33+K1053)/'DRE + DCF'!$V$33</f>
        <v>-90858.801614444121</v>
      </c>
      <c r="J1053" s="359">
        <f>-'DRE + DCF'!$V$56*L1053</f>
        <v>-1188924.4255577971</v>
      </c>
      <c r="K1053" s="360">
        <f>(1+L1053)/(1+Ke!$O$12)-1</f>
        <v>2.0000000000000018E-2</v>
      </c>
      <c r="L1053" s="360">
        <f>'DRE + DCF'!$Y$31</f>
        <v>7.3550000000000004E-2</v>
      </c>
      <c r="M1053" s="361">
        <f>(1+D1053)^((5-Dashboard!$F$9)*3/12)</f>
        <v>1.1307661330759686</v>
      </c>
      <c r="N1053" s="361">
        <f t="shared" ref="N1053:V1053" si="1074">M1053*(1+$D1053)</f>
        <v>1.3320990430701398</v>
      </c>
      <c r="O1053" s="361">
        <f t="shared" si="1074"/>
        <v>1.5692792776887723</v>
      </c>
      <c r="P1053" s="361">
        <f t="shared" si="1074"/>
        <v>1.8486894530812512</v>
      </c>
      <c r="Q1053" s="361">
        <f t="shared" si="1074"/>
        <v>2.1778486102023598</v>
      </c>
      <c r="R1053" s="361">
        <f t="shared" si="1074"/>
        <v>2.5656145552488803</v>
      </c>
      <c r="S1053" s="361">
        <f t="shared" si="1074"/>
        <v>3.022422226810932</v>
      </c>
      <c r="T1053" s="361">
        <f t="shared" si="1074"/>
        <v>3.560564504294605</v>
      </c>
      <c r="U1053" s="361">
        <f t="shared" si="1074"/>
        <v>4.1945230142842433</v>
      </c>
      <c r="V1053" s="362">
        <f t="shared" si="1074"/>
        <v>4.9413578369775344</v>
      </c>
      <c r="X1053" s="351"/>
    </row>
    <row r="1054" spans="3:24" ht="24.75" customHeight="1" x14ac:dyDescent="0.3">
      <c r="C1054" s="353">
        <f>ABS(E1054-Dashboard!$F$14)</f>
        <v>29.179013250362274</v>
      </c>
      <c r="D1054" s="350">
        <f t="shared" si="1059"/>
        <v>0.17814999999999562</v>
      </c>
      <c r="E1054" s="359" cm="1">
        <f t="array" ref="E1054">1000*SUM('DRE + DCF'!$L$36/M1054,'DRE + DCF'!$N$36:$V$36/N1054:V1054,F1054/V1054)/Dashboard!$F$11</f>
        <v>126.16901325036227</v>
      </c>
      <c r="F1054" s="359">
        <f t="shared" si="1057"/>
        <v>16585688.620328497</v>
      </c>
      <c r="G1054" s="359">
        <f>'DRE + DCF'!$W$31</f>
        <v>2791623.3540418856</v>
      </c>
      <c r="H1054" s="359">
        <f>'DRE + DCF'!$W$32</f>
        <v>81081.931703745853</v>
      </c>
      <c r="I1054" s="359">
        <f>-H1054*('DRE + DCF'!$V$33+K1054)/'DRE + DCF'!$V$33</f>
        <v>-90858.801614444121</v>
      </c>
      <c r="J1054" s="359">
        <f>-'DRE + DCF'!$V$56*L1054</f>
        <v>-1188924.4255577971</v>
      </c>
      <c r="K1054" s="360">
        <f>(1+L1054)/(1+Ke!$O$12)-1</f>
        <v>2.0000000000000018E-2</v>
      </c>
      <c r="L1054" s="360">
        <f>'DRE + DCF'!$Y$31</f>
        <v>7.3550000000000004E-2</v>
      </c>
      <c r="M1054" s="361">
        <f>(1+D1054)^((5-Dashboard!$F$9)*3/12)</f>
        <v>1.130838122006949</v>
      </c>
      <c r="N1054" s="361">
        <f t="shared" ref="N1054:V1054" si="1075">M1054*(1+$D1054)</f>
        <v>1.3322969334424819</v>
      </c>
      <c r="O1054" s="361">
        <f t="shared" si="1075"/>
        <v>1.5696456321352541</v>
      </c>
      <c r="P1054" s="361">
        <f t="shared" si="1075"/>
        <v>1.8492780015001427</v>
      </c>
      <c r="Q1054" s="361">
        <f t="shared" si="1075"/>
        <v>2.1787268774673847</v>
      </c>
      <c r="R1054" s="361">
        <f t="shared" si="1075"/>
        <v>2.5668670706881898</v>
      </c>
      <c r="S1054" s="361">
        <f t="shared" si="1075"/>
        <v>3.0241544393312796</v>
      </c>
      <c r="T1054" s="361">
        <f t="shared" si="1075"/>
        <v>3.5629075526981335</v>
      </c>
      <c r="U1054" s="361">
        <f t="shared" si="1075"/>
        <v>4.1976395332112899</v>
      </c>
      <c r="V1054" s="362">
        <f t="shared" si="1075"/>
        <v>4.945449016052863</v>
      </c>
      <c r="X1054" s="351"/>
    </row>
    <row r="1055" spans="3:24" ht="24.75" customHeight="1" x14ac:dyDescent="0.3">
      <c r="C1055" s="353">
        <f>ABS(E1055-Dashboard!$F$14)</f>
        <v>29.055597588284812</v>
      </c>
      <c r="D1055" s="350">
        <f t="shared" si="1059"/>
        <v>0.17824999999999561</v>
      </c>
      <c r="E1055" s="359" cm="1">
        <f t="array" ref="E1055">1000*SUM('DRE + DCF'!$L$36/M1055,'DRE + DCF'!$N$36:$V$36/N1055:V1055,F1055/V1055)/Dashboard!$F$11</f>
        <v>126.04559758828481</v>
      </c>
      <c r="F1055" s="359">
        <f t="shared" si="1057"/>
        <v>16573162.36063559</v>
      </c>
      <c r="G1055" s="359">
        <f>'DRE + DCF'!$W$31</f>
        <v>2791623.3540418856</v>
      </c>
      <c r="H1055" s="359">
        <f>'DRE + DCF'!$W$32</f>
        <v>81081.931703745853</v>
      </c>
      <c r="I1055" s="359">
        <f>-H1055*('DRE + DCF'!$V$33+K1055)/'DRE + DCF'!$V$33</f>
        <v>-90858.801614444121</v>
      </c>
      <c r="J1055" s="359">
        <f>-'DRE + DCF'!$V$56*L1055</f>
        <v>-1188924.4255577971</v>
      </c>
      <c r="K1055" s="360">
        <f>(1+L1055)/(1+Ke!$O$12)-1</f>
        <v>2.0000000000000018E-2</v>
      </c>
      <c r="L1055" s="360">
        <f>'DRE + DCF'!$Y$31</f>
        <v>7.3550000000000004E-2</v>
      </c>
      <c r="M1055" s="361">
        <f>(1+D1055)^((5-Dashboard!$F$9)*3/12)</f>
        <v>1.1309101094103613</v>
      </c>
      <c r="N1055" s="361">
        <f t="shared" ref="N1055:V1055" si="1076">M1055*(1+$D1055)</f>
        <v>1.3324948364127531</v>
      </c>
      <c r="O1055" s="361">
        <f t="shared" si="1076"/>
        <v>1.5700120410033205</v>
      </c>
      <c r="P1055" s="361">
        <f t="shared" si="1076"/>
        <v>1.8498666873121554</v>
      </c>
      <c r="Q1055" s="361">
        <f t="shared" si="1076"/>
        <v>2.1796054243255392</v>
      </c>
      <c r="R1055" s="361">
        <f t="shared" si="1076"/>
        <v>2.5681200912115569</v>
      </c>
      <c r="S1055" s="361">
        <f t="shared" si="1076"/>
        <v>3.0258874974700056</v>
      </c>
      <c r="T1055" s="361">
        <f t="shared" si="1076"/>
        <v>3.5652519438940207</v>
      </c>
      <c r="U1055" s="361">
        <f t="shared" si="1076"/>
        <v>4.200758102893114</v>
      </c>
      <c r="V1055" s="362">
        <f t="shared" si="1076"/>
        <v>4.9495432347337927</v>
      </c>
      <c r="X1055" s="351"/>
    </row>
    <row r="1056" spans="3:24" ht="24.75" customHeight="1" x14ac:dyDescent="0.3">
      <c r="C1056" s="353">
        <f>ABS(E1056-Dashboard!$F$14)</f>
        <v>28.932392959280023</v>
      </c>
      <c r="D1056" s="350">
        <f t="shared" si="1059"/>
        <v>0.1783499999999956</v>
      </c>
      <c r="E1056" s="359" cm="1">
        <f t="array" ref="E1056">1000*SUM('DRE + DCF'!$L$36/M1056,'DRE + DCF'!$N$36:$V$36/N1056:V1056,F1056/V1056)/Dashboard!$F$11</f>
        <v>125.92239295928002</v>
      </c>
      <c r="F1056" s="359">
        <f t="shared" si="1057"/>
        <v>16560656.292273991</v>
      </c>
      <c r="G1056" s="359">
        <f>'DRE + DCF'!$W$31</f>
        <v>2791623.3540418856</v>
      </c>
      <c r="H1056" s="359">
        <f>'DRE + DCF'!$W$32</f>
        <v>81081.931703745853</v>
      </c>
      <c r="I1056" s="359">
        <f>-H1056*('DRE + DCF'!$V$33+K1056)/'DRE + DCF'!$V$33</f>
        <v>-90858.801614444121</v>
      </c>
      <c r="J1056" s="359">
        <f>-'DRE + DCF'!$V$56*L1056</f>
        <v>-1188924.4255577971</v>
      </c>
      <c r="K1056" s="360">
        <f>(1+L1056)/(1+Ke!$O$12)-1</f>
        <v>2.0000000000000018E-2</v>
      </c>
      <c r="L1056" s="360">
        <f>'DRE + DCF'!$Y$31</f>
        <v>7.3550000000000004E-2</v>
      </c>
      <c r="M1056" s="361">
        <f>(1+D1056)^((5-Dashboard!$F$9)*3/12)</f>
        <v>1.1309820952863678</v>
      </c>
      <c r="N1056" s="361">
        <f t="shared" ref="N1056:V1056" si="1077">M1056*(1+$D1056)</f>
        <v>1.3326927519806866</v>
      </c>
      <c r="O1056" s="361">
        <f t="shared" si="1077"/>
        <v>1.5703785042964362</v>
      </c>
      <c r="P1056" s="361">
        <f t="shared" si="1077"/>
        <v>1.8504555105376987</v>
      </c>
      <c r="Q1056" s="361">
        <f t="shared" si="1077"/>
        <v>2.1804842508420892</v>
      </c>
      <c r="R1056" s="361">
        <f t="shared" si="1077"/>
        <v>2.5693736169797661</v>
      </c>
      <c r="S1056" s="361">
        <f t="shared" si="1077"/>
        <v>3.027621401568096</v>
      </c>
      <c r="T1056" s="361">
        <f t="shared" si="1077"/>
        <v>3.5675976785377523</v>
      </c>
      <c r="U1056" s="361">
        <f t="shared" si="1077"/>
        <v>4.2038787245049445</v>
      </c>
      <c r="V1056" s="362">
        <f t="shared" si="1077"/>
        <v>4.953640495020383</v>
      </c>
      <c r="X1056" s="351"/>
    </row>
    <row r="1057" spans="3:24" ht="24.75" customHeight="1" x14ac:dyDescent="0.3">
      <c r="C1057" s="353">
        <f>ABS(E1057-Dashboard!$F$14)</f>
        <v>28.809398835839971</v>
      </c>
      <c r="D1057" s="350">
        <f t="shared" si="1059"/>
        <v>0.17844999999999558</v>
      </c>
      <c r="E1057" s="359" cm="1">
        <f t="array" ref="E1057">1000*SUM('DRE + DCF'!$L$36/M1057,'DRE + DCF'!$N$36:$V$36/N1057:V1057,F1057/V1057)/Dashboard!$F$11</f>
        <v>125.79939883583997</v>
      </c>
      <c r="F1057" s="359">
        <f t="shared" si="1057"/>
        <v>16548170.363736574</v>
      </c>
      <c r="G1057" s="359">
        <f>'DRE + DCF'!$W$31</f>
        <v>2791623.3540418856</v>
      </c>
      <c r="H1057" s="359">
        <f>'DRE + DCF'!$W$32</f>
        <v>81081.931703745853</v>
      </c>
      <c r="I1057" s="359">
        <f>-H1057*('DRE + DCF'!$V$33+K1057)/'DRE + DCF'!$V$33</f>
        <v>-90858.801614444121</v>
      </c>
      <c r="J1057" s="359">
        <f>-'DRE + DCF'!$V$56*L1057</f>
        <v>-1188924.4255577971</v>
      </c>
      <c r="K1057" s="360">
        <f>(1+L1057)/(1+Ke!$O$12)-1</f>
        <v>2.0000000000000018E-2</v>
      </c>
      <c r="L1057" s="360">
        <f>'DRE + DCF'!$Y$31</f>
        <v>7.3550000000000004E-2</v>
      </c>
      <c r="M1057" s="361">
        <f>(1+D1057)^((5-Dashboard!$F$9)*3/12)</f>
        <v>1.1310540796351303</v>
      </c>
      <c r="N1057" s="361">
        <f t="shared" ref="N1057:V1057" si="1078">M1057*(1+$D1057)</f>
        <v>1.3328906801460143</v>
      </c>
      <c r="O1057" s="361">
        <f t="shared" si="1078"/>
        <v>1.5707450220180645</v>
      </c>
      <c r="P1057" s="361">
        <f t="shared" si="1078"/>
        <v>1.8510444711971812</v>
      </c>
      <c r="Q1057" s="361">
        <f t="shared" si="1078"/>
        <v>2.1813633570823101</v>
      </c>
      <c r="R1057" s="361">
        <f t="shared" si="1078"/>
        <v>2.5706276481536388</v>
      </c>
      <c r="S1057" s="361">
        <f t="shared" si="1078"/>
        <v>3.0293561519666441</v>
      </c>
      <c r="T1057" s="361">
        <f t="shared" si="1078"/>
        <v>3.5699447572850782</v>
      </c>
      <c r="U1057" s="361">
        <f t="shared" si="1078"/>
        <v>4.2070013992225848</v>
      </c>
      <c r="V1057" s="362">
        <f t="shared" si="1078"/>
        <v>4.9577407989138367</v>
      </c>
      <c r="X1057" s="351"/>
    </row>
    <row r="1058" spans="3:24" ht="24.75" customHeight="1" x14ac:dyDescent="0.3">
      <c r="C1058" s="353">
        <f>ABS(E1058-Dashboard!$F$14)</f>
        <v>28.686614692251808</v>
      </c>
      <c r="D1058" s="350">
        <f t="shared" si="1059"/>
        <v>0.17854999999999557</v>
      </c>
      <c r="E1058" s="359" cm="1">
        <f t="array" ref="E1058">1000*SUM('DRE + DCF'!$L$36/M1058,'DRE + DCF'!$N$36:$V$36/N1058:V1058,F1058/V1058)/Dashboard!$F$11</f>
        <v>125.6766146922518</v>
      </c>
      <c r="F1058" s="359">
        <f t="shared" si="1057"/>
        <v>16535704.523698466</v>
      </c>
      <c r="G1058" s="359">
        <f>'DRE + DCF'!$W$31</f>
        <v>2791623.3540418856</v>
      </c>
      <c r="H1058" s="359">
        <f>'DRE + DCF'!$W$32</f>
        <v>81081.931703745853</v>
      </c>
      <c r="I1058" s="359">
        <f>-H1058*('DRE + DCF'!$V$33+K1058)/'DRE + DCF'!$V$33</f>
        <v>-90858.801614444121</v>
      </c>
      <c r="J1058" s="359">
        <f>-'DRE + DCF'!$V$56*L1058</f>
        <v>-1188924.4255577971</v>
      </c>
      <c r="K1058" s="360">
        <f>(1+L1058)/(1+Ke!$O$12)-1</f>
        <v>2.0000000000000018E-2</v>
      </c>
      <c r="L1058" s="360">
        <f>'DRE + DCF'!$Y$31</f>
        <v>7.3550000000000004E-2</v>
      </c>
      <c r="M1058" s="361">
        <f>(1+D1058)^((5-Dashboard!$F$9)*3/12)</f>
        <v>1.1311260624568111</v>
      </c>
      <c r="N1058" s="361">
        <f t="shared" ref="N1058:V1058" si="1079">M1058*(1+$D1058)</f>
        <v>1.3330886209084698</v>
      </c>
      <c r="O1058" s="361">
        <f t="shared" si="1079"/>
        <v>1.5711115941716711</v>
      </c>
      <c r="P1058" s="361">
        <f t="shared" si="1079"/>
        <v>1.851633569311016</v>
      </c>
      <c r="Q1058" s="361">
        <f t="shared" si="1079"/>
        <v>2.1822427431114897</v>
      </c>
      <c r="R1058" s="361">
        <f t="shared" si="1079"/>
        <v>2.5718821848940365</v>
      </c>
      <c r="S1058" s="361">
        <f t="shared" si="1079"/>
        <v>3.0310917490068552</v>
      </c>
      <c r="T1058" s="361">
        <f t="shared" si="1079"/>
        <v>3.5722931807920157</v>
      </c>
      <c r="U1058" s="361">
        <f t="shared" si="1079"/>
        <v>4.2101261282224138</v>
      </c>
      <c r="V1058" s="362">
        <f t="shared" si="1079"/>
        <v>4.9618441484165068</v>
      </c>
      <c r="X1058" s="351"/>
    </row>
    <row r="1059" spans="3:24" ht="24.75" customHeight="1" x14ac:dyDescent="0.3">
      <c r="C1059" s="353">
        <f>ABS(E1059-Dashboard!$F$14)</f>
        <v>28.564040004589927</v>
      </c>
      <c r="D1059" s="350">
        <f t="shared" si="1059"/>
        <v>0.17864999999999556</v>
      </c>
      <c r="E1059" s="359" cm="1">
        <f t="array" ref="E1059">1000*SUM('DRE + DCF'!$L$36/M1059,'DRE + DCF'!$N$36:$V$36/N1059:V1059,F1059/V1059)/Dashboard!$F$11</f>
        <v>125.55404000458992</v>
      </c>
      <c r="F1059" s="359">
        <f t="shared" si="1057"/>
        <v>16523258.721016228</v>
      </c>
      <c r="G1059" s="359">
        <f>'DRE + DCF'!$W$31</f>
        <v>2791623.3540418856</v>
      </c>
      <c r="H1059" s="359">
        <f>'DRE + DCF'!$W$32</f>
        <v>81081.931703745853</v>
      </c>
      <c r="I1059" s="359">
        <f>-H1059*('DRE + DCF'!$V$33+K1059)/'DRE + DCF'!$V$33</f>
        <v>-90858.801614444121</v>
      </c>
      <c r="J1059" s="359">
        <f>-'DRE + DCF'!$V$56*L1059</f>
        <v>-1188924.4255577971</v>
      </c>
      <c r="K1059" s="360">
        <f>(1+L1059)/(1+Ke!$O$12)-1</f>
        <v>2.0000000000000018E-2</v>
      </c>
      <c r="L1059" s="360">
        <f>'DRE + DCF'!$Y$31</f>
        <v>7.3550000000000004E-2</v>
      </c>
      <c r="M1059" s="361">
        <f>(1+D1059)^((5-Dashboard!$F$9)*3/12)</f>
        <v>1.1311980437515718</v>
      </c>
      <c r="N1059" s="361">
        <f t="shared" ref="N1059:V1059" si="1080">M1059*(1+$D1059)</f>
        <v>1.3332865742677851</v>
      </c>
      <c r="O1059" s="361">
        <f t="shared" si="1080"/>
        <v>1.571478220760719</v>
      </c>
      <c r="P1059" s="361">
        <f t="shared" si="1080"/>
        <v>1.8522228048996143</v>
      </c>
      <c r="Q1059" s="361">
        <f t="shared" si="1080"/>
        <v>2.1831224089949219</v>
      </c>
      <c r="R1059" s="361">
        <f t="shared" si="1080"/>
        <v>2.5731372273618551</v>
      </c>
      <c r="S1059" s="361">
        <f t="shared" si="1080"/>
        <v>3.0328281930300389</v>
      </c>
      <c r="T1059" s="361">
        <f t="shared" si="1080"/>
        <v>3.5746429497148418</v>
      </c>
      <c r="U1059" s="361">
        <f t="shared" si="1080"/>
        <v>4.2132529126813827</v>
      </c>
      <c r="V1059" s="362">
        <f t="shared" si="1080"/>
        <v>4.9659505455318929</v>
      </c>
      <c r="X1059" s="351"/>
    </row>
    <row r="1060" spans="3:24" ht="24.75" customHeight="1" x14ac:dyDescent="0.3">
      <c r="C1060" s="353">
        <f>ABS(E1060-Dashboard!$F$14)</f>
        <v>28.441674250707891</v>
      </c>
      <c r="D1060" s="350">
        <f t="shared" si="1059"/>
        <v>0.17874999999999555</v>
      </c>
      <c r="E1060" s="359" cm="1">
        <f t="array" ref="E1060">1000*SUM('DRE + DCF'!$L$36/M1060,'DRE + DCF'!$N$36:$V$36/N1060:V1060,F1060/V1060)/Dashboard!$F$11</f>
        <v>125.43167425070789</v>
      </c>
      <c r="F1060" s="359">
        <f t="shared" si="1057"/>
        <v>16510832.904727019</v>
      </c>
      <c r="G1060" s="359">
        <f>'DRE + DCF'!$W$31</f>
        <v>2791623.3540418856</v>
      </c>
      <c r="H1060" s="359">
        <f>'DRE + DCF'!$W$32</f>
        <v>81081.931703745853</v>
      </c>
      <c r="I1060" s="359">
        <f>-H1060*('DRE + DCF'!$V$33+K1060)/'DRE + DCF'!$V$33</f>
        <v>-90858.801614444121</v>
      </c>
      <c r="J1060" s="359">
        <f>-'DRE + DCF'!$V$56*L1060</f>
        <v>-1188924.4255577971</v>
      </c>
      <c r="K1060" s="360">
        <f>(1+L1060)/(1+Ke!$O$12)-1</f>
        <v>2.0000000000000018E-2</v>
      </c>
      <c r="L1060" s="360">
        <f>'DRE + DCF'!$Y$31</f>
        <v>7.3550000000000004E-2</v>
      </c>
      <c r="M1060" s="361">
        <f>(1+D1060)^((5-Dashboard!$F$9)*3/12)</f>
        <v>1.1312700235195747</v>
      </c>
      <c r="N1060" s="361">
        <f t="shared" ref="N1060:V1060" si="1081">M1060*(1+$D1060)</f>
        <v>1.3334845402236937</v>
      </c>
      <c r="O1060" s="361">
        <f t="shared" si="1081"/>
        <v>1.5718449017886729</v>
      </c>
      <c r="P1060" s="361">
        <f t="shared" si="1081"/>
        <v>1.852812177983391</v>
      </c>
      <c r="Q1060" s="361">
        <f t="shared" si="1081"/>
        <v>2.1840023547979137</v>
      </c>
      <c r="R1060" s="361">
        <f t="shared" si="1081"/>
        <v>2.5743927757180312</v>
      </c>
      <c r="S1060" s="361">
        <f t="shared" si="1081"/>
        <v>3.0345654843776178</v>
      </c>
      <c r="T1060" s="361">
        <f t="shared" si="1081"/>
        <v>3.5769940647101035</v>
      </c>
      <c r="U1060" s="361">
        <f t="shared" si="1081"/>
        <v>4.2163817537770187</v>
      </c>
      <c r="V1060" s="362">
        <f t="shared" si="1081"/>
        <v>4.970059992264642</v>
      </c>
      <c r="X1060" s="351"/>
    </row>
    <row r="1061" spans="3:24" ht="24.75" customHeight="1" x14ac:dyDescent="0.3">
      <c r="C1061" s="353">
        <f>ABS(E1061-Dashboard!$F$14)</f>
        <v>28.319516910231073</v>
      </c>
      <c r="D1061" s="350">
        <f t="shared" si="1059"/>
        <v>0.17884999999999554</v>
      </c>
      <c r="E1061" s="359" cm="1">
        <f t="array" ref="E1061">1000*SUM('DRE + DCF'!$L$36/M1061,'DRE + DCF'!$N$36:$V$36/N1061:V1061,F1061/V1061)/Dashboard!$F$11</f>
        <v>125.30951691023107</v>
      </c>
      <c r="F1061" s="359">
        <f t="shared" si="1057"/>
        <v>16498427.024047803</v>
      </c>
      <c r="G1061" s="359">
        <f>'DRE + DCF'!$W$31</f>
        <v>2791623.3540418856</v>
      </c>
      <c r="H1061" s="359">
        <f>'DRE + DCF'!$W$32</f>
        <v>81081.931703745853</v>
      </c>
      <c r="I1061" s="359">
        <f>-H1061*('DRE + DCF'!$V$33+K1061)/'DRE + DCF'!$V$33</f>
        <v>-90858.801614444121</v>
      </c>
      <c r="J1061" s="359">
        <f>-'DRE + DCF'!$V$56*L1061</f>
        <v>-1188924.4255577971</v>
      </c>
      <c r="K1061" s="360">
        <f>(1+L1061)/(1+Ke!$O$12)-1</f>
        <v>2.0000000000000018E-2</v>
      </c>
      <c r="L1061" s="360">
        <f>'DRE + DCF'!$Y$31</f>
        <v>7.3550000000000004E-2</v>
      </c>
      <c r="M1061" s="361">
        <f>(1+D1061)^((5-Dashboard!$F$9)*3/12)</f>
        <v>1.1313420017609814</v>
      </c>
      <c r="N1061" s="361">
        <f t="shared" ref="N1061:V1061" si="1082">M1061*(1+$D1061)</f>
        <v>1.3336825187759278</v>
      </c>
      <c r="O1061" s="361">
        <f t="shared" si="1082"/>
        <v>1.5722116372589965</v>
      </c>
      <c r="P1061" s="361">
        <f t="shared" si="1082"/>
        <v>1.8534016885827609</v>
      </c>
      <c r="Q1061" s="361">
        <f t="shared" si="1082"/>
        <v>2.1848825805857794</v>
      </c>
      <c r="R1061" s="361">
        <f t="shared" si="1082"/>
        <v>2.5756488301235363</v>
      </c>
      <c r="S1061" s="361">
        <f t="shared" si="1082"/>
        <v>3.0363036233911194</v>
      </c>
      <c r="T1061" s="361">
        <f t="shared" si="1082"/>
        <v>3.5793465264346076</v>
      </c>
      <c r="U1061" s="361">
        <f t="shared" si="1082"/>
        <v>4.2195126526874214</v>
      </c>
      <c r="V1061" s="362">
        <f t="shared" si="1082"/>
        <v>4.974172490620548</v>
      </c>
      <c r="X1061" s="351"/>
    </row>
    <row r="1062" spans="3:24" ht="24.75" customHeight="1" x14ac:dyDescent="0.3">
      <c r="C1062" s="353">
        <f>ABS(E1062-Dashboard!$F$14)</f>
        <v>28.197567464548428</v>
      </c>
      <c r="D1062" s="350">
        <f t="shared" si="1059"/>
        <v>0.17894999999999553</v>
      </c>
      <c r="E1062" s="359" cm="1">
        <f t="array" ref="E1062">1000*SUM('DRE + DCF'!$L$36/M1062,'DRE + DCF'!$N$36:$V$36/N1062:V1062,F1062/V1062)/Dashboard!$F$11</f>
        <v>125.18756746454842</v>
      </c>
      <c r="F1062" s="359">
        <f t="shared" si="1057"/>
        <v>16486041.028374493</v>
      </c>
      <c r="G1062" s="359">
        <f>'DRE + DCF'!$W$31</f>
        <v>2791623.3540418856</v>
      </c>
      <c r="H1062" s="359">
        <f>'DRE + DCF'!$W$32</f>
        <v>81081.931703745853</v>
      </c>
      <c r="I1062" s="359">
        <f>-H1062*('DRE + DCF'!$V$33+K1062)/'DRE + DCF'!$V$33</f>
        <v>-90858.801614444121</v>
      </c>
      <c r="J1062" s="359">
        <f>-'DRE + DCF'!$V$56*L1062</f>
        <v>-1188924.4255577971</v>
      </c>
      <c r="K1062" s="360">
        <f>(1+L1062)/(1+Ke!$O$12)-1</f>
        <v>2.0000000000000018E-2</v>
      </c>
      <c r="L1062" s="360">
        <f>'DRE + DCF'!$Y$31</f>
        <v>7.3550000000000004E-2</v>
      </c>
      <c r="M1062" s="361">
        <f>(1+D1062)^((5-Dashboard!$F$9)*3/12)</f>
        <v>1.131413978475954</v>
      </c>
      <c r="N1062" s="361">
        <f t="shared" ref="N1062:V1062" si="1083">M1062*(1+$D1062)</f>
        <v>1.333880509924221</v>
      </c>
      <c r="O1062" s="361">
        <f t="shared" si="1083"/>
        <v>1.5725784271751544</v>
      </c>
      <c r="P1062" s="361">
        <f t="shared" si="1083"/>
        <v>1.8539913367181411</v>
      </c>
      <c r="Q1062" s="361">
        <f t="shared" si="1083"/>
        <v>2.1857630864238442</v>
      </c>
      <c r="R1062" s="361">
        <f t="shared" si="1083"/>
        <v>2.5769053907393813</v>
      </c>
      <c r="S1062" s="361">
        <f t="shared" si="1083"/>
        <v>3.038042610412182</v>
      </c>
      <c r="T1062" s="361">
        <f t="shared" si="1083"/>
        <v>3.5817003355454284</v>
      </c>
      <c r="U1062" s="361">
        <f t="shared" si="1083"/>
        <v>4.2226456105912664</v>
      </c>
      <c r="V1062" s="362">
        <f t="shared" si="1083"/>
        <v>4.9782880426065548</v>
      </c>
      <c r="X1062" s="351"/>
    </row>
    <row r="1063" spans="3:24" ht="24.75" customHeight="1" x14ac:dyDescent="0.3">
      <c r="C1063" s="353">
        <f>ABS(E1063-Dashboard!$F$14)</f>
        <v>28.075825396805172</v>
      </c>
      <c r="D1063" s="350">
        <f t="shared" si="1059"/>
        <v>0.17904999999999552</v>
      </c>
      <c r="E1063" s="359" cm="1">
        <f t="array" ref="E1063">1000*SUM('DRE + DCF'!$L$36/M1063,'DRE + DCF'!$N$36:$V$36/N1063:V1063,F1063/V1063)/Dashboard!$F$11</f>
        <v>125.06582539680517</v>
      </c>
      <c r="F1063" s="359">
        <f t="shared" si="1057"/>
        <v>16473674.867281178</v>
      </c>
      <c r="G1063" s="359">
        <f>'DRE + DCF'!$W$31</f>
        <v>2791623.3540418856</v>
      </c>
      <c r="H1063" s="359">
        <f>'DRE + DCF'!$W$32</f>
        <v>81081.931703745853</v>
      </c>
      <c r="I1063" s="359">
        <f>-H1063*('DRE + DCF'!$V$33+K1063)/'DRE + DCF'!$V$33</f>
        <v>-90858.801614444121</v>
      </c>
      <c r="J1063" s="359">
        <f>-'DRE + DCF'!$V$56*L1063</f>
        <v>-1188924.4255577971</v>
      </c>
      <c r="K1063" s="360">
        <f>(1+L1063)/(1+Ke!$O$12)-1</f>
        <v>2.0000000000000018E-2</v>
      </c>
      <c r="L1063" s="360">
        <f>'DRE + DCF'!$Y$31</f>
        <v>7.3550000000000004E-2</v>
      </c>
      <c r="M1063" s="361">
        <f>(1+D1063)^((5-Dashboard!$F$9)*3/12)</f>
        <v>1.1314859536646542</v>
      </c>
      <c r="N1063" s="361">
        <f t="shared" ref="N1063:V1063" si="1084">M1063*(1+$D1063)</f>
        <v>1.3340785136683055</v>
      </c>
      <c r="O1063" s="361">
        <f t="shared" si="1084"/>
        <v>1.5729452715406096</v>
      </c>
      <c r="P1063" s="361">
        <f t="shared" si="1084"/>
        <v>1.8545811224099487</v>
      </c>
      <c r="Q1063" s="361">
        <f t="shared" si="1084"/>
        <v>2.1866438723774415</v>
      </c>
      <c r="R1063" s="361">
        <f t="shared" si="1084"/>
        <v>2.5781624577266125</v>
      </c>
      <c r="S1063" s="361">
        <f t="shared" si="1084"/>
        <v>3.0397824457825506</v>
      </c>
      <c r="T1063" s="361">
        <f t="shared" si="1084"/>
        <v>3.5840554926999024</v>
      </c>
      <c r="U1063" s="361">
        <f t="shared" si="1084"/>
        <v>4.2257806286678035</v>
      </c>
      <c r="V1063" s="362">
        <f t="shared" si="1084"/>
        <v>4.9824066502307547</v>
      </c>
      <c r="X1063" s="351"/>
    </row>
    <row r="1064" spans="3:24" ht="24.75" customHeight="1" x14ac:dyDescent="0.3">
      <c r="C1064" s="353">
        <f>ABS(E1064-Dashboard!$F$14)</f>
        <v>27.954290191894771</v>
      </c>
      <c r="D1064" s="350">
        <f t="shared" si="1059"/>
        <v>0.17914999999999551</v>
      </c>
      <c r="E1064" s="359" cm="1">
        <f t="array" ref="E1064">1000*SUM('DRE + DCF'!$L$36/M1064,'DRE + DCF'!$N$36:$V$36/N1064:V1064,F1064/V1064)/Dashboard!$F$11</f>
        <v>124.94429019189477</v>
      </c>
      <c r="F1064" s="359">
        <f t="shared" si="1057"/>
        <v>16461328.490519309</v>
      </c>
      <c r="G1064" s="359">
        <f>'DRE + DCF'!$W$31</f>
        <v>2791623.3540418856</v>
      </c>
      <c r="H1064" s="359">
        <f>'DRE + DCF'!$W$32</f>
        <v>81081.931703745853</v>
      </c>
      <c r="I1064" s="359">
        <f>-H1064*('DRE + DCF'!$V$33+K1064)/'DRE + DCF'!$V$33</f>
        <v>-90858.801614444121</v>
      </c>
      <c r="J1064" s="359">
        <f>-'DRE + DCF'!$V$56*L1064</f>
        <v>-1188924.4255577971</v>
      </c>
      <c r="K1064" s="360">
        <f>(1+L1064)/(1+Ke!$O$12)-1</f>
        <v>2.0000000000000018E-2</v>
      </c>
      <c r="L1064" s="360">
        <f>'DRE + DCF'!$Y$31</f>
        <v>7.3550000000000004E-2</v>
      </c>
      <c r="M1064" s="361">
        <f>(1+D1064)^((5-Dashboard!$F$9)*3/12)</f>
        <v>1.1315579273272438</v>
      </c>
      <c r="N1064" s="361">
        <f t="shared" ref="N1064:V1064" si="1085">M1064*(1+$D1064)</f>
        <v>1.3342765300079145</v>
      </c>
      <c r="O1064" s="361">
        <f t="shared" si="1085"/>
        <v>1.5733121703588262</v>
      </c>
      <c r="P1064" s="361">
        <f t="shared" si="1085"/>
        <v>1.8551710456786028</v>
      </c>
      <c r="Q1064" s="361">
        <f t="shared" si="1085"/>
        <v>2.187524938511916</v>
      </c>
      <c r="R1064" s="361">
        <f t="shared" si="1085"/>
        <v>2.579420031246316</v>
      </c>
      <c r="S1064" s="361">
        <f t="shared" si="1085"/>
        <v>3.0415231298440819</v>
      </c>
      <c r="T1064" s="361">
        <f t="shared" si="1085"/>
        <v>3.5864119985556355</v>
      </c>
      <c r="U1064" s="361">
        <f t="shared" si="1085"/>
        <v>4.2289177080968612</v>
      </c>
      <c r="V1064" s="362">
        <f t="shared" si="1085"/>
        <v>4.9865283155023947</v>
      </c>
      <c r="X1064" s="351"/>
    </row>
    <row r="1065" spans="3:24" ht="24.75" customHeight="1" x14ac:dyDescent="0.3">
      <c r="C1065" s="353">
        <f>ABS(E1065-Dashboard!$F$14)</f>
        <v>27.832961336451589</v>
      </c>
      <c r="D1065" s="350">
        <f t="shared" si="1059"/>
        <v>0.1792499999999955</v>
      </c>
      <c r="E1065" s="359" cm="1">
        <f t="array" ref="E1065">1000*SUM('DRE + DCF'!$L$36/M1065,'DRE + DCF'!$N$36:$V$36/N1065:V1065,F1065/V1065)/Dashboard!$F$11</f>
        <v>124.82296133645158</v>
      </c>
      <c r="F1065" s="359">
        <f t="shared" si="1057"/>
        <v>16449001.848016884</v>
      </c>
      <c r="G1065" s="359">
        <f>'DRE + DCF'!$W$31</f>
        <v>2791623.3540418856</v>
      </c>
      <c r="H1065" s="359">
        <f>'DRE + DCF'!$W$32</f>
        <v>81081.931703745853</v>
      </c>
      <c r="I1065" s="359">
        <f>-H1065*('DRE + DCF'!$V$33+K1065)/'DRE + DCF'!$V$33</f>
        <v>-90858.801614444121</v>
      </c>
      <c r="J1065" s="359">
        <f>-'DRE + DCF'!$V$56*L1065</f>
        <v>-1188924.4255577971</v>
      </c>
      <c r="K1065" s="360">
        <f>(1+L1065)/(1+Ke!$O$12)-1</f>
        <v>2.0000000000000018E-2</v>
      </c>
      <c r="L1065" s="360">
        <f>'DRE + DCF'!$Y$31</f>
        <v>7.3550000000000004E-2</v>
      </c>
      <c r="M1065" s="361">
        <f>(1+D1065)^((5-Dashboard!$F$9)*3/12)</f>
        <v>1.1316298994638847</v>
      </c>
      <c r="N1065" s="361">
        <f t="shared" ref="N1065:V1065" si="1086">M1065*(1+$D1065)</f>
        <v>1.3344745589427809</v>
      </c>
      <c r="O1065" s="361">
        <f t="shared" si="1086"/>
        <v>1.5736791236332683</v>
      </c>
      <c r="P1065" s="361">
        <f t="shared" si="1086"/>
        <v>1.8557611065445245</v>
      </c>
      <c r="Q1065" s="361">
        <f t="shared" si="1086"/>
        <v>2.188406284892622</v>
      </c>
      <c r="R1065" s="361">
        <f t="shared" si="1086"/>
        <v>2.5806781114596147</v>
      </c>
      <c r="S1065" s="361">
        <f t="shared" si="1086"/>
        <v>3.0432646629387388</v>
      </c>
      <c r="T1065" s="361">
        <f t="shared" si="1086"/>
        <v>3.588769853770494</v>
      </c>
      <c r="U1065" s="361">
        <f t="shared" si="1086"/>
        <v>4.2320568500588385</v>
      </c>
      <c r="V1065" s="362">
        <f t="shared" si="1086"/>
        <v>4.9906530404318659</v>
      </c>
      <c r="X1065" s="351"/>
    </row>
    <row r="1066" spans="3:24" ht="24.75" customHeight="1" x14ac:dyDescent="0.3">
      <c r="C1066" s="353">
        <f>ABS(E1066-Dashboard!$F$14)</f>
        <v>27.711838318843135</v>
      </c>
      <c r="D1066" s="350">
        <f t="shared" si="1059"/>
        <v>0.17934999999999549</v>
      </c>
      <c r="E1066" s="359" cm="1">
        <f t="array" ref="E1066">1000*SUM('DRE + DCF'!$L$36/M1066,'DRE + DCF'!$N$36:$V$36/N1066:V1066,F1066/V1066)/Dashboard!$F$11</f>
        <v>124.70183831884313</v>
      </c>
      <c r="F1066" s="359">
        <f t="shared" si="1057"/>
        <v>16436694.889877666</v>
      </c>
      <c r="G1066" s="359">
        <f>'DRE + DCF'!$W$31</f>
        <v>2791623.3540418856</v>
      </c>
      <c r="H1066" s="359">
        <f>'DRE + DCF'!$W$32</f>
        <v>81081.931703745853</v>
      </c>
      <c r="I1066" s="359">
        <f>-H1066*('DRE + DCF'!$V$33+K1066)/'DRE + DCF'!$V$33</f>
        <v>-90858.801614444121</v>
      </c>
      <c r="J1066" s="359">
        <f>-'DRE + DCF'!$V$56*L1066</f>
        <v>-1188924.4255577971</v>
      </c>
      <c r="K1066" s="360">
        <f>(1+L1066)/(1+Ke!$O$12)-1</f>
        <v>2.0000000000000018E-2</v>
      </c>
      <c r="L1066" s="360">
        <f>'DRE + DCF'!$Y$31</f>
        <v>7.3550000000000004E-2</v>
      </c>
      <c r="M1066" s="361">
        <f>(1+D1066)^((5-Dashboard!$F$9)*3/12)</f>
        <v>1.1317018700747385</v>
      </c>
      <c r="N1066" s="361">
        <f t="shared" ref="N1066:V1066" si="1087">M1066*(1+$D1066)</f>
        <v>1.3346726004726377</v>
      </c>
      <c r="O1066" s="361">
        <f t="shared" si="1087"/>
        <v>1.5740461313673992</v>
      </c>
      <c r="P1066" s="361">
        <f t="shared" si="1087"/>
        <v>1.8563513050281351</v>
      </c>
      <c r="Q1066" s="361">
        <f t="shared" si="1087"/>
        <v>2.1892879115849229</v>
      </c>
      <c r="R1066" s="361">
        <f t="shared" si="1087"/>
        <v>2.5819366985276688</v>
      </c>
      <c r="S1066" s="361">
        <f t="shared" si="1087"/>
        <v>3.0450070454085947</v>
      </c>
      <c r="T1066" s="361">
        <f t="shared" si="1087"/>
        <v>3.5911290590026121</v>
      </c>
      <c r="U1066" s="361">
        <f t="shared" si="1087"/>
        <v>4.2351980557347142</v>
      </c>
      <c r="V1066" s="362">
        <f t="shared" si="1087"/>
        <v>4.9947808270307164</v>
      </c>
      <c r="X1066" s="351"/>
    </row>
    <row r="1067" spans="3:24" ht="24.75" customHeight="1" x14ac:dyDescent="0.3">
      <c r="C1067" s="353">
        <f>ABS(E1067-Dashboard!$F$14)</f>
        <v>27.590920629162667</v>
      </c>
      <c r="D1067" s="350">
        <f t="shared" si="1059"/>
        <v>0.17944999999999547</v>
      </c>
      <c r="E1067" s="359" cm="1">
        <f t="array" ref="E1067">1000*SUM('DRE + DCF'!$L$36/M1067,'DRE + DCF'!$N$36:$V$36/N1067:V1067,F1067/V1067)/Dashboard!$F$11</f>
        <v>124.58092062916266</v>
      </c>
      <c r="F1067" s="359">
        <f t="shared" si="1057"/>
        <v>16424407.566380385</v>
      </c>
      <c r="G1067" s="359">
        <f>'DRE + DCF'!$W$31</f>
        <v>2791623.3540418856</v>
      </c>
      <c r="H1067" s="359">
        <f>'DRE + DCF'!$W$32</f>
        <v>81081.931703745853</v>
      </c>
      <c r="I1067" s="359">
        <f>-H1067*('DRE + DCF'!$V$33+K1067)/'DRE + DCF'!$V$33</f>
        <v>-90858.801614444121</v>
      </c>
      <c r="J1067" s="359">
        <f>-'DRE + DCF'!$V$56*L1067</f>
        <v>-1188924.4255577971</v>
      </c>
      <c r="K1067" s="360">
        <f>(1+L1067)/(1+Ke!$O$12)-1</f>
        <v>2.0000000000000018E-2</v>
      </c>
      <c r="L1067" s="360">
        <f>'DRE + DCF'!$Y$31</f>
        <v>7.3550000000000004E-2</v>
      </c>
      <c r="M1067" s="361">
        <f>(1+D1067)^((5-Dashboard!$F$9)*3/12)</f>
        <v>1.131773839159967</v>
      </c>
      <c r="N1067" s="361">
        <f t="shared" ref="N1067:V1067" si="1088">M1067*(1+$D1067)</f>
        <v>1.334870654597218</v>
      </c>
      <c r="O1067" s="361">
        <f t="shared" si="1088"/>
        <v>1.5744131935646826</v>
      </c>
      <c r="P1067" s="361">
        <f t="shared" si="1088"/>
        <v>1.8569416411498576</v>
      </c>
      <c r="Q1067" s="361">
        <f t="shared" si="1088"/>
        <v>2.1901698186541911</v>
      </c>
      <c r="R1067" s="361">
        <f t="shared" si="1088"/>
        <v>2.5831957926116758</v>
      </c>
      <c r="S1067" s="361">
        <f t="shared" si="1088"/>
        <v>3.0467502775958293</v>
      </c>
      <c r="T1067" s="361">
        <f t="shared" si="1088"/>
        <v>3.593489614910387</v>
      </c>
      <c r="U1067" s="361">
        <f t="shared" si="1088"/>
        <v>4.2383413263060392</v>
      </c>
      <c r="V1067" s="362">
        <f t="shared" si="1088"/>
        <v>4.9989116773116384</v>
      </c>
      <c r="X1067" s="351"/>
    </row>
    <row r="1068" spans="3:24" ht="24.75" customHeight="1" x14ac:dyDescent="0.3">
      <c r="C1068" s="353">
        <f>ABS(E1068-Dashboard!$F$14)</f>
        <v>27.470207759221367</v>
      </c>
      <c r="D1068" s="350">
        <f t="shared" si="1059"/>
        <v>0.17954999999999546</v>
      </c>
      <c r="E1068" s="359" cm="1">
        <f t="array" ref="E1068">1000*SUM('DRE + DCF'!$L$36/M1068,'DRE + DCF'!$N$36:$V$36/N1068:V1068,F1068/V1068)/Dashboard!$F$11</f>
        <v>124.46020775922136</v>
      </c>
      <c r="F1068" s="359">
        <f t="shared" si="1057"/>
        <v>16412139.827977952</v>
      </c>
      <c r="G1068" s="359">
        <f>'DRE + DCF'!$W$31</f>
        <v>2791623.3540418856</v>
      </c>
      <c r="H1068" s="359">
        <f>'DRE + DCF'!$W$32</f>
        <v>81081.931703745853</v>
      </c>
      <c r="I1068" s="359">
        <f>-H1068*('DRE + DCF'!$V$33+K1068)/'DRE + DCF'!$V$33</f>
        <v>-90858.801614444121</v>
      </c>
      <c r="J1068" s="359">
        <f>-'DRE + DCF'!$V$56*L1068</f>
        <v>-1188924.4255577971</v>
      </c>
      <c r="K1068" s="360">
        <f>(1+L1068)/(1+Ke!$O$12)-1</f>
        <v>2.0000000000000018E-2</v>
      </c>
      <c r="L1068" s="360">
        <f>'DRE + DCF'!$Y$31</f>
        <v>7.3550000000000004E-2</v>
      </c>
      <c r="M1068" s="361">
        <f>(1+D1068)^((5-Dashboard!$F$9)*3/12)</f>
        <v>1.1318458067197319</v>
      </c>
      <c r="N1068" s="361">
        <f t="shared" ref="N1068:V1068" si="1089">M1068*(1+$D1068)</f>
        <v>1.3350687213162546</v>
      </c>
      <c r="O1068" s="361">
        <f t="shared" si="1089"/>
        <v>1.574780310228582</v>
      </c>
      <c r="P1068" s="361">
        <f t="shared" si="1089"/>
        <v>1.8575321149301167</v>
      </c>
      <c r="Q1068" s="361">
        <f t="shared" si="1089"/>
        <v>2.1910520061658105</v>
      </c>
      <c r="R1068" s="361">
        <f t="shared" si="1089"/>
        <v>2.5844553938728718</v>
      </c>
      <c r="S1068" s="361">
        <f t="shared" si="1089"/>
        <v>3.0484943598427341</v>
      </c>
      <c r="T1068" s="361">
        <f t="shared" si="1089"/>
        <v>3.5958515221524832</v>
      </c>
      <c r="U1068" s="361">
        <f t="shared" si="1089"/>
        <v>4.2414866629549453</v>
      </c>
      <c r="V1068" s="362">
        <f t="shared" si="1089"/>
        <v>5.0030455932884861</v>
      </c>
      <c r="X1068" s="351"/>
    </row>
    <row r="1069" spans="3:24" ht="24.75" customHeight="1" x14ac:dyDescent="0.3">
      <c r="C1069" s="353">
        <f>ABS(E1069-Dashboard!$F$14)</f>
        <v>27.349699202541288</v>
      </c>
      <c r="D1069" s="350">
        <f t="shared" si="1059"/>
        <v>0.17964999999999545</v>
      </c>
      <c r="E1069" s="359" cm="1">
        <f t="array" ref="E1069">1000*SUM('DRE + DCF'!$L$36/M1069,'DRE + DCF'!$N$36:$V$36/N1069:V1069,F1069/V1069)/Dashboard!$F$11</f>
        <v>124.33969920254128</v>
      </c>
      <c r="F1069" s="359">
        <f t="shared" si="1057"/>
        <v>16399891.625296671</v>
      </c>
      <c r="G1069" s="359">
        <f>'DRE + DCF'!$W$31</f>
        <v>2791623.3540418856</v>
      </c>
      <c r="H1069" s="359">
        <f>'DRE + DCF'!$W$32</f>
        <v>81081.931703745853</v>
      </c>
      <c r="I1069" s="359">
        <f>-H1069*('DRE + DCF'!$V$33+K1069)/'DRE + DCF'!$V$33</f>
        <v>-90858.801614444121</v>
      </c>
      <c r="J1069" s="359">
        <f>-'DRE + DCF'!$V$56*L1069</f>
        <v>-1188924.4255577971</v>
      </c>
      <c r="K1069" s="360">
        <f>(1+L1069)/(1+Ke!$O$12)-1</f>
        <v>2.0000000000000018E-2</v>
      </c>
      <c r="L1069" s="360">
        <f>'DRE + DCF'!$Y$31</f>
        <v>7.3550000000000004E-2</v>
      </c>
      <c r="M1069" s="361">
        <f>(1+D1069)^((5-Dashboard!$F$9)*3/12)</f>
        <v>1.1319177727541949</v>
      </c>
      <c r="N1069" s="361">
        <f t="shared" ref="N1069:V1069" si="1090">M1069*(1+$D1069)</f>
        <v>1.3352668006294808</v>
      </c>
      <c r="O1069" s="361">
        <f t="shared" si="1090"/>
        <v>1.575147481362561</v>
      </c>
      <c r="P1069" s="361">
        <f t="shared" si="1090"/>
        <v>1.8581227263893378</v>
      </c>
      <c r="Q1069" s="361">
        <f t="shared" si="1090"/>
        <v>2.1919344741851741</v>
      </c>
      <c r="R1069" s="361">
        <f t="shared" si="1090"/>
        <v>2.5857155024725307</v>
      </c>
      <c r="S1069" s="361">
        <f t="shared" si="1090"/>
        <v>3.050239292491709</v>
      </c>
      <c r="T1069" s="361">
        <f t="shared" si="1090"/>
        <v>3.5982147813878305</v>
      </c>
      <c r="U1069" s="361">
        <f t="shared" si="1090"/>
        <v>4.2446340668641378</v>
      </c>
      <c r="V1069" s="362">
        <f t="shared" si="1090"/>
        <v>5.0071825769762608</v>
      </c>
      <c r="X1069" s="351"/>
    </row>
    <row r="1070" spans="3:24" ht="24.75" customHeight="1" x14ac:dyDescent="0.3">
      <c r="C1070" s="353">
        <f>ABS(E1070-Dashboard!$F$14)</f>
        <v>27.229394454347769</v>
      </c>
      <c r="D1070" s="350">
        <f t="shared" si="1059"/>
        <v>0.17974999999999544</v>
      </c>
      <c r="E1070" s="359" cm="1">
        <f t="array" ref="E1070">1000*SUM('DRE + DCF'!$L$36/M1070,'DRE + DCF'!$N$36:$V$36/N1070:V1070,F1070/V1070)/Dashboard!$F$11</f>
        <v>124.21939445434776</v>
      </c>
      <c r="F1070" s="359">
        <f t="shared" si="1057"/>
        <v>16387662.909135472</v>
      </c>
      <c r="G1070" s="359">
        <f>'DRE + DCF'!$W$31</f>
        <v>2791623.3540418856</v>
      </c>
      <c r="H1070" s="359">
        <f>'DRE + DCF'!$W$32</f>
        <v>81081.931703745853</v>
      </c>
      <c r="I1070" s="359">
        <f>-H1070*('DRE + DCF'!$V$33+K1070)/'DRE + DCF'!$V$33</f>
        <v>-90858.801614444121</v>
      </c>
      <c r="J1070" s="359">
        <f>-'DRE + DCF'!$V$56*L1070</f>
        <v>-1188924.4255577971</v>
      </c>
      <c r="K1070" s="360">
        <f>(1+L1070)/(1+Ke!$O$12)-1</f>
        <v>2.0000000000000018E-2</v>
      </c>
      <c r="L1070" s="360">
        <f>'DRE + DCF'!$Y$31</f>
        <v>7.3550000000000004E-2</v>
      </c>
      <c r="M1070" s="361">
        <f>(1+D1070)^((5-Dashboard!$F$9)*3/12)</f>
        <v>1.1319897372635175</v>
      </c>
      <c r="N1070" s="361">
        <f t="shared" ref="N1070:V1070" si="1091">M1070*(1+$D1070)</f>
        <v>1.3354648925366295</v>
      </c>
      <c r="O1070" s="361">
        <f t="shared" si="1091"/>
        <v>1.5755147069700826</v>
      </c>
      <c r="P1070" s="361">
        <f t="shared" si="1091"/>
        <v>1.8587134755479477</v>
      </c>
      <c r="Q1070" s="361">
        <f t="shared" si="1091"/>
        <v>2.1928172227776828</v>
      </c>
      <c r="R1070" s="361">
        <f t="shared" si="1091"/>
        <v>2.5869761185719611</v>
      </c>
      <c r="S1070" s="361">
        <f t="shared" si="1091"/>
        <v>3.0519850758852591</v>
      </c>
      <c r="T1070" s="361">
        <f t="shared" si="1091"/>
        <v>3.6005793932756203</v>
      </c>
      <c r="U1070" s="361">
        <f t="shared" si="1091"/>
        <v>4.2477835392168961</v>
      </c>
      <c r="V1070" s="362">
        <f t="shared" si="1091"/>
        <v>5.0113226303911134</v>
      </c>
      <c r="X1070" s="351"/>
    </row>
    <row r="1071" spans="3:24" ht="24.75" customHeight="1" x14ac:dyDescent="0.3">
      <c r="C1071" s="353">
        <f>ABS(E1071-Dashboard!$F$14)</f>
        <v>27.109293011561746</v>
      </c>
      <c r="D1071" s="350">
        <f t="shared" si="1059"/>
        <v>0.17984999999999543</v>
      </c>
      <c r="E1071" s="359" cm="1">
        <f t="array" ref="E1071">1000*SUM('DRE + DCF'!$L$36/M1071,'DRE + DCF'!$N$36:$V$36/N1071:V1071,F1071/V1071)/Dashboard!$F$11</f>
        <v>124.09929301156174</v>
      </c>
      <c r="F1071" s="359">
        <f t="shared" si="1057"/>
        <v>16375453.630465116</v>
      </c>
      <c r="G1071" s="359">
        <f>'DRE + DCF'!$W$31</f>
        <v>2791623.3540418856</v>
      </c>
      <c r="H1071" s="359">
        <f>'DRE + DCF'!$W$32</f>
        <v>81081.931703745853</v>
      </c>
      <c r="I1071" s="359">
        <f>-H1071*('DRE + DCF'!$V$33+K1071)/'DRE + DCF'!$V$33</f>
        <v>-90858.801614444121</v>
      </c>
      <c r="J1071" s="359">
        <f>-'DRE + DCF'!$V$56*L1071</f>
        <v>-1188924.4255577971</v>
      </c>
      <c r="K1071" s="360">
        <f>(1+L1071)/(1+Ke!$O$12)-1</f>
        <v>2.0000000000000018E-2</v>
      </c>
      <c r="L1071" s="360">
        <f>'DRE + DCF'!$Y$31</f>
        <v>7.3550000000000004E-2</v>
      </c>
      <c r="M1071" s="361">
        <f>(1+D1071)^((5-Dashboard!$F$9)*3/12)</f>
        <v>1.1320617002478615</v>
      </c>
      <c r="N1071" s="361">
        <f t="shared" ref="N1071:V1071" si="1092">M1071*(1+$D1071)</f>
        <v>1.3356629970374341</v>
      </c>
      <c r="O1071" s="361">
        <f t="shared" si="1092"/>
        <v>1.5758819870546104</v>
      </c>
      <c r="P1071" s="361">
        <f t="shared" si="1092"/>
        <v>1.8593043624263748</v>
      </c>
      <c r="Q1071" s="361">
        <f t="shared" si="1092"/>
        <v>2.1937002520087496</v>
      </c>
      <c r="R1071" s="361">
        <f t="shared" si="1092"/>
        <v>2.5882372423325131</v>
      </c>
      <c r="S1071" s="361">
        <f t="shared" si="1092"/>
        <v>3.0537317103660038</v>
      </c>
      <c r="T1071" s="361">
        <f t="shared" si="1092"/>
        <v>3.6029453584753157</v>
      </c>
      <c r="U1071" s="361">
        <f t="shared" si="1092"/>
        <v>4.2509350811970847</v>
      </c>
      <c r="V1071" s="362">
        <f t="shared" si="1092"/>
        <v>5.0154657555503608</v>
      </c>
      <c r="X1071" s="351"/>
    </row>
    <row r="1072" spans="3:24" ht="24.75" customHeight="1" x14ac:dyDescent="0.3">
      <c r="C1072" s="353">
        <f>ABS(E1072-Dashboard!$F$14)</f>
        <v>26.989394372792987</v>
      </c>
      <c r="D1072" s="350">
        <f t="shared" si="1059"/>
        <v>0.17994999999999542</v>
      </c>
      <c r="E1072" s="359" cm="1">
        <f t="array" ref="E1072">1000*SUM('DRE + DCF'!$L$36/M1072,'DRE + DCF'!$N$36:$V$36/N1072:V1072,F1072/V1072)/Dashboard!$F$11</f>
        <v>123.97939437279298</v>
      </c>
      <c r="F1072" s="359">
        <f t="shared" si="1057"/>
        <v>16363263.740427453</v>
      </c>
      <c r="G1072" s="359">
        <f>'DRE + DCF'!$W$31</f>
        <v>2791623.3540418856</v>
      </c>
      <c r="H1072" s="359">
        <f>'DRE + DCF'!$W$32</f>
        <v>81081.931703745853</v>
      </c>
      <c r="I1072" s="359">
        <f>-H1072*('DRE + DCF'!$V$33+K1072)/'DRE + DCF'!$V$33</f>
        <v>-90858.801614444121</v>
      </c>
      <c r="J1072" s="359">
        <f>-'DRE + DCF'!$V$56*L1072</f>
        <v>-1188924.4255577971</v>
      </c>
      <c r="K1072" s="360">
        <f>(1+L1072)/(1+Ke!$O$12)-1</f>
        <v>2.0000000000000018E-2</v>
      </c>
      <c r="L1072" s="360">
        <f>'DRE + DCF'!$Y$31</f>
        <v>7.3550000000000004E-2</v>
      </c>
      <c r="M1072" s="361">
        <f>(1+D1072)^((5-Dashboard!$F$9)*3/12)</f>
        <v>1.1321336617073881</v>
      </c>
      <c r="N1072" s="361">
        <f t="shared" ref="N1072:V1072" si="1093">M1072*(1+$D1072)</f>
        <v>1.3358611141316272</v>
      </c>
      <c r="O1072" s="361">
        <f t="shared" si="1093"/>
        <v>1.5762493216196074</v>
      </c>
      <c r="P1072" s="361">
        <f t="shared" si="1093"/>
        <v>1.8598953870450485</v>
      </c>
      <c r="Q1072" s="361">
        <f t="shared" si="1093"/>
        <v>2.1945835619437966</v>
      </c>
      <c r="R1072" s="361">
        <f t="shared" si="1093"/>
        <v>2.5894988739155727</v>
      </c>
      <c r="S1072" s="361">
        <f t="shared" si="1093"/>
        <v>3.0554791962766679</v>
      </c>
      <c r="T1072" s="361">
        <f t="shared" si="1093"/>
        <v>3.6053126776466402</v>
      </c>
      <c r="U1072" s="361">
        <f t="shared" si="1093"/>
        <v>4.2540886939891367</v>
      </c>
      <c r="V1072" s="362">
        <f t="shared" si="1093"/>
        <v>5.0196119544724622</v>
      </c>
      <c r="X1072" s="351"/>
    </row>
    <row r="1073" spans="3:24" ht="24.75" customHeight="1" x14ac:dyDescent="0.3">
      <c r="C1073" s="353">
        <f>ABS(E1073-Dashboard!$F$14)</f>
        <v>26.869698038332231</v>
      </c>
      <c r="D1073" s="350">
        <f t="shared" si="1059"/>
        <v>0.18004999999999541</v>
      </c>
      <c r="E1073" s="359" cm="1">
        <f t="array" ref="E1073">1000*SUM('DRE + DCF'!$L$36/M1073,'DRE + DCF'!$N$36:$V$36/N1073:V1073,F1073/V1073)/Dashboard!$F$11</f>
        <v>123.85969803833223</v>
      </c>
      <c r="F1073" s="359">
        <f t="shared" si="1057"/>
        <v>16351093.190334618</v>
      </c>
      <c r="G1073" s="359">
        <f>'DRE + DCF'!$W$31</f>
        <v>2791623.3540418856</v>
      </c>
      <c r="H1073" s="359">
        <f>'DRE + DCF'!$W$32</f>
        <v>81081.931703745853</v>
      </c>
      <c r="I1073" s="359">
        <f>-H1073*('DRE + DCF'!$V$33+K1073)/'DRE + DCF'!$V$33</f>
        <v>-90858.801614444121</v>
      </c>
      <c r="J1073" s="359">
        <f>-'DRE + DCF'!$V$56*L1073</f>
        <v>-1188924.4255577971</v>
      </c>
      <c r="K1073" s="360">
        <f>(1+L1073)/(1+Ke!$O$12)-1</f>
        <v>2.0000000000000018E-2</v>
      </c>
      <c r="L1073" s="360">
        <f>'DRE + DCF'!$Y$31</f>
        <v>7.3550000000000004E-2</v>
      </c>
      <c r="M1073" s="361">
        <f>(1+D1073)^((5-Dashboard!$F$9)*3/12)</f>
        <v>1.1322056216422591</v>
      </c>
      <c r="N1073" s="361">
        <f t="shared" ref="N1073:V1073" si="1094">M1073*(1+$D1073)</f>
        <v>1.3360592438189427</v>
      </c>
      <c r="O1073" s="361">
        <f t="shared" si="1094"/>
        <v>1.5766167106685371</v>
      </c>
      <c r="P1073" s="361">
        <f t="shared" si="1094"/>
        <v>1.8604865494244001</v>
      </c>
      <c r="Q1073" s="361">
        <f t="shared" si="1094"/>
        <v>2.1954671526482548</v>
      </c>
      <c r="R1073" s="361">
        <f t="shared" si="1094"/>
        <v>2.5907610134825627</v>
      </c>
      <c r="S1073" s="361">
        <f t="shared" si="1094"/>
        <v>3.0572275339600861</v>
      </c>
      <c r="T1073" s="361">
        <f t="shared" si="1094"/>
        <v>3.6076813514495853</v>
      </c>
      <c r="U1073" s="361">
        <f t="shared" si="1094"/>
        <v>4.2572443787780667</v>
      </c>
      <c r="V1073" s="362">
        <f t="shared" si="1094"/>
        <v>5.0237612291770377</v>
      </c>
      <c r="X1073" s="351"/>
    </row>
    <row r="1074" spans="3:24" ht="24.75" customHeight="1" x14ac:dyDescent="0.3">
      <c r="C1074" s="353">
        <f>ABS(E1074-Dashboard!$F$14)</f>
        <v>26.750203510144274</v>
      </c>
      <c r="D1074" s="350">
        <f t="shared" si="1059"/>
        <v>0.1801499999999954</v>
      </c>
      <c r="E1074" s="359" cm="1">
        <f t="array" ref="E1074">1000*SUM('DRE + DCF'!$L$36/M1074,'DRE + DCF'!$N$36:$V$36/N1074:V1074,F1074/V1074)/Dashboard!$F$11</f>
        <v>123.74020351014427</v>
      </c>
      <c r="F1074" s="359">
        <f t="shared" si="1057"/>
        <v>16338941.931668306</v>
      </c>
      <c r="G1074" s="359">
        <f>'DRE + DCF'!$W$31</f>
        <v>2791623.3540418856</v>
      </c>
      <c r="H1074" s="359">
        <f>'DRE + DCF'!$W$32</f>
        <v>81081.931703745853</v>
      </c>
      <c r="I1074" s="359">
        <f>-H1074*('DRE + DCF'!$V$33+K1074)/'DRE + DCF'!$V$33</f>
        <v>-90858.801614444121</v>
      </c>
      <c r="J1074" s="359">
        <f>-'DRE + DCF'!$V$56*L1074</f>
        <v>-1188924.4255577971</v>
      </c>
      <c r="K1074" s="360">
        <f>(1+L1074)/(1+Ke!$O$12)-1</f>
        <v>2.0000000000000018E-2</v>
      </c>
      <c r="L1074" s="360">
        <f>'DRE + DCF'!$Y$31</f>
        <v>7.3550000000000004E-2</v>
      </c>
      <c r="M1074" s="361">
        <f>(1+D1074)^((5-Dashboard!$F$9)*3/12)</f>
        <v>1.1322775800526361</v>
      </c>
      <c r="N1074" s="361">
        <f t="shared" ref="N1074:V1074" si="1095">M1074*(1+$D1074)</f>
        <v>1.3362573860991134</v>
      </c>
      <c r="O1074" s="361">
        <f t="shared" si="1095"/>
        <v>1.5769841542048624</v>
      </c>
      <c r="P1074" s="361">
        <f t="shared" si="1095"/>
        <v>1.861077849584861</v>
      </c>
      <c r="Q1074" s="361">
        <f t="shared" si="1095"/>
        <v>2.1963510241875652</v>
      </c>
      <c r="R1074" s="361">
        <f t="shared" si="1095"/>
        <v>2.5920236611949448</v>
      </c>
      <c r="S1074" s="361">
        <f t="shared" si="1095"/>
        <v>3.0589767237592023</v>
      </c>
      <c r="T1074" s="361">
        <f t="shared" si="1095"/>
        <v>3.6100513805444083</v>
      </c>
      <c r="U1074" s="361">
        <f t="shared" si="1095"/>
        <v>4.2604021367494669</v>
      </c>
      <c r="V1074" s="362">
        <f t="shared" si="1095"/>
        <v>5.0279135816848637</v>
      </c>
      <c r="X1074" s="351"/>
    </row>
    <row r="1075" spans="3:24" ht="24.75" customHeight="1" x14ac:dyDescent="0.3">
      <c r="C1075" s="353">
        <f>ABS(E1075-Dashboard!$F$14)</f>
        <v>26.630910291860573</v>
      </c>
      <c r="D1075" s="350">
        <f t="shared" si="1059"/>
        <v>0.18024999999999539</v>
      </c>
      <c r="E1075" s="359" cm="1">
        <f t="array" ref="E1075">1000*SUM('DRE + DCF'!$L$36/M1075,'DRE + DCF'!$N$36:$V$36/N1075:V1075,F1075/V1075)/Dashboard!$F$11</f>
        <v>123.62091029186057</v>
      </c>
      <c r="F1075" s="359">
        <f t="shared" si="1057"/>
        <v>16326809.91607899</v>
      </c>
      <c r="G1075" s="359">
        <f>'DRE + DCF'!$W$31</f>
        <v>2791623.3540418856</v>
      </c>
      <c r="H1075" s="359">
        <f>'DRE + DCF'!$W$32</f>
        <v>81081.931703745853</v>
      </c>
      <c r="I1075" s="359">
        <f>-H1075*('DRE + DCF'!$V$33+K1075)/'DRE + DCF'!$V$33</f>
        <v>-90858.801614444121</v>
      </c>
      <c r="J1075" s="359">
        <f>-'DRE + DCF'!$V$56*L1075</f>
        <v>-1188924.4255577971</v>
      </c>
      <c r="K1075" s="360">
        <f>(1+L1075)/(1+Ke!$O$12)-1</f>
        <v>2.0000000000000018E-2</v>
      </c>
      <c r="L1075" s="360">
        <f>'DRE + DCF'!$Y$31</f>
        <v>7.3550000000000004E-2</v>
      </c>
      <c r="M1075" s="361">
        <f>(1+D1075)^((5-Dashboard!$F$9)*3/12)</f>
        <v>1.1323495369386802</v>
      </c>
      <c r="N1075" s="361">
        <f t="shared" ref="N1075:V1075" si="1096">M1075*(1+$D1075)</f>
        <v>1.3364555409718721</v>
      </c>
      <c r="O1075" s="361">
        <f t="shared" si="1096"/>
        <v>1.5773516522320459</v>
      </c>
      <c r="P1075" s="361">
        <f t="shared" si="1096"/>
        <v>1.8616692875468648</v>
      </c>
      <c r="Q1075" s="361">
        <f t="shared" si="1096"/>
        <v>2.1972351766271787</v>
      </c>
      <c r="R1075" s="361">
        <f t="shared" si="1096"/>
        <v>2.5932868172142176</v>
      </c>
      <c r="S1075" s="361">
        <f t="shared" si="1096"/>
        <v>3.0607267660170683</v>
      </c>
      <c r="T1075" s="361">
        <f t="shared" si="1096"/>
        <v>3.6124227655916306</v>
      </c>
      <c r="U1075" s="361">
        <f t="shared" si="1096"/>
        <v>4.2635619690895048</v>
      </c>
      <c r="V1075" s="362">
        <f t="shared" si="1096"/>
        <v>5.0320690140178685</v>
      </c>
      <c r="X1075" s="351"/>
    </row>
    <row r="1076" spans="3:24" ht="24.75" customHeight="1" x14ac:dyDescent="0.3">
      <c r="C1076" s="353">
        <f>ABS(E1076-Dashboard!$F$14)</f>
        <v>26.511817888772114</v>
      </c>
      <c r="D1076" s="350">
        <f t="shared" si="1059"/>
        <v>0.18034999999999538</v>
      </c>
      <c r="E1076" s="359" cm="1">
        <f t="array" ref="E1076">1000*SUM('DRE + DCF'!$L$36/M1076,'DRE + DCF'!$N$36:$V$36/N1076:V1076,F1076/V1076)/Dashboard!$F$11</f>
        <v>123.50181788877211</v>
      </c>
      <c r="F1076" s="359">
        <f t="shared" si="1057"/>
        <v>16314697.095385179</v>
      </c>
      <c r="G1076" s="359">
        <f>'DRE + DCF'!$W$31</f>
        <v>2791623.3540418856</v>
      </c>
      <c r="H1076" s="359">
        <f>'DRE + DCF'!$W$32</f>
        <v>81081.931703745853</v>
      </c>
      <c r="I1076" s="359">
        <f>-H1076*('DRE + DCF'!$V$33+K1076)/'DRE + DCF'!$V$33</f>
        <v>-90858.801614444121</v>
      </c>
      <c r="J1076" s="359">
        <f>-'DRE + DCF'!$V$56*L1076</f>
        <v>-1188924.4255577971</v>
      </c>
      <c r="K1076" s="360">
        <f>(1+L1076)/(1+Ke!$O$12)-1</f>
        <v>2.0000000000000018E-2</v>
      </c>
      <c r="L1076" s="360">
        <f>'DRE + DCF'!$Y$31</f>
        <v>7.3550000000000004E-2</v>
      </c>
      <c r="M1076" s="361">
        <f>(1+D1076)^((5-Dashboard!$F$9)*3/12)</f>
        <v>1.1324214923005533</v>
      </c>
      <c r="N1076" s="361">
        <f t="shared" ref="N1076:V1076" si="1097">M1076*(1+$D1076)</f>
        <v>1.336653708436953</v>
      </c>
      <c r="O1076" s="361">
        <f t="shared" si="1097"/>
        <v>1.5777192047535513</v>
      </c>
      <c r="P1076" s="361">
        <f t="shared" si="1097"/>
        <v>1.8622608633308471</v>
      </c>
      <c r="Q1076" s="361">
        <f t="shared" si="1097"/>
        <v>2.1981196100325566</v>
      </c>
      <c r="R1076" s="361">
        <f t="shared" si="1097"/>
        <v>2.5945504817019178</v>
      </c>
      <c r="S1076" s="361">
        <f t="shared" si="1097"/>
        <v>3.0624776610768465</v>
      </c>
      <c r="T1076" s="361">
        <f t="shared" si="1097"/>
        <v>3.6147955072520417</v>
      </c>
      <c r="U1076" s="361">
        <f t="shared" si="1097"/>
        <v>4.2667238769849307</v>
      </c>
      <c r="V1076" s="362">
        <f t="shared" si="1097"/>
        <v>5.0362275281991433</v>
      </c>
      <c r="X1076" s="351"/>
    </row>
    <row r="1077" spans="3:24" ht="24.75" customHeight="1" x14ac:dyDescent="0.3">
      <c r="C1077" s="353">
        <f>ABS(E1077-Dashboard!$F$14)</f>
        <v>26.392925807822337</v>
      </c>
      <c r="D1077" s="350">
        <f t="shared" si="1059"/>
        <v>0.18044999999999536</v>
      </c>
      <c r="E1077" s="359" cm="1">
        <f t="array" ref="E1077">1000*SUM('DRE + DCF'!$L$36/M1077,'DRE + DCF'!$N$36:$V$36/N1077:V1077,F1077/V1077)/Dashboard!$F$11</f>
        <v>123.38292580782233</v>
      </c>
      <c r="F1077" s="359">
        <f t="shared" si="1057"/>
        <v>16302603.421572659</v>
      </c>
      <c r="G1077" s="359">
        <f>'DRE + DCF'!$W$31</f>
        <v>2791623.3540418856</v>
      </c>
      <c r="H1077" s="359">
        <f>'DRE + DCF'!$W$32</f>
        <v>81081.931703745853</v>
      </c>
      <c r="I1077" s="359">
        <f>-H1077*('DRE + DCF'!$V$33+K1077)/'DRE + DCF'!$V$33</f>
        <v>-90858.801614444121</v>
      </c>
      <c r="J1077" s="359">
        <f>-'DRE + DCF'!$V$56*L1077</f>
        <v>-1188924.4255577971</v>
      </c>
      <c r="K1077" s="360">
        <f>(1+L1077)/(1+Ke!$O$12)-1</f>
        <v>2.0000000000000018E-2</v>
      </c>
      <c r="L1077" s="360">
        <f>'DRE + DCF'!$Y$31</f>
        <v>7.3550000000000004E-2</v>
      </c>
      <c r="M1077" s="361">
        <f>(1+D1077)^((5-Dashboard!$F$9)*3/12)</f>
        <v>1.1324934461384164</v>
      </c>
      <c r="N1077" s="361">
        <f t="shared" ref="N1077:V1077" si="1098">M1077*(1+$D1077)</f>
        <v>1.3368518884940883</v>
      </c>
      <c r="O1077" s="361">
        <f t="shared" si="1098"/>
        <v>1.5780868117728404</v>
      </c>
      <c r="P1077" s="361">
        <f t="shared" si="1098"/>
        <v>1.8628525769572422</v>
      </c>
      <c r="Q1077" s="361">
        <f t="shared" si="1098"/>
        <v>2.1990043244691679</v>
      </c>
      <c r="R1077" s="361">
        <f t="shared" si="1098"/>
        <v>2.5958146548196188</v>
      </c>
      <c r="S1077" s="361">
        <f t="shared" si="1098"/>
        <v>3.0642294092818068</v>
      </c>
      <c r="T1077" s="361">
        <f t="shared" si="1098"/>
        <v>3.6171696061866947</v>
      </c>
      <c r="U1077" s="361">
        <f t="shared" si="1098"/>
        <v>4.2698878616230669</v>
      </c>
      <c r="V1077" s="362">
        <f t="shared" si="1098"/>
        <v>5.0403891262529292</v>
      </c>
      <c r="X1077" s="351"/>
    </row>
    <row r="1078" spans="3:24" ht="24.75" customHeight="1" x14ac:dyDescent="0.3">
      <c r="C1078" s="353">
        <f>ABS(E1078-Dashboard!$F$14)</f>
        <v>26.274233557599672</v>
      </c>
      <c r="D1078" s="350">
        <f t="shared" si="1059"/>
        <v>0.18054999999999535</v>
      </c>
      <c r="E1078" s="359" cm="1">
        <f t="array" ref="E1078">1000*SUM('DRE + DCF'!$L$36/M1078,'DRE + DCF'!$N$36:$V$36/N1078:V1078,F1078/V1078)/Dashboard!$F$11</f>
        <v>123.26423355759967</v>
      </c>
      <c r="F1078" s="359">
        <f t="shared" si="1057"/>
        <v>16290528.846793756</v>
      </c>
      <c r="G1078" s="359">
        <f>'DRE + DCF'!$W$31</f>
        <v>2791623.3540418856</v>
      </c>
      <c r="H1078" s="359">
        <f>'DRE + DCF'!$W$32</f>
        <v>81081.931703745853</v>
      </c>
      <c r="I1078" s="359">
        <f>-H1078*('DRE + DCF'!$V$33+K1078)/'DRE + DCF'!$V$33</f>
        <v>-90858.801614444121</v>
      </c>
      <c r="J1078" s="359">
        <f>-'DRE + DCF'!$V$56*L1078</f>
        <v>-1188924.4255577971</v>
      </c>
      <c r="K1078" s="360">
        <f>(1+L1078)/(1+Ke!$O$12)-1</f>
        <v>2.0000000000000018E-2</v>
      </c>
      <c r="L1078" s="360">
        <f>'DRE + DCF'!$Y$31</f>
        <v>7.3550000000000004E-2</v>
      </c>
      <c r="M1078" s="361">
        <f>(1+D1078)^((5-Dashboard!$F$9)*3/12)</f>
        <v>1.1325653984524311</v>
      </c>
      <c r="N1078" s="361">
        <f t="shared" ref="N1078:V1078" si="1099">M1078*(1+$D1078)</f>
        <v>1.3370500811430122</v>
      </c>
      <c r="O1078" s="361">
        <f t="shared" si="1099"/>
        <v>1.5784544732933767</v>
      </c>
      <c r="P1078" s="361">
        <f t="shared" si="1099"/>
        <v>1.8634444284464886</v>
      </c>
      <c r="Q1078" s="361">
        <f t="shared" si="1099"/>
        <v>2.1998893200024936</v>
      </c>
      <c r="R1078" s="361">
        <f t="shared" si="1099"/>
        <v>2.5970793367289335</v>
      </c>
      <c r="S1078" s="361">
        <f t="shared" si="1099"/>
        <v>3.0659820109753304</v>
      </c>
      <c r="T1078" s="361">
        <f t="shared" si="1099"/>
        <v>3.6195450630569121</v>
      </c>
      <c r="U1078" s="361">
        <f t="shared" si="1099"/>
        <v>4.2730539241918208</v>
      </c>
      <c r="V1078" s="362">
        <f t="shared" si="1099"/>
        <v>5.0445538102046346</v>
      </c>
      <c r="X1078" s="351"/>
    </row>
    <row r="1079" spans="3:24" ht="24.75" customHeight="1" x14ac:dyDescent="0.3">
      <c r="C1079" s="353">
        <f>ABS(E1079-Dashboard!$F$14)</f>
        <v>26.155740648331019</v>
      </c>
      <c r="D1079" s="350">
        <f t="shared" si="1059"/>
        <v>0.18064999999999534</v>
      </c>
      <c r="E1079" s="359" cm="1">
        <f t="array" ref="E1079">1000*SUM('DRE + DCF'!$L$36/M1079,'DRE + DCF'!$N$36:$V$36/N1079:V1079,F1079/V1079)/Dashboard!$F$11</f>
        <v>123.14574064833101</v>
      </c>
      <c r="F1079" s="359">
        <f t="shared" si="1057"/>
        <v>16278473.323366586</v>
      </c>
      <c r="G1079" s="359">
        <f>'DRE + DCF'!$W$31</f>
        <v>2791623.3540418856</v>
      </c>
      <c r="H1079" s="359">
        <f>'DRE + DCF'!$W$32</f>
        <v>81081.931703745853</v>
      </c>
      <c r="I1079" s="359">
        <f>-H1079*('DRE + DCF'!$V$33+K1079)/'DRE + DCF'!$V$33</f>
        <v>-90858.801614444121</v>
      </c>
      <c r="J1079" s="359">
        <f>-'DRE + DCF'!$V$56*L1079</f>
        <v>-1188924.4255577971</v>
      </c>
      <c r="K1079" s="360">
        <f>(1+L1079)/(1+Ke!$O$12)-1</f>
        <v>2.0000000000000018E-2</v>
      </c>
      <c r="L1079" s="360">
        <f>'DRE + DCF'!$Y$31</f>
        <v>7.3550000000000004E-2</v>
      </c>
      <c r="M1079" s="361">
        <f>(1+D1079)^((5-Dashboard!$F$9)*3/12)</f>
        <v>1.1326373492427588</v>
      </c>
      <c r="N1079" s="361">
        <f t="shared" ref="N1079:V1079" si="1100">M1079*(1+$D1079)</f>
        <v>1.3372482863834578</v>
      </c>
      <c r="O1079" s="361">
        <f t="shared" si="1100"/>
        <v>1.5788221893186232</v>
      </c>
      <c r="P1079" s="361">
        <f t="shared" si="1100"/>
        <v>1.864036417819025</v>
      </c>
      <c r="Q1079" s="361">
        <f t="shared" si="1100"/>
        <v>2.200774596698023</v>
      </c>
      <c r="R1079" s="361">
        <f t="shared" si="1100"/>
        <v>2.5983445275915105</v>
      </c>
      <c r="S1079" s="361">
        <f t="shared" si="1100"/>
        <v>3.0677354665009045</v>
      </c>
      <c r="T1079" s="361">
        <f t="shared" si="1100"/>
        <v>3.6219218785242786</v>
      </c>
      <c r="U1079" s="361">
        <f t="shared" si="1100"/>
        <v>4.2762220658796721</v>
      </c>
      <c r="V1079" s="362">
        <f t="shared" si="1100"/>
        <v>5.0487215820808151</v>
      </c>
      <c r="X1079" s="351"/>
    </row>
    <row r="1080" spans="3:24" ht="24.75" customHeight="1" x14ac:dyDescent="0.3">
      <c r="C1080" s="353">
        <f>ABS(E1080-Dashboard!$F$14)</f>
        <v>26.037446591874129</v>
      </c>
      <c r="D1080" s="350">
        <f t="shared" si="1059"/>
        <v>0.18074999999999533</v>
      </c>
      <c r="E1080" s="359" cm="1">
        <f t="array" ref="E1080">1000*SUM('DRE + DCF'!$L$36/M1080,'DRE + DCF'!$N$36:$V$36/N1080:V1080,F1080/V1080)/Dashboard!$F$11</f>
        <v>123.02744659187412</v>
      </c>
      <c r="F1080" s="359">
        <f t="shared" si="1057"/>
        <v>16266436.803774329</v>
      </c>
      <c r="G1080" s="359">
        <f>'DRE + DCF'!$W$31</f>
        <v>2791623.3540418856</v>
      </c>
      <c r="H1080" s="359">
        <f>'DRE + DCF'!$W$32</f>
        <v>81081.931703745853</v>
      </c>
      <c r="I1080" s="359">
        <f>-H1080*('DRE + DCF'!$V$33+K1080)/'DRE + DCF'!$V$33</f>
        <v>-90858.801614444121</v>
      </c>
      <c r="J1080" s="359">
        <f>-'DRE + DCF'!$V$56*L1080</f>
        <v>-1188924.4255577971</v>
      </c>
      <c r="K1080" s="360">
        <f>(1+L1080)/(1+Ke!$O$12)-1</f>
        <v>2.0000000000000018E-2</v>
      </c>
      <c r="L1080" s="360">
        <f>'DRE + DCF'!$Y$31</f>
        <v>7.3550000000000004E-2</v>
      </c>
      <c r="M1080" s="361">
        <f>(1+D1080)^((5-Dashboard!$F$9)*3/12)</f>
        <v>1.1327092985095606</v>
      </c>
      <c r="N1080" s="361">
        <f t="shared" ref="N1080:V1080" si="1101">M1080*(1+$D1080)</f>
        <v>1.3374465042151584</v>
      </c>
      <c r="O1080" s="361">
        <f t="shared" si="1101"/>
        <v>1.579189959852042</v>
      </c>
      <c r="P1080" s="361">
        <f t="shared" si="1101"/>
        <v>1.8646285450952913</v>
      </c>
      <c r="Q1080" s="361">
        <f t="shared" si="1101"/>
        <v>2.2016601546212566</v>
      </c>
      <c r="R1080" s="361">
        <f t="shared" si="1101"/>
        <v>2.5996102275690385</v>
      </c>
      <c r="S1080" s="361">
        <f t="shared" si="1101"/>
        <v>3.06948977620213</v>
      </c>
      <c r="T1080" s="361">
        <f t="shared" si="1101"/>
        <v>3.6243000532506504</v>
      </c>
      <c r="U1080" s="361">
        <f t="shared" si="1101"/>
        <v>4.2793922878756883</v>
      </c>
      <c r="V1080" s="362">
        <f t="shared" si="1101"/>
        <v>5.0528924439091991</v>
      </c>
      <c r="X1080" s="351"/>
    </row>
    <row r="1081" spans="3:24" ht="24.75" customHeight="1" x14ac:dyDescent="0.3">
      <c r="C1081" s="353">
        <f>ABS(E1081-Dashboard!$F$14)</f>
        <v>25.919350901711155</v>
      </c>
      <c r="D1081" s="350">
        <f t="shared" si="1059"/>
        <v>0.18084999999999532</v>
      </c>
      <c r="E1081" s="359" cm="1">
        <f t="array" ref="E1081">1000*SUM('DRE + DCF'!$L$36/M1081,'DRE + DCF'!$N$36:$V$36/N1081:V1081,F1081/V1081)/Dashboard!$F$11</f>
        <v>122.90935090171115</v>
      </c>
      <c r="F1081" s="359">
        <f t="shared" si="1057"/>
        <v>16254419.240664482</v>
      </c>
      <c r="G1081" s="359">
        <f>'DRE + DCF'!$W$31</f>
        <v>2791623.3540418856</v>
      </c>
      <c r="H1081" s="359">
        <f>'DRE + DCF'!$W$32</f>
        <v>81081.931703745853</v>
      </c>
      <c r="I1081" s="359">
        <f>-H1081*('DRE + DCF'!$V$33+K1081)/'DRE + DCF'!$V$33</f>
        <v>-90858.801614444121</v>
      </c>
      <c r="J1081" s="359">
        <f>-'DRE + DCF'!$V$56*L1081</f>
        <v>-1188924.4255577971</v>
      </c>
      <c r="K1081" s="360">
        <f>(1+L1081)/(1+Ke!$O$12)-1</f>
        <v>2.0000000000000018E-2</v>
      </c>
      <c r="L1081" s="360">
        <f>'DRE + DCF'!$Y$31</f>
        <v>7.3550000000000004E-2</v>
      </c>
      <c r="M1081" s="361">
        <f>(1+D1081)^((5-Dashboard!$F$9)*3/12)</f>
        <v>1.132781246252998</v>
      </c>
      <c r="N1081" s="361">
        <f t="shared" ref="N1081:V1081" si="1102">M1081*(1+$D1081)</f>
        <v>1.3376447346378475</v>
      </c>
      <c r="O1081" s="361">
        <f t="shared" si="1102"/>
        <v>1.5795577848970959</v>
      </c>
      <c r="P1081" s="361">
        <f t="shared" si="1102"/>
        <v>1.8652208102957282</v>
      </c>
      <c r="Q1081" s="361">
        <f t="shared" si="1102"/>
        <v>2.2025459938377017</v>
      </c>
      <c r="R1081" s="361">
        <f t="shared" si="1102"/>
        <v>2.6008764368232398</v>
      </c>
      <c r="S1081" s="361">
        <f t="shared" si="1102"/>
        <v>3.0712449404227105</v>
      </c>
      <c r="T1081" s="361">
        <f t="shared" si="1102"/>
        <v>3.6266795878981433</v>
      </c>
      <c r="U1081" s="361">
        <f t="shared" si="1102"/>
        <v>4.2825645913695052</v>
      </c>
      <c r="V1081" s="362">
        <f t="shared" si="1102"/>
        <v>5.0570663977186596</v>
      </c>
      <c r="X1081" s="351"/>
    </row>
    <row r="1082" spans="3:24" ht="24.75" customHeight="1" x14ac:dyDescent="0.3">
      <c r="C1082" s="353">
        <f>ABS(E1082-Dashboard!$F$14)</f>
        <v>25.801453092941117</v>
      </c>
      <c r="D1082" s="350">
        <f t="shared" si="1059"/>
        <v>0.18094999999999531</v>
      </c>
      <c r="E1082" s="359" cm="1">
        <f t="array" ref="E1082">1000*SUM('DRE + DCF'!$L$36/M1082,'DRE + DCF'!$N$36:$V$36/N1082:V1082,F1082/V1082)/Dashboard!$F$11</f>
        <v>122.79145309294111</v>
      </c>
      <c r="F1082" s="359">
        <f t="shared" si="1057"/>
        <v>16242420.586848136</v>
      </c>
      <c r="G1082" s="359">
        <f>'DRE + DCF'!$W$31</f>
        <v>2791623.3540418856</v>
      </c>
      <c r="H1082" s="359">
        <f>'DRE + DCF'!$W$32</f>
        <v>81081.931703745853</v>
      </c>
      <c r="I1082" s="359">
        <f>-H1082*('DRE + DCF'!$V$33+K1082)/'DRE + DCF'!$V$33</f>
        <v>-90858.801614444121</v>
      </c>
      <c r="J1082" s="359">
        <f>-'DRE + DCF'!$V$56*L1082</f>
        <v>-1188924.4255577971</v>
      </c>
      <c r="K1082" s="360">
        <f>(1+L1082)/(1+Ke!$O$12)-1</f>
        <v>2.0000000000000018E-2</v>
      </c>
      <c r="L1082" s="360">
        <f>'DRE + DCF'!$Y$31</f>
        <v>7.3550000000000004E-2</v>
      </c>
      <c r="M1082" s="361">
        <f>(1+D1082)^((5-Dashboard!$F$9)*3/12)</f>
        <v>1.1328531924732321</v>
      </c>
      <c r="N1082" s="361">
        <f t="shared" ref="N1082:V1082" si="1103">M1082*(1+$D1082)</f>
        <v>1.3378429776512581</v>
      </c>
      <c r="O1082" s="361">
        <f t="shared" si="1103"/>
        <v>1.579925664457247</v>
      </c>
      <c r="P1082" s="361">
        <f t="shared" si="1103"/>
        <v>1.8658132134407783</v>
      </c>
      <c r="Q1082" s="361">
        <f t="shared" si="1103"/>
        <v>2.2034321144128786</v>
      </c>
      <c r="R1082" s="361">
        <f t="shared" si="1103"/>
        <v>2.6021431555158787</v>
      </c>
      <c r="S1082" s="361">
        <f t="shared" si="1103"/>
        <v>3.0730009595064649</v>
      </c>
      <c r="T1082" s="361">
        <f t="shared" si="1103"/>
        <v>3.6290604831291451</v>
      </c>
      <c r="U1082" s="361">
        <f t="shared" si="1103"/>
        <v>4.2857389775513468</v>
      </c>
      <c r="V1082" s="362">
        <f t="shared" si="1103"/>
        <v>5.061243445539243</v>
      </c>
      <c r="X1082" s="351"/>
    </row>
    <row r="1083" spans="3:24" ht="24.75" customHeight="1" x14ac:dyDescent="0.3">
      <c r="C1083" s="353">
        <f>ABS(E1083-Dashboard!$F$14)</f>
        <v>25.68375268227355</v>
      </c>
      <c r="D1083" s="350">
        <f t="shared" si="1059"/>
        <v>0.1810499999999953</v>
      </c>
      <c r="E1083" s="359" cm="1">
        <f t="array" ref="E1083">1000*SUM('DRE + DCF'!$L$36/M1083,'DRE + DCF'!$N$36:$V$36/N1083:V1083,F1083/V1083)/Dashboard!$F$11</f>
        <v>122.67375268227354</v>
      </c>
      <c r="F1083" s="359">
        <f t="shared" si="1057"/>
        <v>16230440.795299254</v>
      </c>
      <c r="G1083" s="359">
        <f>'DRE + DCF'!$W$31</f>
        <v>2791623.3540418856</v>
      </c>
      <c r="H1083" s="359">
        <f>'DRE + DCF'!$W$32</f>
        <v>81081.931703745853</v>
      </c>
      <c r="I1083" s="359">
        <f>-H1083*('DRE + DCF'!$V$33+K1083)/'DRE + DCF'!$V$33</f>
        <v>-90858.801614444121</v>
      </c>
      <c r="J1083" s="359">
        <f>-'DRE + DCF'!$V$56*L1083</f>
        <v>-1188924.4255577971</v>
      </c>
      <c r="K1083" s="360">
        <f>(1+L1083)/(1+Ke!$O$12)-1</f>
        <v>2.0000000000000018E-2</v>
      </c>
      <c r="L1083" s="360">
        <f>'DRE + DCF'!$Y$31</f>
        <v>7.3550000000000004E-2</v>
      </c>
      <c r="M1083" s="361">
        <f>(1+D1083)^((5-Dashboard!$F$9)*3/12)</f>
        <v>1.1329251371704241</v>
      </c>
      <c r="N1083" s="361">
        <f t="shared" ref="N1083:V1083" si="1104">M1083*(1+$D1083)</f>
        <v>1.3380412332551239</v>
      </c>
      <c r="O1083" s="361">
        <f t="shared" si="1104"/>
        <v>1.5802935985359579</v>
      </c>
      <c r="P1083" s="361">
        <f t="shared" si="1104"/>
        <v>1.8664057545508856</v>
      </c>
      <c r="Q1083" s="361">
        <f t="shared" si="1104"/>
        <v>2.2043185164123145</v>
      </c>
      <c r="R1083" s="361">
        <f t="shared" si="1104"/>
        <v>2.6034103838087534</v>
      </c>
      <c r="S1083" s="361">
        <f t="shared" si="1104"/>
        <v>3.074757833797316</v>
      </c>
      <c r="T1083" s="361">
        <f t="shared" si="1104"/>
        <v>3.6314427396063054</v>
      </c>
      <c r="U1083" s="361">
        <f t="shared" si="1104"/>
        <v>4.2889154476120099</v>
      </c>
      <c r="V1083" s="362">
        <f t="shared" si="1104"/>
        <v>5.065423589402144</v>
      </c>
      <c r="X1083" s="351"/>
    </row>
    <row r="1084" spans="3:24" ht="24.75" customHeight="1" x14ac:dyDescent="0.3">
      <c r="C1084" s="353">
        <f>ABS(E1084-Dashboard!$F$14)</f>
        <v>25.566249188021047</v>
      </c>
      <c r="D1084" s="350">
        <f t="shared" si="1059"/>
        <v>0.18114999999999529</v>
      </c>
      <c r="E1084" s="359" cm="1">
        <f t="array" ref="E1084">1000*SUM('DRE + DCF'!$L$36/M1084,'DRE + DCF'!$N$36:$V$36/N1084:V1084,F1084/V1084)/Dashboard!$F$11</f>
        <v>122.55624918802104</v>
      </c>
      <c r="F1084" s="359">
        <f t="shared" si="1057"/>
        <v>16218479.819153942</v>
      </c>
      <c r="G1084" s="359">
        <f>'DRE + DCF'!$W$31</f>
        <v>2791623.3540418856</v>
      </c>
      <c r="H1084" s="359">
        <f>'DRE + DCF'!$W$32</f>
        <v>81081.931703745853</v>
      </c>
      <c r="I1084" s="359">
        <f>-H1084*('DRE + DCF'!$V$33+K1084)/'DRE + DCF'!$V$33</f>
        <v>-90858.801614444121</v>
      </c>
      <c r="J1084" s="359">
        <f>-'DRE + DCF'!$V$56*L1084</f>
        <v>-1188924.4255577971</v>
      </c>
      <c r="K1084" s="360">
        <f>(1+L1084)/(1+Ke!$O$12)-1</f>
        <v>2.0000000000000018E-2</v>
      </c>
      <c r="L1084" s="360">
        <f>'DRE + DCF'!$Y$31</f>
        <v>7.3550000000000004E-2</v>
      </c>
      <c r="M1084" s="361">
        <f>(1+D1084)^((5-Dashboard!$F$9)*3/12)</f>
        <v>1.1329970803447353</v>
      </c>
      <c r="N1084" s="361">
        <f t="shared" ref="N1084:V1084" si="1105">M1084*(1+$D1084)</f>
        <v>1.3382395014491788</v>
      </c>
      <c r="O1084" s="361">
        <f t="shared" si="1105"/>
        <v>1.5806615871366911</v>
      </c>
      <c r="P1084" s="361">
        <f t="shared" si="1105"/>
        <v>1.8669984336464953</v>
      </c>
      <c r="Q1084" s="361">
        <f t="shared" si="1105"/>
        <v>2.205205199901549</v>
      </c>
      <c r="R1084" s="361">
        <f t="shared" si="1105"/>
        <v>2.6046781218637043</v>
      </c>
      <c r="S1084" s="361">
        <f t="shared" si="1105"/>
        <v>3.076515563639302</v>
      </c>
      <c r="T1084" s="361">
        <f t="shared" si="1105"/>
        <v>3.6338263579925472</v>
      </c>
      <c r="U1084" s="361">
        <f t="shared" si="1105"/>
        <v>4.2920940027428802</v>
      </c>
      <c r="V1084" s="362">
        <f t="shared" si="1105"/>
        <v>5.0696068313397324</v>
      </c>
      <c r="X1084" s="351"/>
    </row>
    <row r="1085" spans="3:24" ht="24.75" customHeight="1" x14ac:dyDescent="0.3">
      <c r="C1085" s="353">
        <f>ABS(E1085-Dashboard!$F$14)</f>
        <v>25.448942130092931</v>
      </c>
      <c r="D1085" s="350">
        <f t="shared" si="1059"/>
        <v>0.18124999999999528</v>
      </c>
      <c r="E1085" s="359" cm="1">
        <f t="array" ref="E1085">1000*SUM('DRE + DCF'!$L$36/M1085,'DRE + DCF'!$N$36:$V$36/N1085:V1085,F1085/V1085)/Dashboard!$F$11</f>
        <v>122.43894213009293</v>
      </c>
      <c r="F1085" s="359">
        <f t="shared" si="1057"/>
        <v>16206537.611709733</v>
      </c>
      <c r="G1085" s="359">
        <f>'DRE + DCF'!$W$31</f>
        <v>2791623.3540418856</v>
      </c>
      <c r="H1085" s="359">
        <f>'DRE + DCF'!$W$32</f>
        <v>81081.931703745853</v>
      </c>
      <c r="I1085" s="359">
        <f>-H1085*('DRE + DCF'!$V$33+K1085)/'DRE + DCF'!$V$33</f>
        <v>-90858.801614444121</v>
      </c>
      <c r="J1085" s="359">
        <f>-'DRE + DCF'!$V$56*L1085</f>
        <v>-1188924.4255577971</v>
      </c>
      <c r="K1085" s="360">
        <f>(1+L1085)/(1+Ke!$O$12)-1</f>
        <v>2.0000000000000018E-2</v>
      </c>
      <c r="L1085" s="360">
        <f>'DRE + DCF'!$Y$31</f>
        <v>7.3550000000000004E-2</v>
      </c>
      <c r="M1085" s="361">
        <f>(1+D1085)^((5-Dashboard!$F$9)*3/12)</f>
        <v>1.1330690219963269</v>
      </c>
      <c r="N1085" s="361">
        <f t="shared" ref="N1085:V1085" si="1106">M1085*(1+$D1085)</f>
        <v>1.3384377822331557</v>
      </c>
      <c r="O1085" s="361">
        <f t="shared" si="1106"/>
        <v>1.5810296302629088</v>
      </c>
      <c r="P1085" s="361">
        <f t="shared" si="1106"/>
        <v>1.8675912507480534</v>
      </c>
      <c r="Q1085" s="361">
        <f t="shared" si="1106"/>
        <v>2.2060921649461291</v>
      </c>
      <c r="R1085" s="361">
        <f t="shared" si="1106"/>
        <v>2.6059463698426044</v>
      </c>
      <c r="S1085" s="361">
        <f t="shared" si="1106"/>
        <v>3.078274149376564</v>
      </c>
      <c r="T1085" s="361">
        <f t="shared" si="1106"/>
        <v>3.6362113389510515</v>
      </c>
      <c r="U1085" s="361">
        <f t="shared" si="1106"/>
        <v>4.2952746441359126</v>
      </c>
      <c r="V1085" s="362">
        <f t="shared" si="1106"/>
        <v>5.0737931733855266</v>
      </c>
      <c r="X1085" s="351"/>
    </row>
    <row r="1086" spans="3:24" ht="24.75" customHeight="1" x14ac:dyDescent="0.3">
      <c r="C1086" s="353">
        <f>ABS(E1086-Dashboard!$F$14)</f>
        <v>25.331831029987924</v>
      </c>
      <c r="D1086" s="350">
        <f t="shared" si="1059"/>
        <v>0.18134999999999526</v>
      </c>
      <c r="E1086" s="359" cm="1">
        <f t="array" ref="E1086">1000*SUM('DRE + DCF'!$L$36/M1086,'DRE + DCF'!$N$36:$V$36/N1086:V1086,F1086/V1086)/Dashboard!$F$11</f>
        <v>122.32183102998792</v>
      </c>
      <c r="F1086" s="359">
        <f t="shared" si="1057"/>
        <v>16194614.126424881</v>
      </c>
      <c r="G1086" s="359">
        <f>'DRE + DCF'!$W$31</f>
        <v>2791623.3540418856</v>
      </c>
      <c r="H1086" s="359">
        <f>'DRE + DCF'!$W$32</f>
        <v>81081.931703745853</v>
      </c>
      <c r="I1086" s="359">
        <f>-H1086*('DRE + DCF'!$V$33+K1086)/'DRE + DCF'!$V$33</f>
        <v>-90858.801614444121</v>
      </c>
      <c r="J1086" s="359">
        <f>-'DRE + DCF'!$V$56*L1086</f>
        <v>-1188924.4255577971</v>
      </c>
      <c r="K1086" s="360">
        <f>(1+L1086)/(1+Ke!$O$12)-1</f>
        <v>2.0000000000000018E-2</v>
      </c>
      <c r="L1086" s="360">
        <f>'DRE + DCF'!$Y$31</f>
        <v>7.3550000000000004E-2</v>
      </c>
      <c r="M1086" s="361">
        <f>(1+D1086)^((5-Dashboard!$F$9)*3/12)</f>
        <v>1.1331409621253601</v>
      </c>
      <c r="N1086" s="361">
        <f t="shared" ref="N1086:V1086" si="1107">M1086*(1+$D1086)</f>
        <v>1.3386360756067888</v>
      </c>
      <c r="O1086" s="361">
        <f t="shared" si="1107"/>
        <v>1.5813977279180735</v>
      </c>
      <c r="P1086" s="361">
        <f t="shared" si="1107"/>
        <v>1.8681842058760085</v>
      </c>
      <c r="Q1086" s="361">
        <f t="shared" si="1107"/>
        <v>2.2069794116116137</v>
      </c>
      <c r="R1086" s="361">
        <f t="shared" si="1107"/>
        <v>2.6072151279073692</v>
      </c>
      <c r="S1086" s="361">
        <f t="shared" si="1107"/>
        <v>3.0800335913533581</v>
      </c>
      <c r="T1086" s="361">
        <f t="shared" si="1107"/>
        <v>3.6385976831452749</v>
      </c>
      <c r="U1086" s="361">
        <f t="shared" si="1107"/>
        <v>4.2984573729836528</v>
      </c>
      <c r="V1086" s="362">
        <f t="shared" si="1107"/>
        <v>5.077982617574218</v>
      </c>
      <c r="X1086" s="351"/>
    </row>
    <row r="1087" spans="3:24" ht="24.75" customHeight="1" x14ac:dyDescent="0.3">
      <c r="C1087" s="353">
        <f>ABS(E1087-Dashboard!$F$14)</f>
        <v>25.214915410787924</v>
      </c>
      <c r="D1087" s="350">
        <f t="shared" si="1059"/>
        <v>0.18144999999999525</v>
      </c>
      <c r="E1087" s="359" cm="1">
        <f t="array" ref="E1087">1000*SUM('DRE + DCF'!$L$36/M1087,'DRE + DCF'!$N$36:$V$36/N1087:V1087,F1087/V1087)/Dashboard!$F$11</f>
        <v>122.20491541078792</v>
      </c>
      <c r="F1087" s="359">
        <f t="shared" si="1057"/>
        <v>16182709.316917637</v>
      </c>
      <c r="G1087" s="359">
        <f>'DRE + DCF'!$W$31</f>
        <v>2791623.3540418856</v>
      </c>
      <c r="H1087" s="359">
        <f>'DRE + DCF'!$W$32</f>
        <v>81081.931703745853</v>
      </c>
      <c r="I1087" s="359">
        <f>-H1087*('DRE + DCF'!$V$33+K1087)/'DRE + DCF'!$V$33</f>
        <v>-90858.801614444121</v>
      </c>
      <c r="J1087" s="359">
        <f>-'DRE + DCF'!$V$56*L1087</f>
        <v>-1188924.4255577971</v>
      </c>
      <c r="K1087" s="360">
        <f>(1+L1087)/(1+Ke!$O$12)-1</f>
        <v>2.0000000000000018E-2</v>
      </c>
      <c r="L1087" s="360">
        <f>'DRE + DCF'!$Y$31</f>
        <v>7.3550000000000004E-2</v>
      </c>
      <c r="M1087" s="361">
        <f>(1+D1087)^((5-Dashboard!$F$9)*3/12)</f>
        <v>1.1332129007319955</v>
      </c>
      <c r="N1087" s="361">
        <f t="shared" ref="N1087:V1087" si="1108">M1087*(1+$D1087)</f>
        <v>1.3388343815698107</v>
      </c>
      <c r="O1087" s="361">
        <f t="shared" si="1108"/>
        <v>1.5817658801056464</v>
      </c>
      <c r="P1087" s="361">
        <f t="shared" si="1108"/>
        <v>1.8687772990508085</v>
      </c>
      <c r="Q1087" s="361">
        <f t="shared" si="1108"/>
        <v>2.2078669399635689</v>
      </c>
      <c r="R1087" s="361">
        <f t="shared" si="1108"/>
        <v>2.6084843962199478</v>
      </c>
      <c r="S1087" s="361">
        <f t="shared" si="1108"/>
        <v>3.0817938899140449</v>
      </c>
      <c r="T1087" s="361">
        <f t="shared" si="1108"/>
        <v>3.6409853912389338</v>
      </c>
      <c r="U1087" s="361">
        <f t="shared" si="1108"/>
        <v>4.301642190479221</v>
      </c>
      <c r="V1087" s="362">
        <f t="shared" si="1108"/>
        <v>5.0821751659416554</v>
      </c>
      <c r="X1087" s="351"/>
    </row>
    <row r="1088" spans="3:24" ht="24.75" customHeight="1" x14ac:dyDescent="0.3">
      <c r="C1088" s="353">
        <f>ABS(E1088-Dashboard!$F$14)</f>
        <v>25.098194797150711</v>
      </c>
      <c r="D1088" s="350">
        <f t="shared" si="1059"/>
        <v>0.18154999999999524</v>
      </c>
      <c r="E1088" s="359" cm="1">
        <f t="array" ref="E1088">1000*SUM('DRE + DCF'!$L$36/M1088,'DRE + DCF'!$N$36:$V$36/N1088:V1088,F1088/V1088)/Dashboard!$F$11</f>
        <v>122.08819479715071</v>
      </c>
      <c r="F1088" s="359">
        <f t="shared" si="1057"/>
        <v>16170823.13696555</v>
      </c>
      <c r="G1088" s="359">
        <f>'DRE + DCF'!$W$31</f>
        <v>2791623.3540418856</v>
      </c>
      <c r="H1088" s="359">
        <f>'DRE + DCF'!$W$32</f>
        <v>81081.931703745853</v>
      </c>
      <c r="I1088" s="359">
        <f>-H1088*('DRE + DCF'!$V$33+K1088)/'DRE + DCF'!$V$33</f>
        <v>-90858.801614444121</v>
      </c>
      <c r="J1088" s="359">
        <f>-'DRE + DCF'!$V$56*L1088</f>
        <v>-1188924.4255577971</v>
      </c>
      <c r="K1088" s="360">
        <f>(1+L1088)/(1+Ke!$O$12)-1</f>
        <v>2.0000000000000018E-2</v>
      </c>
      <c r="L1088" s="360">
        <f>'DRE + DCF'!$Y$31</f>
        <v>7.3550000000000004E-2</v>
      </c>
      <c r="M1088" s="361">
        <f>(1+D1088)^((5-Dashboard!$F$9)*3/12)</f>
        <v>1.1332848378163949</v>
      </c>
      <c r="N1088" s="361">
        <f t="shared" ref="N1088:V1088" si="1109">M1088*(1+$D1088)</f>
        <v>1.339032700121956</v>
      </c>
      <c r="O1088" s="361">
        <f t="shared" si="1109"/>
        <v>1.5821340868290907</v>
      </c>
      <c r="P1088" s="361">
        <f t="shared" si="1109"/>
        <v>1.8693705302929047</v>
      </c>
      <c r="Q1088" s="361">
        <f t="shared" si="1109"/>
        <v>2.2087547500675724</v>
      </c>
      <c r="R1088" s="361">
        <f t="shared" si="1109"/>
        <v>2.6097541749423296</v>
      </c>
      <c r="S1088" s="361">
        <f t="shared" si="1109"/>
        <v>3.0835550454030969</v>
      </c>
      <c r="T1088" s="361">
        <f t="shared" si="1109"/>
        <v>3.6433744638960142</v>
      </c>
      <c r="U1088" s="361">
        <f t="shared" si="1109"/>
        <v>4.3048290978163184</v>
      </c>
      <c r="V1088" s="362">
        <f t="shared" si="1109"/>
        <v>5.0863708205248503</v>
      </c>
      <c r="X1088" s="351"/>
    </row>
    <row r="1089" spans="3:24" ht="24.75" customHeight="1" x14ac:dyDescent="0.3">
      <c r="C1089" s="353">
        <f>ABS(E1089-Dashboard!$F$14)</f>
        <v>24.981668715303613</v>
      </c>
      <c r="D1089" s="350">
        <f t="shared" si="1059"/>
        <v>0.18164999999999523</v>
      </c>
      <c r="E1089" s="359" cm="1">
        <f t="array" ref="E1089">1000*SUM('DRE + DCF'!$L$36/M1089,'DRE + DCF'!$N$36:$V$36/N1089:V1089,F1089/V1089)/Dashboard!$F$11</f>
        <v>121.97166871530361</v>
      </c>
      <c r="F1089" s="359">
        <f t="shared" si="1057"/>
        <v>16158955.540504774</v>
      </c>
      <c r="G1089" s="359">
        <f>'DRE + DCF'!$W$31</f>
        <v>2791623.3540418856</v>
      </c>
      <c r="H1089" s="359">
        <f>'DRE + DCF'!$W$32</f>
        <v>81081.931703745853</v>
      </c>
      <c r="I1089" s="359">
        <f>-H1089*('DRE + DCF'!$V$33+K1089)/'DRE + DCF'!$V$33</f>
        <v>-90858.801614444121</v>
      </c>
      <c r="J1089" s="359">
        <f>-'DRE + DCF'!$V$56*L1089</f>
        <v>-1188924.4255577971</v>
      </c>
      <c r="K1089" s="360">
        <f>(1+L1089)/(1+Ke!$O$12)-1</f>
        <v>2.0000000000000018E-2</v>
      </c>
      <c r="L1089" s="360">
        <f>'DRE + DCF'!$Y$31</f>
        <v>7.3550000000000004E-2</v>
      </c>
      <c r="M1089" s="361">
        <f>(1+D1089)^((5-Dashboard!$F$9)*3/12)</f>
        <v>1.1333567733787189</v>
      </c>
      <c r="N1089" s="361">
        <f t="shared" ref="N1089:V1089" si="1110">M1089*(1+$D1089)</f>
        <v>1.3392310312629576</v>
      </c>
      <c r="O1089" s="361">
        <f t="shared" si="1110"/>
        <v>1.5825023480918674</v>
      </c>
      <c r="P1089" s="361">
        <f t="shared" si="1110"/>
        <v>1.8699638996227474</v>
      </c>
      <c r="Q1089" s="361">
        <f t="shared" si="1110"/>
        <v>2.2096428419892105</v>
      </c>
      <c r="R1089" s="361">
        <f t="shared" si="1110"/>
        <v>2.6110244642365399</v>
      </c>
      <c r="S1089" s="361">
        <f t="shared" si="1110"/>
        <v>3.0853170581650948</v>
      </c>
      <c r="T1089" s="361">
        <f t="shared" si="1110"/>
        <v>3.6457649017807694</v>
      </c>
      <c r="U1089" s="361">
        <f t="shared" si="1110"/>
        <v>4.3080180961892287</v>
      </c>
      <c r="V1089" s="362">
        <f t="shared" si="1110"/>
        <v>5.0905695833619813</v>
      </c>
      <c r="X1089" s="351"/>
    </row>
    <row r="1090" spans="3:24" ht="24.75" customHeight="1" x14ac:dyDescent="0.3">
      <c r="C1090" s="353">
        <f>ABS(E1090-Dashboard!$F$14)</f>
        <v>24.865336693036582</v>
      </c>
      <c r="D1090" s="350">
        <f t="shared" si="1059"/>
        <v>0.18174999999999522</v>
      </c>
      <c r="E1090" s="359" cm="1">
        <f t="array" ref="E1090">1000*SUM('DRE + DCF'!$L$36/M1090,'DRE + DCF'!$N$36:$V$36/N1090:V1090,F1090/V1090)/Dashboard!$F$11</f>
        <v>121.85533669303658</v>
      </c>
      <c r="F1090" s="359">
        <f t="shared" si="1057"/>
        <v>16147106.481629349</v>
      </c>
      <c r="G1090" s="359">
        <f>'DRE + DCF'!$W$31</f>
        <v>2791623.3540418856</v>
      </c>
      <c r="H1090" s="359">
        <f>'DRE + DCF'!$W$32</f>
        <v>81081.931703745853</v>
      </c>
      <c r="I1090" s="359">
        <f>-H1090*('DRE + DCF'!$V$33+K1090)/'DRE + DCF'!$V$33</f>
        <v>-90858.801614444121</v>
      </c>
      <c r="J1090" s="359">
        <f>-'DRE + DCF'!$V$56*L1090</f>
        <v>-1188924.4255577971</v>
      </c>
      <c r="K1090" s="360">
        <f>(1+L1090)/(1+Ke!$O$12)-1</f>
        <v>2.0000000000000018E-2</v>
      </c>
      <c r="L1090" s="360">
        <f>'DRE + DCF'!$Y$31</f>
        <v>7.3550000000000004E-2</v>
      </c>
      <c r="M1090" s="361">
        <f>(1+D1090)^((5-Dashboard!$F$9)*3/12)</f>
        <v>1.1334287074191285</v>
      </c>
      <c r="N1090" s="361">
        <f t="shared" ref="N1090:V1090" si="1111">M1090*(1+$D1090)</f>
        <v>1.3394293749925497</v>
      </c>
      <c r="O1090" s="361">
        <f t="shared" si="1111"/>
        <v>1.582870663897439</v>
      </c>
      <c r="P1090" s="361">
        <f t="shared" si="1111"/>
        <v>1.8705574070607909</v>
      </c>
      <c r="Q1090" s="361">
        <f t="shared" si="1111"/>
        <v>2.2105312157940804</v>
      </c>
      <c r="R1090" s="361">
        <f t="shared" si="1111"/>
        <v>2.612295264264644</v>
      </c>
      <c r="S1090" s="361">
        <f t="shared" si="1111"/>
        <v>3.0870799285447306</v>
      </c>
      <c r="T1090" s="361">
        <f t="shared" si="1111"/>
        <v>3.6481567055577204</v>
      </c>
      <c r="U1090" s="361">
        <f t="shared" si="1111"/>
        <v>4.3112091867928184</v>
      </c>
      <c r="V1090" s="362">
        <f t="shared" si="1111"/>
        <v>5.094771456492392</v>
      </c>
      <c r="X1090" s="351"/>
    </row>
    <row r="1091" spans="3:24" ht="24.75" customHeight="1" x14ac:dyDescent="0.3">
      <c r="C1091" s="353">
        <f>ABS(E1091-Dashboard!$F$14)</f>
        <v>24.749198259695717</v>
      </c>
      <c r="D1091" s="350">
        <f t="shared" si="1059"/>
        <v>0.18184999999999521</v>
      </c>
      <c r="E1091" s="359" cm="1">
        <f t="array" ref="E1091">1000*SUM('DRE + DCF'!$L$36/M1091,'DRE + DCF'!$N$36:$V$36/N1091:V1091,F1091/V1091)/Dashboard!$F$11</f>
        <v>121.73919825969571</v>
      </c>
      <c r="F1091" s="359">
        <f t="shared" si="1057"/>
        <v>16135275.914590521</v>
      </c>
      <c r="G1091" s="359">
        <f>'DRE + DCF'!$W$31</f>
        <v>2791623.3540418856</v>
      </c>
      <c r="H1091" s="359">
        <f>'DRE + DCF'!$W$32</f>
        <v>81081.931703745853</v>
      </c>
      <c r="I1091" s="359">
        <f>-H1091*('DRE + DCF'!$V$33+K1091)/'DRE + DCF'!$V$33</f>
        <v>-90858.801614444121</v>
      </c>
      <c r="J1091" s="359">
        <f>-'DRE + DCF'!$V$56*L1091</f>
        <v>-1188924.4255577971</v>
      </c>
      <c r="K1091" s="360">
        <f>(1+L1091)/(1+Ke!$O$12)-1</f>
        <v>2.0000000000000018E-2</v>
      </c>
      <c r="L1091" s="360">
        <f>'DRE + DCF'!$Y$31</f>
        <v>7.3550000000000004E-2</v>
      </c>
      <c r="M1091" s="361">
        <f>(1+D1091)^((5-Dashboard!$F$9)*3/12)</f>
        <v>1.1335006399377849</v>
      </c>
      <c r="N1091" s="361">
        <f t="shared" ref="N1091:V1091" si="1112">M1091*(1+$D1091)</f>
        <v>1.3396277313104656</v>
      </c>
      <c r="O1091" s="361">
        <f t="shared" si="1112"/>
        <v>1.5832390342492673</v>
      </c>
      <c r="P1091" s="361">
        <f t="shared" si="1112"/>
        <v>1.8711510526274888</v>
      </c>
      <c r="Q1091" s="361">
        <f t="shared" si="1112"/>
        <v>2.2114198715477889</v>
      </c>
      <c r="R1091" s="361">
        <f t="shared" si="1112"/>
        <v>2.6135665751887438</v>
      </c>
      <c r="S1091" s="361">
        <f t="shared" si="1112"/>
        <v>3.0888436568868043</v>
      </c>
      <c r="T1091" s="361">
        <f t="shared" si="1112"/>
        <v>3.6505498758916546</v>
      </c>
      <c r="U1091" s="361">
        <f t="shared" si="1112"/>
        <v>4.3144023708225347</v>
      </c>
      <c r="V1091" s="362">
        <f t="shared" si="1112"/>
        <v>5.0989764419565917</v>
      </c>
      <c r="X1091" s="351"/>
    </row>
    <row r="1092" spans="3:24" ht="24.75" customHeight="1" x14ac:dyDescent="0.3">
      <c r="C1092" s="353">
        <f>ABS(E1092-Dashboard!$F$14)</f>
        <v>24.63325294617664</v>
      </c>
      <c r="D1092" s="350">
        <f t="shared" si="1059"/>
        <v>0.1819499999999952</v>
      </c>
      <c r="E1092" s="359" cm="1">
        <f t="array" ref="E1092">1000*SUM('DRE + DCF'!$L$36/M1092,'DRE + DCF'!$N$36:$V$36/N1092:V1092,F1092/V1092)/Dashboard!$F$11</f>
        <v>121.62325294617663</v>
      </c>
      <c r="F1092" s="359">
        <f t="shared" si="1057"/>
        <v>16123463.793796048</v>
      </c>
      <c r="G1092" s="359">
        <f>'DRE + DCF'!$W$31</f>
        <v>2791623.3540418856</v>
      </c>
      <c r="H1092" s="359">
        <f>'DRE + DCF'!$W$32</f>
        <v>81081.931703745853</v>
      </c>
      <c r="I1092" s="359">
        <f>-H1092*('DRE + DCF'!$V$33+K1092)/'DRE + DCF'!$V$33</f>
        <v>-90858.801614444121</v>
      </c>
      <c r="J1092" s="359">
        <f>-'DRE + DCF'!$V$56*L1092</f>
        <v>-1188924.4255577971</v>
      </c>
      <c r="K1092" s="360">
        <f>(1+L1092)/(1+Ke!$O$12)-1</f>
        <v>2.0000000000000018E-2</v>
      </c>
      <c r="L1092" s="360">
        <f>'DRE + DCF'!$Y$31</f>
        <v>7.3550000000000004E-2</v>
      </c>
      <c r="M1092" s="361">
        <f>(1+D1092)^((5-Dashboard!$F$9)*3/12)</f>
        <v>1.133572570934849</v>
      </c>
      <c r="N1092" s="361">
        <f t="shared" ref="N1092:V1092" si="1113">M1092*(1+$D1092)</f>
        <v>1.3398261002164393</v>
      </c>
      <c r="O1092" s="361">
        <f t="shared" si="1113"/>
        <v>1.583607459150814</v>
      </c>
      <c r="P1092" s="361">
        <f t="shared" si="1113"/>
        <v>1.8717448363432969</v>
      </c>
      <c r="Q1092" s="361">
        <f t="shared" si="1113"/>
        <v>2.2123088093159509</v>
      </c>
      <c r="R1092" s="361">
        <f t="shared" si="1113"/>
        <v>2.6148383971709777</v>
      </c>
      <c r="S1092" s="361">
        <f t="shared" si="1113"/>
        <v>3.0906082435362245</v>
      </c>
      <c r="T1092" s="361">
        <f t="shared" si="1113"/>
        <v>3.6529444134476257</v>
      </c>
      <c r="U1092" s="361">
        <f t="shared" si="1113"/>
        <v>4.3175976494744033</v>
      </c>
      <c r="V1092" s="362">
        <f t="shared" si="1113"/>
        <v>5.1031845417962503</v>
      </c>
      <c r="X1092" s="351"/>
    </row>
    <row r="1093" spans="3:24" ht="24.75" customHeight="1" x14ac:dyDescent="0.3">
      <c r="C1093" s="353">
        <f>ABS(E1093-Dashboard!$F$14)</f>
        <v>24.517500284917929</v>
      </c>
      <c r="D1093" s="350">
        <f t="shared" si="1059"/>
        <v>0.18204999999999519</v>
      </c>
      <c r="E1093" s="359" cm="1">
        <f t="array" ref="E1093">1000*SUM('DRE + DCF'!$L$36/M1093,'DRE + DCF'!$N$36:$V$36/N1093:V1093,F1093/V1093)/Dashboard!$F$11</f>
        <v>121.50750028491792</v>
      </c>
      <c r="F1093" s="359">
        <f t="shared" si="1057"/>
        <v>16111670.073809508</v>
      </c>
      <c r="G1093" s="359">
        <f>'DRE + DCF'!$W$31</f>
        <v>2791623.3540418856</v>
      </c>
      <c r="H1093" s="359">
        <f>'DRE + DCF'!$W$32</f>
        <v>81081.931703745853</v>
      </c>
      <c r="I1093" s="359">
        <f>-H1093*('DRE + DCF'!$V$33+K1093)/'DRE + DCF'!$V$33</f>
        <v>-90858.801614444121</v>
      </c>
      <c r="J1093" s="359">
        <f>-'DRE + DCF'!$V$56*L1093</f>
        <v>-1188924.4255577971</v>
      </c>
      <c r="K1093" s="360">
        <f>(1+L1093)/(1+Ke!$O$12)-1</f>
        <v>2.0000000000000018E-2</v>
      </c>
      <c r="L1093" s="360">
        <f>'DRE + DCF'!$Y$31</f>
        <v>7.3550000000000004E-2</v>
      </c>
      <c r="M1093" s="361">
        <f>(1+D1093)^((5-Dashboard!$F$9)*3/12)</f>
        <v>1.1336445004104814</v>
      </c>
      <c r="N1093" s="361">
        <f t="shared" ref="N1093:V1093" si="1114">M1093*(1+$D1093)</f>
        <v>1.3400244817102041</v>
      </c>
      <c r="O1093" s="361">
        <f t="shared" si="1114"/>
        <v>1.5839759386055403</v>
      </c>
      <c r="P1093" s="361">
        <f t="shared" si="1114"/>
        <v>1.8723387582286712</v>
      </c>
      <c r="Q1093" s="361">
        <f t="shared" si="1114"/>
        <v>2.2131980291641917</v>
      </c>
      <c r="R1093" s="361">
        <f t="shared" si="1114"/>
        <v>2.616110730373522</v>
      </c>
      <c r="S1093" s="361">
        <f t="shared" si="1114"/>
        <v>3.0923736888380091</v>
      </c>
      <c r="T1093" s="361">
        <f t="shared" si="1114"/>
        <v>3.6553403188909539</v>
      </c>
      <c r="U1093" s="361">
        <f t="shared" si="1114"/>
        <v>4.3207950239450348</v>
      </c>
      <c r="V1093" s="362">
        <f t="shared" si="1114"/>
        <v>5.1073957580542073</v>
      </c>
      <c r="X1093" s="351"/>
    </row>
    <row r="1094" spans="3:24" ht="24.75" customHeight="1" x14ac:dyDescent="0.3">
      <c r="C1094" s="353">
        <f>ABS(E1094-Dashboard!$F$14)</f>
        <v>24.401939809894358</v>
      </c>
      <c r="D1094" s="350">
        <f t="shared" si="1059"/>
        <v>0.18214999999999518</v>
      </c>
      <c r="E1094" s="359" cm="1">
        <f t="array" ref="E1094">1000*SUM('DRE + DCF'!$L$36/M1094,'DRE + DCF'!$N$36:$V$36/N1094:V1094,F1094/V1094)/Dashboard!$F$11</f>
        <v>121.39193980989435</v>
      </c>
      <c r="F1094" s="359">
        <f t="shared" si="1057"/>
        <v>16099894.709349621</v>
      </c>
      <c r="G1094" s="359">
        <f>'DRE + DCF'!$W$31</f>
        <v>2791623.3540418856</v>
      </c>
      <c r="H1094" s="359">
        <f>'DRE + DCF'!$W$32</f>
        <v>81081.931703745853</v>
      </c>
      <c r="I1094" s="359">
        <f>-H1094*('DRE + DCF'!$V$33+K1094)/'DRE + DCF'!$V$33</f>
        <v>-90858.801614444121</v>
      </c>
      <c r="J1094" s="359">
        <f>-'DRE + DCF'!$V$56*L1094</f>
        <v>-1188924.4255577971</v>
      </c>
      <c r="K1094" s="360">
        <f>(1+L1094)/(1+Ke!$O$12)-1</f>
        <v>2.0000000000000018E-2</v>
      </c>
      <c r="L1094" s="360">
        <f>'DRE + DCF'!$Y$31</f>
        <v>7.3550000000000004E-2</v>
      </c>
      <c r="M1094" s="361">
        <f>(1+D1094)^((5-Dashboard!$F$9)*3/12)</f>
        <v>1.1337164283648433</v>
      </c>
      <c r="N1094" s="361">
        <f t="shared" ref="N1094:V1094" si="1115">M1094*(1+$D1094)</f>
        <v>1.340222875791494</v>
      </c>
      <c r="O1094" s="361">
        <f t="shared" si="1115"/>
        <v>1.5843444726169083</v>
      </c>
      <c r="P1094" s="361">
        <f t="shared" si="1115"/>
        <v>1.8729328183040703</v>
      </c>
      <c r="Q1094" s="361">
        <f t="shared" si="1115"/>
        <v>2.2140875311581478</v>
      </c>
      <c r="R1094" s="361">
        <f t="shared" si="1115"/>
        <v>2.6173835749585939</v>
      </c>
      <c r="S1094" s="361">
        <f t="shared" si="1115"/>
        <v>3.094139993137289</v>
      </c>
      <c r="T1094" s="361">
        <f t="shared" si="1115"/>
        <v>3.6577375928872313</v>
      </c>
      <c r="U1094" s="361">
        <f t="shared" si="1115"/>
        <v>4.3239944954316227</v>
      </c>
      <c r="V1094" s="362">
        <f t="shared" si="1115"/>
        <v>5.1116100927744714</v>
      </c>
      <c r="X1094" s="351"/>
    </row>
    <row r="1095" spans="3:24" ht="24.75" customHeight="1" x14ac:dyDescent="0.3">
      <c r="C1095" s="353">
        <f>ABS(E1095-Dashboard!$F$14)</f>
        <v>24.286571056610683</v>
      </c>
      <c r="D1095" s="350">
        <f t="shared" si="1059"/>
        <v>0.18224999999999517</v>
      </c>
      <c r="E1095" s="359" cm="1">
        <f t="array" ref="E1095">1000*SUM('DRE + DCF'!$L$36/M1095,'DRE + DCF'!$N$36:$V$36/N1095:V1095,F1095/V1095)/Dashboard!$F$11</f>
        <v>121.27657105661068</v>
      </c>
      <c r="F1095" s="359">
        <f t="shared" si="1057"/>
        <v>16088137.655289568</v>
      </c>
      <c r="G1095" s="359">
        <f>'DRE + DCF'!$W$31</f>
        <v>2791623.3540418856</v>
      </c>
      <c r="H1095" s="359">
        <f>'DRE + DCF'!$W$32</f>
        <v>81081.931703745853</v>
      </c>
      <c r="I1095" s="359">
        <f>-H1095*('DRE + DCF'!$V$33+K1095)/'DRE + DCF'!$V$33</f>
        <v>-90858.801614444121</v>
      </c>
      <c r="J1095" s="359">
        <f>-'DRE + DCF'!$V$56*L1095</f>
        <v>-1188924.4255577971</v>
      </c>
      <c r="K1095" s="360">
        <f>(1+L1095)/(1+Ke!$O$12)-1</f>
        <v>2.0000000000000018E-2</v>
      </c>
      <c r="L1095" s="360">
        <f>'DRE + DCF'!$Y$31</f>
        <v>7.3550000000000004E-2</v>
      </c>
      <c r="M1095" s="361">
        <f>(1+D1095)^((5-Dashboard!$F$9)*3/12)</f>
        <v>1.1337883547980956</v>
      </c>
      <c r="N1095" s="361">
        <f t="shared" ref="N1095:V1095" si="1116">M1095*(1+$D1095)</f>
        <v>1.340421282460043</v>
      </c>
      <c r="O1095" s="361">
        <f t="shared" si="1116"/>
        <v>1.5847130611883793</v>
      </c>
      <c r="P1095" s="361">
        <f t="shared" si="1116"/>
        <v>1.8735270165899538</v>
      </c>
      <c r="Q1095" s="361">
        <f t="shared" si="1116"/>
        <v>2.214977315363464</v>
      </c>
      <c r="R1095" s="361">
        <f t="shared" si="1116"/>
        <v>2.6186569310884447</v>
      </c>
      <c r="S1095" s="361">
        <f t="shared" si="1116"/>
        <v>3.0959071567793011</v>
      </c>
      <c r="T1095" s="361">
        <f t="shared" si="1116"/>
        <v>3.6601362361023138</v>
      </c>
      <c r="U1095" s="361">
        <f t="shared" si="1116"/>
        <v>4.3271960651319423</v>
      </c>
      <c r="V1095" s="362">
        <f t="shared" si="1116"/>
        <v>5.1158275480022182</v>
      </c>
      <c r="X1095" s="351"/>
    </row>
    <row r="1096" spans="3:24" ht="24.75" customHeight="1" x14ac:dyDescent="0.3">
      <c r="C1096" s="353">
        <f>ABS(E1096-Dashboard!$F$14)</f>
        <v>24.171393562095105</v>
      </c>
      <c r="D1096" s="350">
        <f t="shared" si="1059"/>
        <v>0.18234999999999515</v>
      </c>
      <c r="E1096" s="359" cm="1">
        <f t="array" ref="E1096">1000*SUM('DRE + DCF'!$L$36/M1096,'DRE + DCF'!$N$36:$V$36/N1096:V1096,F1096/V1096)/Dashboard!$F$11</f>
        <v>121.1613935620951</v>
      </c>
      <c r="F1096" s="359">
        <f t="shared" si="1057"/>
        <v>16076398.866656307</v>
      </c>
      <c r="G1096" s="359">
        <f>'DRE + DCF'!$W$31</f>
        <v>2791623.3540418856</v>
      </c>
      <c r="H1096" s="359">
        <f>'DRE + DCF'!$W$32</f>
        <v>81081.931703745853</v>
      </c>
      <c r="I1096" s="359">
        <f>-H1096*('DRE + DCF'!$V$33+K1096)/'DRE + DCF'!$V$33</f>
        <v>-90858.801614444121</v>
      </c>
      <c r="J1096" s="359">
        <f>-'DRE + DCF'!$V$56*L1096</f>
        <v>-1188924.4255577971</v>
      </c>
      <c r="K1096" s="360">
        <f>(1+L1096)/(1+Ke!$O$12)-1</f>
        <v>2.0000000000000018E-2</v>
      </c>
      <c r="L1096" s="360">
        <f>'DRE + DCF'!$Y$31</f>
        <v>7.3550000000000004E-2</v>
      </c>
      <c r="M1096" s="361">
        <f>(1+D1096)^((5-Dashboard!$F$9)*3/12)</f>
        <v>1.1338602797103989</v>
      </c>
      <c r="N1096" s="361">
        <f t="shared" ref="N1096:V1096" si="1117">M1096*(1+$D1096)</f>
        <v>1.3406197017155848</v>
      </c>
      <c r="O1096" s="361">
        <f t="shared" si="1117"/>
        <v>1.5850817043234151</v>
      </c>
      <c r="P1096" s="361">
        <f t="shared" si="1117"/>
        <v>1.8741213531067822</v>
      </c>
      <c r="Q1096" s="361">
        <f t="shared" si="1117"/>
        <v>2.2158673818457948</v>
      </c>
      <c r="R1096" s="361">
        <f t="shared" si="1117"/>
        <v>2.6199307989253646</v>
      </c>
      <c r="S1096" s="361">
        <f t="shared" si="1117"/>
        <v>3.097675180109392</v>
      </c>
      <c r="T1096" s="361">
        <f t="shared" si="1117"/>
        <v>3.6625362492023243</v>
      </c>
      <c r="U1096" s="361">
        <f t="shared" si="1117"/>
        <v>4.3303997342443505</v>
      </c>
      <c r="V1096" s="362">
        <f t="shared" si="1117"/>
        <v>5.1200481257837867</v>
      </c>
      <c r="X1096" s="351"/>
    </row>
    <row r="1097" spans="3:24" ht="24.75" customHeight="1" x14ac:dyDescent="0.3">
      <c r="C1097" s="353">
        <f>ABS(E1097-Dashboard!$F$14)</f>
        <v>24.056406864892708</v>
      </c>
      <c r="D1097" s="350">
        <f t="shared" si="1059"/>
        <v>0.18244999999999514</v>
      </c>
      <c r="E1097" s="359" cm="1">
        <f t="array" ref="E1097">1000*SUM('DRE + DCF'!$L$36/M1097,'DRE + DCF'!$N$36:$V$36/N1097:V1097,F1097/V1097)/Dashboard!$F$11</f>
        <v>121.0464068648927</v>
      </c>
      <c r="F1097" s="359">
        <f t="shared" si="1057"/>
        <v>16064678.298629913</v>
      </c>
      <c r="G1097" s="359">
        <f>'DRE + DCF'!$W$31</f>
        <v>2791623.3540418856</v>
      </c>
      <c r="H1097" s="359">
        <f>'DRE + DCF'!$W$32</f>
        <v>81081.931703745853</v>
      </c>
      <c r="I1097" s="359">
        <f>-H1097*('DRE + DCF'!$V$33+K1097)/'DRE + DCF'!$V$33</f>
        <v>-90858.801614444121</v>
      </c>
      <c r="J1097" s="359">
        <f>-'DRE + DCF'!$V$56*L1097</f>
        <v>-1188924.4255577971</v>
      </c>
      <c r="K1097" s="360">
        <f>(1+L1097)/(1+Ke!$O$12)-1</f>
        <v>2.0000000000000018E-2</v>
      </c>
      <c r="L1097" s="360">
        <f>'DRE + DCF'!$Y$31</f>
        <v>7.3550000000000004E-2</v>
      </c>
      <c r="M1097" s="361">
        <f>(1+D1097)^((5-Dashboard!$F$9)*3/12)</f>
        <v>1.1339322031019141</v>
      </c>
      <c r="N1097" s="361">
        <f t="shared" ref="N1097:V1097" si="1118">M1097*(1+$D1097)</f>
        <v>1.3408181335578528</v>
      </c>
      <c r="O1097" s="361">
        <f t="shared" si="1118"/>
        <v>1.5854504020254765</v>
      </c>
      <c r="P1097" s="361">
        <f t="shared" si="1118"/>
        <v>1.8747158278750169</v>
      </c>
      <c r="Q1097" s="361">
        <f t="shared" si="1118"/>
        <v>2.2167577306708046</v>
      </c>
      <c r="R1097" s="361">
        <f t="shared" si="1118"/>
        <v>2.6212051786316821</v>
      </c>
      <c r="S1097" s="361">
        <f t="shared" si="1118"/>
        <v>3.0994440634730198</v>
      </c>
      <c r="T1097" s="361">
        <f t="shared" si="1118"/>
        <v>3.6649376328536571</v>
      </c>
      <c r="U1097" s="361">
        <f t="shared" si="1118"/>
        <v>4.3336055039677888</v>
      </c>
      <c r="V1097" s="362">
        <f t="shared" si="1118"/>
        <v>5.124271828166691</v>
      </c>
      <c r="X1097" s="351"/>
    </row>
    <row r="1098" spans="3:24" ht="24.75" customHeight="1" x14ac:dyDescent="0.3">
      <c r="C1098" s="353">
        <f>ABS(E1098-Dashboard!$F$14)</f>
        <v>23.941610505059032</v>
      </c>
      <c r="D1098" s="350">
        <f t="shared" si="1059"/>
        <v>0.18254999999999513</v>
      </c>
      <c r="E1098" s="359" cm="1">
        <f t="array" ref="E1098">1000*SUM('DRE + DCF'!$L$36/M1098,'DRE + DCF'!$N$36:$V$36/N1098:V1098,F1098/V1098)/Dashboard!$F$11</f>
        <v>120.93161050505903</v>
      </c>
      <c r="F1098" s="359">
        <f t="shared" si="1057"/>
        <v>16052975.906542893</v>
      </c>
      <c r="G1098" s="359">
        <f>'DRE + DCF'!$W$31</f>
        <v>2791623.3540418856</v>
      </c>
      <c r="H1098" s="359">
        <f>'DRE + DCF'!$W$32</f>
        <v>81081.931703745853</v>
      </c>
      <c r="I1098" s="359">
        <f>-H1098*('DRE + DCF'!$V$33+K1098)/'DRE + DCF'!$V$33</f>
        <v>-90858.801614444121</v>
      </c>
      <c r="J1098" s="359">
        <f>-'DRE + DCF'!$V$56*L1098</f>
        <v>-1188924.4255577971</v>
      </c>
      <c r="K1098" s="360">
        <f>(1+L1098)/(1+Ke!$O$12)-1</f>
        <v>2.0000000000000018E-2</v>
      </c>
      <c r="L1098" s="360">
        <f>'DRE + DCF'!$Y$31</f>
        <v>7.3550000000000004E-2</v>
      </c>
      <c r="M1098" s="361">
        <f>(1+D1098)^((5-Dashboard!$F$9)*3/12)</f>
        <v>1.1340041249728021</v>
      </c>
      <c r="N1098" s="361">
        <f t="shared" ref="N1098:V1098" si="1119">M1098*(1+$D1098)</f>
        <v>1.3410165779865817</v>
      </c>
      <c r="O1098" s="361">
        <f t="shared" si="1119"/>
        <v>1.5858191542980256</v>
      </c>
      <c r="P1098" s="361">
        <f t="shared" si="1119"/>
        <v>1.8753104409151224</v>
      </c>
      <c r="Q1098" s="361">
        <f t="shared" si="1119"/>
        <v>2.2176483619041689</v>
      </c>
      <c r="R1098" s="361">
        <f t="shared" si="1119"/>
        <v>2.6224800703697642</v>
      </c>
      <c r="S1098" s="361">
        <f t="shared" si="1119"/>
        <v>3.1012138072157516</v>
      </c>
      <c r="T1098" s="361">
        <f t="shared" si="1119"/>
        <v>3.6673403877229718</v>
      </c>
      <c r="U1098" s="361">
        <f t="shared" si="1119"/>
        <v>4.3368133755017819</v>
      </c>
      <c r="V1098" s="362">
        <f t="shared" si="1119"/>
        <v>5.1284986571996107</v>
      </c>
      <c r="X1098" s="351"/>
    </row>
    <row r="1099" spans="3:24" ht="24.75" customHeight="1" x14ac:dyDescent="0.3">
      <c r="C1099" s="353">
        <f>ABS(E1099-Dashboard!$F$14)</f>
        <v>23.827004024154022</v>
      </c>
      <c r="D1099" s="350">
        <f t="shared" si="1059"/>
        <v>0.18264999999999512</v>
      </c>
      <c r="E1099" s="359" cm="1">
        <f t="array" ref="E1099">1000*SUM('DRE + DCF'!$L$36/M1099,'DRE + DCF'!$N$36:$V$36/N1099:V1099,F1099/V1099)/Dashboard!$F$11</f>
        <v>120.81700402415402</v>
      </c>
      <c r="F1099" s="359">
        <f t="shared" si="1057"/>
        <v>16041291.645879541</v>
      </c>
      <c r="G1099" s="359">
        <f>'DRE + DCF'!$W$31</f>
        <v>2791623.3540418856</v>
      </c>
      <c r="H1099" s="359">
        <f>'DRE + DCF'!$W$32</f>
        <v>81081.931703745853</v>
      </c>
      <c r="I1099" s="359">
        <f>-H1099*('DRE + DCF'!$V$33+K1099)/'DRE + DCF'!$V$33</f>
        <v>-90858.801614444121</v>
      </c>
      <c r="J1099" s="359">
        <f>-'DRE + DCF'!$V$56*L1099</f>
        <v>-1188924.4255577971</v>
      </c>
      <c r="K1099" s="360">
        <f>(1+L1099)/(1+Ke!$O$12)-1</f>
        <v>2.0000000000000018E-2</v>
      </c>
      <c r="L1099" s="360">
        <f>'DRE + DCF'!$Y$31</f>
        <v>7.3550000000000004E-2</v>
      </c>
      <c r="M1099" s="361">
        <f>(1+D1099)^((5-Dashboard!$F$9)*3/12)</f>
        <v>1.1340760453232235</v>
      </c>
      <c r="N1099" s="361">
        <f t="shared" ref="N1099:V1099" si="1120">M1099*(1+$D1099)</f>
        <v>1.3412150350015046</v>
      </c>
      <c r="O1099" s="361">
        <f t="shared" si="1120"/>
        <v>1.5861879611445229</v>
      </c>
      <c r="P1099" s="361">
        <f t="shared" si="1120"/>
        <v>1.8759051922475622</v>
      </c>
      <c r="Q1099" s="361">
        <f t="shared" si="1120"/>
        <v>2.2185392756115703</v>
      </c>
      <c r="R1099" s="361">
        <f t="shared" si="1120"/>
        <v>2.6237554743020128</v>
      </c>
      <c r="S1099" s="361">
        <f t="shared" si="1120"/>
        <v>3.1029844116832628</v>
      </c>
      <c r="T1099" s="361">
        <f t="shared" si="1120"/>
        <v>3.6697445144771956</v>
      </c>
      <c r="U1099" s="361">
        <f t="shared" si="1120"/>
        <v>4.3400233500464376</v>
      </c>
      <c r="V1099" s="362">
        <f t="shared" si="1120"/>
        <v>5.1327286149323985</v>
      </c>
      <c r="X1099" s="351"/>
    </row>
    <row r="1100" spans="3:24" ht="24.75" customHeight="1" x14ac:dyDescent="0.3">
      <c r="C1100" s="353">
        <f>ABS(E1100-Dashboard!$F$14)</f>
        <v>23.71258696523536</v>
      </c>
      <c r="D1100" s="350">
        <f t="shared" si="1059"/>
        <v>0.18274999999999511</v>
      </c>
      <c r="E1100" s="359" cm="1">
        <f t="array" ref="E1100">1000*SUM('DRE + DCF'!$L$36/M1100,'DRE + DCF'!$N$36:$V$36/N1100:V1100,F1100/V1100)/Dashboard!$F$11</f>
        <v>120.70258696523535</v>
      </c>
      <c r="F1100" s="359">
        <f t="shared" si="1057"/>
        <v>16029625.472275248</v>
      </c>
      <c r="G1100" s="359">
        <f>'DRE + DCF'!$W$31</f>
        <v>2791623.3540418856</v>
      </c>
      <c r="H1100" s="359">
        <f>'DRE + DCF'!$W$32</f>
        <v>81081.931703745853</v>
      </c>
      <c r="I1100" s="359">
        <f>-H1100*('DRE + DCF'!$V$33+K1100)/'DRE + DCF'!$V$33</f>
        <v>-90858.801614444121</v>
      </c>
      <c r="J1100" s="359">
        <f>-'DRE + DCF'!$V$56*L1100</f>
        <v>-1188924.4255577971</v>
      </c>
      <c r="K1100" s="360">
        <f>(1+L1100)/(1+Ke!$O$12)-1</f>
        <v>2.0000000000000018E-2</v>
      </c>
      <c r="L1100" s="360">
        <f>'DRE + DCF'!$Y$31</f>
        <v>7.3550000000000004E-2</v>
      </c>
      <c r="M1100" s="361">
        <f>(1+D1100)^((5-Dashboard!$F$9)*3/12)</f>
        <v>1.1341479641533387</v>
      </c>
      <c r="N1100" s="361">
        <f t="shared" ref="N1100:V1100" si="1121">M1100*(1+$D1100)</f>
        <v>1.3414135046023559</v>
      </c>
      <c r="O1100" s="361">
        <f t="shared" si="1121"/>
        <v>1.5865568225684299</v>
      </c>
      <c r="P1100" s="361">
        <f t="shared" si="1121"/>
        <v>1.8765000818928026</v>
      </c>
      <c r="Q1100" s="361">
        <f t="shared" si="1121"/>
        <v>2.2194304718587032</v>
      </c>
      <c r="R1100" s="361">
        <f t="shared" si="1121"/>
        <v>2.6250313905908702</v>
      </c>
      <c r="S1100" s="361">
        <f t="shared" si="1121"/>
        <v>3.1047558772213386</v>
      </c>
      <c r="T1100" s="361">
        <f t="shared" si="1121"/>
        <v>3.672150013783523</v>
      </c>
      <c r="U1100" s="361">
        <f t="shared" si="1121"/>
        <v>4.3432354288024442</v>
      </c>
      <c r="V1100" s="362">
        <f t="shared" si="1121"/>
        <v>5.1369617034160697</v>
      </c>
      <c r="X1100" s="351"/>
    </row>
    <row r="1101" spans="3:24" ht="24.75" customHeight="1" x14ac:dyDescent="0.3">
      <c r="C1101" s="353">
        <f>ABS(E1101-Dashboard!$F$14)</f>
        <v>23.598358872852245</v>
      </c>
      <c r="D1101" s="350">
        <f t="shared" si="1059"/>
        <v>0.1828499999999951</v>
      </c>
      <c r="E1101" s="359" cm="1">
        <f t="array" ref="E1101">1000*SUM('DRE + DCF'!$L$36/M1101,'DRE + DCF'!$N$36:$V$36/N1101:V1101,F1101/V1101)/Dashboard!$F$11</f>
        <v>120.58835887285224</v>
      </c>
      <c r="F1101" s="359">
        <f t="shared" si="1057"/>
        <v>16017977.341515874</v>
      </c>
      <c r="G1101" s="359">
        <f>'DRE + DCF'!$W$31</f>
        <v>2791623.3540418856</v>
      </c>
      <c r="H1101" s="359">
        <f>'DRE + DCF'!$W$32</f>
        <v>81081.931703745853</v>
      </c>
      <c r="I1101" s="359">
        <f>-H1101*('DRE + DCF'!$V$33+K1101)/'DRE + DCF'!$V$33</f>
        <v>-90858.801614444121</v>
      </c>
      <c r="J1101" s="359">
        <f>-'DRE + DCF'!$V$56*L1101</f>
        <v>-1188924.4255577971</v>
      </c>
      <c r="K1101" s="360">
        <f>(1+L1101)/(1+Ke!$O$12)-1</f>
        <v>2.0000000000000018E-2</v>
      </c>
      <c r="L1101" s="360">
        <f>'DRE + DCF'!$Y$31</f>
        <v>7.3550000000000004E-2</v>
      </c>
      <c r="M1101" s="361">
        <f>(1+D1101)^((5-Dashboard!$F$9)*3/12)</f>
        <v>1.1342198814633091</v>
      </c>
      <c r="N1101" s="361">
        <f t="shared" ref="N1101:V1101" si="1122">M1101*(1+$D1101)</f>
        <v>1.3416119867888696</v>
      </c>
      <c r="O1101" s="361">
        <f t="shared" si="1122"/>
        <v>1.5869257385732078</v>
      </c>
      <c r="P1101" s="361">
        <f t="shared" si="1122"/>
        <v>1.8770951098713111</v>
      </c>
      <c r="Q1101" s="361">
        <f t="shared" si="1122"/>
        <v>2.2203219507112713</v>
      </c>
      <c r="R1101" s="361">
        <f t="shared" si="1122"/>
        <v>2.6263078193988161</v>
      </c>
      <c r="S1101" s="361">
        <f t="shared" si="1122"/>
        <v>3.1065282041758766</v>
      </c>
      <c r="T1101" s="361">
        <f t="shared" si="1122"/>
        <v>3.6745568863094205</v>
      </c>
      <c r="U1101" s="361">
        <f t="shared" si="1122"/>
        <v>4.3464496129710799</v>
      </c>
      <c r="V1101" s="362">
        <f t="shared" si="1122"/>
        <v>5.1411979247028201</v>
      </c>
      <c r="X1101" s="351"/>
    </row>
    <row r="1102" spans="3:24" ht="24.75" customHeight="1" x14ac:dyDescent="0.3">
      <c r="C1102" s="353">
        <f>ABS(E1102-Dashboard!$F$14)</f>
        <v>23.484319293039235</v>
      </c>
      <c r="D1102" s="350">
        <f t="shared" si="1059"/>
        <v>0.18294999999999509</v>
      </c>
      <c r="E1102" s="359" cm="1">
        <f t="array" ref="E1102">1000*SUM('DRE + DCF'!$L$36/M1102,'DRE + DCF'!$N$36:$V$36/N1102:V1102,F1102/V1102)/Dashboard!$F$11</f>
        <v>120.47431929303923</v>
      </c>
      <c r="F1102" s="359">
        <f t="shared" ref="F1102:F1165" si="1123">AVERAGE(SUM(G1102:J1102)*(1+L1102)/(D1102-L1102),G1102*(1+L1102)*(1-L1102/D1102)/(D1102-L1102))</f>
        <v>16006347.20953707</v>
      </c>
      <c r="G1102" s="359">
        <f>'DRE + DCF'!$W$31</f>
        <v>2791623.3540418856</v>
      </c>
      <c r="H1102" s="359">
        <f>'DRE + DCF'!$W$32</f>
        <v>81081.931703745853</v>
      </c>
      <c r="I1102" s="359">
        <f>-H1102*('DRE + DCF'!$V$33+K1102)/'DRE + DCF'!$V$33</f>
        <v>-90858.801614444121</v>
      </c>
      <c r="J1102" s="359">
        <f>-'DRE + DCF'!$V$56*L1102</f>
        <v>-1188924.4255577971</v>
      </c>
      <c r="K1102" s="360">
        <f>(1+L1102)/(1+Ke!$O$12)-1</f>
        <v>2.0000000000000018E-2</v>
      </c>
      <c r="L1102" s="360">
        <f>'DRE + DCF'!$Y$31</f>
        <v>7.3550000000000004E-2</v>
      </c>
      <c r="M1102" s="361">
        <f>(1+D1102)^((5-Dashboard!$F$9)*3/12)</f>
        <v>1.1342917972532947</v>
      </c>
      <c r="N1102" s="361">
        <f t="shared" ref="N1102:V1102" si="1124">M1102*(1+$D1102)</f>
        <v>1.3418104815607792</v>
      </c>
      <c r="O1102" s="361">
        <f t="shared" si="1124"/>
        <v>1.5872947091623171</v>
      </c>
      <c r="P1102" s="361">
        <f t="shared" si="1124"/>
        <v>1.8776902762035552</v>
      </c>
      <c r="Q1102" s="361">
        <f t="shared" si="1124"/>
        <v>2.2212137122349862</v>
      </c>
      <c r="R1102" s="361">
        <f t="shared" si="1124"/>
        <v>2.6275847608883658</v>
      </c>
      <c r="S1102" s="361">
        <f t="shared" si="1124"/>
        <v>3.1083013928928795</v>
      </c>
      <c r="T1102" s="361">
        <f t="shared" si="1124"/>
        <v>3.6769651327226165</v>
      </c>
      <c r="U1102" s="361">
        <f t="shared" si="1124"/>
        <v>4.3496659037542011</v>
      </c>
      <c r="V1102" s="362">
        <f t="shared" si="1124"/>
        <v>5.1454372808460107</v>
      </c>
      <c r="X1102" s="351"/>
    </row>
    <row r="1103" spans="3:24" ht="24.75" customHeight="1" x14ac:dyDescent="0.3">
      <c r="C1103" s="353">
        <f>ABS(E1103-Dashboard!$F$14)</f>
        <v>23.370467773309812</v>
      </c>
      <c r="D1103" s="350">
        <f t="shared" ref="D1103:D1166" si="1125">D1102+0.0001</f>
        <v>0.18304999999999508</v>
      </c>
      <c r="E1103" s="359" cm="1">
        <f t="array" ref="E1103">1000*SUM('DRE + DCF'!$L$36/M1103,'DRE + DCF'!$N$36:$V$36/N1103:V1103,F1103/V1103)/Dashboard!$F$11</f>
        <v>120.36046777330981</v>
      </c>
      <c r="F1103" s="359">
        <f t="shared" si="1123"/>
        <v>15994735.032423638</v>
      </c>
      <c r="G1103" s="359">
        <f>'DRE + DCF'!$W$31</f>
        <v>2791623.3540418856</v>
      </c>
      <c r="H1103" s="359">
        <f>'DRE + DCF'!$W$32</f>
        <v>81081.931703745853</v>
      </c>
      <c r="I1103" s="359">
        <f>-H1103*('DRE + DCF'!$V$33+K1103)/'DRE + DCF'!$V$33</f>
        <v>-90858.801614444121</v>
      </c>
      <c r="J1103" s="359">
        <f>-'DRE + DCF'!$V$56*L1103</f>
        <v>-1188924.4255577971</v>
      </c>
      <c r="K1103" s="360">
        <f>(1+L1103)/(1+Ke!$O$12)-1</f>
        <v>2.0000000000000018E-2</v>
      </c>
      <c r="L1103" s="360">
        <f>'DRE + DCF'!$Y$31</f>
        <v>7.3550000000000004E-2</v>
      </c>
      <c r="M1103" s="361">
        <f>(1+D1103)^((5-Dashboard!$F$9)*3/12)</f>
        <v>1.1343637115234564</v>
      </c>
      <c r="N1103" s="361">
        <f t="shared" ref="N1103:V1103" si="1126">M1103*(1+$D1103)</f>
        <v>1.3420089889178195</v>
      </c>
      <c r="O1103" s="361">
        <f t="shared" si="1126"/>
        <v>1.5876637343392197</v>
      </c>
      <c r="P1103" s="361">
        <f t="shared" si="1126"/>
        <v>1.8782855809100061</v>
      </c>
      <c r="Q1103" s="361">
        <f t="shared" si="1126"/>
        <v>2.2221057564955733</v>
      </c>
      <c r="R1103" s="361">
        <f t="shared" si="1126"/>
        <v>2.6288622152220769</v>
      </c>
      <c r="S1103" s="361">
        <f t="shared" si="1126"/>
        <v>3.1100754437184652</v>
      </c>
      <c r="T1103" s="361">
        <f t="shared" si="1126"/>
        <v>3.679374753691115</v>
      </c>
      <c r="U1103" s="361">
        <f t="shared" si="1126"/>
        <v>4.3528843023542549</v>
      </c>
      <c r="V1103" s="362">
        <f t="shared" si="1126"/>
        <v>5.1496797739001794</v>
      </c>
      <c r="X1103" s="351"/>
    </row>
    <row r="1104" spans="3:24" ht="24.75" customHeight="1" x14ac:dyDescent="0.3">
      <c r="C1104" s="353">
        <f>ABS(E1104-Dashboard!$F$14)</f>
        <v>23.256803862650344</v>
      </c>
      <c r="D1104" s="350">
        <f t="shared" si="1125"/>
        <v>0.18314999999999507</v>
      </c>
      <c r="E1104" s="359" cm="1">
        <f t="array" ref="E1104">1000*SUM('DRE + DCF'!$L$36/M1104,'DRE + DCF'!$N$36:$V$36/N1104:V1104,F1104/V1104)/Dashboard!$F$11</f>
        <v>120.24680386265034</v>
      </c>
      <c r="F1104" s="359">
        <f t="shared" si="1123"/>
        <v>15983140.766408874</v>
      </c>
      <c r="G1104" s="359">
        <f>'DRE + DCF'!$W$31</f>
        <v>2791623.3540418856</v>
      </c>
      <c r="H1104" s="359">
        <f>'DRE + DCF'!$W$32</f>
        <v>81081.931703745853</v>
      </c>
      <c r="I1104" s="359">
        <f>-H1104*('DRE + DCF'!$V$33+K1104)/'DRE + DCF'!$V$33</f>
        <v>-90858.801614444121</v>
      </c>
      <c r="J1104" s="359">
        <f>-'DRE + DCF'!$V$56*L1104</f>
        <v>-1188924.4255577971</v>
      </c>
      <c r="K1104" s="360">
        <f>(1+L1104)/(1+Ke!$O$12)-1</f>
        <v>2.0000000000000018E-2</v>
      </c>
      <c r="L1104" s="360">
        <f>'DRE + DCF'!$Y$31</f>
        <v>7.3550000000000004E-2</v>
      </c>
      <c r="M1104" s="361">
        <f>(1+D1104)^((5-Dashboard!$F$9)*3/12)</f>
        <v>1.1344356242739546</v>
      </c>
      <c r="N1104" s="361">
        <f t="shared" ref="N1104:V1104" si="1127">M1104*(1+$D1104)</f>
        <v>1.3422075088597238</v>
      </c>
      <c r="O1104" s="361">
        <f t="shared" si="1127"/>
        <v>1.5880328141073756</v>
      </c>
      <c r="P1104" s="361">
        <f t="shared" si="1127"/>
        <v>1.8788810240111335</v>
      </c>
      <c r="Q1104" s="361">
        <f t="shared" si="1127"/>
        <v>2.2229980835587635</v>
      </c>
      <c r="R1104" s="361">
        <f t="shared" si="1127"/>
        <v>2.6301401825625401</v>
      </c>
      <c r="S1104" s="361">
        <f t="shared" si="1127"/>
        <v>3.1118503569988563</v>
      </c>
      <c r="T1104" s="361">
        <f t="shared" si="1127"/>
        <v>3.6817857498831814</v>
      </c>
      <c r="U1104" s="361">
        <f t="shared" si="1127"/>
        <v>4.3561048099742674</v>
      </c>
      <c r="V1104" s="362">
        <f t="shared" si="1127"/>
        <v>5.1539254059210329</v>
      </c>
      <c r="X1104" s="351"/>
    </row>
    <row r="1105" spans="3:24" ht="24.75" customHeight="1" x14ac:dyDescent="0.3">
      <c r="C1105" s="353">
        <f>ABS(E1105-Dashboard!$F$14)</f>
        <v>23.143327111513798</v>
      </c>
      <c r="D1105" s="350">
        <f t="shared" si="1125"/>
        <v>0.18324999999999506</v>
      </c>
      <c r="E1105" s="359" cm="1">
        <f t="array" ref="E1105">1000*SUM('DRE + DCF'!$L$36/M1105,'DRE + DCF'!$N$36:$V$36/N1105:V1105,F1105/V1105)/Dashboard!$F$11</f>
        <v>120.13332711151379</v>
      </c>
      <c r="F1105" s="359">
        <f t="shared" si="1123"/>
        <v>15971564.367873935</v>
      </c>
      <c r="G1105" s="359">
        <f>'DRE + DCF'!$W$31</f>
        <v>2791623.3540418856</v>
      </c>
      <c r="H1105" s="359">
        <f>'DRE + DCF'!$W$32</f>
        <v>81081.931703745853</v>
      </c>
      <c r="I1105" s="359">
        <f>-H1105*('DRE + DCF'!$V$33+K1105)/'DRE + DCF'!$V$33</f>
        <v>-90858.801614444121</v>
      </c>
      <c r="J1105" s="359">
        <f>-'DRE + DCF'!$V$56*L1105</f>
        <v>-1188924.4255577971</v>
      </c>
      <c r="K1105" s="360">
        <f>(1+L1105)/(1+Ke!$O$12)-1</f>
        <v>2.0000000000000018E-2</v>
      </c>
      <c r="L1105" s="360">
        <f>'DRE + DCF'!$Y$31</f>
        <v>7.3550000000000004E-2</v>
      </c>
      <c r="M1105" s="361">
        <f>(1+D1105)^((5-Dashboard!$F$9)*3/12)</f>
        <v>1.1345075355049503</v>
      </c>
      <c r="N1105" s="361">
        <f t="shared" ref="N1105:V1105" si="1128">M1105*(1+$D1105)</f>
        <v>1.3424060413862269</v>
      </c>
      <c r="O1105" s="361">
        <f t="shared" si="1128"/>
        <v>1.5884019484702463</v>
      </c>
      <c r="P1105" s="361">
        <f t="shared" si="1128"/>
        <v>1.879476605527411</v>
      </c>
      <c r="Q1105" s="361">
        <f t="shared" si="1128"/>
        <v>2.2238906934902998</v>
      </c>
      <c r="R1105" s="361">
        <f t="shared" si="1128"/>
        <v>2.6314186630723864</v>
      </c>
      <c r="S1105" s="361">
        <f t="shared" si="1128"/>
        <v>3.113626133080388</v>
      </c>
      <c r="T1105" s="361">
        <f t="shared" si="1128"/>
        <v>3.6841981219673539</v>
      </c>
      <c r="U1105" s="361">
        <f t="shared" si="1128"/>
        <v>4.3593274278178535</v>
      </c>
      <c r="V1105" s="362">
        <f t="shared" si="1128"/>
        <v>5.1581741789654538</v>
      </c>
      <c r="X1105" s="351"/>
    </row>
    <row r="1106" spans="3:24" ht="24.75" customHeight="1" x14ac:dyDescent="0.3">
      <c r="C1106" s="353">
        <f>ABS(E1106-Dashboard!$F$14)</f>
        <v>23.030037071813837</v>
      </c>
      <c r="D1106" s="350">
        <f t="shared" si="1125"/>
        <v>0.18334999999999504</v>
      </c>
      <c r="E1106" s="359" cm="1">
        <f t="array" ref="E1106">1000*SUM('DRE + DCF'!$L$36/M1106,'DRE + DCF'!$N$36:$V$36/N1106:V1106,F1106/V1106)/Dashboard!$F$11</f>
        <v>120.02003707181383</v>
      </c>
      <c r="F1106" s="359">
        <f t="shared" si="1123"/>
        <v>15960005.793347184</v>
      </c>
      <c r="G1106" s="359">
        <f>'DRE + DCF'!$W$31</f>
        <v>2791623.3540418856</v>
      </c>
      <c r="H1106" s="359">
        <f>'DRE + DCF'!$W$32</f>
        <v>81081.931703745853</v>
      </c>
      <c r="I1106" s="359">
        <f>-H1106*('DRE + DCF'!$V$33+K1106)/'DRE + DCF'!$V$33</f>
        <v>-90858.801614444121</v>
      </c>
      <c r="J1106" s="359">
        <f>-'DRE + DCF'!$V$56*L1106</f>
        <v>-1188924.4255577971</v>
      </c>
      <c r="K1106" s="360">
        <f>(1+L1106)/(1+Ke!$O$12)-1</f>
        <v>2.0000000000000018E-2</v>
      </c>
      <c r="L1106" s="360">
        <f>'DRE + DCF'!$Y$31</f>
        <v>7.3550000000000004E-2</v>
      </c>
      <c r="M1106" s="361">
        <f>(1+D1106)^((5-Dashboard!$F$9)*3/12)</f>
        <v>1.1345794452166034</v>
      </c>
      <c r="N1106" s="361">
        <f t="shared" ref="N1106:V1106" si="1129">M1106*(1+$D1106)</f>
        <v>1.3426045864970619</v>
      </c>
      <c r="O1106" s="361">
        <f t="shared" si="1129"/>
        <v>1.5887711374312916</v>
      </c>
      <c r="P1106" s="361">
        <f t="shared" si="1129"/>
        <v>1.880072325479311</v>
      </c>
      <c r="Q1106" s="361">
        <f t="shared" si="1129"/>
        <v>2.2247835863559335</v>
      </c>
      <c r="R1106" s="361">
        <f t="shared" si="1129"/>
        <v>2.6326976569142828</v>
      </c>
      <c r="S1106" s="361">
        <f t="shared" si="1129"/>
        <v>3.1154027723095035</v>
      </c>
      <c r="T1106" s="361">
        <f t="shared" si="1129"/>
        <v>3.6866118706124356</v>
      </c>
      <c r="U1106" s="361">
        <f t="shared" si="1129"/>
        <v>4.3625521570892074</v>
      </c>
      <c r="V1106" s="362">
        <f t="shared" si="1129"/>
        <v>5.162426095091492</v>
      </c>
      <c r="X1106" s="351"/>
    </row>
    <row r="1107" spans="3:24" ht="24.75" customHeight="1" x14ac:dyDescent="0.3">
      <c r="C1107" s="353">
        <f>ABS(E1107-Dashboard!$F$14)</f>
        <v>22.916933296918316</v>
      </c>
      <c r="D1107" s="350">
        <f t="shared" si="1125"/>
        <v>0.18344999999999503</v>
      </c>
      <c r="E1107" s="359" cm="1">
        <f t="array" ref="E1107">1000*SUM('DRE + DCF'!$L$36/M1107,'DRE + DCF'!$N$36:$V$36/N1107:V1107,F1107/V1107)/Dashboard!$F$11</f>
        <v>119.90693329691831</v>
      </c>
      <c r="F1107" s="359">
        <f t="shared" si="1123"/>
        <v>15948464.999503564</v>
      </c>
      <c r="G1107" s="359">
        <f>'DRE + DCF'!$W$31</f>
        <v>2791623.3540418856</v>
      </c>
      <c r="H1107" s="359">
        <f>'DRE + DCF'!$W$32</f>
        <v>81081.931703745853</v>
      </c>
      <c r="I1107" s="359">
        <f>-H1107*('DRE + DCF'!$V$33+K1107)/'DRE + DCF'!$V$33</f>
        <v>-90858.801614444121</v>
      </c>
      <c r="J1107" s="359">
        <f>-'DRE + DCF'!$V$56*L1107</f>
        <v>-1188924.4255577971</v>
      </c>
      <c r="K1107" s="360">
        <f>(1+L1107)/(1+Ke!$O$12)-1</f>
        <v>2.0000000000000018E-2</v>
      </c>
      <c r="L1107" s="360">
        <f>'DRE + DCF'!$Y$31</f>
        <v>7.3550000000000004E-2</v>
      </c>
      <c r="M1107" s="361">
        <f>(1+D1107)^((5-Dashboard!$F$9)*3/12)</f>
        <v>1.1346513534090747</v>
      </c>
      <c r="N1107" s="361">
        <f t="shared" ref="N1107:V1107" si="1130">M1107*(1+$D1107)</f>
        <v>1.3428031441919639</v>
      </c>
      <c r="O1107" s="361">
        <f t="shared" si="1130"/>
        <v>1.589140380993973</v>
      </c>
      <c r="P1107" s="361">
        <f t="shared" si="1130"/>
        <v>1.8806681838873094</v>
      </c>
      <c r="Q1107" s="361">
        <f t="shared" si="1130"/>
        <v>2.2256767622214269</v>
      </c>
      <c r="R1107" s="361">
        <f t="shared" si="1130"/>
        <v>2.6339771642509366</v>
      </c>
      <c r="S1107" s="361">
        <f t="shared" si="1130"/>
        <v>3.1171802750327577</v>
      </c>
      <c r="T1107" s="361">
        <f t="shared" si="1130"/>
        <v>3.6890269964875015</v>
      </c>
      <c r="U1107" s="361">
        <f t="shared" si="1130"/>
        <v>4.3657789989931155</v>
      </c>
      <c r="V1107" s="362">
        <f t="shared" si="1130"/>
        <v>5.166681156358381</v>
      </c>
      <c r="X1107" s="351"/>
    </row>
    <row r="1108" spans="3:24" ht="24.75" customHeight="1" x14ac:dyDescent="0.3">
      <c r="C1108" s="353">
        <f>ABS(E1108-Dashboard!$F$14)</f>
        <v>22.804015341643407</v>
      </c>
      <c r="D1108" s="350">
        <f t="shared" si="1125"/>
        <v>0.18354999999999502</v>
      </c>
      <c r="E1108" s="359" cm="1">
        <f t="array" ref="E1108">1000*SUM('DRE + DCF'!$L$36/M1108,'DRE + DCF'!$N$36:$V$36/N1108:V1108,F1108/V1108)/Dashboard!$F$11</f>
        <v>119.7940153416434</v>
      </c>
      <c r="F1108" s="359">
        <f t="shared" si="1123"/>
        <v>15936941.943163961</v>
      </c>
      <c r="G1108" s="359">
        <f>'DRE + DCF'!$W$31</f>
        <v>2791623.3540418856</v>
      </c>
      <c r="H1108" s="359">
        <f>'DRE + DCF'!$W$32</f>
        <v>81081.931703745853</v>
      </c>
      <c r="I1108" s="359">
        <f>-H1108*('DRE + DCF'!$V$33+K1108)/'DRE + DCF'!$V$33</f>
        <v>-90858.801614444121</v>
      </c>
      <c r="J1108" s="359">
        <f>-'DRE + DCF'!$V$56*L1108</f>
        <v>-1188924.4255577971</v>
      </c>
      <c r="K1108" s="360">
        <f>(1+L1108)/(1+Ke!$O$12)-1</f>
        <v>2.0000000000000018E-2</v>
      </c>
      <c r="L1108" s="360">
        <f>'DRE + DCF'!$Y$31</f>
        <v>7.3550000000000004E-2</v>
      </c>
      <c r="M1108" s="361">
        <f>(1+D1108)^((5-Dashboard!$F$9)*3/12)</f>
        <v>1.1347232600825248</v>
      </c>
      <c r="N1108" s="361">
        <f t="shared" ref="N1108:V1108" si="1131">M1108*(1+$D1108)</f>
        <v>1.3430017144706665</v>
      </c>
      <c r="O1108" s="361">
        <f t="shared" si="1131"/>
        <v>1.5895096791617507</v>
      </c>
      <c r="P1108" s="361">
        <f t="shared" si="1131"/>
        <v>1.881264180771882</v>
      </c>
      <c r="Q1108" s="361">
        <f t="shared" si="1131"/>
        <v>2.2265702211525515</v>
      </c>
      <c r="R1108" s="361">
        <f t="shared" si="1131"/>
        <v>2.6352571852450914</v>
      </c>
      <c r="S1108" s="361">
        <f t="shared" si="1131"/>
        <v>3.1189586415968149</v>
      </c>
      <c r="T1108" s="361">
        <f t="shared" si="1131"/>
        <v>3.6914435002618946</v>
      </c>
      <c r="U1108" s="361">
        <f t="shared" si="1131"/>
        <v>4.369007954734947</v>
      </c>
      <c r="V1108" s="362">
        <f t="shared" si="1131"/>
        <v>5.1709393648265243</v>
      </c>
      <c r="X1108" s="351"/>
    </row>
    <row r="1109" spans="3:24" ht="24.75" customHeight="1" x14ac:dyDescent="0.3">
      <c r="C1109" s="353">
        <f>ABS(E1109-Dashboard!$F$14)</f>
        <v>22.691282762247738</v>
      </c>
      <c r="D1109" s="350">
        <f t="shared" si="1125"/>
        <v>0.18364999999999501</v>
      </c>
      <c r="E1109" s="359" cm="1">
        <f t="array" ref="E1109">1000*SUM('DRE + DCF'!$L$36/M1109,'DRE + DCF'!$N$36:$V$36/N1109:V1109,F1109/V1109)/Dashboard!$F$11</f>
        <v>119.68128276224773</v>
      </c>
      <c r="F1109" s="359">
        <f t="shared" si="1123"/>
        <v>15925436.581294566</v>
      </c>
      <c r="G1109" s="359">
        <f>'DRE + DCF'!$W$31</f>
        <v>2791623.3540418856</v>
      </c>
      <c r="H1109" s="359">
        <f>'DRE + DCF'!$W$32</f>
        <v>81081.931703745853</v>
      </c>
      <c r="I1109" s="359">
        <f>-H1109*('DRE + DCF'!$V$33+K1109)/'DRE + DCF'!$V$33</f>
        <v>-90858.801614444121</v>
      </c>
      <c r="J1109" s="359">
        <f>-'DRE + DCF'!$V$56*L1109</f>
        <v>-1188924.4255577971</v>
      </c>
      <c r="K1109" s="360">
        <f>(1+L1109)/(1+Ke!$O$12)-1</f>
        <v>2.0000000000000018E-2</v>
      </c>
      <c r="L1109" s="360">
        <f>'DRE + DCF'!$Y$31</f>
        <v>7.3550000000000004E-2</v>
      </c>
      <c r="M1109" s="361">
        <f>(1+D1109)^((5-Dashboard!$F$9)*3/12)</f>
        <v>1.1347951652371138</v>
      </c>
      <c r="N1109" s="361">
        <f t="shared" ref="N1109:V1109" si="1132">M1109*(1+$D1109)</f>
        <v>1.343200297332904</v>
      </c>
      <c r="O1109" s="361">
        <f t="shared" si="1132"/>
        <v>1.5898790319380851</v>
      </c>
      <c r="P1109" s="361">
        <f t="shared" si="1132"/>
        <v>1.8818603161535066</v>
      </c>
      <c r="Q1109" s="361">
        <f t="shared" si="1132"/>
        <v>2.2274639632150888</v>
      </c>
      <c r="R1109" s="361">
        <f t="shared" si="1132"/>
        <v>2.6365377200595286</v>
      </c>
      <c r="S1109" s="361">
        <f t="shared" si="1132"/>
        <v>3.1207378723484478</v>
      </c>
      <c r="T1109" s="361">
        <f t="shared" si="1132"/>
        <v>3.6938613826052245</v>
      </c>
      <c r="U1109" s="361">
        <f t="shared" si="1132"/>
        <v>4.3722390255206554</v>
      </c>
      <c r="V1109" s="362">
        <f t="shared" si="1132"/>
        <v>5.1752007225575021</v>
      </c>
      <c r="X1109" s="351"/>
    </row>
    <row r="1110" spans="3:24" ht="24.75" customHeight="1" x14ac:dyDescent="0.3">
      <c r="C1110" s="353">
        <f>ABS(E1110-Dashboard!$F$14)</f>
        <v>22.578735116426031</v>
      </c>
      <c r="D1110" s="350">
        <f t="shared" si="1125"/>
        <v>0.183749999999995</v>
      </c>
      <c r="E1110" s="359" cm="1">
        <f t="array" ref="E1110">1000*SUM('DRE + DCF'!$L$36/M1110,'DRE + DCF'!$N$36:$V$36/N1110:V1110,F1110/V1110)/Dashboard!$F$11</f>
        <v>119.56873511642603</v>
      </c>
      <c r="F1110" s="359">
        <f t="shared" si="1123"/>
        <v>15913948.87100625</v>
      </c>
      <c r="G1110" s="359">
        <f>'DRE + DCF'!$W$31</f>
        <v>2791623.3540418856</v>
      </c>
      <c r="H1110" s="359">
        <f>'DRE + DCF'!$W$32</f>
        <v>81081.931703745853</v>
      </c>
      <c r="I1110" s="359">
        <f>-H1110*('DRE + DCF'!$V$33+K1110)/'DRE + DCF'!$V$33</f>
        <v>-90858.801614444121</v>
      </c>
      <c r="J1110" s="359">
        <f>-'DRE + DCF'!$V$56*L1110</f>
        <v>-1188924.4255577971</v>
      </c>
      <c r="K1110" s="360">
        <f>(1+L1110)/(1+Ke!$O$12)-1</f>
        <v>2.0000000000000018E-2</v>
      </c>
      <c r="L1110" s="360">
        <f>'DRE + DCF'!$Y$31</f>
        <v>7.3550000000000004E-2</v>
      </c>
      <c r="M1110" s="361">
        <f>(1+D1110)^((5-Dashboard!$F$9)*3/12)</f>
        <v>1.1348670688730023</v>
      </c>
      <c r="N1110" s="361">
        <f t="shared" ref="N1110:V1110" si="1133">M1110*(1+$D1110)</f>
        <v>1.3433988927784106</v>
      </c>
      <c r="O1110" s="361">
        <f t="shared" si="1133"/>
        <v>1.5902484393264369</v>
      </c>
      <c r="P1110" s="361">
        <f t="shared" si="1133"/>
        <v>1.8824565900526617</v>
      </c>
      <c r="Q1110" s="361">
        <f t="shared" si="1133"/>
        <v>2.228357988474829</v>
      </c>
      <c r="R1110" s="361">
        <f t="shared" si="1133"/>
        <v>2.6378187688570676</v>
      </c>
      <c r="S1110" s="361">
        <f t="shared" si="1133"/>
        <v>3.1225179676345403</v>
      </c>
      <c r="T1110" s="361">
        <f t="shared" si="1133"/>
        <v>3.6962806441873712</v>
      </c>
      <c r="U1110" s="361">
        <f t="shared" si="1133"/>
        <v>4.3754722125567822</v>
      </c>
      <c r="V1110" s="362">
        <f t="shared" si="1133"/>
        <v>5.1794652316140688</v>
      </c>
      <c r="X1110" s="351"/>
    </row>
    <row r="1111" spans="3:24" ht="24.75" customHeight="1" x14ac:dyDescent="0.3">
      <c r="C1111" s="353">
        <f>ABS(E1111-Dashboard!$F$14)</f>
        <v>22.466371963303303</v>
      </c>
      <c r="D1111" s="350">
        <f t="shared" si="1125"/>
        <v>0.18384999999999499</v>
      </c>
      <c r="E1111" s="359" cm="1">
        <f t="array" ref="E1111">1000*SUM('DRE + DCF'!$L$36/M1111,'DRE + DCF'!$N$36:$V$36/N1111:V1111,F1111/V1111)/Dashboard!$F$11</f>
        <v>119.4563719633033</v>
      </c>
      <c r="F1111" s="359">
        <f t="shared" si="1123"/>
        <v>15902478.769553948</v>
      </c>
      <c r="G1111" s="359">
        <f>'DRE + DCF'!$W$31</f>
        <v>2791623.3540418856</v>
      </c>
      <c r="H1111" s="359">
        <f>'DRE + DCF'!$W$32</f>
        <v>81081.931703745853</v>
      </c>
      <c r="I1111" s="359">
        <f>-H1111*('DRE + DCF'!$V$33+K1111)/'DRE + DCF'!$V$33</f>
        <v>-90858.801614444121</v>
      </c>
      <c r="J1111" s="359">
        <f>-'DRE + DCF'!$V$56*L1111</f>
        <v>-1188924.4255577971</v>
      </c>
      <c r="K1111" s="360">
        <f>(1+L1111)/(1+Ke!$O$12)-1</f>
        <v>2.0000000000000018E-2</v>
      </c>
      <c r="L1111" s="360">
        <f>'DRE + DCF'!$Y$31</f>
        <v>7.3550000000000004E-2</v>
      </c>
      <c r="M1111" s="361">
        <f>(1+D1111)^((5-Dashboard!$F$9)*3/12)</f>
        <v>1.1349389709903508</v>
      </c>
      <c r="N1111" s="361">
        <f t="shared" ref="N1111:V1111" si="1134">M1111*(1+$D1111)</f>
        <v>1.343597500806921</v>
      </c>
      <c r="O1111" s="361">
        <f t="shared" si="1134"/>
        <v>1.5906179013302666</v>
      </c>
      <c r="P1111" s="361">
        <f t="shared" si="1134"/>
        <v>1.883053002489828</v>
      </c>
      <c r="Q1111" s="361">
        <f t="shared" si="1134"/>
        <v>2.2292522969975734</v>
      </c>
      <c r="R1111" s="361">
        <f t="shared" si="1134"/>
        <v>2.6391003318005661</v>
      </c>
      <c r="S1111" s="361">
        <f t="shared" si="1134"/>
        <v>3.1242989278020867</v>
      </c>
      <c r="T1111" s="361">
        <f t="shared" si="1134"/>
        <v>3.6987012856784847</v>
      </c>
      <c r="U1111" s="361">
        <f t="shared" si="1134"/>
        <v>4.3787075170504552</v>
      </c>
      <c r="V1111" s="362">
        <f t="shared" si="1134"/>
        <v>5.1837328940601592</v>
      </c>
      <c r="X1111" s="351"/>
    </row>
    <row r="1112" spans="3:24" ht="24.75" customHeight="1" x14ac:dyDescent="0.3">
      <c r="C1112" s="353">
        <f>ABS(E1112-Dashboard!$F$14)</f>
        <v>22.35419286342885</v>
      </c>
      <c r="D1112" s="350">
        <f t="shared" si="1125"/>
        <v>0.18394999999999498</v>
      </c>
      <c r="E1112" s="359" cm="1">
        <f t="array" ref="E1112">1000*SUM('DRE + DCF'!$L$36/M1112,'DRE + DCF'!$N$36:$V$36/N1112:V1112,F1112/V1112)/Dashboard!$F$11</f>
        <v>119.34419286342884</v>
      </c>
      <c r="F1112" s="359">
        <f t="shared" si="1123"/>
        <v>15891026.234336022</v>
      </c>
      <c r="G1112" s="359">
        <f>'DRE + DCF'!$W$31</f>
        <v>2791623.3540418856</v>
      </c>
      <c r="H1112" s="359">
        <f>'DRE + DCF'!$W$32</f>
        <v>81081.931703745853</v>
      </c>
      <c r="I1112" s="359">
        <f>-H1112*('DRE + DCF'!$V$33+K1112)/'DRE + DCF'!$V$33</f>
        <v>-90858.801614444121</v>
      </c>
      <c r="J1112" s="359">
        <f>-'DRE + DCF'!$V$56*L1112</f>
        <v>-1188924.4255577971</v>
      </c>
      <c r="K1112" s="360">
        <f>(1+L1112)/(1+Ke!$O$12)-1</f>
        <v>2.0000000000000018E-2</v>
      </c>
      <c r="L1112" s="360">
        <f>'DRE + DCF'!$Y$31</f>
        <v>7.3550000000000004E-2</v>
      </c>
      <c r="M1112" s="361">
        <f>(1+D1112)^((5-Dashboard!$F$9)*3/12)</f>
        <v>1.1350108715893192</v>
      </c>
      <c r="N1112" s="361">
        <f t="shared" ref="N1112:V1112" si="1135">M1112*(1+$D1112)</f>
        <v>1.3437961214181688</v>
      </c>
      <c r="O1112" s="361">
        <f t="shared" si="1135"/>
        <v>1.5909874179530341</v>
      </c>
      <c r="P1112" s="361">
        <f t="shared" si="1135"/>
        <v>1.8836495534854867</v>
      </c>
      <c r="Q1112" s="361">
        <f t="shared" si="1135"/>
        <v>2.2301468888491325</v>
      </c>
      <c r="R1112" s="361">
        <f t="shared" si="1135"/>
        <v>2.6403824090529193</v>
      </c>
      <c r="S1112" s="361">
        <f t="shared" si="1135"/>
        <v>3.1260807531981905</v>
      </c>
      <c r="T1112" s="361">
        <f t="shared" si="1135"/>
        <v>3.7011233077489818</v>
      </c>
      <c r="U1112" s="361">
        <f t="shared" si="1135"/>
        <v>4.3819449402093884</v>
      </c>
      <c r="V1112" s="362">
        <f t="shared" si="1135"/>
        <v>5.1880037119608833</v>
      </c>
      <c r="X1112" s="351"/>
    </row>
    <row r="1113" spans="3:24" ht="24.75" customHeight="1" x14ac:dyDescent="0.3">
      <c r="C1113" s="353">
        <f>ABS(E1113-Dashboard!$F$14)</f>
        <v>22.242197378770484</v>
      </c>
      <c r="D1113" s="350">
        <f t="shared" si="1125"/>
        <v>0.18404999999999497</v>
      </c>
      <c r="E1113" s="359" cm="1">
        <f t="array" ref="E1113">1000*SUM('DRE + DCF'!$L$36/M1113,'DRE + DCF'!$N$36:$V$36/N1113:V1113,F1113/V1113)/Dashboard!$F$11</f>
        <v>119.23219737877048</v>
      </c>
      <c r="F1113" s="359">
        <f t="shared" si="1123"/>
        <v>15879591.222893659</v>
      </c>
      <c r="G1113" s="359">
        <f>'DRE + DCF'!$W$31</f>
        <v>2791623.3540418856</v>
      </c>
      <c r="H1113" s="359">
        <f>'DRE + DCF'!$W$32</f>
        <v>81081.931703745853</v>
      </c>
      <c r="I1113" s="359">
        <f>-H1113*('DRE + DCF'!$V$33+K1113)/'DRE + DCF'!$V$33</f>
        <v>-90858.801614444121</v>
      </c>
      <c r="J1113" s="359">
        <f>-'DRE + DCF'!$V$56*L1113</f>
        <v>-1188924.4255577971</v>
      </c>
      <c r="K1113" s="360">
        <f>(1+L1113)/(1+Ke!$O$12)-1</f>
        <v>2.0000000000000018E-2</v>
      </c>
      <c r="L1113" s="360">
        <f>'DRE + DCF'!$Y$31</f>
        <v>7.3550000000000004E-2</v>
      </c>
      <c r="M1113" s="361">
        <f>(1+D1113)^((5-Dashboard!$F$9)*3/12)</f>
        <v>1.1350827706700684</v>
      </c>
      <c r="N1113" s="361">
        <f t="shared" ref="N1113:V1113" si="1136">M1113*(1+$D1113)</f>
        <v>1.3439947546118887</v>
      </c>
      <c r="O1113" s="361">
        <f t="shared" si="1136"/>
        <v>1.5913569891982</v>
      </c>
      <c r="P1113" s="361">
        <f t="shared" si="1136"/>
        <v>1.8842462430601206</v>
      </c>
      <c r="Q1113" s="361">
        <f t="shared" si="1136"/>
        <v>2.2310417640953264</v>
      </c>
      <c r="R1113" s="361">
        <f t="shared" si="1136"/>
        <v>2.6416650007770599</v>
      </c>
      <c r="S1113" s="361">
        <f t="shared" si="1136"/>
        <v>3.1278634441700643</v>
      </c>
      <c r="T1113" s="361">
        <f t="shared" si="1136"/>
        <v>3.7035467110695488</v>
      </c>
      <c r="U1113" s="361">
        <f t="shared" si="1136"/>
        <v>4.3851844832418809</v>
      </c>
      <c r="V1113" s="362">
        <f t="shared" si="1136"/>
        <v>5.1922776873825267</v>
      </c>
      <c r="X1113" s="351"/>
    </row>
    <row r="1114" spans="3:24" ht="24.75" customHeight="1" x14ac:dyDescent="0.3">
      <c r="C1114" s="353">
        <f>ABS(E1114-Dashboard!$F$14)</f>
        <v>22.130385072708449</v>
      </c>
      <c r="D1114" s="350">
        <f t="shared" si="1125"/>
        <v>0.18414999999999496</v>
      </c>
      <c r="E1114" s="359" cm="1">
        <f t="array" ref="E1114">1000*SUM('DRE + DCF'!$L$36/M1114,'DRE + DCF'!$N$36:$V$36/N1114:V1114,F1114/V1114)/Dashboard!$F$11</f>
        <v>119.12038507270844</v>
      </c>
      <c r="F1114" s="359">
        <f t="shared" si="1123"/>
        <v>15868173.692910247</v>
      </c>
      <c r="G1114" s="359">
        <f>'DRE + DCF'!$W$31</f>
        <v>2791623.3540418856</v>
      </c>
      <c r="H1114" s="359">
        <f>'DRE + DCF'!$W$32</f>
        <v>81081.931703745853</v>
      </c>
      <c r="I1114" s="359">
        <f>-H1114*('DRE + DCF'!$V$33+K1114)/'DRE + DCF'!$V$33</f>
        <v>-90858.801614444121</v>
      </c>
      <c r="J1114" s="359">
        <f>-'DRE + DCF'!$V$56*L1114</f>
        <v>-1188924.4255577971</v>
      </c>
      <c r="K1114" s="360">
        <f>(1+L1114)/(1+Ke!$O$12)-1</f>
        <v>2.0000000000000018E-2</v>
      </c>
      <c r="L1114" s="360">
        <f>'DRE + DCF'!$Y$31</f>
        <v>7.3550000000000004E-2</v>
      </c>
      <c r="M1114" s="361">
        <f>(1+D1114)^((5-Dashboard!$F$9)*3/12)</f>
        <v>1.135154668232758</v>
      </c>
      <c r="N1114" s="361">
        <f t="shared" ref="N1114:V1114" si="1137">M1114*(1+$D1114)</f>
        <v>1.3441934003878147</v>
      </c>
      <c r="O1114" s="361">
        <f t="shared" si="1137"/>
        <v>1.591726615069224</v>
      </c>
      <c r="P1114" s="361">
        <f t="shared" si="1137"/>
        <v>1.8848430712342135</v>
      </c>
      <c r="Q1114" s="361">
        <f t="shared" si="1137"/>
        <v>2.2319369228019843</v>
      </c>
      <c r="R1114" s="361">
        <f t="shared" si="1137"/>
        <v>2.6429481071359584</v>
      </c>
      <c r="S1114" s="361">
        <f t="shared" si="1137"/>
        <v>3.1296470010650319</v>
      </c>
      <c r="T1114" s="361">
        <f t="shared" si="1137"/>
        <v>3.7059714963111419</v>
      </c>
      <c r="U1114" s="361">
        <f t="shared" si="1137"/>
        <v>4.38842614735682</v>
      </c>
      <c r="V1114" s="362">
        <f t="shared" si="1137"/>
        <v>5.1965548223925557</v>
      </c>
      <c r="X1114" s="351"/>
    </row>
    <row r="1115" spans="3:24" ht="24.75" customHeight="1" x14ac:dyDescent="0.3">
      <c r="C1115" s="353">
        <f>ABS(E1115-Dashboard!$F$14)</f>
        <v>22.018755510029507</v>
      </c>
      <c r="D1115" s="350">
        <f t="shared" si="1125"/>
        <v>0.18424999999999495</v>
      </c>
      <c r="E1115" s="359" cm="1">
        <f t="array" ref="E1115">1000*SUM('DRE + DCF'!$L$36/M1115,'DRE + DCF'!$N$36:$V$36/N1115:V1115,F1115/V1115)/Dashboard!$F$11</f>
        <v>119.0087555100295</v>
      </c>
      <c r="F1115" s="359">
        <f t="shared" si="1123"/>
        <v>15856773.602210762</v>
      </c>
      <c r="G1115" s="359">
        <f>'DRE + DCF'!$W$31</f>
        <v>2791623.3540418856</v>
      </c>
      <c r="H1115" s="359">
        <f>'DRE + DCF'!$W$32</f>
        <v>81081.931703745853</v>
      </c>
      <c r="I1115" s="359">
        <f>-H1115*('DRE + DCF'!$V$33+K1115)/'DRE + DCF'!$V$33</f>
        <v>-90858.801614444121</v>
      </c>
      <c r="J1115" s="359">
        <f>-'DRE + DCF'!$V$56*L1115</f>
        <v>-1188924.4255577971</v>
      </c>
      <c r="K1115" s="360">
        <f>(1+L1115)/(1+Ke!$O$12)-1</f>
        <v>2.0000000000000018E-2</v>
      </c>
      <c r="L1115" s="360">
        <f>'DRE + DCF'!$Y$31</f>
        <v>7.3550000000000004E-2</v>
      </c>
      <c r="M1115" s="361">
        <f>(1+D1115)^((5-Dashboard!$F$9)*3/12)</f>
        <v>1.135226564277549</v>
      </c>
      <c r="N1115" s="361">
        <f t="shared" ref="N1115:V1115" si="1138">M1115*(1+$D1115)</f>
        <v>1.3443920587456817</v>
      </c>
      <c r="O1115" s="361">
        <f t="shared" si="1138"/>
        <v>1.5920962955695668</v>
      </c>
      <c r="P1115" s="361">
        <f t="shared" si="1138"/>
        <v>1.8854400380282514</v>
      </c>
      <c r="Q1115" s="361">
        <f t="shared" si="1138"/>
        <v>2.2328323650349473</v>
      </c>
      <c r="R1115" s="361">
        <f t="shared" si="1138"/>
        <v>2.6442317282926249</v>
      </c>
      <c r="S1115" s="361">
        <f t="shared" si="1138"/>
        <v>3.1314314242305277</v>
      </c>
      <c r="T1115" s="361">
        <f t="shared" si="1138"/>
        <v>3.7083976641449863</v>
      </c>
      <c r="U1115" s="361">
        <f t="shared" si="1138"/>
        <v>4.3916699337636809</v>
      </c>
      <c r="V1115" s="362">
        <f t="shared" si="1138"/>
        <v>5.2008351190596169</v>
      </c>
      <c r="X1115" s="351"/>
    </row>
    <row r="1116" spans="3:24" ht="24.75" customHeight="1" x14ac:dyDescent="0.3">
      <c r="C1116" s="353">
        <f>ABS(E1116-Dashboard!$F$14)</f>
        <v>21.907308256921397</v>
      </c>
      <c r="D1116" s="350">
        <f t="shared" si="1125"/>
        <v>0.18434999999999493</v>
      </c>
      <c r="E1116" s="359" cm="1">
        <f t="array" ref="E1116">1000*SUM('DRE + DCF'!$L$36/M1116,'DRE + DCF'!$N$36:$V$36/N1116:V1116,F1116/V1116)/Dashboard!$F$11</f>
        <v>118.89730825692139</v>
      </c>
      <c r="F1116" s="359">
        <f t="shared" si="1123"/>
        <v>15845390.90876117</v>
      </c>
      <c r="G1116" s="359">
        <f>'DRE + DCF'!$W$31</f>
        <v>2791623.3540418856</v>
      </c>
      <c r="H1116" s="359">
        <f>'DRE + DCF'!$W$32</f>
        <v>81081.931703745853</v>
      </c>
      <c r="I1116" s="359">
        <f>-H1116*('DRE + DCF'!$V$33+K1116)/'DRE + DCF'!$V$33</f>
        <v>-90858.801614444121</v>
      </c>
      <c r="J1116" s="359">
        <f>-'DRE + DCF'!$V$56*L1116</f>
        <v>-1188924.4255577971</v>
      </c>
      <c r="K1116" s="360">
        <f>(1+L1116)/(1+Ke!$O$12)-1</f>
        <v>2.0000000000000018E-2</v>
      </c>
      <c r="L1116" s="360">
        <f>'DRE + DCF'!$Y$31</f>
        <v>7.3550000000000004E-2</v>
      </c>
      <c r="M1116" s="361">
        <f>(1+D1116)^((5-Dashboard!$F$9)*3/12)</f>
        <v>1.1352984588046009</v>
      </c>
      <c r="N1116" s="361">
        <f t="shared" ref="N1116:V1116" si="1139">M1116*(1+$D1116)</f>
        <v>1.3445907296852233</v>
      </c>
      <c r="O1116" s="361">
        <f t="shared" si="1139"/>
        <v>1.5924660307026874</v>
      </c>
      <c r="P1116" s="361">
        <f t="shared" si="1139"/>
        <v>1.8860371434627197</v>
      </c>
      <c r="Q1116" s="361">
        <f t="shared" si="1139"/>
        <v>2.2337280908600623</v>
      </c>
      <c r="R1116" s="361">
        <f t="shared" si="1139"/>
        <v>2.6455158644101036</v>
      </c>
      <c r="S1116" s="361">
        <f t="shared" si="1139"/>
        <v>3.1332167140140927</v>
      </c>
      <c r="T1116" s="361">
        <f t="shared" si="1139"/>
        <v>3.7108252152425747</v>
      </c>
      <c r="U1116" s="361">
        <f t="shared" si="1139"/>
        <v>4.3949158436725249</v>
      </c>
      <c r="V1116" s="362">
        <f t="shared" si="1139"/>
        <v>5.2051185794535328</v>
      </c>
      <c r="X1116" s="351"/>
    </row>
    <row r="1117" spans="3:24" ht="24.75" customHeight="1" x14ac:dyDescent="0.3">
      <c r="C1117" s="353">
        <f>ABS(E1117-Dashboard!$F$14)</f>
        <v>21.796042880966709</v>
      </c>
      <c r="D1117" s="350">
        <f t="shared" si="1125"/>
        <v>0.18444999999999492</v>
      </c>
      <c r="E1117" s="359" cm="1">
        <f t="array" ref="E1117">1000*SUM('DRE + DCF'!$L$36/M1117,'DRE + DCF'!$N$36:$V$36/N1117:V1117,F1117/V1117)/Dashboard!$F$11</f>
        <v>118.7860428809667</v>
      </c>
      <c r="F1117" s="359">
        <f t="shared" si="1123"/>
        <v>15834025.570667803</v>
      </c>
      <c r="G1117" s="359">
        <f>'DRE + DCF'!$W$31</f>
        <v>2791623.3540418856</v>
      </c>
      <c r="H1117" s="359">
        <f>'DRE + DCF'!$W$32</f>
        <v>81081.931703745853</v>
      </c>
      <c r="I1117" s="359">
        <f>-H1117*('DRE + DCF'!$V$33+K1117)/'DRE + DCF'!$V$33</f>
        <v>-90858.801614444121</v>
      </c>
      <c r="J1117" s="359">
        <f>-'DRE + DCF'!$V$56*L1117</f>
        <v>-1188924.4255577971</v>
      </c>
      <c r="K1117" s="360">
        <f>(1+L1117)/(1+Ke!$O$12)-1</f>
        <v>2.0000000000000018E-2</v>
      </c>
      <c r="L1117" s="360">
        <f>'DRE + DCF'!$Y$31</f>
        <v>7.3550000000000004E-2</v>
      </c>
      <c r="M1117" s="361">
        <f>(1+D1117)^((5-Dashboard!$F$9)*3/12)</f>
        <v>1.1353703518140743</v>
      </c>
      <c r="N1117" s="361">
        <f t="shared" ref="N1117:V1117" si="1140">M1117*(1+$D1117)</f>
        <v>1.3447894132061746</v>
      </c>
      <c r="O1117" s="361">
        <f t="shared" si="1140"/>
        <v>1.5928358204720467</v>
      </c>
      <c r="P1117" s="361">
        <f t="shared" si="1140"/>
        <v>1.8866343875581078</v>
      </c>
      <c r="Q1117" s="361">
        <f t="shared" si="1140"/>
        <v>2.2346241003431913</v>
      </c>
      <c r="R1117" s="361">
        <f t="shared" si="1140"/>
        <v>2.6468005156514813</v>
      </c>
      <c r="S1117" s="361">
        <f t="shared" si="1140"/>
        <v>3.1350028707633837</v>
      </c>
      <c r="T1117" s="361">
        <f t="shared" si="1140"/>
        <v>3.7132541502756737</v>
      </c>
      <c r="U1117" s="361">
        <f t="shared" si="1140"/>
        <v>4.3981638782940031</v>
      </c>
      <c r="V1117" s="362">
        <f t="shared" si="1140"/>
        <v>5.20940520564531</v>
      </c>
      <c r="X1117" s="351"/>
    </row>
    <row r="1118" spans="3:24" ht="24.75" customHeight="1" x14ac:dyDescent="0.3">
      <c r="C1118" s="353">
        <f>ABS(E1118-Dashboard!$F$14)</f>
        <v>21.684958951137361</v>
      </c>
      <c r="D1118" s="350">
        <f t="shared" si="1125"/>
        <v>0.18454999999999491</v>
      </c>
      <c r="E1118" s="359" cm="1">
        <f t="array" ref="E1118">1000*SUM('DRE + DCF'!$L$36/M1118,'DRE + DCF'!$N$36:$V$36/N1118:V1118,F1118/V1118)/Dashboard!$F$11</f>
        <v>118.67495895113736</v>
      </c>
      <c r="F1118" s="359">
        <f t="shared" si="1123"/>
        <v>15822677.546176787</v>
      </c>
      <c r="G1118" s="359">
        <f>'DRE + DCF'!$W$31</f>
        <v>2791623.3540418856</v>
      </c>
      <c r="H1118" s="359">
        <f>'DRE + DCF'!$W$32</f>
        <v>81081.931703745853</v>
      </c>
      <c r="I1118" s="359">
        <f>-H1118*('DRE + DCF'!$V$33+K1118)/'DRE + DCF'!$V$33</f>
        <v>-90858.801614444121</v>
      </c>
      <c r="J1118" s="359">
        <f>-'DRE + DCF'!$V$56*L1118</f>
        <v>-1188924.4255577971</v>
      </c>
      <c r="K1118" s="360">
        <f>(1+L1118)/(1+Ke!$O$12)-1</f>
        <v>2.0000000000000018E-2</v>
      </c>
      <c r="L1118" s="360">
        <f>'DRE + DCF'!$Y$31</f>
        <v>7.3550000000000004E-2</v>
      </c>
      <c r="M1118" s="361">
        <f>(1+D1118)^((5-Dashboard!$F$9)*3/12)</f>
        <v>1.1354422433061293</v>
      </c>
      <c r="N1118" s="361">
        <f t="shared" ref="N1118:V1118" si="1141">M1118*(1+$D1118)</f>
        <v>1.3449881093082696</v>
      </c>
      <c r="O1118" s="361">
        <f t="shared" si="1141"/>
        <v>1.5932056648811039</v>
      </c>
      <c r="P1118" s="361">
        <f t="shared" si="1141"/>
        <v>1.8872317703349035</v>
      </c>
      <c r="Q1118" s="361">
        <f t="shared" si="1141"/>
        <v>2.2355203935502002</v>
      </c>
      <c r="R1118" s="361">
        <f t="shared" si="1141"/>
        <v>2.6480856821798779</v>
      </c>
      <c r="S1118" s="361">
        <f t="shared" si="1141"/>
        <v>3.136789894826161</v>
      </c>
      <c r="T1118" s="361">
        <f t="shared" si="1141"/>
        <v>3.715684469916313</v>
      </c>
      <c r="U1118" s="361">
        <f t="shared" si="1141"/>
        <v>4.4014140388393495</v>
      </c>
      <c r="V1118" s="362">
        <f t="shared" si="1141"/>
        <v>5.2136949997071289</v>
      </c>
      <c r="X1118" s="351"/>
    </row>
    <row r="1119" spans="3:24" ht="24.75" customHeight="1" x14ac:dyDescent="0.3">
      <c r="C1119" s="353">
        <f>ABS(E1119-Dashboard!$F$14)</f>
        <v>21.574056037788594</v>
      </c>
      <c r="D1119" s="350">
        <f t="shared" si="1125"/>
        <v>0.1846499999999949</v>
      </c>
      <c r="E1119" s="359" cm="1">
        <f t="array" ref="E1119">1000*SUM('DRE + DCF'!$L$36/M1119,'DRE + DCF'!$N$36:$V$36/N1119:V1119,F1119/V1119)/Dashboard!$F$11</f>
        <v>118.56405603778859</v>
      </c>
      <c r="F1119" s="359">
        <f t="shared" si="1123"/>
        <v>15811346.793673413</v>
      </c>
      <c r="G1119" s="359">
        <f>'DRE + DCF'!$W$31</f>
        <v>2791623.3540418856</v>
      </c>
      <c r="H1119" s="359">
        <f>'DRE + DCF'!$W$32</f>
        <v>81081.931703745853</v>
      </c>
      <c r="I1119" s="359">
        <f>-H1119*('DRE + DCF'!$V$33+K1119)/'DRE + DCF'!$V$33</f>
        <v>-90858.801614444121</v>
      </c>
      <c r="J1119" s="359">
        <f>-'DRE + DCF'!$V$56*L1119</f>
        <v>-1188924.4255577971</v>
      </c>
      <c r="K1119" s="360">
        <f>(1+L1119)/(1+Ke!$O$12)-1</f>
        <v>2.0000000000000018E-2</v>
      </c>
      <c r="L1119" s="360">
        <f>'DRE + DCF'!$Y$31</f>
        <v>7.3550000000000004E-2</v>
      </c>
      <c r="M1119" s="361">
        <f>(1+D1119)^((5-Dashboard!$F$9)*3/12)</f>
        <v>1.135514133280926</v>
      </c>
      <c r="N1119" s="361">
        <f t="shared" ref="N1119:V1119" si="1142">M1119*(1+$D1119)</f>
        <v>1.3451868179912432</v>
      </c>
      <c r="O1119" s="361">
        <f t="shared" si="1142"/>
        <v>1.5935755639333193</v>
      </c>
      <c r="P1119" s="361">
        <f t="shared" si="1142"/>
        <v>1.8878292918135986</v>
      </c>
      <c r="Q1119" s="361">
        <f t="shared" si="1142"/>
        <v>2.2364169705469701</v>
      </c>
      <c r="R1119" s="361">
        <f t="shared" si="1142"/>
        <v>2.6493713641584566</v>
      </c>
      <c r="S1119" s="361">
        <f t="shared" si="1142"/>
        <v>3.138577786550302</v>
      </c>
      <c r="T1119" s="361">
        <f t="shared" si="1142"/>
        <v>3.718116174836799</v>
      </c>
      <c r="U1119" s="361">
        <f t="shared" si="1142"/>
        <v>4.4046663265203945</v>
      </c>
      <c r="V1119" s="362">
        <f t="shared" si="1142"/>
        <v>5.2179879637123623</v>
      </c>
      <c r="X1119" s="351"/>
    </row>
    <row r="1120" spans="3:24" ht="24.75" customHeight="1" x14ac:dyDescent="0.3">
      <c r="C1120" s="353">
        <f>ABS(E1120-Dashboard!$F$14)</f>
        <v>21.463333712653522</v>
      </c>
      <c r="D1120" s="350">
        <f t="shared" si="1125"/>
        <v>0.18474999999999489</v>
      </c>
      <c r="E1120" s="359" cm="1">
        <f t="array" ref="E1120">1000*SUM('DRE + DCF'!$L$36/M1120,'DRE + DCF'!$N$36:$V$36/N1120:V1120,F1120/V1120)/Dashboard!$F$11</f>
        <v>118.45333371265352</v>
      </c>
      <c r="F1120" s="359">
        <f t="shared" si="1123"/>
        <v>15800033.271681553</v>
      </c>
      <c r="G1120" s="359">
        <f>'DRE + DCF'!$W$31</f>
        <v>2791623.3540418856</v>
      </c>
      <c r="H1120" s="359">
        <f>'DRE + DCF'!$W$32</f>
        <v>81081.931703745853</v>
      </c>
      <c r="I1120" s="359">
        <f>-H1120*('DRE + DCF'!$V$33+K1120)/'DRE + DCF'!$V$33</f>
        <v>-90858.801614444121</v>
      </c>
      <c r="J1120" s="359">
        <f>-'DRE + DCF'!$V$56*L1120</f>
        <v>-1188924.4255577971</v>
      </c>
      <c r="K1120" s="360">
        <f>(1+L1120)/(1+Ke!$O$12)-1</f>
        <v>2.0000000000000018E-2</v>
      </c>
      <c r="L1120" s="360">
        <f>'DRE + DCF'!$Y$31</f>
        <v>7.3550000000000004E-2</v>
      </c>
      <c r="M1120" s="361">
        <f>(1+D1120)^((5-Dashboard!$F$9)*3/12)</f>
        <v>1.1355860217386244</v>
      </c>
      <c r="N1120" s="361">
        <f t="shared" ref="N1120:V1120" si="1143">M1120*(1+$D1120)</f>
        <v>1.3453855392548295</v>
      </c>
      <c r="O1120" s="361">
        <f t="shared" si="1143"/>
        <v>1.5939455176321524</v>
      </c>
      <c r="P1120" s="361">
        <f t="shared" si="1143"/>
        <v>1.8884269520146844</v>
      </c>
      <c r="Q1120" s="361">
        <f t="shared" si="1143"/>
        <v>2.2373138313993874</v>
      </c>
      <c r="R1120" s="361">
        <f t="shared" si="1143"/>
        <v>2.6506575617504127</v>
      </c>
      <c r="S1120" s="361">
        <f t="shared" si="1143"/>
        <v>3.1403665462837878</v>
      </c>
      <c r="T1120" s="361">
        <f t="shared" si="1143"/>
        <v>3.7205492657097015</v>
      </c>
      <c r="U1120" s="361">
        <f t="shared" si="1143"/>
        <v>4.4079207425495497</v>
      </c>
      <c r="V1120" s="362">
        <f t="shared" si="1143"/>
        <v>5.222284099735556</v>
      </c>
      <c r="X1120" s="351"/>
    </row>
    <row r="1121" spans="3:24" ht="24.75" customHeight="1" x14ac:dyDescent="0.3">
      <c r="C1121" s="353">
        <f>ABS(E1121-Dashboard!$F$14)</f>
        <v>21.352791548837331</v>
      </c>
      <c r="D1121" s="350">
        <f t="shared" si="1125"/>
        <v>0.18484999999999488</v>
      </c>
      <c r="E1121" s="359" cm="1">
        <f t="array" ref="E1121">1000*SUM('DRE + DCF'!$L$36/M1121,'DRE + DCF'!$N$36:$V$36/N1121:V1121,F1121/V1121)/Dashboard!$F$11</f>
        <v>118.34279154883733</v>
      </c>
      <c r="F1121" s="359">
        <f t="shared" si="1123"/>
        <v>15788736.938863076</v>
      </c>
      <c r="G1121" s="359">
        <f>'DRE + DCF'!$W$31</f>
        <v>2791623.3540418856</v>
      </c>
      <c r="H1121" s="359">
        <f>'DRE + DCF'!$W$32</f>
        <v>81081.931703745853</v>
      </c>
      <c r="I1121" s="359">
        <f>-H1121*('DRE + DCF'!$V$33+K1121)/'DRE + DCF'!$V$33</f>
        <v>-90858.801614444121</v>
      </c>
      <c r="J1121" s="359">
        <f>-'DRE + DCF'!$V$56*L1121</f>
        <v>-1188924.4255577971</v>
      </c>
      <c r="K1121" s="360">
        <f>(1+L1121)/(1+Ke!$O$12)-1</f>
        <v>2.0000000000000018E-2</v>
      </c>
      <c r="L1121" s="360">
        <f>'DRE + DCF'!$Y$31</f>
        <v>7.3550000000000004E-2</v>
      </c>
      <c r="M1121" s="361">
        <f>(1+D1121)^((5-Dashboard!$F$9)*3/12)</f>
        <v>1.1356579086793848</v>
      </c>
      <c r="N1121" s="361">
        <f t="shared" ref="N1121:V1121" si="1144">M1121*(1+$D1121)</f>
        <v>1.3455842730987633</v>
      </c>
      <c r="O1121" s="361">
        <f t="shared" si="1144"/>
        <v>1.5943155259810626</v>
      </c>
      <c r="P1121" s="361">
        <f t="shared" si="1144"/>
        <v>1.8890247509586537</v>
      </c>
      <c r="Q1121" s="361">
        <f t="shared" si="1144"/>
        <v>2.2382109761733511</v>
      </c>
      <c r="R1121" s="361">
        <f t="shared" si="1144"/>
        <v>2.6519442751189835</v>
      </c>
      <c r="S1121" s="361">
        <f t="shared" si="1144"/>
        <v>3.1421561743747137</v>
      </c>
      <c r="T1121" s="361">
        <f t="shared" si="1144"/>
        <v>3.7229837432078634</v>
      </c>
      <c r="U1121" s="361">
        <f t="shared" si="1144"/>
        <v>4.4111772881398181</v>
      </c>
      <c r="V1121" s="362">
        <f t="shared" si="1144"/>
        <v>5.2265834098524406</v>
      </c>
      <c r="X1121" s="351"/>
    </row>
    <row r="1122" spans="3:24" ht="24.75" customHeight="1" x14ac:dyDescent="0.3">
      <c r="C1122" s="353">
        <f>ABS(E1122-Dashboard!$F$14)</f>
        <v>21.242429120811522</v>
      </c>
      <c r="D1122" s="350">
        <f t="shared" si="1125"/>
        <v>0.18494999999999487</v>
      </c>
      <c r="E1122" s="359" cm="1">
        <f t="array" ref="E1122">1000*SUM('DRE + DCF'!$L$36/M1122,'DRE + DCF'!$N$36:$V$36/N1122:V1122,F1122/V1122)/Dashboard!$F$11</f>
        <v>118.23242912081152</v>
      </c>
      <c r="F1122" s="359">
        <f t="shared" si="1123"/>
        <v>15777457.754017245</v>
      </c>
      <c r="G1122" s="359">
        <f>'DRE + DCF'!$W$31</f>
        <v>2791623.3540418856</v>
      </c>
      <c r="H1122" s="359">
        <f>'DRE + DCF'!$W$32</f>
        <v>81081.931703745853</v>
      </c>
      <c r="I1122" s="359">
        <f>-H1122*('DRE + DCF'!$V$33+K1122)/'DRE + DCF'!$V$33</f>
        <v>-90858.801614444121</v>
      </c>
      <c r="J1122" s="359">
        <f>-'DRE + DCF'!$V$56*L1122</f>
        <v>-1188924.4255577971</v>
      </c>
      <c r="K1122" s="360">
        <f>(1+L1122)/(1+Ke!$O$12)-1</f>
        <v>2.0000000000000018E-2</v>
      </c>
      <c r="L1122" s="360">
        <f>'DRE + DCF'!$Y$31</f>
        <v>7.3550000000000004E-2</v>
      </c>
      <c r="M1122" s="361">
        <f>(1+D1122)^((5-Dashboard!$F$9)*3/12)</f>
        <v>1.1357297941033668</v>
      </c>
      <c r="N1122" s="361">
        <f t="shared" ref="N1122:V1122" si="1145">M1122*(1+$D1122)</f>
        <v>1.3457830195227787</v>
      </c>
      <c r="O1122" s="361">
        <f t="shared" si="1145"/>
        <v>1.5946855889835096</v>
      </c>
      <c r="P1122" s="361">
        <f t="shared" si="1145"/>
        <v>1.8896226886660015</v>
      </c>
      <c r="Q1122" s="361">
        <f t="shared" si="1145"/>
        <v>2.2391084049347687</v>
      </c>
      <c r="R1122" s="361">
        <f t="shared" si="1145"/>
        <v>2.6532315044274428</v>
      </c>
      <c r="S1122" s="361">
        <f t="shared" si="1145"/>
        <v>3.1439466711712849</v>
      </c>
      <c r="T1122" s="361">
        <f t="shared" si="1145"/>
        <v>3.725419608004398</v>
      </c>
      <c r="U1122" s="361">
        <f t="shared" si="1145"/>
        <v>4.4144359645047926</v>
      </c>
      <c r="V1122" s="362">
        <f t="shared" si="1145"/>
        <v>5.2308858961399309</v>
      </c>
      <c r="X1122" s="351"/>
    </row>
    <row r="1123" spans="3:24" ht="24.75" customHeight="1" x14ac:dyDescent="0.3">
      <c r="C1123" s="353">
        <f>ABS(E1123-Dashboard!$F$14)</f>
        <v>21.132246004408444</v>
      </c>
      <c r="D1123" s="350">
        <f t="shared" si="1125"/>
        <v>0.18504999999999486</v>
      </c>
      <c r="E1123" s="359" cm="1">
        <f t="array" ref="E1123">1000*SUM('DRE + DCF'!$L$36/M1123,'DRE + DCF'!$N$36:$V$36/N1123:V1123,F1123/V1123)/Dashboard!$F$11</f>
        <v>118.12224600440844</v>
      </c>
      <c r="F1123" s="359">
        <f t="shared" si="1123"/>
        <v>15766195.676080137</v>
      </c>
      <c r="G1123" s="359">
        <f>'DRE + DCF'!$W$31</f>
        <v>2791623.3540418856</v>
      </c>
      <c r="H1123" s="359">
        <f>'DRE + DCF'!$W$32</f>
        <v>81081.931703745853</v>
      </c>
      <c r="I1123" s="359">
        <f>-H1123*('DRE + DCF'!$V$33+K1123)/'DRE + DCF'!$V$33</f>
        <v>-90858.801614444121</v>
      </c>
      <c r="J1123" s="359">
        <f>-'DRE + DCF'!$V$56*L1123</f>
        <v>-1188924.4255577971</v>
      </c>
      <c r="K1123" s="360">
        <f>(1+L1123)/(1+Ke!$O$12)-1</f>
        <v>2.0000000000000018E-2</v>
      </c>
      <c r="L1123" s="360">
        <f>'DRE + DCF'!$Y$31</f>
        <v>7.3550000000000004E-2</v>
      </c>
      <c r="M1123" s="361">
        <f>(1+D1123)^((5-Dashboard!$F$9)*3/12)</f>
        <v>1.135801678010731</v>
      </c>
      <c r="N1123" s="361">
        <f t="shared" ref="N1123:V1123" si="1146">M1123*(1+$D1123)</f>
        <v>1.3459817785266108</v>
      </c>
      <c r="O1123" s="361">
        <f t="shared" si="1146"/>
        <v>1.5950557066429532</v>
      </c>
      <c r="P1123" s="361">
        <f t="shared" si="1146"/>
        <v>1.8902207651572234</v>
      </c>
      <c r="Q1123" s="361">
        <f t="shared" si="1146"/>
        <v>2.2400061177495578</v>
      </c>
      <c r="R1123" s="361">
        <f t="shared" si="1146"/>
        <v>2.6545192498391019</v>
      </c>
      <c r="S1123" s="361">
        <f t="shared" si="1146"/>
        <v>3.1457380370218142</v>
      </c>
      <c r="T1123" s="361">
        <f t="shared" si="1146"/>
        <v>3.7278568607726847</v>
      </c>
      <c r="U1123" s="361">
        <f t="shared" si="1146"/>
        <v>4.4176967728586511</v>
      </c>
      <c r="V1123" s="362">
        <f t="shared" si="1146"/>
        <v>5.2351915606761219</v>
      </c>
      <c r="X1123" s="351"/>
    </row>
    <row r="1124" spans="3:24" ht="24.75" customHeight="1" x14ac:dyDescent="0.3">
      <c r="C1124" s="353">
        <f>ABS(E1124-Dashboard!$F$14)</f>
        <v>21.022241776815676</v>
      </c>
      <c r="D1124" s="350">
        <f t="shared" si="1125"/>
        <v>0.18514999999999485</v>
      </c>
      <c r="E1124" s="359" cm="1">
        <f t="array" ref="E1124">1000*SUM('DRE + DCF'!$L$36/M1124,'DRE + DCF'!$N$36:$V$36/N1124:V1124,F1124/V1124)/Dashboard!$F$11</f>
        <v>118.01224177681567</v>
      </c>
      <c r="F1124" s="359">
        <f t="shared" si="1123"/>
        <v>15754950.664124064</v>
      </c>
      <c r="G1124" s="359">
        <f>'DRE + DCF'!$W$31</f>
        <v>2791623.3540418856</v>
      </c>
      <c r="H1124" s="359">
        <f>'DRE + DCF'!$W$32</f>
        <v>81081.931703745853</v>
      </c>
      <c r="I1124" s="359">
        <f>-H1124*('DRE + DCF'!$V$33+K1124)/'DRE + DCF'!$V$33</f>
        <v>-90858.801614444121</v>
      </c>
      <c r="J1124" s="359">
        <f>-'DRE + DCF'!$V$56*L1124</f>
        <v>-1188924.4255577971</v>
      </c>
      <c r="K1124" s="360">
        <f>(1+L1124)/(1+Ke!$O$12)-1</f>
        <v>2.0000000000000018E-2</v>
      </c>
      <c r="L1124" s="360">
        <f>'DRE + DCF'!$Y$31</f>
        <v>7.3550000000000004E-2</v>
      </c>
      <c r="M1124" s="361">
        <f>(1+D1124)^((5-Dashboard!$F$9)*3/12)</f>
        <v>1.1358735604016368</v>
      </c>
      <c r="N1124" s="361">
        <f t="shared" ref="N1124:V1124" si="1147">M1124*(1+$D1124)</f>
        <v>1.3461805501099939</v>
      </c>
      <c r="O1124" s="361">
        <f t="shared" si="1147"/>
        <v>1.5954258789628524</v>
      </c>
      <c r="P1124" s="361">
        <f t="shared" si="1147"/>
        <v>1.8908189804528162</v>
      </c>
      <c r="Q1124" s="361">
        <f t="shared" si="1147"/>
        <v>2.2409041146836453</v>
      </c>
      <c r="R1124" s="361">
        <f t="shared" si="1147"/>
        <v>2.6558075115173105</v>
      </c>
      <c r="S1124" s="361">
        <f t="shared" si="1147"/>
        <v>3.1475302722747269</v>
      </c>
      <c r="T1124" s="361">
        <f t="shared" si="1147"/>
        <v>3.7302955021863764</v>
      </c>
      <c r="U1124" s="361">
        <f t="shared" si="1147"/>
        <v>4.4209597144161643</v>
      </c>
      <c r="V1124" s="362">
        <f t="shared" si="1147"/>
        <v>5.2395004055402943</v>
      </c>
      <c r="X1124" s="351"/>
    </row>
    <row r="1125" spans="3:24" ht="24.75" customHeight="1" x14ac:dyDescent="0.3">
      <c r="C1125" s="353">
        <f>ABS(E1125-Dashboard!$F$14)</f>
        <v>20.912416016570262</v>
      </c>
      <c r="D1125" s="350">
        <f t="shared" si="1125"/>
        <v>0.18524999999999484</v>
      </c>
      <c r="E1125" s="359" cm="1">
        <f t="array" ref="E1125">1000*SUM('DRE + DCF'!$L$36/M1125,'DRE + DCF'!$N$36:$V$36/N1125:V1125,F1125/V1125)/Dashboard!$F$11</f>
        <v>117.90241601657026</v>
      </c>
      <c r="F1125" s="359">
        <f t="shared" si="1123"/>
        <v>15743722.677356983</v>
      </c>
      <c r="G1125" s="359">
        <f>'DRE + DCF'!$W$31</f>
        <v>2791623.3540418856</v>
      </c>
      <c r="H1125" s="359">
        <f>'DRE + DCF'!$W$32</f>
        <v>81081.931703745853</v>
      </c>
      <c r="I1125" s="359">
        <f>-H1125*('DRE + DCF'!$V$33+K1125)/'DRE + DCF'!$V$33</f>
        <v>-90858.801614444121</v>
      </c>
      <c r="J1125" s="359">
        <f>-'DRE + DCF'!$V$56*L1125</f>
        <v>-1188924.4255577971</v>
      </c>
      <c r="K1125" s="360">
        <f>(1+L1125)/(1+Ke!$O$12)-1</f>
        <v>2.0000000000000018E-2</v>
      </c>
      <c r="L1125" s="360">
        <f>'DRE + DCF'!$Y$31</f>
        <v>7.3550000000000004E-2</v>
      </c>
      <c r="M1125" s="361">
        <f>(1+D1125)^((5-Dashboard!$F$9)*3/12)</f>
        <v>1.1359454412762444</v>
      </c>
      <c r="N1125" s="361">
        <f t="shared" ref="N1125:V1125" si="1148">M1125*(1+$D1125)</f>
        <v>1.3463793342726629</v>
      </c>
      <c r="O1125" s="361">
        <f t="shared" si="1148"/>
        <v>1.5957961059466668</v>
      </c>
      <c r="P1125" s="361">
        <f t="shared" si="1148"/>
        <v>1.8914173345732785</v>
      </c>
      <c r="Q1125" s="361">
        <f t="shared" si="1148"/>
        <v>2.2418023958029685</v>
      </c>
      <c r="R1125" s="361">
        <f t="shared" si="1148"/>
        <v>2.6570962896254566</v>
      </c>
      <c r="S1125" s="361">
        <f t="shared" si="1148"/>
        <v>3.1493233772785585</v>
      </c>
      <c r="T1125" s="361">
        <f t="shared" si="1148"/>
        <v>3.7327355329193952</v>
      </c>
      <c r="U1125" s="361">
        <f t="shared" si="1148"/>
        <v>4.4242247903926941</v>
      </c>
      <c r="V1125" s="362">
        <f t="shared" si="1148"/>
        <v>5.2438124328129181</v>
      </c>
      <c r="X1125" s="351"/>
    </row>
    <row r="1126" spans="3:24" ht="24.75" customHeight="1" x14ac:dyDescent="0.3">
      <c r="C1126" s="353">
        <f>ABS(E1126-Dashboard!$F$14)</f>
        <v>20.802768303553449</v>
      </c>
      <c r="D1126" s="350">
        <f t="shared" si="1125"/>
        <v>0.18534999999999482</v>
      </c>
      <c r="E1126" s="359" cm="1">
        <f t="array" ref="E1126">1000*SUM('DRE + DCF'!$L$36/M1126,'DRE + DCF'!$N$36:$V$36/N1126:V1126,F1126/V1126)/Dashboard!$F$11</f>
        <v>117.79276830355344</v>
      </c>
      <c r="F1126" s="359">
        <f t="shared" si="1123"/>
        <v>15732511.675121922</v>
      </c>
      <c r="G1126" s="359">
        <f>'DRE + DCF'!$W$31</f>
        <v>2791623.3540418856</v>
      </c>
      <c r="H1126" s="359">
        <f>'DRE + DCF'!$W$32</f>
        <v>81081.931703745853</v>
      </c>
      <c r="I1126" s="359">
        <f>-H1126*('DRE + DCF'!$V$33+K1126)/'DRE + DCF'!$V$33</f>
        <v>-90858.801614444121</v>
      </c>
      <c r="J1126" s="359">
        <f>-'DRE + DCF'!$V$56*L1126</f>
        <v>-1188924.4255577971</v>
      </c>
      <c r="K1126" s="360">
        <f>(1+L1126)/(1+Ke!$O$12)-1</f>
        <v>2.0000000000000018E-2</v>
      </c>
      <c r="L1126" s="360">
        <f>'DRE + DCF'!$Y$31</f>
        <v>7.3550000000000004E-2</v>
      </c>
      <c r="M1126" s="361">
        <f>(1+D1126)^((5-Dashboard!$F$9)*3/12)</f>
        <v>1.1360173206347139</v>
      </c>
      <c r="N1126" s="361">
        <f t="shared" ref="N1126:V1126" si="1149">M1126*(1+$D1126)</f>
        <v>1.3465781310143523</v>
      </c>
      <c r="O1126" s="361">
        <f t="shared" si="1149"/>
        <v>1.5961663875978556</v>
      </c>
      <c r="P1126" s="361">
        <f t="shared" si="1149"/>
        <v>1.8920158275391097</v>
      </c>
      <c r="Q1126" s="361">
        <f t="shared" si="1149"/>
        <v>2.2427009611734738</v>
      </c>
      <c r="R1126" s="361">
        <f t="shared" si="1149"/>
        <v>2.6583855843269655</v>
      </c>
      <c r="S1126" s="361">
        <f t="shared" si="1149"/>
        <v>3.1511173523819549</v>
      </c>
      <c r="T1126" s="361">
        <f t="shared" si="1149"/>
        <v>3.7351769536459338</v>
      </c>
      <c r="U1126" s="361">
        <f t="shared" si="1149"/>
        <v>4.4274920020041879</v>
      </c>
      <c r="V1126" s="362">
        <f t="shared" si="1149"/>
        <v>5.2481276445756411</v>
      </c>
      <c r="X1126" s="351"/>
    </row>
    <row r="1127" spans="3:24" ht="24.75" customHeight="1" x14ac:dyDescent="0.3">
      <c r="C1127" s="353">
        <f>ABS(E1127-Dashboard!$F$14)</f>
        <v>20.693298218984978</v>
      </c>
      <c r="D1127" s="350">
        <f t="shared" si="1125"/>
        <v>0.18544999999999481</v>
      </c>
      <c r="E1127" s="359" cm="1">
        <f t="array" ref="E1127">1000*SUM('DRE + DCF'!$L$36/M1127,'DRE + DCF'!$N$36:$V$36/N1127:V1127,F1127/V1127)/Dashboard!$F$11</f>
        <v>117.68329821898497</v>
      </c>
      <c r="F1127" s="359">
        <f t="shared" si="1123"/>
        <v>15721317.616896413</v>
      </c>
      <c r="G1127" s="359">
        <f>'DRE + DCF'!$W$31</f>
        <v>2791623.3540418856</v>
      </c>
      <c r="H1127" s="359">
        <f>'DRE + DCF'!$W$32</f>
        <v>81081.931703745853</v>
      </c>
      <c r="I1127" s="359">
        <f>-H1127*('DRE + DCF'!$V$33+K1127)/'DRE + DCF'!$V$33</f>
        <v>-90858.801614444121</v>
      </c>
      <c r="J1127" s="359">
        <f>-'DRE + DCF'!$V$56*L1127</f>
        <v>-1188924.4255577971</v>
      </c>
      <c r="K1127" s="360">
        <f>(1+L1127)/(1+Ke!$O$12)-1</f>
        <v>2.0000000000000018E-2</v>
      </c>
      <c r="L1127" s="360">
        <f>'DRE + DCF'!$Y$31</f>
        <v>7.3550000000000004E-2</v>
      </c>
      <c r="M1127" s="361">
        <f>(1+D1127)^((5-Dashboard!$F$9)*3/12)</f>
        <v>1.1360891984772048</v>
      </c>
      <c r="N1127" s="361">
        <f t="shared" ref="N1127:V1127" si="1150">M1127*(1+$D1127)</f>
        <v>1.3467769403347964</v>
      </c>
      <c r="O1127" s="361">
        <f t="shared" si="1150"/>
        <v>1.5965367239198773</v>
      </c>
      <c r="P1127" s="361">
        <f t="shared" si="1150"/>
        <v>1.8926144593708103</v>
      </c>
      <c r="Q1127" s="361">
        <f t="shared" si="1150"/>
        <v>2.243599810861117</v>
      </c>
      <c r="R1127" s="361">
        <f t="shared" si="1150"/>
        <v>2.6596753957852997</v>
      </c>
      <c r="S1127" s="361">
        <f t="shared" si="1150"/>
        <v>3.1529121979336696</v>
      </c>
      <c r="T1127" s="361">
        <f t="shared" si="1150"/>
        <v>3.7376197650404523</v>
      </c>
      <c r="U1127" s="361">
        <f t="shared" si="1150"/>
        <v>4.4307613504671846</v>
      </c>
      <c r="V1127" s="362">
        <f t="shared" si="1150"/>
        <v>5.2524460429113011</v>
      </c>
      <c r="X1127" s="351"/>
    </row>
    <row r="1128" spans="3:24" ht="24.75" customHeight="1" x14ac:dyDescent="0.3">
      <c r="C1128" s="353">
        <f>ABS(E1128-Dashboard!$F$14)</f>
        <v>20.584005345417594</v>
      </c>
      <c r="D1128" s="350">
        <f t="shared" si="1125"/>
        <v>0.1855499999999948</v>
      </c>
      <c r="E1128" s="359" cm="1">
        <f t="array" ref="E1128">1000*SUM('DRE + DCF'!$L$36/M1128,'DRE + DCF'!$N$36:$V$36/N1128:V1128,F1128/V1128)/Dashboard!$F$11</f>
        <v>117.57400534541759</v>
      </c>
      <c r="F1128" s="359">
        <f t="shared" si="1123"/>
        <v>15710140.462291911</v>
      </c>
      <c r="G1128" s="359">
        <f>'DRE + DCF'!$W$31</f>
        <v>2791623.3540418856</v>
      </c>
      <c r="H1128" s="359">
        <f>'DRE + DCF'!$W$32</f>
        <v>81081.931703745853</v>
      </c>
      <c r="I1128" s="359">
        <f>-H1128*('DRE + DCF'!$V$33+K1128)/'DRE + DCF'!$V$33</f>
        <v>-90858.801614444121</v>
      </c>
      <c r="J1128" s="359">
        <f>-'DRE + DCF'!$V$56*L1128</f>
        <v>-1188924.4255577971</v>
      </c>
      <c r="K1128" s="360">
        <f>(1+L1128)/(1+Ke!$O$12)-1</f>
        <v>2.0000000000000018E-2</v>
      </c>
      <c r="L1128" s="360">
        <f>'DRE + DCF'!$Y$31</f>
        <v>7.3550000000000004E-2</v>
      </c>
      <c r="M1128" s="361">
        <f>(1+D1128)^((5-Dashboard!$F$9)*3/12)</f>
        <v>1.1361610748038773</v>
      </c>
      <c r="N1128" s="361">
        <f t="shared" ref="N1128:V1128" si="1151">M1128*(1+$D1128)</f>
        <v>1.3469757622337308</v>
      </c>
      <c r="O1128" s="361">
        <f t="shared" si="1151"/>
        <v>1.5969071149161926</v>
      </c>
      <c r="P1128" s="361">
        <f t="shared" si="1151"/>
        <v>1.8932132300888838</v>
      </c>
      <c r="Q1128" s="361">
        <f t="shared" si="1151"/>
        <v>2.2444989449318662</v>
      </c>
      <c r="R1128" s="361">
        <f t="shared" si="1151"/>
        <v>2.6609657241639622</v>
      </c>
      <c r="S1128" s="361">
        <f t="shared" si="1151"/>
        <v>3.1547079142825716</v>
      </c>
      <c r="T1128" s="361">
        <f t="shared" si="1151"/>
        <v>3.7400639677776861</v>
      </c>
      <c r="U1128" s="361">
        <f t="shared" si="1151"/>
        <v>4.4340328369988162</v>
      </c>
      <c r="V1128" s="362">
        <f t="shared" si="1151"/>
        <v>5.2567676299039237</v>
      </c>
      <c r="X1128" s="351"/>
    </row>
    <row r="1129" spans="3:24" ht="24.75" customHeight="1" x14ac:dyDescent="0.3">
      <c r="C1129" s="353">
        <f>ABS(E1129-Dashboard!$F$14)</f>
        <v>20.474889266731751</v>
      </c>
      <c r="D1129" s="350">
        <f t="shared" si="1125"/>
        <v>0.18564999999999479</v>
      </c>
      <c r="E1129" s="359" cm="1">
        <f t="array" ref="E1129">1000*SUM('DRE + DCF'!$L$36/M1129,'DRE + DCF'!$N$36:$V$36/N1129:V1129,F1129/V1129)/Dashboard!$F$11</f>
        <v>117.46488926673175</v>
      </c>
      <c r="F1129" s="359">
        <f t="shared" si="1123"/>
        <v>15698980.171053234</v>
      </c>
      <c r="G1129" s="359">
        <f>'DRE + DCF'!$W$31</f>
        <v>2791623.3540418856</v>
      </c>
      <c r="H1129" s="359">
        <f>'DRE + DCF'!$W$32</f>
        <v>81081.931703745853</v>
      </c>
      <c r="I1129" s="359">
        <f>-H1129*('DRE + DCF'!$V$33+K1129)/'DRE + DCF'!$V$33</f>
        <v>-90858.801614444121</v>
      </c>
      <c r="J1129" s="359">
        <f>-'DRE + DCF'!$V$56*L1129</f>
        <v>-1188924.4255577971</v>
      </c>
      <c r="K1129" s="360">
        <f>(1+L1129)/(1+Ke!$O$12)-1</f>
        <v>2.0000000000000018E-2</v>
      </c>
      <c r="L1129" s="360">
        <f>'DRE + DCF'!$Y$31</f>
        <v>7.3550000000000004E-2</v>
      </c>
      <c r="M1129" s="361">
        <f>(1+D1129)^((5-Dashboard!$F$9)*3/12)</f>
        <v>1.1362329496148909</v>
      </c>
      <c r="N1129" s="361">
        <f t="shared" ref="N1129:V1129" si="1152">M1129*(1+$D1129)</f>
        <v>1.3471745967108895</v>
      </c>
      <c r="O1129" s="361">
        <f t="shared" si="1152"/>
        <v>1.5972775605902589</v>
      </c>
      <c r="P1129" s="361">
        <f t="shared" si="1152"/>
        <v>1.8938121397138321</v>
      </c>
      <c r="Q1129" s="361">
        <f t="shared" si="1152"/>
        <v>2.2453983634516952</v>
      </c>
      <c r="R1129" s="361">
        <f t="shared" si="1152"/>
        <v>2.6622565696264906</v>
      </c>
      <c r="S1129" s="361">
        <f t="shared" si="1152"/>
        <v>3.1565045017776345</v>
      </c>
      <c r="T1129" s="361">
        <f t="shared" si="1152"/>
        <v>3.7425095625326357</v>
      </c>
      <c r="U1129" s="361">
        <f t="shared" si="1152"/>
        <v>4.4373064628167995</v>
      </c>
      <c r="V1129" s="362">
        <f t="shared" si="1152"/>
        <v>5.2610924076387153</v>
      </c>
      <c r="X1129" s="351"/>
    </row>
    <row r="1130" spans="3:24" ht="24.75" customHeight="1" x14ac:dyDescent="0.3">
      <c r="C1130" s="353">
        <f>ABS(E1130-Dashboard!$F$14)</f>
        <v>20.365949568129949</v>
      </c>
      <c r="D1130" s="350">
        <f t="shared" si="1125"/>
        <v>0.18574999999999478</v>
      </c>
      <c r="E1130" s="359" cm="1">
        <f t="array" ref="E1130">1000*SUM('DRE + DCF'!$L$36/M1130,'DRE + DCF'!$N$36:$V$36/N1130:V1130,F1130/V1130)/Dashboard!$F$11</f>
        <v>117.35594956812994</v>
      </c>
      <c r="F1130" s="359">
        <f t="shared" si="1123"/>
        <v>15687836.703057986</v>
      </c>
      <c r="G1130" s="359">
        <f>'DRE + DCF'!$W$31</f>
        <v>2791623.3540418856</v>
      </c>
      <c r="H1130" s="359">
        <f>'DRE + DCF'!$W$32</f>
        <v>81081.931703745853</v>
      </c>
      <c r="I1130" s="359">
        <f>-H1130*('DRE + DCF'!$V$33+K1130)/'DRE + DCF'!$V$33</f>
        <v>-90858.801614444121</v>
      </c>
      <c r="J1130" s="359">
        <f>-'DRE + DCF'!$V$56*L1130</f>
        <v>-1188924.4255577971</v>
      </c>
      <c r="K1130" s="360">
        <f>(1+L1130)/(1+Ke!$O$12)-1</f>
        <v>2.0000000000000018E-2</v>
      </c>
      <c r="L1130" s="360">
        <f>'DRE + DCF'!$Y$31</f>
        <v>7.3550000000000004E-2</v>
      </c>
      <c r="M1130" s="361">
        <f>(1+D1130)^((5-Dashboard!$F$9)*3/12)</f>
        <v>1.1363048229104056</v>
      </c>
      <c r="N1130" s="361">
        <f t="shared" ref="N1130:V1130" si="1153">M1130*(1+$D1130)</f>
        <v>1.3473734437660074</v>
      </c>
      <c r="O1130" s="361">
        <f t="shared" si="1153"/>
        <v>1.5976480609455361</v>
      </c>
      <c r="P1130" s="361">
        <f t="shared" si="1153"/>
        <v>1.8944111882661612</v>
      </c>
      <c r="Q1130" s="361">
        <f t="shared" si="1153"/>
        <v>2.2462980664865908</v>
      </c>
      <c r="R1130" s="361">
        <f t="shared" si="1153"/>
        <v>2.6635479323364635</v>
      </c>
      <c r="S1130" s="361">
        <f t="shared" si="1153"/>
        <v>3.1583019607679477</v>
      </c>
      <c r="T1130" s="361">
        <f t="shared" si="1153"/>
        <v>3.7449565499805773</v>
      </c>
      <c r="U1130" s="361">
        <f t="shared" si="1153"/>
        <v>4.4405822291394497</v>
      </c>
      <c r="V1130" s="362">
        <f t="shared" si="1153"/>
        <v>5.2654203782020792</v>
      </c>
      <c r="X1130" s="351"/>
    </row>
    <row r="1131" spans="3:24" ht="24.75" customHeight="1" x14ac:dyDescent="0.3">
      <c r="C1131" s="353">
        <f>ABS(E1131-Dashboard!$F$14)</f>
        <v>20.257185836131569</v>
      </c>
      <c r="D1131" s="350">
        <f t="shared" si="1125"/>
        <v>0.18584999999999477</v>
      </c>
      <c r="E1131" s="359" cm="1">
        <f t="array" ref="E1131">1000*SUM('DRE + DCF'!$L$36/M1131,'DRE + DCF'!$N$36:$V$36/N1131:V1131,F1131/V1131)/Dashboard!$F$11</f>
        <v>117.24718583613156</v>
      </c>
      <c r="F1131" s="359">
        <f t="shared" si="1123"/>
        <v>15676710.018316012</v>
      </c>
      <c r="G1131" s="359">
        <f>'DRE + DCF'!$W$31</f>
        <v>2791623.3540418856</v>
      </c>
      <c r="H1131" s="359">
        <f>'DRE + DCF'!$W$32</f>
        <v>81081.931703745853</v>
      </c>
      <c r="I1131" s="359">
        <f>-H1131*('DRE + DCF'!$V$33+K1131)/'DRE + DCF'!$V$33</f>
        <v>-90858.801614444121</v>
      </c>
      <c r="J1131" s="359">
        <f>-'DRE + DCF'!$V$56*L1131</f>
        <v>-1188924.4255577971</v>
      </c>
      <c r="K1131" s="360">
        <f>(1+L1131)/(1+Ke!$O$12)-1</f>
        <v>2.0000000000000018E-2</v>
      </c>
      <c r="L1131" s="360">
        <f>'DRE + DCF'!$Y$31</f>
        <v>7.3550000000000004E-2</v>
      </c>
      <c r="M1131" s="361">
        <f>(1+D1131)^((5-Dashboard!$F$9)*3/12)</f>
        <v>1.1363766946905811</v>
      </c>
      <c r="N1131" s="361">
        <f t="shared" ref="N1131:V1131" si="1154">M1131*(1+$D1131)</f>
        <v>1.3475723033988196</v>
      </c>
      <c r="O1131" s="361">
        <f t="shared" si="1154"/>
        <v>1.5980186159854832</v>
      </c>
      <c r="P1131" s="361">
        <f t="shared" si="1154"/>
        <v>1.895010375766377</v>
      </c>
      <c r="Q1131" s="361">
        <f t="shared" si="1154"/>
        <v>2.2471980541025482</v>
      </c>
      <c r="R1131" s="361">
        <f t="shared" si="1154"/>
        <v>2.6648398124574952</v>
      </c>
      <c r="S1131" s="361">
        <f t="shared" si="1154"/>
        <v>3.1601002916027068</v>
      </c>
      <c r="T1131" s="361">
        <f t="shared" si="1154"/>
        <v>3.7474049307970532</v>
      </c>
      <c r="U1131" s="361">
        <f t="shared" si="1154"/>
        <v>4.4438601371856654</v>
      </c>
      <c r="V1131" s="362">
        <f t="shared" si="1154"/>
        <v>5.2697515436815978</v>
      </c>
      <c r="X1131" s="351"/>
    </row>
    <row r="1132" spans="3:24" ht="24.75" customHeight="1" x14ac:dyDescent="0.3">
      <c r="C1132" s="353">
        <f>ABS(E1132-Dashboard!$F$14)</f>
        <v>20.14859765856734</v>
      </c>
      <c r="D1132" s="350">
        <f t="shared" si="1125"/>
        <v>0.18594999999999476</v>
      </c>
      <c r="E1132" s="359" cm="1">
        <f t="array" ref="E1132">1000*SUM('DRE + DCF'!$L$36/M1132,'DRE + DCF'!$N$36:$V$36/N1132:V1132,F1132/V1132)/Dashboard!$F$11</f>
        <v>117.13859765856733</v>
      </c>
      <c r="F1132" s="359">
        <f t="shared" si="1123"/>
        <v>15665600.076968817</v>
      </c>
      <c r="G1132" s="359">
        <f>'DRE + DCF'!$W$31</f>
        <v>2791623.3540418856</v>
      </c>
      <c r="H1132" s="359">
        <f>'DRE + DCF'!$W$32</f>
        <v>81081.931703745853</v>
      </c>
      <c r="I1132" s="359">
        <f>-H1132*('DRE + DCF'!$V$33+K1132)/'DRE + DCF'!$V$33</f>
        <v>-90858.801614444121</v>
      </c>
      <c r="J1132" s="359">
        <f>-'DRE + DCF'!$V$56*L1132</f>
        <v>-1188924.4255577971</v>
      </c>
      <c r="K1132" s="360">
        <f>(1+L1132)/(1+Ke!$O$12)-1</f>
        <v>2.0000000000000018E-2</v>
      </c>
      <c r="L1132" s="360">
        <f>'DRE + DCF'!$Y$31</f>
        <v>7.3550000000000004E-2</v>
      </c>
      <c r="M1132" s="361">
        <f>(1+D1132)^((5-Dashboard!$F$9)*3/12)</f>
        <v>1.1364485649555771</v>
      </c>
      <c r="N1132" s="361">
        <f t="shared" ref="N1132:V1132" si="1155">M1132*(1+$D1132)</f>
        <v>1.3477711756090607</v>
      </c>
      <c r="O1132" s="361">
        <f t="shared" si="1155"/>
        <v>1.5983892257135583</v>
      </c>
      <c r="P1132" s="361">
        <f t="shared" si="1155"/>
        <v>1.895609702234986</v>
      </c>
      <c r="Q1132" s="361">
        <f t="shared" si="1155"/>
        <v>2.2480983263655716</v>
      </c>
      <c r="R1132" s="361">
        <f t="shared" si="1155"/>
        <v>2.6661322101532376</v>
      </c>
      <c r="S1132" s="361">
        <f t="shared" si="1155"/>
        <v>3.1618994946312182</v>
      </c>
      <c r="T1132" s="361">
        <f t="shared" si="1155"/>
        <v>3.7498547056578766</v>
      </c>
      <c r="U1132" s="361">
        <f t="shared" si="1155"/>
        <v>4.4471401881749388</v>
      </c>
      <c r="V1132" s="362">
        <f t="shared" si="1155"/>
        <v>5.2740859061660457</v>
      </c>
      <c r="X1132" s="351"/>
    </row>
    <row r="1133" spans="3:24" ht="24.75" customHeight="1" x14ac:dyDescent="0.3">
      <c r="C1133" s="353">
        <f>ABS(E1133-Dashboard!$F$14)</f>
        <v>20.040184624573939</v>
      </c>
      <c r="D1133" s="350">
        <f t="shared" si="1125"/>
        <v>0.18604999999999475</v>
      </c>
      <c r="E1133" s="359" cm="1">
        <f t="array" ref="E1133">1000*SUM('DRE + DCF'!$L$36/M1133,'DRE + DCF'!$N$36:$V$36/N1133:V1133,F1133/V1133)/Dashboard!$F$11</f>
        <v>117.03018462457393</v>
      </c>
      <c r="F1133" s="359">
        <f t="shared" si="1123"/>
        <v>15654506.839289032</v>
      </c>
      <c r="G1133" s="359">
        <f>'DRE + DCF'!$W$31</f>
        <v>2791623.3540418856</v>
      </c>
      <c r="H1133" s="359">
        <f>'DRE + DCF'!$W$32</f>
        <v>81081.931703745853</v>
      </c>
      <c r="I1133" s="359">
        <f>-H1133*('DRE + DCF'!$V$33+K1133)/'DRE + DCF'!$V$33</f>
        <v>-90858.801614444121</v>
      </c>
      <c r="J1133" s="359">
        <f>-'DRE + DCF'!$V$56*L1133</f>
        <v>-1188924.4255577971</v>
      </c>
      <c r="K1133" s="360">
        <f>(1+L1133)/(1+Ke!$O$12)-1</f>
        <v>2.0000000000000018E-2</v>
      </c>
      <c r="L1133" s="360">
        <f>'DRE + DCF'!$Y$31</f>
        <v>7.3550000000000004E-2</v>
      </c>
      <c r="M1133" s="361">
        <f>(1+D1133)^((5-Dashboard!$F$9)*3/12)</f>
        <v>1.1365204337055534</v>
      </c>
      <c r="N1133" s="361">
        <f t="shared" ref="N1133:V1133" si="1156">M1133*(1+$D1133)</f>
        <v>1.3479700603964657</v>
      </c>
      <c r="O1133" s="361">
        <f t="shared" si="1156"/>
        <v>1.598759890133221</v>
      </c>
      <c r="P1133" s="361">
        <f t="shared" si="1156"/>
        <v>1.8962091676924984</v>
      </c>
      <c r="Q1133" s="361">
        <f t="shared" si="1156"/>
        <v>2.2489988833416779</v>
      </c>
      <c r="R1133" s="361">
        <f t="shared" si="1156"/>
        <v>2.6674251255873851</v>
      </c>
      <c r="S1133" s="361">
        <f t="shared" si="1156"/>
        <v>3.1636995702029038</v>
      </c>
      <c r="T1133" s="361">
        <f t="shared" si="1156"/>
        <v>3.7523058752391374</v>
      </c>
      <c r="U1133" s="361">
        <f t="shared" si="1156"/>
        <v>4.4504223833273588</v>
      </c>
      <c r="V1133" s="362">
        <f t="shared" si="1156"/>
        <v>5.2784234677453901</v>
      </c>
      <c r="X1133" s="351"/>
    </row>
    <row r="1134" spans="3:24" ht="24.75" customHeight="1" x14ac:dyDescent="0.3">
      <c r="C1134" s="353">
        <f>ABS(E1134-Dashboard!$F$14)</f>
        <v>19.931946324588878</v>
      </c>
      <c r="D1134" s="350">
        <f t="shared" si="1125"/>
        <v>0.18614999999999474</v>
      </c>
      <c r="E1134" s="359" cm="1">
        <f t="array" ref="E1134">1000*SUM('DRE + DCF'!$L$36/M1134,'DRE + DCF'!$N$36:$V$36/N1134:V1134,F1134/V1134)/Dashboard!$F$11</f>
        <v>116.92194632458887</v>
      </c>
      <c r="F1134" s="359">
        <f t="shared" si="1123"/>
        <v>15643430.265679844</v>
      </c>
      <c r="G1134" s="359">
        <f>'DRE + DCF'!$W$31</f>
        <v>2791623.3540418856</v>
      </c>
      <c r="H1134" s="359">
        <f>'DRE + DCF'!$W$32</f>
        <v>81081.931703745853</v>
      </c>
      <c r="I1134" s="359">
        <f>-H1134*('DRE + DCF'!$V$33+K1134)/'DRE + DCF'!$V$33</f>
        <v>-90858.801614444121</v>
      </c>
      <c r="J1134" s="359">
        <f>-'DRE + DCF'!$V$56*L1134</f>
        <v>-1188924.4255577971</v>
      </c>
      <c r="K1134" s="360">
        <f>(1+L1134)/(1+Ke!$O$12)-1</f>
        <v>2.0000000000000018E-2</v>
      </c>
      <c r="L1134" s="360">
        <f>'DRE + DCF'!$Y$31</f>
        <v>7.3550000000000004E-2</v>
      </c>
      <c r="M1134" s="361">
        <f>(1+D1134)^((5-Dashboard!$F$9)*3/12)</f>
        <v>1.1365923009406698</v>
      </c>
      <c r="N1134" s="361">
        <f t="shared" ref="N1134:V1134" si="1157">M1134*(1+$D1134)</f>
        <v>1.3481689577607694</v>
      </c>
      <c r="O1134" s="361">
        <f t="shared" si="1157"/>
        <v>1.5991306092479294</v>
      </c>
      <c r="P1134" s="361">
        <f t="shared" si="1157"/>
        <v>1.8968087721594229</v>
      </c>
      <c r="Q1134" s="361">
        <f t="shared" si="1157"/>
        <v>2.2498997250968893</v>
      </c>
      <c r="R1134" s="361">
        <f t="shared" si="1157"/>
        <v>2.6687185589236635</v>
      </c>
      <c r="S1134" s="361">
        <f t="shared" si="1157"/>
        <v>3.1655005186672893</v>
      </c>
      <c r="T1134" s="361">
        <f t="shared" si="1157"/>
        <v>3.7547584402171883</v>
      </c>
      <c r="U1134" s="361">
        <f t="shared" si="1157"/>
        <v>4.4537067238635979</v>
      </c>
      <c r="V1134" s="362">
        <f t="shared" si="1157"/>
        <v>5.2827642305107831</v>
      </c>
      <c r="X1134" s="351"/>
    </row>
    <row r="1135" spans="3:24" ht="24.75" customHeight="1" x14ac:dyDescent="0.3">
      <c r="C1135" s="353">
        <f>ABS(E1135-Dashboard!$F$14)</f>
        <v>19.823882350344945</v>
      </c>
      <c r="D1135" s="350">
        <f t="shared" si="1125"/>
        <v>0.18624999999999473</v>
      </c>
      <c r="E1135" s="359" cm="1">
        <f t="array" ref="E1135">1000*SUM('DRE + DCF'!$L$36/M1135,'DRE + DCF'!$N$36:$V$36/N1135:V1135,F1135/V1135)/Dashboard!$F$11</f>
        <v>116.81388235034494</v>
      </c>
      <c r="F1135" s="359">
        <f t="shared" si="1123"/>
        <v>15632370.316674445</v>
      </c>
      <c r="G1135" s="359">
        <f>'DRE + DCF'!$W$31</f>
        <v>2791623.3540418856</v>
      </c>
      <c r="H1135" s="359">
        <f>'DRE + DCF'!$W$32</f>
        <v>81081.931703745853</v>
      </c>
      <c r="I1135" s="359">
        <f>-H1135*('DRE + DCF'!$V$33+K1135)/'DRE + DCF'!$V$33</f>
        <v>-90858.801614444121</v>
      </c>
      <c r="J1135" s="359">
        <f>-'DRE + DCF'!$V$56*L1135</f>
        <v>-1188924.4255577971</v>
      </c>
      <c r="K1135" s="360">
        <f>(1+L1135)/(1+Ke!$O$12)-1</f>
        <v>2.0000000000000018E-2</v>
      </c>
      <c r="L1135" s="360">
        <f>'DRE + DCF'!$Y$31</f>
        <v>7.3550000000000004E-2</v>
      </c>
      <c r="M1135" s="361">
        <f>(1+D1135)^((5-Dashboard!$F$9)*3/12)</f>
        <v>1.1366641666610855</v>
      </c>
      <c r="N1135" s="361">
        <f t="shared" ref="N1135:V1135" si="1158">M1135*(1+$D1135)</f>
        <v>1.3483678677017066</v>
      </c>
      <c r="O1135" s="361">
        <f t="shared" si="1158"/>
        <v>1.5995013830611422</v>
      </c>
      <c r="P1135" s="361">
        <f t="shared" si="1158"/>
        <v>1.8974085156562714</v>
      </c>
      <c r="Q1135" s="361">
        <f t="shared" si="1158"/>
        <v>2.250800851697242</v>
      </c>
      <c r="R1135" s="361">
        <f t="shared" si="1158"/>
        <v>2.6700125103258414</v>
      </c>
      <c r="S1135" s="361">
        <f t="shared" si="1158"/>
        <v>3.167302340374015</v>
      </c>
      <c r="T1135" s="361">
        <f t="shared" si="1158"/>
        <v>3.7572124012686587</v>
      </c>
      <c r="U1135" s="361">
        <f t="shared" si="1158"/>
        <v>4.4569932110049262</v>
      </c>
      <c r="V1135" s="362">
        <f t="shared" si="1158"/>
        <v>5.2871081965545699</v>
      </c>
      <c r="X1135" s="351"/>
    </row>
    <row r="1136" spans="3:24" ht="24.75" customHeight="1" x14ac:dyDescent="0.3">
      <c r="C1136" s="353">
        <f>ABS(E1136-Dashboard!$F$14)</f>
        <v>19.715992294865245</v>
      </c>
      <c r="D1136" s="350">
        <f t="shared" si="1125"/>
        <v>0.18634999999999471</v>
      </c>
      <c r="E1136" s="359" cm="1">
        <f t="array" ref="E1136">1000*SUM('DRE + DCF'!$L$36/M1136,'DRE + DCF'!$N$36:$V$36/N1136:V1136,F1136/V1136)/Dashboard!$F$11</f>
        <v>116.70599229486524</v>
      </c>
      <c r="F1136" s="359">
        <f t="shared" si="1123"/>
        <v>15621326.952935502</v>
      </c>
      <c r="G1136" s="359">
        <f>'DRE + DCF'!$W$31</f>
        <v>2791623.3540418856</v>
      </c>
      <c r="H1136" s="359">
        <f>'DRE + DCF'!$W$32</f>
        <v>81081.931703745853</v>
      </c>
      <c r="I1136" s="359">
        <f>-H1136*('DRE + DCF'!$V$33+K1136)/'DRE + DCF'!$V$33</f>
        <v>-90858.801614444121</v>
      </c>
      <c r="J1136" s="359">
        <f>-'DRE + DCF'!$V$56*L1136</f>
        <v>-1188924.4255577971</v>
      </c>
      <c r="K1136" s="360">
        <f>(1+L1136)/(1+Ke!$O$12)-1</f>
        <v>2.0000000000000018E-2</v>
      </c>
      <c r="L1136" s="360">
        <f>'DRE + DCF'!$Y$31</f>
        <v>7.3550000000000004E-2</v>
      </c>
      <c r="M1136" s="361">
        <f>(1+D1136)^((5-Dashboard!$F$9)*3/12)</f>
        <v>1.1367360308669603</v>
      </c>
      <c r="N1136" s="361">
        <f t="shared" ref="N1136:V1136" si="1159">M1136*(1+$D1136)</f>
        <v>1.3485667902190124</v>
      </c>
      <c r="O1136" s="361">
        <f t="shared" si="1159"/>
        <v>1.5998722115763182</v>
      </c>
      <c r="P1136" s="361">
        <f t="shared" si="1159"/>
        <v>1.8980083982035565</v>
      </c>
      <c r="Q1136" s="361">
        <f t="shared" si="1159"/>
        <v>2.2517022632087791</v>
      </c>
      <c r="R1136" s="361">
        <f t="shared" si="1159"/>
        <v>2.6713069799577229</v>
      </c>
      <c r="S1136" s="361">
        <f t="shared" si="1159"/>
        <v>3.1691050356728305</v>
      </c>
      <c r="T1136" s="361">
        <f t="shared" si="1159"/>
        <v>3.7596677590704455</v>
      </c>
      <c r="U1136" s="361">
        <f t="shared" si="1159"/>
        <v>4.4602818459732028</v>
      </c>
      <c r="V1136" s="362">
        <f t="shared" si="1159"/>
        <v>5.2914553679702854</v>
      </c>
      <c r="X1136" s="351"/>
    </row>
    <row r="1137" spans="3:24" ht="24.75" customHeight="1" x14ac:dyDescent="0.3">
      <c r="C1137" s="353">
        <f>ABS(E1137-Dashboard!$F$14)</f>
        <v>19.608275752457573</v>
      </c>
      <c r="D1137" s="350">
        <f t="shared" si="1125"/>
        <v>0.1864499999999947</v>
      </c>
      <c r="E1137" s="359" cm="1">
        <f t="array" ref="E1137">1000*SUM('DRE + DCF'!$L$36/M1137,'DRE + DCF'!$N$36:$V$36/N1137:V1137,F1137/V1137)/Dashboard!$F$11</f>
        <v>116.59827575245757</v>
      </c>
      <c r="F1137" s="359">
        <f t="shared" si="1123"/>
        <v>15610300.135254586</v>
      </c>
      <c r="G1137" s="359">
        <f>'DRE + DCF'!$W$31</f>
        <v>2791623.3540418856</v>
      </c>
      <c r="H1137" s="359">
        <f>'DRE + DCF'!$W$32</f>
        <v>81081.931703745853</v>
      </c>
      <c r="I1137" s="359">
        <f>-H1137*('DRE + DCF'!$V$33+K1137)/'DRE + DCF'!$V$33</f>
        <v>-90858.801614444121</v>
      </c>
      <c r="J1137" s="359">
        <f>-'DRE + DCF'!$V$56*L1137</f>
        <v>-1188924.4255577971</v>
      </c>
      <c r="K1137" s="360">
        <f>(1+L1137)/(1+Ke!$O$12)-1</f>
        <v>2.0000000000000018E-2</v>
      </c>
      <c r="L1137" s="360">
        <f>'DRE + DCF'!$Y$31</f>
        <v>7.3550000000000004E-2</v>
      </c>
      <c r="M1137" s="361">
        <f>(1+D1137)^((5-Dashboard!$F$9)*3/12)</f>
        <v>1.136807893558454</v>
      </c>
      <c r="N1137" s="361">
        <f t="shared" ref="N1137:V1137" si="1160">M1137*(1+$D1137)</f>
        <v>1.3487657253124217</v>
      </c>
      <c r="O1137" s="361">
        <f t="shared" si="1160"/>
        <v>1.6002430947969155</v>
      </c>
      <c r="P1137" s="361">
        <f t="shared" si="1160"/>
        <v>1.8986084198217918</v>
      </c>
      <c r="Q1137" s="361">
        <f t="shared" si="1160"/>
        <v>2.2526039596975549</v>
      </c>
      <c r="R1137" s="361">
        <f t="shared" si="1160"/>
        <v>2.6726019679831521</v>
      </c>
      <c r="S1137" s="361">
        <f t="shared" si="1160"/>
        <v>3.1709086049135964</v>
      </c>
      <c r="T1137" s="361">
        <f t="shared" si="1160"/>
        <v>3.7621245142997197</v>
      </c>
      <c r="U1137" s="361">
        <f t="shared" si="1160"/>
        <v>4.4635726299908827</v>
      </c>
      <c r="V1137" s="362">
        <f t="shared" si="1160"/>
        <v>5.2958057468526594</v>
      </c>
      <c r="X1137" s="351"/>
    </row>
    <row r="1138" spans="3:24" ht="24.75" customHeight="1" x14ac:dyDescent="0.3">
      <c r="C1138" s="353">
        <f>ABS(E1138-Dashboard!$F$14)</f>
        <v>19.500732318709623</v>
      </c>
      <c r="D1138" s="350">
        <f t="shared" si="1125"/>
        <v>0.18654999999999469</v>
      </c>
      <c r="E1138" s="359" cm="1">
        <f t="array" ref="E1138">1000*SUM('DRE + DCF'!$L$36/M1138,'DRE + DCF'!$N$36:$V$36/N1138:V1138,F1138/V1138)/Dashboard!$F$11</f>
        <v>116.49073231870962</v>
      </c>
      <c r="F1138" s="359">
        <f t="shared" si="1123"/>
        <v>15599289.824551649</v>
      </c>
      <c r="G1138" s="359">
        <f>'DRE + DCF'!$W$31</f>
        <v>2791623.3540418856</v>
      </c>
      <c r="H1138" s="359">
        <f>'DRE + DCF'!$W$32</f>
        <v>81081.931703745853</v>
      </c>
      <c r="I1138" s="359">
        <f>-H1138*('DRE + DCF'!$V$33+K1138)/'DRE + DCF'!$V$33</f>
        <v>-90858.801614444121</v>
      </c>
      <c r="J1138" s="359">
        <f>-'DRE + DCF'!$V$56*L1138</f>
        <v>-1188924.4255577971</v>
      </c>
      <c r="K1138" s="360">
        <f>(1+L1138)/(1+Ke!$O$12)-1</f>
        <v>2.0000000000000018E-2</v>
      </c>
      <c r="L1138" s="360">
        <f>'DRE + DCF'!$Y$31</f>
        <v>7.3550000000000004E-2</v>
      </c>
      <c r="M1138" s="361">
        <f>(1+D1138)^((5-Dashboard!$F$9)*3/12)</f>
        <v>1.1368797547357259</v>
      </c>
      <c r="N1138" s="361">
        <f t="shared" ref="N1138:V1138" si="1161">M1138*(1+$D1138)</f>
        <v>1.3489646729816696</v>
      </c>
      <c r="O1138" s="361">
        <f t="shared" si="1161"/>
        <v>1.6006140327263929</v>
      </c>
      <c r="P1138" s="361">
        <f t="shared" si="1161"/>
        <v>1.8992085805314929</v>
      </c>
      <c r="Q1138" s="361">
        <f t="shared" si="1161"/>
        <v>2.2535059412296325</v>
      </c>
      <c r="R1138" s="361">
        <f t="shared" si="1161"/>
        <v>2.6738974745660085</v>
      </c>
      <c r="S1138" s="361">
        <f t="shared" si="1161"/>
        <v>3.1727130484462829</v>
      </c>
      <c r="T1138" s="361">
        <f t="shared" si="1161"/>
        <v>3.76458266763392</v>
      </c>
      <c r="U1138" s="361">
        <f t="shared" si="1161"/>
        <v>4.466865564281008</v>
      </c>
      <c r="V1138" s="362">
        <f t="shared" si="1161"/>
        <v>5.3001593352976064</v>
      </c>
      <c r="X1138" s="351"/>
    </row>
    <row r="1139" spans="3:24" ht="24.75" customHeight="1" x14ac:dyDescent="0.3">
      <c r="C1139" s="353">
        <f>ABS(E1139-Dashboard!$F$14)</f>
        <v>19.393361590483408</v>
      </c>
      <c r="D1139" s="350">
        <f t="shared" si="1125"/>
        <v>0.18664999999999468</v>
      </c>
      <c r="E1139" s="359" cm="1">
        <f t="array" ref="E1139">1000*SUM('DRE + DCF'!$L$36/M1139,'DRE + DCF'!$N$36:$V$36/N1139:V1139,F1139/V1139)/Dashboard!$F$11</f>
        <v>116.3833615904834</v>
      </c>
      <c r="F1139" s="359">
        <f t="shared" si="1123"/>
        <v>15588295.981874477</v>
      </c>
      <c r="G1139" s="359">
        <f>'DRE + DCF'!$W$31</f>
        <v>2791623.3540418856</v>
      </c>
      <c r="H1139" s="359">
        <f>'DRE + DCF'!$W$32</f>
        <v>81081.931703745853</v>
      </c>
      <c r="I1139" s="359">
        <f>-H1139*('DRE + DCF'!$V$33+K1139)/'DRE + DCF'!$V$33</f>
        <v>-90858.801614444121</v>
      </c>
      <c r="J1139" s="359">
        <f>-'DRE + DCF'!$V$56*L1139</f>
        <v>-1188924.4255577971</v>
      </c>
      <c r="K1139" s="360">
        <f>(1+L1139)/(1+Ke!$O$12)-1</f>
        <v>2.0000000000000018E-2</v>
      </c>
      <c r="L1139" s="360">
        <f>'DRE + DCF'!$Y$31</f>
        <v>7.3550000000000004E-2</v>
      </c>
      <c r="M1139" s="361">
        <f>(1+D1139)^((5-Dashboard!$F$9)*3/12)</f>
        <v>1.1369516143989356</v>
      </c>
      <c r="N1139" s="361">
        <f t="shared" ref="N1139:V1139" si="1162">M1139*(1+$D1139)</f>
        <v>1.3491636332264907</v>
      </c>
      <c r="O1139" s="361">
        <f t="shared" si="1162"/>
        <v>1.6009850253682079</v>
      </c>
      <c r="P1139" s="361">
        <f t="shared" si="1162"/>
        <v>1.8998088803531752</v>
      </c>
      <c r="Q1139" s="361">
        <f t="shared" si="1162"/>
        <v>2.254408207871085</v>
      </c>
      <c r="R1139" s="361">
        <f t="shared" si="1162"/>
        <v>2.6751934998702112</v>
      </c>
      <c r="S1139" s="361">
        <f t="shared" si="1162"/>
        <v>3.1745183666209718</v>
      </c>
      <c r="T1139" s="361">
        <f t="shared" si="1162"/>
        <v>3.7670422197507594</v>
      </c>
      <c r="U1139" s="361">
        <f t="shared" si="1162"/>
        <v>4.4701606500672186</v>
      </c>
      <c r="V1139" s="362">
        <f t="shared" si="1162"/>
        <v>5.304516135402241</v>
      </c>
      <c r="X1139" s="351"/>
    </row>
    <row r="1140" spans="3:24" ht="24.75" customHeight="1" x14ac:dyDescent="0.3">
      <c r="C1140" s="353">
        <f>ABS(E1140-Dashboard!$F$14)</f>
        <v>19.286163165910281</v>
      </c>
      <c r="D1140" s="350">
        <f t="shared" si="1125"/>
        <v>0.18674999999999467</v>
      </c>
      <c r="E1140" s="359" cm="1">
        <f t="array" ref="E1140">1000*SUM('DRE + DCF'!$L$36/M1140,'DRE + DCF'!$N$36:$V$36/N1140:V1140,F1140/V1140)/Dashboard!$F$11</f>
        <v>116.27616316591028</v>
      </c>
      <c r="F1140" s="359">
        <f t="shared" si="1123"/>
        <v>15577318.568398152</v>
      </c>
      <c r="G1140" s="359">
        <f>'DRE + DCF'!$W$31</f>
        <v>2791623.3540418856</v>
      </c>
      <c r="H1140" s="359">
        <f>'DRE + DCF'!$W$32</f>
        <v>81081.931703745853</v>
      </c>
      <c r="I1140" s="359">
        <f>-H1140*('DRE + DCF'!$V$33+K1140)/'DRE + DCF'!$V$33</f>
        <v>-90858.801614444121</v>
      </c>
      <c r="J1140" s="359">
        <f>-'DRE + DCF'!$V$56*L1140</f>
        <v>-1188924.4255577971</v>
      </c>
      <c r="K1140" s="360">
        <f>(1+L1140)/(1+Ke!$O$12)-1</f>
        <v>2.0000000000000018E-2</v>
      </c>
      <c r="L1140" s="360">
        <f>'DRE + DCF'!$Y$31</f>
        <v>7.3550000000000004E-2</v>
      </c>
      <c r="M1140" s="361">
        <f>(1+D1140)^((5-Dashboard!$F$9)*3/12)</f>
        <v>1.1370234725482424</v>
      </c>
      <c r="N1140" s="361">
        <f t="shared" ref="N1140:V1140" si="1163">M1140*(1+$D1140)</f>
        <v>1.3493626060466206</v>
      </c>
      <c r="O1140" s="361">
        <f t="shared" si="1163"/>
        <v>1.6013560727258198</v>
      </c>
      <c r="P1140" s="361">
        <f t="shared" si="1163"/>
        <v>1.9004093193073581</v>
      </c>
      <c r="Q1140" s="361">
        <f t="shared" si="1163"/>
        <v>2.2553107596879971</v>
      </c>
      <c r="R1140" s="361">
        <f t="shared" si="1163"/>
        <v>2.6764900440597184</v>
      </c>
      <c r="S1140" s="361">
        <f t="shared" si="1163"/>
        <v>3.1763245597878562</v>
      </c>
      <c r="T1140" s="361">
        <f t="shared" si="1163"/>
        <v>3.7695031713282212</v>
      </c>
      <c r="U1140" s="361">
        <f t="shared" si="1163"/>
        <v>4.4734578885737459</v>
      </c>
      <c r="V1140" s="362">
        <f t="shared" si="1163"/>
        <v>5.3088761492648686</v>
      </c>
      <c r="X1140" s="351"/>
    </row>
    <row r="1141" spans="3:24" ht="24.75" customHeight="1" x14ac:dyDescent="0.3">
      <c r="C1141" s="353">
        <f>ABS(E1141-Dashboard!$F$14)</f>
        <v>19.179136644385821</v>
      </c>
      <c r="D1141" s="350">
        <f t="shared" si="1125"/>
        <v>0.18684999999999466</v>
      </c>
      <c r="E1141" s="359" cm="1">
        <f t="array" ref="E1141">1000*SUM('DRE + DCF'!$L$36/M1141,'DRE + DCF'!$N$36:$V$36/N1141:V1141,F1141/V1141)/Dashboard!$F$11</f>
        <v>116.16913664438582</v>
      </c>
      <c r="F1141" s="359">
        <f t="shared" si="1123"/>
        <v>15566357.545424525</v>
      </c>
      <c r="G1141" s="359">
        <f>'DRE + DCF'!$W$31</f>
        <v>2791623.3540418856</v>
      </c>
      <c r="H1141" s="359">
        <f>'DRE + DCF'!$W$32</f>
        <v>81081.931703745853</v>
      </c>
      <c r="I1141" s="359">
        <f>-H1141*('DRE + DCF'!$V$33+K1141)/'DRE + DCF'!$V$33</f>
        <v>-90858.801614444121</v>
      </c>
      <c r="J1141" s="359">
        <f>-'DRE + DCF'!$V$56*L1141</f>
        <v>-1188924.4255577971</v>
      </c>
      <c r="K1141" s="360">
        <f>(1+L1141)/(1+Ke!$O$12)-1</f>
        <v>2.0000000000000018E-2</v>
      </c>
      <c r="L1141" s="360">
        <f>'DRE + DCF'!$Y$31</f>
        <v>7.3550000000000004E-2</v>
      </c>
      <c r="M1141" s="361">
        <f>(1+D1141)^((5-Dashboard!$F$9)*3/12)</f>
        <v>1.1370953291838062</v>
      </c>
      <c r="N1141" s="361">
        <f t="shared" ref="N1141:V1141" si="1164">M1141*(1+$D1141)</f>
        <v>1.3495615914417942</v>
      </c>
      <c r="O1141" s="361">
        <f t="shared" si="1164"/>
        <v>1.6017271748026862</v>
      </c>
      <c r="P1141" s="361">
        <f t="shared" si="1164"/>
        <v>1.9010098974145595</v>
      </c>
      <c r="Q1141" s="361">
        <f t="shared" si="1164"/>
        <v>2.2562135967464596</v>
      </c>
      <c r="R1141" s="361">
        <f t="shared" si="1164"/>
        <v>2.6777871072985233</v>
      </c>
      <c r="S1141" s="361">
        <f t="shared" si="1164"/>
        <v>3.1781316282972378</v>
      </c>
      <c r="T1141" s="361">
        <f t="shared" si="1164"/>
        <v>3.7719655230445595</v>
      </c>
      <c r="U1141" s="361">
        <f t="shared" si="1164"/>
        <v>4.4767572810254155</v>
      </c>
      <c r="V1141" s="362">
        <f t="shared" si="1164"/>
        <v>5.3132393789849903</v>
      </c>
      <c r="X1141" s="351"/>
    </row>
    <row r="1142" spans="3:24" ht="24.75" customHeight="1" x14ac:dyDescent="0.3">
      <c r="C1142" s="353">
        <f>ABS(E1142-Dashboard!$F$14)</f>
        <v>19.072281626564703</v>
      </c>
      <c r="D1142" s="350">
        <f t="shared" si="1125"/>
        <v>0.18694999999999465</v>
      </c>
      <c r="E1142" s="359" cm="1">
        <f t="array" ref="E1142">1000*SUM('DRE + DCF'!$L$36/M1142,'DRE + DCF'!$N$36:$V$36/N1142:V1142,F1142/V1142)/Dashboard!$F$11</f>
        <v>116.0622816265647</v>
      </c>
      <c r="F1142" s="359">
        <f t="shared" si="1123"/>
        <v>15555412.874381673</v>
      </c>
      <c r="G1142" s="359">
        <f>'DRE + DCF'!$W$31</f>
        <v>2791623.3540418856</v>
      </c>
      <c r="H1142" s="359">
        <f>'DRE + DCF'!$W$32</f>
        <v>81081.931703745853</v>
      </c>
      <c r="I1142" s="359">
        <f>-H1142*('DRE + DCF'!$V$33+K1142)/'DRE + DCF'!$V$33</f>
        <v>-90858.801614444121</v>
      </c>
      <c r="J1142" s="359">
        <f>-'DRE + DCF'!$V$56*L1142</f>
        <v>-1188924.4255577971</v>
      </c>
      <c r="K1142" s="360">
        <f>(1+L1142)/(1+Ke!$O$12)-1</f>
        <v>2.0000000000000018E-2</v>
      </c>
      <c r="L1142" s="360">
        <f>'DRE + DCF'!$Y$31</f>
        <v>7.3550000000000004E-2</v>
      </c>
      <c r="M1142" s="361">
        <f>(1+D1142)^((5-Dashboard!$F$9)*3/12)</f>
        <v>1.137167184305786</v>
      </c>
      <c r="N1142" s="361">
        <f t="shared" ref="N1142:V1142" si="1165">M1142*(1+$D1142)</f>
        <v>1.3497605894117466</v>
      </c>
      <c r="O1142" s="361">
        <f t="shared" si="1165"/>
        <v>1.6020983316022654</v>
      </c>
      <c r="P1142" s="361">
        <f t="shared" si="1165"/>
        <v>1.9016106146953005</v>
      </c>
      <c r="Q1142" s="361">
        <f t="shared" si="1165"/>
        <v>2.2571167191125765</v>
      </c>
      <c r="R1142" s="361">
        <f t="shared" si="1165"/>
        <v>2.6790846897506606</v>
      </c>
      <c r="S1142" s="361">
        <f t="shared" si="1165"/>
        <v>3.1799395724995323</v>
      </c>
      <c r="T1142" s="361">
        <f t="shared" si="1165"/>
        <v>3.7744292755783029</v>
      </c>
      <c r="U1142" s="361">
        <f t="shared" si="1165"/>
        <v>4.4800588286476462</v>
      </c>
      <c r="V1142" s="362">
        <f t="shared" si="1165"/>
        <v>5.3176058266632991</v>
      </c>
      <c r="X1142" s="351"/>
    </row>
    <row r="1143" spans="3:24" ht="24.75" customHeight="1" x14ac:dyDescent="0.3">
      <c r="C1143" s="353">
        <f>ABS(E1143-Dashboard!$F$14)</f>
        <v>18.965597714355511</v>
      </c>
      <c r="D1143" s="350">
        <f t="shared" si="1125"/>
        <v>0.18704999999999464</v>
      </c>
      <c r="E1143" s="359" cm="1">
        <f t="array" ref="E1143">1000*SUM('DRE + DCF'!$L$36/M1143,'DRE + DCF'!$N$36:$V$36/N1143:V1143,F1143/V1143)/Dashboard!$F$11</f>
        <v>115.95559771435551</v>
      </c>
      <c r="F1143" s="359">
        <f t="shared" si="1123"/>
        <v>15544484.516823381</v>
      </c>
      <c r="G1143" s="359">
        <f>'DRE + DCF'!$W$31</f>
        <v>2791623.3540418856</v>
      </c>
      <c r="H1143" s="359">
        <f>'DRE + DCF'!$W$32</f>
        <v>81081.931703745853</v>
      </c>
      <c r="I1143" s="359">
        <f>-H1143*('DRE + DCF'!$V$33+K1143)/'DRE + DCF'!$V$33</f>
        <v>-90858.801614444121</v>
      </c>
      <c r="J1143" s="359">
        <f>-'DRE + DCF'!$V$56*L1143</f>
        <v>-1188924.4255577971</v>
      </c>
      <c r="K1143" s="360">
        <f>(1+L1143)/(1+Ke!$O$12)-1</f>
        <v>2.0000000000000018E-2</v>
      </c>
      <c r="L1143" s="360">
        <f>'DRE + DCF'!$Y$31</f>
        <v>7.3550000000000004E-2</v>
      </c>
      <c r="M1143" s="361">
        <f>(1+D1143)^((5-Dashboard!$F$9)*3/12)</f>
        <v>1.1372390379143416</v>
      </c>
      <c r="N1143" s="361">
        <f t="shared" ref="N1143:V1143" si="1166">M1143*(1+$D1143)</f>
        <v>1.3499595999562131</v>
      </c>
      <c r="O1143" s="361">
        <f t="shared" si="1166"/>
        <v>1.6024695431280154</v>
      </c>
      <c r="P1143" s="361">
        <f t="shared" si="1166"/>
        <v>1.9022114711701019</v>
      </c>
      <c r="Q1143" s="361">
        <f t="shared" si="1166"/>
        <v>2.2580201268524593</v>
      </c>
      <c r="R1143" s="361">
        <f t="shared" si="1166"/>
        <v>2.6803827915801999</v>
      </c>
      <c r="S1143" s="361">
        <f t="shared" si="1166"/>
        <v>3.1817483927452619</v>
      </c>
      <c r="T1143" s="361">
        <f t="shared" si="1166"/>
        <v>3.7768944296082458</v>
      </c>
      <c r="U1143" s="361">
        <f t="shared" si="1166"/>
        <v>4.4833625326664475</v>
      </c>
      <c r="V1143" s="362">
        <f t="shared" si="1166"/>
        <v>5.3219754944016824</v>
      </c>
      <c r="X1143" s="351"/>
    </row>
    <row r="1144" spans="3:24" ht="24.75" customHeight="1" x14ac:dyDescent="0.3">
      <c r="C1144" s="353">
        <f>ABS(E1144-Dashboard!$F$14)</f>
        <v>18.859084510915764</v>
      </c>
      <c r="D1144" s="350">
        <f t="shared" si="1125"/>
        <v>0.18714999999999463</v>
      </c>
      <c r="E1144" s="359" cm="1">
        <f t="array" ref="E1144">1000*SUM('DRE + DCF'!$L$36/M1144,'DRE + DCF'!$N$36:$V$36/N1144:V1144,F1144/V1144)/Dashboard!$F$11</f>
        <v>115.84908451091576</v>
      </c>
      <c r="F1144" s="359">
        <f t="shared" si="1123"/>
        <v>15533572.43442861</v>
      </c>
      <c r="G1144" s="359">
        <f>'DRE + DCF'!$W$31</f>
        <v>2791623.3540418856</v>
      </c>
      <c r="H1144" s="359">
        <f>'DRE + DCF'!$W$32</f>
        <v>81081.931703745853</v>
      </c>
      <c r="I1144" s="359">
        <f>-H1144*('DRE + DCF'!$V$33+K1144)/'DRE + DCF'!$V$33</f>
        <v>-90858.801614444121</v>
      </c>
      <c r="J1144" s="359">
        <f>-'DRE + DCF'!$V$56*L1144</f>
        <v>-1188924.4255577971</v>
      </c>
      <c r="K1144" s="360">
        <f>(1+L1144)/(1+Ke!$O$12)-1</f>
        <v>2.0000000000000018E-2</v>
      </c>
      <c r="L1144" s="360">
        <f>'DRE + DCF'!$Y$31</f>
        <v>7.3550000000000004E-2</v>
      </c>
      <c r="M1144" s="361">
        <f>(1+D1144)^((5-Dashboard!$F$9)*3/12)</f>
        <v>1.1373108900096318</v>
      </c>
      <c r="N1144" s="361">
        <f t="shared" ref="N1144:V1144" si="1167">M1144*(1+$D1144)</f>
        <v>1.3501586230749283</v>
      </c>
      <c r="O1144" s="361">
        <f t="shared" si="1167"/>
        <v>1.6028408093833939</v>
      </c>
      <c r="P1144" s="361">
        <f t="shared" si="1167"/>
        <v>1.9028124668594875</v>
      </c>
      <c r="Q1144" s="361">
        <f t="shared" si="1167"/>
        <v>2.2589238200322304</v>
      </c>
      <c r="R1144" s="361">
        <f t="shared" si="1167"/>
        <v>2.6816814129512503</v>
      </c>
      <c r="S1144" s="361">
        <f t="shared" si="1167"/>
        <v>3.1835580893850621</v>
      </c>
      <c r="T1144" s="361">
        <f t="shared" si="1167"/>
        <v>3.7793609858134594</v>
      </c>
      <c r="U1144" s="361">
        <f t="shared" si="1167"/>
        <v>4.4866683943084276</v>
      </c>
      <c r="V1144" s="362">
        <f t="shared" si="1167"/>
        <v>5.326348384303226</v>
      </c>
      <c r="X1144" s="351"/>
    </row>
    <row r="1145" spans="3:24" ht="24.75" customHeight="1" x14ac:dyDescent="0.3">
      <c r="C1145" s="353">
        <f>ABS(E1145-Dashboard!$F$14)</f>
        <v>18.752741620646901</v>
      </c>
      <c r="D1145" s="350">
        <f t="shared" si="1125"/>
        <v>0.18724999999999462</v>
      </c>
      <c r="E1145" s="359" cm="1">
        <f t="array" ref="E1145">1000*SUM('DRE + DCF'!$L$36/M1145,'DRE + DCF'!$N$36:$V$36/N1145:V1145,F1145/V1145)/Dashboard!$F$11</f>
        <v>115.7427416206469</v>
      </c>
      <c r="F1145" s="359">
        <f t="shared" si="1123"/>
        <v>15522676.589000974</v>
      </c>
      <c r="G1145" s="359">
        <f>'DRE + DCF'!$W$31</f>
        <v>2791623.3540418856</v>
      </c>
      <c r="H1145" s="359">
        <f>'DRE + DCF'!$W$32</f>
        <v>81081.931703745853</v>
      </c>
      <c r="I1145" s="359">
        <f>-H1145*('DRE + DCF'!$V$33+K1145)/'DRE + DCF'!$V$33</f>
        <v>-90858.801614444121</v>
      </c>
      <c r="J1145" s="359">
        <f>-'DRE + DCF'!$V$56*L1145</f>
        <v>-1188924.4255577971</v>
      </c>
      <c r="K1145" s="360">
        <f>(1+L1145)/(1+Ke!$O$12)-1</f>
        <v>2.0000000000000018E-2</v>
      </c>
      <c r="L1145" s="360">
        <f>'DRE + DCF'!$Y$31</f>
        <v>7.3550000000000004E-2</v>
      </c>
      <c r="M1145" s="361">
        <f>(1+D1145)^((5-Dashboard!$F$9)*3/12)</f>
        <v>1.1373827405918164</v>
      </c>
      <c r="N1145" s="361">
        <f t="shared" ref="N1145:V1145" si="1168">M1145*(1+$D1145)</f>
        <v>1.3503576587676278</v>
      </c>
      <c r="O1145" s="361">
        <f t="shared" si="1168"/>
        <v>1.6032121303718587</v>
      </c>
      <c r="P1145" s="361">
        <f t="shared" si="1168"/>
        <v>1.9034136017839807</v>
      </c>
      <c r="Q1145" s="361">
        <f t="shared" si="1168"/>
        <v>2.2598277987180206</v>
      </c>
      <c r="R1145" s="361">
        <f t="shared" si="1168"/>
        <v>2.6829805540279579</v>
      </c>
      <c r="S1145" s="361">
        <f t="shared" si="1168"/>
        <v>3.1853686627696787</v>
      </c>
      <c r="T1145" s="361">
        <f t="shared" si="1168"/>
        <v>3.7818289448732836</v>
      </c>
      <c r="U1145" s="361">
        <f t="shared" si="1168"/>
        <v>4.4899764148007852</v>
      </c>
      <c r="V1145" s="362">
        <f t="shared" si="1168"/>
        <v>5.3307244984722084</v>
      </c>
      <c r="X1145" s="351"/>
    </row>
    <row r="1146" spans="3:24" ht="24.75" customHeight="1" x14ac:dyDescent="0.3">
      <c r="C1146" s="353">
        <f>ABS(E1146-Dashboard!$F$14)</f>
        <v>18.646568649189135</v>
      </c>
      <c r="D1146" s="350">
        <f t="shared" si="1125"/>
        <v>0.1873499999999946</v>
      </c>
      <c r="E1146" s="359" cm="1">
        <f t="array" ref="E1146">1000*SUM('DRE + DCF'!$L$36/M1146,'DRE + DCF'!$N$36:$V$36/N1146:V1146,F1146/V1146)/Dashboard!$F$11</f>
        <v>115.63656864918913</v>
      </c>
      <c r="F1146" s="359">
        <f t="shared" si="1123"/>
        <v>15511796.942468226</v>
      </c>
      <c r="G1146" s="359">
        <f>'DRE + DCF'!$W$31</f>
        <v>2791623.3540418856</v>
      </c>
      <c r="H1146" s="359">
        <f>'DRE + DCF'!$W$32</f>
        <v>81081.931703745853</v>
      </c>
      <c r="I1146" s="359">
        <f>-H1146*('DRE + DCF'!$V$33+K1146)/'DRE + DCF'!$V$33</f>
        <v>-90858.801614444121</v>
      </c>
      <c r="J1146" s="359">
        <f>-'DRE + DCF'!$V$56*L1146</f>
        <v>-1188924.4255577971</v>
      </c>
      <c r="K1146" s="360">
        <f>(1+L1146)/(1+Ke!$O$12)-1</f>
        <v>2.0000000000000018E-2</v>
      </c>
      <c r="L1146" s="360">
        <f>'DRE + DCF'!$Y$31</f>
        <v>7.3550000000000004E-2</v>
      </c>
      <c r="M1146" s="361">
        <f>(1+D1146)^((5-Dashboard!$F$9)*3/12)</f>
        <v>1.1374545896610548</v>
      </c>
      <c r="N1146" s="361">
        <f t="shared" ref="N1146:V1146" si="1169">M1146*(1+$D1146)</f>
        <v>1.3505567070340474</v>
      </c>
      <c r="O1146" s="361">
        <f t="shared" si="1169"/>
        <v>1.6035835060968688</v>
      </c>
      <c r="P1146" s="361">
        <f t="shared" si="1169"/>
        <v>1.9040148759641085</v>
      </c>
      <c r="Q1146" s="361">
        <f t="shared" si="1169"/>
        <v>2.2607320629759737</v>
      </c>
      <c r="R1146" s="361">
        <f t="shared" si="1169"/>
        <v>2.68428021497451</v>
      </c>
      <c r="S1146" s="361">
        <f t="shared" si="1169"/>
        <v>3.18718011324997</v>
      </c>
      <c r="T1146" s="361">
        <f t="shared" si="1169"/>
        <v>3.7842983074673344</v>
      </c>
      <c r="U1146" s="361">
        <f t="shared" si="1169"/>
        <v>4.4932865953713188</v>
      </c>
      <c r="V1146" s="362">
        <f t="shared" si="1169"/>
        <v>5.3351038390141108</v>
      </c>
      <c r="X1146" s="351"/>
    </row>
    <row r="1147" spans="3:24" ht="24.75" customHeight="1" x14ac:dyDescent="0.3">
      <c r="C1147" s="353">
        <f>ABS(E1147-Dashboard!$F$14)</f>
        <v>18.540565203416605</v>
      </c>
      <c r="D1147" s="350">
        <f t="shared" si="1125"/>
        <v>0.18744999999999459</v>
      </c>
      <c r="E1147" s="359" cm="1">
        <f t="array" ref="E1147">1000*SUM('DRE + DCF'!$L$36/M1147,'DRE + DCF'!$N$36:$V$36/N1147:V1147,F1147/V1147)/Dashboard!$F$11</f>
        <v>115.5305652034166</v>
      </c>
      <c r="F1147" s="359">
        <f t="shared" si="1123"/>
        <v>15500933.456881732</v>
      </c>
      <c r="G1147" s="359">
        <f>'DRE + DCF'!$W$31</f>
        <v>2791623.3540418856</v>
      </c>
      <c r="H1147" s="359">
        <f>'DRE + DCF'!$W$32</f>
        <v>81081.931703745853</v>
      </c>
      <c r="I1147" s="359">
        <f>-H1147*('DRE + DCF'!$V$33+K1147)/'DRE + DCF'!$V$33</f>
        <v>-90858.801614444121</v>
      </c>
      <c r="J1147" s="359">
        <f>-'DRE + DCF'!$V$56*L1147</f>
        <v>-1188924.4255577971</v>
      </c>
      <c r="K1147" s="360">
        <f>(1+L1147)/(1+Ke!$O$12)-1</f>
        <v>2.0000000000000018E-2</v>
      </c>
      <c r="L1147" s="360">
        <f>'DRE + DCF'!$Y$31</f>
        <v>7.3550000000000004E-2</v>
      </c>
      <c r="M1147" s="361">
        <f>(1+D1147)^((5-Dashboard!$F$9)*3/12)</f>
        <v>1.1375264372175058</v>
      </c>
      <c r="N1147" s="361">
        <f t="shared" ref="N1147:V1147" si="1170">M1147*(1+$D1147)</f>
        <v>1.350755767873921</v>
      </c>
      <c r="O1147" s="361">
        <f t="shared" si="1170"/>
        <v>1.6039549365618802</v>
      </c>
      <c r="P1147" s="361">
        <f t="shared" si="1170"/>
        <v>1.904616289420396</v>
      </c>
      <c r="Q1147" s="361">
        <f t="shared" si="1170"/>
        <v>2.2616366128722389</v>
      </c>
      <c r="R1147" s="361">
        <f t="shared" si="1170"/>
        <v>2.6855803959551277</v>
      </c>
      <c r="S1147" s="361">
        <f t="shared" si="1170"/>
        <v>3.1889924411769019</v>
      </c>
      <c r="T1147" s="361">
        <f t="shared" si="1170"/>
        <v>3.7867690742754947</v>
      </c>
      <c r="U1147" s="361">
        <f t="shared" si="1170"/>
        <v>4.4965989372484154</v>
      </c>
      <c r="V1147" s="362">
        <f t="shared" si="1170"/>
        <v>5.3394864080356061</v>
      </c>
      <c r="X1147" s="351"/>
    </row>
    <row r="1148" spans="3:24" ht="24.75" customHeight="1" x14ac:dyDescent="0.3">
      <c r="C1148" s="353">
        <f>ABS(E1148-Dashboard!$F$14)</f>
        <v>18.434730891432395</v>
      </c>
      <c r="D1148" s="350">
        <f t="shared" si="1125"/>
        <v>0.18754999999999458</v>
      </c>
      <c r="E1148" s="359" cm="1">
        <f t="array" ref="E1148">1000*SUM('DRE + DCF'!$L$36/M1148,'DRE + DCF'!$N$36:$V$36/N1148:V1148,F1148/V1148)/Dashboard!$F$11</f>
        <v>115.42473089143239</v>
      </c>
      <c r="F1148" s="359">
        <f t="shared" si="1123"/>
        <v>15490086.094415955</v>
      </c>
      <c r="G1148" s="359">
        <f>'DRE + DCF'!$W$31</f>
        <v>2791623.3540418856</v>
      </c>
      <c r="H1148" s="359">
        <f>'DRE + DCF'!$W$32</f>
        <v>81081.931703745853</v>
      </c>
      <c r="I1148" s="359">
        <f>-H1148*('DRE + DCF'!$V$33+K1148)/'DRE + DCF'!$V$33</f>
        <v>-90858.801614444121</v>
      </c>
      <c r="J1148" s="359">
        <f>-'DRE + DCF'!$V$56*L1148</f>
        <v>-1188924.4255577971</v>
      </c>
      <c r="K1148" s="360">
        <f>(1+L1148)/(1+Ke!$O$12)-1</f>
        <v>2.0000000000000018E-2</v>
      </c>
      <c r="L1148" s="360">
        <f>'DRE + DCF'!$Y$31</f>
        <v>7.3550000000000004E-2</v>
      </c>
      <c r="M1148" s="361">
        <f>(1+D1148)^((5-Dashboard!$F$9)*3/12)</f>
        <v>1.1375982832613289</v>
      </c>
      <c r="N1148" s="361">
        <f t="shared" ref="N1148:V1148" si="1171">M1148*(1+$D1148)</f>
        <v>1.350954841286985</v>
      </c>
      <c r="O1148" s="361">
        <f t="shared" si="1171"/>
        <v>1.6043264217703517</v>
      </c>
      <c r="P1148" s="361">
        <f t="shared" si="1171"/>
        <v>1.9052178421733723</v>
      </c>
      <c r="Q1148" s="361">
        <f t="shared" si="1171"/>
        <v>2.262541448472978</v>
      </c>
      <c r="R1148" s="361">
        <f t="shared" si="1171"/>
        <v>2.6868810971340729</v>
      </c>
      <c r="S1148" s="361">
        <f t="shared" si="1171"/>
        <v>3.1908056469015538</v>
      </c>
      <c r="T1148" s="361">
        <f t="shared" si="1171"/>
        <v>3.789241245977923</v>
      </c>
      <c r="U1148" s="361">
        <f t="shared" si="1171"/>
        <v>4.4999134416610618</v>
      </c>
      <c r="V1148" s="362">
        <f t="shared" si="1171"/>
        <v>5.3438722076445693</v>
      </c>
      <c r="X1148" s="351"/>
    </row>
    <row r="1149" spans="3:24" ht="24.75" customHeight="1" x14ac:dyDescent="0.3">
      <c r="C1149" s="353">
        <f>ABS(E1149-Dashboard!$F$14)</f>
        <v>18.329065322563522</v>
      </c>
      <c r="D1149" s="350">
        <f t="shared" si="1125"/>
        <v>0.18764999999999457</v>
      </c>
      <c r="E1149" s="359" cm="1">
        <f t="array" ref="E1149">1000*SUM('DRE + DCF'!$L$36/M1149,'DRE + DCF'!$N$36:$V$36/N1149:V1149,F1149/V1149)/Dashboard!$F$11</f>
        <v>115.31906532256352</v>
      </c>
      <c r="F1149" s="359">
        <f t="shared" si="1123"/>
        <v>15479254.817367954</v>
      </c>
      <c r="G1149" s="359">
        <f>'DRE + DCF'!$W$31</f>
        <v>2791623.3540418856</v>
      </c>
      <c r="H1149" s="359">
        <f>'DRE + DCF'!$W$32</f>
        <v>81081.931703745853</v>
      </c>
      <c r="I1149" s="359">
        <f>-H1149*('DRE + DCF'!$V$33+K1149)/'DRE + DCF'!$V$33</f>
        <v>-90858.801614444121</v>
      </c>
      <c r="J1149" s="359">
        <f>-'DRE + DCF'!$V$56*L1149</f>
        <v>-1188924.4255577971</v>
      </c>
      <c r="K1149" s="360">
        <f>(1+L1149)/(1+Ke!$O$12)-1</f>
        <v>2.0000000000000018E-2</v>
      </c>
      <c r="L1149" s="360">
        <f>'DRE + DCF'!$Y$31</f>
        <v>7.3550000000000004E-2</v>
      </c>
      <c r="M1149" s="361">
        <f>(1+D1149)^((5-Dashboard!$F$9)*3/12)</f>
        <v>1.1376701277926835</v>
      </c>
      <c r="N1149" s="361">
        <f t="shared" ref="N1149:V1149" si="1172">M1149*(1+$D1149)</f>
        <v>1.3511539272729745</v>
      </c>
      <c r="O1149" s="361">
        <f t="shared" si="1172"/>
        <v>1.6046979617257406</v>
      </c>
      <c r="P1149" s="361">
        <f t="shared" si="1172"/>
        <v>1.9058195342435671</v>
      </c>
      <c r="Q1149" s="361">
        <f t="shared" si="1172"/>
        <v>2.263446569844362</v>
      </c>
      <c r="R1149" s="361">
        <f t="shared" si="1172"/>
        <v>2.6881823186756439</v>
      </c>
      <c r="S1149" s="361">
        <f t="shared" si="1172"/>
        <v>3.1926197307751139</v>
      </c>
      <c r="T1149" s="361">
        <f t="shared" si="1172"/>
        <v>3.7917148232550466</v>
      </c>
      <c r="U1149" s="361">
        <f t="shared" si="1172"/>
        <v>4.5032301098388352</v>
      </c>
      <c r="V1149" s="362">
        <f t="shared" si="1172"/>
        <v>5.3482612399500677</v>
      </c>
      <c r="X1149" s="351"/>
    </row>
    <row r="1150" spans="3:24" ht="24.75" customHeight="1" x14ac:dyDescent="0.3">
      <c r="C1150" s="353">
        <f>ABS(E1150-Dashboard!$F$14)</f>
        <v>18.223568107355987</v>
      </c>
      <c r="D1150" s="350">
        <f t="shared" si="1125"/>
        <v>0.18774999999999456</v>
      </c>
      <c r="E1150" s="359" cm="1">
        <f t="array" ref="E1150">1000*SUM('DRE + DCF'!$L$36/M1150,'DRE + DCF'!$N$36:$V$36/N1150:V1150,F1150/V1150)/Dashboard!$F$11</f>
        <v>115.21356810735598</v>
      </c>
      <c r="F1150" s="359">
        <f t="shared" si="1123"/>
        <v>15468439.588156857</v>
      </c>
      <c r="G1150" s="359">
        <f>'DRE + DCF'!$W$31</f>
        <v>2791623.3540418856</v>
      </c>
      <c r="H1150" s="359">
        <f>'DRE + DCF'!$W$32</f>
        <v>81081.931703745853</v>
      </c>
      <c r="I1150" s="359">
        <f>-H1150*('DRE + DCF'!$V$33+K1150)/'DRE + DCF'!$V$33</f>
        <v>-90858.801614444121</v>
      </c>
      <c r="J1150" s="359">
        <f>-'DRE + DCF'!$V$56*L1150</f>
        <v>-1188924.4255577971</v>
      </c>
      <c r="K1150" s="360">
        <f>(1+L1150)/(1+Ke!$O$12)-1</f>
        <v>2.0000000000000018E-2</v>
      </c>
      <c r="L1150" s="360">
        <f>'DRE + DCF'!$Y$31</f>
        <v>7.3550000000000004E-2</v>
      </c>
      <c r="M1150" s="361">
        <f>(1+D1150)^((5-Dashboard!$F$9)*3/12)</f>
        <v>1.1377419708117285</v>
      </c>
      <c r="N1150" s="361">
        <f t="shared" ref="N1150:V1150" si="1173">M1150*(1+$D1150)</f>
        <v>1.3513530258316242</v>
      </c>
      <c r="O1150" s="361">
        <f t="shared" si="1173"/>
        <v>1.6050695564315043</v>
      </c>
      <c r="P1150" s="361">
        <f t="shared" si="1173"/>
        <v>1.9064213656515105</v>
      </c>
      <c r="Q1150" s="361">
        <f t="shared" si="1173"/>
        <v>2.2643519770525713</v>
      </c>
      <c r="R1150" s="361">
        <f t="shared" si="1173"/>
        <v>2.6894840607441792</v>
      </c>
      <c r="S1150" s="361">
        <f t="shared" si="1173"/>
        <v>3.1944346931488843</v>
      </c>
      <c r="T1150" s="361">
        <f t="shared" si="1173"/>
        <v>3.7941898067875699</v>
      </c>
      <c r="U1150" s="361">
        <f t="shared" si="1173"/>
        <v>4.5065489430119152</v>
      </c>
      <c r="V1150" s="362">
        <f t="shared" si="1173"/>
        <v>5.352653507062378</v>
      </c>
      <c r="X1150" s="351"/>
    </row>
    <row r="1151" spans="3:24" ht="24.75" customHeight="1" x14ac:dyDescent="0.3">
      <c r="C1151" s="353">
        <f>ABS(E1151-Dashboard!$F$14)</f>
        <v>18.118238857570091</v>
      </c>
      <c r="D1151" s="350">
        <f t="shared" si="1125"/>
        <v>0.18784999999999455</v>
      </c>
      <c r="E1151" s="359" cm="1">
        <f t="array" ref="E1151">1000*SUM('DRE + DCF'!$L$36/M1151,'DRE + DCF'!$N$36:$V$36/N1151:V1151,F1151/V1151)/Dashboard!$F$11</f>
        <v>115.10823885757009</v>
      </c>
      <c r="F1151" s="359">
        <f t="shared" si="1123"/>
        <v>15457640.369323371</v>
      </c>
      <c r="G1151" s="359">
        <f>'DRE + DCF'!$W$31</f>
        <v>2791623.3540418856</v>
      </c>
      <c r="H1151" s="359">
        <f>'DRE + DCF'!$W$32</f>
        <v>81081.931703745853</v>
      </c>
      <c r="I1151" s="359">
        <f>-H1151*('DRE + DCF'!$V$33+K1151)/'DRE + DCF'!$V$33</f>
        <v>-90858.801614444121</v>
      </c>
      <c r="J1151" s="359">
        <f>-'DRE + DCF'!$V$56*L1151</f>
        <v>-1188924.4255577971</v>
      </c>
      <c r="K1151" s="360">
        <f>(1+L1151)/(1+Ke!$O$12)-1</f>
        <v>2.0000000000000018E-2</v>
      </c>
      <c r="L1151" s="360">
        <f>'DRE + DCF'!$Y$31</f>
        <v>7.3550000000000004E-2</v>
      </c>
      <c r="M1151" s="361">
        <f>(1+D1151)^((5-Dashboard!$F$9)*3/12)</f>
        <v>1.137813812318623</v>
      </c>
      <c r="N1151" s="361">
        <f t="shared" ref="N1151:V1151" si="1174">M1151*(1+$D1151)</f>
        <v>1.3515521369626702</v>
      </c>
      <c r="O1151" s="361">
        <f t="shared" si="1174"/>
        <v>1.6054412058911003</v>
      </c>
      <c r="P1151" s="361">
        <f t="shared" si="1174"/>
        <v>1.9070233364177347</v>
      </c>
      <c r="Q1151" s="361">
        <f t="shared" si="1174"/>
        <v>2.2652576701637956</v>
      </c>
      <c r="R1151" s="361">
        <f t="shared" si="1174"/>
        <v>2.6907863235040521</v>
      </c>
      <c r="S1151" s="361">
        <f t="shared" si="1174"/>
        <v>3.1962505343742738</v>
      </c>
      <c r="T1151" s="361">
        <f t="shared" si="1174"/>
        <v>3.7966661972564637</v>
      </c>
      <c r="U1151" s="361">
        <f t="shared" si="1174"/>
        <v>4.5098699424110693</v>
      </c>
      <c r="V1151" s="362">
        <f t="shared" si="1174"/>
        <v>5.3570490110929638</v>
      </c>
      <c r="X1151" s="351"/>
    </row>
    <row r="1152" spans="3:24" ht="24.75" customHeight="1" x14ac:dyDescent="0.3">
      <c r="C1152" s="353">
        <f>ABS(E1152-Dashboard!$F$14)</f>
        <v>18.013077186175337</v>
      </c>
      <c r="D1152" s="350">
        <f t="shared" si="1125"/>
        <v>0.18794999999999454</v>
      </c>
      <c r="E1152" s="359" cm="1">
        <f t="array" ref="E1152">1000*SUM('DRE + DCF'!$L$36/M1152,'DRE + DCF'!$N$36:$V$36/N1152:V1152,F1152/V1152)/Dashboard!$F$11</f>
        <v>115.00307718617533</v>
      </c>
      <c r="F1152" s="359">
        <f t="shared" si="1123"/>
        <v>15446857.123529261</v>
      </c>
      <c r="G1152" s="359">
        <f>'DRE + DCF'!$W$31</f>
        <v>2791623.3540418856</v>
      </c>
      <c r="H1152" s="359">
        <f>'DRE + DCF'!$W$32</f>
        <v>81081.931703745853</v>
      </c>
      <c r="I1152" s="359">
        <f>-H1152*('DRE + DCF'!$V$33+K1152)/'DRE + DCF'!$V$33</f>
        <v>-90858.801614444121</v>
      </c>
      <c r="J1152" s="359">
        <f>-'DRE + DCF'!$V$56*L1152</f>
        <v>-1188924.4255577971</v>
      </c>
      <c r="K1152" s="360">
        <f>(1+L1152)/(1+Ke!$O$12)-1</f>
        <v>2.0000000000000018E-2</v>
      </c>
      <c r="L1152" s="360">
        <f>'DRE + DCF'!$Y$31</f>
        <v>7.3550000000000004E-2</v>
      </c>
      <c r="M1152" s="361">
        <f>(1+D1152)^((5-Dashboard!$F$9)*3/12)</f>
        <v>1.1378856523135263</v>
      </c>
      <c r="N1152" s="361">
        <f t="shared" ref="N1152:V1152" si="1175">M1152*(1+$D1152)</f>
        <v>1.3517512606658473</v>
      </c>
      <c r="O1152" s="361">
        <f t="shared" si="1175"/>
        <v>1.6058129101079859</v>
      </c>
      <c r="P1152" s="361">
        <f t="shared" si="1175"/>
        <v>1.9076254465627731</v>
      </c>
      <c r="Q1152" s="361">
        <f t="shared" si="1175"/>
        <v>2.2661636492442359</v>
      </c>
      <c r="R1152" s="361">
        <f t="shared" si="1175"/>
        <v>2.6920891071196777</v>
      </c>
      <c r="S1152" s="361">
        <f t="shared" si="1175"/>
        <v>3.1980672548028064</v>
      </c>
      <c r="T1152" s="361">
        <f t="shared" si="1175"/>
        <v>3.7991439953429764</v>
      </c>
      <c r="U1152" s="361">
        <f t="shared" si="1175"/>
        <v>4.513193109267668</v>
      </c>
      <c r="V1152" s="362">
        <f t="shared" si="1175"/>
        <v>5.3614477541545016</v>
      </c>
      <c r="X1152" s="351"/>
    </row>
    <row r="1153" spans="3:24" ht="24.75" customHeight="1" x14ac:dyDescent="0.3">
      <c r="C1153" s="353">
        <f>ABS(E1153-Dashboard!$F$14)</f>
        <v>17.908082707345727</v>
      </c>
      <c r="D1153" s="350">
        <f t="shared" si="1125"/>
        <v>0.18804999999999453</v>
      </c>
      <c r="E1153" s="359" cm="1">
        <f t="array" ref="E1153">1000*SUM('DRE + DCF'!$L$36/M1153,'DRE + DCF'!$N$36:$V$36/N1153:V1153,F1153/V1153)/Dashboard!$F$11</f>
        <v>114.89808270734572</v>
      </c>
      <c r="F1153" s="359">
        <f t="shared" si="1123"/>
        <v>15436089.813556861</v>
      </c>
      <c r="G1153" s="359">
        <f>'DRE + DCF'!$W$31</f>
        <v>2791623.3540418856</v>
      </c>
      <c r="H1153" s="359">
        <f>'DRE + DCF'!$W$32</f>
        <v>81081.931703745853</v>
      </c>
      <c r="I1153" s="359">
        <f>-H1153*('DRE + DCF'!$V$33+K1153)/'DRE + DCF'!$V$33</f>
        <v>-90858.801614444121</v>
      </c>
      <c r="J1153" s="359">
        <f>-'DRE + DCF'!$V$56*L1153</f>
        <v>-1188924.4255577971</v>
      </c>
      <c r="K1153" s="360">
        <f>(1+L1153)/(1+Ke!$O$12)-1</f>
        <v>2.0000000000000018E-2</v>
      </c>
      <c r="L1153" s="360">
        <f>'DRE + DCF'!$Y$31</f>
        <v>7.3550000000000004E-2</v>
      </c>
      <c r="M1153" s="361">
        <f>(1+D1153)^((5-Dashboard!$F$9)*3/12)</f>
        <v>1.1379574907965977</v>
      </c>
      <c r="N1153" s="361">
        <f t="shared" ref="N1153:V1153" si="1176">M1153*(1+$D1153)</f>
        <v>1.3519503969408917</v>
      </c>
      <c r="O1153" s="361">
        <f t="shared" si="1176"/>
        <v>1.606184669085619</v>
      </c>
      <c r="P1153" s="361">
        <f t="shared" si="1176"/>
        <v>1.9082276961071607</v>
      </c>
      <c r="Q1153" s="361">
        <f t="shared" si="1176"/>
        <v>2.2670699143601016</v>
      </c>
      <c r="R1153" s="361">
        <f t="shared" si="1176"/>
        <v>2.6933924117555064</v>
      </c>
      <c r="S1153" s="361">
        <f t="shared" si="1176"/>
        <v>3.1998848547861147</v>
      </c>
      <c r="T1153" s="361">
        <f t="shared" si="1176"/>
        <v>3.801623201728626</v>
      </c>
      <c r="U1153" s="361">
        <f t="shared" si="1176"/>
        <v>4.5165184448136735</v>
      </c>
      <c r="V1153" s="362">
        <f t="shared" si="1176"/>
        <v>5.3658497383608603</v>
      </c>
      <c r="X1153" s="351"/>
    </row>
    <row r="1154" spans="3:24" ht="24.75" customHeight="1" x14ac:dyDescent="0.3">
      <c r="C1154" s="353">
        <f>ABS(E1154-Dashboard!$F$14)</f>
        <v>17.803255036454971</v>
      </c>
      <c r="D1154" s="350">
        <f t="shared" si="1125"/>
        <v>0.18814999999999452</v>
      </c>
      <c r="E1154" s="359" cm="1">
        <f t="array" ref="E1154">1000*SUM('DRE + DCF'!$L$36/M1154,'DRE + DCF'!$N$36:$V$36/N1154:V1154,F1154/V1154)/Dashboard!$F$11</f>
        <v>114.79325503645497</v>
      </c>
      <c r="F1154" s="359">
        <f t="shared" si="1123"/>
        <v>15425338.402308568</v>
      </c>
      <c r="G1154" s="359">
        <f>'DRE + DCF'!$W$31</f>
        <v>2791623.3540418856</v>
      </c>
      <c r="H1154" s="359">
        <f>'DRE + DCF'!$W$32</f>
        <v>81081.931703745853</v>
      </c>
      <c r="I1154" s="359">
        <f>-H1154*('DRE + DCF'!$V$33+K1154)/'DRE + DCF'!$V$33</f>
        <v>-90858.801614444121</v>
      </c>
      <c r="J1154" s="359">
        <f>-'DRE + DCF'!$V$56*L1154</f>
        <v>-1188924.4255577971</v>
      </c>
      <c r="K1154" s="360">
        <f>(1+L1154)/(1+Ke!$O$12)-1</f>
        <v>2.0000000000000018E-2</v>
      </c>
      <c r="L1154" s="360">
        <f>'DRE + DCF'!$Y$31</f>
        <v>7.3550000000000004E-2</v>
      </c>
      <c r="M1154" s="361">
        <f>(1+D1154)^((5-Dashboard!$F$9)*3/12)</f>
        <v>1.1380293277679958</v>
      </c>
      <c r="N1154" s="361">
        <f t="shared" ref="N1154:V1154" si="1177">M1154*(1+$D1154)</f>
        <v>1.3521495457875379</v>
      </c>
      <c r="O1154" s="361">
        <f t="shared" si="1177"/>
        <v>1.6065564828274557</v>
      </c>
      <c r="P1154" s="361">
        <f t="shared" si="1177"/>
        <v>1.9088300850714326</v>
      </c>
      <c r="Q1154" s="361">
        <f t="shared" si="1177"/>
        <v>2.267976465577612</v>
      </c>
      <c r="R1154" s="361">
        <f t="shared" si="1177"/>
        <v>2.6946962375760273</v>
      </c>
      <c r="S1154" s="361">
        <f t="shared" si="1177"/>
        <v>3.2017033346759418</v>
      </c>
      <c r="T1154" s="361">
        <f t="shared" si="1177"/>
        <v>3.8041038170952026</v>
      </c>
      <c r="U1154" s="361">
        <f t="shared" si="1177"/>
        <v>4.5198459502816437</v>
      </c>
      <c r="V1154" s="362">
        <f t="shared" si="1177"/>
        <v>5.3702549658271099</v>
      </c>
      <c r="X1154" s="351"/>
    </row>
    <row r="1155" spans="3:24" ht="24.75" customHeight="1" x14ac:dyDescent="0.3">
      <c r="C1155" s="353">
        <f>ABS(E1155-Dashboard!$F$14)</f>
        <v>17.698593790071399</v>
      </c>
      <c r="D1155" s="350">
        <f t="shared" si="1125"/>
        <v>0.18824999999999451</v>
      </c>
      <c r="E1155" s="359" cm="1">
        <f t="array" ref="E1155">1000*SUM('DRE + DCF'!$L$36/M1155,'DRE + DCF'!$N$36:$V$36/N1155:V1155,F1155/V1155)/Dashboard!$F$11</f>
        <v>114.68859379007139</v>
      </c>
      <c r="F1155" s="359">
        <f t="shared" si="1123"/>
        <v>15414602.852806339</v>
      </c>
      <c r="G1155" s="359">
        <f>'DRE + DCF'!$W$31</f>
        <v>2791623.3540418856</v>
      </c>
      <c r="H1155" s="359">
        <f>'DRE + DCF'!$W$32</f>
        <v>81081.931703745853</v>
      </c>
      <c r="I1155" s="359">
        <f>-H1155*('DRE + DCF'!$V$33+K1155)/'DRE + DCF'!$V$33</f>
        <v>-90858.801614444121</v>
      </c>
      <c r="J1155" s="359">
        <f>-'DRE + DCF'!$V$56*L1155</f>
        <v>-1188924.4255577971</v>
      </c>
      <c r="K1155" s="360">
        <f>(1+L1155)/(1+Ke!$O$12)-1</f>
        <v>2.0000000000000018E-2</v>
      </c>
      <c r="L1155" s="360">
        <f>'DRE + DCF'!$Y$31</f>
        <v>7.3550000000000004E-2</v>
      </c>
      <c r="M1155" s="361">
        <f>(1+D1155)^((5-Dashboard!$F$9)*3/12)</f>
        <v>1.1381011632278801</v>
      </c>
      <c r="N1155" s="361">
        <f t="shared" ref="N1155:V1155" si="1178">M1155*(1+$D1155)</f>
        <v>1.3523487072055222</v>
      </c>
      <c r="O1155" s="361">
        <f t="shared" si="1178"/>
        <v>1.6069283513369543</v>
      </c>
      <c r="P1155" s="361">
        <f t="shared" si="1178"/>
        <v>1.909432613476127</v>
      </c>
      <c r="Q1155" s="361">
        <f t="shared" si="1178"/>
        <v>2.2688833029629976</v>
      </c>
      <c r="R1155" s="361">
        <f t="shared" si="1178"/>
        <v>2.6960005847457693</v>
      </c>
      <c r="S1155" s="361">
        <f t="shared" si="1178"/>
        <v>3.2035226948241453</v>
      </c>
      <c r="T1155" s="361">
        <f t="shared" si="1178"/>
        <v>3.8065858421247731</v>
      </c>
      <c r="U1155" s="361">
        <f t="shared" si="1178"/>
        <v>4.5231756269047407</v>
      </c>
      <c r="V1155" s="362">
        <f t="shared" si="1178"/>
        <v>5.3746634386695336</v>
      </c>
      <c r="X1155" s="351"/>
    </row>
    <row r="1156" spans="3:24" ht="24.75" customHeight="1" x14ac:dyDescent="0.3">
      <c r="C1156" s="353">
        <f>ABS(E1156-Dashboard!$F$14)</f>
        <v>17.59409858595366</v>
      </c>
      <c r="D1156" s="350">
        <f t="shared" si="1125"/>
        <v>0.18834999999999449</v>
      </c>
      <c r="E1156" s="359" cm="1">
        <f t="array" ref="E1156">1000*SUM('DRE + DCF'!$L$36/M1156,'DRE + DCF'!$N$36:$V$36/N1156:V1156,F1156/V1156)/Dashboard!$F$11</f>
        <v>114.58409858595365</v>
      </c>
      <c r="F1156" s="359">
        <f t="shared" si="1123"/>
        <v>15403883.12819121</v>
      </c>
      <c r="G1156" s="359">
        <f>'DRE + DCF'!$W$31</f>
        <v>2791623.3540418856</v>
      </c>
      <c r="H1156" s="359">
        <f>'DRE + DCF'!$W$32</f>
        <v>81081.931703745853</v>
      </c>
      <c r="I1156" s="359">
        <f>-H1156*('DRE + DCF'!$V$33+K1156)/'DRE + DCF'!$V$33</f>
        <v>-90858.801614444121</v>
      </c>
      <c r="J1156" s="359">
        <f>-'DRE + DCF'!$V$56*L1156</f>
        <v>-1188924.4255577971</v>
      </c>
      <c r="K1156" s="360">
        <f>(1+L1156)/(1+Ke!$O$12)-1</f>
        <v>2.0000000000000018E-2</v>
      </c>
      <c r="L1156" s="360">
        <f>'DRE + DCF'!$Y$31</f>
        <v>7.3550000000000004E-2</v>
      </c>
      <c r="M1156" s="361">
        <f>(1+D1156)^((5-Dashboard!$F$9)*3/12)</f>
        <v>1.1381729971764092</v>
      </c>
      <c r="N1156" s="361">
        <f t="shared" ref="N1156:V1156" si="1179">M1156*(1+$D1156)</f>
        <v>1.3525478811945795</v>
      </c>
      <c r="O1156" s="361">
        <f t="shared" si="1179"/>
        <v>1.6073002746175711</v>
      </c>
      <c r="P1156" s="361">
        <f t="shared" si="1179"/>
        <v>1.9100352813417818</v>
      </c>
      <c r="Q1156" s="361">
        <f t="shared" si="1179"/>
        <v>2.269790426582496</v>
      </c>
      <c r="R1156" s="361">
        <f t="shared" si="1179"/>
        <v>2.6973054534292964</v>
      </c>
      <c r="S1156" s="361">
        <f t="shared" si="1179"/>
        <v>3.2053429355826895</v>
      </c>
      <c r="T1156" s="361">
        <f t="shared" si="1179"/>
        <v>3.8090692774996713</v>
      </c>
      <c r="U1156" s="361">
        <f t="shared" si="1179"/>
        <v>4.5265074759167137</v>
      </c>
      <c r="V1156" s="362">
        <f t="shared" si="1179"/>
        <v>5.3790751590056018</v>
      </c>
      <c r="X1156" s="351"/>
    </row>
    <row r="1157" spans="3:24" ht="24.75" customHeight="1" x14ac:dyDescent="0.3">
      <c r="C1157" s="353">
        <f>ABS(E1157-Dashboard!$F$14)</f>
        <v>17.489769043045598</v>
      </c>
      <c r="D1157" s="350">
        <f t="shared" si="1125"/>
        <v>0.18844999999999448</v>
      </c>
      <c r="E1157" s="359" cm="1">
        <f t="array" ref="E1157">1000*SUM('DRE + DCF'!$L$36/M1157,'DRE + DCF'!$N$36:$V$36/N1157:V1157,F1157/V1157)/Dashboard!$F$11</f>
        <v>114.47976904304559</v>
      </c>
      <c r="F1157" s="359">
        <f t="shared" si="1123"/>
        <v>15393179.191722792</v>
      </c>
      <c r="G1157" s="359">
        <f>'DRE + DCF'!$W$31</f>
        <v>2791623.3540418856</v>
      </c>
      <c r="H1157" s="359">
        <f>'DRE + DCF'!$W$32</f>
        <v>81081.931703745853</v>
      </c>
      <c r="I1157" s="359">
        <f>-H1157*('DRE + DCF'!$V$33+K1157)/'DRE + DCF'!$V$33</f>
        <v>-90858.801614444121</v>
      </c>
      <c r="J1157" s="359">
        <f>-'DRE + DCF'!$V$56*L1157</f>
        <v>-1188924.4255577971</v>
      </c>
      <c r="K1157" s="360">
        <f>(1+L1157)/(1+Ke!$O$12)-1</f>
        <v>2.0000000000000018E-2</v>
      </c>
      <c r="L1157" s="360">
        <f>'DRE + DCF'!$Y$31</f>
        <v>7.3550000000000004E-2</v>
      </c>
      <c r="M1157" s="361">
        <f>(1+D1157)^((5-Dashboard!$F$9)*3/12)</f>
        <v>1.1382448296137424</v>
      </c>
      <c r="N1157" s="361">
        <f t="shared" ref="N1157:V1157" si="1180">M1157*(1+$D1157)</f>
        <v>1.3527470677544458</v>
      </c>
      <c r="O1157" s="361">
        <f t="shared" si="1180"/>
        <v>1.6076722526727636</v>
      </c>
      <c r="P1157" s="361">
        <f t="shared" si="1180"/>
        <v>1.9106380886889369</v>
      </c>
      <c r="Q1157" s="361">
        <f t="shared" si="1180"/>
        <v>2.2706978365023565</v>
      </c>
      <c r="R1157" s="361">
        <f t="shared" si="1180"/>
        <v>2.6986108437912129</v>
      </c>
      <c r="S1157" s="361">
        <f t="shared" si="1180"/>
        <v>3.2071640573036522</v>
      </c>
      <c r="T1157" s="361">
        <f t="shared" si="1180"/>
        <v>3.8115541239025075</v>
      </c>
      <c r="U1157" s="361">
        <f t="shared" si="1180"/>
        <v>4.5298414985519138</v>
      </c>
      <c r="V1157" s="362">
        <f t="shared" si="1180"/>
        <v>5.3834901289539969</v>
      </c>
      <c r="X1157" s="351"/>
    </row>
    <row r="1158" spans="3:24" ht="24.75" customHeight="1" x14ac:dyDescent="0.3">
      <c r="C1158" s="353">
        <f>ABS(E1158-Dashboard!$F$14)</f>
        <v>17.385604781471756</v>
      </c>
      <c r="D1158" s="350">
        <f t="shared" si="1125"/>
        <v>0.18854999999999447</v>
      </c>
      <c r="E1158" s="359" cm="1">
        <f t="array" ref="E1158">1000*SUM('DRE + DCF'!$L$36/M1158,'DRE + DCF'!$N$36:$V$36/N1158:V1158,F1158/V1158)/Dashboard!$F$11</f>
        <v>114.37560478147175</v>
      </c>
      <c r="F1158" s="359">
        <f t="shared" si="1123"/>
        <v>15382491.006778784</v>
      </c>
      <c r="G1158" s="359">
        <f>'DRE + DCF'!$W$31</f>
        <v>2791623.3540418856</v>
      </c>
      <c r="H1158" s="359">
        <f>'DRE + DCF'!$W$32</f>
        <v>81081.931703745853</v>
      </c>
      <c r="I1158" s="359">
        <f>-H1158*('DRE + DCF'!$V$33+K1158)/'DRE + DCF'!$V$33</f>
        <v>-90858.801614444121</v>
      </c>
      <c r="J1158" s="359">
        <f>-'DRE + DCF'!$V$56*L1158</f>
        <v>-1188924.4255577971</v>
      </c>
      <c r="K1158" s="360">
        <f>(1+L1158)/(1+Ke!$O$12)-1</f>
        <v>2.0000000000000018E-2</v>
      </c>
      <c r="L1158" s="360">
        <f>'DRE + DCF'!$Y$31</f>
        <v>7.3550000000000004E-2</v>
      </c>
      <c r="M1158" s="361">
        <f>(1+D1158)^((5-Dashboard!$F$9)*3/12)</f>
        <v>1.1383166605400383</v>
      </c>
      <c r="N1158" s="361">
        <f t="shared" ref="N1158:V1158" si="1181">M1158*(1+$D1158)</f>
        <v>1.3529462668848562</v>
      </c>
      <c r="O1158" s="361">
        <f t="shared" si="1181"/>
        <v>1.6080442855059882</v>
      </c>
      <c r="P1158" s="361">
        <f t="shared" si="1181"/>
        <v>1.9112410355381333</v>
      </c>
      <c r="Q1158" s="361">
        <f t="shared" si="1181"/>
        <v>2.2716055327888376</v>
      </c>
      <c r="R1158" s="361">
        <f t="shared" si="1181"/>
        <v>2.6999167559961603</v>
      </c>
      <c r="S1158" s="361">
        <f t="shared" si="1181"/>
        <v>3.2089860603392215</v>
      </c>
      <c r="T1158" s="361">
        <f t="shared" si="1181"/>
        <v>3.8140403820161639</v>
      </c>
      <c r="U1158" s="361">
        <f t="shared" si="1181"/>
        <v>4.5331776960452901</v>
      </c>
      <c r="V1158" s="362">
        <f t="shared" si="1181"/>
        <v>5.3879083506346044</v>
      </c>
      <c r="X1158" s="351"/>
    </row>
    <row r="1159" spans="3:24" ht="24.75" customHeight="1" x14ac:dyDescent="0.3">
      <c r="C1159" s="353">
        <f>ABS(E1159-Dashboard!$F$14)</f>
        <v>17.281605422532394</v>
      </c>
      <c r="D1159" s="350">
        <f t="shared" si="1125"/>
        <v>0.18864999999999446</v>
      </c>
      <c r="E1159" s="359" cm="1">
        <f t="array" ref="E1159">1000*SUM('DRE + DCF'!$L$36/M1159,'DRE + DCF'!$N$36:$V$36/N1159:V1159,F1159/V1159)/Dashboard!$F$11</f>
        <v>114.27160542253239</v>
      </c>
      <c r="F1159" s="359">
        <f t="shared" si="1123"/>
        <v>15371818.536854491</v>
      </c>
      <c r="G1159" s="359">
        <f>'DRE + DCF'!$W$31</f>
        <v>2791623.3540418856</v>
      </c>
      <c r="H1159" s="359">
        <f>'DRE + DCF'!$W$32</f>
        <v>81081.931703745853</v>
      </c>
      <c r="I1159" s="359">
        <f>-H1159*('DRE + DCF'!$V$33+K1159)/'DRE + DCF'!$V$33</f>
        <v>-90858.801614444121</v>
      </c>
      <c r="J1159" s="359">
        <f>-'DRE + DCF'!$V$56*L1159</f>
        <v>-1188924.4255577971</v>
      </c>
      <c r="K1159" s="360">
        <f>(1+L1159)/(1+Ke!$O$12)-1</f>
        <v>2.0000000000000018E-2</v>
      </c>
      <c r="L1159" s="360">
        <f>'DRE + DCF'!$Y$31</f>
        <v>7.3550000000000004E-2</v>
      </c>
      <c r="M1159" s="361">
        <f>(1+D1159)^((5-Dashboard!$F$9)*3/12)</f>
        <v>1.1383884899554562</v>
      </c>
      <c r="N1159" s="361">
        <f t="shared" ref="N1159:V1159" si="1182">M1159*(1+$D1159)</f>
        <v>1.3531454785855466</v>
      </c>
      <c r="O1159" s="361">
        <f t="shared" si="1182"/>
        <v>1.6084163731207024</v>
      </c>
      <c r="P1159" s="361">
        <f t="shared" si="1182"/>
        <v>1.911844121909914</v>
      </c>
      <c r="Q1159" s="361">
        <f t="shared" si="1182"/>
        <v>2.2725135155082086</v>
      </c>
      <c r="R1159" s="361">
        <f t="shared" si="1182"/>
        <v>2.7012231902088195</v>
      </c>
      <c r="S1159" s="361">
        <f t="shared" si="1182"/>
        <v>3.2108089450416983</v>
      </c>
      <c r="T1159" s="361">
        <f t="shared" si="1182"/>
        <v>3.8165280525237968</v>
      </c>
      <c r="U1159" s="361">
        <f t="shared" si="1182"/>
        <v>4.5365160696323894</v>
      </c>
      <c r="V1159" s="362">
        <f t="shared" si="1182"/>
        <v>5.3923298261685142</v>
      </c>
      <c r="X1159" s="351"/>
    </row>
    <row r="1160" spans="3:24" ht="24.75" customHeight="1" x14ac:dyDescent="0.3">
      <c r="C1160" s="353">
        <f>ABS(E1160-Dashboard!$F$14)</f>
        <v>17.17777058869919</v>
      </c>
      <c r="D1160" s="350">
        <f t="shared" si="1125"/>
        <v>0.18874999999999445</v>
      </c>
      <c r="E1160" s="359" cm="1">
        <f t="array" ref="E1160">1000*SUM('DRE + DCF'!$L$36/M1160,'DRE + DCF'!$N$36:$V$36/N1160:V1160,F1160/V1160)/Dashboard!$F$11</f>
        <v>114.16777058869918</v>
      </c>
      <c r="F1160" s="359">
        <f t="shared" si="1123"/>
        <v>15361161.745562334</v>
      </c>
      <c r="G1160" s="359">
        <f>'DRE + DCF'!$W$31</f>
        <v>2791623.3540418856</v>
      </c>
      <c r="H1160" s="359">
        <f>'DRE + DCF'!$W$32</f>
        <v>81081.931703745853</v>
      </c>
      <c r="I1160" s="359">
        <f>-H1160*('DRE + DCF'!$V$33+K1160)/'DRE + DCF'!$V$33</f>
        <v>-90858.801614444121</v>
      </c>
      <c r="J1160" s="359">
        <f>-'DRE + DCF'!$V$56*L1160</f>
        <v>-1188924.4255577971</v>
      </c>
      <c r="K1160" s="360">
        <f>(1+L1160)/(1+Ke!$O$12)-1</f>
        <v>2.0000000000000018E-2</v>
      </c>
      <c r="L1160" s="360">
        <f>'DRE + DCF'!$Y$31</f>
        <v>7.3550000000000004E-2</v>
      </c>
      <c r="M1160" s="361">
        <f>(1+D1160)^((5-Dashboard!$F$9)*3/12)</f>
        <v>1.1384603178601547</v>
      </c>
      <c r="N1160" s="361">
        <f t="shared" ref="N1160:V1160" si="1183">M1160*(1+$D1160)</f>
        <v>1.3533447028562524</v>
      </c>
      <c r="O1160" s="361">
        <f t="shared" si="1183"/>
        <v>1.6087885155203625</v>
      </c>
      <c r="P1160" s="361">
        <f t="shared" si="1183"/>
        <v>1.9124473478248221</v>
      </c>
      <c r="Q1160" s="361">
        <f t="shared" si="1183"/>
        <v>2.2734217847267466</v>
      </c>
      <c r="R1160" s="361">
        <f t="shared" si="1183"/>
        <v>2.7025301465939076</v>
      </c>
      <c r="S1160" s="361">
        <f t="shared" si="1183"/>
        <v>3.2126327117634927</v>
      </c>
      <c r="T1160" s="361">
        <f t="shared" si="1183"/>
        <v>3.8190171361088341</v>
      </c>
      <c r="U1160" s="361">
        <f t="shared" si="1183"/>
        <v>4.5398566205493553</v>
      </c>
      <c r="V1160" s="362">
        <f t="shared" si="1183"/>
        <v>5.3967545576780207</v>
      </c>
      <c r="X1160" s="351"/>
    </row>
    <row r="1161" spans="3:24" ht="24.75" customHeight="1" x14ac:dyDescent="0.3">
      <c r="C1161" s="353">
        <f>ABS(E1161-Dashboard!$F$14)</f>
        <v>17.074099903610318</v>
      </c>
      <c r="D1161" s="350">
        <f t="shared" si="1125"/>
        <v>0.18884999999999444</v>
      </c>
      <c r="E1161" s="359" cm="1">
        <f t="array" ref="E1161">1000*SUM('DRE + DCF'!$L$36/M1161,'DRE + DCF'!$N$36:$V$36/N1161:V1161,F1161/V1161)/Dashboard!$F$11</f>
        <v>114.06409990361031</v>
      </c>
      <c r="F1161" s="359">
        <f t="shared" si="1123"/>
        <v>15350520.596631369</v>
      </c>
      <c r="G1161" s="359">
        <f>'DRE + DCF'!$W$31</f>
        <v>2791623.3540418856</v>
      </c>
      <c r="H1161" s="359">
        <f>'DRE + DCF'!$W$32</f>
        <v>81081.931703745853</v>
      </c>
      <c r="I1161" s="359">
        <f>-H1161*('DRE + DCF'!$V$33+K1161)/'DRE + DCF'!$V$33</f>
        <v>-90858.801614444121</v>
      </c>
      <c r="J1161" s="359">
        <f>-'DRE + DCF'!$V$56*L1161</f>
        <v>-1188924.4255577971</v>
      </c>
      <c r="K1161" s="360">
        <f>(1+L1161)/(1+Ke!$O$12)-1</f>
        <v>2.0000000000000018E-2</v>
      </c>
      <c r="L1161" s="360">
        <f>'DRE + DCF'!$Y$31</f>
        <v>7.3550000000000004E-2</v>
      </c>
      <c r="M1161" s="361">
        <f>(1+D1161)^((5-Dashboard!$F$9)*3/12)</f>
        <v>1.1385321442542926</v>
      </c>
      <c r="N1161" s="361">
        <f t="shared" ref="N1161:V1161" si="1184">M1161*(1+$D1161)</f>
        <v>1.3535439396967095</v>
      </c>
      <c r="O1161" s="361">
        <f t="shared" si="1184"/>
        <v>1.6091607127084255</v>
      </c>
      <c r="P1161" s="361">
        <f t="shared" si="1184"/>
        <v>1.9130507133034027</v>
      </c>
      <c r="Q1161" s="361">
        <f t="shared" si="1184"/>
        <v>2.2743303405107396</v>
      </c>
      <c r="R1161" s="361">
        <f t="shared" si="1184"/>
        <v>2.7038376253161802</v>
      </c>
      <c r="S1161" s="361">
        <f t="shared" si="1184"/>
        <v>3.2144573608571259</v>
      </c>
      <c r="T1161" s="361">
        <f t="shared" si="1184"/>
        <v>3.821507633454976</v>
      </c>
      <c r="U1161" s="361">
        <f t="shared" si="1184"/>
        <v>4.5431993500329266</v>
      </c>
      <c r="V1161" s="362">
        <f t="shared" si="1184"/>
        <v>5.4011825472866191</v>
      </c>
      <c r="X1161" s="351"/>
    </row>
    <row r="1162" spans="3:24" ht="24.75" customHeight="1" x14ac:dyDescent="0.3">
      <c r="C1162" s="353">
        <f>ABS(E1162-Dashboard!$F$14)</f>
        <v>16.970592992065875</v>
      </c>
      <c r="D1162" s="350">
        <f t="shared" si="1125"/>
        <v>0.18894999999999443</v>
      </c>
      <c r="E1162" s="359" cm="1">
        <f t="array" ref="E1162">1000*SUM('DRE + DCF'!$L$36/M1162,'DRE + DCF'!$N$36:$V$36/N1162:V1162,F1162/V1162)/Dashboard!$F$11</f>
        <v>113.96059299206587</v>
      </c>
      <c r="F1162" s="359">
        <f t="shared" si="1123"/>
        <v>15339895.053906806</v>
      </c>
      <c r="G1162" s="359">
        <f>'DRE + DCF'!$W$31</f>
        <v>2791623.3540418856</v>
      </c>
      <c r="H1162" s="359">
        <f>'DRE + DCF'!$W$32</f>
        <v>81081.931703745853</v>
      </c>
      <c r="I1162" s="359">
        <f>-H1162*('DRE + DCF'!$V$33+K1162)/'DRE + DCF'!$V$33</f>
        <v>-90858.801614444121</v>
      </c>
      <c r="J1162" s="359">
        <f>-'DRE + DCF'!$V$56*L1162</f>
        <v>-1188924.4255577971</v>
      </c>
      <c r="K1162" s="360">
        <f>(1+L1162)/(1+Ke!$O$12)-1</f>
        <v>2.0000000000000018E-2</v>
      </c>
      <c r="L1162" s="360">
        <f>'DRE + DCF'!$Y$31</f>
        <v>7.3550000000000004E-2</v>
      </c>
      <c r="M1162" s="361">
        <f>(1+D1162)^((5-Dashboard!$F$9)*3/12)</f>
        <v>1.1386039691380292</v>
      </c>
      <c r="N1162" s="361">
        <f t="shared" ref="N1162:V1162" si="1185">M1162*(1+$D1162)</f>
        <v>1.3537431891066534</v>
      </c>
      <c r="O1162" s="361">
        <f t="shared" si="1185"/>
        <v>1.6095329646883478</v>
      </c>
      <c r="P1162" s="361">
        <f t="shared" si="1185"/>
        <v>1.9136542183662022</v>
      </c>
      <c r="Q1162" s="361">
        <f t="shared" si="1185"/>
        <v>2.2752391829264855</v>
      </c>
      <c r="R1162" s="361">
        <f t="shared" si="1185"/>
        <v>2.7051456265404323</v>
      </c>
      <c r="S1162" s="361">
        <f t="shared" si="1185"/>
        <v>3.216282892675232</v>
      </c>
      <c r="T1162" s="361">
        <f t="shared" si="1185"/>
        <v>3.823999545246199</v>
      </c>
      <c r="U1162" s="361">
        <f t="shared" si="1185"/>
        <v>4.5465442593204468</v>
      </c>
      <c r="V1162" s="362">
        <f t="shared" si="1185"/>
        <v>5.4056137971190195</v>
      </c>
      <c r="X1162" s="351"/>
    </row>
    <row r="1163" spans="3:24" ht="24.75" customHeight="1" x14ac:dyDescent="0.3">
      <c r="C1163" s="353">
        <f>ABS(E1163-Dashboard!$F$14)</f>
        <v>16.867249480023318</v>
      </c>
      <c r="D1163" s="350">
        <f t="shared" si="1125"/>
        <v>0.18904999999999442</v>
      </c>
      <c r="E1163" s="359" cm="1">
        <f t="array" ref="E1163">1000*SUM('DRE + DCF'!$L$36/M1163,'DRE + DCF'!$N$36:$V$36/N1163:V1163,F1163/V1163)/Dashboard!$F$11</f>
        <v>113.85724948002331</v>
      </c>
      <c r="F1163" s="359">
        <f t="shared" si="1123"/>
        <v>15329285.081349535</v>
      </c>
      <c r="G1163" s="359">
        <f>'DRE + DCF'!$W$31</f>
        <v>2791623.3540418856</v>
      </c>
      <c r="H1163" s="359">
        <f>'DRE + DCF'!$W$32</f>
        <v>81081.931703745853</v>
      </c>
      <c r="I1163" s="359">
        <f>-H1163*('DRE + DCF'!$V$33+K1163)/'DRE + DCF'!$V$33</f>
        <v>-90858.801614444121</v>
      </c>
      <c r="J1163" s="359">
        <f>-'DRE + DCF'!$V$56*L1163</f>
        <v>-1188924.4255577971</v>
      </c>
      <c r="K1163" s="360">
        <f>(1+L1163)/(1+Ke!$O$12)-1</f>
        <v>2.0000000000000018E-2</v>
      </c>
      <c r="L1163" s="360">
        <f>'DRE + DCF'!$Y$31</f>
        <v>7.3550000000000004E-2</v>
      </c>
      <c r="M1163" s="361">
        <f>(1+D1163)^((5-Dashboard!$F$9)*3/12)</f>
        <v>1.1386757925115227</v>
      </c>
      <c r="N1163" s="361">
        <f t="shared" ref="N1163:V1163" si="1186">M1163*(1+$D1163)</f>
        <v>1.3539424510858198</v>
      </c>
      <c r="O1163" s="361">
        <f t="shared" si="1186"/>
        <v>1.6099052714635864</v>
      </c>
      <c r="P1163" s="361">
        <f t="shared" si="1186"/>
        <v>1.9142578630337683</v>
      </c>
      <c r="Q1163" s="361">
        <f t="shared" si="1186"/>
        <v>2.2761483120402914</v>
      </c>
      <c r="R1163" s="361">
        <f t="shared" si="1186"/>
        <v>2.7064541504314956</v>
      </c>
      <c r="S1163" s="361">
        <f t="shared" si="1186"/>
        <v>3.2181093075705545</v>
      </c>
      <c r="T1163" s="361">
        <f t="shared" si="1186"/>
        <v>3.8264928721667499</v>
      </c>
      <c r="U1163" s="361">
        <f t="shared" si="1186"/>
        <v>4.5498913496498528</v>
      </c>
      <c r="V1163" s="362">
        <f t="shared" si="1186"/>
        <v>5.410048309301132</v>
      </c>
      <c r="X1163" s="351"/>
    </row>
    <row r="1164" spans="3:24" ht="24.75" customHeight="1" x14ac:dyDescent="0.3">
      <c r="C1164" s="353">
        <f>ABS(E1164-Dashboard!$F$14)</f>
        <v>16.76406899459279</v>
      </c>
      <c r="D1164" s="350">
        <f t="shared" si="1125"/>
        <v>0.18914999999999441</v>
      </c>
      <c r="E1164" s="359" cm="1">
        <f t="array" ref="E1164">1000*SUM('DRE + DCF'!$L$36/M1164,'DRE + DCF'!$N$36:$V$36/N1164:V1164,F1164/V1164)/Dashboard!$F$11</f>
        <v>113.75406899459279</v>
      </c>
      <c r="F1164" s="359">
        <f t="shared" si="1123"/>
        <v>15318690.643035641</v>
      </c>
      <c r="G1164" s="359">
        <f>'DRE + DCF'!$W$31</f>
        <v>2791623.3540418856</v>
      </c>
      <c r="H1164" s="359">
        <f>'DRE + DCF'!$W$32</f>
        <v>81081.931703745853</v>
      </c>
      <c r="I1164" s="359">
        <f>-H1164*('DRE + DCF'!$V$33+K1164)/'DRE + DCF'!$V$33</f>
        <v>-90858.801614444121</v>
      </c>
      <c r="J1164" s="359">
        <f>-'DRE + DCF'!$V$56*L1164</f>
        <v>-1188924.4255577971</v>
      </c>
      <c r="K1164" s="360">
        <f>(1+L1164)/(1+Ke!$O$12)-1</f>
        <v>2.0000000000000018E-2</v>
      </c>
      <c r="L1164" s="360">
        <f>'DRE + DCF'!$Y$31</f>
        <v>7.3550000000000004E-2</v>
      </c>
      <c r="M1164" s="361">
        <f>(1+D1164)^((5-Dashboard!$F$9)*3/12)</f>
        <v>1.1387476143749322</v>
      </c>
      <c r="N1164" s="361">
        <f t="shared" ref="N1164:V1164" si="1187">M1164*(1+$D1164)</f>
        <v>1.3541417256339443</v>
      </c>
      <c r="O1164" s="361">
        <f t="shared" si="1187"/>
        <v>1.6102776330375972</v>
      </c>
      <c r="P1164" s="361">
        <f t="shared" si="1187"/>
        <v>1.9148616473266495</v>
      </c>
      <c r="Q1164" s="361">
        <f t="shared" si="1187"/>
        <v>2.2770577279184745</v>
      </c>
      <c r="R1164" s="361">
        <f t="shared" si="1187"/>
        <v>2.7077631971542413</v>
      </c>
      <c r="S1164" s="361">
        <f t="shared" si="1187"/>
        <v>3.2199366058959509</v>
      </c>
      <c r="T1164" s="361">
        <f t="shared" si="1187"/>
        <v>3.8289876149011519</v>
      </c>
      <c r="U1164" s="361">
        <f t="shared" si="1187"/>
        <v>4.5532406222596835</v>
      </c>
      <c r="V1164" s="362">
        <f t="shared" si="1187"/>
        <v>5.4144860859600774</v>
      </c>
      <c r="X1164" s="351"/>
    </row>
    <row r="1165" spans="3:24" ht="24.75" customHeight="1" x14ac:dyDescent="0.3">
      <c r="C1165" s="353">
        <f>ABS(E1165-Dashboard!$F$14)</f>
        <v>16.661051164032671</v>
      </c>
      <c r="D1165" s="350">
        <f t="shared" si="1125"/>
        <v>0.18924999999999439</v>
      </c>
      <c r="E1165" s="359" cm="1">
        <f t="array" ref="E1165">1000*SUM('DRE + DCF'!$L$36/M1165,'DRE + DCF'!$N$36:$V$36/N1165:V1165,F1165/V1165)/Dashboard!$F$11</f>
        <v>113.65105116403267</v>
      </c>
      <c r="F1165" s="359">
        <f t="shared" si="1123"/>
        <v>15308111.703155946</v>
      </c>
      <c r="G1165" s="359">
        <f>'DRE + DCF'!$W$31</f>
        <v>2791623.3540418856</v>
      </c>
      <c r="H1165" s="359">
        <f>'DRE + DCF'!$W$32</f>
        <v>81081.931703745853</v>
      </c>
      <c r="I1165" s="359">
        <f>-H1165*('DRE + DCF'!$V$33+K1165)/'DRE + DCF'!$V$33</f>
        <v>-90858.801614444121</v>
      </c>
      <c r="J1165" s="359">
        <f>-'DRE + DCF'!$V$56*L1165</f>
        <v>-1188924.4255577971</v>
      </c>
      <c r="K1165" s="360">
        <f>(1+L1165)/(1+Ke!$O$12)-1</f>
        <v>2.0000000000000018E-2</v>
      </c>
      <c r="L1165" s="360">
        <f>'DRE + DCF'!$Y$31</f>
        <v>7.3550000000000004E-2</v>
      </c>
      <c r="M1165" s="361">
        <f>(1+D1165)^((5-Dashboard!$F$9)*3/12)</f>
        <v>1.1388194347284164</v>
      </c>
      <c r="N1165" s="361">
        <f t="shared" ref="N1165:V1165" si="1188">M1165*(1+$D1165)</f>
        <v>1.3543410127507627</v>
      </c>
      <c r="O1165" s="361">
        <f t="shared" si="1188"/>
        <v>1.6106500494138369</v>
      </c>
      <c r="P1165" s="361">
        <f t="shared" si="1188"/>
        <v>1.9154655712653965</v>
      </c>
      <c r="Q1165" s="361">
        <f t="shared" si="1188"/>
        <v>2.2779674306273621</v>
      </c>
      <c r="R1165" s="361">
        <f t="shared" si="1188"/>
        <v>2.7090727668735775</v>
      </c>
      <c r="S1165" s="361">
        <f t="shared" si="1188"/>
        <v>3.2217647880043869</v>
      </c>
      <c r="T1165" s="361">
        <f t="shared" si="1188"/>
        <v>3.8314837741341989</v>
      </c>
      <c r="U1165" s="361">
        <f t="shared" si="1188"/>
        <v>4.5565920783890741</v>
      </c>
      <c r="V1165" s="362">
        <f t="shared" si="1188"/>
        <v>5.4189271292241807</v>
      </c>
      <c r="X1165" s="351"/>
    </row>
    <row r="1166" spans="3:24" ht="24.75" customHeight="1" x14ac:dyDescent="0.3">
      <c r="C1166" s="353">
        <f>ABS(E1166-Dashboard!$F$14)</f>
        <v>16.558195617744929</v>
      </c>
      <c r="D1166" s="350">
        <f t="shared" si="1125"/>
        <v>0.18934999999999438</v>
      </c>
      <c r="E1166" s="359" cm="1">
        <f t="array" ref="E1166">1000*SUM('DRE + DCF'!$L$36/M1166,'DRE + DCF'!$N$36:$V$36/N1166:V1166,F1166/V1166)/Dashboard!$F$11</f>
        <v>113.54819561774492</v>
      </c>
      <c r="F1166" s="359">
        <f t="shared" ref="F1166:F1229" si="1189">AVERAGE(SUM(G1166:J1166)*(1+L1166)/(D1166-L1166),G1166*(1+L1166)*(1-L1166/D1166)/(D1166-L1166))</f>
        <v>15297548.226015529</v>
      </c>
      <c r="G1166" s="359">
        <f>'DRE + DCF'!$W$31</f>
        <v>2791623.3540418856</v>
      </c>
      <c r="H1166" s="359">
        <f>'DRE + DCF'!$W$32</f>
        <v>81081.931703745853</v>
      </c>
      <c r="I1166" s="359">
        <f>-H1166*('DRE + DCF'!$V$33+K1166)/'DRE + DCF'!$V$33</f>
        <v>-90858.801614444121</v>
      </c>
      <c r="J1166" s="359">
        <f>-'DRE + DCF'!$V$56*L1166</f>
        <v>-1188924.4255577971</v>
      </c>
      <c r="K1166" s="360">
        <f>(1+L1166)/(1+Ke!$O$12)-1</f>
        <v>2.0000000000000018E-2</v>
      </c>
      <c r="L1166" s="360">
        <f>'DRE + DCF'!$Y$31</f>
        <v>7.3550000000000004E-2</v>
      </c>
      <c r="M1166" s="361">
        <f>(1+D1166)^((5-Dashboard!$F$9)*3/12)</f>
        <v>1.1388912535721341</v>
      </c>
      <c r="N1166" s="361">
        <f t="shared" ref="N1166:V1166" si="1190">M1166*(1+$D1166)</f>
        <v>1.3545403124360111</v>
      </c>
      <c r="O1166" s="361">
        <f t="shared" si="1190"/>
        <v>1.6110225205957622</v>
      </c>
      <c r="P1166" s="361">
        <f t="shared" si="1190"/>
        <v>1.9160696348705608</v>
      </c>
      <c r="Q1166" s="361">
        <f t="shared" si="1190"/>
        <v>2.2788774202332909</v>
      </c>
      <c r="R1166" s="361">
        <f t="shared" si="1190"/>
        <v>2.7103828597544517</v>
      </c>
      <c r="S1166" s="361">
        <f t="shared" si="1190"/>
        <v>3.223593854248942</v>
      </c>
      <c r="T1166" s="361">
        <f t="shared" si="1190"/>
        <v>3.8339813505509608</v>
      </c>
      <c r="U1166" s="361">
        <f t="shared" si="1190"/>
        <v>4.5599457192777635</v>
      </c>
      <c r="V1166" s="362">
        <f t="shared" si="1190"/>
        <v>5.4233714412229821</v>
      </c>
      <c r="X1166" s="351"/>
    </row>
    <row r="1167" spans="3:24" ht="24.75" customHeight="1" x14ac:dyDescent="0.3">
      <c r="C1167" s="353">
        <f>ABS(E1167-Dashboard!$F$14)</f>
        <v>16.455501986270733</v>
      </c>
      <c r="D1167" s="350">
        <f t="shared" ref="D1167:D1230" si="1191">D1166+0.0001</f>
        <v>0.18944999999999437</v>
      </c>
      <c r="E1167" s="359" cm="1">
        <f t="array" ref="E1167">1000*SUM('DRE + DCF'!$L$36/M1167,'DRE + DCF'!$N$36:$V$36/N1167:V1167,F1167/V1167)/Dashboard!$F$11</f>
        <v>113.44550198627073</v>
      </c>
      <c r="F1167" s="359">
        <f t="shared" si="1189"/>
        <v>15287000.17603326</v>
      </c>
      <c r="G1167" s="359">
        <f>'DRE + DCF'!$W$31</f>
        <v>2791623.3540418856</v>
      </c>
      <c r="H1167" s="359">
        <f>'DRE + DCF'!$W$32</f>
        <v>81081.931703745853</v>
      </c>
      <c r="I1167" s="359">
        <f>-H1167*('DRE + DCF'!$V$33+K1167)/'DRE + DCF'!$V$33</f>
        <v>-90858.801614444121</v>
      </c>
      <c r="J1167" s="359">
        <f>-'DRE + DCF'!$V$56*L1167</f>
        <v>-1188924.4255577971</v>
      </c>
      <c r="K1167" s="360">
        <f>(1+L1167)/(1+Ke!$O$12)-1</f>
        <v>2.0000000000000018E-2</v>
      </c>
      <c r="L1167" s="360">
        <f>'DRE + DCF'!$Y$31</f>
        <v>7.3550000000000004E-2</v>
      </c>
      <c r="M1167" s="361">
        <f>(1+D1167)^((5-Dashboard!$F$9)*3/12)</f>
        <v>1.1389630709062435</v>
      </c>
      <c r="N1167" s="361">
        <f t="shared" ref="N1167:V1167" si="1192">M1167*(1+$D1167)</f>
        <v>1.3547396246894248</v>
      </c>
      <c r="O1167" s="361">
        <f t="shared" si="1192"/>
        <v>1.6113950465868285</v>
      </c>
      <c r="P1167" s="361">
        <f t="shared" si="1192"/>
        <v>1.916673838162694</v>
      </c>
      <c r="Q1167" s="361">
        <f t="shared" si="1192"/>
        <v>2.2797876968026056</v>
      </c>
      <c r="R1167" s="361">
        <f t="shared" si="1192"/>
        <v>2.7116934759618463</v>
      </c>
      <c r="S1167" s="361">
        <f t="shared" si="1192"/>
        <v>3.2254238049828028</v>
      </c>
      <c r="T1167" s="361">
        <f t="shared" si="1192"/>
        <v>3.8364803448367764</v>
      </c>
      <c r="U1167" s="361">
        <f t="shared" si="1192"/>
        <v>4.5633015461660822</v>
      </c>
      <c r="V1167" s="362">
        <f t="shared" si="1192"/>
        <v>5.4278190240872206</v>
      </c>
      <c r="X1167" s="351"/>
    </row>
    <row r="1168" spans="3:24" ht="24.75" customHeight="1" x14ac:dyDescent="0.3">
      <c r="C1168" s="353">
        <f>ABS(E1168-Dashboard!$F$14)</f>
        <v>16.352969901285675</v>
      </c>
      <c r="D1168" s="350">
        <f t="shared" si="1191"/>
        <v>0.18954999999999436</v>
      </c>
      <c r="E1168" s="359" cm="1">
        <f t="array" ref="E1168">1000*SUM('DRE + DCF'!$L$36/M1168,'DRE + DCF'!$N$36:$V$36/N1168:V1168,F1168/V1168)/Dashboard!$F$11</f>
        <v>113.34296990128567</v>
      </c>
      <c r="F1168" s="359">
        <f t="shared" si="1189"/>
        <v>15276467.517741332</v>
      </c>
      <c r="G1168" s="359">
        <f>'DRE + DCF'!$W$31</f>
        <v>2791623.3540418856</v>
      </c>
      <c r="H1168" s="359">
        <f>'DRE + DCF'!$W$32</f>
        <v>81081.931703745853</v>
      </c>
      <c r="I1168" s="359">
        <f>-H1168*('DRE + DCF'!$V$33+K1168)/'DRE + DCF'!$V$33</f>
        <v>-90858.801614444121</v>
      </c>
      <c r="J1168" s="359">
        <f>-'DRE + DCF'!$V$56*L1168</f>
        <v>-1188924.4255577971</v>
      </c>
      <c r="K1168" s="360">
        <f>(1+L1168)/(1+Ke!$O$12)-1</f>
        <v>2.0000000000000018E-2</v>
      </c>
      <c r="L1168" s="360">
        <f>'DRE + DCF'!$Y$31</f>
        <v>7.3550000000000004E-2</v>
      </c>
      <c r="M1168" s="361">
        <f>(1+D1168)^((5-Dashboard!$F$9)*3/12)</f>
        <v>1.1390348867309039</v>
      </c>
      <c r="N1168" s="361">
        <f t="shared" ref="N1168:V1168" si="1193">M1168*(1+$D1168)</f>
        <v>1.3549389495107402</v>
      </c>
      <c r="O1168" s="361">
        <f t="shared" si="1193"/>
        <v>1.6117676273904933</v>
      </c>
      <c r="P1168" s="361">
        <f t="shared" si="1193"/>
        <v>1.917278181162352</v>
      </c>
      <c r="Q1168" s="361">
        <f t="shared" si="1193"/>
        <v>2.2806982604016652</v>
      </c>
      <c r="R1168" s="361">
        <f t="shared" si="1193"/>
        <v>2.7130046156607879</v>
      </c>
      <c r="S1168" s="361">
        <f t="shared" si="1193"/>
        <v>3.2272546405592748</v>
      </c>
      <c r="T1168" s="361">
        <f t="shared" si="1193"/>
        <v>3.838980757677267</v>
      </c>
      <c r="U1168" s="361">
        <f t="shared" si="1193"/>
        <v>4.5666595602949709</v>
      </c>
      <c r="V1168" s="362">
        <f t="shared" si="1193"/>
        <v>5.4322698799488567</v>
      </c>
      <c r="X1168" s="351"/>
    </row>
    <row r="1169" spans="3:24" ht="24.75" customHeight="1" x14ac:dyDescent="0.3">
      <c r="C1169" s="353">
        <f>ABS(E1169-Dashboard!$F$14)</f>
        <v>16.250598995595695</v>
      </c>
      <c r="D1169" s="350">
        <f t="shared" si="1191"/>
        <v>0.18964999999999435</v>
      </c>
      <c r="E1169" s="359" cm="1">
        <f t="array" ref="E1169">1000*SUM('DRE + DCF'!$L$36/M1169,'DRE + DCF'!$N$36:$V$36/N1169:V1169,F1169/V1169)/Dashboard!$F$11</f>
        <v>113.24059899559569</v>
      </c>
      <c r="F1169" s="359">
        <f t="shared" si="1189"/>
        <v>15265950.215784801</v>
      </c>
      <c r="G1169" s="359">
        <f>'DRE + DCF'!$W$31</f>
        <v>2791623.3540418856</v>
      </c>
      <c r="H1169" s="359">
        <f>'DRE + DCF'!$W$32</f>
        <v>81081.931703745853</v>
      </c>
      <c r="I1169" s="359">
        <f>-H1169*('DRE + DCF'!$V$33+K1169)/'DRE + DCF'!$V$33</f>
        <v>-90858.801614444121</v>
      </c>
      <c r="J1169" s="359">
        <f>-'DRE + DCF'!$V$56*L1169</f>
        <v>-1188924.4255577971</v>
      </c>
      <c r="K1169" s="360">
        <f>(1+L1169)/(1+Ke!$O$12)-1</f>
        <v>2.0000000000000018E-2</v>
      </c>
      <c r="L1169" s="360">
        <f>'DRE + DCF'!$Y$31</f>
        <v>7.3550000000000004E-2</v>
      </c>
      <c r="M1169" s="361">
        <f>(1+D1169)^((5-Dashboard!$F$9)*3/12)</f>
        <v>1.1391067010462734</v>
      </c>
      <c r="N1169" s="361">
        <f t="shared" ref="N1169:V1169" si="1194">M1169*(1+$D1169)</f>
        <v>1.3551382868996926</v>
      </c>
      <c r="O1169" s="361">
        <f t="shared" si="1194"/>
        <v>1.6121402630102117</v>
      </c>
      <c r="P1169" s="361">
        <f t="shared" si="1194"/>
        <v>1.9178826638900892</v>
      </c>
      <c r="Q1169" s="361">
        <f t="shared" si="1194"/>
        <v>2.281609111096834</v>
      </c>
      <c r="R1169" s="361">
        <f t="shared" si="1194"/>
        <v>2.7143162790163355</v>
      </c>
      <c r="S1169" s="361">
        <f t="shared" si="1194"/>
        <v>3.2290863613317682</v>
      </c>
      <c r="T1169" s="361">
        <f t="shared" si="1194"/>
        <v>3.8414825897583196</v>
      </c>
      <c r="U1169" s="361">
        <f t="shared" si="1194"/>
        <v>4.5700197629059627</v>
      </c>
      <c r="V1169" s="362">
        <f t="shared" si="1194"/>
        <v>5.4367240109410524</v>
      </c>
      <c r="X1169" s="351"/>
    </row>
    <row r="1170" spans="3:24" ht="24.75" customHeight="1" x14ac:dyDescent="0.3">
      <c r="C1170" s="353">
        <f>ABS(E1170-Dashboard!$F$14)</f>
        <v>16.148388903132329</v>
      </c>
      <c r="D1170" s="350">
        <f t="shared" si="1191"/>
        <v>0.18974999999999434</v>
      </c>
      <c r="E1170" s="359" cm="1">
        <f t="array" ref="E1170">1000*SUM('DRE + DCF'!$L$36/M1170,'DRE + DCF'!$N$36:$V$36/N1170:V1170,F1170/V1170)/Dashboard!$F$11</f>
        <v>113.13838890313232</v>
      </c>
      <c r="F1170" s="359">
        <f t="shared" si="1189"/>
        <v>15255448.234921128</v>
      </c>
      <c r="G1170" s="359">
        <f>'DRE + DCF'!$W$31</f>
        <v>2791623.3540418856</v>
      </c>
      <c r="H1170" s="359">
        <f>'DRE + DCF'!$W$32</f>
        <v>81081.931703745853</v>
      </c>
      <c r="I1170" s="359">
        <f>-H1170*('DRE + DCF'!$V$33+K1170)/'DRE + DCF'!$V$33</f>
        <v>-90858.801614444121</v>
      </c>
      <c r="J1170" s="359">
        <f>-'DRE + DCF'!$V$56*L1170</f>
        <v>-1188924.4255577971</v>
      </c>
      <c r="K1170" s="360">
        <f>(1+L1170)/(1+Ke!$O$12)-1</f>
        <v>2.0000000000000018E-2</v>
      </c>
      <c r="L1170" s="360">
        <f>'DRE + DCF'!$Y$31</f>
        <v>7.3550000000000004E-2</v>
      </c>
      <c r="M1170" s="361">
        <f>(1+D1170)^((5-Dashboard!$F$9)*3/12)</f>
        <v>1.1391785138525108</v>
      </c>
      <c r="N1170" s="361">
        <f t="shared" ref="N1170:V1170" si="1195">M1170*(1+$D1170)</f>
        <v>1.3553376368560182</v>
      </c>
      <c r="O1170" s="361">
        <f t="shared" si="1195"/>
        <v>1.6125129534494398</v>
      </c>
      <c r="P1170" s="361">
        <f t="shared" si="1195"/>
        <v>1.9184872863664617</v>
      </c>
      <c r="Q1170" s="361">
        <f t="shared" si="1195"/>
        <v>2.2825202489544867</v>
      </c>
      <c r="R1170" s="361">
        <f t="shared" si="1195"/>
        <v>2.7156284661935874</v>
      </c>
      <c r="S1170" s="361">
        <f t="shared" si="1195"/>
        <v>3.230918967653805</v>
      </c>
      <c r="T1170" s="361">
        <f t="shared" si="1195"/>
        <v>3.8439858417660964</v>
      </c>
      <c r="U1170" s="361">
        <f t="shared" si="1195"/>
        <v>4.5733821552411911</v>
      </c>
      <c r="V1170" s="362">
        <f t="shared" si="1195"/>
        <v>5.4411814191981813</v>
      </c>
      <c r="X1170" s="351"/>
    </row>
    <row r="1171" spans="3:24" ht="24.75" customHeight="1" x14ac:dyDescent="0.3">
      <c r="C1171" s="353">
        <f>ABS(E1171-Dashboard!$F$14)</f>
        <v>16.046339258948336</v>
      </c>
      <c r="D1171" s="350">
        <f t="shared" si="1191"/>
        <v>0.18984999999999433</v>
      </c>
      <c r="E1171" s="359" cm="1">
        <f t="array" ref="E1171">1000*SUM('DRE + DCF'!$L$36/M1171,'DRE + DCF'!$N$36:$V$36/N1171:V1171,F1171/V1171)/Dashboard!$F$11</f>
        <v>113.03633925894833</v>
      </c>
      <c r="F1171" s="359">
        <f t="shared" si="1189"/>
        <v>15244961.540019711</v>
      </c>
      <c r="G1171" s="359">
        <f>'DRE + DCF'!$W$31</f>
        <v>2791623.3540418856</v>
      </c>
      <c r="H1171" s="359">
        <f>'DRE + DCF'!$W$32</f>
        <v>81081.931703745853</v>
      </c>
      <c r="I1171" s="359">
        <f>-H1171*('DRE + DCF'!$V$33+K1171)/'DRE + DCF'!$V$33</f>
        <v>-90858.801614444121</v>
      </c>
      <c r="J1171" s="359">
        <f>-'DRE + DCF'!$V$56*L1171</f>
        <v>-1188924.4255577971</v>
      </c>
      <c r="K1171" s="360">
        <f>(1+L1171)/(1+Ke!$O$12)-1</f>
        <v>2.0000000000000018E-2</v>
      </c>
      <c r="L1171" s="360">
        <f>'DRE + DCF'!$Y$31</f>
        <v>7.3550000000000004E-2</v>
      </c>
      <c r="M1171" s="361">
        <f>(1+D1171)^((5-Dashboard!$F$9)*3/12)</f>
        <v>1.1392503251497748</v>
      </c>
      <c r="N1171" s="361">
        <f t="shared" ref="N1171:V1171" si="1196">M1171*(1+$D1171)</f>
        <v>1.355536999379453</v>
      </c>
      <c r="O1171" s="361">
        <f t="shared" si="1196"/>
        <v>1.6128856987116345</v>
      </c>
      <c r="P1171" s="361">
        <f t="shared" si="1196"/>
        <v>1.9190920486120291</v>
      </c>
      <c r="Q1171" s="361">
        <f t="shared" si="1196"/>
        <v>2.2834316740410117</v>
      </c>
      <c r="R1171" s="361">
        <f t="shared" si="1196"/>
        <v>2.7169411773576848</v>
      </c>
      <c r="S1171" s="361">
        <f t="shared" si="1196"/>
        <v>3.2327524598790256</v>
      </c>
      <c r="T1171" s="361">
        <f t="shared" si="1196"/>
        <v>3.8464905143870403</v>
      </c>
      <c r="U1171" s="361">
        <f t="shared" si="1196"/>
        <v>4.576746738543398</v>
      </c>
      <c r="V1171" s="362">
        <f t="shared" si="1196"/>
        <v>5.4456421068558356</v>
      </c>
      <c r="X1171" s="351"/>
    </row>
    <row r="1172" spans="3:24" ht="24.75" customHeight="1" x14ac:dyDescent="0.3">
      <c r="C1172" s="353">
        <f>ABS(E1172-Dashboard!$F$14)</f>
        <v>15.944449699213379</v>
      </c>
      <c r="D1172" s="350">
        <f t="shared" si="1191"/>
        <v>0.18994999999999432</v>
      </c>
      <c r="E1172" s="359" cm="1">
        <f t="array" ref="E1172">1000*SUM('DRE + DCF'!$L$36/M1172,'DRE + DCF'!$N$36:$V$36/N1172:V1172,F1172/V1172)/Dashboard!$F$11</f>
        <v>112.93444969921337</v>
      </c>
      <c r="F1172" s="359">
        <f t="shared" si="1189"/>
        <v>15234490.096061433</v>
      </c>
      <c r="G1172" s="359">
        <f>'DRE + DCF'!$W$31</f>
        <v>2791623.3540418856</v>
      </c>
      <c r="H1172" s="359">
        <f>'DRE + DCF'!$W$32</f>
        <v>81081.931703745853</v>
      </c>
      <c r="I1172" s="359">
        <f>-H1172*('DRE + DCF'!$V$33+K1172)/'DRE + DCF'!$V$33</f>
        <v>-90858.801614444121</v>
      </c>
      <c r="J1172" s="359">
        <f>-'DRE + DCF'!$V$56*L1172</f>
        <v>-1188924.4255577971</v>
      </c>
      <c r="K1172" s="360">
        <f>(1+L1172)/(1+Ke!$O$12)-1</f>
        <v>2.0000000000000018E-2</v>
      </c>
      <c r="L1172" s="360">
        <f>'DRE + DCF'!$Y$31</f>
        <v>7.3550000000000004E-2</v>
      </c>
      <c r="M1172" s="361">
        <f>(1+D1172)^((5-Dashboard!$F$9)*3/12)</f>
        <v>1.1393221349382237</v>
      </c>
      <c r="N1172" s="361">
        <f t="shared" ref="N1172:V1172" si="1197">M1172*(1+$D1172)</f>
        <v>1.3557363744697328</v>
      </c>
      <c r="O1172" s="361">
        <f t="shared" si="1197"/>
        <v>1.6132584988002507</v>
      </c>
      <c r="P1172" s="361">
        <f t="shared" si="1197"/>
        <v>1.9196969506473491</v>
      </c>
      <c r="Q1172" s="361">
        <f t="shared" si="1197"/>
        <v>2.284343386422802</v>
      </c>
      <c r="R1172" s="361">
        <f t="shared" si="1197"/>
        <v>2.7182544126738</v>
      </c>
      <c r="S1172" s="361">
        <f t="shared" si="1197"/>
        <v>3.2345868383611727</v>
      </c>
      <c r="T1172" s="361">
        <f t="shared" si="1197"/>
        <v>3.8489966083078588</v>
      </c>
      <c r="U1172" s="361">
        <f t="shared" si="1197"/>
        <v>4.580113514055915</v>
      </c>
      <c r="V1172" s="362">
        <f t="shared" si="1197"/>
        <v>5.45010607605081</v>
      </c>
      <c r="X1172" s="351"/>
    </row>
    <row r="1173" spans="3:24" ht="24.75" customHeight="1" x14ac:dyDescent="0.3">
      <c r="C1173" s="353">
        <f>ABS(E1173-Dashboard!$F$14)</f>
        <v>15.842719861209545</v>
      </c>
      <c r="D1173" s="350">
        <f t="shared" si="1191"/>
        <v>0.19004999999999431</v>
      </c>
      <c r="E1173" s="359" cm="1">
        <f t="array" ref="E1173">1000*SUM('DRE + DCF'!$L$36/M1173,'DRE + DCF'!$N$36:$V$36/N1173:V1173,F1173/V1173)/Dashboard!$F$11</f>
        <v>112.83271986120954</v>
      </c>
      <c r="F1173" s="359">
        <f t="shared" si="1189"/>
        <v>15224033.868138215</v>
      </c>
      <c r="G1173" s="359">
        <f>'DRE + DCF'!$W$31</f>
        <v>2791623.3540418856</v>
      </c>
      <c r="H1173" s="359">
        <f>'DRE + DCF'!$W$32</f>
        <v>81081.931703745853</v>
      </c>
      <c r="I1173" s="359">
        <f>-H1173*('DRE + DCF'!$V$33+K1173)/'DRE + DCF'!$V$33</f>
        <v>-90858.801614444121</v>
      </c>
      <c r="J1173" s="359">
        <f>-'DRE + DCF'!$V$56*L1173</f>
        <v>-1188924.4255577971</v>
      </c>
      <c r="K1173" s="360">
        <f>(1+L1173)/(1+Ke!$O$12)-1</f>
        <v>2.0000000000000018E-2</v>
      </c>
      <c r="L1173" s="360">
        <f>'DRE + DCF'!$Y$31</f>
        <v>7.3550000000000004E-2</v>
      </c>
      <c r="M1173" s="361">
        <f>(1+D1173)^((5-Dashboard!$F$9)*3/12)</f>
        <v>1.1393939432180158</v>
      </c>
      <c r="N1173" s="361">
        <f t="shared" ref="N1173:V1173" si="1198">M1173*(1+$D1173)</f>
        <v>1.3559357621265933</v>
      </c>
      <c r="O1173" s="361">
        <f t="shared" si="1198"/>
        <v>1.6136313537187446</v>
      </c>
      <c r="P1173" s="361">
        <f t="shared" si="1198"/>
        <v>1.9203019924929827</v>
      </c>
      <c r="Q1173" s="361">
        <f t="shared" si="1198"/>
        <v>2.2852553861662632</v>
      </c>
      <c r="R1173" s="361">
        <f t="shared" si="1198"/>
        <v>2.7195681723071483</v>
      </c>
      <c r="S1173" s="361">
        <f t="shared" si="1198"/>
        <v>3.2364221034541063</v>
      </c>
      <c r="T1173" s="361">
        <f t="shared" si="1198"/>
        <v>3.8515041242155408</v>
      </c>
      <c r="U1173" s="361">
        <f t="shared" si="1198"/>
        <v>4.5834824830226824</v>
      </c>
      <c r="V1173" s="362">
        <f t="shared" si="1198"/>
        <v>5.4545733289211169</v>
      </c>
      <c r="X1173" s="351"/>
    </row>
    <row r="1174" spans="3:24" ht="24.75" customHeight="1" x14ac:dyDescent="0.3">
      <c r="C1174" s="353">
        <f>ABS(E1174-Dashboard!$F$14)</f>
        <v>15.741149383326984</v>
      </c>
      <c r="D1174" s="350">
        <f t="shared" si="1191"/>
        <v>0.1901499999999943</v>
      </c>
      <c r="E1174" s="359" cm="1">
        <f t="array" ref="E1174">1000*SUM('DRE + DCF'!$L$36/M1174,'DRE + DCF'!$N$36:$V$36/N1174:V1174,F1174/V1174)/Dashboard!$F$11</f>
        <v>112.73114938332698</v>
      </c>
      <c r="F1174" s="359">
        <f t="shared" si="1189"/>
        <v>15213592.821452547</v>
      </c>
      <c r="G1174" s="359">
        <f>'DRE + DCF'!$W$31</f>
        <v>2791623.3540418856</v>
      </c>
      <c r="H1174" s="359">
        <f>'DRE + DCF'!$W$32</f>
        <v>81081.931703745853</v>
      </c>
      <c r="I1174" s="359">
        <f>-H1174*('DRE + DCF'!$V$33+K1174)/'DRE + DCF'!$V$33</f>
        <v>-90858.801614444121</v>
      </c>
      <c r="J1174" s="359">
        <f>-'DRE + DCF'!$V$56*L1174</f>
        <v>-1188924.4255577971</v>
      </c>
      <c r="K1174" s="360">
        <f>(1+L1174)/(1+Ke!$O$12)-1</f>
        <v>2.0000000000000018E-2</v>
      </c>
      <c r="L1174" s="360">
        <f>'DRE + DCF'!$Y$31</f>
        <v>7.3550000000000004E-2</v>
      </c>
      <c r="M1174" s="361">
        <f>(1+D1174)^((5-Dashboard!$F$9)*3/12)</f>
        <v>1.1394657499893102</v>
      </c>
      <c r="N1174" s="361">
        <f t="shared" ref="N1174:V1174" si="1199">M1174*(1+$D1174)</f>
        <v>1.3561351623497711</v>
      </c>
      <c r="O1174" s="361">
        <f t="shared" si="1199"/>
        <v>1.6140042634705722</v>
      </c>
      <c r="P1174" s="361">
        <f t="shared" si="1199"/>
        <v>1.9209071741694923</v>
      </c>
      <c r="Q1174" s="361">
        <f t="shared" si="1199"/>
        <v>2.2861676733378102</v>
      </c>
      <c r="R1174" s="361">
        <f t="shared" si="1199"/>
        <v>2.7208824564229817</v>
      </c>
      <c r="S1174" s="361">
        <f t="shared" si="1199"/>
        <v>3.2382582555117958</v>
      </c>
      <c r="T1174" s="361">
        <f t="shared" si="1199"/>
        <v>3.8540130627973452</v>
      </c>
      <c r="U1174" s="361">
        <f t="shared" si="1199"/>
        <v>4.5868536466882386</v>
      </c>
      <c r="V1174" s="362">
        <f t="shared" si="1199"/>
        <v>5.4590438676059811</v>
      </c>
      <c r="X1174" s="351"/>
    </row>
    <row r="1175" spans="3:24" ht="24.75" customHeight="1" x14ac:dyDescent="0.3">
      <c r="C1175" s="353">
        <f>ABS(E1175-Dashboard!$F$14)</f>
        <v>15.639737905059647</v>
      </c>
      <c r="D1175" s="350">
        <f t="shared" si="1191"/>
        <v>0.19024999999999428</v>
      </c>
      <c r="E1175" s="359" cm="1">
        <f t="array" ref="E1175">1000*SUM('DRE + DCF'!$L$36/M1175,'DRE + DCF'!$N$36:$V$36/N1175:V1175,F1175/V1175)/Dashboard!$F$11</f>
        <v>112.62973790505964</v>
      </c>
      <c r="F1175" s="359">
        <f t="shared" si="1189"/>
        <v>15203166.921317061</v>
      </c>
      <c r="G1175" s="359">
        <f>'DRE + DCF'!$W$31</f>
        <v>2791623.3540418856</v>
      </c>
      <c r="H1175" s="359">
        <f>'DRE + DCF'!$W$32</f>
        <v>81081.931703745853</v>
      </c>
      <c r="I1175" s="359">
        <f>-H1175*('DRE + DCF'!$V$33+K1175)/'DRE + DCF'!$V$33</f>
        <v>-90858.801614444121</v>
      </c>
      <c r="J1175" s="359">
        <f>-'DRE + DCF'!$V$56*L1175</f>
        <v>-1188924.4255577971</v>
      </c>
      <c r="K1175" s="360">
        <f>(1+L1175)/(1+Ke!$O$12)-1</f>
        <v>2.0000000000000018E-2</v>
      </c>
      <c r="L1175" s="360">
        <f>'DRE + DCF'!$Y$31</f>
        <v>7.3550000000000004E-2</v>
      </c>
      <c r="M1175" s="361">
        <f>(1+D1175)^((5-Dashboard!$F$9)*3/12)</f>
        <v>1.1395375552522646</v>
      </c>
      <c r="N1175" s="361">
        <f t="shared" ref="N1175:V1175" si="1200">M1175*(1+$D1175)</f>
        <v>1.3563345751390015</v>
      </c>
      <c r="O1175" s="361">
        <f t="shared" si="1200"/>
        <v>1.6143772280591886</v>
      </c>
      <c r="P1175" s="361">
        <f t="shared" si="1200"/>
        <v>1.9215124956974399</v>
      </c>
      <c r="Q1175" s="361">
        <f t="shared" si="1200"/>
        <v>2.2870802480038668</v>
      </c>
      <c r="R1175" s="361">
        <f t="shared" si="1200"/>
        <v>2.7221972651865891</v>
      </c>
      <c r="S1175" s="361">
        <f t="shared" si="1200"/>
        <v>3.2400952948883219</v>
      </c>
      <c r="T1175" s="361">
        <f t="shared" si="1200"/>
        <v>3.8565234247408067</v>
      </c>
      <c r="U1175" s="361">
        <f t="shared" si="1200"/>
        <v>4.5902270062977228</v>
      </c>
      <c r="V1175" s="362">
        <f t="shared" si="1200"/>
        <v>5.4635176942458381</v>
      </c>
      <c r="X1175" s="351"/>
    </row>
    <row r="1176" spans="3:24" ht="24.75" customHeight="1" x14ac:dyDescent="0.3">
      <c r="C1176" s="353">
        <f>ABS(E1176-Dashboard!$F$14)</f>
        <v>15.538485067000764</v>
      </c>
      <c r="D1176" s="350">
        <f t="shared" si="1191"/>
        <v>0.19034999999999427</v>
      </c>
      <c r="E1176" s="359" cm="1">
        <f t="array" ref="E1176">1000*SUM('DRE + DCF'!$L$36/M1176,'DRE + DCF'!$N$36:$V$36/N1176:V1176,F1176/V1176)/Dashboard!$F$11</f>
        <v>112.52848506700076</v>
      </c>
      <c r="F1176" s="359">
        <f t="shared" si="1189"/>
        <v>15192756.133154063</v>
      </c>
      <c r="G1176" s="359">
        <f>'DRE + DCF'!$W$31</f>
        <v>2791623.3540418856</v>
      </c>
      <c r="H1176" s="359">
        <f>'DRE + DCF'!$W$32</f>
        <v>81081.931703745853</v>
      </c>
      <c r="I1176" s="359">
        <f>-H1176*('DRE + DCF'!$V$33+K1176)/'DRE + DCF'!$V$33</f>
        <v>-90858.801614444121</v>
      </c>
      <c r="J1176" s="359">
        <f>-'DRE + DCF'!$V$56*L1176</f>
        <v>-1188924.4255577971</v>
      </c>
      <c r="K1176" s="360">
        <f>(1+L1176)/(1+Ke!$O$12)-1</f>
        <v>2.0000000000000018E-2</v>
      </c>
      <c r="L1176" s="360">
        <f>'DRE + DCF'!$Y$31</f>
        <v>7.3550000000000004E-2</v>
      </c>
      <c r="M1176" s="361">
        <f>(1+D1176)^((5-Dashboard!$F$9)*3/12)</f>
        <v>1.139609359007038</v>
      </c>
      <c r="N1176" s="361">
        <f t="shared" ref="N1176:V1176" si="1201">M1176*(1+$D1176)</f>
        <v>1.3565340004940212</v>
      </c>
      <c r="O1176" s="361">
        <f t="shared" si="1201"/>
        <v>1.6147502474880504</v>
      </c>
      <c r="P1176" s="361">
        <f t="shared" si="1201"/>
        <v>1.9221179570973914</v>
      </c>
      <c r="Q1176" s="361">
        <f t="shared" si="1201"/>
        <v>2.2879931102308686</v>
      </c>
      <c r="R1176" s="361">
        <f t="shared" si="1201"/>
        <v>2.7235125987633011</v>
      </c>
      <c r="S1176" s="361">
        <f t="shared" si="1201"/>
        <v>3.2419332219378796</v>
      </c>
      <c r="T1176" s="361">
        <f t="shared" si="1201"/>
        <v>3.8590352107337362</v>
      </c>
      <c r="U1176" s="361">
        <f t="shared" si="1201"/>
        <v>4.5936025630968809</v>
      </c>
      <c r="V1176" s="362">
        <f t="shared" si="1201"/>
        <v>5.4679948109823453</v>
      </c>
      <c r="X1176" s="351"/>
    </row>
    <row r="1177" spans="3:24" ht="24.75" customHeight="1" x14ac:dyDescent="0.3">
      <c r="C1177" s="353">
        <f>ABS(E1177-Dashboard!$F$14)</f>
        <v>15.437390510838796</v>
      </c>
      <c r="D1177" s="350">
        <f t="shared" si="1191"/>
        <v>0.19044999999999426</v>
      </c>
      <c r="E1177" s="359" cm="1">
        <f t="array" ref="E1177">1000*SUM('DRE + DCF'!$L$36/M1177,'DRE + DCF'!$N$36:$V$36/N1177:V1177,F1177/V1177)/Dashboard!$F$11</f>
        <v>112.42739051083879</v>
      </c>
      <c r="F1177" s="359">
        <f t="shared" si="1189"/>
        <v>15182360.422495099</v>
      </c>
      <c r="G1177" s="359">
        <f>'DRE + DCF'!$W$31</f>
        <v>2791623.3540418856</v>
      </c>
      <c r="H1177" s="359">
        <f>'DRE + DCF'!$W$32</f>
        <v>81081.931703745853</v>
      </c>
      <c r="I1177" s="359">
        <f>-H1177*('DRE + DCF'!$V$33+K1177)/'DRE + DCF'!$V$33</f>
        <v>-90858.801614444121</v>
      </c>
      <c r="J1177" s="359">
        <f>-'DRE + DCF'!$V$56*L1177</f>
        <v>-1188924.4255577971</v>
      </c>
      <c r="K1177" s="360">
        <f>(1+L1177)/(1+Ke!$O$12)-1</f>
        <v>2.0000000000000018E-2</v>
      </c>
      <c r="L1177" s="360">
        <f>'DRE + DCF'!$Y$31</f>
        <v>7.3550000000000004E-2</v>
      </c>
      <c r="M1177" s="361">
        <f>(1+D1177)^((5-Dashboard!$F$9)*3/12)</f>
        <v>1.1396811612537885</v>
      </c>
      <c r="N1177" s="361">
        <f t="shared" ref="N1177:V1177" si="1202">M1177*(1+$D1177)</f>
        <v>1.356733438414566</v>
      </c>
      <c r="O1177" s="361">
        <f t="shared" si="1202"/>
        <v>1.6151233217606122</v>
      </c>
      <c r="P1177" s="361">
        <f t="shared" si="1202"/>
        <v>1.9227235583899116</v>
      </c>
      <c r="Q1177" s="361">
        <f t="shared" si="1202"/>
        <v>2.288906260085259</v>
      </c>
      <c r="R1177" s="361">
        <f t="shared" si="1202"/>
        <v>2.7248284573184836</v>
      </c>
      <c r="S1177" s="361">
        <f t="shared" si="1202"/>
        <v>3.2437720370147729</v>
      </c>
      <c r="T1177" s="361">
        <f t="shared" si="1202"/>
        <v>3.8615484214642177</v>
      </c>
      <c r="U1177" s="361">
        <f t="shared" si="1202"/>
        <v>4.5969803183320561</v>
      </c>
      <c r="V1177" s="362">
        <f t="shared" si="1202"/>
        <v>5.4724752199583699</v>
      </c>
      <c r="X1177" s="351"/>
    </row>
    <row r="1178" spans="3:24" ht="24.75" customHeight="1" x14ac:dyDescent="0.3">
      <c r="C1178" s="353">
        <f>ABS(E1178-Dashboard!$F$14)</f>
        <v>15.336453879352959</v>
      </c>
      <c r="D1178" s="350">
        <f t="shared" si="1191"/>
        <v>0.19054999999999425</v>
      </c>
      <c r="E1178" s="359" cm="1">
        <f t="array" ref="E1178">1000*SUM('DRE + DCF'!$L$36/M1178,'DRE + DCF'!$N$36:$V$36/N1178:V1178,F1178/V1178)/Dashboard!$F$11</f>
        <v>112.32645387935295</v>
      </c>
      <c r="F1178" s="359">
        <f t="shared" si="1189"/>
        <v>15171979.754980508</v>
      </c>
      <c r="G1178" s="359">
        <f>'DRE + DCF'!$W$31</f>
        <v>2791623.3540418856</v>
      </c>
      <c r="H1178" s="359">
        <f>'DRE + DCF'!$W$32</f>
        <v>81081.931703745853</v>
      </c>
      <c r="I1178" s="359">
        <f>-H1178*('DRE + DCF'!$V$33+K1178)/'DRE + DCF'!$V$33</f>
        <v>-90858.801614444121</v>
      </c>
      <c r="J1178" s="359">
        <f>-'DRE + DCF'!$V$56*L1178</f>
        <v>-1188924.4255577971</v>
      </c>
      <c r="K1178" s="360">
        <f>(1+L1178)/(1+Ke!$O$12)-1</f>
        <v>2.0000000000000018E-2</v>
      </c>
      <c r="L1178" s="360">
        <f>'DRE + DCF'!$Y$31</f>
        <v>7.3550000000000004E-2</v>
      </c>
      <c r="M1178" s="361">
        <f>(1+D1178)^((5-Dashboard!$F$9)*3/12)</f>
        <v>1.1397529619926745</v>
      </c>
      <c r="N1178" s="361">
        <f t="shared" ref="N1178:V1178" si="1203">M1178*(1+$D1178)</f>
        <v>1.356932888900372</v>
      </c>
      <c r="O1178" s="361">
        <f t="shared" si="1203"/>
        <v>1.61549645088033</v>
      </c>
      <c r="P1178" s="361">
        <f t="shared" si="1203"/>
        <v>1.9233292995955675</v>
      </c>
      <c r="Q1178" s="361">
        <f t="shared" si="1203"/>
        <v>2.2898196976334919</v>
      </c>
      <c r="R1178" s="361">
        <f t="shared" si="1203"/>
        <v>2.7261448410175406</v>
      </c>
      <c r="S1178" s="361">
        <f t="shared" si="1203"/>
        <v>3.2456117404734171</v>
      </c>
      <c r="T1178" s="361">
        <f t="shared" si="1203"/>
        <v>3.8640630576206081</v>
      </c>
      <c r="U1178" s="361">
        <f t="shared" si="1203"/>
        <v>4.6003602732501925</v>
      </c>
      <c r="V1178" s="362">
        <f t="shared" si="1203"/>
        <v>5.4769589233179898</v>
      </c>
      <c r="X1178" s="351"/>
    </row>
    <row r="1179" spans="3:24" ht="24.75" customHeight="1" x14ac:dyDescent="0.3">
      <c r="C1179" s="353">
        <f>ABS(E1179-Dashboard!$F$14)</f>
        <v>15.235674816409087</v>
      </c>
      <c r="D1179" s="350">
        <f t="shared" si="1191"/>
        <v>0.19064999999999424</v>
      </c>
      <c r="E1179" s="359" cm="1">
        <f t="array" ref="E1179">1000*SUM('DRE + DCF'!$L$36/M1179,'DRE + DCF'!$N$36:$V$36/N1179:V1179,F1179/V1179)/Dashboard!$F$11</f>
        <v>112.22567481640908</v>
      </c>
      <c r="F1179" s="359">
        <f t="shared" si="1189"/>
        <v>15161614.096358981</v>
      </c>
      <c r="G1179" s="359">
        <f>'DRE + DCF'!$W$31</f>
        <v>2791623.3540418856</v>
      </c>
      <c r="H1179" s="359">
        <f>'DRE + DCF'!$W$32</f>
        <v>81081.931703745853</v>
      </c>
      <c r="I1179" s="359">
        <f>-H1179*('DRE + DCF'!$V$33+K1179)/'DRE + DCF'!$V$33</f>
        <v>-90858.801614444121</v>
      </c>
      <c r="J1179" s="359">
        <f>-'DRE + DCF'!$V$56*L1179</f>
        <v>-1188924.4255577971</v>
      </c>
      <c r="K1179" s="360">
        <f>(1+L1179)/(1+Ke!$O$12)-1</f>
        <v>2.0000000000000018E-2</v>
      </c>
      <c r="L1179" s="360">
        <f>'DRE + DCF'!$Y$31</f>
        <v>7.3550000000000004E-2</v>
      </c>
      <c r="M1179" s="361">
        <f>(1+D1179)^((5-Dashboard!$F$9)*3/12)</f>
        <v>1.1398247612238541</v>
      </c>
      <c r="N1179" s="361">
        <f t="shared" ref="N1179:V1179" si="1204">M1179*(1+$D1179)</f>
        <v>1.3571323519511753</v>
      </c>
      <c r="O1179" s="361">
        <f t="shared" si="1204"/>
        <v>1.6158696348506589</v>
      </c>
      <c r="P1179" s="361">
        <f t="shared" si="1204"/>
        <v>1.9239351807349276</v>
      </c>
      <c r="Q1179" s="361">
        <f t="shared" si="1204"/>
        <v>2.2907334229420306</v>
      </c>
      <c r="R1179" s="361">
        <f t="shared" si="1204"/>
        <v>2.7274617500259155</v>
      </c>
      <c r="S1179" s="361">
        <f t="shared" si="1204"/>
        <v>3.2474523326683404</v>
      </c>
      <c r="T1179" s="361">
        <f t="shared" si="1204"/>
        <v>3.8665791198915409</v>
      </c>
      <c r="U1179" s="361">
        <f t="shared" si="1204"/>
        <v>4.6037424290988405</v>
      </c>
      <c r="V1179" s="362">
        <f t="shared" si="1204"/>
        <v>5.4814459232065076</v>
      </c>
      <c r="X1179" s="351"/>
    </row>
    <row r="1180" spans="3:24" ht="24.75" customHeight="1" x14ac:dyDescent="0.3">
      <c r="C1180" s="353">
        <f>ABS(E1180-Dashboard!$F$14)</f>
        <v>15.135052966955186</v>
      </c>
      <c r="D1180" s="350">
        <f t="shared" si="1191"/>
        <v>0.19074999999999423</v>
      </c>
      <c r="E1180" s="359" cm="1">
        <f t="array" ref="E1180">1000*SUM('DRE + DCF'!$L$36/M1180,'DRE + DCF'!$N$36:$V$36/N1180:V1180,F1180/V1180)/Dashboard!$F$11</f>
        <v>112.12505296695518</v>
      </c>
      <c r="F1180" s="359">
        <f t="shared" si="1189"/>
        <v>15151263.412487131</v>
      </c>
      <c r="G1180" s="359">
        <f>'DRE + DCF'!$W$31</f>
        <v>2791623.3540418856</v>
      </c>
      <c r="H1180" s="359">
        <f>'DRE + DCF'!$W$32</f>
        <v>81081.931703745853</v>
      </c>
      <c r="I1180" s="359">
        <f>-H1180*('DRE + DCF'!$V$33+K1180)/'DRE + DCF'!$V$33</f>
        <v>-90858.801614444121</v>
      </c>
      <c r="J1180" s="359">
        <f>-'DRE + DCF'!$V$56*L1180</f>
        <v>-1188924.4255577971</v>
      </c>
      <c r="K1180" s="360">
        <f>(1+L1180)/(1+Ke!$O$12)-1</f>
        <v>2.0000000000000018E-2</v>
      </c>
      <c r="L1180" s="360">
        <f>'DRE + DCF'!$Y$31</f>
        <v>7.3550000000000004E-2</v>
      </c>
      <c r="M1180" s="361">
        <f>(1+D1180)^((5-Dashboard!$F$9)*3/12)</f>
        <v>1.1398965589474861</v>
      </c>
      <c r="N1180" s="361">
        <f t="shared" ref="N1180:V1180" si="1205">M1180*(1+$D1180)</f>
        <v>1.3573318275667126</v>
      </c>
      <c r="O1180" s="361">
        <f t="shared" si="1205"/>
        <v>1.6162428736750551</v>
      </c>
      <c r="P1180" s="361">
        <f t="shared" si="1205"/>
        <v>1.9245412018285626</v>
      </c>
      <c r="Q1180" s="361">
        <f t="shared" si="1205"/>
        <v>2.2916474360773496</v>
      </c>
      <c r="R1180" s="361">
        <f t="shared" si="1205"/>
        <v>2.7287791845090905</v>
      </c>
      <c r="S1180" s="361">
        <f t="shared" si="1205"/>
        <v>3.2492938139541838</v>
      </c>
      <c r="T1180" s="361">
        <f t="shared" si="1205"/>
        <v>3.8690966089659256</v>
      </c>
      <c r="U1180" s="361">
        <f t="shared" si="1205"/>
        <v>4.6071267871261536</v>
      </c>
      <c r="V1180" s="362">
        <f t="shared" si="1205"/>
        <v>5.4859362217704408</v>
      </c>
      <c r="X1180" s="351"/>
    </row>
    <row r="1181" spans="3:24" ht="24.75" customHeight="1" x14ac:dyDescent="0.3">
      <c r="C1181" s="353">
        <f>ABS(E1181-Dashboard!$F$14)</f>
        <v>15.034587977017537</v>
      </c>
      <c r="D1181" s="350">
        <f t="shared" si="1191"/>
        <v>0.19084999999999422</v>
      </c>
      <c r="E1181" s="359" cm="1">
        <f t="array" ref="E1181">1000*SUM('DRE + DCF'!$L$36/M1181,'DRE + DCF'!$N$36:$V$36/N1181:V1181,F1181/V1181)/Dashboard!$F$11</f>
        <v>112.02458797701753</v>
      </c>
      <c r="F1181" s="359">
        <f t="shared" si="1189"/>
        <v>15140927.669329036</v>
      </c>
      <c r="G1181" s="359">
        <f>'DRE + DCF'!$W$31</f>
        <v>2791623.3540418856</v>
      </c>
      <c r="H1181" s="359">
        <f>'DRE + DCF'!$W$32</f>
        <v>81081.931703745853</v>
      </c>
      <c r="I1181" s="359">
        <f>-H1181*('DRE + DCF'!$V$33+K1181)/'DRE + DCF'!$V$33</f>
        <v>-90858.801614444121</v>
      </c>
      <c r="J1181" s="359">
        <f>-'DRE + DCF'!$V$56*L1181</f>
        <v>-1188924.4255577971</v>
      </c>
      <c r="K1181" s="360">
        <f>(1+L1181)/(1+Ke!$O$12)-1</f>
        <v>2.0000000000000018E-2</v>
      </c>
      <c r="L1181" s="360">
        <f>'DRE + DCF'!$Y$31</f>
        <v>7.3550000000000004E-2</v>
      </c>
      <c r="M1181" s="361">
        <f>(1+D1181)^((5-Dashboard!$F$9)*3/12)</f>
        <v>1.1399683551637281</v>
      </c>
      <c r="N1181" s="361">
        <f t="shared" ref="N1181:V1181" si="1206">M1181*(1+$D1181)</f>
        <v>1.357531315746719</v>
      </c>
      <c r="O1181" s="361">
        <f t="shared" si="1206"/>
        <v>1.6166161673569726</v>
      </c>
      <c r="P1181" s="361">
        <f t="shared" si="1206"/>
        <v>1.9251473628970415</v>
      </c>
      <c r="Q1181" s="361">
        <f t="shared" si="1206"/>
        <v>2.2925617371059306</v>
      </c>
      <c r="R1181" s="361">
        <f t="shared" si="1206"/>
        <v>2.7300971446325839</v>
      </c>
      <c r="S1181" s="361">
        <f t="shared" si="1206"/>
        <v>3.2511361846856968</v>
      </c>
      <c r="T1181" s="361">
        <f t="shared" si="1206"/>
        <v>3.8716155255329432</v>
      </c>
      <c r="U1181" s="361">
        <f t="shared" si="1206"/>
        <v>4.6105133485808834</v>
      </c>
      <c r="V1181" s="362">
        <f t="shared" si="1206"/>
        <v>5.4904298211575178</v>
      </c>
      <c r="X1181" s="351"/>
    </row>
    <row r="1182" spans="3:24" ht="24.75" customHeight="1" x14ac:dyDescent="0.3">
      <c r="C1182" s="353">
        <f>ABS(E1182-Dashboard!$F$14)</f>
        <v>14.934279493696181</v>
      </c>
      <c r="D1182" s="350">
        <f t="shared" si="1191"/>
        <v>0.19094999999999421</v>
      </c>
      <c r="E1182" s="359" cm="1">
        <f t="array" ref="E1182">1000*SUM('DRE + DCF'!$L$36/M1182,'DRE + DCF'!$N$36:$V$36/N1182:V1182,F1182/V1182)/Dashboard!$F$11</f>
        <v>111.92427949369618</v>
      </c>
      <c r="F1182" s="359">
        <f t="shared" si="1189"/>
        <v>15130606.832955834</v>
      </c>
      <c r="G1182" s="359">
        <f>'DRE + DCF'!$W$31</f>
        <v>2791623.3540418856</v>
      </c>
      <c r="H1182" s="359">
        <f>'DRE + DCF'!$W$32</f>
        <v>81081.931703745853</v>
      </c>
      <c r="I1182" s="359">
        <f>-H1182*('DRE + DCF'!$V$33+K1182)/'DRE + DCF'!$V$33</f>
        <v>-90858.801614444121</v>
      </c>
      <c r="J1182" s="359">
        <f>-'DRE + DCF'!$V$56*L1182</f>
        <v>-1188924.4255577971</v>
      </c>
      <c r="K1182" s="360">
        <f>(1+L1182)/(1+Ke!$O$12)-1</f>
        <v>2.0000000000000018E-2</v>
      </c>
      <c r="L1182" s="360">
        <f>'DRE + DCF'!$Y$31</f>
        <v>7.3550000000000004E-2</v>
      </c>
      <c r="M1182" s="361">
        <f>(1+D1182)^((5-Dashboard!$F$9)*3/12)</f>
        <v>1.1400401498727388</v>
      </c>
      <c r="N1182" s="361">
        <f t="shared" ref="N1182:V1182" si="1207">M1182*(1+$D1182)</f>
        <v>1.3577308164909316</v>
      </c>
      <c r="O1182" s="361">
        <f t="shared" si="1207"/>
        <v>1.6169895158998671</v>
      </c>
      <c r="P1182" s="361">
        <f t="shared" si="1207"/>
        <v>1.9257536639609372</v>
      </c>
      <c r="Q1182" s="361">
        <f t="shared" si="1207"/>
        <v>2.2934763260942668</v>
      </c>
      <c r="R1182" s="361">
        <f t="shared" si="1207"/>
        <v>2.7314156305619535</v>
      </c>
      <c r="S1182" s="361">
        <f t="shared" si="1207"/>
        <v>3.2529794452177425</v>
      </c>
      <c r="T1182" s="361">
        <f t="shared" si="1207"/>
        <v>3.8741358702820516</v>
      </c>
      <c r="U1182" s="361">
        <f t="shared" si="1207"/>
        <v>4.6139021147123866</v>
      </c>
      <c r="V1182" s="362">
        <f t="shared" si="1207"/>
        <v>5.4949267235166896</v>
      </c>
      <c r="X1182" s="351"/>
    </row>
    <row r="1183" spans="3:24" ht="24.75" customHeight="1" x14ac:dyDescent="0.3">
      <c r="C1183" s="353">
        <f>ABS(E1183-Dashboard!$F$14)</f>
        <v>14.834127165160851</v>
      </c>
      <c r="D1183" s="350">
        <f t="shared" si="1191"/>
        <v>0.1910499999999942</v>
      </c>
      <c r="E1183" s="359" cm="1">
        <f t="array" ref="E1183">1000*SUM('DRE + DCF'!$L$36/M1183,'DRE + DCF'!$N$36:$V$36/N1183:V1183,F1183/V1183)/Dashboard!$F$11</f>
        <v>111.82412716516085</v>
      </c>
      <c r="F1183" s="359">
        <f t="shared" si="1189"/>
        <v>15120300.869545259</v>
      </c>
      <c r="G1183" s="359">
        <f>'DRE + DCF'!$W$31</f>
        <v>2791623.3540418856</v>
      </c>
      <c r="H1183" s="359">
        <f>'DRE + DCF'!$W$32</f>
        <v>81081.931703745853</v>
      </c>
      <c r="I1183" s="359">
        <f>-H1183*('DRE + DCF'!$V$33+K1183)/'DRE + DCF'!$V$33</f>
        <v>-90858.801614444121</v>
      </c>
      <c r="J1183" s="359">
        <f>-'DRE + DCF'!$V$56*L1183</f>
        <v>-1188924.4255577971</v>
      </c>
      <c r="K1183" s="360">
        <f>(1+L1183)/(1+Ke!$O$12)-1</f>
        <v>2.0000000000000018E-2</v>
      </c>
      <c r="L1183" s="360">
        <f>'DRE + DCF'!$Y$31</f>
        <v>7.3550000000000004E-2</v>
      </c>
      <c r="M1183" s="361">
        <f>(1+D1183)^((5-Dashboard!$F$9)*3/12)</f>
        <v>1.1401119430746762</v>
      </c>
      <c r="N1183" s="361">
        <f t="shared" ref="N1183:V1183" si="1208">M1183*(1+$D1183)</f>
        <v>1.3579303297990866</v>
      </c>
      <c r="O1183" s="361">
        <f t="shared" si="1208"/>
        <v>1.6173629193071941</v>
      </c>
      <c r="P1183" s="361">
        <f t="shared" si="1208"/>
        <v>1.9263601050408241</v>
      </c>
      <c r="Q1183" s="361">
        <f t="shared" si="1208"/>
        <v>2.2943912031088622</v>
      </c>
      <c r="R1183" s="361">
        <f t="shared" si="1208"/>
        <v>2.732734642462797</v>
      </c>
      <c r="S1183" s="361">
        <f t="shared" si="1208"/>
        <v>3.2548235959052985</v>
      </c>
      <c r="T1183" s="361">
        <f t="shared" si="1208"/>
        <v>3.8766576439029867</v>
      </c>
      <c r="U1183" s="361">
        <f t="shared" si="1208"/>
        <v>4.6172930867706299</v>
      </c>
      <c r="V1183" s="362">
        <f t="shared" si="1208"/>
        <v>5.4994269309981316</v>
      </c>
      <c r="X1183" s="351"/>
    </row>
    <row r="1184" spans="3:24" ht="24.75" customHeight="1" x14ac:dyDescent="0.3">
      <c r="C1184" s="353">
        <f>ABS(E1184-Dashboard!$F$14)</f>
        <v>14.734130640646896</v>
      </c>
      <c r="D1184" s="350">
        <f t="shared" si="1191"/>
        <v>0.19114999999999419</v>
      </c>
      <c r="E1184" s="359" cm="1">
        <f t="array" ref="E1184">1000*SUM('DRE + DCF'!$L$36/M1184,'DRE + DCF'!$N$36:$V$36/N1184:V1184,F1184/V1184)/Dashboard!$F$11</f>
        <v>111.72413064064689</v>
      </c>
      <c r="F1184" s="359">
        <f t="shared" si="1189"/>
        <v>15110009.745381238</v>
      </c>
      <c r="G1184" s="359">
        <f>'DRE + DCF'!$W$31</f>
        <v>2791623.3540418856</v>
      </c>
      <c r="H1184" s="359">
        <f>'DRE + DCF'!$W$32</f>
        <v>81081.931703745853</v>
      </c>
      <c r="I1184" s="359">
        <f>-H1184*('DRE + DCF'!$V$33+K1184)/'DRE + DCF'!$V$33</f>
        <v>-90858.801614444121</v>
      </c>
      <c r="J1184" s="359">
        <f>-'DRE + DCF'!$V$56*L1184</f>
        <v>-1188924.4255577971</v>
      </c>
      <c r="K1184" s="360">
        <f>(1+L1184)/(1+Ke!$O$12)-1</f>
        <v>2.0000000000000018E-2</v>
      </c>
      <c r="L1184" s="360">
        <f>'DRE + DCF'!$Y$31</f>
        <v>7.3550000000000004E-2</v>
      </c>
      <c r="M1184" s="361">
        <f>(1+D1184)^((5-Dashboard!$F$9)*3/12)</f>
        <v>1.1401837347696986</v>
      </c>
      <c r="N1184" s="361">
        <f t="shared" ref="N1184:V1184" si="1209">M1184*(1+$D1184)</f>
        <v>1.3581298556709198</v>
      </c>
      <c r="O1184" s="361">
        <f t="shared" si="1209"/>
        <v>1.6177363775824083</v>
      </c>
      <c r="P1184" s="361">
        <f t="shared" si="1209"/>
        <v>1.9269666861572763</v>
      </c>
      <c r="Q1184" s="361">
        <f t="shared" si="1209"/>
        <v>2.2953063682162282</v>
      </c>
      <c r="R1184" s="361">
        <f t="shared" si="1209"/>
        <v>2.7340541805007468</v>
      </c>
      <c r="S1184" s="361">
        <f t="shared" si="1209"/>
        <v>3.2566686371034486</v>
      </c>
      <c r="T1184" s="361">
        <f t="shared" si="1209"/>
        <v>3.8791808470857538</v>
      </c>
      <c r="U1184" s="361">
        <f t="shared" si="1209"/>
        <v>4.6206862660061727</v>
      </c>
      <c r="V1184" s="362">
        <f t="shared" si="1209"/>
        <v>5.5039304457532259</v>
      </c>
      <c r="X1184" s="351"/>
    </row>
    <row r="1185" spans="3:24" ht="24.75" customHeight="1" x14ac:dyDescent="0.3">
      <c r="C1185" s="353">
        <f>ABS(E1185-Dashboard!$F$14)</f>
        <v>14.634289570450946</v>
      </c>
      <c r="D1185" s="350">
        <f t="shared" si="1191"/>
        <v>0.19124999999999417</v>
      </c>
      <c r="E1185" s="359" cm="1">
        <f t="array" ref="E1185">1000*SUM('DRE + DCF'!$L$36/M1185,'DRE + DCF'!$N$36:$V$36/N1185:V1185,F1185/V1185)/Dashboard!$F$11</f>
        <v>111.62428957045094</v>
      </c>
      <c r="F1185" s="359">
        <f t="shared" si="1189"/>
        <v>15099733.426853444</v>
      </c>
      <c r="G1185" s="359">
        <f>'DRE + DCF'!$W$31</f>
        <v>2791623.3540418856</v>
      </c>
      <c r="H1185" s="359">
        <f>'DRE + DCF'!$W$32</f>
        <v>81081.931703745853</v>
      </c>
      <c r="I1185" s="359">
        <f>-H1185*('DRE + DCF'!$V$33+K1185)/'DRE + DCF'!$V$33</f>
        <v>-90858.801614444121</v>
      </c>
      <c r="J1185" s="359">
        <f>-'DRE + DCF'!$V$56*L1185</f>
        <v>-1188924.4255577971</v>
      </c>
      <c r="K1185" s="360">
        <f>(1+L1185)/(1+Ke!$O$12)-1</f>
        <v>2.0000000000000018E-2</v>
      </c>
      <c r="L1185" s="360">
        <f>'DRE + DCF'!$Y$31</f>
        <v>7.3550000000000004E-2</v>
      </c>
      <c r="M1185" s="361">
        <f>(1+D1185)^((5-Dashboard!$F$9)*3/12)</f>
        <v>1.140255524957964</v>
      </c>
      <c r="N1185" s="361">
        <f t="shared" ref="N1185:V1185" si="1210">M1185*(1+$D1185)</f>
        <v>1.358329394106168</v>
      </c>
      <c r="O1185" s="361">
        <f t="shared" si="1210"/>
        <v>1.6181098907289648</v>
      </c>
      <c r="P1185" s="361">
        <f t="shared" si="1210"/>
        <v>1.9275734073308699</v>
      </c>
      <c r="Q1185" s="361">
        <f t="shared" si="1210"/>
        <v>2.2962218214828876</v>
      </c>
      <c r="R1185" s="361">
        <f t="shared" si="1210"/>
        <v>2.7353742448414762</v>
      </c>
      <c r="S1185" s="361">
        <f t="shared" si="1210"/>
        <v>3.2585145691673927</v>
      </c>
      <c r="T1185" s="361">
        <f t="shared" si="1210"/>
        <v>3.8817054805206372</v>
      </c>
      <c r="U1185" s="361">
        <f t="shared" si="1210"/>
        <v>4.6240816536701868</v>
      </c>
      <c r="V1185" s="362">
        <f t="shared" si="1210"/>
        <v>5.5084372699345829</v>
      </c>
      <c r="X1185" s="351"/>
    </row>
    <row r="1186" spans="3:24" ht="24.75" customHeight="1" x14ac:dyDescent="0.3">
      <c r="C1186" s="353">
        <f>ABS(E1186-Dashboard!$F$14)</f>
        <v>14.534603605927089</v>
      </c>
      <c r="D1186" s="350">
        <f t="shared" si="1191"/>
        <v>0.19134999999999416</v>
      </c>
      <c r="E1186" s="359" cm="1">
        <f t="array" ref="E1186">1000*SUM('DRE + DCF'!$L$36/M1186,'DRE + DCF'!$N$36:$V$36/N1186:V1186,F1186/V1186)/Dashboard!$F$11</f>
        <v>111.52460360592708</v>
      </c>
      <c r="F1186" s="359">
        <f t="shared" si="1189"/>
        <v>15089471.880456887</v>
      </c>
      <c r="G1186" s="359">
        <f>'DRE + DCF'!$W$31</f>
        <v>2791623.3540418856</v>
      </c>
      <c r="H1186" s="359">
        <f>'DRE + DCF'!$W$32</f>
        <v>81081.931703745853</v>
      </c>
      <c r="I1186" s="359">
        <f>-H1186*('DRE + DCF'!$V$33+K1186)/'DRE + DCF'!$V$33</f>
        <v>-90858.801614444121</v>
      </c>
      <c r="J1186" s="359">
        <f>-'DRE + DCF'!$V$56*L1186</f>
        <v>-1188924.4255577971</v>
      </c>
      <c r="K1186" s="360">
        <f>(1+L1186)/(1+Ke!$O$12)-1</f>
        <v>2.0000000000000018E-2</v>
      </c>
      <c r="L1186" s="360">
        <f>'DRE + DCF'!$Y$31</f>
        <v>7.3550000000000004E-2</v>
      </c>
      <c r="M1186" s="361">
        <f>(1+D1186)^((5-Dashboard!$F$9)*3/12)</f>
        <v>1.1403273136396306</v>
      </c>
      <c r="N1186" s="361">
        <f t="shared" ref="N1186:V1186" si="1211">M1186*(1+$D1186)</f>
        <v>1.3585289451045672</v>
      </c>
      <c r="O1186" s="361">
        <f t="shared" si="1211"/>
        <v>1.6184834587503183</v>
      </c>
      <c r="P1186" s="361">
        <f t="shared" si="1211"/>
        <v>1.9281802685821823</v>
      </c>
      <c r="Q1186" s="361">
        <f t="shared" si="1211"/>
        <v>2.2971375629753714</v>
      </c>
      <c r="R1186" s="361">
        <f t="shared" si="1211"/>
        <v>2.7366948356506953</v>
      </c>
      <c r="S1186" s="361">
        <f t="shared" si="1211"/>
        <v>3.2603613924524399</v>
      </c>
      <c r="T1186" s="361">
        <f t="shared" si="1211"/>
        <v>3.8842315448981952</v>
      </c>
      <c r="U1186" s="361">
        <f t="shared" si="1211"/>
        <v>4.6274792510144422</v>
      </c>
      <c r="V1186" s="362">
        <f t="shared" si="1211"/>
        <v>5.5129474056960284</v>
      </c>
      <c r="X1186" s="351"/>
    </row>
    <row r="1187" spans="3:24" ht="24.75" customHeight="1" x14ac:dyDescent="0.3">
      <c r="C1187" s="353">
        <f>ABS(E1187-Dashboard!$F$14)</f>
        <v>14.435072399482422</v>
      </c>
      <c r="D1187" s="350">
        <f t="shared" si="1191"/>
        <v>0.19144999999999415</v>
      </c>
      <c r="E1187" s="359" cm="1">
        <f t="array" ref="E1187">1000*SUM('DRE + DCF'!$L$36/M1187,'DRE + DCF'!$N$36:$V$36/N1187:V1187,F1187/V1187)/Dashboard!$F$11</f>
        <v>111.42507239948242</v>
      </c>
      <c r="F1187" s="359">
        <f t="shared" si="1189"/>
        <v>15079225.072791468</v>
      </c>
      <c r="G1187" s="359">
        <f>'DRE + DCF'!$W$31</f>
        <v>2791623.3540418856</v>
      </c>
      <c r="H1187" s="359">
        <f>'DRE + DCF'!$W$32</f>
        <v>81081.931703745853</v>
      </c>
      <c r="I1187" s="359">
        <f>-H1187*('DRE + DCF'!$V$33+K1187)/'DRE + DCF'!$V$33</f>
        <v>-90858.801614444121</v>
      </c>
      <c r="J1187" s="359">
        <f>-'DRE + DCF'!$V$56*L1187</f>
        <v>-1188924.4255577971</v>
      </c>
      <c r="K1187" s="360">
        <f>(1+L1187)/(1+Ke!$O$12)-1</f>
        <v>2.0000000000000018E-2</v>
      </c>
      <c r="L1187" s="360">
        <f>'DRE + DCF'!$Y$31</f>
        <v>7.3550000000000004E-2</v>
      </c>
      <c r="M1187" s="361">
        <f>(1+D1187)^((5-Dashboard!$F$9)*3/12)</f>
        <v>1.1403991008148564</v>
      </c>
      <c r="N1187" s="361">
        <f t="shared" ref="N1187:V1187" si="1212">M1187*(1+$D1187)</f>
        <v>1.358728508665854</v>
      </c>
      <c r="O1187" s="361">
        <f t="shared" si="1212"/>
        <v>1.6188570816499239</v>
      </c>
      <c r="P1187" s="361">
        <f t="shared" si="1212"/>
        <v>1.9287872699317923</v>
      </c>
      <c r="Q1187" s="361">
        <f t="shared" si="1212"/>
        <v>2.2980535927602226</v>
      </c>
      <c r="R1187" s="361">
        <f t="shared" si="1212"/>
        <v>2.7380159530941537</v>
      </c>
      <c r="S1187" s="361">
        <f t="shared" si="1212"/>
        <v>3.2622091073140131</v>
      </c>
      <c r="T1187" s="361">
        <f t="shared" si="1212"/>
        <v>3.8867590409092618</v>
      </c>
      <c r="U1187" s="361">
        <f t="shared" si="1212"/>
        <v>4.6308790592913169</v>
      </c>
      <c r="V1187" s="362">
        <f t="shared" si="1212"/>
        <v>5.5174608551926125</v>
      </c>
      <c r="X1187" s="351"/>
    </row>
    <row r="1188" spans="3:24" ht="24.75" customHeight="1" x14ac:dyDescent="0.3">
      <c r="C1188" s="353">
        <f>ABS(E1188-Dashboard!$F$14)</f>
        <v>14.335695604573161</v>
      </c>
      <c r="D1188" s="350">
        <f t="shared" si="1191"/>
        <v>0.19154999999999414</v>
      </c>
      <c r="E1188" s="359" cm="1">
        <f t="array" ref="E1188">1000*SUM('DRE + DCF'!$L$36/M1188,'DRE + DCF'!$N$36:$V$36/N1188:V1188,F1188/V1188)/Dashboard!$F$11</f>
        <v>111.32569560457316</v>
      </c>
      <c r="F1188" s="359">
        <f t="shared" si="1189"/>
        <v>15068992.970561586</v>
      </c>
      <c r="G1188" s="359">
        <f>'DRE + DCF'!$W$31</f>
        <v>2791623.3540418856</v>
      </c>
      <c r="H1188" s="359">
        <f>'DRE + DCF'!$W$32</f>
        <v>81081.931703745853</v>
      </c>
      <c r="I1188" s="359">
        <f>-H1188*('DRE + DCF'!$V$33+K1188)/'DRE + DCF'!$V$33</f>
        <v>-90858.801614444121</v>
      </c>
      <c r="J1188" s="359">
        <f>-'DRE + DCF'!$V$56*L1188</f>
        <v>-1188924.4255577971</v>
      </c>
      <c r="K1188" s="360">
        <f>(1+L1188)/(1+Ke!$O$12)-1</f>
        <v>2.0000000000000018E-2</v>
      </c>
      <c r="L1188" s="360">
        <f>'DRE + DCF'!$Y$31</f>
        <v>7.3550000000000004E-2</v>
      </c>
      <c r="M1188" s="361">
        <f>(1+D1188)^((5-Dashboard!$F$9)*3/12)</f>
        <v>1.1404708864837996</v>
      </c>
      <c r="N1188" s="361">
        <f t="shared" ref="N1188:V1188" si="1213">M1188*(1+$D1188)</f>
        <v>1.3589280847897647</v>
      </c>
      <c r="O1188" s="361">
        <f t="shared" si="1213"/>
        <v>1.6192307594312361</v>
      </c>
      <c r="P1188" s="361">
        <f t="shared" si="1213"/>
        <v>1.9293944114002799</v>
      </c>
      <c r="Q1188" s="361">
        <f t="shared" si="1213"/>
        <v>2.2989699109039923</v>
      </c>
      <c r="R1188" s="361">
        <f t="shared" si="1213"/>
        <v>2.7393375973376384</v>
      </c>
      <c r="S1188" s="361">
        <f t="shared" si="1213"/>
        <v>3.264057714107647</v>
      </c>
      <c r="T1188" s="361">
        <f t="shared" si="1213"/>
        <v>3.8892879692449474</v>
      </c>
      <c r="U1188" s="361">
        <f t="shared" si="1213"/>
        <v>4.6342810797537943</v>
      </c>
      <c r="V1188" s="362">
        <f t="shared" si="1213"/>
        <v>5.5219776205806061</v>
      </c>
      <c r="X1188" s="351"/>
    </row>
    <row r="1189" spans="3:24" ht="24.75" customHeight="1" x14ac:dyDescent="0.3">
      <c r="C1189" s="353">
        <f>ABS(E1189-Dashboard!$F$14)</f>
        <v>14.236472875700628</v>
      </c>
      <c r="D1189" s="350">
        <f t="shared" si="1191"/>
        <v>0.19164999999999413</v>
      </c>
      <c r="E1189" s="359" cm="1">
        <f t="array" ref="E1189">1000*SUM('DRE + DCF'!$L$36/M1189,'DRE + DCF'!$N$36:$V$36/N1189:V1189,F1189/V1189)/Dashboard!$F$11</f>
        <v>111.22647287570062</v>
      </c>
      <c r="F1189" s="359">
        <f t="shared" si="1189"/>
        <v>15058775.540575689</v>
      </c>
      <c r="G1189" s="359">
        <f>'DRE + DCF'!$W$31</f>
        <v>2791623.3540418856</v>
      </c>
      <c r="H1189" s="359">
        <f>'DRE + DCF'!$W$32</f>
        <v>81081.931703745853</v>
      </c>
      <c r="I1189" s="359">
        <f>-H1189*('DRE + DCF'!$V$33+K1189)/'DRE + DCF'!$V$33</f>
        <v>-90858.801614444121</v>
      </c>
      <c r="J1189" s="359">
        <f>-'DRE + DCF'!$V$56*L1189</f>
        <v>-1188924.4255577971</v>
      </c>
      <c r="K1189" s="360">
        <f>(1+L1189)/(1+Ke!$O$12)-1</f>
        <v>2.0000000000000018E-2</v>
      </c>
      <c r="L1189" s="360">
        <f>'DRE + DCF'!$Y$31</f>
        <v>7.3550000000000004E-2</v>
      </c>
      <c r="M1189" s="361">
        <f>(1+D1189)^((5-Dashboard!$F$9)*3/12)</f>
        <v>1.1405426706466177</v>
      </c>
      <c r="N1189" s="361">
        <f t="shared" ref="N1189:V1189" si="1214">M1189*(1+$D1189)</f>
        <v>1.3591276734760354</v>
      </c>
      <c r="O1189" s="361">
        <f t="shared" si="1214"/>
        <v>1.6196044920977095</v>
      </c>
      <c r="P1189" s="361">
        <f t="shared" si="1214"/>
        <v>1.930001693008226</v>
      </c>
      <c r="Q1189" s="361">
        <f t="shared" si="1214"/>
        <v>2.299886517473241</v>
      </c>
      <c r="R1189" s="361">
        <f t="shared" si="1214"/>
        <v>2.740659768546974</v>
      </c>
      <c r="S1189" s="361">
        <f t="shared" si="1214"/>
        <v>3.2659072131889855</v>
      </c>
      <c r="T1189" s="361">
        <f t="shared" si="1214"/>
        <v>3.8918183305966352</v>
      </c>
      <c r="U1189" s="361">
        <f t="shared" si="1214"/>
        <v>4.6376853136554574</v>
      </c>
      <c r="V1189" s="362">
        <f t="shared" si="1214"/>
        <v>5.5264977040174985</v>
      </c>
      <c r="X1189" s="351"/>
    </row>
    <row r="1190" spans="3:24" ht="24.75" customHeight="1" x14ac:dyDescent="0.3">
      <c r="C1190" s="353">
        <f>ABS(E1190-Dashboard!$F$14)</f>
        <v>14.137403868406949</v>
      </c>
      <c r="D1190" s="350">
        <f t="shared" si="1191"/>
        <v>0.19174999999999412</v>
      </c>
      <c r="E1190" s="359" cm="1">
        <f t="array" ref="E1190">1000*SUM('DRE + DCF'!$L$36/M1190,'DRE + DCF'!$N$36:$V$36/N1190:V1190,F1190/V1190)/Dashboard!$F$11</f>
        <v>111.12740386840694</v>
      </c>
      <c r="F1190" s="359">
        <f t="shared" si="1189"/>
        <v>15048572.749745876</v>
      </c>
      <c r="G1190" s="359">
        <f>'DRE + DCF'!$W$31</f>
        <v>2791623.3540418856</v>
      </c>
      <c r="H1190" s="359">
        <f>'DRE + DCF'!$W$32</f>
        <v>81081.931703745853</v>
      </c>
      <c r="I1190" s="359">
        <f>-H1190*('DRE + DCF'!$V$33+K1190)/'DRE + DCF'!$V$33</f>
        <v>-90858.801614444121</v>
      </c>
      <c r="J1190" s="359">
        <f>-'DRE + DCF'!$V$56*L1190</f>
        <v>-1188924.4255577971</v>
      </c>
      <c r="K1190" s="360">
        <f>(1+L1190)/(1+Ke!$O$12)-1</f>
        <v>2.0000000000000018E-2</v>
      </c>
      <c r="L1190" s="360">
        <f>'DRE + DCF'!$Y$31</f>
        <v>7.3550000000000004E-2</v>
      </c>
      <c r="M1190" s="361">
        <f>(1+D1190)^((5-Dashboard!$F$9)*3/12)</f>
        <v>1.1406144533034694</v>
      </c>
      <c r="N1190" s="361">
        <f t="shared" ref="N1190:V1190" si="1215">M1190*(1+$D1190)</f>
        <v>1.359327274724403</v>
      </c>
      <c r="O1190" s="361">
        <f t="shared" si="1215"/>
        <v>1.6199782796527993</v>
      </c>
      <c r="P1190" s="361">
        <f t="shared" si="1215"/>
        <v>1.9306091147762139</v>
      </c>
      <c r="Q1190" s="361">
        <f t="shared" si="1215"/>
        <v>2.3008034125345413</v>
      </c>
      <c r="R1190" s="361">
        <f t="shared" si="1215"/>
        <v>2.7419824668880262</v>
      </c>
      <c r="S1190" s="361">
        <f t="shared" si="1215"/>
        <v>3.2677576049137889</v>
      </c>
      <c r="T1190" s="361">
        <f t="shared" si="1215"/>
        <v>3.8943501256559885</v>
      </c>
      <c r="U1190" s="361">
        <f t="shared" si="1215"/>
        <v>4.6410917622505012</v>
      </c>
      <c r="V1190" s="362">
        <f t="shared" si="1215"/>
        <v>5.5310211076620073</v>
      </c>
      <c r="X1190" s="351"/>
    </row>
    <row r="1191" spans="3:24" ht="24.75" customHeight="1" x14ac:dyDescent="0.3">
      <c r="C1191" s="353">
        <f>ABS(E1191-Dashboard!$F$14)</f>
        <v>14.038488239271445</v>
      </c>
      <c r="D1191" s="350">
        <f t="shared" si="1191"/>
        <v>0.19184999999999411</v>
      </c>
      <c r="E1191" s="359" cm="1">
        <f t="array" ref="E1191">1000*SUM('DRE + DCF'!$L$36/M1191,'DRE + DCF'!$N$36:$V$36/N1191:V1191,F1191/V1191)/Dashboard!$F$11</f>
        <v>111.02848823927144</v>
      </c>
      <c r="F1191" s="359">
        <f t="shared" si="1189"/>
        <v>15038384.56508748</v>
      </c>
      <c r="G1191" s="359">
        <f>'DRE + DCF'!$W$31</f>
        <v>2791623.3540418856</v>
      </c>
      <c r="H1191" s="359">
        <f>'DRE + DCF'!$W$32</f>
        <v>81081.931703745853</v>
      </c>
      <c r="I1191" s="359">
        <f>-H1191*('DRE + DCF'!$V$33+K1191)/'DRE + DCF'!$V$33</f>
        <v>-90858.801614444121</v>
      </c>
      <c r="J1191" s="359">
        <f>-'DRE + DCF'!$V$56*L1191</f>
        <v>-1188924.4255577971</v>
      </c>
      <c r="K1191" s="360">
        <f>(1+L1191)/(1+Ke!$O$12)-1</f>
        <v>2.0000000000000018E-2</v>
      </c>
      <c r="L1191" s="360">
        <f>'DRE + DCF'!$Y$31</f>
        <v>7.3550000000000004E-2</v>
      </c>
      <c r="M1191" s="361">
        <f>(1+D1191)^((5-Dashboard!$F$9)*3/12)</f>
        <v>1.1406862344545123</v>
      </c>
      <c r="N1191" s="361">
        <f t="shared" ref="N1191:V1191" si="1216">M1191*(1+$D1191)</f>
        <v>1.3595268885346037</v>
      </c>
      <c r="O1191" s="361">
        <f t="shared" si="1216"/>
        <v>1.6203521220999593</v>
      </c>
      <c r="P1191" s="361">
        <f t="shared" si="1216"/>
        <v>1.9312166767248269</v>
      </c>
      <c r="Q1191" s="361">
        <f t="shared" si="1216"/>
        <v>2.3017205961544733</v>
      </c>
      <c r="R1191" s="361">
        <f t="shared" si="1216"/>
        <v>2.7433056925266954</v>
      </c>
      <c r="S1191" s="361">
        <f t="shared" si="1216"/>
        <v>3.2696088896379258</v>
      </c>
      <c r="T1191" s="361">
        <f t="shared" si="1216"/>
        <v>3.8968833551149427</v>
      </c>
      <c r="U1191" s="361">
        <f t="shared" si="1216"/>
        <v>4.6445004267937211</v>
      </c>
      <c r="V1191" s="362">
        <f t="shared" si="1216"/>
        <v>5.5355478336740687</v>
      </c>
      <c r="X1191" s="351"/>
    </row>
    <row r="1192" spans="3:24" ht="24.75" customHeight="1" x14ac:dyDescent="0.3">
      <c r="C1192" s="353">
        <f>ABS(E1192-Dashboard!$F$14)</f>
        <v>13.939725645906137</v>
      </c>
      <c r="D1192" s="350">
        <f t="shared" si="1191"/>
        <v>0.1919499999999941</v>
      </c>
      <c r="E1192" s="359" cm="1">
        <f t="array" ref="E1192">1000*SUM('DRE + DCF'!$L$36/M1192,'DRE + DCF'!$N$36:$V$36/N1192:V1192,F1192/V1192)/Dashboard!$F$11</f>
        <v>110.92972564590613</v>
      </c>
      <c r="F1192" s="359">
        <f t="shared" si="1189"/>
        <v>15028210.953718645</v>
      </c>
      <c r="G1192" s="359">
        <f>'DRE + DCF'!$W$31</f>
        <v>2791623.3540418856</v>
      </c>
      <c r="H1192" s="359">
        <f>'DRE + DCF'!$W$32</f>
        <v>81081.931703745853</v>
      </c>
      <c r="I1192" s="359">
        <f>-H1192*('DRE + DCF'!$V$33+K1192)/'DRE + DCF'!$V$33</f>
        <v>-90858.801614444121</v>
      </c>
      <c r="J1192" s="359">
        <f>-'DRE + DCF'!$V$56*L1192</f>
        <v>-1188924.4255577971</v>
      </c>
      <c r="K1192" s="360">
        <f>(1+L1192)/(1+Ke!$O$12)-1</f>
        <v>2.0000000000000018E-2</v>
      </c>
      <c r="L1192" s="360">
        <f>'DRE + DCF'!$Y$31</f>
        <v>7.3550000000000004E-2</v>
      </c>
      <c r="M1192" s="361">
        <f>(1+D1192)^((5-Dashboard!$F$9)*3/12)</f>
        <v>1.1407580140999043</v>
      </c>
      <c r="N1192" s="361">
        <f t="shared" ref="N1192:V1192" si="1217">M1192*(1+$D1192)</f>
        <v>1.3597265149063742</v>
      </c>
      <c r="O1192" s="361">
        <f t="shared" si="1217"/>
        <v>1.6207260194426447</v>
      </c>
      <c r="P1192" s="361">
        <f t="shared" si="1217"/>
        <v>1.9318243788746507</v>
      </c>
      <c r="Q1192" s="361">
        <f t="shared" si="1217"/>
        <v>2.3026380683996286</v>
      </c>
      <c r="R1192" s="361">
        <f t="shared" si="1217"/>
        <v>2.7446294456289237</v>
      </c>
      <c r="S1192" s="361">
        <f t="shared" si="1217"/>
        <v>3.2714610677173792</v>
      </c>
      <c r="T1192" s="361">
        <f t="shared" si="1217"/>
        <v>3.8994180196657107</v>
      </c>
      <c r="U1192" s="361">
        <f t="shared" si="1217"/>
        <v>4.6479113085405208</v>
      </c>
      <c r="V1192" s="362">
        <f t="shared" si="1217"/>
        <v>5.5400778842148464</v>
      </c>
      <c r="X1192" s="351"/>
    </row>
    <row r="1193" spans="3:24" ht="24.75" customHeight="1" x14ac:dyDescent="0.3">
      <c r="C1193" s="353">
        <f>ABS(E1193-Dashboard!$F$14)</f>
        <v>13.84111574695217</v>
      </c>
      <c r="D1193" s="350">
        <f t="shared" si="1191"/>
        <v>0.19204999999999409</v>
      </c>
      <c r="E1193" s="359" cm="1">
        <f t="array" ref="E1193">1000*SUM('DRE + DCF'!$L$36/M1193,'DRE + DCF'!$N$36:$V$36/N1193:V1193,F1193/V1193)/Dashboard!$F$11</f>
        <v>110.83111574695216</v>
      </c>
      <c r="F1193" s="359">
        <f t="shared" si="1189"/>
        <v>15018051.882859921</v>
      </c>
      <c r="G1193" s="359">
        <f>'DRE + DCF'!$W$31</f>
        <v>2791623.3540418856</v>
      </c>
      <c r="H1193" s="359">
        <f>'DRE + DCF'!$W$32</f>
        <v>81081.931703745853</v>
      </c>
      <c r="I1193" s="359">
        <f>-H1193*('DRE + DCF'!$V$33+K1193)/'DRE + DCF'!$V$33</f>
        <v>-90858.801614444121</v>
      </c>
      <c r="J1193" s="359">
        <f>-'DRE + DCF'!$V$56*L1193</f>
        <v>-1188924.4255577971</v>
      </c>
      <c r="K1193" s="360">
        <f>(1+L1193)/(1+Ke!$O$12)-1</f>
        <v>2.0000000000000018E-2</v>
      </c>
      <c r="L1193" s="360">
        <f>'DRE + DCF'!$Y$31</f>
        <v>7.3550000000000004E-2</v>
      </c>
      <c r="M1193" s="361">
        <f>(1+D1193)^((5-Dashboard!$F$9)*3/12)</f>
        <v>1.1408297922398034</v>
      </c>
      <c r="N1193" s="361">
        <f t="shared" ref="N1193:V1193" si="1218">M1193*(1+$D1193)</f>
        <v>1.3599261538394509</v>
      </c>
      <c r="O1193" s="361">
        <f t="shared" si="1218"/>
        <v>1.6210999716843093</v>
      </c>
      <c r="P1193" s="361">
        <f t="shared" si="1218"/>
        <v>1.9324322212462712</v>
      </c>
      <c r="Q1193" s="361">
        <f t="shared" si="1218"/>
        <v>2.3035558293366063</v>
      </c>
      <c r="R1193" s="361">
        <f t="shared" si="1218"/>
        <v>2.7459537263606877</v>
      </c>
      <c r="S1193" s="361">
        <f t="shared" si="1218"/>
        <v>3.2733141395082415</v>
      </c>
      <c r="T1193" s="361">
        <f t="shared" si="1218"/>
        <v>3.9019541200007799</v>
      </c>
      <c r="U1193" s="361">
        <f t="shared" si="1218"/>
        <v>4.6513244087469063</v>
      </c>
      <c r="V1193" s="362">
        <f t="shared" si="1218"/>
        <v>5.5446112614467218</v>
      </c>
      <c r="X1193" s="351"/>
    </row>
    <row r="1194" spans="3:24" ht="24.75" customHeight="1" x14ac:dyDescent="0.3">
      <c r="C1194" s="353">
        <f>ABS(E1194-Dashboard!$F$14)</f>
        <v>13.742658202075617</v>
      </c>
      <c r="D1194" s="350">
        <f t="shared" si="1191"/>
        <v>0.19214999999999408</v>
      </c>
      <c r="E1194" s="359" cm="1">
        <f t="array" ref="E1194">1000*SUM('DRE + DCF'!$L$36/M1194,'DRE + DCF'!$N$36:$V$36/N1194:V1194,F1194/V1194)/Dashboard!$F$11</f>
        <v>110.73265820207561</v>
      </c>
      <c r="F1194" s="359">
        <f t="shared" si="1189"/>
        <v>15007907.319833856</v>
      </c>
      <c r="G1194" s="359">
        <f>'DRE + DCF'!$W$31</f>
        <v>2791623.3540418856</v>
      </c>
      <c r="H1194" s="359">
        <f>'DRE + DCF'!$W$32</f>
        <v>81081.931703745853</v>
      </c>
      <c r="I1194" s="359">
        <f>-H1194*('DRE + DCF'!$V$33+K1194)/'DRE + DCF'!$V$33</f>
        <v>-90858.801614444121</v>
      </c>
      <c r="J1194" s="359">
        <f>-'DRE + DCF'!$V$56*L1194</f>
        <v>-1188924.4255577971</v>
      </c>
      <c r="K1194" s="360">
        <f>(1+L1194)/(1+Ke!$O$12)-1</f>
        <v>2.0000000000000018E-2</v>
      </c>
      <c r="L1194" s="360">
        <f>'DRE + DCF'!$Y$31</f>
        <v>7.3550000000000004E-2</v>
      </c>
      <c r="M1194" s="361">
        <f>(1+D1194)^((5-Dashboard!$F$9)*3/12)</f>
        <v>1.1409015688743673</v>
      </c>
      <c r="N1194" s="361">
        <f t="shared" ref="N1194:V1194" si="1219">M1194*(1+$D1194)</f>
        <v>1.3601258053335703</v>
      </c>
      <c r="O1194" s="361">
        <f t="shared" si="1219"/>
        <v>1.6214739788284078</v>
      </c>
      <c r="P1194" s="361">
        <f t="shared" si="1219"/>
        <v>1.9330402038602768</v>
      </c>
      <c r="Q1194" s="361">
        <f t="shared" si="1219"/>
        <v>2.3044738790320176</v>
      </c>
      <c r="R1194" s="361">
        <f t="shared" si="1219"/>
        <v>2.747278534888006</v>
      </c>
      <c r="S1194" s="361">
        <f t="shared" si="1219"/>
        <v>3.2751681053667201</v>
      </c>
      <c r="T1194" s="361">
        <f t="shared" si="1219"/>
        <v>3.9044916568129158</v>
      </c>
      <c r="U1194" s="361">
        <f t="shared" si="1219"/>
        <v>4.6547397286694947</v>
      </c>
      <c r="V1194" s="362">
        <f t="shared" si="1219"/>
        <v>5.54914796753331</v>
      </c>
      <c r="X1194" s="351"/>
    </row>
    <row r="1195" spans="3:24" ht="24.75" customHeight="1" x14ac:dyDescent="0.3">
      <c r="C1195" s="353">
        <f>ABS(E1195-Dashboard!$F$14)</f>
        <v>13.644352671963674</v>
      </c>
      <c r="D1195" s="350">
        <f t="shared" si="1191"/>
        <v>0.19224999999999406</v>
      </c>
      <c r="E1195" s="359" cm="1">
        <f t="array" ref="E1195">1000*SUM('DRE + DCF'!$L$36/M1195,'DRE + DCF'!$N$36:$V$36/N1195:V1195,F1195/V1195)/Dashboard!$F$11</f>
        <v>110.63435267196367</v>
      </c>
      <c r="F1195" s="359">
        <f t="shared" si="1189"/>
        <v>14997777.232064584</v>
      </c>
      <c r="G1195" s="359">
        <f>'DRE + DCF'!$W$31</f>
        <v>2791623.3540418856</v>
      </c>
      <c r="H1195" s="359">
        <f>'DRE + DCF'!$W$32</f>
        <v>81081.931703745853</v>
      </c>
      <c r="I1195" s="359">
        <f>-H1195*('DRE + DCF'!$V$33+K1195)/'DRE + DCF'!$V$33</f>
        <v>-90858.801614444121</v>
      </c>
      <c r="J1195" s="359">
        <f>-'DRE + DCF'!$V$56*L1195</f>
        <v>-1188924.4255577971</v>
      </c>
      <c r="K1195" s="360">
        <f>(1+L1195)/(1+Ke!$O$12)-1</f>
        <v>2.0000000000000018E-2</v>
      </c>
      <c r="L1195" s="360">
        <f>'DRE + DCF'!$Y$31</f>
        <v>7.3550000000000004E-2</v>
      </c>
      <c r="M1195" s="361">
        <f>(1+D1195)^((5-Dashboard!$F$9)*3/12)</f>
        <v>1.1409733440037542</v>
      </c>
      <c r="N1195" s="361">
        <f t="shared" ref="N1195:V1195" si="1220">M1195*(1+$D1195)</f>
        <v>1.360325469388469</v>
      </c>
      <c r="O1195" s="361">
        <f t="shared" si="1220"/>
        <v>1.621848040878394</v>
      </c>
      <c r="P1195" s="361">
        <f t="shared" si="1220"/>
        <v>1.9336483267372555</v>
      </c>
      <c r="Q1195" s="361">
        <f t="shared" si="1220"/>
        <v>2.3053922175524812</v>
      </c>
      <c r="R1195" s="361">
        <f t="shared" si="1220"/>
        <v>2.7486038713769321</v>
      </c>
      <c r="S1195" s="361">
        <f t="shared" si="1220"/>
        <v>3.277022965649131</v>
      </c>
      <c r="T1195" s="361">
        <f t="shared" si="1220"/>
        <v>3.9070306307951568</v>
      </c>
      <c r="U1195" s="361">
        <f t="shared" si="1220"/>
        <v>4.6581572695655025</v>
      </c>
      <c r="V1195" s="362">
        <f t="shared" si="1220"/>
        <v>5.5536880046394428</v>
      </c>
      <c r="X1195" s="351"/>
    </row>
    <row r="1196" spans="3:24" ht="24.75" customHeight="1" x14ac:dyDescent="0.3">
      <c r="C1196" s="353">
        <f>ABS(E1196-Dashboard!$F$14)</f>
        <v>13.546198818320448</v>
      </c>
      <c r="D1196" s="350">
        <f t="shared" si="1191"/>
        <v>0.19234999999999405</v>
      </c>
      <c r="E1196" s="359" cm="1">
        <f t="array" ref="E1196">1000*SUM('DRE + DCF'!$L$36/M1196,'DRE + DCF'!$N$36:$V$36/N1196:V1196,F1196/V1196)/Dashboard!$F$11</f>
        <v>110.53619881832044</v>
      </c>
      <c r="F1196" s="359">
        <f t="shared" si="1189"/>
        <v>14987661.587077424</v>
      </c>
      <c r="G1196" s="359">
        <f>'DRE + DCF'!$W$31</f>
        <v>2791623.3540418856</v>
      </c>
      <c r="H1196" s="359">
        <f>'DRE + DCF'!$W$32</f>
        <v>81081.931703745853</v>
      </c>
      <c r="I1196" s="359">
        <f>-H1196*('DRE + DCF'!$V$33+K1196)/'DRE + DCF'!$V$33</f>
        <v>-90858.801614444121</v>
      </c>
      <c r="J1196" s="359">
        <f>-'DRE + DCF'!$V$56*L1196</f>
        <v>-1188924.4255577971</v>
      </c>
      <c r="K1196" s="360">
        <f>(1+L1196)/(1+Ke!$O$12)-1</f>
        <v>2.0000000000000018E-2</v>
      </c>
      <c r="L1196" s="360">
        <f>'DRE + DCF'!$Y$31</f>
        <v>7.3550000000000004E-2</v>
      </c>
      <c r="M1196" s="361">
        <f>(1+D1196)^((5-Dashboard!$F$9)*3/12)</f>
        <v>1.1410451176281213</v>
      </c>
      <c r="N1196" s="361">
        <f t="shared" ref="N1196:V1196" si="1221">M1196*(1+$D1196)</f>
        <v>1.3605251460038836</v>
      </c>
      <c r="O1196" s="361">
        <f t="shared" si="1221"/>
        <v>1.6222221578377225</v>
      </c>
      <c r="P1196" s="361">
        <f t="shared" si="1221"/>
        <v>1.9342565898977988</v>
      </c>
      <c r="Q1196" s="361">
        <f t="shared" si="1221"/>
        <v>2.3063108449646288</v>
      </c>
      <c r="R1196" s="361">
        <f t="shared" si="1221"/>
        <v>2.7499297359935615</v>
      </c>
      <c r="S1196" s="361">
        <f t="shared" si="1221"/>
        <v>3.2788787207119068</v>
      </c>
      <c r="T1196" s="361">
        <f t="shared" si="1221"/>
        <v>3.9095710426408226</v>
      </c>
      <c r="U1196" s="361">
        <f t="shared" si="1221"/>
        <v>4.6615770326927617</v>
      </c>
      <c r="V1196" s="362">
        <f t="shared" si="1221"/>
        <v>5.5582313749311867</v>
      </c>
      <c r="X1196" s="351"/>
    </row>
    <row r="1197" spans="3:24" ht="24.75" customHeight="1" x14ac:dyDescent="0.3">
      <c r="C1197" s="353">
        <f>ABS(E1197-Dashboard!$F$14)</f>
        <v>13.448196303863512</v>
      </c>
      <c r="D1197" s="350">
        <f t="shared" si="1191"/>
        <v>0.19244999999999404</v>
      </c>
      <c r="E1197" s="359" cm="1">
        <f t="array" ref="E1197">1000*SUM('DRE + DCF'!$L$36/M1197,'DRE + DCF'!$N$36:$V$36/N1197:V1197,F1197/V1197)/Dashboard!$F$11</f>
        <v>110.43819630386351</v>
      </c>
      <c r="F1197" s="359">
        <f t="shared" si="1189"/>
        <v>14977560.352498474</v>
      </c>
      <c r="G1197" s="359">
        <f>'DRE + DCF'!$W$31</f>
        <v>2791623.3540418856</v>
      </c>
      <c r="H1197" s="359">
        <f>'DRE + DCF'!$W$32</f>
        <v>81081.931703745853</v>
      </c>
      <c r="I1197" s="359">
        <f>-H1197*('DRE + DCF'!$V$33+K1197)/'DRE + DCF'!$V$33</f>
        <v>-90858.801614444121</v>
      </c>
      <c r="J1197" s="359">
        <f>-'DRE + DCF'!$V$56*L1197</f>
        <v>-1188924.4255577971</v>
      </c>
      <c r="K1197" s="360">
        <f>(1+L1197)/(1+Ke!$O$12)-1</f>
        <v>2.0000000000000018E-2</v>
      </c>
      <c r="L1197" s="360">
        <f>'DRE + DCF'!$Y$31</f>
        <v>7.3550000000000004E-2</v>
      </c>
      <c r="M1197" s="361">
        <f>(1+D1197)^((5-Dashboard!$F$9)*3/12)</f>
        <v>1.1411168897476271</v>
      </c>
      <c r="N1197" s="361">
        <f t="shared" ref="N1197:V1197" si="1222">M1197*(1+$D1197)</f>
        <v>1.3607248351795511</v>
      </c>
      <c r="O1197" s="361">
        <f t="shared" si="1222"/>
        <v>1.6225963297098476</v>
      </c>
      <c r="P1197" s="361">
        <f t="shared" si="1222"/>
        <v>1.934864993362498</v>
      </c>
      <c r="Q1197" s="361">
        <f t="shared" si="1222"/>
        <v>2.3072297613350989</v>
      </c>
      <c r="R1197" s="361">
        <f t="shared" si="1222"/>
        <v>2.7512561289040249</v>
      </c>
      <c r="S1197" s="361">
        <f t="shared" si="1222"/>
        <v>3.2807353709115881</v>
      </c>
      <c r="T1197" s="361">
        <f t="shared" si="1222"/>
        <v>3.9121128930435036</v>
      </c>
      <c r="U1197" s="361">
        <f t="shared" si="1222"/>
        <v>4.6649990193097022</v>
      </c>
      <c r="V1197" s="362">
        <f t="shared" si="1222"/>
        <v>5.5627780805758267</v>
      </c>
      <c r="X1197" s="351"/>
    </row>
    <row r="1198" spans="3:24" ht="24.75" customHeight="1" x14ac:dyDescent="0.3">
      <c r="C1198" s="353">
        <f>ABS(E1198-Dashboard!$F$14)</f>
        <v>13.350344792319589</v>
      </c>
      <c r="D1198" s="350">
        <f t="shared" si="1191"/>
        <v>0.19254999999999403</v>
      </c>
      <c r="E1198" s="359" cm="1">
        <f t="array" ref="E1198">1000*SUM('DRE + DCF'!$L$36/M1198,'DRE + DCF'!$N$36:$V$36/N1198:V1198,F1198/V1198)/Dashboard!$F$11</f>
        <v>110.34034479231958</v>
      </c>
      <c r="F1198" s="359">
        <f t="shared" si="1189"/>
        <v>14967473.496054206</v>
      </c>
      <c r="G1198" s="359">
        <f>'DRE + DCF'!$W$31</f>
        <v>2791623.3540418856</v>
      </c>
      <c r="H1198" s="359">
        <f>'DRE + DCF'!$W$32</f>
        <v>81081.931703745853</v>
      </c>
      <c r="I1198" s="359">
        <f>-H1198*('DRE + DCF'!$V$33+K1198)/'DRE + DCF'!$V$33</f>
        <v>-90858.801614444121</v>
      </c>
      <c r="J1198" s="359">
        <f>-'DRE + DCF'!$V$56*L1198</f>
        <v>-1188924.4255577971</v>
      </c>
      <c r="K1198" s="360">
        <f>(1+L1198)/(1+Ke!$O$12)-1</f>
        <v>2.0000000000000018E-2</v>
      </c>
      <c r="L1198" s="360">
        <f>'DRE + DCF'!$Y$31</f>
        <v>7.3550000000000004E-2</v>
      </c>
      <c r="M1198" s="361">
        <f>(1+D1198)^((5-Dashboard!$F$9)*3/12)</f>
        <v>1.1411886603624288</v>
      </c>
      <c r="N1198" s="361">
        <f t="shared" ref="N1198:V1198" si="1223">M1198*(1+$D1198)</f>
        <v>1.3609245369152076</v>
      </c>
      <c r="O1198" s="361">
        <f t="shared" si="1223"/>
        <v>1.6229705564982226</v>
      </c>
      <c r="P1198" s="361">
        <f t="shared" si="1223"/>
        <v>1.9354735371519456</v>
      </c>
      <c r="Q1198" s="361">
        <f t="shared" si="1223"/>
        <v>2.308148966730541</v>
      </c>
      <c r="R1198" s="361">
        <f t="shared" si="1223"/>
        <v>2.752583050274493</v>
      </c>
      <c r="S1198" s="361">
        <f t="shared" si="1223"/>
        <v>3.28259291660483</v>
      </c>
      <c r="T1198" s="361">
        <f t="shared" si="1223"/>
        <v>3.9146561826970703</v>
      </c>
      <c r="U1198" s="361">
        <f t="shared" si="1223"/>
        <v>4.6684232306753675</v>
      </c>
      <c r="V1198" s="362">
        <f t="shared" si="1223"/>
        <v>5.5673281237418815</v>
      </c>
      <c r="X1198" s="351"/>
    </row>
    <row r="1199" spans="3:24" ht="24.75" customHeight="1" x14ac:dyDescent="0.3">
      <c r="C1199" s="353">
        <f>ABS(E1199-Dashboard!$F$14)</f>
        <v>13.25264394842074</v>
      </c>
      <c r="D1199" s="350">
        <f t="shared" si="1191"/>
        <v>0.19264999999999402</v>
      </c>
      <c r="E1199" s="359" cm="1">
        <f t="array" ref="E1199">1000*SUM('DRE + DCF'!$L$36/M1199,'DRE + DCF'!$N$36:$V$36/N1199:V1199,F1199/V1199)/Dashboard!$F$11</f>
        <v>110.24264394842074</v>
      </c>
      <c r="F1199" s="359">
        <f t="shared" si="1189"/>
        <v>14957400.985571079</v>
      </c>
      <c r="G1199" s="359">
        <f>'DRE + DCF'!$W$31</f>
        <v>2791623.3540418856</v>
      </c>
      <c r="H1199" s="359">
        <f>'DRE + DCF'!$W$32</f>
        <v>81081.931703745853</v>
      </c>
      <c r="I1199" s="359">
        <f>-H1199*('DRE + DCF'!$V$33+K1199)/'DRE + DCF'!$V$33</f>
        <v>-90858.801614444121</v>
      </c>
      <c r="J1199" s="359">
        <f>-'DRE + DCF'!$V$56*L1199</f>
        <v>-1188924.4255577971</v>
      </c>
      <c r="K1199" s="360">
        <f>(1+L1199)/(1+Ke!$O$12)-1</f>
        <v>2.0000000000000018E-2</v>
      </c>
      <c r="L1199" s="360">
        <f>'DRE + DCF'!$Y$31</f>
        <v>7.3550000000000004E-2</v>
      </c>
      <c r="M1199" s="361">
        <f>(1+D1199)^((5-Dashboard!$F$9)*3/12)</f>
        <v>1.1412604294726842</v>
      </c>
      <c r="N1199" s="361">
        <f t="shared" ref="N1199:V1199" si="1224">M1199*(1+$D1199)</f>
        <v>1.3611242512105901</v>
      </c>
      <c r="O1199" s="361">
        <f t="shared" si="1224"/>
        <v>1.623344838206302</v>
      </c>
      <c r="P1199" s="361">
        <f t="shared" si="1224"/>
        <v>1.9360822212867363</v>
      </c>
      <c r="Q1199" s="361">
        <f t="shared" si="1224"/>
        <v>2.3090684612176147</v>
      </c>
      <c r="R1199" s="361">
        <f t="shared" si="1224"/>
        <v>2.7539105002711741</v>
      </c>
      <c r="S1199" s="361">
        <f t="shared" si="1224"/>
        <v>3.2844513581483992</v>
      </c>
      <c r="T1199" s="361">
        <f t="shared" si="1224"/>
        <v>3.9172009122956686</v>
      </c>
      <c r="U1199" s="361">
        <f t="shared" si="1224"/>
        <v>4.6718496680494059</v>
      </c>
      <c r="V1199" s="362">
        <f t="shared" si="1224"/>
        <v>5.5718815065990963</v>
      </c>
      <c r="X1199" s="351"/>
    </row>
    <row r="1200" spans="3:24" ht="24.75" customHeight="1" x14ac:dyDescent="0.3">
      <c r="C1200" s="353">
        <f>ABS(E1200-Dashboard!$F$14)</f>
        <v>13.155093437900888</v>
      </c>
      <c r="D1200" s="350">
        <f t="shared" si="1191"/>
        <v>0.19274999999999401</v>
      </c>
      <c r="E1200" s="359" cm="1">
        <f t="array" ref="E1200">1000*SUM('DRE + DCF'!$L$36/M1200,'DRE + DCF'!$N$36:$V$36/N1200:V1200,F1200/V1200)/Dashboard!$F$11</f>
        <v>110.14509343790088</v>
      </c>
      <c r="F1200" s="359">
        <f t="shared" si="1189"/>
        <v>14947342.788975123</v>
      </c>
      <c r="G1200" s="359">
        <f>'DRE + DCF'!$W$31</f>
        <v>2791623.3540418856</v>
      </c>
      <c r="H1200" s="359">
        <f>'DRE + DCF'!$W$32</f>
        <v>81081.931703745853</v>
      </c>
      <c r="I1200" s="359">
        <f>-H1200*('DRE + DCF'!$V$33+K1200)/'DRE + DCF'!$V$33</f>
        <v>-90858.801614444121</v>
      </c>
      <c r="J1200" s="359">
        <f>-'DRE + DCF'!$V$56*L1200</f>
        <v>-1188924.4255577971</v>
      </c>
      <c r="K1200" s="360">
        <f>(1+L1200)/(1+Ke!$O$12)-1</f>
        <v>2.0000000000000018E-2</v>
      </c>
      <c r="L1200" s="360">
        <f>'DRE + DCF'!$Y$31</f>
        <v>7.3550000000000004E-2</v>
      </c>
      <c r="M1200" s="361">
        <f>(1+D1200)^((5-Dashboard!$F$9)*3/12)</f>
        <v>1.1413321970785513</v>
      </c>
      <c r="N1200" s="361">
        <f t="shared" ref="N1200:V1200" si="1225">M1200*(1+$D1200)</f>
        <v>1.3613239780654351</v>
      </c>
      <c r="O1200" s="361">
        <f t="shared" si="1225"/>
        <v>1.6237191748375395</v>
      </c>
      <c r="P1200" s="361">
        <f t="shared" si="1225"/>
        <v>1.9366910457874655</v>
      </c>
      <c r="Q1200" s="361">
        <f t="shared" si="1225"/>
        <v>2.3099882448629878</v>
      </c>
      <c r="R1200" s="361">
        <f t="shared" si="1225"/>
        <v>2.7552384790603148</v>
      </c>
      <c r="S1200" s="361">
        <f t="shared" si="1225"/>
        <v>3.2863106958991741</v>
      </c>
      <c r="T1200" s="361">
        <f t="shared" si="1225"/>
        <v>3.91974708253372</v>
      </c>
      <c r="U1200" s="361">
        <f t="shared" si="1225"/>
        <v>4.6752783326920708</v>
      </c>
      <c r="V1200" s="362">
        <f t="shared" si="1225"/>
        <v>5.5764382313184395</v>
      </c>
      <c r="X1200" s="351"/>
    </row>
    <row r="1201" spans="3:24" ht="24.75" customHeight="1" x14ac:dyDescent="0.3">
      <c r="C1201" s="353">
        <f>ABS(E1201-Dashboard!$F$14)</f>
        <v>13.057692927491374</v>
      </c>
      <c r="D1201" s="350">
        <f t="shared" si="1191"/>
        <v>0.192849999999994</v>
      </c>
      <c r="E1201" s="359" cm="1">
        <f t="array" ref="E1201">1000*SUM('DRE + DCF'!$L$36/M1201,'DRE + DCF'!$N$36:$V$36/N1201:V1201,F1201/V1201)/Dashboard!$F$11</f>
        <v>110.04769292749137</v>
      </c>
      <c r="F1201" s="359">
        <f t="shared" si="1189"/>
        <v>14937298.874291562</v>
      </c>
      <c r="G1201" s="359">
        <f>'DRE + DCF'!$W$31</f>
        <v>2791623.3540418856</v>
      </c>
      <c r="H1201" s="359">
        <f>'DRE + DCF'!$W$32</f>
        <v>81081.931703745853</v>
      </c>
      <c r="I1201" s="359">
        <f>-H1201*('DRE + DCF'!$V$33+K1201)/'DRE + DCF'!$V$33</f>
        <v>-90858.801614444121</v>
      </c>
      <c r="J1201" s="359">
        <f>-'DRE + DCF'!$V$56*L1201</f>
        <v>-1188924.4255577971</v>
      </c>
      <c r="K1201" s="360">
        <f>(1+L1201)/(1+Ke!$O$12)-1</f>
        <v>2.0000000000000018E-2</v>
      </c>
      <c r="L1201" s="360">
        <f>'DRE + DCF'!$Y$31</f>
        <v>7.3550000000000004E-2</v>
      </c>
      <c r="M1201" s="361">
        <f>(1+D1201)^((5-Dashboard!$F$9)*3/12)</f>
        <v>1.1414039631801876</v>
      </c>
      <c r="N1201" s="361">
        <f t="shared" ref="N1201:V1201" si="1226">M1201*(1+$D1201)</f>
        <v>1.3615237174794799</v>
      </c>
      <c r="O1201" s="361">
        <f t="shared" si="1226"/>
        <v>1.6240935663953893</v>
      </c>
      <c r="P1201" s="361">
        <f t="shared" si="1226"/>
        <v>1.9373000106747302</v>
      </c>
      <c r="Q1201" s="361">
        <f t="shared" si="1226"/>
        <v>2.3109083177333405</v>
      </c>
      <c r="R1201" s="361">
        <f t="shared" si="1226"/>
        <v>2.7565669868082012</v>
      </c>
      <c r="S1201" s="361">
        <f t="shared" si="1226"/>
        <v>3.2881709302141462</v>
      </c>
      <c r="T1201" s="361">
        <f t="shared" si="1226"/>
        <v>3.9222946941059242</v>
      </c>
      <c r="U1201" s="361">
        <f t="shared" si="1226"/>
        <v>4.6787092258642282</v>
      </c>
      <c r="V1201" s="362">
        <f t="shared" si="1226"/>
        <v>5.5809983000721166</v>
      </c>
      <c r="X1201" s="351"/>
    </row>
    <row r="1202" spans="3:24" ht="24.75" customHeight="1" x14ac:dyDescent="0.3">
      <c r="C1202" s="353">
        <f>ABS(E1202-Dashboard!$F$14)</f>
        <v>12.960442084917702</v>
      </c>
      <c r="D1202" s="350">
        <f t="shared" si="1191"/>
        <v>0.19294999999999399</v>
      </c>
      <c r="E1202" s="359" cm="1">
        <f t="array" ref="E1202">1000*SUM('DRE + DCF'!$L$36/M1202,'DRE + DCF'!$N$36:$V$36/N1202:V1202,F1202/V1202)/Dashboard!$F$11</f>
        <v>109.9504420849177</v>
      </c>
      <c r="F1202" s="359">
        <f t="shared" si="1189"/>
        <v>14927269.209644405</v>
      </c>
      <c r="G1202" s="359">
        <f>'DRE + DCF'!$W$31</f>
        <v>2791623.3540418856</v>
      </c>
      <c r="H1202" s="359">
        <f>'DRE + DCF'!$W$32</f>
        <v>81081.931703745853</v>
      </c>
      <c r="I1202" s="359">
        <f>-H1202*('DRE + DCF'!$V$33+K1202)/'DRE + DCF'!$V$33</f>
        <v>-90858.801614444121</v>
      </c>
      <c r="J1202" s="359">
        <f>-'DRE + DCF'!$V$56*L1202</f>
        <v>-1188924.4255577971</v>
      </c>
      <c r="K1202" s="360">
        <f>(1+L1202)/(1+Ke!$O$12)-1</f>
        <v>2.0000000000000018E-2</v>
      </c>
      <c r="L1202" s="360">
        <f>'DRE + DCF'!$Y$31</f>
        <v>7.3550000000000004E-2</v>
      </c>
      <c r="M1202" s="361">
        <f>(1+D1202)^((5-Dashboard!$F$9)*3/12)</f>
        <v>1.1414757277777505</v>
      </c>
      <c r="N1202" s="361">
        <f t="shared" ref="N1202:V1202" si="1227">M1202*(1+$D1202)</f>
        <v>1.3617234694524607</v>
      </c>
      <c r="O1202" s="361">
        <f t="shared" si="1227"/>
        <v>1.6244680128833047</v>
      </c>
      <c r="P1202" s="361">
        <f t="shared" si="1227"/>
        <v>1.9379091159691284</v>
      </c>
      <c r="Q1202" s="361">
        <f t="shared" si="1227"/>
        <v>2.3118286798953602</v>
      </c>
      <c r="R1202" s="361">
        <f t="shared" si="1227"/>
        <v>2.7578960236811558</v>
      </c>
      <c r="S1202" s="361">
        <f t="shared" si="1227"/>
        <v>3.2900320614504182</v>
      </c>
      <c r="T1202" s="361">
        <f t="shared" si="1227"/>
        <v>3.9248437477072566</v>
      </c>
      <c r="U1202" s="361">
        <f t="shared" si="1227"/>
        <v>4.6821423488273481</v>
      </c>
      <c r="V1202" s="362">
        <f t="shared" si="1227"/>
        <v>5.585561715033557</v>
      </c>
      <c r="X1202" s="351"/>
    </row>
    <row r="1203" spans="3:24" ht="24.75" customHeight="1" x14ac:dyDescent="0.3">
      <c r="C1203" s="353">
        <f>ABS(E1203-Dashboard!$F$14)</f>
        <v>12.863340578895347</v>
      </c>
      <c r="D1203" s="350">
        <f t="shared" si="1191"/>
        <v>0.19304999999999398</v>
      </c>
      <c r="E1203" s="359" cm="1">
        <f t="array" ref="E1203">1000*SUM('DRE + DCF'!$L$36/M1203,'DRE + DCF'!$N$36:$V$36/N1203:V1203,F1203/V1203)/Dashboard!$F$11</f>
        <v>109.85334057889534</v>
      </c>
      <c r="F1203" s="359">
        <f t="shared" si="1189"/>
        <v>14917253.763256062</v>
      </c>
      <c r="G1203" s="359">
        <f>'DRE + DCF'!$W$31</f>
        <v>2791623.3540418856</v>
      </c>
      <c r="H1203" s="359">
        <f>'DRE + DCF'!$W$32</f>
        <v>81081.931703745853</v>
      </c>
      <c r="I1203" s="359">
        <f>-H1203*('DRE + DCF'!$V$33+K1203)/'DRE + DCF'!$V$33</f>
        <v>-90858.801614444121</v>
      </c>
      <c r="J1203" s="359">
        <f>-'DRE + DCF'!$V$56*L1203</f>
        <v>-1188924.4255577971</v>
      </c>
      <c r="K1203" s="360">
        <f>(1+L1203)/(1+Ke!$O$12)-1</f>
        <v>2.0000000000000018E-2</v>
      </c>
      <c r="L1203" s="360">
        <f>'DRE + DCF'!$Y$31</f>
        <v>7.3550000000000004E-2</v>
      </c>
      <c r="M1203" s="361">
        <f>(1+D1203)^((5-Dashboard!$F$9)*3/12)</f>
        <v>1.1415474908713978</v>
      </c>
      <c r="N1203" s="361">
        <f t="shared" ref="N1203:V1203" si="1228">M1203*(1+$D1203)</f>
        <v>1.3619232339841143</v>
      </c>
      <c r="O1203" s="361">
        <f t="shared" si="1228"/>
        <v>1.6248425143047394</v>
      </c>
      <c r="P1203" s="361">
        <f t="shared" si="1228"/>
        <v>1.9385183616912594</v>
      </c>
      <c r="Q1203" s="361">
        <f t="shared" si="1228"/>
        <v>2.3127493314157452</v>
      </c>
      <c r="R1203" s="361">
        <f t="shared" si="1228"/>
        <v>2.7592255898455407</v>
      </c>
      <c r="S1203" s="361">
        <f t="shared" si="1228"/>
        <v>3.2918940899652056</v>
      </c>
      <c r="T1203" s="361">
        <f t="shared" si="1228"/>
        <v>3.9273942440329686</v>
      </c>
      <c r="U1203" s="361">
        <f t="shared" si="1228"/>
        <v>4.6855777028435091</v>
      </c>
      <c r="V1203" s="362">
        <f t="shared" si="1228"/>
        <v>5.5901284783774203</v>
      </c>
      <c r="X1203" s="351"/>
    </row>
    <row r="1204" spans="3:24" ht="24.75" customHeight="1" x14ac:dyDescent="0.3">
      <c r="C1204" s="353">
        <f>ABS(E1204-Dashboard!$F$14)</f>
        <v>12.766388079126187</v>
      </c>
      <c r="D1204" s="350">
        <f t="shared" si="1191"/>
        <v>0.19314999999999397</v>
      </c>
      <c r="E1204" s="359" cm="1">
        <f t="array" ref="E1204">1000*SUM('DRE + DCF'!$L$36/M1204,'DRE + DCF'!$N$36:$V$36/N1204:V1204,F1204/V1204)/Dashboard!$F$11</f>
        <v>109.75638807912618</v>
      </c>
      <c r="F1204" s="359">
        <f t="shared" si="1189"/>
        <v>14907252.503446961</v>
      </c>
      <c r="G1204" s="359">
        <f>'DRE + DCF'!$W$31</f>
        <v>2791623.3540418856</v>
      </c>
      <c r="H1204" s="359">
        <f>'DRE + DCF'!$W$32</f>
        <v>81081.931703745853</v>
      </c>
      <c r="I1204" s="359">
        <f>-H1204*('DRE + DCF'!$V$33+K1204)/'DRE + DCF'!$V$33</f>
        <v>-90858.801614444121</v>
      </c>
      <c r="J1204" s="359">
        <f>-'DRE + DCF'!$V$56*L1204</f>
        <v>-1188924.4255577971</v>
      </c>
      <c r="K1204" s="360">
        <f>(1+L1204)/(1+Ke!$O$12)-1</f>
        <v>2.0000000000000018E-2</v>
      </c>
      <c r="L1204" s="360">
        <f>'DRE + DCF'!$Y$31</f>
        <v>7.3550000000000004E-2</v>
      </c>
      <c r="M1204" s="361">
        <f>(1+D1204)^((5-Dashboard!$F$9)*3/12)</f>
        <v>1.1416192524612871</v>
      </c>
      <c r="N1204" s="361">
        <f t="shared" ref="N1204:V1204" si="1229">M1204*(1+$D1204)</f>
        <v>1.3621230110741778</v>
      </c>
      <c r="O1204" s="361">
        <f t="shared" si="1229"/>
        <v>1.625217070663147</v>
      </c>
      <c r="P1204" s="361">
        <f t="shared" si="1229"/>
        <v>1.9391277478617239</v>
      </c>
      <c r="Q1204" s="361">
        <f t="shared" si="1229"/>
        <v>2.3136702723612039</v>
      </c>
      <c r="R1204" s="361">
        <f t="shared" si="1229"/>
        <v>2.7605556854677564</v>
      </c>
      <c r="S1204" s="361">
        <f t="shared" si="1229"/>
        <v>3.2937570161158369</v>
      </c>
      <c r="T1204" s="361">
        <f t="shared" si="1229"/>
        <v>3.9299461837785907</v>
      </c>
      <c r="U1204" s="361">
        <f t="shared" si="1229"/>
        <v>4.6890152891754013</v>
      </c>
      <c r="V1204" s="362">
        <f t="shared" si="1229"/>
        <v>5.5946985922796015</v>
      </c>
      <c r="X1204" s="351"/>
    </row>
    <row r="1205" spans="3:24" ht="24.75" customHeight="1" x14ac:dyDescent="0.3">
      <c r="C1205" s="353">
        <f>ABS(E1205-Dashboard!$F$14)</f>
        <v>12.669584256294584</v>
      </c>
      <c r="D1205" s="350">
        <f t="shared" si="1191"/>
        <v>0.19324999999999395</v>
      </c>
      <c r="E1205" s="359" cm="1">
        <f t="array" ref="E1205">1000*SUM('DRE + DCF'!$L$36/M1205,'DRE + DCF'!$N$36:$V$36/N1205:V1205,F1205/V1205)/Dashboard!$F$11</f>
        <v>109.65958425629458</v>
      </c>
      <c r="F1205" s="359">
        <f t="shared" si="1189"/>
        <v>14897265.398635142</v>
      </c>
      <c r="G1205" s="359">
        <f>'DRE + DCF'!$W$31</f>
        <v>2791623.3540418856</v>
      </c>
      <c r="H1205" s="359">
        <f>'DRE + DCF'!$W$32</f>
        <v>81081.931703745853</v>
      </c>
      <c r="I1205" s="359">
        <f>-H1205*('DRE + DCF'!$V$33+K1205)/'DRE + DCF'!$V$33</f>
        <v>-90858.801614444121</v>
      </c>
      <c r="J1205" s="359">
        <f>-'DRE + DCF'!$V$56*L1205</f>
        <v>-1188924.4255577971</v>
      </c>
      <c r="K1205" s="360">
        <f>(1+L1205)/(1+Ke!$O$12)-1</f>
        <v>2.0000000000000018E-2</v>
      </c>
      <c r="L1205" s="360">
        <f>'DRE + DCF'!$Y$31</f>
        <v>7.3550000000000004E-2</v>
      </c>
      <c r="M1205" s="361">
        <f>(1+D1205)^((5-Dashboard!$F$9)*3/12)</f>
        <v>1.1416910125475759</v>
      </c>
      <c r="N1205" s="361">
        <f t="shared" ref="N1205:V1205" si="1230">M1205*(1+$D1205)</f>
        <v>1.362322800722388</v>
      </c>
      <c r="O1205" s="361">
        <f t="shared" si="1230"/>
        <v>1.6255916819619811</v>
      </c>
      <c r="P1205" s="361">
        <f t="shared" si="1230"/>
        <v>1.9397372745011241</v>
      </c>
      <c r="Q1205" s="361">
        <f t="shared" si="1230"/>
        <v>2.3145915027984545</v>
      </c>
      <c r="R1205" s="361">
        <f t="shared" si="1230"/>
        <v>2.761886310714242</v>
      </c>
      <c r="S1205" s="361">
        <f t="shared" si="1230"/>
        <v>3.2956208402597524</v>
      </c>
      <c r="T1205" s="361">
        <f t="shared" si="1230"/>
        <v>3.9324995676399297</v>
      </c>
      <c r="U1205" s="361">
        <f t="shared" si="1230"/>
        <v>4.692455109086322</v>
      </c>
      <c r="V1205" s="362">
        <f t="shared" si="1230"/>
        <v>5.5992720589172249</v>
      </c>
      <c r="X1205" s="351"/>
    </row>
    <row r="1206" spans="3:24" ht="24.75" customHeight="1" x14ac:dyDescent="0.3">
      <c r="C1206" s="353">
        <f>ABS(E1206-Dashboard!$F$14)</f>
        <v>12.572928782063798</v>
      </c>
      <c r="D1206" s="350">
        <f t="shared" si="1191"/>
        <v>0.19334999999999394</v>
      </c>
      <c r="E1206" s="359" cm="1">
        <f t="array" ref="E1206">1000*SUM('DRE + DCF'!$L$36/M1206,'DRE + DCF'!$N$36:$V$36/N1206:V1206,F1206/V1206)/Dashboard!$F$11</f>
        <v>109.56292878206379</v>
      </c>
      <c r="F1206" s="359">
        <f t="shared" si="1189"/>
        <v>14887292.417335881</v>
      </c>
      <c r="G1206" s="359">
        <f>'DRE + DCF'!$W$31</f>
        <v>2791623.3540418856</v>
      </c>
      <c r="H1206" s="359">
        <f>'DRE + DCF'!$W$32</f>
        <v>81081.931703745853</v>
      </c>
      <c r="I1206" s="359">
        <f>-H1206*('DRE + DCF'!$V$33+K1206)/'DRE + DCF'!$V$33</f>
        <v>-90858.801614444121</v>
      </c>
      <c r="J1206" s="359">
        <f>-'DRE + DCF'!$V$56*L1206</f>
        <v>-1188924.4255577971</v>
      </c>
      <c r="K1206" s="360">
        <f>(1+L1206)/(1+Ke!$O$12)-1</f>
        <v>2.0000000000000018E-2</v>
      </c>
      <c r="L1206" s="360">
        <f>'DRE + DCF'!$Y$31</f>
        <v>7.3550000000000004E-2</v>
      </c>
      <c r="M1206" s="361">
        <f>(1+D1206)^((5-Dashboard!$F$9)*3/12)</f>
        <v>1.1417627711304217</v>
      </c>
      <c r="N1206" s="361">
        <f t="shared" ref="N1206:V1206" si="1231">M1206*(1+$D1206)</f>
        <v>1.3625226029284818</v>
      </c>
      <c r="O1206" s="361">
        <f t="shared" si="1231"/>
        <v>1.6259663482046955</v>
      </c>
      <c r="P1206" s="361">
        <f t="shared" si="1231"/>
        <v>1.9403469416300636</v>
      </c>
      <c r="Q1206" s="361">
        <f t="shared" si="1231"/>
        <v>2.3155130227942244</v>
      </c>
      <c r="R1206" s="361">
        <f t="shared" si="1231"/>
        <v>2.7632174657514739</v>
      </c>
      <c r="S1206" s="361">
        <f t="shared" si="1231"/>
        <v>3.2974855627545043</v>
      </c>
      <c r="T1206" s="361">
        <f t="shared" si="1231"/>
        <v>3.9350543963130677</v>
      </c>
      <c r="U1206" s="361">
        <f t="shared" si="1231"/>
        <v>4.6958971638401756</v>
      </c>
      <c r="V1206" s="362">
        <f t="shared" si="1231"/>
        <v>5.6038488804686448</v>
      </c>
      <c r="X1206" s="351"/>
    </row>
    <row r="1207" spans="3:24" ht="24.75" customHeight="1" x14ac:dyDescent="0.3">
      <c r="C1207" s="353">
        <f>ABS(E1207-Dashboard!$F$14)</f>
        <v>12.476421329072167</v>
      </c>
      <c r="D1207" s="350">
        <f t="shared" si="1191"/>
        <v>0.19344999999999393</v>
      </c>
      <c r="E1207" s="359" cm="1">
        <f t="array" ref="E1207">1000*SUM('DRE + DCF'!$L$36/M1207,'DRE + DCF'!$N$36:$V$36/N1207:V1207,F1207/V1207)/Dashboard!$F$11</f>
        <v>109.46642132907216</v>
      </c>
      <c r="F1207" s="359">
        <f t="shared" si="1189"/>
        <v>14877333.52816131</v>
      </c>
      <c r="G1207" s="359">
        <f>'DRE + DCF'!$W$31</f>
        <v>2791623.3540418856</v>
      </c>
      <c r="H1207" s="359">
        <f>'DRE + DCF'!$W$32</f>
        <v>81081.931703745853</v>
      </c>
      <c r="I1207" s="359">
        <f>-H1207*('DRE + DCF'!$V$33+K1207)/'DRE + DCF'!$V$33</f>
        <v>-90858.801614444121</v>
      </c>
      <c r="J1207" s="359">
        <f>-'DRE + DCF'!$V$56*L1207</f>
        <v>-1188924.4255577971</v>
      </c>
      <c r="K1207" s="360">
        <f>(1+L1207)/(1+Ke!$O$12)-1</f>
        <v>2.0000000000000018E-2</v>
      </c>
      <c r="L1207" s="360">
        <f>'DRE + DCF'!$Y$31</f>
        <v>7.3550000000000004E-2</v>
      </c>
      <c r="M1207" s="361">
        <f>(1+D1207)^((5-Dashboard!$F$9)*3/12)</f>
        <v>1.1418345282099818</v>
      </c>
      <c r="N1207" s="361">
        <f t="shared" ref="N1207:V1207" si="1232">M1207*(1+$D1207)</f>
        <v>1.3627224176921957</v>
      </c>
      <c r="O1207" s="361">
        <f t="shared" si="1232"/>
        <v>1.6263410693947427</v>
      </c>
      <c r="P1207" s="361">
        <f t="shared" si="1232"/>
        <v>1.9409567492691457</v>
      </c>
      <c r="Q1207" s="361">
        <f t="shared" si="1232"/>
        <v>2.3164348324152502</v>
      </c>
      <c r="R1207" s="361">
        <f t="shared" si="1232"/>
        <v>2.7645491507459661</v>
      </c>
      <c r="S1207" s="361">
        <f t="shared" si="1232"/>
        <v>3.2993511839577563</v>
      </c>
      <c r="T1207" s="361">
        <f t="shared" si="1232"/>
        <v>3.9376106704943643</v>
      </c>
      <c r="U1207" s="361">
        <f t="shared" si="1232"/>
        <v>4.6993414547014751</v>
      </c>
      <c r="V1207" s="362">
        <f t="shared" si="1232"/>
        <v>5.6084290591134467</v>
      </c>
      <c r="X1207" s="351"/>
    </row>
    <row r="1208" spans="3:24" ht="24.75" customHeight="1" x14ac:dyDescent="0.3">
      <c r="C1208" s="353">
        <f>ABS(E1208-Dashboard!$F$14)</f>
        <v>12.380061570929286</v>
      </c>
      <c r="D1208" s="350">
        <f t="shared" si="1191"/>
        <v>0.19354999999999392</v>
      </c>
      <c r="E1208" s="359" cm="1">
        <f t="array" ref="E1208">1000*SUM('DRE + DCF'!$L$36/M1208,'DRE + DCF'!$N$36:$V$36/N1208:V1208,F1208/V1208)/Dashboard!$F$11</f>
        <v>109.37006157092928</v>
      </c>
      <c r="F1208" s="359">
        <f t="shared" si="1189"/>
        <v>14867388.699820032</v>
      </c>
      <c r="G1208" s="359">
        <f>'DRE + DCF'!$W$31</f>
        <v>2791623.3540418856</v>
      </c>
      <c r="H1208" s="359">
        <f>'DRE + DCF'!$W$32</f>
        <v>81081.931703745853</v>
      </c>
      <c r="I1208" s="359">
        <f>-H1208*('DRE + DCF'!$V$33+K1208)/'DRE + DCF'!$V$33</f>
        <v>-90858.801614444121</v>
      </c>
      <c r="J1208" s="359">
        <f>-'DRE + DCF'!$V$56*L1208</f>
        <v>-1188924.4255577971</v>
      </c>
      <c r="K1208" s="360">
        <f>(1+L1208)/(1+Ke!$O$12)-1</f>
        <v>2.0000000000000018E-2</v>
      </c>
      <c r="L1208" s="360">
        <f>'DRE + DCF'!$Y$31</f>
        <v>7.3550000000000004E-2</v>
      </c>
      <c r="M1208" s="361">
        <f>(1+D1208)^((5-Dashboard!$F$9)*3/12)</f>
        <v>1.141906283786414</v>
      </c>
      <c r="N1208" s="361">
        <f t="shared" ref="N1208:V1208" si="1233">M1208*(1+$D1208)</f>
        <v>1.3629222450132674</v>
      </c>
      <c r="O1208" s="361">
        <f t="shared" si="1233"/>
        <v>1.626715845535577</v>
      </c>
      <c r="P1208" s="361">
        <f t="shared" si="1233"/>
        <v>1.941566697438978</v>
      </c>
      <c r="Q1208" s="361">
        <f t="shared" si="1233"/>
        <v>2.3173569317282805</v>
      </c>
      <c r="R1208" s="361">
        <f t="shared" si="1233"/>
        <v>2.7658813658642751</v>
      </c>
      <c r="S1208" s="361">
        <f t="shared" si="1233"/>
        <v>3.3012177042272888</v>
      </c>
      <c r="T1208" s="361">
        <f t="shared" si="1233"/>
        <v>3.9401683908804603</v>
      </c>
      <c r="U1208" s="361">
        <f t="shared" si="1233"/>
        <v>4.7027879829353489</v>
      </c>
      <c r="V1208" s="362">
        <f t="shared" si="1233"/>
        <v>5.6130125970324567</v>
      </c>
      <c r="X1208" s="351"/>
    </row>
    <row r="1209" spans="3:24" ht="24.75" customHeight="1" x14ac:dyDescent="0.3">
      <c r="C1209" s="353">
        <f>ABS(E1209-Dashboard!$F$14)</f>
        <v>12.283849182212592</v>
      </c>
      <c r="D1209" s="350">
        <f t="shared" si="1191"/>
        <v>0.19364999999999391</v>
      </c>
      <c r="E1209" s="359" cm="1">
        <f t="array" ref="E1209">1000*SUM('DRE + DCF'!$L$36/M1209,'DRE + DCF'!$N$36:$V$36/N1209:V1209,F1209/V1209)/Dashboard!$F$11</f>
        <v>109.27384918221259</v>
      </c>
      <c r="F1209" s="359">
        <f t="shared" si="1189"/>
        <v>14857457.901116733</v>
      </c>
      <c r="G1209" s="359">
        <f>'DRE + DCF'!$W$31</f>
        <v>2791623.3540418856</v>
      </c>
      <c r="H1209" s="359">
        <f>'DRE + DCF'!$W$32</f>
        <v>81081.931703745853</v>
      </c>
      <c r="I1209" s="359">
        <f>-H1209*('DRE + DCF'!$V$33+K1209)/'DRE + DCF'!$V$33</f>
        <v>-90858.801614444121</v>
      </c>
      <c r="J1209" s="359">
        <f>-'DRE + DCF'!$V$56*L1209</f>
        <v>-1188924.4255577971</v>
      </c>
      <c r="K1209" s="360">
        <f>(1+L1209)/(1+Ke!$O$12)-1</f>
        <v>2.0000000000000018E-2</v>
      </c>
      <c r="L1209" s="360">
        <f>'DRE + DCF'!$Y$31</f>
        <v>7.3550000000000004E-2</v>
      </c>
      <c r="M1209" s="361">
        <f>(1+D1209)^((5-Dashboard!$F$9)*3/12)</f>
        <v>1.1419780378598754</v>
      </c>
      <c r="N1209" s="361">
        <f t="shared" ref="N1209:V1209" si="1234">M1209*(1+$D1209)</f>
        <v>1.3631220848914334</v>
      </c>
      <c r="O1209" s="361">
        <f t="shared" si="1234"/>
        <v>1.6270906766306512</v>
      </c>
      <c r="P1209" s="361">
        <f t="shared" si="1234"/>
        <v>1.9421767861601669</v>
      </c>
      <c r="Q1209" s="361">
        <f t="shared" si="1234"/>
        <v>2.3182793208000714</v>
      </c>
      <c r="R1209" s="361">
        <f t="shared" si="1234"/>
        <v>2.7672141112729909</v>
      </c>
      <c r="S1209" s="361">
        <f t="shared" si="1234"/>
        <v>3.3030851239209889</v>
      </c>
      <c r="T1209" s="361">
        <f t="shared" si="1234"/>
        <v>3.9427275581682681</v>
      </c>
      <c r="U1209" s="361">
        <f t="shared" si="1234"/>
        <v>4.7062367498075295</v>
      </c>
      <c r="V1209" s="362">
        <f t="shared" si="1234"/>
        <v>5.6175994964077285</v>
      </c>
      <c r="X1209" s="351"/>
    </row>
    <row r="1210" spans="3:24" ht="24.75" customHeight="1" x14ac:dyDescent="0.3">
      <c r="C1210" s="353">
        <f>ABS(E1210-Dashboard!$F$14)</f>
        <v>12.187783838463375</v>
      </c>
      <c r="D1210" s="350">
        <f t="shared" si="1191"/>
        <v>0.1937499999999939</v>
      </c>
      <c r="E1210" s="359" cm="1">
        <f t="array" ref="E1210">1000*SUM('DRE + DCF'!$L$36/M1210,'DRE + DCF'!$N$36:$V$36/N1210:V1210,F1210/V1210)/Dashboard!$F$11</f>
        <v>109.17778383846337</v>
      </c>
      <c r="F1210" s="359">
        <f t="shared" si="1189"/>
        <v>14847541.100951809</v>
      </c>
      <c r="G1210" s="359">
        <f>'DRE + DCF'!$W$31</f>
        <v>2791623.3540418856</v>
      </c>
      <c r="H1210" s="359">
        <f>'DRE + DCF'!$W$32</f>
        <v>81081.931703745853</v>
      </c>
      <c r="I1210" s="359">
        <f>-H1210*('DRE + DCF'!$V$33+K1210)/'DRE + DCF'!$V$33</f>
        <v>-90858.801614444121</v>
      </c>
      <c r="J1210" s="359">
        <f>-'DRE + DCF'!$V$56*L1210</f>
        <v>-1188924.4255577971</v>
      </c>
      <c r="K1210" s="360">
        <f>(1+L1210)/(1+Ke!$O$12)-1</f>
        <v>2.0000000000000018E-2</v>
      </c>
      <c r="L1210" s="360">
        <f>'DRE + DCF'!$Y$31</f>
        <v>7.3550000000000004E-2</v>
      </c>
      <c r="M1210" s="361">
        <f>(1+D1210)^((5-Dashboard!$F$9)*3/12)</f>
        <v>1.1420497904305238</v>
      </c>
      <c r="N1210" s="361">
        <f t="shared" ref="N1210:V1210" si="1235">M1210*(1+$D1210)</f>
        <v>1.3633219373264307</v>
      </c>
      <c r="O1210" s="361">
        <f t="shared" si="1235"/>
        <v>1.6274655626834182</v>
      </c>
      <c r="P1210" s="361">
        <f t="shared" si="1235"/>
        <v>1.9427870154533207</v>
      </c>
      <c r="Q1210" s="361">
        <f t="shared" si="1235"/>
        <v>2.3192019996973898</v>
      </c>
      <c r="R1210" s="361">
        <f t="shared" si="1235"/>
        <v>2.7685473871387449</v>
      </c>
      <c r="S1210" s="361">
        <f t="shared" si="1235"/>
        <v>3.3049534433968599</v>
      </c>
      <c r="T1210" s="361">
        <f t="shared" si="1235"/>
        <v>3.9452881730549811</v>
      </c>
      <c r="U1210" s="361">
        <f t="shared" si="1235"/>
        <v>4.7096877565843593</v>
      </c>
      <c r="V1210" s="362">
        <f t="shared" si="1235"/>
        <v>5.6221897594225503</v>
      </c>
      <c r="X1210" s="351"/>
    </row>
    <row r="1211" spans="3:24" ht="24.75" customHeight="1" x14ac:dyDescent="0.3">
      <c r="C1211" s="353">
        <f>ABS(E1211-Dashboard!$F$14)</f>
        <v>12.091865216183407</v>
      </c>
      <c r="D1211" s="350">
        <f t="shared" si="1191"/>
        <v>0.19384999999999389</v>
      </c>
      <c r="E1211" s="359" cm="1">
        <f t="array" ref="E1211">1000*SUM('DRE + DCF'!$L$36/M1211,'DRE + DCF'!$N$36:$V$36/N1211:V1211,F1211/V1211)/Dashboard!$F$11</f>
        <v>109.0818652161834</v>
      </c>
      <c r="F1211" s="359">
        <f t="shared" si="1189"/>
        <v>14837638.268320993</v>
      </c>
      <c r="G1211" s="359">
        <f>'DRE + DCF'!$W$31</f>
        <v>2791623.3540418856</v>
      </c>
      <c r="H1211" s="359">
        <f>'DRE + DCF'!$W$32</f>
        <v>81081.931703745853</v>
      </c>
      <c r="I1211" s="359">
        <f>-H1211*('DRE + DCF'!$V$33+K1211)/'DRE + DCF'!$V$33</f>
        <v>-90858.801614444121</v>
      </c>
      <c r="J1211" s="359">
        <f>-'DRE + DCF'!$V$56*L1211</f>
        <v>-1188924.4255577971</v>
      </c>
      <c r="K1211" s="360">
        <f>(1+L1211)/(1+Ke!$O$12)-1</f>
        <v>2.0000000000000018E-2</v>
      </c>
      <c r="L1211" s="360">
        <f>'DRE + DCF'!$Y$31</f>
        <v>7.3550000000000004E-2</v>
      </c>
      <c r="M1211" s="361">
        <f>(1+D1211)^((5-Dashboard!$F$9)*3/12)</f>
        <v>1.142121541498516</v>
      </c>
      <c r="N1211" s="361">
        <f t="shared" ref="N1211:V1211" si="1236">M1211*(1+$D1211)</f>
        <v>1.3635218023179962</v>
      </c>
      <c r="O1211" s="361">
        <f t="shared" si="1236"/>
        <v>1.6278405036973314</v>
      </c>
      <c r="P1211" s="361">
        <f t="shared" si="1236"/>
        <v>1.9433973853390489</v>
      </c>
      <c r="Q1211" s="361">
        <f t="shared" si="1236"/>
        <v>2.3201249684870118</v>
      </c>
      <c r="R1211" s="361">
        <f t="shared" si="1236"/>
        <v>2.7698811936282048</v>
      </c>
      <c r="S1211" s="361">
        <f t="shared" si="1236"/>
        <v>3.3068226630130155</v>
      </c>
      <c r="T1211" s="361">
        <f t="shared" si="1236"/>
        <v>3.9478502362380681</v>
      </c>
      <c r="U1211" s="361">
        <f t="shared" si="1236"/>
        <v>4.7131410045327931</v>
      </c>
      <c r="V1211" s="362">
        <f t="shared" si="1236"/>
        <v>5.6267833882614458</v>
      </c>
      <c r="X1211" s="351"/>
    </row>
    <row r="1212" spans="3:24" ht="24.75" customHeight="1" x14ac:dyDescent="0.3">
      <c r="C1212" s="353">
        <f>ABS(E1212-Dashboard!$F$14)</f>
        <v>11.996092992830881</v>
      </c>
      <c r="D1212" s="350">
        <f t="shared" si="1191"/>
        <v>0.19394999999999388</v>
      </c>
      <c r="E1212" s="359" cm="1">
        <f t="array" ref="E1212">1000*SUM('DRE + DCF'!$L$36/M1212,'DRE + DCF'!$N$36:$V$36/N1212:V1212,F1212/V1212)/Dashboard!$F$11</f>
        <v>108.98609299283088</v>
      </c>
      <c r="F1212" s="359">
        <f t="shared" si="1189"/>
        <v>14827749.372314971</v>
      </c>
      <c r="G1212" s="359">
        <f>'DRE + DCF'!$W$31</f>
        <v>2791623.3540418856</v>
      </c>
      <c r="H1212" s="359">
        <f>'DRE + DCF'!$W$32</f>
        <v>81081.931703745853</v>
      </c>
      <c r="I1212" s="359">
        <f>-H1212*('DRE + DCF'!$V$33+K1212)/'DRE + DCF'!$V$33</f>
        <v>-90858.801614444121</v>
      </c>
      <c r="J1212" s="359">
        <f>-'DRE + DCF'!$V$56*L1212</f>
        <v>-1188924.4255577971</v>
      </c>
      <c r="K1212" s="360">
        <f>(1+L1212)/(1+Ke!$O$12)-1</f>
        <v>2.0000000000000018E-2</v>
      </c>
      <c r="L1212" s="360">
        <f>'DRE + DCF'!$Y$31</f>
        <v>7.3550000000000004E-2</v>
      </c>
      <c r="M1212" s="361">
        <f>(1+D1212)^((5-Dashboard!$F$9)*3/12)</f>
        <v>1.1421932910640098</v>
      </c>
      <c r="N1212" s="361">
        <f t="shared" ref="N1212:V1212" si="1237">M1212*(1+$D1212)</f>
        <v>1.3637216798658676</v>
      </c>
      <c r="O1212" s="361">
        <f t="shared" si="1237"/>
        <v>1.6282154996758442</v>
      </c>
      <c r="P1212" s="361">
        <f t="shared" si="1237"/>
        <v>1.9440078958379643</v>
      </c>
      <c r="Q1212" s="361">
        <f t="shared" si="1237"/>
        <v>2.3210482272357256</v>
      </c>
      <c r="R1212" s="361">
        <f t="shared" si="1237"/>
        <v>2.7712155309080804</v>
      </c>
      <c r="S1212" s="361">
        <f t="shared" si="1237"/>
        <v>3.3086927831276856</v>
      </c>
      <c r="T1212" s="361">
        <f t="shared" si="1237"/>
        <v>3.9504137484152797</v>
      </c>
      <c r="U1212" s="361">
        <f t="shared" si="1237"/>
        <v>4.7165964949203989</v>
      </c>
      <c r="V1212" s="362">
        <f t="shared" si="1237"/>
        <v>5.6313803851101811</v>
      </c>
      <c r="X1212" s="351"/>
    </row>
    <row r="1213" spans="3:24" ht="24.75" customHeight="1" x14ac:dyDescent="0.3">
      <c r="C1213" s="353">
        <f>ABS(E1213-Dashboard!$F$14)</f>
        <v>11.90046684681738</v>
      </c>
      <c r="D1213" s="350">
        <f t="shared" si="1191"/>
        <v>0.19404999999999387</v>
      </c>
      <c r="E1213" s="359" cm="1">
        <f t="array" ref="E1213">1000*SUM('DRE + DCF'!$L$36/M1213,'DRE + DCF'!$N$36:$V$36/N1213:V1213,F1213/V1213)/Dashboard!$F$11</f>
        <v>108.89046684681738</v>
      </c>
      <c r="F1213" s="359">
        <f t="shared" si="1189"/>
        <v>14817874.382119017</v>
      </c>
      <c r="G1213" s="359">
        <f>'DRE + DCF'!$W$31</f>
        <v>2791623.3540418856</v>
      </c>
      <c r="H1213" s="359">
        <f>'DRE + DCF'!$W$32</f>
        <v>81081.931703745853</v>
      </c>
      <c r="I1213" s="359">
        <f>-H1213*('DRE + DCF'!$V$33+K1213)/'DRE + DCF'!$V$33</f>
        <v>-90858.801614444121</v>
      </c>
      <c r="J1213" s="359">
        <f>-'DRE + DCF'!$V$56*L1213</f>
        <v>-1188924.4255577971</v>
      </c>
      <c r="K1213" s="360">
        <f>(1+L1213)/(1+Ke!$O$12)-1</f>
        <v>2.0000000000000018E-2</v>
      </c>
      <c r="L1213" s="360">
        <f>'DRE + DCF'!$Y$31</f>
        <v>7.3550000000000004E-2</v>
      </c>
      <c r="M1213" s="361">
        <f>(1+D1213)^((5-Dashboard!$F$9)*3/12)</f>
        <v>1.1422650391271623</v>
      </c>
      <c r="N1213" s="361">
        <f t="shared" ref="N1213:V1213" si="1238">M1213*(1+$D1213)</f>
        <v>1.3639215699697811</v>
      </c>
      <c r="O1213" s="361">
        <f t="shared" si="1238"/>
        <v>1.6285905506224088</v>
      </c>
      <c r="P1213" s="361">
        <f t="shared" si="1238"/>
        <v>1.9446185469706772</v>
      </c>
      <c r="Q1213" s="361">
        <f t="shared" si="1238"/>
        <v>2.3219717760103249</v>
      </c>
      <c r="R1213" s="361">
        <f t="shared" si="1238"/>
        <v>2.7725503991451141</v>
      </c>
      <c r="S1213" s="361">
        <f t="shared" si="1238"/>
        <v>3.3105638040992065</v>
      </c>
      <c r="T1213" s="361">
        <f t="shared" si="1238"/>
        <v>3.9529787102846372</v>
      </c>
      <c r="U1213" s="361">
        <f t="shared" si="1238"/>
        <v>4.7200542290153464</v>
      </c>
      <c r="V1213" s="362">
        <f t="shared" si="1238"/>
        <v>5.6359807521557457</v>
      </c>
      <c r="X1213" s="351"/>
    </row>
    <row r="1214" spans="3:24" ht="24.75" customHeight="1" x14ac:dyDescent="0.3">
      <c r="C1214" s="353">
        <f>ABS(E1214-Dashboard!$F$14)</f>
        <v>11.804986457503702</v>
      </c>
      <c r="D1214" s="350">
        <f t="shared" si="1191"/>
        <v>0.19414999999999386</v>
      </c>
      <c r="E1214" s="359" cm="1">
        <f t="array" ref="E1214">1000*SUM('DRE + DCF'!$L$36/M1214,'DRE + DCF'!$N$36:$V$36/N1214:V1214,F1214/V1214)/Dashboard!$F$11</f>
        <v>108.7949864575037</v>
      </c>
      <c r="F1214" s="359">
        <f t="shared" si="1189"/>
        <v>14808013.267012615</v>
      </c>
      <c r="G1214" s="359">
        <f>'DRE + DCF'!$W$31</f>
        <v>2791623.3540418856</v>
      </c>
      <c r="H1214" s="359">
        <f>'DRE + DCF'!$W$32</f>
        <v>81081.931703745853</v>
      </c>
      <c r="I1214" s="359">
        <f>-H1214*('DRE + DCF'!$V$33+K1214)/'DRE + DCF'!$V$33</f>
        <v>-90858.801614444121</v>
      </c>
      <c r="J1214" s="359">
        <f>-'DRE + DCF'!$V$56*L1214</f>
        <v>-1188924.4255577971</v>
      </c>
      <c r="K1214" s="360">
        <f>(1+L1214)/(1+Ke!$O$12)-1</f>
        <v>2.0000000000000018E-2</v>
      </c>
      <c r="L1214" s="360">
        <f>'DRE + DCF'!$Y$31</f>
        <v>7.3550000000000004E-2</v>
      </c>
      <c r="M1214" s="361">
        <f>(1+D1214)^((5-Dashboard!$F$9)*3/12)</f>
        <v>1.1423367856881308</v>
      </c>
      <c r="N1214" s="361">
        <f t="shared" ref="N1214:V1214" si="1239">M1214*(1+$D1214)</f>
        <v>1.3641214726294744</v>
      </c>
      <c r="O1214" s="361">
        <f t="shared" si="1239"/>
        <v>1.6289656565404784</v>
      </c>
      <c r="P1214" s="361">
        <f t="shared" si="1239"/>
        <v>1.9452293387578024</v>
      </c>
      <c r="Q1214" s="361">
        <f t="shared" si="1239"/>
        <v>2.3228956148776176</v>
      </c>
      <c r="R1214" s="361">
        <f t="shared" si="1239"/>
        <v>2.7738857985060927</v>
      </c>
      <c r="S1214" s="361">
        <f t="shared" si="1239"/>
        <v>3.3124357262860333</v>
      </c>
      <c r="T1214" s="361">
        <f t="shared" si="1239"/>
        <v>3.9555451225444465</v>
      </c>
      <c r="U1214" s="361">
        <f t="shared" si="1239"/>
        <v>4.7235142080864261</v>
      </c>
      <c r="V1214" s="362">
        <f t="shared" si="1239"/>
        <v>5.6405844915863765</v>
      </c>
      <c r="X1214" s="351"/>
    </row>
    <row r="1215" spans="3:24" ht="24.75" customHeight="1" x14ac:dyDescent="0.3">
      <c r="C1215" s="353">
        <f>ABS(E1215-Dashboard!$F$14)</f>
        <v>11.709651505196589</v>
      </c>
      <c r="D1215" s="350">
        <f t="shared" si="1191"/>
        <v>0.19424999999999384</v>
      </c>
      <c r="E1215" s="359" cm="1">
        <f t="array" ref="E1215">1000*SUM('DRE + DCF'!$L$36/M1215,'DRE + DCF'!$N$36:$V$36/N1215:V1215,F1215/V1215)/Dashboard!$F$11</f>
        <v>108.69965150519658</v>
      </c>
      <c r="F1215" s="359">
        <f t="shared" si="1189"/>
        <v>14798165.996369094</v>
      </c>
      <c r="G1215" s="359">
        <f>'DRE + DCF'!$W$31</f>
        <v>2791623.3540418856</v>
      </c>
      <c r="H1215" s="359">
        <f>'DRE + DCF'!$W$32</f>
        <v>81081.931703745853</v>
      </c>
      <c r="I1215" s="359">
        <f>-H1215*('DRE + DCF'!$V$33+K1215)/'DRE + DCF'!$V$33</f>
        <v>-90858.801614444121</v>
      </c>
      <c r="J1215" s="359">
        <f>-'DRE + DCF'!$V$56*L1215</f>
        <v>-1188924.4255577971</v>
      </c>
      <c r="K1215" s="360">
        <f>(1+L1215)/(1+Ke!$O$12)-1</f>
        <v>2.0000000000000018E-2</v>
      </c>
      <c r="L1215" s="360">
        <f>'DRE + DCF'!$Y$31</f>
        <v>7.3550000000000004E-2</v>
      </c>
      <c r="M1215" s="361">
        <f>(1+D1215)^((5-Dashboard!$F$9)*3/12)</f>
        <v>1.1424085307470724</v>
      </c>
      <c r="N1215" s="361">
        <f t="shared" ref="N1215:V1215" si="1240">M1215*(1+$D1215)</f>
        <v>1.364321387844684</v>
      </c>
      <c r="O1215" s="361">
        <f t="shared" si="1240"/>
        <v>1.6293408174335056</v>
      </c>
      <c r="P1215" s="361">
        <f t="shared" si="1240"/>
        <v>1.9458402712199538</v>
      </c>
      <c r="Q1215" s="361">
        <f t="shared" si="1240"/>
        <v>2.3238197439044179</v>
      </c>
      <c r="R1215" s="361">
        <f t="shared" si="1240"/>
        <v>2.7752217291578369</v>
      </c>
      <c r="S1215" s="361">
        <f t="shared" si="1240"/>
        <v>3.3143085500467295</v>
      </c>
      <c r="T1215" s="361">
        <f t="shared" si="1240"/>
        <v>3.9581129858932864</v>
      </c>
      <c r="U1215" s="361">
        <f t="shared" si="1240"/>
        <v>4.7269764334030331</v>
      </c>
      <c r="V1215" s="362">
        <f t="shared" si="1240"/>
        <v>5.6451916055915428</v>
      </c>
      <c r="X1215" s="351"/>
    </row>
    <row r="1216" spans="3:24" ht="24.75" customHeight="1" x14ac:dyDescent="0.3">
      <c r="C1216" s="353">
        <f>ABS(E1216-Dashboard!$F$14)</f>
        <v>11.614461671145051</v>
      </c>
      <c r="D1216" s="350">
        <f t="shared" si="1191"/>
        <v>0.19434999999999383</v>
      </c>
      <c r="E1216" s="359" cm="1">
        <f t="array" ref="E1216">1000*SUM('DRE + DCF'!$L$36/M1216,'DRE + DCF'!$N$36:$V$36/N1216:V1216,F1216/V1216)/Dashboard!$F$11</f>
        <v>108.60446167114505</v>
      </c>
      <c r="F1216" s="359">
        <f t="shared" si="1189"/>
        <v>14788332.539655261</v>
      </c>
      <c r="G1216" s="359">
        <f>'DRE + DCF'!$W$31</f>
        <v>2791623.3540418856</v>
      </c>
      <c r="H1216" s="359">
        <f>'DRE + DCF'!$W$32</f>
        <v>81081.931703745853</v>
      </c>
      <c r="I1216" s="359">
        <f>-H1216*('DRE + DCF'!$V$33+K1216)/'DRE + DCF'!$V$33</f>
        <v>-90858.801614444121</v>
      </c>
      <c r="J1216" s="359">
        <f>-'DRE + DCF'!$V$56*L1216</f>
        <v>-1188924.4255577971</v>
      </c>
      <c r="K1216" s="360">
        <f>(1+L1216)/(1+Ke!$O$12)-1</f>
        <v>2.0000000000000018E-2</v>
      </c>
      <c r="L1216" s="360">
        <f>'DRE + DCF'!$Y$31</f>
        <v>7.3550000000000004E-2</v>
      </c>
      <c r="M1216" s="361">
        <f>(1+D1216)^((5-Dashboard!$F$9)*3/12)</f>
        <v>1.1424802743041447</v>
      </c>
      <c r="N1216" s="361">
        <f t="shared" ref="N1216:V1216" si="1241">M1216*(1+$D1216)</f>
        <v>1.3645213156151481</v>
      </c>
      <c r="O1216" s="361">
        <f t="shared" si="1241"/>
        <v>1.6297160333049436</v>
      </c>
      <c r="P1216" s="361">
        <f t="shared" si="1241"/>
        <v>1.9464513443777494</v>
      </c>
      <c r="Q1216" s="361">
        <f t="shared" si="1241"/>
        <v>2.3247441631575527</v>
      </c>
      <c r="R1216" s="361">
        <f t="shared" si="1241"/>
        <v>2.7765581912672088</v>
      </c>
      <c r="S1216" s="361">
        <f t="shared" si="1241"/>
        <v>3.3161822757399735</v>
      </c>
      <c r="T1216" s="361">
        <f t="shared" si="1241"/>
        <v>3.9606823010300167</v>
      </c>
      <c r="U1216" s="361">
        <f t="shared" si="1241"/>
        <v>4.7304409062351755</v>
      </c>
      <c r="V1216" s="362">
        <f t="shared" si="1241"/>
        <v>5.6498020963619524</v>
      </c>
      <c r="X1216" s="351"/>
    </row>
    <row r="1217" spans="3:24" ht="24.75" customHeight="1" x14ac:dyDescent="0.3">
      <c r="C1217" s="353">
        <f>ABS(E1217-Dashboard!$F$14)</f>
        <v>11.51941663753685</v>
      </c>
      <c r="D1217" s="350">
        <f t="shared" si="1191"/>
        <v>0.19444999999999382</v>
      </c>
      <c r="E1217" s="359" cm="1">
        <f t="array" ref="E1217">1000*SUM('DRE + DCF'!$L$36/M1217,'DRE + DCF'!$N$36:$V$36/N1217:V1217,F1217/V1217)/Dashboard!$F$11</f>
        <v>108.50941663753684</v>
      </c>
      <c r="F1217" s="359">
        <f t="shared" si="1189"/>
        <v>14778512.86643102</v>
      </c>
      <c r="G1217" s="359">
        <f>'DRE + DCF'!$W$31</f>
        <v>2791623.3540418856</v>
      </c>
      <c r="H1217" s="359">
        <f>'DRE + DCF'!$W$32</f>
        <v>81081.931703745853</v>
      </c>
      <c r="I1217" s="359">
        <f>-H1217*('DRE + DCF'!$V$33+K1217)/'DRE + DCF'!$V$33</f>
        <v>-90858.801614444121</v>
      </c>
      <c r="J1217" s="359">
        <f>-'DRE + DCF'!$V$56*L1217</f>
        <v>-1188924.4255577971</v>
      </c>
      <c r="K1217" s="360">
        <f>(1+L1217)/(1+Ke!$O$12)-1</f>
        <v>2.0000000000000018E-2</v>
      </c>
      <c r="L1217" s="360">
        <f>'DRE + DCF'!$Y$31</f>
        <v>7.3550000000000004E-2</v>
      </c>
      <c r="M1217" s="361">
        <f>(1+D1217)^((5-Dashboard!$F$9)*3/12)</f>
        <v>1.1425520163595044</v>
      </c>
      <c r="N1217" s="361">
        <f t="shared" ref="N1217:V1217" si="1242">M1217*(1+$D1217)</f>
        <v>1.364721255940603</v>
      </c>
      <c r="O1217" s="361">
        <f t="shared" si="1242"/>
        <v>1.6300913041582448</v>
      </c>
      <c r="P1217" s="361">
        <f t="shared" si="1242"/>
        <v>1.9470625582518053</v>
      </c>
      <c r="Q1217" s="361">
        <f t="shared" si="1242"/>
        <v>2.3256688727038566</v>
      </c>
      <c r="R1217" s="361">
        <f t="shared" si="1242"/>
        <v>2.7778951850011069</v>
      </c>
      <c r="S1217" s="361">
        <f t="shared" si="1242"/>
        <v>3.3180569037245551</v>
      </c>
      <c r="T1217" s="361">
        <f t="shared" si="1242"/>
        <v>3.9632530686537741</v>
      </c>
      <c r="U1217" s="361">
        <f t="shared" si="1242"/>
        <v>4.7339076278534762</v>
      </c>
      <c r="V1217" s="362">
        <f t="shared" si="1242"/>
        <v>5.6544159660895552</v>
      </c>
      <c r="X1217" s="351"/>
    </row>
    <row r="1218" spans="3:24" ht="24.75" customHeight="1" x14ac:dyDescent="0.3">
      <c r="C1218" s="353">
        <f>ABS(E1218-Dashboard!$F$14)</f>
        <v>11.424516087494837</v>
      </c>
      <c r="D1218" s="350">
        <f t="shared" si="1191"/>
        <v>0.19454999999999381</v>
      </c>
      <c r="E1218" s="359" cm="1">
        <f t="array" ref="E1218">1000*SUM('DRE + DCF'!$L$36/M1218,'DRE + DCF'!$N$36:$V$36/N1218:V1218,F1218/V1218)/Dashboard!$F$11</f>
        <v>108.41451608749483</v>
      </c>
      <c r="F1218" s="359">
        <f t="shared" si="1189"/>
        <v>14768706.94634904</v>
      </c>
      <c r="G1218" s="359">
        <f>'DRE + DCF'!$W$31</f>
        <v>2791623.3540418856</v>
      </c>
      <c r="H1218" s="359">
        <f>'DRE + DCF'!$W$32</f>
        <v>81081.931703745853</v>
      </c>
      <c r="I1218" s="359">
        <f>-H1218*('DRE + DCF'!$V$33+K1218)/'DRE + DCF'!$V$33</f>
        <v>-90858.801614444121</v>
      </c>
      <c r="J1218" s="359">
        <f>-'DRE + DCF'!$V$56*L1218</f>
        <v>-1188924.4255577971</v>
      </c>
      <c r="K1218" s="360">
        <f>(1+L1218)/(1+Ke!$O$12)-1</f>
        <v>2.0000000000000018E-2</v>
      </c>
      <c r="L1218" s="360">
        <f>'DRE + DCF'!$Y$31</f>
        <v>7.3550000000000004E-2</v>
      </c>
      <c r="M1218" s="361">
        <f>(1+D1218)^((5-Dashboard!$F$9)*3/12)</f>
        <v>1.1426237569133091</v>
      </c>
      <c r="N1218" s="361">
        <f t="shared" ref="N1218:V1218" si="1243">M1218*(1+$D1218)</f>
        <v>1.3649212088207863</v>
      </c>
      <c r="O1218" s="361">
        <f t="shared" si="1243"/>
        <v>1.6304666299968618</v>
      </c>
      <c r="P1218" s="361">
        <f t="shared" si="1243"/>
        <v>1.9476739128627412</v>
      </c>
      <c r="Q1218" s="361">
        <f t="shared" si="1243"/>
        <v>2.3265938726101751</v>
      </c>
      <c r="R1218" s="361">
        <f t="shared" si="1243"/>
        <v>2.77923271052647</v>
      </c>
      <c r="S1218" s="361">
        <f t="shared" si="1243"/>
        <v>3.3199324343593775</v>
      </c>
      <c r="T1218" s="361">
        <f t="shared" si="1243"/>
        <v>3.9658252894639738</v>
      </c>
      <c r="U1218" s="361">
        <f t="shared" si="1243"/>
        <v>4.7373765995291652</v>
      </c>
      <c r="V1218" s="362">
        <f t="shared" si="1243"/>
        <v>5.6590332169675346</v>
      </c>
      <c r="X1218" s="351"/>
    </row>
    <row r="1219" spans="3:24" ht="24.75" customHeight="1" x14ac:dyDescent="0.3">
      <c r="C1219" s="353">
        <f>ABS(E1219-Dashboard!$F$14)</f>
        <v>11.329759705073613</v>
      </c>
      <c r="D1219" s="350">
        <f t="shared" si="1191"/>
        <v>0.1946499999999938</v>
      </c>
      <c r="E1219" s="359" cm="1">
        <f t="array" ref="E1219">1000*SUM('DRE + DCF'!$L$36/M1219,'DRE + DCF'!$N$36:$V$36/N1219:V1219,F1219/V1219)/Dashboard!$F$11</f>
        <v>108.31975970507361</v>
      </c>
      <c r="F1219" s="359">
        <f t="shared" si="1189"/>
        <v>14758914.749154354</v>
      </c>
      <c r="G1219" s="359">
        <f>'DRE + DCF'!$W$31</f>
        <v>2791623.3540418856</v>
      </c>
      <c r="H1219" s="359">
        <f>'DRE + DCF'!$W$32</f>
        <v>81081.931703745853</v>
      </c>
      <c r="I1219" s="359">
        <f>-H1219*('DRE + DCF'!$V$33+K1219)/'DRE + DCF'!$V$33</f>
        <v>-90858.801614444121</v>
      </c>
      <c r="J1219" s="359">
        <f>-'DRE + DCF'!$V$56*L1219</f>
        <v>-1188924.4255577971</v>
      </c>
      <c r="K1219" s="360">
        <f>(1+L1219)/(1+Ke!$O$12)-1</f>
        <v>2.0000000000000018E-2</v>
      </c>
      <c r="L1219" s="360">
        <f>'DRE + DCF'!$Y$31</f>
        <v>7.3550000000000004E-2</v>
      </c>
      <c r="M1219" s="361">
        <f>(1+D1219)^((5-Dashboard!$F$9)*3/12)</f>
        <v>1.1426954959657156</v>
      </c>
      <c r="N1219" s="361">
        <f t="shared" ref="N1219:V1219" si="1244">M1219*(1+$D1219)</f>
        <v>1.365121174255435</v>
      </c>
      <c r="O1219" s="361">
        <f t="shared" si="1244"/>
        <v>1.630842010824247</v>
      </c>
      <c r="P1219" s="361">
        <f t="shared" si="1244"/>
        <v>1.9482854082311765</v>
      </c>
      <c r="Q1219" s="361">
        <f t="shared" si="1244"/>
        <v>2.3275191629433629</v>
      </c>
      <c r="R1219" s="361">
        <f t="shared" si="1244"/>
        <v>2.780570768010274</v>
      </c>
      <c r="S1219" s="361">
        <f t="shared" si="1244"/>
        <v>3.3218088680034565</v>
      </c>
      <c r="T1219" s="361">
        <f t="shared" si="1244"/>
        <v>3.9683989641603086</v>
      </c>
      <c r="U1219" s="361">
        <f t="shared" si="1244"/>
        <v>4.7408478225340875</v>
      </c>
      <c r="V1219" s="362">
        <f t="shared" si="1244"/>
        <v>5.6636538511903183</v>
      </c>
      <c r="X1219" s="351"/>
    </row>
    <row r="1220" spans="3:24" ht="24.75" customHeight="1" x14ac:dyDescent="0.3">
      <c r="C1220" s="353">
        <f>ABS(E1220-Dashboard!$F$14)</f>
        <v>11.235147175255804</v>
      </c>
      <c r="D1220" s="350">
        <f t="shared" si="1191"/>
        <v>0.19474999999999379</v>
      </c>
      <c r="E1220" s="359" cm="1">
        <f t="array" ref="E1220">1000*SUM('DRE + DCF'!$L$36/M1220,'DRE + DCF'!$N$36:$V$36/N1220:V1220,F1220/V1220)/Dashboard!$F$11</f>
        <v>108.2251471752558</v>
      </c>
      <c r="F1220" s="359">
        <f t="shared" si="1189"/>
        <v>14749136.244684022</v>
      </c>
      <c r="G1220" s="359">
        <f>'DRE + DCF'!$W$31</f>
        <v>2791623.3540418856</v>
      </c>
      <c r="H1220" s="359">
        <f>'DRE + DCF'!$W$32</f>
        <v>81081.931703745853</v>
      </c>
      <c r="I1220" s="359">
        <f>-H1220*('DRE + DCF'!$V$33+K1220)/'DRE + DCF'!$V$33</f>
        <v>-90858.801614444121</v>
      </c>
      <c r="J1220" s="359">
        <f>-'DRE + DCF'!$V$56*L1220</f>
        <v>-1188924.4255577971</v>
      </c>
      <c r="K1220" s="360">
        <f>(1+L1220)/(1+Ke!$O$12)-1</f>
        <v>2.0000000000000018E-2</v>
      </c>
      <c r="L1220" s="360">
        <f>'DRE + DCF'!$Y$31</f>
        <v>7.3550000000000004E-2</v>
      </c>
      <c r="M1220" s="361">
        <f>(1+D1220)^((5-Dashboard!$F$9)*3/12)</f>
        <v>1.1427672335168813</v>
      </c>
      <c r="N1220" s="361">
        <f t="shared" ref="N1220:V1220" si="1245">M1220*(1+$D1220)</f>
        <v>1.3653211522442867</v>
      </c>
      <c r="O1220" s="361">
        <f t="shared" si="1245"/>
        <v>1.6312174466438532</v>
      </c>
      <c r="P1220" s="361">
        <f t="shared" si="1245"/>
        <v>1.9488970443777334</v>
      </c>
      <c r="Q1220" s="361">
        <f t="shared" si="1245"/>
        <v>2.3284447437702847</v>
      </c>
      <c r="R1220" s="361">
        <f t="shared" si="1245"/>
        <v>2.7819093576195328</v>
      </c>
      <c r="S1220" s="361">
        <f t="shared" si="1245"/>
        <v>3.3236862050159197</v>
      </c>
      <c r="T1220" s="361">
        <f t="shared" si="1245"/>
        <v>3.9709740934427495</v>
      </c>
      <c r="U1220" s="361">
        <f t="shared" si="1245"/>
        <v>4.7443212981406999</v>
      </c>
      <c r="V1220" s="362">
        <f t="shared" si="1245"/>
        <v>5.6682778709535713</v>
      </c>
      <c r="X1220" s="351"/>
    </row>
    <row r="1221" spans="3:24" ht="24.75" customHeight="1" x14ac:dyDescent="0.3">
      <c r="C1221" s="353">
        <f>ABS(E1221-Dashboard!$F$14)</f>
        <v>11.140678183948793</v>
      </c>
      <c r="D1221" s="350">
        <f t="shared" si="1191"/>
        <v>0.19484999999999378</v>
      </c>
      <c r="E1221" s="359" cm="1">
        <f t="array" ref="E1221">1000*SUM('DRE + DCF'!$L$36/M1221,'DRE + DCF'!$N$36:$V$36/N1221:V1221,F1221/V1221)/Dashboard!$F$11</f>
        <v>108.13067818394879</v>
      </c>
      <c r="F1221" s="359">
        <f t="shared" si="1189"/>
        <v>14739371.402866768</v>
      </c>
      <c r="G1221" s="359">
        <f>'DRE + DCF'!$W$31</f>
        <v>2791623.3540418856</v>
      </c>
      <c r="H1221" s="359">
        <f>'DRE + DCF'!$W$32</f>
        <v>81081.931703745853</v>
      </c>
      <c r="I1221" s="359">
        <f>-H1221*('DRE + DCF'!$V$33+K1221)/'DRE + DCF'!$V$33</f>
        <v>-90858.801614444121</v>
      </c>
      <c r="J1221" s="359">
        <f>-'DRE + DCF'!$V$56*L1221</f>
        <v>-1188924.4255577971</v>
      </c>
      <c r="K1221" s="360">
        <f>(1+L1221)/(1+Ke!$O$12)-1</f>
        <v>2.0000000000000018E-2</v>
      </c>
      <c r="L1221" s="360">
        <f>'DRE + DCF'!$Y$31</f>
        <v>7.3550000000000004E-2</v>
      </c>
      <c r="M1221" s="361">
        <f>(1+D1221)^((5-Dashboard!$F$9)*3/12)</f>
        <v>1.1428389695669627</v>
      </c>
      <c r="N1221" s="361">
        <f t="shared" ref="N1221:V1221" si="1246">M1221*(1+$D1221)</f>
        <v>1.3655211427870784</v>
      </c>
      <c r="O1221" s="361">
        <f t="shared" si="1246"/>
        <v>1.631592937459132</v>
      </c>
      <c r="P1221" s="361">
        <f t="shared" si="1246"/>
        <v>1.9495088213230336</v>
      </c>
      <c r="Q1221" s="361">
        <f t="shared" si="1246"/>
        <v>2.3293706151578144</v>
      </c>
      <c r="R1221" s="361">
        <f t="shared" si="1246"/>
        <v>2.7832484795212999</v>
      </c>
      <c r="S1221" s="361">
        <f t="shared" si="1246"/>
        <v>3.3255644457560076</v>
      </c>
      <c r="T1221" s="361">
        <f t="shared" si="1246"/>
        <v>3.973550678011545</v>
      </c>
      <c r="U1221" s="361">
        <f t="shared" si="1246"/>
        <v>4.7477970276220693</v>
      </c>
      <c r="V1221" s="362">
        <f t="shared" si="1246"/>
        <v>5.6729052784542002</v>
      </c>
      <c r="X1221" s="351"/>
    </row>
    <row r="1222" spans="3:24" ht="24.75" customHeight="1" x14ac:dyDescent="0.3">
      <c r="C1222" s="353">
        <f>ABS(E1222-Dashboard!$F$14)</f>
        <v>11.046352417981055</v>
      </c>
      <c r="D1222" s="350">
        <f t="shared" si="1191"/>
        <v>0.19494999999999377</v>
      </c>
      <c r="E1222" s="359" cm="1">
        <f t="array" ref="E1222">1000*SUM('DRE + DCF'!$L$36/M1222,'DRE + DCF'!$N$36:$V$36/N1222:V1222,F1222/V1222)/Dashboard!$F$11</f>
        <v>108.03635241798105</v>
      </c>
      <c r="F1222" s="359">
        <f t="shared" si="1189"/>
        <v>14729620.193722617</v>
      </c>
      <c r="G1222" s="359">
        <f>'DRE + DCF'!$W$31</f>
        <v>2791623.3540418856</v>
      </c>
      <c r="H1222" s="359">
        <f>'DRE + DCF'!$W$32</f>
        <v>81081.931703745853</v>
      </c>
      <c r="I1222" s="359">
        <f>-H1222*('DRE + DCF'!$V$33+K1222)/'DRE + DCF'!$V$33</f>
        <v>-90858.801614444121</v>
      </c>
      <c r="J1222" s="359">
        <f>-'DRE + DCF'!$V$56*L1222</f>
        <v>-1188924.4255577971</v>
      </c>
      <c r="K1222" s="360">
        <f>(1+L1222)/(1+Ke!$O$12)-1</f>
        <v>2.0000000000000018E-2</v>
      </c>
      <c r="L1222" s="360">
        <f>'DRE + DCF'!$Y$31</f>
        <v>7.3550000000000004E-2</v>
      </c>
      <c r="M1222" s="361">
        <f>(1+D1222)^((5-Dashboard!$F$9)*3/12)</f>
        <v>1.1429107041161175</v>
      </c>
      <c r="N1222" s="361">
        <f t="shared" ref="N1222:V1222" si="1247">M1222*(1+$D1222)</f>
        <v>1.3657211458835474</v>
      </c>
      <c r="O1222" s="361">
        <f t="shared" si="1247"/>
        <v>1.6319684832735364</v>
      </c>
      <c r="P1222" s="361">
        <f t="shared" si="1247"/>
        <v>1.950120739087702</v>
      </c>
      <c r="Q1222" s="361">
        <f t="shared" si="1247"/>
        <v>2.3302967771728373</v>
      </c>
      <c r="R1222" s="361">
        <f t="shared" si="1247"/>
        <v>2.7845881338826675</v>
      </c>
      <c r="S1222" s="361">
        <f t="shared" si="1247"/>
        <v>3.3274435905830759</v>
      </c>
      <c r="T1222" s="361">
        <f t="shared" si="1247"/>
        <v>3.9761287185672258</v>
      </c>
      <c r="U1222" s="361">
        <f t="shared" si="1247"/>
        <v>4.7512750122518819</v>
      </c>
      <c r="V1222" s="362">
        <f t="shared" si="1247"/>
        <v>5.6775360758903561</v>
      </c>
      <c r="X1222" s="351"/>
    </row>
    <row r="1223" spans="3:24" ht="24.75" customHeight="1" x14ac:dyDescent="0.3">
      <c r="C1223" s="353">
        <f>ABS(E1223-Dashboard!$F$14)</f>
        <v>10.952169565098757</v>
      </c>
      <c r="D1223" s="350">
        <f t="shared" si="1191"/>
        <v>0.19504999999999376</v>
      </c>
      <c r="E1223" s="359" cm="1">
        <f t="array" ref="E1223">1000*SUM('DRE + DCF'!$L$36/M1223,'DRE + DCF'!$N$36:$V$36/N1223:V1223,F1223/V1223)/Dashboard!$F$11</f>
        <v>107.94216956509875</v>
      </c>
      <c r="F1223" s="359">
        <f t="shared" si="1189"/>
        <v>14719882.587362545</v>
      </c>
      <c r="G1223" s="359">
        <f>'DRE + DCF'!$W$31</f>
        <v>2791623.3540418856</v>
      </c>
      <c r="H1223" s="359">
        <f>'DRE + DCF'!$W$32</f>
        <v>81081.931703745853</v>
      </c>
      <c r="I1223" s="359">
        <f>-H1223*('DRE + DCF'!$V$33+K1223)/'DRE + DCF'!$V$33</f>
        <v>-90858.801614444121</v>
      </c>
      <c r="J1223" s="359">
        <f>-'DRE + DCF'!$V$56*L1223</f>
        <v>-1188924.4255577971</v>
      </c>
      <c r="K1223" s="360">
        <f>(1+L1223)/(1+Ke!$O$12)-1</f>
        <v>2.0000000000000018E-2</v>
      </c>
      <c r="L1223" s="360">
        <f>'DRE + DCF'!$Y$31</f>
        <v>7.3550000000000004E-2</v>
      </c>
      <c r="M1223" s="361">
        <f>(1+D1223)^((5-Dashboard!$F$9)*3/12)</f>
        <v>1.1429824371645023</v>
      </c>
      <c r="N1223" s="361">
        <f t="shared" ref="N1223:V1223" si="1248">M1223*(1+$D1223)</f>
        <v>1.3659211615334312</v>
      </c>
      <c r="O1223" s="361">
        <f t="shared" si="1248"/>
        <v>1.6323440840905183</v>
      </c>
      <c r="P1223" s="361">
        <f t="shared" si="1248"/>
        <v>1.9507327976923636</v>
      </c>
      <c r="Q1223" s="361">
        <f t="shared" si="1248"/>
        <v>2.3312232298822471</v>
      </c>
      <c r="R1223" s="361">
        <f t="shared" si="1248"/>
        <v>2.7859283208707648</v>
      </c>
      <c r="S1223" s="361">
        <f t="shared" si="1248"/>
        <v>3.32932363985659</v>
      </c>
      <c r="T1223" s="361">
        <f t="shared" si="1248"/>
        <v>3.9787082158105971</v>
      </c>
      <c r="U1223" s="361">
        <f t="shared" si="1248"/>
        <v>4.7547552533044293</v>
      </c>
      <c r="V1223" s="362">
        <f t="shared" si="1248"/>
        <v>5.6821702654614281</v>
      </c>
      <c r="X1223" s="351"/>
    </row>
    <row r="1224" spans="3:24" ht="24.75" customHeight="1" x14ac:dyDescent="0.3">
      <c r="C1224" s="353">
        <f>ABS(E1224-Dashboard!$F$14)</f>
        <v>10.858129313962351</v>
      </c>
      <c r="D1224" s="350">
        <f t="shared" si="1191"/>
        <v>0.19514999999999375</v>
      </c>
      <c r="E1224" s="359" cm="1">
        <f t="array" ref="E1224">1000*SUM('DRE + DCF'!$L$36/M1224,'DRE + DCF'!$N$36:$V$36/N1224:V1224,F1224/V1224)/Dashboard!$F$11</f>
        <v>107.84812931396235</v>
      </c>
      <c r="F1224" s="359">
        <f t="shared" si="1189"/>
        <v>14710158.553988118</v>
      </c>
      <c r="G1224" s="359">
        <f>'DRE + DCF'!$W$31</f>
        <v>2791623.3540418856</v>
      </c>
      <c r="H1224" s="359">
        <f>'DRE + DCF'!$W$32</f>
        <v>81081.931703745853</v>
      </c>
      <c r="I1224" s="359">
        <f>-H1224*('DRE + DCF'!$V$33+K1224)/'DRE + DCF'!$V$33</f>
        <v>-90858.801614444121</v>
      </c>
      <c r="J1224" s="359">
        <f>-'DRE + DCF'!$V$56*L1224</f>
        <v>-1188924.4255577971</v>
      </c>
      <c r="K1224" s="360">
        <f>(1+L1224)/(1+Ke!$O$12)-1</f>
        <v>2.0000000000000018E-2</v>
      </c>
      <c r="L1224" s="360">
        <f>'DRE + DCF'!$Y$31</f>
        <v>7.3550000000000004E-2</v>
      </c>
      <c r="M1224" s="361">
        <f>(1+D1224)^((5-Dashboard!$F$9)*3/12)</f>
        <v>1.1430541687122744</v>
      </c>
      <c r="N1224" s="361">
        <f t="shared" ref="N1224:V1224" si="1249">M1224*(1+$D1224)</f>
        <v>1.3661211897364676</v>
      </c>
      <c r="O1224" s="361">
        <f t="shared" si="1249"/>
        <v>1.6327197399135307</v>
      </c>
      <c r="P1224" s="361">
        <f t="shared" si="1249"/>
        <v>1.951344997157646</v>
      </c>
      <c r="Q1224" s="361">
        <f t="shared" si="1249"/>
        <v>2.3321499733529483</v>
      </c>
      <c r="R1224" s="361">
        <f t="shared" si="1249"/>
        <v>2.7872690406527614</v>
      </c>
      <c r="S1224" s="361">
        <f t="shared" si="1249"/>
        <v>3.3312045939361301</v>
      </c>
      <c r="T1224" s="361">
        <f t="shared" si="1249"/>
        <v>3.9812891704427451</v>
      </c>
      <c r="U1224" s="361">
        <f t="shared" si="1249"/>
        <v>4.7582377520546215</v>
      </c>
      <c r="V1224" s="362">
        <f t="shared" si="1249"/>
        <v>5.6868078493680514</v>
      </c>
      <c r="X1224" s="351"/>
    </row>
    <row r="1225" spans="3:24" ht="24.75" customHeight="1" x14ac:dyDescent="0.3">
      <c r="C1225" s="353">
        <f>ABS(E1225-Dashboard!$F$14)</f>
        <v>10.764231354143135</v>
      </c>
      <c r="D1225" s="350">
        <f t="shared" si="1191"/>
        <v>0.19524999999999373</v>
      </c>
      <c r="E1225" s="359" cm="1">
        <f t="array" ref="E1225">1000*SUM('DRE + DCF'!$L$36/M1225,'DRE + DCF'!$N$36:$V$36/N1225:V1225,F1225/V1225)/Dashboard!$F$11</f>
        <v>107.75423135414313</v>
      </c>
      <c r="F1225" s="359">
        <f t="shared" si="1189"/>
        <v>14700448.063891148</v>
      </c>
      <c r="G1225" s="359">
        <f>'DRE + DCF'!$W$31</f>
        <v>2791623.3540418856</v>
      </c>
      <c r="H1225" s="359">
        <f>'DRE + DCF'!$W$32</f>
        <v>81081.931703745853</v>
      </c>
      <c r="I1225" s="359">
        <f>-H1225*('DRE + DCF'!$V$33+K1225)/'DRE + DCF'!$V$33</f>
        <v>-90858.801614444121</v>
      </c>
      <c r="J1225" s="359">
        <f>-'DRE + DCF'!$V$56*L1225</f>
        <v>-1188924.4255577971</v>
      </c>
      <c r="K1225" s="360">
        <f>(1+L1225)/(1+Ke!$O$12)-1</f>
        <v>2.0000000000000018E-2</v>
      </c>
      <c r="L1225" s="360">
        <f>'DRE + DCF'!$Y$31</f>
        <v>7.3550000000000004E-2</v>
      </c>
      <c r="M1225" s="361">
        <f>(1+D1225)^((5-Dashboard!$F$9)*3/12)</f>
        <v>1.1431258987595903</v>
      </c>
      <c r="N1225" s="361">
        <f t="shared" ref="N1225:V1225" si="1250">M1225*(1+$D1225)</f>
        <v>1.3663212304923931</v>
      </c>
      <c r="O1225" s="361">
        <f t="shared" si="1250"/>
        <v>1.6330954507460242</v>
      </c>
      <c r="P1225" s="361">
        <f t="shared" si="1250"/>
        <v>1.9519573375041752</v>
      </c>
      <c r="Q1225" s="361">
        <f t="shared" si="1250"/>
        <v>2.3330770076518532</v>
      </c>
      <c r="R1225" s="361">
        <f t="shared" si="1250"/>
        <v>2.788610293395863</v>
      </c>
      <c r="S1225" s="361">
        <f t="shared" si="1250"/>
        <v>3.3330864531813877</v>
      </c>
      <c r="T1225" s="361">
        <f t="shared" si="1250"/>
        <v>3.9838715831650329</v>
      </c>
      <c r="U1225" s="361">
        <f t="shared" si="1250"/>
        <v>4.7617225097779805</v>
      </c>
      <c r="V1225" s="362">
        <f t="shared" si="1250"/>
        <v>5.6914488298121011</v>
      </c>
      <c r="X1225" s="351"/>
    </row>
    <row r="1226" spans="3:24" ht="24.75" customHeight="1" x14ac:dyDescent="0.3">
      <c r="C1226" s="353">
        <f>ABS(E1226-Dashboard!$F$14)</f>
        <v>10.670475376119782</v>
      </c>
      <c r="D1226" s="350">
        <f t="shared" si="1191"/>
        <v>0.19534999999999372</v>
      </c>
      <c r="E1226" s="359" cm="1">
        <f t="array" ref="E1226">1000*SUM('DRE + DCF'!$L$36/M1226,'DRE + DCF'!$N$36:$V$36/N1226:V1226,F1226/V1226)/Dashboard!$F$11</f>
        <v>107.66047537611978</v>
      </c>
      <c r="F1226" s="359">
        <f t="shared" si="1189"/>
        <v>14690751.087453336</v>
      </c>
      <c r="G1226" s="359">
        <f>'DRE + DCF'!$W$31</f>
        <v>2791623.3540418856</v>
      </c>
      <c r="H1226" s="359">
        <f>'DRE + DCF'!$W$32</f>
        <v>81081.931703745853</v>
      </c>
      <c r="I1226" s="359">
        <f>-H1226*('DRE + DCF'!$V$33+K1226)/'DRE + DCF'!$V$33</f>
        <v>-90858.801614444121</v>
      </c>
      <c r="J1226" s="359">
        <f>-'DRE + DCF'!$V$56*L1226</f>
        <v>-1188924.4255577971</v>
      </c>
      <c r="K1226" s="360">
        <f>(1+L1226)/(1+Ke!$O$12)-1</f>
        <v>2.0000000000000018E-2</v>
      </c>
      <c r="L1226" s="360">
        <f>'DRE + DCF'!$Y$31</f>
        <v>7.3550000000000004E-2</v>
      </c>
      <c r="M1226" s="361">
        <f>(1+D1226)^((5-Dashboard!$F$9)*3/12)</f>
        <v>1.1431976273066073</v>
      </c>
      <c r="N1226" s="361">
        <f t="shared" ref="N1226:V1226" si="1251">M1226*(1+$D1226)</f>
        <v>1.366521283800946</v>
      </c>
      <c r="O1226" s="361">
        <f t="shared" si="1251"/>
        <v>1.6334712165914522</v>
      </c>
      <c r="P1226" s="361">
        <f t="shared" si="1251"/>
        <v>1.9525698187525822</v>
      </c>
      <c r="Q1226" s="361">
        <f t="shared" si="1251"/>
        <v>2.3340043328458866</v>
      </c>
      <c r="R1226" s="361">
        <f t="shared" si="1251"/>
        <v>2.7899520792673158</v>
      </c>
      <c r="S1226" s="361">
        <f t="shared" si="1251"/>
        <v>3.3349692179521684</v>
      </c>
      <c r="T1226" s="361">
        <f t="shared" si="1251"/>
        <v>3.9864554546791036</v>
      </c>
      <c r="U1226" s="361">
        <f t="shared" si="1251"/>
        <v>4.765209527750641</v>
      </c>
      <c r="V1226" s="362">
        <f t="shared" si="1251"/>
        <v>5.6960932089966985</v>
      </c>
      <c r="X1226" s="351"/>
    </row>
    <row r="1227" spans="3:24" ht="24.75" customHeight="1" x14ac:dyDescent="0.3">
      <c r="C1227" s="353">
        <f>ABS(E1227-Dashboard!$F$14)</f>
        <v>10.576861071275005</v>
      </c>
      <c r="D1227" s="350">
        <f t="shared" si="1191"/>
        <v>0.19544999999999371</v>
      </c>
      <c r="E1227" s="359" cm="1">
        <f t="array" ref="E1227">1000*SUM('DRE + DCF'!$L$36/M1227,'DRE + DCF'!$N$36:$V$36/N1227:V1227,F1227/V1227)/Dashboard!$F$11</f>
        <v>107.566861071275</v>
      </c>
      <c r="F1227" s="359">
        <f t="shared" si="1189"/>
        <v>14681067.59514593</v>
      </c>
      <c r="G1227" s="359">
        <f>'DRE + DCF'!$W$31</f>
        <v>2791623.3540418856</v>
      </c>
      <c r="H1227" s="359">
        <f>'DRE + DCF'!$W$32</f>
        <v>81081.931703745853</v>
      </c>
      <c r="I1227" s="359">
        <f>-H1227*('DRE + DCF'!$V$33+K1227)/'DRE + DCF'!$V$33</f>
        <v>-90858.801614444121</v>
      </c>
      <c r="J1227" s="359">
        <f>-'DRE + DCF'!$V$56*L1227</f>
        <v>-1188924.4255577971</v>
      </c>
      <c r="K1227" s="360">
        <f>(1+L1227)/(1+Ke!$O$12)-1</f>
        <v>2.0000000000000018E-2</v>
      </c>
      <c r="L1227" s="360">
        <f>'DRE + DCF'!$Y$31</f>
        <v>7.3550000000000004E-2</v>
      </c>
      <c r="M1227" s="361">
        <f>(1+D1227)^((5-Dashboard!$F$9)*3/12)</f>
        <v>1.143269354353482</v>
      </c>
      <c r="N1227" s="361">
        <f t="shared" ref="N1227:V1227" si="1252">M1227*(1+$D1227)</f>
        <v>1.3667213496618629</v>
      </c>
      <c r="O1227" s="361">
        <f t="shared" si="1252"/>
        <v>1.6338470374532654</v>
      </c>
      <c r="P1227" s="361">
        <f t="shared" si="1252"/>
        <v>1.9531824409234959</v>
      </c>
      <c r="Q1227" s="361">
        <f t="shared" si="1252"/>
        <v>2.3349319490019806</v>
      </c>
      <c r="R1227" s="361">
        <f t="shared" si="1252"/>
        <v>2.791294398434403</v>
      </c>
      <c r="S1227" s="361">
        <f t="shared" si="1252"/>
        <v>3.3368528886083895</v>
      </c>
      <c r="T1227" s="361">
        <f t="shared" si="1252"/>
        <v>3.9890407856868779</v>
      </c>
      <c r="U1227" s="361">
        <f t="shared" si="1252"/>
        <v>4.7686988072493532</v>
      </c>
      <c r="V1227" s="362">
        <f t="shared" si="1252"/>
        <v>5.7007409891262091</v>
      </c>
      <c r="X1227" s="351"/>
    </row>
    <row r="1228" spans="3:24" ht="24.75" customHeight="1" x14ac:dyDescent="0.3">
      <c r="C1228" s="353">
        <f>ABS(E1228-Dashboard!$F$14)</f>
        <v>10.483388131892056</v>
      </c>
      <c r="D1228" s="350">
        <f t="shared" si="1191"/>
        <v>0.1955499999999937</v>
      </c>
      <c r="E1228" s="359" cm="1">
        <f t="array" ref="E1228">1000*SUM('DRE + DCF'!$L$36/M1228,'DRE + DCF'!$N$36:$V$36/N1228:V1228,F1228/V1228)/Dashboard!$F$11</f>
        <v>107.47338813189205</v>
      </c>
      <c r="F1228" s="359">
        <f t="shared" si="1189"/>
        <v>14671397.55752936</v>
      </c>
      <c r="G1228" s="359">
        <f>'DRE + DCF'!$W$31</f>
        <v>2791623.3540418856</v>
      </c>
      <c r="H1228" s="359">
        <f>'DRE + DCF'!$W$32</f>
        <v>81081.931703745853</v>
      </c>
      <c r="I1228" s="359">
        <f>-H1228*('DRE + DCF'!$V$33+K1228)/'DRE + DCF'!$V$33</f>
        <v>-90858.801614444121</v>
      </c>
      <c r="J1228" s="359">
        <f>-'DRE + DCF'!$V$56*L1228</f>
        <v>-1188924.4255577971</v>
      </c>
      <c r="K1228" s="360">
        <f>(1+L1228)/(1+Ke!$O$12)-1</f>
        <v>2.0000000000000018E-2</v>
      </c>
      <c r="L1228" s="360">
        <f>'DRE + DCF'!$Y$31</f>
        <v>7.3550000000000004E-2</v>
      </c>
      <c r="M1228" s="361">
        <f>(1+D1228)^((5-Dashboard!$F$9)*3/12)</f>
        <v>1.1433410799003716</v>
      </c>
      <c r="N1228" s="361">
        <f t="shared" ref="N1228:V1228" si="1253">M1228*(1+$D1228)</f>
        <v>1.366921428074882</v>
      </c>
      <c r="O1228" s="361">
        <f t="shared" si="1253"/>
        <v>1.6342229133349166</v>
      </c>
      <c r="P1228" s="361">
        <f t="shared" si="1253"/>
        <v>1.9537952040375492</v>
      </c>
      <c r="Q1228" s="361">
        <f t="shared" si="1253"/>
        <v>2.3358598561870796</v>
      </c>
      <c r="R1228" s="361">
        <f t="shared" si="1253"/>
        <v>2.7926372510644484</v>
      </c>
      <c r="S1228" s="361">
        <f t="shared" si="1253"/>
        <v>3.3387374655100834</v>
      </c>
      <c r="T1228" s="361">
        <f t="shared" si="1253"/>
        <v>3.9916275768905591</v>
      </c>
      <c r="U1228" s="361">
        <f t="shared" si="1253"/>
        <v>4.772190349551483</v>
      </c>
      <c r="V1228" s="362">
        <f t="shared" si="1253"/>
        <v>5.7053921724062455</v>
      </c>
      <c r="X1228" s="351"/>
    </row>
    <row r="1229" spans="3:24" ht="24.75" customHeight="1" x14ac:dyDescent="0.3">
      <c r="C1229" s="353">
        <f>ABS(E1229-Dashboard!$F$14)</f>
        <v>10.390056251151591</v>
      </c>
      <c r="D1229" s="350">
        <f t="shared" si="1191"/>
        <v>0.19564999999999369</v>
      </c>
      <c r="E1229" s="359" cm="1">
        <f t="array" ref="E1229">1000*SUM('DRE + DCF'!$L$36/M1229,'DRE + DCF'!$N$36:$V$36/N1229:V1229,F1229/V1229)/Dashboard!$F$11</f>
        <v>107.38005625115159</v>
      </c>
      <c r="F1229" s="359">
        <f t="shared" si="1189"/>
        <v>14661740.94525292</v>
      </c>
      <c r="G1229" s="359">
        <f>'DRE + DCF'!$W$31</f>
        <v>2791623.3540418856</v>
      </c>
      <c r="H1229" s="359">
        <f>'DRE + DCF'!$W$32</f>
        <v>81081.931703745853</v>
      </c>
      <c r="I1229" s="359">
        <f>-H1229*('DRE + DCF'!$V$33+K1229)/'DRE + DCF'!$V$33</f>
        <v>-90858.801614444121</v>
      </c>
      <c r="J1229" s="359">
        <f>-'DRE + DCF'!$V$56*L1229</f>
        <v>-1188924.4255577971</v>
      </c>
      <c r="K1229" s="360">
        <f>(1+L1229)/(1+Ke!$O$12)-1</f>
        <v>2.0000000000000018E-2</v>
      </c>
      <c r="L1229" s="360">
        <f>'DRE + DCF'!$Y$31</f>
        <v>7.3550000000000004E-2</v>
      </c>
      <c r="M1229" s="361">
        <f>(1+D1229)^((5-Dashboard!$F$9)*3/12)</f>
        <v>1.1434128039474325</v>
      </c>
      <c r="N1229" s="361">
        <f t="shared" ref="N1229:V1229" si="1254">M1229*(1+$D1229)</f>
        <v>1.3671215190397403</v>
      </c>
      <c r="O1229" s="361">
        <f t="shared" si="1254"/>
        <v>1.6345988442398569</v>
      </c>
      <c r="P1229" s="361">
        <f t="shared" si="1254"/>
        <v>1.9544081081153746</v>
      </c>
      <c r="Q1229" s="361">
        <f t="shared" si="1254"/>
        <v>2.3367880544681352</v>
      </c>
      <c r="R1229" s="361">
        <f t="shared" si="1254"/>
        <v>2.7939806373248111</v>
      </c>
      <c r="S1229" s="361">
        <f t="shared" si="1254"/>
        <v>3.3406229490173924</v>
      </c>
      <c r="T1229" s="361">
        <f t="shared" si="1254"/>
        <v>3.994215828992624</v>
      </c>
      <c r="U1229" s="361">
        <f t="shared" si="1254"/>
        <v>4.7756841559350054</v>
      </c>
      <c r="V1229" s="362">
        <f t="shared" si="1254"/>
        <v>5.7100467610436585</v>
      </c>
      <c r="X1229" s="351"/>
    </row>
    <row r="1230" spans="3:24" ht="24.75" customHeight="1" x14ac:dyDescent="0.3">
      <c r="C1230" s="353">
        <f>ABS(E1230-Dashboard!$F$14)</f>
        <v>10.296865123128015</v>
      </c>
      <c r="D1230" s="350">
        <f t="shared" si="1191"/>
        <v>0.19574999999999368</v>
      </c>
      <c r="E1230" s="359" cm="1">
        <f t="array" ref="E1230">1000*SUM('DRE + DCF'!$L$36/M1230,'DRE + DCF'!$N$36:$V$36/N1230:V1230,F1230/V1230)/Dashboard!$F$11</f>
        <v>107.28686512312801</v>
      </c>
      <c r="F1230" s="359">
        <f t="shared" ref="F1230:F1293" si="1255">AVERAGE(SUM(G1230:J1230)*(1+L1230)/(D1230-L1230),G1230*(1+L1230)*(1-L1230/D1230)/(D1230-L1230))</f>
        <v>14652097.729054399</v>
      </c>
      <c r="G1230" s="359">
        <f>'DRE + DCF'!$W$31</f>
        <v>2791623.3540418856</v>
      </c>
      <c r="H1230" s="359">
        <f>'DRE + DCF'!$W$32</f>
        <v>81081.931703745853</v>
      </c>
      <c r="I1230" s="359">
        <f>-H1230*('DRE + DCF'!$V$33+K1230)/'DRE + DCF'!$V$33</f>
        <v>-90858.801614444121</v>
      </c>
      <c r="J1230" s="359">
        <f>-'DRE + DCF'!$V$56*L1230</f>
        <v>-1188924.4255577971</v>
      </c>
      <c r="K1230" s="360">
        <f>(1+L1230)/(1+Ke!$O$12)-1</f>
        <v>2.0000000000000018E-2</v>
      </c>
      <c r="L1230" s="360">
        <f>'DRE + DCF'!$Y$31</f>
        <v>7.3550000000000004E-2</v>
      </c>
      <c r="M1230" s="361">
        <f>(1+D1230)^((5-Dashboard!$F$9)*3/12)</f>
        <v>1.1434845264948219</v>
      </c>
      <c r="N1230" s="361">
        <f t="shared" ref="N1230:V1230" si="1256">M1230*(1+$D1230)</f>
        <v>1.367321622556176</v>
      </c>
      <c r="O1230" s="361">
        <f t="shared" si="1256"/>
        <v>1.6349748301715388</v>
      </c>
      <c r="P1230" s="361">
        <f t="shared" si="1256"/>
        <v>1.9550211531776072</v>
      </c>
      <c r="Q1230" s="361">
        <f t="shared" si="1256"/>
        <v>2.3377165439121113</v>
      </c>
      <c r="R1230" s="361">
        <f t="shared" si="1256"/>
        <v>2.7953245573828922</v>
      </c>
      <c r="S1230" s="361">
        <f t="shared" si="1256"/>
        <v>3.3425093394905758</v>
      </c>
      <c r="T1230" s="361">
        <f t="shared" si="1256"/>
        <v>3.9968055426958347</v>
      </c>
      <c r="U1230" s="361">
        <f t="shared" si="1256"/>
        <v>4.7791802276785189</v>
      </c>
      <c r="V1230" s="362">
        <f t="shared" si="1256"/>
        <v>5.714704757246559</v>
      </c>
      <c r="X1230" s="351"/>
    </row>
    <row r="1231" spans="3:24" ht="24.75" customHeight="1" x14ac:dyDescent="0.3">
      <c r="C1231" s="353">
        <f>ABS(E1231-Dashboard!$F$14)</f>
        <v>10.203814442786424</v>
      </c>
      <c r="D1231" s="350">
        <f t="shared" ref="D1231:D1294" si="1257">D1230+0.0001</f>
        <v>0.19584999999999367</v>
      </c>
      <c r="E1231" s="359" cm="1">
        <f t="array" ref="E1231">1000*SUM('DRE + DCF'!$L$36/M1231,'DRE + DCF'!$N$36:$V$36/N1231:V1231,F1231/V1231)/Dashboard!$F$11</f>
        <v>107.19381444278642</v>
      </c>
      <c r="F1231" s="359">
        <f t="shared" si="1255"/>
        <v>14642467.879759748</v>
      </c>
      <c r="G1231" s="359">
        <f>'DRE + DCF'!$W$31</f>
        <v>2791623.3540418856</v>
      </c>
      <c r="H1231" s="359">
        <f>'DRE + DCF'!$W$32</f>
        <v>81081.931703745853</v>
      </c>
      <c r="I1231" s="359">
        <f>-H1231*('DRE + DCF'!$V$33+K1231)/'DRE + DCF'!$V$33</f>
        <v>-90858.801614444121</v>
      </c>
      <c r="J1231" s="359">
        <f>-'DRE + DCF'!$V$56*L1231</f>
        <v>-1188924.4255577971</v>
      </c>
      <c r="K1231" s="360">
        <f>(1+L1231)/(1+Ke!$O$12)-1</f>
        <v>2.0000000000000018E-2</v>
      </c>
      <c r="L1231" s="360">
        <f>'DRE + DCF'!$Y$31</f>
        <v>7.3550000000000004E-2</v>
      </c>
      <c r="M1231" s="361">
        <f>(1+D1231)^((5-Dashboard!$F$9)*3/12)</f>
        <v>1.1435562475426964</v>
      </c>
      <c r="N1231" s="361">
        <f t="shared" ref="N1231:V1231" si="1258">M1231*(1+$D1231)</f>
        <v>1.3675217386239262</v>
      </c>
      <c r="O1231" s="361">
        <f t="shared" si="1258"/>
        <v>1.6353508711334135</v>
      </c>
      <c r="P1231" s="361">
        <f t="shared" si="1258"/>
        <v>1.9556343392448821</v>
      </c>
      <c r="Q1231" s="361">
        <f t="shared" si="1258"/>
        <v>2.33864532458598</v>
      </c>
      <c r="R1231" s="361">
        <f t="shared" si="1258"/>
        <v>2.7966690114061294</v>
      </c>
      <c r="S1231" s="361">
        <f t="shared" si="1258"/>
        <v>3.3443966372900022</v>
      </c>
      <c r="T1231" s="361">
        <f t="shared" si="1258"/>
        <v>3.999396718703228</v>
      </c>
      <c r="U1231" s="361">
        <f t="shared" si="1258"/>
        <v>4.7826785660612297</v>
      </c>
      <c r="V1231" s="362">
        <f t="shared" si="1258"/>
        <v>5.7193661632242909</v>
      </c>
      <c r="X1231" s="351"/>
    </row>
    <row r="1232" spans="3:24" ht="24.75" customHeight="1" x14ac:dyDescent="0.3">
      <c r="C1232" s="353">
        <f>ABS(E1232-Dashboard!$F$14)</f>
        <v>10.110903905979214</v>
      </c>
      <c r="D1232" s="350">
        <f t="shared" si="1257"/>
        <v>0.19594999999999366</v>
      </c>
      <c r="E1232" s="359" cm="1">
        <f t="array" ref="E1232">1000*SUM('DRE + DCF'!$L$36/M1232,'DRE + DCF'!$N$36:$V$36/N1232:V1232,F1232/V1232)/Dashboard!$F$11</f>
        <v>107.10090390597921</v>
      </c>
      <c r="F1232" s="359">
        <f t="shared" si="1255"/>
        <v>14632851.368282743</v>
      </c>
      <c r="G1232" s="359">
        <f>'DRE + DCF'!$W$31</f>
        <v>2791623.3540418856</v>
      </c>
      <c r="H1232" s="359">
        <f>'DRE + DCF'!$W$32</f>
        <v>81081.931703745853</v>
      </c>
      <c r="I1232" s="359">
        <f>-H1232*('DRE + DCF'!$V$33+K1232)/'DRE + DCF'!$V$33</f>
        <v>-90858.801614444121</v>
      </c>
      <c r="J1232" s="359">
        <f>-'DRE + DCF'!$V$56*L1232</f>
        <v>-1188924.4255577971</v>
      </c>
      <c r="K1232" s="360">
        <f>(1+L1232)/(1+Ke!$O$12)-1</f>
        <v>2.0000000000000018E-2</v>
      </c>
      <c r="L1232" s="360">
        <f>'DRE + DCF'!$Y$31</f>
        <v>7.3550000000000004E-2</v>
      </c>
      <c r="M1232" s="361">
        <f>(1+D1232)^((5-Dashboard!$F$9)*3/12)</f>
        <v>1.1436279670912126</v>
      </c>
      <c r="N1232" s="361">
        <f t="shared" ref="N1232:V1232" si="1259">M1232*(1+$D1232)</f>
        <v>1.3677218672427285</v>
      </c>
      <c r="O1232" s="361">
        <f t="shared" si="1259"/>
        <v>1.6357269671289325</v>
      </c>
      <c r="P1232" s="361">
        <f t="shared" si="1259"/>
        <v>1.9562476663378363</v>
      </c>
      <c r="Q1232" s="361">
        <f t="shared" si="1259"/>
        <v>2.3395743965567228</v>
      </c>
      <c r="R1232" s="361">
        <f t="shared" si="1259"/>
        <v>2.7980139995619977</v>
      </c>
      <c r="S1232" s="361">
        <f t="shared" si="1259"/>
        <v>3.3462848427761531</v>
      </c>
      <c r="T1232" s="361">
        <f t="shared" si="1259"/>
        <v>4.0019893577181191</v>
      </c>
      <c r="U1232" s="361">
        <f t="shared" si="1259"/>
        <v>4.7861791723629592</v>
      </c>
      <c r="V1232" s="362">
        <f t="shared" si="1259"/>
        <v>5.7240309811874504</v>
      </c>
      <c r="X1232" s="351"/>
    </row>
    <row r="1233" spans="3:24" ht="24.75" customHeight="1" x14ac:dyDescent="0.3">
      <c r="C1233" s="353">
        <f>ABS(E1233-Dashboard!$F$14)</f>
        <v>10.01813320944251</v>
      </c>
      <c r="D1233" s="350">
        <f t="shared" si="1257"/>
        <v>0.19604999999999365</v>
      </c>
      <c r="E1233" s="359" cm="1">
        <f t="array" ref="E1233">1000*SUM('DRE + DCF'!$L$36/M1233,'DRE + DCF'!$N$36:$V$36/N1233:V1233,F1233/V1233)/Dashboard!$F$11</f>
        <v>107.00813320944251</v>
      </c>
      <c r="F1233" s="359">
        <f t="shared" si="1255"/>
        <v>14623248.165624641</v>
      </c>
      <c r="G1233" s="359">
        <f>'DRE + DCF'!$W$31</f>
        <v>2791623.3540418856</v>
      </c>
      <c r="H1233" s="359">
        <f>'DRE + DCF'!$W$32</f>
        <v>81081.931703745853</v>
      </c>
      <c r="I1233" s="359">
        <f>-H1233*('DRE + DCF'!$V$33+K1233)/'DRE + DCF'!$V$33</f>
        <v>-90858.801614444121</v>
      </c>
      <c r="J1233" s="359">
        <f>-'DRE + DCF'!$V$56*L1233</f>
        <v>-1188924.4255577971</v>
      </c>
      <c r="K1233" s="360">
        <f>(1+L1233)/(1+Ke!$O$12)-1</f>
        <v>2.0000000000000018E-2</v>
      </c>
      <c r="L1233" s="360">
        <f>'DRE + DCF'!$Y$31</f>
        <v>7.3550000000000004E-2</v>
      </c>
      <c r="M1233" s="361">
        <f>(1+D1233)^((5-Dashboard!$F$9)*3/12)</f>
        <v>1.1436996851405274</v>
      </c>
      <c r="N1233" s="361">
        <f t="shared" ref="N1233:V1233" si="1260">M1233*(1+$D1233)</f>
        <v>1.3679220084123205</v>
      </c>
      <c r="O1233" s="361">
        <f t="shared" si="1260"/>
        <v>1.6361031181615471</v>
      </c>
      <c r="P1233" s="361">
        <f t="shared" si="1260"/>
        <v>1.9568611344771079</v>
      </c>
      <c r="Q1233" s="361">
        <f t="shared" si="1260"/>
        <v>2.3405037598913325</v>
      </c>
      <c r="R1233" s="361">
        <f t="shared" si="1260"/>
        <v>2.7993595220180132</v>
      </c>
      <c r="S1233" s="361">
        <f t="shared" si="1260"/>
        <v>3.3481739563096267</v>
      </c>
      <c r="T1233" s="361">
        <f t="shared" si="1260"/>
        <v>4.004583460444108</v>
      </c>
      <c r="U1233" s="361">
        <f t="shared" si="1260"/>
        <v>4.78968204786415</v>
      </c>
      <c r="V1233" s="362">
        <f t="shared" si="1260"/>
        <v>5.7286992133478858</v>
      </c>
      <c r="X1233" s="351"/>
    </row>
    <row r="1234" spans="3:24" ht="24.75" customHeight="1" x14ac:dyDescent="0.3">
      <c r="C1234" s="353">
        <f>ABS(E1234-Dashboard!$F$14)</f>
        <v>9.9255020507932983</v>
      </c>
      <c r="D1234" s="350">
        <f t="shared" si="1257"/>
        <v>0.19614999999999364</v>
      </c>
      <c r="E1234" s="359" cm="1">
        <f t="array" ref="E1234">1000*SUM('DRE + DCF'!$L$36/M1234,'DRE + DCF'!$N$36:$V$36/N1234:V1234,F1234/V1234)/Dashboard!$F$11</f>
        <v>106.91550205079329</v>
      </c>
      <c r="F1234" s="359">
        <f t="shared" si="1255"/>
        <v>14613658.242873846</v>
      </c>
      <c r="G1234" s="359">
        <f>'DRE + DCF'!$W$31</f>
        <v>2791623.3540418856</v>
      </c>
      <c r="H1234" s="359">
        <f>'DRE + DCF'!$W$32</f>
        <v>81081.931703745853</v>
      </c>
      <c r="I1234" s="359">
        <f>-H1234*('DRE + DCF'!$V$33+K1234)/'DRE + DCF'!$V$33</f>
        <v>-90858.801614444121</v>
      </c>
      <c r="J1234" s="359">
        <f>-'DRE + DCF'!$V$56*L1234</f>
        <v>-1188924.4255577971</v>
      </c>
      <c r="K1234" s="360">
        <f>(1+L1234)/(1+Ke!$O$12)-1</f>
        <v>2.0000000000000018E-2</v>
      </c>
      <c r="L1234" s="360">
        <f>'DRE + DCF'!$Y$31</f>
        <v>7.3550000000000004E-2</v>
      </c>
      <c r="M1234" s="361">
        <f>(1+D1234)^((5-Dashboard!$F$9)*3/12)</f>
        <v>1.1437714016907976</v>
      </c>
      <c r="N1234" s="361">
        <f t="shared" ref="N1234:V1234" si="1261">M1234*(1+$D1234)</f>
        <v>1.3681221621324402</v>
      </c>
      <c r="O1234" s="361">
        <f t="shared" si="1261"/>
        <v>1.6364793242347095</v>
      </c>
      <c r="P1234" s="361">
        <f t="shared" si="1261"/>
        <v>1.9574747436833373</v>
      </c>
      <c r="Q1234" s="361">
        <f t="shared" si="1261"/>
        <v>2.3414334146568114</v>
      </c>
      <c r="R1234" s="361">
        <f t="shared" si="1261"/>
        <v>2.8007055789417299</v>
      </c>
      <c r="S1234" s="361">
        <f t="shared" si="1261"/>
        <v>3.3500639782511321</v>
      </c>
      <c r="T1234" s="361">
        <f t="shared" si="1261"/>
        <v>4.0071790275850701</v>
      </c>
      <c r="U1234" s="361">
        <f t="shared" si="1261"/>
        <v>4.7931871938458563</v>
      </c>
      <c r="V1234" s="362">
        <f t="shared" si="1261"/>
        <v>5.7333708619186901</v>
      </c>
      <c r="X1234" s="351"/>
    </row>
    <row r="1235" spans="3:24" ht="24.75" customHeight="1" x14ac:dyDescent="0.3">
      <c r="C1235" s="353">
        <f>ABS(E1235-Dashboard!$F$14)</f>
        <v>9.8330101285258138</v>
      </c>
      <c r="D1235" s="350">
        <f t="shared" si="1257"/>
        <v>0.19624999999999362</v>
      </c>
      <c r="E1235" s="359" cm="1">
        <f t="array" ref="E1235">1000*SUM('DRE + DCF'!$L$36/M1235,'DRE + DCF'!$N$36:$V$36/N1235:V1235,F1235/V1235)/Dashboard!$F$11</f>
        <v>106.82301012852581</v>
      </c>
      <c r="F1235" s="359">
        <f t="shared" si="1255"/>
        <v>14604081.571205558</v>
      </c>
      <c r="G1235" s="359">
        <f>'DRE + DCF'!$W$31</f>
        <v>2791623.3540418856</v>
      </c>
      <c r="H1235" s="359">
        <f>'DRE + DCF'!$W$32</f>
        <v>81081.931703745853</v>
      </c>
      <c r="I1235" s="359">
        <f>-H1235*('DRE + DCF'!$V$33+K1235)/'DRE + DCF'!$V$33</f>
        <v>-90858.801614444121</v>
      </c>
      <c r="J1235" s="359">
        <f>-'DRE + DCF'!$V$56*L1235</f>
        <v>-1188924.4255577971</v>
      </c>
      <c r="K1235" s="360">
        <f>(1+L1235)/(1+Ke!$O$12)-1</f>
        <v>2.0000000000000018E-2</v>
      </c>
      <c r="L1235" s="360">
        <f>'DRE + DCF'!$Y$31</f>
        <v>7.3550000000000004E-2</v>
      </c>
      <c r="M1235" s="361">
        <f>(1+D1235)^((5-Dashboard!$F$9)*3/12)</f>
        <v>1.1438431167421794</v>
      </c>
      <c r="N1235" s="361">
        <f t="shared" ref="N1235:V1235" si="1262">M1235*(1+$D1235)</f>
        <v>1.3683223284028248</v>
      </c>
      <c r="O1235" s="361">
        <f t="shared" si="1262"/>
        <v>1.6368555853518703</v>
      </c>
      <c r="P1235" s="361">
        <f t="shared" si="1262"/>
        <v>1.9580884939771643</v>
      </c>
      <c r="Q1235" s="361">
        <f t="shared" si="1262"/>
        <v>2.3423633609201704</v>
      </c>
      <c r="R1235" s="361">
        <f t="shared" si="1262"/>
        <v>2.8020521705007386</v>
      </c>
      <c r="S1235" s="361">
        <f t="shared" si="1262"/>
        <v>3.3519549089614906</v>
      </c>
      <c r="T1235" s="361">
        <f t="shared" si="1262"/>
        <v>4.0097760598451613</v>
      </c>
      <c r="U1235" s="361">
        <f t="shared" si="1262"/>
        <v>4.7966946115897482</v>
      </c>
      <c r="V1235" s="362">
        <f t="shared" si="1262"/>
        <v>5.7380459291142056</v>
      </c>
      <c r="X1235" s="351"/>
    </row>
    <row r="1236" spans="3:24" ht="24.75" customHeight="1" x14ac:dyDescent="0.3">
      <c r="C1236" s="353">
        <f>ABS(E1236-Dashboard!$F$14)</f>
        <v>9.7406571420084873</v>
      </c>
      <c r="D1236" s="350">
        <f t="shared" si="1257"/>
        <v>0.19634999999999361</v>
      </c>
      <c r="E1236" s="359" cm="1">
        <f t="array" ref="E1236">1000*SUM('DRE + DCF'!$L$36/M1236,'DRE + DCF'!$N$36:$V$36/N1236:V1236,F1236/V1236)/Dashboard!$F$11</f>
        <v>106.73065714200848</v>
      </c>
      <c r="F1236" s="359">
        <f t="shared" si="1255"/>
        <v>14594518.121881468</v>
      </c>
      <c r="G1236" s="359">
        <f>'DRE + DCF'!$W$31</f>
        <v>2791623.3540418856</v>
      </c>
      <c r="H1236" s="359">
        <f>'DRE + DCF'!$W$32</f>
        <v>81081.931703745853</v>
      </c>
      <c r="I1236" s="359">
        <f>-H1236*('DRE + DCF'!$V$33+K1236)/'DRE + DCF'!$V$33</f>
        <v>-90858.801614444121</v>
      </c>
      <c r="J1236" s="359">
        <f>-'DRE + DCF'!$V$56*L1236</f>
        <v>-1188924.4255577971</v>
      </c>
      <c r="K1236" s="360">
        <f>(1+L1236)/(1+Ke!$O$12)-1</f>
        <v>2.0000000000000018E-2</v>
      </c>
      <c r="L1236" s="360">
        <f>'DRE + DCF'!$Y$31</f>
        <v>7.3550000000000004E-2</v>
      </c>
      <c r="M1236" s="361">
        <f>(1+D1236)^((5-Dashboard!$F$9)*3/12)</f>
        <v>1.1439148302948299</v>
      </c>
      <c r="N1236" s="361">
        <f t="shared" ref="N1236:V1236" si="1263">M1236*(1+$D1236)</f>
        <v>1.3685225072232123</v>
      </c>
      <c r="O1236" s="361">
        <f t="shared" si="1263"/>
        <v>1.6372319015164813</v>
      </c>
      <c r="P1236" s="361">
        <f t="shared" si="1263"/>
        <v>1.958702385379232</v>
      </c>
      <c r="Q1236" s="361">
        <f t="shared" si="1263"/>
        <v>2.3432935987484318</v>
      </c>
      <c r="R1236" s="361">
        <f t="shared" si="1263"/>
        <v>2.8033992968626715</v>
      </c>
      <c r="S1236" s="361">
        <f t="shared" si="1263"/>
        <v>3.3538467488016392</v>
      </c>
      <c r="T1236" s="361">
        <f t="shared" si="1263"/>
        <v>4.0123745579288199</v>
      </c>
      <c r="U1236" s="361">
        <f t="shared" si="1263"/>
        <v>4.800204302378118</v>
      </c>
      <c r="V1236" s="362">
        <f t="shared" si="1263"/>
        <v>5.7427244171500309</v>
      </c>
      <c r="X1236" s="351"/>
    </row>
    <row r="1237" spans="3:24" ht="24.75" customHeight="1" x14ac:dyDescent="0.3">
      <c r="C1237" s="353">
        <f>ABS(E1237-Dashboard!$F$14)</f>
        <v>9.6484427914806048</v>
      </c>
      <c r="D1237" s="350">
        <f t="shared" si="1257"/>
        <v>0.1964499999999936</v>
      </c>
      <c r="E1237" s="359" cm="1">
        <f t="array" ref="E1237">1000*SUM('DRE + DCF'!$L$36/M1237,'DRE + DCF'!$N$36:$V$36/N1237:V1237,F1237/V1237)/Dashboard!$F$11</f>
        <v>106.6384427914806</v>
      </c>
      <c r="F1237" s="359">
        <f t="shared" si="1255"/>
        <v>14584967.866249394</v>
      </c>
      <c r="G1237" s="359">
        <f>'DRE + DCF'!$W$31</f>
        <v>2791623.3540418856</v>
      </c>
      <c r="H1237" s="359">
        <f>'DRE + DCF'!$W$32</f>
        <v>81081.931703745853</v>
      </c>
      <c r="I1237" s="359">
        <f>-H1237*('DRE + DCF'!$V$33+K1237)/'DRE + DCF'!$V$33</f>
        <v>-90858.801614444121</v>
      </c>
      <c r="J1237" s="359">
        <f>-'DRE + DCF'!$V$56*L1237</f>
        <v>-1188924.4255577971</v>
      </c>
      <c r="K1237" s="360">
        <f>(1+L1237)/(1+Ke!$O$12)-1</f>
        <v>2.0000000000000018E-2</v>
      </c>
      <c r="L1237" s="360">
        <f>'DRE + DCF'!$Y$31</f>
        <v>7.3550000000000004E-2</v>
      </c>
      <c r="M1237" s="361">
        <f>(1+D1237)^((5-Dashboard!$F$9)*3/12)</f>
        <v>1.1439865423489055</v>
      </c>
      <c r="N1237" s="361">
        <f t="shared" ref="N1237:V1237" si="1264">M1237*(1+$D1237)</f>
        <v>1.3687226985933407</v>
      </c>
      <c r="O1237" s="361">
        <f t="shared" si="1264"/>
        <v>1.6376082727319936</v>
      </c>
      <c r="P1237" s="361">
        <f t="shared" si="1264"/>
        <v>1.9593164179101832</v>
      </c>
      <c r="Q1237" s="361">
        <f t="shared" si="1264"/>
        <v>2.344224128208626</v>
      </c>
      <c r="R1237" s="361">
        <f t="shared" si="1264"/>
        <v>2.8047469581951954</v>
      </c>
      <c r="S1237" s="361">
        <f t="shared" si="1264"/>
        <v>3.3557394981326234</v>
      </c>
      <c r="T1237" s="361">
        <f t="shared" si="1264"/>
        <v>4.014974522540756</v>
      </c>
      <c r="U1237" s="361">
        <f t="shared" si="1264"/>
        <v>4.8037162674938614</v>
      </c>
      <c r="V1237" s="362">
        <f t="shared" si="1264"/>
        <v>5.7474063282429997</v>
      </c>
      <c r="X1237" s="351"/>
    </row>
    <row r="1238" spans="3:24" ht="24.75" customHeight="1" x14ac:dyDescent="0.3">
      <c r="C1238" s="353">
        <f>ABS(E1238-Dashboard!$F$14)</f>
        <v>9.5563667780490675</v>
      </c>
      <c r="D1238" s="350">
        <f t="shared" si="1257"/>
        <v>0.19654999999999359</v>
      </c>
      <c r="E1238" s="359" cm="1">
        <f t="array" ref="E1238">1000*SUM('DRE + DCF'!$L$36/M1238,'DRE + DCF'!$N$36:$V$36/N1238:V1238,F1238/V1238)/Dashboard!$F$11</f>
        <v>106.54636677804906</v>
      </c>
      <c r="F1238" s="359">
        <f t="shared" si="1255"/>
        <v>14575430.775742969</v>
      </c>
      <c r="G1238" s="359">
        <f>'DRE + DCF'!$W$31</f>
        <v>2791623.3540418856</v>
      </c>
      <c r="H1238" s="359">
        <f>'DRE + DCF'!$W$32</f>
        <v>81081.931703745853</v>
      </c>
      <c r="I1238" s="359">
        <f>-H1238*('DRE + DCF'!$V$33+K1238)/'DRE + DCF'!$V$33</f>
        <v>-90858.801614444121</v>
      </c>
      <c r="J1238" s="359">
        <f>-'DRE + DCF'!$V$56*L1238</f>
        <v>-1188924.4255577971</v>
      </c>
      <c r="K1238" s="360">
        <f>(1+L1238)/(1+Ke!$O$12)-1</f>
        <v>2.0000000000000018E-2</v>
      </c>
      <c r="L1238" s="360">
        <f>'DRE + DCF'!$Y$31</f>
        <v>7.3550000000000004E-2</v>
      </c>
      <c r="M1238" s="361">
        <f>(1+D1238)^((5-Dashboard!$F$9)*3/12)</f>
        <v>1.1440582529045626</v>
      </c>
      <c r="N1238" s="361">
        <f t="shared" ref="N1238:V1238" si="1265">M1238*(1+$D1238)</f>
        <v>1.368922902512947</v>
      </c>
      <c r="O1238" s="361">
        <f t="shared" si="1265"/>
        <v>1.6379846990018578</v>
      </c>
      <c r="P1238" s="361">
        <f t="shared" si="1265"/>
        <v>1.9599305915906624</v>
      </c>
      <c r="Q1238" s="361">
        <f t="shared" si="1265"/>
        <v>2.3451549493677946</v>
      </c>
      <c r="R1238" s="361">
        <f t="shared" si="1265"/>
        <v>2.8060951546660196</v>
      </c>
      <c r="S1238" s="361">
        <f t="shared" si="1265"/>
        <v>3.3576331573156075</v>
      </c>
      <c r="T1238" s="361">
        <f t="shared" si="1265"/>
        <v>4.0175759543859684</v>
      </c>
      <c r="U1238" s="361">
        <f t="shared" si="1265"/>
        <v>4.8072305082205045</v>
      </c>
      <c r="V1238" s="362">
        <f t="shared" si="1265"/>
        <v>5.7520916646112132</v>
      </c>
      <c r="X1238" s="351"/>
    </row>
    <row r="1239" spans="3:24" ht="24.75" customHeight="1" x14ac:dyDescent="0.3">
      <c r="C1239" s="353">
        <f>ABS(E1239-Dashboard!$F$14)</f>
        <v>9.4644288036852231</v>
      </c>
      <c r="D1239" s="350">
        <f t="shared" si="1257"/>
        <v>0.19664999999999358</v>
      </c>
      <c r="E1239" s="359" cm="1">
        <f t="array" ref="E1239">1000*SUM('DRE + DCF'!$L$36/M1239,'DRE + DCF'!$N$36:$V$36/N1239:V1239,F1239/V1239)/Dashboard!$F$11</f>
        <v>106.45442880368522</v>
      </c>
      <c r="F1239" s="359">
        <f t="shared" si="1255"/>
        <v>14565906.821881305</v>
      </c>
      <c r="G1239" s="359">
        <f>'DRE + DCF'!$W$31</f>
        <v>2791623.3540418856</v>
      </c>
      <c r="H1239" s="359">
        <f>'DRE + DCF'!$W$32</f>
        <v>81081.931703745853</v>
      </c>
      <c r="I1239" s="359">
        <f>-H1239*('DRE + DCF'!$V$33+K1239)/'DRE + DCF'!$V$33</f>
        <v>-90858.801614444121</v>
      </c>
      <c r="J1239" s="359">
        <f>-'DRE + DCF'!$V$56*L1239</f>
        <v>-1188924.4255577971</v>
      </c>
      <c r="K1239" s="360">
        <f>(1+L1239)/(1+Ke!$O$12)-1</f>
        <v>2.0000000000000018E-2</v>
      </c>
      <c r="L1239" s="360">
        <f>'DRE + DCF'!$Y$31</f>
        <v>7.3550000000000004E-2</v>
      </c>
      <c r="M1239" s="361">
        <f>(1+D1239)^((5-Dashboard!$F$9)*3/12)</f>
        <v>1.144129961961958</v>
      </c>
      <c r="N1239" s="361">
        <f t="shared" ref="N1239:V1239" si="1266">M1239*(1+$D1239)</f>
        <v>1.3691231189817696</v>
      </c>
      <c r="O1239" s="361">
        <f t="shared" si="1266"/>
        <v>1.6383611803295257</v>
      </c>
      <c r="P1239" s="361">
        <f t="shared" si="1266"/>
        <v>1.9605449064413163</v>
      </c>
      <c r="Q1239" s="361">
        <f t="shared" si="1266"/>
        <v>2.3460860622929887</v>
      </c>
      <c r="R1239" s="361">
        <f t="shared" si="1266"/>
        <v>2.8074438864428899</v>
      </c>
      <c r="S1239" s="361">
        <f t="shared" si="1266"/>
        <v>3.3595277267118662</v>
      </c>
      <c r="T1239" s="361">
        <f t="shared" si="1266"/>
        <v>4.0201788541697328</v>
      </c>
      <c r="U1239" s="361">
        <f t="shared" si="1266"/>
        <v>4.8107470258421845</v>
      </c>
      <c r="V1239" s="362">
        <f t="shared" si="1266"/>
        <v>5.7567804284740189</v>
      </c>
      <c r="X1239" s="351"/>
    </row>
    <row r="1240" spans="3:24" ht="24.75" customHeight="1" x14ac:dyDescent="0.3">
      <c r="C1240" s="353">
        <f>ABS(E1240-Dashboard!$F$14)</f>
        <v>9.3726285712216111</v>
      </c>
      <c r="D1240" s="350">
        <f t="shared" si="1257"/>
        <v>0.19674999999999357</v>
      </c>
      <c r="E1240" s="359" cm="1">
        <f t="array" ref="E1240">1000*SUM('DRE + DCF'!$L$36/M1240,'DRE + DCF'!$N$36:$V$36/N1240:V1240,F1240/V1240)/Dashboard!$F$11</f>
        <v>106.36262857122161</v>
      </c>
      <c r="F1240" s="359">
        <f t="shared" si="1255"/>
        <v>14556395.976268664</v>
      </c>
      <c r="G1240" s="359">
        <f>'DRE + DCF'!$W$31</f>
        <v>2791623.3540418856</v>
      </c>
      <c r="H1240" s="359">
        <f>'DRE + DCF'!$W$32</f>
        <v>81081.931703745853</v>
      </c>
      <c r="I1240" s="359">
        <f>-H1240*('DRE + DCF'!$V$33+K1240)/'DRE + DCF'!$V$33</f>
        <v>-90858.801614444121</v>
      </c>
      <c r="J1240" s="359">
        <f>-'DRE + DCF'!$V$56*L1240</f>
        <v>-1188924.4255577971</v>
      </c>
      <c r="K1240" s="360">
        <f>(1+L1240)/(1+Ke!$O$12)-1</f>
        <v>2.0000000000000018E-2</v>
      </c>
      <c r="L1240" s="360">
        <f>'DRE + DCF'!$Y$31</f>
        <v>7.3550000000000004E-2</v>
      </c>
      <c r="M1240" s="361">
        <f>(1+D1240)^((5-Dashboard!$F$9)*3/12)</f>
        <v>1.1442016695212482</v>
      </c>
      <c r="N1240" s="361">
        <f t="shared" ref="N1240:V1240" si="1267">M1240*(1+$D1240)</f>
        <v>1.3693233479995464</v>
      </c>
      <c r="O1240" s="361">
        <f t="shared" si="1267"/>
        <v>1.6387377167184483</v>
      </c>
      <c r="P1240" s="361">
        <f t="shared" si="1267"/>
        <v>1.9611593624827923</v>
      </c>
      <c r="Q1240" s="361">
        <f t="shared" si="1267"/>
        <v>2.3470174670512689</v>
      </c>
      <c r="R1240" s="361">
        <f t="shared" si="1267"/>
        <v>2.8087931536935908</v>
      </c>
      <c r="S1240" s="361">
        <f t="shared" si="1267"/>
        <v>3.3614232066827867</v>
      </c>
      <c r="T1240" s="361">
        <f t="shared" si="1267"/>
        <v>4.022783222597603</v>
      </c>
      <c r="U1240" s="361">
        <f t="shared" si="1267"/>
        <v>4.8142658216436551</v>
      </c>
      <c r="V1240" s="362">
        <f t="shared" si="1267"/>
        <v>5.7614726220520129</v>
      </c>
      <c r="X1240" s="351"/>
    </row>
    <row r="1241" spans="3:24" ht="24.75" customHeight="1" x14ac:dyDescent="0.3">
      <c r="C1241" s="353">
        <f>ABS(E1241-Dashboard!$F$14)</f>
        <v>9.2809657843488225</v>
      </c>
      <c r="D1241" s="350">
        <f t="shared" si="1257"/>
        <v>0.19684999999999356</v>
      </c>
      <c r="E1241" s="359" cm="1">
        <f t="array" ref="E1241">1000*SUM('DRE + DCF'!$L$36/M1241,'DRE + DCF'!$N$36:$V$36/N1241:V1241,F1241/V1241)/Dashboard!$F$11</f>
        <v>106.27096578434882</v>
      </c>
      <c r="F1241" s="359">
        <f t="shared" si="1255"/>
        <v>14546898.210594133</v>
      </c>
      <c r="G1241" s="359">
        <f>'DRE + DCF'!$W$31</f>
        <v>2791623.3540418856</v>
      </c>
      <c r="H1241" s="359">
        <f>'DRE + DCF'!$W$32</f>
        <v>81081.931703745853</v>
      </c>
      <c r="I1241" s="359">
        <f>-H1241*('DRE + DCF'!$V$33+K1241)/'DRE + DCF'!$V$33</f>
        <v>-90858.801614444121</v>
      </c>
      <c r="J1241" s="359">
        <f>-'DRE + DCF'!$V$56*L1241</f>
        <v>-1188924.4255577971</v>
      </c>
      <c r="K1241" s="360">
        <f>(1+L1241)/(1+Ke!$O$12)-1</f>
        <v>2.0000000000000018E-2</v>
      </c>
      <c r="L1241" s="360">
        <f>'DRE + DCF'!$Y$31</f>
        <v>7.3550000000000004E-2</v>
      </c>
      <c r="M1241" s="361">
        <f>(1+D1241)^((5-Dashboard!$F$9)*3/12)</f>
        <v>1.1442733755825896</v>
      </c>
      <c r="N1241" s="361">
        <f t="shared" ref="N1241:V1241" si="1268">M1241*(1+$D1241)</f>
        <v>1.3695235895660149</v>
      </c>
      <c r="O1241" s="361">
        <f t="shared" si="1268"/>
        <v>1.639114308172076</v>
      </c>
      <c r="P1241" s="361">
        <f t="shared" si="1268"/>
        <v>1.9617739597357386</v>
      </c>
      <c r="Q1241" s="361">
        <f t="shared" si="1268"/>
        <v>2.3479491637097061</v>
      </c>
      <c r="R1241" s="361">
        <f t="shared" si="1268"/>
        <v>2.8101429565859464</v>
      </c>
      <c r="S1241" s="361">
        <f t="shared" si="1268"/>
        <v>3.3633195975898715</v>
      </c>
      <c r="T1241" s="361">
        <f t="shared" si="1268"/>
        <v>4.0253890603754163</v>
      </c>
      <c r="U1241" s="361">
        <f t="shared" si="1268"/>
        <v>4.8177868969102908</v>
      </c>
      <c r="V1241" s="362">
        <f t="shared" si="1268"/>
        <v>5.7661682475670508</v>
      </c>
      <c r="X1241" s="351"/>
    </row>
    <row r="1242" spans="3:24" ht="24.75" customHeight="1" x14ac:dyDescent="0.3">
      <c r="C1242" s="353">
        <f>ABS(E1242-Dashboard!$F$14)</f>
        <v>9.1894401476123164</v>
      </c>
      <c r="D1242" s="350">
        <f t="shared" si="1257"/>
        <v>0.19694999999999355</v>
      </c>
      <c r="E1242" s="359" cm="1">
        <f t="array" ref="E1242">1000*SUM('DRE + DCF'!$L$36/M1242,'DRE + DCF'!$N$36:$V$36/N1242:V1242,F1242/V1242)/Dashboard!$F$11</f>
        <v>106.17944014761231</v>
      </c>
      <c r="F1242" s="359">
        <f t="shared" si="1255"/>
        <v>14537413.496631294</v>
      </c>
      <c r="G1242" s="359">
        <f>'DRE + DCF'!$W$31</f>
        <v>2791623.3540418856</v>
      </c>
      <c r="H1242" s="359">
        <f>'DRE + DCF'!$W$32</f>
        <v>81081.931703745853</v>
      </c>
      <c r="I1242" s="359">
        <f>-H1242*('DRE + DCF'!$V$33+K1242)/'DRE + DCF'!$V$33</f>
        <v>-90858.801614444121</v>
      </c>
      <c r="J1242" s="359">
        <f>-'DRE + DCF'!$V$56*L1242</f>
        <v>-1188924.4255577971</v>
      </c>
      <c r="K1242" s="360">
        <f>(1+L1242)/(1+Ke!$O$12)-1</f>
        <v>2.0000000000000018E-2</v>
      </c>
      <c r="L1242" s="360">
        <f>'DRE + DCF'!$Y$31</f>
        <v>7.3550000000000004E-2</v>
      </c>
      <c r="M1242" s="361">
        <f>(1+D1242)^((5-Dashboard!$F$9)*3/12)</f>
        <v>1.1443450801461383</v>
      </c>
      <c r="N1242" s="361">
        <f t="shared" ref="N1242:V1242" si="1269">M1242*(1+$D1242)</f>
        <v>1.3697238436809129</v>
      </c>
      <c r="O1242" s="361">
        <f t="shared" si="1269"/>
        <v>1.6394909546938599</v>
      </c>
      <c r="P1242" s="361">
        <f t="shared" si="1269"/>
        <v>1.962388698220805</v>
      </c>
      <c r="Q1242" s="361">
        <f t="shared" si="1269"/>
        <v>2.3488811523353799</v>
      </c>
      <c r="R1242" s="361">
        <f t="shared" si="1269"/>
        <v>2.8114932952878178</v>
      </c>
      <c r="S1242" s="361">
        <f t="shared" si="1269"/>
        <v>3.3652168997947354</v>
      </c>
      <c r="T1242" s="361">
        <f t="shared" si="1269"/>
        <v>4.027996368209287</v>
      </c>
      <c r="U1242" s="361">
        <f t="shared" si="1269"/>
        <v>4.8213102529280798</v>
      </c>
      <c r="V1242" s="362">
        <f t="shared" si="1269"/>
        <v>5.7708673072422343</v>
      </c>
      <c r="X1242" s="351"/>
    </row>
    <row r="1243" spans="3:24" ht="24.75" customHeight="1" x14ac:dyDescent="0.3">
      <c r="C1243" s="353">
        <f>ABS(E1243-Dashboard!$F$14)</f>
        <v>9.0980513664093792</v>
      </c>
      <c r="D1243" s="350">
        <f t="shared" si="1257"/>
        <v>0.19704999999999354</v>
      </c>
      <c r="E1243" s="359" cm="1">
        <f t="array" ref="E1243">1000*SUM('DRE + DCF'!$L$36/M1243,'DRE + DCF'!$N$36:$V$36/N1243:V1243,F1243/V1243)/Dashboard!$F$11</f>
        <v>106.08805136640937</v>
      </c>
      <c r="F1243" s="359">
        <f t="shared" si="1255"/>
        <v>14527941.806237917</v>
      </c>
      <c r="G1243" s="359">
        <f>'DRE + DCF'!$W$31</f>
        <v>2791623.3540418856</v>
      </c>
      <c r="H1243" s="359">
        <f>'DRE + DCF'!$W$32</f>
        <v>81081.931703745853</v>
      </c>
      <c r="I1243" s="359">
        <f>-H1243*('DRE + DCF'!$V$33+K1243)/'DRE + DCF'!$V$33</f>
        <v>-90858.801614444121</v>
      </c>
      <c r="J1243" s="359">
        <f>-'DRE + DCF'!$V$56*L1243</f>
        <v>-1188924.4255577971</v>
      </c>
      <c r="K1243" s="360">
        <f>(1+L1243)/(1+Ke!$O$12)-1</f>
        <v>2.0000000000000018E-2</v>
      </c>
      <c r="L1243" s="360">
        <f>'DRE + DCF'!$Y$31</f>
        <v>7.3550000000000004E-2</v>
      </c>
      <c r="M1243" s="361">
        <f>(1+D1243)^((5-Dashboard!$F$9)*3/12)</f>
        <v>1.1444167832120513</v>
      </c>
      <c r="N1243" s="361">
        <f t="shared" ref="N1243:V1243" si="1270">M1243*(1+$D1243)</f>
        <v>1.3699241103439785</v>
      </c>
      <c r="O1243" s="361">
        <f t="shared" si="1270"/>
        <v>1.6398676562872505</v>
      </c>
      <c r="P1243" s="361">
        <f t="shared" si="1270"/>
        <v>1.9630035779586426</v>
      </c>
      <c r="Q1243" s="361">
        <f t="shared" si="1270"/>
        <v>2.3498134329953801</v>
      </c>
      <c r="R1243" s="361">
        <f t="shared" si="1270"/>
        <v>2.8128441699671045</v>
      </c>
      <c r="S1243" s="361">
        <f t="shared" si="1270"/>
        <v>3.367115113659104</v>
      </c>
      <c r="T1243" s="361">
        <f t="shared" si="1270"/>
        <v>4.030605146805609</v>
      </c>
      <c r="U1243" s="361">
        <f t="shared" si="1270"/>
        <v>4.8248358909836284</v>
      </c>
      <c r="V1243" s="362">
        <f t="shared" si="1270"/>
        <v>5.7755698033019209</v>
      </c>
      <c r="X1243" s="351"/>
    </row>
    <row r="1244" spans="3:24" ht="24.75" customHeight="1" x14ac:dyDescent="0.3">
      <c r="C1244" s="353">
        <f>ABS(E1244-Dashboard!$F$14)</f>
        <v>9.0067991469855571</v>
      </c>
      <c r="D1244" s="350">
        <f t="shared" si="1257"/>
        <v>0.19714999999999352</v>
      </c>
      <c r="E1244" s="359" cm="1">
        <f t="array" ref="E1244">1000*SUM('DRE + DCF'!$L$36/M1244,'DRE + DCF'!$N$36:$V$36/N1244:V1244,F1244/V1244)/Dashboard!$F$11</f>
        <v>105.99679914698555</v>
      </c>
      <c r="F1244" s="359">
        <f t="shared" si="1255"/>
        <v>14518483.111355612</v>
      </c>
      <c r="G1244" s="359">
        <f>'DRE + DCF'!$W$31</f>
        <v>2791623.3540418856</v>
      </c>
      <c r="H1244" s="359">
        <f>'DRE + DCF'!$W$32</f>
        <v>81081.931703745853</v>
      </c>
      <c r="I1244" s="359">
        <f>-H1244*('DRE + DCF'!$V$33+K1244)/'DRE + DCF'!$V$33</f>
        <v>-90858.801614444121</v>
      </c>
      <c r="J1244" s="359">
        <f>-'DRE + DCF'!$V$56*L1244</f>
        <v>-1188924.4255577971</v>
      </c>
      <c r="K1244" s="360">
        <f>(1+L1244)/(1+Ke!$O$12)-1</f>
        <v>2.0000000000000018E-2</v>
      </c>
      <c r="L1244" s="360">
        <f>'DRE + DCF'!$Y$31</f>
        <v>7.3550000000000004E-2</v>
      </c>
      <c r="M1244" s="361">
        <f>(1+D1244)^((5-Dashboard!$F$9)*3/12)</f>
        <v>1.1444884847804846</v>
      </c>
      <c r="N1244" s="361">
        <f t="shared" ref="N1244:V1244" si="1271">M1244*(1+$D1244)</f>
        <v>1.3701243895549498</v>
      </c>
      <c r="O1244" s="361">
        <f t="shared" si="1271"/>
        <v>1.6402444129556992</v>
      </c>
      <c r="P1244" s="361">
        <f t="shared" si="1271"/>
        <v>1.9636185989699046</v>
      </c>
      <c r="Q1244" s="361">
        <f t="shared" si="1271"/>
        <v>2.3507460057568084</v>
      </c>
      <c r="R1244" s="361">
        <f t="shared" si="1271"/>
        <v>2.8141955807917478</v>
      </c>
      <c r="S1244" s="361">
        <f t="shared" si="1271"/>
        <v>3.3690142395448226</v>
      </c>
      <c r="T1244" s="361">
        <f t="shared" si="1271"/>
        <v>4.0332153968710625</v>
      </c>
      <c r="U1244" s="361">
        <f t="shared" si="1271"/>
        <v>4.8283638123641666</v>
      </c>
      <c r="V1244" s="362">
        <f t="shared" si="1271"/>
        <v>5.7802757379717304</v>
      </c>
      <c r="X1244" s="351"/>
    </row>
    <row r="1245" spans="3:24" ht="24.75" customHeight="1" x14ac:dyDescent="0.3">
      <c r="C1245" s="353">
        <f>ABS(E1245-Dashboard!$F$14)</f>
        <v>8.9156831964320986</v>
      </c>
      <c r="D1245" s="350">
        <f t="shared" si="1257"/>
        <v>0.19724999999999351</v>
      </c>
      <c r="E1245" s="359" cm="1">
        <f t="array" ref="E1245">1000*SUM('DRE + DCF'!$L$36/M1245,'DRE + DCF'!$N$36:$V$36/N1245:V1245,F1245/V1245)/Dashboard!$F$11</f>
        <v>105.90568319643209</v>
      </c>
      <c r="F1245" s="359">
        <f t="shared" si="1255"/>
        <v>14509037.384009529</v>
      </c>
      <c r="G1245" s="359">
        <f>'DRE + DCF'!$W$31</f>
        <v>2791623.3540418856</v>
      </c>
      <c r="H1245" s="359">
        <f>'DRE + DCF'!$W$32</f>
        <v>81081.931703745853</v>
      </c>
      <c r="I1245" s="359">
        <f>-H1245*('DRE + DCF'!$V$33+K1245)/'DRE + DCF'!$V$33</f>
        <v>-90858.801614444121</v>
      </c>
      <c r="J1245" s="359">
        <f>-'DRE + DCF'!$V$56*L1245</f>
        <v>-1188924.4255577971</v>
      </c>
      <c r="K1245" s="360">
        <f>(1+L1245)/(1+Ke!$O$12)-1</f>
        <v>2.0000000000000018E-2</v>
      </c>
      <c r="L1245" s="360">
        <f>'DRE + DCF'!$Y$31</f>
        <v>7.3550000000000004E-2</v>
      </c>
      <c r="M1245" s="361">
        <f>(1+D1245)^((5-Dashboard!$F$9)*3/12)</f>
        <v>1.1445601848515947</v>
      </c>
      <c r="N1245" s="361">
        <f t="shared" ref="N1245:V1245" si="1272">M1245*(1+$D1245)</f>
        <v>1.3703246813135643</v>
      </c>
      <c r="O1245" s="361">
        <f t="shared" si="1272"/>
        <v>1.6406212247026559</v>
      </c>
      <c r="P1245" s="361">
        <f t="shared" si="1272"/>
        <v>1.9642337612752441</v>
      </c>
      <c r="Q1245" s="361">
        <f t="shared" si="1272"/>
        <v>2.3516788706867731</v>
      </c>
      <c r="R1245" s="361">
        <f t="shared" si="1272"/>
        <v>2.8155475279297235</v>
      </c>
      <c r="S1245" s="361">
        <f t="shared" si="1272"/>
        <v>3.370914277813843</v>
      </c>
      <c r="T1245" s="361">
        <f t="shared" si="1272"/>
        <v>4.0358271191126018</v>
      </c>
      <c r="U1245" s="361">
        <f t="shared" si="1272"/>
        <v>4.8318940183575361</v>
      </c>
      <c r="V1245" s="362">
        <f t="shared" si="1272"/>
        <v>5.7849851134785286</v>
      </c>
      <c r="X1245" s="351"/>
    </row>
    <row r="1246" spans="3:24" ht="24.75" customHeight="1" x14ac:dyDescent="0.3">
      <c r="C1246" s="353">
        <f>ABS(E1246-Dashboard!$F$14)</f>
        <v>8.8247032226824444</v>
      </c>
      <c r="D1246" s="350">
        <f t="shared" si="1257"/>
        <v>0.1973499999999935</v>
      </c>
      <c r="E1246" s="359" cm="1">
        <f t="array" ref="E1246">1000*SUM('DRE + DCF'!$L$36/M1246,'DRE + DCF'!$N$36:$V$36/N1246:V1246,F1246/V1246)/Dashboard!$F$11</f>
        <v>105.81470322268244</v>
      </c>
      <c r="F1246" s="359">
        <f t="shared" si="1255"/>
        <v>14499604.596308026</v>
      </c>
      <c r="G1246" s="359">
        <f>'DRE + DCF'!$W$31</f>
        <v>2791623.3540418856</v>
      </c>
      <c r="H1246" s="359">
        <f>'DRE + DCF'!$W$32</f>
        <v>81081.931703745853</v>
      </c>
      <c r="I1246" s="359">
        <f>-H1246*('DRE + DCF'!$V$33+K1246)/'DRE + DCF'!$V$33</f>
        <v>-90858.801614444121</v>
      </c>
      <c r="J1246" s="359">
        <f>-'DRE + DCF'!$V$56*L1246</f>
        <v>-1188924.4255577971</v>
      </c>
      <c r="K1246" s="360">
        <f>(1+L1246)/(1+Ke!$O$12)-1</f>
        <v>2.0000000000000018E-2</v>
      </c>
      <c r="L1246" s="360">
        <f>'DRE + DCF'!$Y$31</f>
        <v>7.3550000000000004E-2</v>
      </c>
      <c r="M1246" s="361">
        <f>(1+D1246)^((5-Dashboard!$F$9)*3/12)</f>
        <v>1.144631883425538</v>
      </c>
      <c r="N1246" s="361">
        <f t="shared" ref="N1246:V1246" si="1273">M1246*(1+$D1246)</f>
        <v>1.3705249856195605</v>
      </c>
      <c r="O1246" s="361">
        <f t="shared" si="1273"/>
        <v>1.6409980915315718</v>
      </c>
      <c r="P1246" s="361">
        <f t="shared" si="1273"/>
        <v>1.9648490648953167</v>
      </c>
      <c r="Q1246" s="361">
        <f t="shared" si="1273"/>
        <v>2.3526120278523948</v>
      </c>
      <c r="R1246" s="361">
        <f t="shared" si="1273"/>
        <v>2.8169000115490497</v>
      </c>
      <c r="S1246" s="361">
        <f t="shared" si="1273"/>
        <v>3.372815228828236</v>
      </c>
      <c r="T1246" s="361">
        <f t="shared" si="1273"/>
        <v>4.0384403142374667</v>
      </c>
      <c r="U1246" s="361">
        <f t="shared" si="1273"/>
        <v>4.835426510252204</v>
      </c>
      <c r="V1246" s="362">
        <f t="shared" si="1273"/>
        <v>5.7896979320504451</v>
      </c>
      <c r="X1246" s="351"/>
    </row>
    <row r="1247" spans="3:24" ht="24.75" customHeight="1" x14ac:dyDescent="0.3">
      <c r="C1247" s="353">
        <f>ABS(E1247-Dashboard!$F$14)</f>
        <v>8.7338589345093141</v>
      </c>
      <c r="D1247" s="350">
        <f t="shared" si="1257"/>
        <v>0.19744999999999349</v>
      </c>
      <c r="E1247" s="359" cm="1">
        <f t="array" ref="E1247">1000*SUM('DRE + DCF'!$L$36/M1247,'DRE + DCF'!$N$36:$V$36/N1247:V1247,F1247/V1247)/Dashboard!$F$11</f>
        <v>105.72385893450931</v>
      </c>
      <c r="F1247" s="359">
        <f t="shared" si="1255"/>
        <v>14490184.720442366</v>
      </c>
      <c r="G1247" s="359">
        <f>'DRE + DCF'!$W$31</f>
        <v>2791623.3540418856</v>
      </c>
      <c r="H1247" s="359">
        <f>'DRE + DCF'!$W$32</f>
        <v>81081.931703745853</v>
      </c>
      <c r="I1247" s="359">
        <f>-H1247*('DRE + DCF'!$V$33+K1247)/'DRE + DCF'!$V$33</f>
        <v>-90858.801614444121</v>
      </c>
      <c r="J1247" s="359">
        <f>-'DRE + DCF'!$V$56*L1247</f>
        <v>-1188924.4255577971</v>
      </c>
      <c r="K1247" s="360">
        <f>(1+L1247)/(1+Ke!$O$12)-1</f>
        <v>2.0000000000000018E-2</v>
      </c>
      <c r="L1247" s="360">
        <f>'DRE + DCF'!$Y$31</f>
        <v>7.3550000000000004E-2</v>
      </c>
      <c r="M1247" s="361">
        <f>(1+D1247)^((5-Dashboard!$F$9)*3/12)</f>
        <v>1.1447035805024706</v>
      </c>
      <c r="N1247" s="361">
        <f t="shared" ref="N1247:V1247" si="1274">M1247*(1+$D1247)</f>
        <v>1.370725302472676</v>
      </c>
      <c r="O1247" s="361">
        <f t="shared" si="1274"/>
        <v>1.6413750134458969</v>
      </c>
      <c r="P1247" s="361">
        <f t="shared" si="1274"/>
        <v>1.9654645098507786</v>
      </c>
      <c r="Q1247" s="361">
        <f t="shared" si="1274"/>
        <v>2.353545477320802</v>
      </c>
      <c r="R1247" s="361">
        <f t="shared" si="1274"/>
        <v>2.818253031817779</v>
      </c>
      <c r="S1247" s="361">
        <f t="shared" si="1274"/>
        <v>3.3747170929501809</v>
      </c>
      <c r="T1247" s="361">
        <f t="shared" si="1274"/>
        <v>4.0410549829531721</v>
      </c>
      <c r="U1247" s="361">
        <f t="shared" si="1274"/>
        <v>4.8389612893372496</v>
      </c>
      <c r="V1247" s="362">
        <f t="shared" si="1274"/>
        <v>5.7944141959168576</v>
      </c>
      <c r="X1247" s="351"/>
    </row>
    <row r="1248" spans="3:24" ht="24.75" customHeight="1" x14ac:dyDescent="0.3">
      <c r="C1248" s="353">
        <f>ABS(E1248-Dashboard!$F$14)</f>
        <v>8.6431500415215226</v>
      </c>
      <c r="D1248" s="350">
        <f t="shared" si="1257"/>
        <v>0.19754999999999348</v>
      </c>
      <c r="E1248" s="359" cm="1">
        <f t="array" ref="E1248">1000*SUM('DRE + DCF'!$L$36/M1248,'DRE + DCF'!$N$36:$V$36/N1248:V1248,F1248/V1248)/Dashboard!$F$11</f>
        <v>105.63315004152152</v>
      </c>
      <c r="F1248" s="359">
        <f t="shared" si="1255"/>
        <v>14480777.728686381</v>
      </c>
      <c r="G1248" s="359">
        <f>'DRE + DCF'!$W$31</f>
        <v>2791623.3540418856</v>
      </c>
      <c r="H1248" s="359">
        <f>'DRE + DCF'!$W$32</f>
        <v>81081.931703745853</v>
      </c>
      <c r="I1248" s="359">
        <f>-H1248*('DRE + DCF'!$V$33+K1248)/'DRE + DCF'!$V$33</f>
        <v>-90858.801614444121</v>
      </c>
      <c r="J1248" s="359">
        <f>-'DRE + DCF'!$V$56*L1248</f>
        <v>-1188924.4255577971</v>
      </c>
      <c r="K1248" s="360">
        <f>(1+L1248)/(1+Ke!$O$12)-1</f>
        <v>2.0000000000000018E-2</v>
      </c>
      <c r="L1248" s="360">
        <f>'DRE + DCF'!$Y$31</f>
        <v>7.3550000000000004E-2</v>
      </c>
      <c r="M1248" s="361">
        <f>(1+D1248)^((5-Dashboard!$F$9)*3/12)</f>
        <v>1.1447752760825489</v>
      </c>
      <c r="N1248" s="361">
        <f t="shared" ref="N1248:V1248" si="1275">M1248*(1+$D1248)</f>
        <v>1.370925631872649</v>
      </c>
      <c r="O1248" s="361">
        <f t="shared" si="1275"/>
        <v>1.6417519904490818</v>
      </c>
      <c r="P1248" s="361">
        <f t="shared" si="1275"/>
        <v>1.9660800961622873</v>
      </c>
      <c r="Q1248" s="361">
        <f t="shared" si="1275"/>
        <v>2.3544792191591344</v>
      </c>
      <c r="R1248" s="361">
        <f t="shared" si="1275"/>
        <v>2.8196065889040058</v>
      </c>
      <c r="S1248" s="361">
        <f t="shared" si="1275"/>
        <v>3.3766198705419739</v>
      </c>
      <c r="T1248" s="361">
        <f t="shared" si="1275"/>
        <v>4.0436711259675189</v>
      </c>
      <c r="U1248" s="361">
        <f t="shared" si="1275"/>
        <v>4.8424983569023761</v>
      </c>
      <c r="V1248" s="362">
        <f t="shared" si="1275"/>
        <v>5.7991339073084092</v>
      </c>
      <c r="X1248" s="351"/>
    </row>
    <row r="1249" spans="3:24" ht="24.75" customHeight="1" x14ac:dyDescent="0.3">
      <c r="C1249" s="353">
        <f>ABS(E1249-Dashboard!$F$14)</f>
        <v>8.552576254160968</v>
      </c>
      <c r="D1249" s="350">
        <f t="shared" si="1257"/>
        <v>0.19764999999999347</v>
      </c>
      <c r="E1249" s="359" cm="1">
        <f t="array" ref="E1249">1000*SUM('DRE + DCF'!$L$36/M1249,'DRE + DCF'!$N$36:$V$36/N1249:V1249,F1249/V1249)/Dashboard!$F$11</f>
        <v>105.54257625416096</v>
      </c>
      <c r="F1249" s="359">
        <f t="shared" si="1255"/>
        <v>14471383.593396176</v>
      </c>
      <c r="G1249" s="359">
        <f>'DRE + DCF'!$W$31</f>
        <v>2791623.3540418856</v>
      </c>
      <c r="H1249" s="359">
        <f>'DRE + DCF'!$W$32</f>
        <v>81081.931703745853</v>
      </c>
      <c r="I1249" s="359">
        <f>-H1249*('DRE + DCF'!$V$33+K1249)/'DRE + DCF'!$V$33</f>
        <v>-90858.801614444121</v>
      </c>
      <c r="J1249" s="359">
        <f>-'DRE + DCF'!$V$56*L1249</f>
        <v>-1188924.4255577971</v>
      </c>
      <c r="K1249" s="360">
        <f>(1+L1249)/(1+Ke!$O$12)-1</f>
        <v>2.0000000000000018E-2</v>
      </c>
      <c r="L1249" s="360">
        <f>'DRE + DCF'!$Y$31</f>
        <v>7.3550000000000004E-2</v>
      </c>
      <c r="M1249" s="361">
        <f>(1+D1249)^((5-Dashboard!$F$9)*3/12)</f>
        <v>1.1448469701659292</v>
      </c>
      <c r="N1249" s="361">
        <f t="shared" ref="N1249:V1249" si="1276">M1249*(1+$D1249)</f>
        <v>1.3711259738192176</v>
      </c>
      <c r="O1249" s="361">
        <f t="shared" si="1276"/>
        <v>1.642129022544577</v>
      </c>
      <c r="P1249" s="361">
        <f t="shared" si="1276"/>
        <v>1.9666958238505019</v>
      </c>
      <c r="Q1249" s="361">
        <f t="shared" si="1276"/>
        <v>2.3554132534345409</v>
      </c>
      <c r="R1249" s="361">
        <f t="shared" si="1276"/>
        <v>2.8209606829758624</v>
      </c>
      <c r="S1249" s="361">
        <f t="shared" si="1276"/>
        <v>3.378523561966023</v>
      </c>
      <c r="T1249" s="361">
        <f t="shared" si="1276"/>
        <v>4.0462887439885851</v>
      </c>
      <c r="U1249" s="361">
        <f t="shared" si="1276"/>
        <v>4.8460377142379025</v>
      </c>
      <c r="V1249" s="362">
        <f t="shared" si="1276"/>
        <v>5.8038570684569919</v>
      </c>
      <c r="X1249" s="351"/>
    </row>
    <row r="1250" spans="3:24" ht="24.75" customHeight="1" x14ac:dyDescent="0.3">
      <c r="C1250" s="353">
        <f>ABS(E1250-Dashboard!$F$14)</f>
        <v>8.4621372836995477</v>
      </c>
      <c r="D1250" s="350">
        <f t="shared" si="1257"/>
        <v>0.19774999999999346</v>
      </c>
      <c r="E1250" s="359" cm="1">
        <f t="array" ref="E1250">1000*SUM('DRE + DCF'!$L$36/M1250,'DRE + DCF'!$N$36:$V$36/N1250:V1250,F1250/V1250)/Dashboard!$F$11</f>
        <v>105.45213728369954</v>
      </c>
      <c r="F1250" s="359">
        <f t="shared" si="1255"/>
        <v>14462002.287009807</v>
      </c>
      <c r="G1250" s="359">
        <f>'DRE + DCF'!$W$31</f>
        <v>2791623.3540418856</v>
      </c>
      <c r="H1250" s="359">
        <f>'DRE + DCF'!$W$32</f>
        <v>81081.931703745853</v>
      </c>
      <c r="I1250" s="359">
        <f>-H1250*('DRE + DCF'!$V$33+K1250)/'DRE + DCF'!$V$33</f>
        <v>-90858.801614444121</v>
      </c>
      <c r="J1250" s="359">
        <f>-'DRE + DCF'!$V$56*L1250</f>
        <v>-1188924.4255577971</v>
      </c>
      <c r="K1250" s="360">
        <f>(1+L1250)/(1+Ke!$O$12)-1</f>
        <v>2.0000000000000018E-2</v>
      </c>
      <c r="L1250" s="360">
        <f>'DRE + DCF'!$Y$31</f>
        <v>7.3550000000000004E-2</v>
      </c>
      <c r="M1250" s="361">
        <f>(1+D1250)^((5-Dashboard!$F$9)*3/12)</f>
        <v>1.1449186627527674</v>
      </c>
      <c r="N1250" s="361">
        <f t="shared" ref="N1250:V1250" si="1277">M1250*(1+$D1250)</f>
        <v>1.3713263283121198</v>
      </c>
      <c r="O1250" s="361">
        <f t="shared" si="1277"/>
        <v>1.6425061097358324</v>
      </c>
      <c r="P1250" s="361">
        <f t="shared" si="1277"/>
        <v>1.9673116929360825</v>
      </c>
      <c r="Q1250" s="361">
        <f t="shared" si="1277"/>
        <v>2.3563475802141798</v>
      </c>
      <c r="R1250" s="361">
        <f t="shared" si="1277"/>
        <v>2.8223153142015183</v>
      </c>
      <c r="S1250" s="361">
        <f t="shared" si="1277"/>
        <v>3.3804281675848498</v>
      </c>
      <c r="T1250" s="361">
        <f t="shared" si="1277"/>
        <v>4.0489078377247312</v>
      </c>
      <c r="U1250" s="361">
        <f t="shared" si="1277"/>
        <v>4.8495793626347705</v>
      </c>
      <c r="V1250" s="362">
        <f t="shared" si="1277"/>
        <v>5.8085836815957643</v>
      </c>
      <c r="X1250" s="351"/>
    </row>
    <row r="1251" spans="3:24" ht="24.75" customHeight="1" x14ac:dyDescent="0.3">
      <c r="C1251" s="353">
        <f>ABS(E1251-Dashboard!$F$14)</f>
        <v>8.3718328422359605</v>
      </c>
      <c r="D1251" s="350">
        <f t="shared" si="1257"/>
        <v>0.19784999999999345</v>
      </c>
      <c r="E1251" s="359" cm="1">
        <f t="array" ref="E1251">1000*SUM('DRE + DCF'!$L$36/M1251,'DRE + DCF'!$N$36:$V$36/N1251:V1251,F1251/V1251)/Dashboard!$F$11</f>
        <v>105.36183284223596</v>
      </c>
      <c r="F1251" s="359">
        <f t="shared" si="1255"/>
        <v>14452633.782046964</v>
      </c>
      <c r="G1251" s="359">
        <f>'DRE + DCF'!$W$31</f>
        <v>2791623.3540418856</v>
      </c>
      <c r="H1251" s="359">
        <f>'DRE + DCF'!$W$32</f>
        <v>81081.931703745853</v>
      </c>
      <c r="I1251" s="359">
        <f>-H1251*('DRE + DCF'!$V$33+K1251)/'DRE + DCF'!$V$33</f>
        <v>-90858.801614444121</v>
      </c>
      <c r="J1251" s="359">
        <f>-'DRE + DCF'!$V$56*L1251</f>
        <v>-1188924.4255577971</v>
      </c>
      <c r="K1251" s="360">
        <f>(1+L1251)/(1+Ke!$O$12)-1</f>
        <v>2.0000000000000018E-2</v>
      </c>
      <c r="L1251" s="360">
        <f>'DRE + DCF'!$Y$31</f>
        <v>7.3550000000000004E-2</v>
      </c>
      <c r="M1251" s="361">
        <f>(1+D1251)^((5-Dashboard!$F$9)*3/12)</f>
        <v>1.14499035384322</v>
      </c>
      <c r="N1251" s="361">
        <f t="shared" ref="N1251:V1251" si="1278">M1251*(1+$D1251)</f>
        <v>1.3715266953510936</v>
      </c>
      <c r="O1251" s="361">
        <f t="shared" si="1278"/>
        <v>1.6428832520262984</v>
      </c>
      <c r="P1251" s="361">
        <f t="shared" si="1278"/>
        <v>1.9679277034396907</v>
      </c>
      <c r="Q1251" s="361">
        <f t="shared" si="1278"/>
        <v>2.3572821995652204</v>
      </c>
      <c r="R1251" s="361">
        <f t="shared" si="1278"/>
        <v>2.8236704827491836</v>
      </c>
      <c r="S1251" s="361">
        <f t="shared" si="1278"/>
        <v>3.3823336877610912</v>
      </c>
      <c r="T1251" s="361">
        <f t="shared" si="1278"/>
        <v>4.051528407884601</v>
      </c>
      <c r="U1251" s="361">
        <f t="shared" si="1278"/>
        <v>4.8531233033845425</v>
      </c>
      <c r="V1251" s="362">
        <f t="shared" si="1278"/>
        <v>5.8133137489591427</v>
      </c>
      <c r="X1251" s="351"/>
    </row>
    <row r="1252" spans="3:24" ht="24.75" customHeight="1" x14ac:dyDescent="0.3">
      <c r="C1252" s="353">
        <f>ABS(E1252-Dashboard!$F$14)</f>
        <v>8.2816626426930497</v>
      </c>
      <c r="D1252" s="350">
        <f t="shared" si="1257"/>
        <v>0.19794999999999344</v>
      </c>
      <c r="E1252" s="359" cm="1">
        <f t="array" ref="E1252">1000*SUM('DRE + DCF'!$L$36/M1252,'DRE + DCF'!$N$36:$V$36/N1252:V1252,F1252/V1252)/Dashboard!$F$11</f>
        <v>105.27166264269304</v>
      </c>
      <c r="F1252" s="359">
        <f t="shared" si="1255"/>
        <v>14443278.051108673</v>
      </c>
      <c r="G1252" s="359">
        <f>'DRE + DCF'!$W$31</f>
        <v>2791623.3540418856</v>
      </c>
      <c r="H1252" s="359">
        <f>'DRE + DCF'!$W$32</f>
        <v>81081.931703745853</v>
      </c>
      <c r="I1252" s="359">
        <f>-H1252*('DRE + DCF'!$V$33+K1252)/'DRE + DCF'!$V$33</f>
        <v>-90858.801614444121</v>
      </c>
      <c r="J1252" s="359">
        <f>-'DRE + DCF'!$V$56*L1252</f>
        <v>-1188924.4255577971</v>
      </c>
      <c r="K1252" s="360">
        <f>(1+L1252)/(1+Ke!$O$12)-1</f>
        <v>2.0000000000000018E-2</v>
      </c>
      <c r="L1252" s="360">
        <f>'DRE + DCF'!$Y$31</f>
        <v>7.3550000000000004E-2</v>
      </c>
      <c r="M1252" s="361">
        <f>(1+D1252)^((5-Dashboard!$F$9)*3/12)</f>
        <v>1.145062043437443</v>
      </c>
      <c r="N1252" s="361">
        <f t="shared" ref="N1252:V1252" si="1279">M1252*(1+$D1252)</f>
        <v>1.3717270749358772</v>
      </c>
      <c r="O1252" s="361">
        <f t="shared" si="1279"/>
        <v>1.643260449419425</v>
      </c>
      <c r="P1252" s="361">
        <f t="shared" si="1279"/>
        <v>1.9685438553819894</v>
      </c>
      <c r="Q1252" s="361">
        <f t="shared" si="1279"/>
        <v>2.3582171115548411</v>
      </c>
      <c r="R1252" s="361">
        <f t="shared" si="1279"/>
        <v>2.8250261887871062</v>
      </c>
      <c r="S1252" s="361">
        <f t="shared" si="1279"/>
        <v>3.3842401228574954</v>
      </c>
      <c r="T1252" s="361">
        <f t="shared" si="1279"/>
        <v>4.0541504551771146</v>
      </c>
      <c r="U1252" s="361">
        <f t="shared" si="1279"/>
        <v>4.856669537779398</v>
      </c>
      <c r="V1252" s="362">
        <f t="shared" si="1279"/>
        <v>5.8180472727827981</v>
      </c>
      <c r="X1252" s="351"/>
    </row>
    <row r="1253" spans="3:24" ht="24.75" customHeight="1" x14ac:dyDescent="0.3">
      <c r="C1253" s="353">
        <f>ABS(E1253-Dashboard!$F$14)</f>
        <v>8.1916263988144209</v>
      </c>
      <c r="D1253" s="350">
        <f t="shared" si="1257"/>
        <v>0.19804999999999343</v>
      </c>
      <c r="E1253" s="359" cm="1">
        <f t="array" ref="E1253">1000*SUM('DRE + DCF'!$L$36/M1253,'DRE + DCF'!$N$36:$V$36/N1253:V1253,F1253/V1253)/Dashboard!$F$11</f>
        <v>105.18162639881442</v>
      </c>
      <c r="F1253" s="359">
        <f t="shared" si="1255"/>
        <v>14433935.066876981</v>
      </c>
      <c r="G1253" s="359">
        <f>'DRE + DCF'!$W$31</f>
        <v>2791623.3540418856</v>
      </c>
      <c r="H1253" s="359">
        <f>'DRE + DCF'!$W$32</f>
        <v>81081.931703745853</v>
      </c>
      <c r="I1253" s="359">
        <f>-H1253*('DRE + DCF'!$V$33+K1253)/'DRE + DCF'!$V$33</f>
        <v>-90858.801614444121</v>
      </c>
      <c r="J1253" s="359">
        <f>-'DRE + DCF'!$V$56*L1253</f>
        <v>-1188924.4255577971</v>
      </c>
      <c r="K1253" s="360">
        <f>(1+L1253)/(1+Ke!$O$12)-1</f>
        <v>2.0000000000000018E-2</v>
      </c>
      <c r="L1253" s="360">
        <f>'DRE + DCF'!$Y$31</f>
        <v>7.3550000000000004E-2</v>
      </c>
      <c r="M1253" s="361">
        <f>(1+D1253)^((5-Dashboard!$F$9)*3/12)</f>
        <v>1.1451337315355927</v>
      </c>
      <c r="N1253" s="361">
        <f t="shared" ref="N1253:V1253" si="1280">M1253*(1+$D1253)</f>
        <v>1.3719274670662094</v>
      </c>
      <c r="O1253" s="361">
        <f t="shared" si="1280"/>
        <v>1.643637701918663</v>
      </c>
      <c r="P1253" s="361">
        <f t="shared" si="1280"/>
        <v>1.9691601487836434</v>
      </c>
      <c r="Q1253" s="361">
        <f t="shared" si="1280"/>
        <v>2.3591523162502308</v>
      </c>
      <c r="R1253" s="361">
        <f t="shared" si="1280"/>
        <v>2.8263824324835736</v>
      </c>
      <c r="S1253" s="361">
        <f t="shared" si="1280"/>
        <v>3.3861474732369268</v>
      </c>
      <c r="T1253" s="361">
        <f t="shared" si="1280"/>
        <v>4.056773980311478</v>
      </c>
      <c r="U1253" s="361">
        <f t="shared" si="1280"/>
        <v>4.8602180671121396</v>
      </c>
      <c r="V1253" s="362">
        <f t="shared" si="1280"/>
        <v>5.8227842553036666</v>
      </c>
      <c r="X1253" s="351"/>
    </row>
    <row r="1254" spans="3:24" ht="24.75" customHeight="1" x14ac:dyDescent="0.3">
      <c r="C1254" s="353">
        <f>ABS(E1254-Dashboard!$F$14)</f>
        <v>8.1017238251616135</v>
      </c>
      <c r="D1254" s="350">
        <f t="shared" si="1257"/>
        <v>0.19814999999999341</v>
      </c>
      <c r="E1254" s="359" cm="1">
        <f t="array" ref="E1254">1000*SUM('DRE + DCF'!$L$36/M1254,'DRE + DCF'!$N$36:$V$36/N1254:V1254,F1254/V1254)/Dashboard!$F$11</f>
        <v>105.09172382516161</v>
      </c>
      <c r="F1254" s="359">
        <f t="shared" si="1255"/>
        <v>14424604.802114641</v>
      </c>
      <c r="G1254" s="359">
        <f>'DRE + DCF'!$W$31</f>
        <v>2791623.3540418856</v>
      </c>
      <c r="H1254" s="359">
        <f>'DRE + DCF'!$W$32</f>
        <v>81081.931703745853</v>
      </c>
      <c r="I1254" s="359">
        <f>-H1254*('DRE + DCF'!$V$33+K1254)/'DRE + DCF'!$V$33</f>
        <v>-90858.801614444121</v>
      </c>
      <c r="J1254" s="359">
        <f>-'DRE + DCF'!$V$56*L1254</f>
        <v>-1188924.4255577971</v>
      </c>
      <c r="K1254" s="360">
        <f>(1+L1254)/(1+Ke!$O$12)-1</f>
        <v>2.0000000000000018E-2</v>
      </c>
      <c r="L1254" s="360">
        <f>'DRE + DCF'!$Y$31</f>
        <v>7.3550000000000004E-2</v>
      </c>
      <c r="M1254" s="361">
        <f>(1+D1254)^((5-Dashboard!$F$9)*3/12)</f>
        <v>1.1452054181378251</v>
      </c>
      <c r="N1254" s="361">
        <f t="shared" ref="N1254:V1254" si="1281">M1254*(1+$D1254)</f>
        <v>1.3721278717418275</v>
      </c>
      <c r="O1254" s="361">
        <f t="shared" si="1281"/>
        <v>1.6440150095274615</v>
      </c>
      <c r="P1254" s="361">
        <f t="shared" si="1281"/>
        <v>1.9697765836653172</v>
      </c>
      <c r="Q1254" s="361">
        <f t="shared" si="1281"/>
        <v>2.3600878137185868</v>
      </c>
      <c r="R1254" s="361">
        <f t="shared" si="1281"/>
        <v>2.8277392140069093</v>
      </c>
      <c r="S1254" s="361">
        <f t="shared" si="1281"/>
        <v>3.3880557392623598</v>
      </c>
      <c r="T1254" s="361">
        <f t="shared" si="1281"/>
        <v>4.0593989839971742</v>
      </c>
      <c r="U1254" s="361">
        <f t="shared" si="1281"/>
        <v>4.8637688926761875</v>
      </c>
      <c r="V1254" s="362">
        <f t="shared" si="1281"/>
        <v>5.8275246987599418</v>
      </c>
      <c r="X1254" s="351"/>
    </row>
    <row r="1255" spans="3:24" ht="24.75" customHeight="1" x14ac:dyDescent="0.3">
      <c r="C1255" s="353">
        <f>ABS(E1255-Dashboard!$F$14)</f>
        <v>8.0119546371111596</v>
      </c>
      <c r="D1255" s="350">
        <f t="shared" si="1257"/>
        <v>0.1982499999999934</v>
      </c>
      <c r="E1255" s="359" cm="1">
        <f t="array" ref="E1255">1000*SUM('DRE + DCF'!$L$36/M1255,'DRE + DCF'!$N$36:$V$36/N1255:V1255,F1255/V1255)/Dashboard!$F$11</f>
        <v>105.00195463711115</v>
      </c>
      <c r="F1255" s="359">
        <f t="shared" si="1255"/>
        <v>14415287.229664823</v>
      </c>
      <c r="G1255" s="359">
        <f>'DRE + DCF'!$W$31</f>
        <v>2791623.3540418856</v>
      </c>
      <c r="H1255" s="359">
        <f>'DRE + DCF'!$W$32</f>
        <v>81081.931703745853</v>
      </c>
      <c r="I1255" s="359">
        <f>-H1255*('DRE + DCF'!$V$33+K1255)/'DRE + DCF'!$V$33</f>
        <v>-90858.801614444121</v>
      </c>
      <c r="J1255" s="359">
        <f>-'DRE + DCF'!$V$56*L1255</f>
        <v>-1188924.4255577971</v>
      </c>
      <c r="K1255" s="360">
        <f>(1+L1255)/(1+Ke!$O$12)-1</f>
        <v>2.0000000000000018E-2</v>
      </c>
      <c r="L1255" s="360">
        <f>'DRE + DCF'!$Y$31</f>
        <v>7.3550000000000004E-2</v>
      </c>
      <c r="M1255" s="361">
        <f>(1+D1255)^((5-Dashboard!$F$9)*3/12)</f>
        <v>1.1452771032442961</v>
      </c>
      <c r="N1255" s="361">
        <f t="shared" ref="N1255:V1255" si="1282">M1255*(1+$D1255)</f>
        <v>1.3723282889624702</v>
      </c>
      <c r="O1255" s="361">
        <f t="shared" si="1282"/>
        <v>1.6443923722492708</v>
      </c>
      <c r="P1255" s="361">
        <f t="shared" si="1282"/>
        <v>1.9703931600476778</v>
      </c>
      <c r="Q1255" s="361">
        <f t="shared" si="1282"/>
        <v>2.3610236040271171</v>
      </c>
      <c r="R1255" s="361">
        <f t="shared" si="1282"/>
        <v>2.8290965335254774</v>
      </c>
      <c r="S1255" s="361">
        <f t="shared" si="1282"/>
        <v>3.3899649212968845</v>
      </c>
      <c r="T1255" s="361">
        <f t="shared" si="1282"/>
        <v>4.062025466943969</v>
      </c>
      <c r="U1255" s="361">
        <f t="shared" si="1282"/>
        <v>4.8673220157655841</v>
      </c>
      <c r="V1255" s="362">
        <f t="shared" si="1282"/>
        <v>5.8322686053910786</v>
      </c>
      <c r="X1255" s="351"/>
    </row>
    <row r="1256" spans="3:24" ht="24.75" customHeight="1" x14ac:dyDescent="0.3">
      <c r="C1256" s="353">
        <f>ABS(E1256-Dashboard!$F$14)</f>
        <v>7.9223185508513581</v>
      </c>
      <c r="D1256" s="350">
        <f t="shared" si="1257"/>
        <v>0.19834999999999339</v>
      </c>
      <c r="E1256" s="359" cm="1">
        <f t="array" ref="E1256">1000*SUM('DRE + DCF'!$L$36/M1256,'DRE + DCF'!$N$36:$V$36/N1256:V1256,F1256/V1256)/Dashboard!$F$11</f>
        <v>104.91231855085135</v>
      </c>
      <c r="F1256" s="359">
        <f t="shared" si="1255"/>
        <v>14405982.322450794</v>
      </c>
      <c r="G1256" s="359">
        <f>'DRE + DCF'!$W$31</f>
        <v>2791623.3540418856</v>
      </c>
      <c r="H1256" s="359">
        <f>'DRE + DCF'!$W$32</f>
        <v>81081.931703745853</v>
      </c>
      <c r="I1256" s="359">
        <f>-H1256*('DRE + DCF'!$V$33+K1256)/'DRE + DCF'!$V$33</f>
        <v>-90858.801614444121</v>
      </c>
      <c r="J1256" s="359">
        <f>-'DRE + DCF'!$V$56*L1256</f>
        <v>-1188924.4255577971</v>
      </c>
      <c r="K1256" s="360">
        <f>(1+L1256)/(1+Ke!$O$12)-1</f>
        <v>2.0000000000000018E-2</v>
      </c>
      <c r="L1256" s="360">
        <f>'DRE + DCF'!$Y$31</f>
        <v>7.3550000000000004E-2</v>
      </c>
      <c r="M1256" s="361">
        <f>(1+D1256)^((5-Dashboard!$F$9)*3/12)</f>
        <v>1.1453487868551619</v>
      </c>
      <c r="N1256" s="361">
        <f t="shared" ref="N1256:V1256" si="1283">M1256*(1+$D1256)</f>
        <v>1.3725287187278756</v>
      </c>
      <c r="O1256" s="361">
        <f t="shared" si="1283"/>
        <v>1.6447697900875407</v>
      </c>
      <c r="P1256" s="361">
        <f t="shared" si="1283"/>
        <v>1.9710098779513934</v>
      </c>
      <c r="Q1256" s="361">
        <f t="shared" si="1283"/>
        <v>2.3619596872430391</v>
      </c>
      <c r="R1256" s="361">
        <f t="shared" si="1283"/>
        <v>2.8304543912076801</v>
      </c>
      <c r="S1256" s="361">
        <f t="shared" si="1283"/>
        <v>3.3918750197037046</v>
      </c>
      <c r="T1256" s="361">
        <f t="shared" si="1283"/>
        <v>4.0646534298619121</v>
      </c>
      <c r="U1256" s="361">
        <f t="shared" si="1283"/>
        <v>4.870877437674995</v>
      </c>
      <c r="V1256" s="362">
        <f t="shared" si="1283"/>
        <v>5.8370159774377983</v>
      </c>
      <c r="X1256" s="351"/>
    </row>
    <row r="1257" spans="3:24" ht="24.75" customHeight="1" x14ac:dyDescent="0.3">
      <c r="C1257" s="353">
        <f>ABS(E1257-Dashboard!$F$14)</f>
        <v>7.8328152833795315</v>
      </c>
      <c r="D1257" s="350">
        <f t="shared" si="1257"/>
        <v>0.19844999999999338</v>
      </c>
      <c r="E1257" s="359" cm="1">
        <f t="array" ref="E1257">1000*SUM('DRE + DCF'!$L$36/M1257,'DRE + DCF'!$N$36:$V$36/N1257:V1257,F1257/V1257)/Dashboard!$F$11</f>
        <v>104.82281528337953</v>
      </c>
      <c r="F1257" s="359">
        <f t="shared" si="1255"/>
        <v>14396690.053475622</v>
      </c>
      <c r="G1257" s="359">
        <f>'DRE + DCF'!$W$31</f>
        <v>2791623.3540418856</v>
      </c>
      <c r="H1257" s="359">
        <f>'DRE + DCF'!$W$32</f>
        <v>81081.931703745853</v>
      </c>
      <c r="I1257" s="359">
        <f>-H1257*('DRE + DCF'!$V$33+K1257)/'DRE + DCF'!$V$33</f>
        <v>-90858.801614444121</v>
      </c>
      <c r="J1257" s="359">
        <f>-'DRE + DCF'!$V$56*L1257</f>
        <v>-1188924.4255577971</v>
      </c>
      <c r="K1257" s="360">
        <f>(1+L1257)/(1+Ke!$O$12)-1</f>
        <v>2.0000000000000018E-2</v>
      </c>
      <c r="L1257" s="360">
        <f>'DRE + DCF'!$Y$31</f>
        <v>7.3550000000000004E-2</v>
      </c>
      <c r="M1257" s="361">
        <f>(1+D1257)^((5-Dashboard!$F$9)*3/12)</f>
        <v>1.1454204689705787</v>
      </c>
      <c r="N1257" s="361">
        <f t="shared" ref="N1257:V1257" si="1284">M1257*(1+$D1257)</f>
        <v>1.3727291610377825</v>
      </c>
      <c r="O1257" s="361">
        <f t="shared" si="1284"/>
        <v>1.6451472630457213</v>
      </c>
      <c r="P1257" s="361">
        <f t="shared" si="1284"/>
        <v>1.9716267373971339</v>
      </c>
      <c r="Q1257" s="361">
        <f t="shared" si="1284"/>
        <v>2.3628960634335821</v>
      </c>
      <c r="R1257" s="361">
        <f t="shared" si="1284"/>
        <v>2.8318127872219607</v>
      </c>
      <c r="S1257" s="361">
        <f t="shared" si="1284"/>
        <v>3.3937860348461402</v>
      </c>
      <c r="T1257" s="361">
        <f t="shared" si="1284"/>
        <v>4.067282873461334</v>
      </c>
      <c r="U1257" s="361">
        <f t="shared" si="1284"/>
        <v>4.8744351596997086</v>
      </c>
      <c r="V1257" s="362">
        <f t="shared" si="1284"/>
        <v>5.8417668171420836</v>
      </c>
      <c r="X1257" s="351"/>
    </row>
    <row r="1258" spans="3:24" ht="24.75" customHeight="1" x14ac:dyDescent="0.3">
      <c r="C1258" s="353">
        <f>ABS(E1258-Dashboard!$F$14)</f>
        <v>7.7434445524991418</v>
      </c>
      <c r="D1258" s="350">
        <f t="shared" si="1257"/>
        <v>0.19854999999999337</v>
      </c>
      <c r="E1258" s="359" cm="1">
        <f t="array" ref="E1258">1000*SUM('DRE + DCF'!$L$36/M1258,'DRE + DCF'!$N$36:$V$36/N1258:V1258,F1258/V1258)/Dashboard!$F$11</f>
        <v>104.73344455249914</v>
      </c>
      <c r="F1258" s="359">
        <f t="shared" si="1255"/>
        <v>14387410.395821873</v>
      </c>
      <c r="G1258" s="359">
        <f>'DRE + DCF'!$W$31</f>
        <v>2791623.3540418856</v>
      </c>
      <c r="H1258" s="359">
        <f>'DRE + DCF'!$W$32</f>
        <v>81081.931703745853</v>
      </c>
      <c r="I1258" s="359">
        <f>-H1258*('DRE + DCF'!$V$33+K1258)/'DRE + DCF'!$V$33</f>
        <v>-90858.801614444121</v>
      </c>
      <c r="J1258" s="359">
        <f>-'DRE + DCF'!$V$56*L1258</f>
        <v>-1188924.4255577971</v>
      </c>
      <c r="K1258" s="360">
        <f>(1+L1258)/(1+Ke!$O$12)-1</f>
        <v>2.0000000000000018E-2</v>
      </c>
      <c r="L1258" s="360">
        <f>'DRE + DCF'!$Y$31</f>
        <v>7.3550000000000004E-2</v>
      </c>
      <c r="M1258" s="361">
        <f>(1+D1258)^((5-Dashboard!$F$9)*3/12)</f>
        <v>1.145492149590702</v>
      </c>
      <c r="N1258" s="361">
        <f t="shared" ref="N1258:V1258" si="1285">M1258*(1+$D1258)</f>
        <v>1.3729296158919282</v>
      </c>
      <c r="O1258" s="361">
        <f t="shared" si="1285"/>
        <v>1.6455247911272615</v>
      </c>
      <c r="P1258" s="361">
        <f t="shared" si="1285"/>
        <v>1.9722437384055682</v>
      </c>
      <c r="Q1258" s="361">
        <f t="shared" si="1285"/>
        <v>2.3638327326659807</v>
      </c>
      <c r="R1258" s="361">
        <f t="shared" si="1285"/>
        <v>2.8331717217367953</v>
      </c>
      <c r="S1258" s="361">
        <f t="shared" si="1285"/>
        <v>3.3956979670876173</v>
      </c>
      <c r="T1258" s="361">
        <f t="shared" si="1285"/>
        <v>4.0699137984528413</v>
      </c>
      <c r="U1258" s="361">
        <f t="shared" si="1285"/>
        <v>4.8779951831356261</v>
      </c>
      <c r="V1258" s="362">
        <f t="shared" si="1285"/>
        <v>5.8465211267471719</v>
      </c>
      <c r="X1258" s="351"/>
    </row>
    <row r="1259" spans="3:24" ht="24.75" customHeight="1" x14ac:dyDescent="0.3">
      <c r="C1259" s="353">
        <f>ABS(E1259-Dashboard!$F$14)</f>
        <v>7.6542060768165641</v>
      </c>
      <c r="D1259" s="350">
        <f t="shared" si="1257"/>
        <v>0.19864999999999336</v>
      </c>
      <c r="E1259" s="359" cm="1">
        <f t="array" ref="E1259">1000*SUM('DRE + DCF'!$L$36/M1259,'DRE + DCF'!$N$36:$V$36/N1259:V1259,F1259/V1259)/Dashboard!$F$11</f>
        <v>104.64420607681656</v>
      </c>
      <c r="F1259" s="359">
        <f t="shared" si="1255"/>
        <v>14378143.322651312</v>
      </c>
      <c r="G1259" s="359">
        <f>'DRE + DCF'!$W$31</f>
        <v>2791623.3540418856</v>
      </c>
      <c r="H1259" s="359">
        <f>'DRE + DCF'!$W$32</f>
        <v>81081.931703745853</v>
      </c>
      <c r="I1259" s="359">
        <f>-H1259*('DRE + DCF'!$V$33+K1259)/'DRE + DCF'!$V$33</f>
        <v>-90858.801614444121</v>
      </c>
      <c r="J1259" s="359">
        <f>-'DRE + DCF'!$V$56*L1259</f>
        <v>-1188924.4255577971</v>
      </c>
      <c r="K1259" s="360">
        <f>(1+L1259)/(1+Ke!$O$12)-1</f>
        <v>2.0000000000000018E-2</v>
      </c>
      <c r="L1259" s="360">
        <f>'DRE + DCF'!$Y$31</f>
        <v>7.3550000000000004E-2</v>
      </c>
      <c r="M1259" s="361">
        <f>(1+D1259)^((5-Dashboard!$F$9)*3/12)</f>
        <v>1.145563828715688</v>
      </c>
      <c r="N1259" s="361">
        <f t="shared" ref="N1259:V1259" si="1286">M1259*(1+$D1259)</f>
        <v>1.3731300832900517</v>
      </c>
      <c r="O1259" s="361">
        <f t="shared" si="1286"/>
        <v>1.6459023743356114</v>
      </c>
      <c r="P1259" s="361">
        <f t="shared" si="1286"/>
        <v>1.9728608809973696</v>
      </c>
      <c r="Q1259" s="361">
        <f t="shared" si="1286"/>
        <v>2.3647696950074839</v>
      </c>
      <c r="R1259" s="361">
        <f t="shared" si="1286"/>
        <v>2.8345311949207046</v>
      </c>
      <c r="S1259" s="361">
        <f t="shared" si="1286"/>
        <v>3.3976108167916839</v>
      </c>
      <c r="T1259" s="361">
        <f t="shared" si="1286"/>
        <v>4.0725462055473294</v>
      </c>
      <c r="U1259" s="361">
        <f t="shared" si="1286"/>
        <v>4.8815575092792791</v>
      </c>
      <c r="V1259" s="362">
        <f t="shared" si="1286"/>
        <v>5.8512789084975756</v>
      </c>
      <c r="X1259" s="351"/>
    </row>
    <row r="1260" spans="3:24" ht="24.75" customHeight="1" x14ac:dyDescent="0.3">
      <c r="C1260" s="353">
        <f>ABS(E1260-Dashboard!$F$14)</f>
        <v>7.5650995757384152</v>
      </c>
      <c r="D1260" s="350">
        <f t="shared" si="1257"/>
        <v>0.19874999999999335</v>
      </c>
      <c r="E1260" s="359" cm="1">
        <f t="array" ref="E1260">1000*SUM('DRE + DCF'!$L$36/M1260,'DRE + DCF'!$N$36:$V$36/N1260:V1260,F1260/V1260)/Dashboard!$F$11</f>
        <v>104.55509957573841</v>
      </c>
      <c r="F1260" s="359">
        <f t="shared" si="1255"/>
        <v>14368888.807204593</v>
      </c>
      <c r="G1260" s="359">
        <f>'DRE + DCF'!$W$31</f>
        <v>2791623.3540418856</v>
      </c>
      <c r="H1260" s="359">
        <f>'DRE + DCF'!$W$32</f>
        <v>81081.931703745853</v>
      </c>
      <c r="I1260" s="359">
        <f>-H1260*('DRE + DCF'!$V$33+K1260)/'DRE + DCF'!$V$33</f>
        <v>-90858.801614444121</v>
      </c>
      <c r="J1260" s="359">
        <f>-'DRE + DCF'!$V$56*L1260</f>
        <v>-1188924.4255577971</v>
      </c>
      <c r="K1260" s="360">
        <f>(1+L1260)/(1+Ke!$O$12)-1</f>
        <v>2.0000000000000018E-2</v>
      </c>
      <c r="L1260" s="360">
        <f>'DRE + DCF'!$Y$31</f>
        <v>7.3550000000000004E-2</v>
      </c>
      <c r="M1260" s="361">
        <f>(1+D1260)^((5-Dashboard!$F$9)*3/12)</f>
        <v>1.1456355063456927</v>
      </c>
      <c r="N1260" s="361">
        <f t="shared" ref="N1260:V1260" si="1287">M1260*(1+$D1260)</f>
        <v>1.3733305632318915</v>
      </c>
      <c r="O1260" s="361">
        <f t="shared" si="1287"/>
        <v>1.6462800126742207</v>
      </c>
      <c r="P1260" s="361">
        <f t="shared" si="1287"/>
        <v>1.9734781651932112</v>
      </c>
      <c r="Q1260" s="361">
        <f t="shared" si="1287"/>
        <v>2.3657069505253485</v>
      </c>
      <c r="R1260" s="361">
        <f t="shared" si="1287"/>
        <v>2.8358912069422457</v>
      </c>
      <c r="S1260" s="361">
        <f t="shared" si="1287"/>
        <v>3.3995245843219983</v>
      </c>
      <c r="T1260" s="361">
        <f t="shared" si="1287"/>
        <v>4.0751800954559725</v>
      </c>
      <c r="U1260" s="361">
        <f t="shared" si="1287"/>
        <v>4.8851221394278195</v>
      </c>
      <c r="V1260" s="362">
        <f t="shared" si="1287"/>
        <v>5.8560401646390661</v>
      </c>
      <c r="X1260" s="351"/>
    </row>
    <row r="1261" spans="3:24" ht="24.75" customHeight="1" x14ac:dyDescent="0.3">
      <c r="C1261" s="353">
        <f>ABS(E1261-Dashboard!$F$14)</f>
        <v>7.4761247694684556</v>
      </c>
      <c r="D1261" s="350">
        <f t="shared" si="1257"/>
        <v>0.19884999999999334</v>
      </c>
      <c r="E1261" s="359" cm="1">
        <f t="array" ref="E1261">1000*SUM('DRE + DCF'!$L$36/M1261,'DRE + DCF'!$N$36:$V$36/N1261:V1261,F1261/V1261)/Dashboard!$F$11</f>
        <v>104.46612476946845</v>
      </c>
      <c r="F1261" s="359">
        <f t="shared" si="1255"/>
        <v>14359646.822800985</v>
      </c>
      <c r="G1261" s="359">
        <f>'DRE + DCF'!$W$31</f>
        <v>2791623.3540418856</v>
      </c>
      <c r="H1261" s="359">
        <f>'DRE + DCF'!$W$32</f>
        <v>81081.931703745853</v>
      </c>
      <c r="I1261" s="359">
        <f>-H1261*('DRE + DCF'!$V$33+K1261)/'DRE + DCF'!$V$33</f>
        <v>-90858.801614444121</v>
      </c>
      <c r="J1261" s="359">
        <f>-'DRE + DCF'!$V$56*L1261</f>
        <v>-1188924.4255577971</v>
      </c>
      <c r="K1261" s="360">
        <f>(1+L1261)/(1+Ke!$O$12)-1</f>
        <v>2.0000000000000018E-2</v>
      </c>
      <c r="L1261" s="360">
        <f>'DRE + DCF'!$Y$31</f>
        <v>7.3550000000000004E-2</v>
      </c>
      <c r="M1261" s="361">
        <f>(1+D1261)^((5-Dashboard!$F$9)*3/12)</f>
        <v>1.145707182480872</v>
      </c>
      <c r="N1261" s="361">
        <f t="shared" ref="N1261:V1261" si="1288">M1261*(1+$D1261)</f>
        <v>1.3735310557171858</v>
      </c>
      <c r="O1261" s="361">
        <f t="shared" si="1288"/>
        <v>1.6466577061465391</v>
      </c>
      <c r="P1261" s="361">
        <f t="shared" si="1288"/>
        <v>1.9740955910137674</v>
      </c>
      <c r="Q1261" s="361">
        <f t="shared" si="1288"/>
        <v>2.3666444992868421</v>
      </c>
      <c r="R1261" s="361">
        <f t="shared" si="1288"/>
        <v>2.8372517579700149</v>
      </c>
      <c r="S1261" s="361">
        <f t="shared" si="1288"/>
        <v>3.4014392700423333</v>
      </c>
      <c r="T1261" s="361">
        <f t="shared" si="1288"/>
        <v>4.0778154688902282</v>
      </c>
      <c r="U1261" s="361">
        <f t="shared" si="1288"/>
        <v>4.8886890748790224</v>
      </c>
      <c r="V1261" s="362">
        <f t="shared" si="1288"/>
        <v>5.8608048974186833</v>
      </c>
      <c r="X1261" s="351"/>
    </row>
    <row r="1262" spans="3:24" ht="24.75" customHeight="1" x14ac:dyDescent="0.3">
      <c r="C1262" s="353">
        <f>ABS(E1262-Dashboard!$F$14)</f>
        <v>7.3872813790050174</v>
      </c>
      <c r="D1262" s="350">
        <f t="shared" si="1257"/>
        <v>0.19894999999999333</v>
      </c>
      <c r="E1262" s="359" cm="1">
        <f t="array" ref="E1262">1000*SUM('DRE + DCF'!$L$36/M1262,'DRE + DCF'!$N$36:$V$36/N1262:V1262,F1262/V1262)/Dashboard!$F$11</f>
        <v>104.37728137900501</v>
      </c>
      <c r="F1262" s="359">
        <f t="shared" si="1255"/>
        <v>14350417.342838053</v>
      </c>
      <c r="G1262" s="359">
        <f>'DRE + DCF'!$W$31</f>
        <v>2791623.3540418856</v>
      </c>
      <c r="H1262" s="359">
        <f>'DRE + DCF'!$W$32</f>
        <v>81081.931703745853</v>
      </c>
      <c r="I1262" s="359">
        <f>-H1262*('DRE + DCF'!$V$33+K1262)/'DRE + DCF'!$V$33</f>
        <v>-90858.801614444121</v>
      </c>
      <c r="J1262" s="359">
        <f>-'DRE + DCF'!$V$56*L1262</f>
        <v>-1188924.4255577971</v>
      </c>
      <c r="K1262" s="360">
        <f>(1+L1262)/(1+Ke!$O$12)-1</f>
        <v>2.0000000000000018E-2</v>
      </c>
      <c r="L1262" s="360">
        <f>'DRE + DCF'!$Y$31</f>
        <v>7.3550000000000004E-2</v>
      </c>
      <c r="M1262" s="361">
        <f>(1+D1262)^((5-Dashboard!$F$9)*3/12)</f>
        <v>1.1457788571213814</v>
      </c>
      <c r="N1262" s="361">
        <f t="shared" ref="N1262:V1262" si="1289">M1262*(1+$D1262)</f>
        <v>1.3737315607456726</v>
      </c>
      <c r="O1262" s="361">
        <f t="shared" si="1289"/>
        <v>1.6470354547560149</v>
      </c>
      <c r="P1262" s="361">
        <f t="shared" si="1289"/>
        <v>1.9747131584797131</v>
      </c>
      <c r="Q1262" s="361">
        <f t="shared" si="1289"/>
        <v>2.3675823413592387</v>
      </c>
      <c r="R1262" s="361">
        <f t="shared" si="1289"/>
        <v>2.8386128481726436</v>
      </c>
      <c r="S1262" s="361">
        <f t="shared" si="1289"/>
        <v>3.4033548743165718</v>
      </c>
      <c r="T1262" s="361">
        <f t="shared" si="1289"/>
        <v>4.0804523265618311</v>
      </c>
      <c r="U1262" s="361">
        <f t="shared" si="1289"/>
        <v>4.8922583169312803</v>
      </c>
      <c r="V1262" s="362">
        <f t="shared" si="1289"/>
        <v>5.8655731090847256</v>
      </c>
      <c r="X1262" s="351"/>
    </row>
    <row r="1263" spans="3:24" ht="24.75" customHeight="1" x14ac:dyDescent="0.3">
      <c r="C1263" s="353">
        <f>ABS(E1263-Dashboard!$F$14)</f>
        <v>7.298569126137636</v>
      </c>
      <c r="D1263" s="350">
        <f t="shared" si="1257"/>
        <v>0.19904999999999332</v>
      </c>
      <c r="E1263" s="359" cm="1">
        <f t="array" ref="E1263">1000*SUM('DRE + DCF'!$L$36/M1263,'DRE + DCF'!$N$36:$V$36/N1263:V1263,F1263/V1263)/Dashboard!$F$11</f>
        <v>104.28856912613763</v>
      </c>
      <c r="F1263" s="359">
        <f t="shared" si="1255"/>
        <v>14341200.340791371</v>
      </c>
      <c r="G1263" s="359">
        <f>'DRE + DCF'!$W$31</f>
        <v>2791623.3540418856</v>
      </c>
      <c r="H1263" s="359">
        <f>'DRE + DCF'!$W$32</f>
        <v>81081.931703745853</v>
      </c>
      <c r="I1263" s="359">
        <f>-H1263*('DRE + DCF'!$V$33+K1263)/'DRE + DCF'!$V$33</f>
        <v>-90858.801614444121</v>
      </c>
      <c r="J1263" s="359">
        <f>-'DRE + DCF'!$V$56*L1263</f>
        <v>-1188924.4255577971</v>
      </c>
      <c r="K1263" s="360">
        <f>(1+L1263)/(1+Ke!$O$12)-1</f>
        <v>2.0000000000000018E-2</v>
      </c>
      <c r="L1263" s="360">
        <f>'DRE + DCF'!$Y$31</f>
        <v>7.3550000000000004E-2</v>
      </c>
      <c r="M1263" s="361">
        <f>(1+D1263)^((5-Dashboard!$F$9)*3/12)</f>
        <v>1.1458505302673772</v>
      </c>
      <c r="N1263" s="361">
        <f t="shared" ref="N1263:V1263" si="1290">M1263*(1+$D1263)</f>
        <v>1.373932078317091</v>
      </c>
      <c r="O1263" s="361">
        <f t="shared" si="1290"/>
        <v>1.6474132585060988</v>
      </c>
      <c r="P1263" s="361">
        <f t="shared" si="1290"/>
        <v>1.9753308676117267</v>
      </c>
      <c r="Q1263" s="361">
        <f t="shared" si="1290"/>
        <v>2.3685204768098278</v>
      </c>
      <c r="R1263" s="361">
        <f t="shared" si="1290"/>
        <v>2.8399744777188083</v>
      </c>
      <c r="S1263" s="361">
        <f t="shared" si="1290"/>
        <v>3.4052713975087179</v>
      </c>
      <c r="T1263" s="361">
        <f t="shared" si="1290"/>
        <v>4.0830906691828055</v>
      </c>
      <c r="U1263" s="361">
        <f t="shared" si="1290"/>
        <v>4.8958298668836155</v>
      </c>
      <c r="V1263" s="362">
        <f t="shared" si="1290"/>
        <v>5.8703448018867661</v>
      </c>
      <c r="X1263" s="351"/>
    </row>
    <row r="1264" spans="3:24" ht="24.75" customHeight="1" x14ac:dyDescent="0.3">
      <c r="C1264" s="353">
        <f>ABS(E1264-Dashboard!$F$14)</f>
        <v>7.2099877334445921</v>
      </c>
      <c r="D1264" s="350">
        <f t="shared" si="1257"/>
        <v>0.1991499999999933</v>
      </c>
      <c r="E1264" s="359" cm="1">
        <f t="array" ref="E1264">1000*SUM('DRE + DCF'!$L$36/M1264,'DRE + DCF'!$N$36:$V$36/N1264:V1264,F1264/V1264)/Dashboard!$F$11</f>
        <v>104.19998773344459</v>
      </c>
      <c r="F1264" s="359">
        <f t="shared" si="1255"/>
        <v>14331995.790214233</v>
      </c>
      <c r="G1264" s="359">
        <f>'DRE + DCF'!$W$31</f>
        <v>2791623.3540418856</v>
      </c>
      <c r="H1264" s="359">
        <f>'DRE + DCF'!$W$32</f>
        <v>81081.931703745853</v>
      </c>
      <c r="I1264" s="359">
        <f>-H1264*('DRE + DCF'!$V$33+K1264)/'DRE + DCF'!$V$33</f>
        <v>-90858.801614444121</v>
      </c>
      <c r="J1264" s="359">
        <f>-'DRE + DCF'!$V$56*L1264</f>
        <v>-1188924.4255577971</v>
      </c>
      <c r="K1264" s="360">
        <f>(1+L1264)/(1+Ke!$O$12)-1</f>
        <v>2.0000000000000018E-2</v>
      </c>
      <c r="L1264" s="360">
        <f>'DRE + DCF'!$Y$31</f>
        <v>7.3550000000000004E-2</v>
      </c>
      <c r="M1264" s="361">
        <f>(1+D1264)^((5-Dashboard!$F$9)*3/12)</f>
        <v>1.1459222019190147</v>
      </c>
      <c r="N1264" s="361">
        <f t="shared" ref="N1264:V1264" si="1291">M1264*(1+$D1264)</f>
        <v>1.3741326084311789</v>
      </c>
      <c r="O1264" s="361">
        <f t="shared" si="1291"/>
        <v>1.6477911174002389</v>
      </c>
      <c r="P1264" s="361">
        <f t="shared" si="1291"/>
        <v>1.9759487184304854</v>
      </c>
      <c r="Q1264" s="361">
        <f t="shared" si="1291"/>
        <v>2.3694589057059035</v>
      </c>
      <c r="R1264" s="361">
        <f t="shared" si="1291"/>
        <v>2.8413366467772181</v>
      </c>
      <c r="S1264" s="361">
        <f t="shared" si="1291"/>
        <v>3.407188839982882</v>
      </c>
      <c r="T1264" s="361">
        <f t="shared" si="1291"/>
        <v>4.08573049746545</v>
      </c>
      <c r="U1264" s="361">
        <f t="shared" si="1291"/>
        <v>4.8994037260356667</v>
      </c>
      <c r="V1264" s="362">
        <f t="shared" si="1291"/>
        <v>5.8751199780756371</v>
      </c>
      <c r="X1264" s="351"/>
    </row>
    <row r="1265" spans="3:24" ht="24.75" customHeight="1" x14ac:dyDescent="0.3">
      <c r="C1265" s="353">
        <f>ABS(E1265-Dashboard!$F$14)</f>
        <v>7.121536924289785</v>
      </c>
      <c r="D1265" s="350">
        <f t="shared" si="1257"/>
        <v>0.19924999999999329</v>
      </c>
      <c r="E1265" s="359" cm="1">
        <f t="array" ref="E1265">1000*SUM('DRE + DCF'!$L$36/M1265,'DRE + DCF'!$N$36:$V$36/N1265:V1265,F1265/V1265)/Dashboard!$F$11</f>
        <v>104.11153692428978</v>
      </c>
      <c r="F1265" s="359">
        <f t="shared" si="1255"/>
        <v>14322803.664737351</v>
      </c>
      <c r="G1265" s="359">
        <f>'DRE + DCF'!$W$31</f>
        <v>2791623.3540418856</v>
      </c>
      <c r="H1265" s="359">
        <f>'DRE + DCF'!$W$32</f>
        <v>81081.931703745853</v>
      </c>
      <c r="I1265" s="359">
        <f>-H1265*('DRE + DCF'!$V$33+K1265)/'DRE + DCF'!$V$33</f>
        <v>-90858.801614444121</v>
      </c>
      <c r="J1265" s="359">
        <f>-'DRE + DCF'!$V$56*L1265</f>
        <v>-1188924.4255577971</v>
      </c>
      <c r="K1265" s="360">
        <f>(1+L1265)/(1+Ke!$O$12)-1</f>
        <v>2.0000000000000018E-2</v>
      </c>
      <c r="L1265" s="360">
        <f>'DRE + DCF'!$Y$31</f>
        <v>7.3550000000000004E-2</v>
      </c>
      <c r="M1265" s="361">
        <f>(1+D1265)^((5-Dashboard!$F$9)*3/12)</f>
        <v>1.1459938720764502</v>
      </c>
      <c r="N1265" s="361">
        <f t="shared" ref="N1265:V1265" si="1292">M1265*(1+$D1265)</f>
        <v>1.3743331510876753</v>
      </c>
      <c r="O1265" s="361">
        <f t="shared" si="1292"/>
        <v>1.6481690314418853</v>
      </c>
      <c r="P1265" s="361">
        <f t="shared" si="1292"/>
        <v>1.9765667109566698</v>
      </c>
      <c r="Q1265" s="361">
        <f t="shared" si="1292"/>
        <v>2.3703976281147732</v>
      </c>
      <c r="R1265" s="361">
        <f t="shared" si="1292"/>
        <v>2.8426993555166256</v>
      </c>
      <c r="S1265" s="361">
        <f t="shared" si="1292"/>
        <v>3.4091072021032942</v>
      </c>
      <c r="T1265" s="361">
        <f t="shared" si="1292"/>
        <v>4.0883718121223529</v>
      </c>
      <c r="U1265" s="361">
        <f t="shared" si="1292"/>
        <v>4.9029798956877038</v>
      </c>
      <c r="V1265" s="362">
        <f t="shared" si="1292"/>
        <v>5.8798986399034456</v>
      </c>
      <c r="X1265" s="351"/>
    </row>
    <row r="1266" spans="3:24" ht="24.75" customHeight="1" x14ac:dyDescent="0.3">
      <c r="C1266" s="353">
        <f>ABS(E1266-Dashboard!$F$14)</f>
        <v>7.0332164228200753</v>
      </c>
      <c r="D1266" s="350">
        <f t="shared" si="1257"/>
        <v>0.19934999999999328</v>
      </c>
      <c r="E1266" s="359" cm="1">
        <f t="array" ref="E1266">1000*SUM('DRE + DCF'!$L$36/M1266,'DRE + DCF'!$N$36:$V$36/N1266:V1266,F1266/V1266)/Dashboard!$F$11</f>
        <v>104.02321642282007</v>
      </c>
      <c r="F1266" s="359">
        <f t="shared" si="1255"/>
        <v>14313623.93806858</v>
      </c>
      <c r="G1266" s="359">
        <f>'DRE + DCF'!$W$31</f>
        <v>2791623.3540418856</v>
      </c>
      <c r="H1266" s="359">
        <f>'DRE + DCF'!$W$32</f>
        <v>81081.931703745853</v>
      </c>
      <c r="I1266" s="359">
        <f>-H1266*('DRE + DCF'!$V$33+K1266)/'DRE + DCF'!$V$33</f>
        <v>-90858.801614444121</v>
      </c>
      <c r="J1266" s="359">
        <f>-'DRE + DCF'!$V$56*L1266</f>
        <v>-1188924.4255577971</v>
      </c>
      <c r="K1266" s="360">
        <f>(1+L1266)/(1+Ke!$O$12)-1</f>
        <v>2.0000000000000018E-2</v>
      </c>
      <c r="L1266" s="360">
        <f>'DRE + DCF'!$Y$31</f>
        <v>7.3550000000000004E-2</v>
      </c>
      <c r="M1266" s="361">
        <f>(1+D1266)^((5-Dashboard!$F$9)*3/12)</f>
        <v>1.1460655407398392</v>
      </c>
      <c r="N1266" s="361">
        <f t="shared" ref="N1266:V1266" si="1293">M1266*(1+$D1266)</f>
        <v>1.3745337062863185</v>
      </c>
      <c r="O1266" s="361">
        <f t="shared" si="1293"/>
        <v>1.6485470006344869</v>
      </c>
      <c r="P1266" s="361">
        <f t="shared" si="1293"/>
        <v>1.9771848452109608</v>
      </c>
      <c r="Q1266" s="361">
        <f t="shared" si="1293"/>
        <v>2.3713366441037524</v>
      </c>
      <c r="R1266" s="361">
        <f t="shared" si="1293"/>
        <v>2.8440626041058197</v>
      </c>
      <c r="S1266" s="361">
        <f t="shared" si="1293"/>
        <v>3.4110264842342954</v>
      </c>
      <c r="T1266" s="361">
        <f t="shared" si="1293"/>
        <v>4.0910146138663794</v>
      </c>
      <c r="U1266" s="361">
        <f t="shared" si="1293"/>
        <v>4.9065583771406143</v>
      </c>
      <c r="V1266" s="362">
        <f t="shared" si="1293"/>
        <v>5.8846807896235624</v>
      </c>
      <c r="X1266" s="351"/>
    </row>
    <row r="1267" spans="3:24" ht="24.75" customHeight="1" x14ac:dyDescent="0.3">
      <c r="C1267" s="353">
        <f>ABS(E1267-Dashboard!$F$14)</f>
        <v>6.9450259539624</v>
      </c>
      <c r="D1267" s="350">
        <f t="shared" si="1257"/>
        <v>0.19944999999999327</v>
      </c>
      <c r="E1267" s="359" cm="1">
        <f t="array" ref="E1267">1000*SUM('DRE + DCF'!$L$36/M1267,'DRE + DCF'!$N$36:$V$36/N1267:V1267,F1267/V1267)/Dashboard!$F$11</f>
        <v>103.93502595396239</v>
      </c>
      <c r="F1267" s="359">
        <f t="shared" si="1255"/>
        <v>14304456.583992608</v>
      </c>
      <c r="G1267" s="359">
        <f>'DRE + DCF'!$W$31</f>
        <v>2791623.3540418856</v>
      </c>
      <c r="H1267" s="359">
        <f>'DRE + DCF'!$W$32</f>
        <v>81081.931703745853</v>
      </c>
      <c r="I1267" s="359">
        <f>-H1267*('DRE + DCF'!$V$33+K1267)/'DRE + DCF'!$V$33</f>
        <v>-90858.801614444121</v>
      </c>
      <c r="J1267" s="359">
        <f>-'DRE + DCF'!$V$56*L1267</f>
        <v>-1188924.4255577971</v>
      </c>
      <c r="K1267" s="360">
        <f>(1+L1267)/(1+Ke!$O$12)-1</f>
        <v>2.0000000000000018E-2</v>
      </c>
      <c r="L1267" s="360">
        <f>'DRE + DCF'!$Y$31</f>
        <v>7.3550000000000004E-2</v>
      </c>
      <c r="M1267" s="361">
        <f>(1+D1267)^((5-Dashboard!$F$9)*3/12)</f>
        <v>1.1461372079093375</v>
      </c>
      <c r="N1267" s="361">
        <f t="shared" ref="N1267:V1267" si="1294">M1267*(1+$D1267)</f>
        <v>1.3747342740268471</v>
      </c>
      <c r="O1267" s="361">
        <f t="shared" si="1294"/>
        <v>1.6489250249814924</v>
      </c>
      <c r="P1267" s="361">
        <f t="shared" si="1294"/>
        <v>1.9778031212140399</v>
      </c>
      <c r="Q1267" s="361">
        <f t="shared" si="1294"/>
        <v>2.372275953740167</v>
      </c>
      <c r="R1267" s="361">
        <f t="shared" si="1294"/>
        <v>2.8454263927136272</v>
      </c>
      <c r="S1267" s="361">
        <f t="shared" si="1294"/>
        <v>3.4129466867403409</v>
      </c>
      <c r="T1267" s="361">
        <f t="shared" si="1294"/>
        <v>4.0936589034106792</v>
      </c>
      <c r="U1267" s="361">
        <f t="shared" si="1294"/>
        <v>4.9101391716959117</v>
      </c>
      <c r="V1267" s="362">
        <f t="shared" si="1294"/>
        <v>5.8894664294906285</v>
      </c>
      <c r="X1267" s="351"/>
    </row>
    <row r="1268" spans="3:24" ht="24.75" customHeight="1" x14ac:dyDescent="0.3">
      <c r="C1268" s="353">
        <f>ABS(E1268-Dashboard!$F$14)</f>
        <v>6.8569652434208166</v>
      </c>
      <c r="D1268" s="350">
        <f t="shared" si="1257"/>
        <v>0.19954999999999326</v>
      </c>
      <c r="E1268" s="359" cm="1">
        <f t="array" ref="E1268">1000*SUM('DRE + DCF'!$L$36/M1268,'DRE + DCF'!$N$36:$V$36/N1268:V1268,F1268/V1268)/Dashboard!$F$11</f>
        <v>103.84696524342081</v>
      </c>
      <c r="F1268" s="359">
        <f t="shared" si="1255"/>
        <v>14295301.576370683</v>
      </c>
      <c r="G1268" s="359">
        <f>'DRE + DCF'!$W$31</f>
        <v>2791623.3540418856</v>
      </c>
      <c r="H1268" s="359">
        <f>'DRE + DCF'!$W$32</f>
        <v>81081.931703745853</v>
      </c>
      <c r="I1268" s="359">
        <f>-H1268*('DRE + DCF'!$V$33+K1268)/'DRE + DCF'!$V$33</f>
        <v>-90858.801614444121</v>
      </c>
      <c r="J1268" s="359">
        <f>-'DRE + DCF'!$V$56*L1268</f>
        <v>-1188924.4255577971</v>
      </c>
      <c r="K1268" s="360">
        <f>(1+L1268)/(1+Ke!$O$12)-1</f>
        <v>2.0000000000000018E-2</v>
      </c>
      <c r="L1268" s="360">
        <f>'DRE + DCF'!$Y$31</f>
        <v>7.3550000000000004E-2</v>
      </c>
      <c r="M1268" s="361">
        <f>(1+D1268)^((5-Dashboard!$F$9)*3/12)</f>
        <v>1.1462088735851006</v>
      </c>
      <c r="N1268" s="361">
        <f t="shared" ref="N1268:V1268" si="1295">M1268*(1+$D1268)</f>
        <v>1.3749348543089996</v>
      </c>
      <c r="O1268" s="361">
        <f t="shared" si="1295"/>
        <v>1.6493031044863513</v>
      </c>
      <c r="P1268" s="361">
        <f t="shared" si="1295"/>
        <v>1.9784215389865916</v>
      </c>
      <c r="Q1268" s="361">
        <f t="shared" si="1295"/>
        <v>2.3732155570913527</v>
      </c>
      <c r="R1268" s="361">
        <f t="shared" si="1295"/>
        <v>2.8467907215089161</v>
      </c>
      <c r="S1268" s="361">
        <f t="shared" si="1295"/>
        <v>3.414867809986001</v>
      </c>
      <c r="T1268" s="361">
        <f t="shared" si="1295"/>
        <v>4.0963046814686841</v>
      </c>
      <c r="U1268" s="361">
        <f t="shared" si="1295"/>
        <v>4.9137222806557324</v>
      </c>
      <c r="V1268" s="362">
        <f t="shared" si="1295"/>
        <v>5.8942555617605503</v>
      </c>
      <c r="X1268" s="351"/>
    </row>
    <row r="1269" spans="3:24" ht="24.75" customHeight="1" x14ac:dyDescent="0.3">
      <c r="C1269" s="353">
        <f>ABS(E1269-Dashboard!$F$14)</f>
        <v>6.7690340176739312</v>
      </c>
      <c r="D1269" s="350">
        <f t="shared" si="1257"/>
        <v>0.19964999999999325</v>
      </c>
      <c r="E1269" s="359" cm="1">
        <f t="array" ref="E1269">1000*SUM('DRE + DCF'!$L$36/M1269,'DRE + DCF'!$N$36:$V$36/N1269:V1269,F1269/V1269)/Dashboard!$F$11</f>
        <v>103.75903401767393</v>
      </c>
      <c r="F1269" s="359">
        <f t="shared" si="1255"/>
        <v>14286158.889140319</v>
      </c>
      <c r="G1269" s="359">
        <f>'DRE + DCF'!$W$31</f>
        <v>2791623.3540418856</v>
      </c>
      <c r="H1269" s="359">
        <f>'DRE + DCF'!$W$32</f>
        <v>81081.931703745853</v>
      </c>
      <c r="I1269" s="359">
        <f>-H1269*('DRE + DCF'!$V$33+K1269)/'DRE + DCF'!$V$33</f>
        <v>-90858.801614444121</v>
      </c>
      <c r="J1269" s="359">
        <f>-'DRE + DCF'!$V$56*L1269</f>
        <v>-1188924.4255577971</v>
      </c>
      <c r="K1269" s="360">
        <f>(1+L1269)/(1+Ke!$O$12)-1</f>
        <v>2.0000000000000018E-2</v>
      </c>
      <c r="L1269" s="360">
        <f>'DRE + DCF'!$Y$31</f>
        <v>7.3550000000000004E-2</v>
      </c>
      <c r="M1269" s="361">
        <f>(1+D1269)^((5-Dashboard!$F$9)*3/12)</f>
        <v>1.1462805377672842</v>
      </c>
      <c r="N1269" s="361">
        <f t="shared" ref="N1269:V1269" si="1296">M1269*(1+$D1269)</f>
        <v>1.3751354471325148</v>
      </c>
      <c r="O1269" s="361">
        <f t="shared" si="1296"/>
        <v>1.649681239152512</v>
      </c>
      <c r="P1269" s="361">
        <f t="shared" si="1296"/>
        <v>1.9790400985492997</v>
      </c>
      <c r="Q1269" s="361">
        <f t="shared" si="1296"/>
        <v>2.3741554542246539</v>
      </c>
      <c r="R1269" s="361">
        <f t="shared" si="1296"/>
        <v>2.84815559066059</v>
      </c>
      <c r="S1269" s="361">
        <f t="shared" si="1296"/>
        <v>3.4167898543359576</v>
      </c>
      <c r="T1269" s="361">
        <f t="shared" si="1296"/>
        <v>4.0989519487541086</v>
      </c>
      <c r="U1269" s="361">
        <f t="shared" si="1296"/>
        <v>4.9173077053228385</v>
      </c>
      <c r="V1269" s="362">
        <f t="shared" si="1296"/>
        <v>5.89904818869051</v>
      </c>
      <c r="X1269" s="351"/>
    </row>
    <row r="1270" spans="3:24" ht="24.75" customHeight="1" x14ac:dyDescent="0.3">
      <c r="C1270" s="353">
        <f>ABS(E1270-Dashboard!$F$14)</f>
        <v>6.6812320039717861</v>
      </c>
      <c r="D1270" s="350">
        <f t="shared" si="1257"/>
        <v>0.19974999999999324</v>
      </c>
      <c r="E1270" s="359" cm="1">
        <f t="array" ref="E1270">1000*SUM('DRE + DCF'!$L$36/M1270,'DRE + DCF'!$N$36:$V$36/N1270:V1270,F1270/V1270)/Dashboard!$F$11</f>
        <v>103.67123200397178</v>
      </c>
      <c r="F1270" s="359">
        <f t="shared" si="1255"/>
        <v>14277028.496315017</v>
      </c>
      <c r="G1270" s="359">
        <f>'DRE + DCF'!$W$31</f>
        <v>2791623.3540418856</v>
      </c>
      <c r="H1270" s="359">
        <f>'DRE + DCF'!$W$32</f>
        <v>81081.931703745853</v>
      </c>
      <c r="I1270" s="359">
        <f>-H1270*('DRE + DCF'!$V$33+K1270)/'DRE + DCF'!$V$33</f>
        <v>-90858.801614444121</v>
      </c>
      <c r="J1270" s="359">
        <f>-'DRE + DCF'!$V$56*L1270</f>
        <v>-1188924.4255577971</v>
      </c>
      <c r="K1270" s="360">
        <f>(1+L1270)/(1+Ke!$O$12)-1</f>
        <v>2.0000000000000018E-2</v>
      </c>
      <c r="L1270" s="360">
        <f>'DRE + DCF'!$Y$31</f>
        <v>7.3550000000000004E-2</v>
      </c>
      <c r="M1270" s="361">
        <f>(1+D1270)^((5-Dashboard!$F$9)*3/12)</f>
        <v>1.146352200456044</v>
      </c>
      <c r="N1270" s="361">
        <f t="shared" ref="N1270:V1270" si="1297">M1270*(1+$D1270)</f>
        <v>1.375336052497131</v>
      </c>
      <c r="O1270" s="361">
        <f t="shared" si="1297"/>
        <v>1.6500594289834236</v>
      </c>
      <c r="P1270" s="361">
        <f t="shared" si="1297"/>
        <v>1.9796587999228512</v>
      </c>
      <c r="Q1270" s="361">
        <f t="shared" si="1297"/>
        <v>2.3750956452074274</v>
      </c>
      <c r="R1270" s="361">
        <f t="shared" si="1297"/>
        <v>2.849521000337595</v>
      </c>
      <c r="S1270" s="361">
        <f t="shared" si="1297"/>
        <v>3.4187128201550103</v>
      </c>
      <c r="T1270" s="361">
        <f t="shared" si="1297"/>
        <v>4.1016007059809505</v>
      </c>
      <c r="U1270" s="361">
        <f t="shared" si="1297"/>
        <v>4.9208954470006177</v>
      </c>
      <c r="V1270" s="362">
        <f t="shared" si="1297"/>
        <v>5.9038443125389577</v>
      </c>
      <c r="X1270" s="351"/>
    </row>
    <row r="1271" spans="3:24" ht="24.75" customHeight="1" x14ac:dyDescent="0.3">
      <c r="C1271" s="353">
        <f>ABS(E1271-Dashboard!$F$14)</f>
        <v>6.5935589303335291</v>
      </c>
      <c r="D1271" s="350">
        <f t="shared" si="1257"/>
        <v>0.19984999999999323</v>
      </c>
      <c r="E1271" s="359" cm="1">
        <f t="array" ref="E1271">1000*SUM('DRE + DCF'!$L$36/M1271,'DRE + DCF'!$N$36:$V$36/N1271:V1271,F1271/V1271)/Dashboard!$F$11</f>
        <v>103.58355893033352</v>
      </c>
      <c r="F1271" s="359">
        <f t="shared" si="1255"/>
        <v>14267910.371983975</v>
      </c>
      <c r="G1271" s="359">
        <f>'DRE + DCF'!$W$31</f>
        <v>2791623.3540418856</v>
      </c>
      <c r="H1271" s="359">
        <f>'DRE + DCF'!$W$32</f>
        <v>81081.931703745853</v>
      </c>
      <c r="I1271" s="359">
        <f>-H1271*('DRE + DCF'!$V$33+K1271)/'DRE + DCF'!$V$33</f>
        <v>-90858.801614444121</v>
      </c>
      <c r="J1271" s="359">
        <f>-'DRE + DCF'!$V$56*L1271</f>
        <v>-1188924.4255577971</v>
      </c>
      <c r="K1271" s="360">
        <f>(1+L1271)/(1+Ke!$O$12)-1</f>
        <v>2.0000000000000018E-2</v>
      </c>
      <c r="L1271" s="360">
        <f>'DRE + DCF'!$Y$31</f>
        <v>7.3550000000000004E-2</v>
      </c>
      <c r="M1271" s="361">
        <f>(1+D1271)^((5-Dashboard!$F$9)*3/12)</f>
        <v>1.1464238616515356</v>
      </c>
      <c r="N1271" s="361">
        <f t="shared" ref="N1271:V1271" si="1298">M1271*(1+$D1271)</f>
        <v>1.3755366704025873</v>
      </c>
      <c r="O1271" s="361">
        <f t="shared" si="1298"/>
        <v>1.650437673982535</v>
      </c>
      <c r="P1271" s="361">
        <f t="shared" si="1298"/>
        <v>1.9802776431279334</v>
      </c>
      <c r="Q1271" s="361">
        <f t="shared" si="1298"/>
        <v>2.3760361301070376</v>
      </c>
      <c r="R1271" s="361">
        <f t="shared" si="1298"/>
        <v>2.850886950708913</v>
      </c>
      <c r="S1271" s="361">
        <f t="shared" si="1298"/>
        <v>3.4206367078080699</v>
      </c>
      <c r="T1271" s="361">
        <f t="shared" si="1298"/>
        <v>4.104250953863489</v>
      </c>
      <c r="U1271" s="361">
        <f t="shared" si="1298"/>
        <v>4.9244855069930793</v>
      </c>
      <c r="V1271" s="362">
        <f t="shared" si="1298"/>
        <v>5.9086439355656131</v>
      </c>
      <c r="X1271" s="351"/>
    </row>
    <row r="1272" spans="3:24" ht="24.75" customHeight="1" x14ac:dyDescent="0.3">
      <c r="C1272" s="353">
        <f>ABS(E1272-Dashboard!$F$14)</f>
        <v>6.5060145255440744</v>
      </c>
      <c r="D1272" s="350">
        <f t="shared" si="1257"/>
        <v>0.19994999999999322</v>
      </c>
      <c r="E1272" s="359" cm="1">
        <f t="array" ref="E1272">1000*SUM('DRE + DCF'!$L$36/M1272,'DRE + DCF'!$N$36:$V$36/N1272:V1272,F1272/V1272)/Dashboard!$F$11</f>
        <v>103.49601452554407</v>
      </c>
      <c r="F1272" s="359">
        <f t="shared" si="1255"/>
        <v>14258804.490311805</v>
      </c>
      <c r="G1272" s="359">
        <f>'DRE + DCF'!$W$31</f>
        <v>2791623.3540418856</v>
      </c>
      <c r="H1272" s="359">
        <f>'DRE + DCF'!$W$32</f>
        <v>81081.931703745853</v>
      </c>
      <c r="I1272" s="359">
        <f>-H1272*('DRE + DCF'!$V$33+K1272)/'DRE + DCF'!$V$33</f>
        <v>-90858.801614444121</v>
      </c>
      <c r="J1272" s="359">
        <f>-'DRE + DCF'!$V$56*L1272</f>
        <v>-1188924.4255577971</v>
      </c>
      <c r="K1272" s="360">
        <f>(1+L1272)/(1+Ke!$O$12)-1</f>
        <v>2.0000000000000018E-2</v>
      </c>
      <c r="L1272" s="360">
        <f>'DRE + DCF'!$Y$31</f>
        <v>7.3550000000000004E-2</v>
      </c>
      <c r="M1272" s="361">
        <f>(1+D1272)^((5-Dashboard!$F$9)*3/12)</f>
        <v>1.1464955213539145</v>
      </c>
      <c r="N1272" s="361">
        <f t="shared" ref="N1272:V1272" si="1299">M1272*(1+$D1272)</f>
        <v>1.375737300848622</v>
      </c>
      <c r="O1272" s="361">
        <f t="shared" si="1299"/>
        <v>1.6508159741532946</v>
      </c>
      <c r="P1272" s="361">
        <f t="shared" si="1299"/>
        <v>1.9808966281852347</v>
      </c>
      <c r="Q1272" s="361">
        <f t="shared" si="1299"/>
        <v>2.376976908990859</v>
      </c>
      <c r="R1272" s="361">
        <f t="shared" si="1299"/>
        <v>2.852253441943565</v>
      </c>
      <c r="S1272" s="361">
        <f t="shared" si="1299"/>
        <v>3.4225615176601614</v>
      </c>
      <c r="T1272" s="361">
        <f t="shared" si="1299"/>
        <v>4.1069026931162878</v>
      </c>
      <c r="U1272" s="361">
        <f t="shared" si="1299"/>
        <v>4.9280778866048616</v>
      </c>
      <c r="V1272" s="362">
        <f t="shared" si="1299"/>
        <v>5.9134470600314701</v>
      </c>
      <c r="X1272" s="351"/>
    </row>
    <row r="1273" spans="3:24" ht="24.75" customHeight="1" x14ac:dyDescent="0.3">
      <c r="C1273" s="353">
        <f>ABS(E1273-Dashboard!$F$14)</f>
        <v>6.4185985191518853</v>
      </c>
      <c r="D1273" s="350">
        <f t="shared" si="1257"/>
        <v>0.20004999999999321</v>
      </c>
      <c r="E1273" s="359" cm="1">
        <f t="array" ref="E1273">1000*SUM('DRE + DCF'!$L$36/M1273,'DRE + DCF'!$N$36:$V$36/N1273:V1273,F1273/V1273)/Dashboard!$F$11</f>
        <v>103.40859851915188</v>
      </c>
      <c r="F1273" s="359">
        <f t="shared" si="1255"/>
        <v>14249710.825538253</v>
      </c>
      <c r="G1273" s="359">
        <f>'DRE + DCF'!$W$31</f>
        <v>2791623.3540418856</v>
      </c>
      <c r="H1273" s="359">
        <f>'DRE + DCF'!$W$32</f>
        <v>81081.931703745853</v>
      </c>
      <c r="I1273" s="359">
        <f>-H1273*('DRE + DCF'!$V$33+K1273)/'DRE + DCF'!$V$33</f>
        <v>-90858.801614444121</v>
      </c>
      <c r="J1273" s="359">
        <f>-'DRE + DCF'!$V$56*L1273</f>
        <v>-1188924.4255577971</v>
      </c>
      <c r="K1273" s="360">
        <f>(1+L1273)/(1+Ke!$O$12)-1</f>
        <v>2.0000000000000018E-2</v>
      </c>
      <c r="L1273" s="360">
        <f>'DRE + DCF'!$Y$31</f>
        <v>7.3550000000000004E-2</v>
      </c>
      <c r="M1273" s="361">
        <f>(1+D1273)^((5-Dashboard!$F$9)*3/12)</f>
        <v>1.1465671795633363</v>
      </c>
      <c r="N1273" s="361">
        <f t="shared" ref="N1273:V1273" si="1300">M1273*(1+$D1273)</f>
        <v>1.3759379438349739</v>
      </c>
      <c r="O1273" s="361">
        <f t="shared" si="1300"/>
        <v>1.6511943294991511</v>
      </c>
      <c r="P1273" s="361">
        <f t="shared" si="1300"/>
        <v>1.981515755115445</v>
      </c>
      <c r="Q1273" s="361">
        <f t="shared" si="1300"/>
        <v>2.3779179819262763</v>
      </c>
      <c r="R1273" s="361">
        <f t="shared" si="1300"/>
        <v>2.8536204742106115</v>
      </c>
      <c r="S1273" s="361">
        <f t="shared" si="1300"/>
        <v>3.424487250076425</v>
      </c>
      <c r="T1273" s="361">
        <f t="shared" si="1300"/>
        <v>4.1095559244541908</v>
      </c>
      <c r="U1273" s="361">
        <f t="shared" si="1300"/>
        <v>4.9316725871412235</v>
      </c>
      <c r="V1273" s="362">
        <f t="shared" si="1300"/>
        <v>5.9182536881987913</v>
      </c>
      <c r="X1273" s="351"/>
    </row>
    <row r="1274" spans="3:24" ht="24.75" customHeight="1" x14ac:dyDescent="0.3">
      <c r="C1274" s="353">
        <f>ABS(E1274-Dashboard!$F$14)</f>
        <v>6.331310641465862</v>
      </c>
      <c r="D1274" s="350">
        <f t="shared" si="1257"/>
        <v>0.20014999999999319</v>
      </c>
      <c r="E1274" s="359" cm="1">
        <f t="array" ref="E1274">1000*SUM('DRE + DCF'!$L$36/M1274,'DRE + DCF'!$N$36:$V$36/N1274:V1274,F1274/V1274)/Dashboard!$F$11</f>
        <v>103.32131064146586</v>
      </c>
      <c r="F1274" s="359">
        <f t="shared" si="1255"/>
        <v>14240629.351977922</v>
      </c>
      <c r="G1274" s="359">
        <f>'DRE + DCF'!$W$31</f>
        <v>2791623.3540418856</v>
      </c>
      <c r="H1274" s="359">
        <f>'DRE + DCF'!$W$32</f>
        <v>81081.931703745853</v>
      </c>
      <c r="I1274" s="359">
        <f>-H1274*('DRE + DCF'!$V$33+K1274)/'DRE + DCF'!$V$33</f>
        <v>-90858.801614444121</v>
      </c>
      <c r="J1274" s="359">
        <f>-'DRE + DCF'!$V$56*L1274</f>
        <v>-1188924.4255577971</v>
      </c>
      <c r="K1274" s="360">
        <f>(1+L1274)/(1+Ke!$O$12)-1</f>
        <v>2.0000000000000018E-2</v>
      </c>
      <c r="L1274" s="360">
        <f>'DRE + DCF'!$Y$31</f>
        <v>7.3550000000000004E-2</v>
      </c>
      <c r="M1274" s="361">
        <f>(1+D1274)^((5-Dashboard!$F$9)*3/12)</f>
        <v>1.1466388362799564</v>
      </c>
      <c r="N1274" s="361">
        <f t="shared" ref="N1274:V1274" si="1301">M1274*(1+$D1274)</f>
        <v>1.3761385993613819</v>
      </c>
      <c r="O1274" s="361">
        <f t="shared" si="1301"/>
        <v>1.6515727400235531</v>
      </c>
      <c r="P1274" s="361">
        <f t="shared" si="1301"/>
        <v>1.9821350239392561</v>
      </c>
      <c r="Q1274" s="361">
        <f t="shared" si="1301"/>
        <v>2.3788593489806846</v>
      </c>
      <c r="R1274" s="361">
        <f t="shared" si="1301"/>
        <v>2.8549880476791523</v>
      </c>
      <c r="S1274" s="361">
        <f t="shared" si="1301"/>
        <v>3.4264139054221152</v>
      </c>
      <c r="T1274" s="361">
        <f t="shared" si="1301"/>
        <v>4.1122106485923284</v>
      </c>
      <c r="U1274" s="361">
        <f t="shared" si="1301"/>
        <v>4.9352696099080546</v>
      </c>
      <c r="V1274" s="362">
        <f t="shared" si="1301"/>
        <v>5.9230638223311178</v>
      </c>
      <c r="X1274" s="351"/>
    </row>
    <row r="1275" spans="3:24" ht="24.75" customHeight="1" x14ac:dyDescent="0.3">
      <c r="C1275" s="353">
        <f>ABS(E1275-Dashboard!$F$14)</f>
        <v>6.2441506235527129</v>
      </c>
      <c r="D1275" s="350">
        <f t="shared" si="1257"/>
        <v>0.20024999999999318</v>
      </c>
      <c r="E1275" s="359" cm="1">
        <f t="array" ref="E1275">1000*SUM('DRE + DCF'!$L$36/M1275,'DRE + DCF'!$N$36:$V$36/N1275:V1275,F1275/V1275)/Dashboard!$F$11</f>
        <v>103.23415062355271</v>
      </c>
      <c r="F1275" s="359">
        <f t="shared" si="1255"/>
        <v>14231560.044019982</v>
      </c>
      <c r="G1275" s="359">
        <f>'DRE + DCF'!$W$31</f>
        <v>2791623.3540418856</v>
      </c>
      <c r="H1275" s="359">
        <f>'DRE + DCF'!$W$32</f>
        <v>81081.931703745853</v>
      </c>
      <c r="I1275" s="359">
        <f>-H1275*('DRE + DCF'!$V$33+K1275)/'DRE + DCF'!$V$33</f>
        <v>-90858.801614444121</v>
      </c>
      <c r="J1275" s="359">
        <f>-'DRE + DCF'!$V$56*L1275</f>
        <v>-1188924.4255577971</v>
      </c>
      <c r="K1275" s="360">
        <f>(1+L1275)/(1+Ke!$O$12)-1</f>
        <v>2.0000000000000018E-2</v>
      </c>
      <c r="L1275" s="360">
        <f>'DRE + DCF'!$Y$31</f>
        <v>7.3550000000000004E-2</v>
      </c>
      <c r="M1275" s="361">
        <f>(1+D1275)^((5-Dashboard!$F$9)*3/12)</f>
        <v>1.1467104915039306</v>
      </c>
      <c r="N1275" s="361">
        <f t="shared" ref="N1275:V1275" si="1302">M1275*(1+$D1275)</f>
        <v>1.3763392674275847</v>
      </c>
      <c r="O1275" s="361">
        <f t="shared" si="1302"/>
        <v>1.6519512057299492</v>
      </c>
      <c r="P1275" s="361">
        <f t="shared" si="1302"/>
        <v>1.9827544346773602</v>
      </c>
      <c r="Q1275" s="361">
        <f t="shared" si="1302"/>
        <v>2.3798010102214882</v>
      </c>
      <c r="R1275" s="361">
        <f t="shared" si="1302"/>
        <v>2.8563561625183249</v>
      </c>
      <c r="S1275" s="361">
        <f t="shared" si="1302"/>
        <v>3.4283414840625999</v>
      </c>
      <c r="T1275" s="361">
        <f t="shared" si="1302"/>
        <v>4.1148668662461123</v>
      </c>
      <c r="U1275" s="361">
        <f t="shared" si="1302"/>
        <v>4.9388689562118682</v>
      </c>
      <c r="V1275" s="362">
        <f t="shared" si="1302"/>
        <v>5.9278774646932613</v>
      </c>
      <c r="X1275" s="351"/>
    </row>
    <row r="1276" spans="3:24" ht="24.75" customHeight="1" x14ac:dyDescent="0.3">
      <c r="C1276" s="353">
        <f>ABS(E1276-Dashboard!$F$14)</f>
        <v>6.1571181972344107</v>
      </c>
      <c r="D1276" s="350">
        <f t="shared" si="1257"/>
        <v>0.20034999999999317</v>
      </c>
      <c r="E1276" s="359" cm="1">
        <f t="array" ref="E1276">1000*SUM('DRE + DCF'!$L$36/M1276,'DRE + DCF'!$N$36:$V$36/N1276:V1276,F1276/V1276)/Dashboard!$F$11</f>
        <v>103.14711819723441</v>
      </c>
      <c r="F1276" s="359">
        <f t="shared" si="1255"/>
        <v>14222502.876127914</v>
      </c>
      <c r="G1276" s="359">
        <f>'DRE + DCF'!$W$31</f>
        <v>2791623.3540418856</v>
      </c>
      <c r="H1276" s="359">
        <f>'DRE + DCF'!$W$32</f>
        <v>81081.931703745853</v>
      </c>
      <c r="I1276" s="359">
        <f>-H1276*('DRE + DCF'!$V$33+K1276)/'DRE + DCF'!$V$33</f>
        <v>-90858.801614444121</v>
      </c>
      <c r="J1276" s="359">
        <f>-'DRE + DCF'!$V$56*L1276</f>
        <v>-1188924.4255577971</v>
      </c>
      <c r="K1276" s="360">
        <f>(1+L1276)/(1+Ke!$O$12)-1</f>
        <v>2.0000000000000018E-2</v>
      </c>
      <c r="L1276" s="360">
        <f>'DRE + DCF'!$Y$31</f>
        <v>7.3550000000000004E-2</v>
      </c>
      <c r="M1276" s="361">
        <f>(1+D1276)^((5-Dashboard!$F$9)*3/12)</f>
        <v>1.1467821452354139</v>
      </c>
      <c r="N1276" s="361">
        <f t="shared" ref="N1276:V1276" si="1303">M1276*(1+$D1276)</f>
        <v>1.3765399480333211</v>
      </c>
      <c r="O1276" s="361">
        <f t="shared" si="1303"/>
        <v>1.6523297266217876</v>
      </c>
      <c r="P1276" s="361">
        <f t="shared" si="1303"/>
        <v>1.9833739873504515</v>
      </c>
      <c r="Q1276" s="361">
        <f t="shared" si="1303"/>
        <v>2.380742965716101</v>
      </c>
      <c r="R1276" s="361">
        <f t="shared" si="1303"/>
        <v>2.8577248188973057</v>
      </c>
      <c r="S1276" s="361">
        <f t="shared" si="1303"/>
        <v>3.4302699863633612</v>
      </c>
      <c r="T1276" s="361">
        <f t="shared" si="1303"/>
        <v>4.1175245781312375</v>
      </c>
      <c r="U1276" s="361">
        <f t="shared" si="1303"/>
        <v>4.9424706273598025</v>
      </c>
      <c r="V1276" s="362">
        <f t="shared" si="1303"/>
        <v>5.9326946175513049</v>
      </c>
      <c r="X1276" s="351"/>
    </row>
    <row r="1277" spans="3:24" ht="24.75" customHeight="1" x14ac:dyDescent="0.3">
      <c r="C1277" s="353">
        <f>ABS(E1277-Dashboard!$F$14)</f>
        <v>6.0702130950851227</v>
      </c>
      <c r="D1277" s="350">
        <f t="shared" si="1257"/>
        <v>0.20044999999999316</v>
      </c>
      <c r="E1277" s="359" cm="1">
        <f t="array" ref="E1277">1000*SUM('DRE + DCF'!$L$36/M1277,'DRE + DCF'!$N$36:$V$36/N1277:V1277,F1277/V1277)/Dashboard!$F$11</f>
        <v>103.06021309508512</v>
      </c>
      <c r="F1277" s="359">
        <f t="shared" si="1255"/>
        <v>14213457.822839197</v>
      </c>
      <c r="G1277" s="359">
        <f>'DRE + DCF'!$W$31</f>
        <v>2791623.3540418856</v>
      </c>
      <c r="H1277" s="359">
        <f>'DRE + DCF'!$W$32</f>
        <v>81081.931703745853</v>
      </c>
      <c r="I1277" s="359">
        <f>-H1277*('DRE + DCF'!$V$33+K1277)/'DRE + DCF'!$V$33</f>
        <v>-90858.801614444121</v>
      </c>
      <c r="J1277" s="359">
        <f>-'DRE + DCF'!$V$56*L1277</f>
        <v>-1188924.4255577971</v>
      </c>
      <c r="K1277" s="360">
        <f>(1+L1277)/(1+Ke!$O$12)-1</f>
        <v>2.0000000000000018E-2</v>
      </c>
      <c r="L1277" s="360">
        <f>'DRE + DCF'!$Y$31</f>
        <v>7.3550000000000004E-2</v>
      </c>
      <c r="M1277" s="361">
        <f>(1+D1277)^((5-Dashboard!$F$9)*3/12)</f>
        <v>1.1468537974745618</v>
      </c>
      <c r="N1277" s="361">
        <f t="shared" ref="N1277:V1277" si="1304">M1277*(1+$D1277)</f>
        <v>1.3767406411783298</v>
      </c>
      <c r="O1277" s="361">
        <f t="shared" si="1304"/>
        <v>1.6527083027025167</v>
      </c>
      <c r="P1277" s="361">
        <f t="shared" si="1304"/>
        <v>1.9839936819792248</v>
      </c>
      <c r="Q1277" s="361">
        <f t="shared" si="1304"/>
        <v>2.3816852155319466</v>
      </c>
      <c r="R1277" s="361">
        <f t="shared" si="1304"/>
        <v>2.859094016985309</v>
      </c>
      <c r="S1277" s="361">
        <f t="shared" si="1304"/>
        <v>3.4321994126899944</v>
      </c>
      <c r="T1277" s="361">
        <f t="shared" si="1304"/>
        <v>4.1201837849636807</v>
      </c>
      <c r="U1277" s="361">
        <f t="shared" si="1304"/>
        <v>4.9460746246596221</v>
      </c>
      <c r="V1277" s="362">
        <f t="shared" si="1304"/>
        <v>5.9375152831726092</v>
      </c>
      <c r="X1277" s="351"/>
    </row>
    <row r="1278" spans="3:24" ht="24.75" customHeight="1" x14ac:dyDescent="0.3">
      <c r="C1278" s="353">
        <f>ABS(E1278-Dashboard!$F$14)</f>
        <v>5.9834350504287528</v>
      </c>
      <c r="D1278" s="350">
        <f t="shared" si="1257"/>
        <v>0.20054999999999315</v>
      </c>
      <c r="E1278" s="359" cm="1">
        <f t="array" ref="E1278">1000*SUM('DRE + DCF'!$L$36/M1278,'DRE + DCF'!$N$36:$V$36/N1278:V1278,F1278/V1278)/Dashboard!$F$11</f>
        <v>102.97343505042875</v>
      </c>
      <c r="F1278" s="359">
        <f t="shared" si="1255"/>
        <v>14204424.858765081</v>
      </c>
      <c r="G1278" s="359">
        <f>'DRE + DCF'!$W$31</f>
        <v>2791623.3540418856</v>
      </c>
      <c r="H1278" s="359">
        <f>'DRE + DCF'!$W$32</f>
        <v>81081.931703745853</v>
      </c>
      <c r="I1278" s="359">
        <f>-H1278*('DRE + DCF'!$V$33+K1278)/'DRE + DCF'!$V$33</f>
        <v>-90858.801614444121</v>
      </c>
      <c r="J1278" s="359">
        <f>-'DRE + DCF'!$V$56*L1278</f>
        <v>-1188924.4255577971</v>
      </c>
      <c r="K1278" s="360">
        <f>(1+L1278)/(1+Ke!$O$12)-1</f>
        <v>2.0000000000000018E-2</v>
      </c>
      <c r="L1278" s="360">
        <f>'DRE + DCF'!$Y$31</f>
        <v>7.3550000000000004E-2</v>
      </c>
      <c r="M1278" s="361">
        <f>(1+D1278)^((5-Dashboard!$F$9)*3/12)</f>
        <v>1.1469254482215303</v>
      </c>
      <c r="N1278" s="361">
        <f t="shared" ref="N1278:V1278" si="1305">M1278*(1+$D1278)</f>
        <v>1.3769413468623504</v>
      </c>
      <c r="O1278" s="361">
        <f t="shared" si="1305"/>
        <v>1.6530869339755854</v>
      </c>
      <c r="P1278" s="361">
        <f t="shared" si="1305"/>
        <v>1.9846135185843776</v>
      </c>
      <c r="Q1278" s="361">
        <f t="shared" si="1305"/>
        <v>2.3826277597364611</v>
      </c>
      <c r="R1278" s="361">
        <f t="shared" si="1305"/>
        <v>2.8604637569515918</v>
      </c>
      <c r="S1278" s="361">
        <f t="shared" si="1305"/>
        <v>3.434129763408214</v>
      </c>
      <c r="T1278" s="361">
        <f t="shared" si="1305"/>
        <v>4.1228444874597079</v>
      </c>
      <c r="U1278" s="361">
        <f t="shared" si="1305"/>
        <v>4.949680949419724</v>
      </c>
      <c r="V1278" s="362">
        <f t="shared" si="1305"/>
        <v>5.9423394638258156</v>
      </c>
      <c r="X1278" s="351"/>
    </row>
    <row r="1279" spans="3:24" ht="24.75" customHeight="1" x14ac:dyDescent="0.3">
      <c r="C1279" s="353">
        <f>ABS(E1279-Dashboard!$F$14)</f>
        <v>5.8967837973363828</v>
      </c>
      <c r="D1279" s="350">
        <f t="shared" si="1257"/>
        <v>0.20064999999999314</v>
      </c>
      <c r="E1279" s="359" cm="1">
        <f t="array" ref="E1279">1000*SUM('DRE + DCF'!$L$36/M1279,'DRE + DCF'!$N$36:$V$36/N1279:V1279,F1279/V1279)/Dashboard!$F$11</f>
        <v>102.88678379733638</v>
      </c>
      <c r="F1279" s="359">
        <f t="shared" si="1255"/>
        <v>14195403.958590264</v>
      </c>
      <c r="G1279" s="359">
        <f>'DRE + DCF'!$W$31</f>
        <v>2791623.3540418856</v>
      </c>
      <c r="H1279" s="359">
        <f>'DRE + DCF'!$W$32</f>
        <v>81081.931703745853</v>
      </c>
      <c r="I1279" s="359">
        <f>-H1279*('DRE + DCF'!$V$33+K1279)/'DRE + DCF'!$V$33</f>
        <v>-90858.801614444121</v>
      </c>
      <c r="J1279" s="359">
        <f>-'DRE + DCF'!$V$56*L1279</f>
        <v>-1188924.4255577971</v>
      </c>
      <c r="K1279" s="360">
        <f>(1+L1279)/(1+Ke!$O$12)-1</f>
        <v>2.0000000000000018E-2</v>
      </c>
      <c r="L1279" s="360">
        <f>'DRE + DCF'!$Y$31</f>
        <v>7.3550000000000004E-2</v>
      </c>
      <c r="M1279" s="361">
        <f>(1+D1279)^((5-Dashboard!$F$9)*3/12)</f>
        <v>1.1469970974764738</v>
      </c>
      <c r="N1279" s="361">
        <f t="shared" ref="N1279:V1279" si="1306">M1279*(1+$D1279)</f>
        <v>1.3771420650851205</v>
      </c>
      <c r="O1279" s="361">
        <f t="shared" si="1306"/>
        <v>1.6534656204444405</v>
      </c>
      <c r="P1279" s="361">
        <f t="shared" si="1306"/>
        <v>1.9852334971866061</v>
      </c>
      <c r="Q1279" s="361">
        <f t="shared" si="1306"/>
        <v>2.383570598397085</v>
      </c>
      <c r="R1279" s="361">
        <f t="shared" si="1306"/>
        <v>2.8618340389654437</v>
      </c>
      <c r="S1279" s="361">
        <f t="shared" si="1306"/>
        <v>3.4360610388838402</v>
      </c>
      <c r="T1279" s="361">
        <f t="shared" si="1306"/>
        <v>4.1255066863358589</v>
      </c>
      <c r="U1279" s="361">
        <f t="shared" si="1306"/>
        <v>4.9532896029491207</v>
      </c>
      <c r="V1279" s="362">
        <f t="shared" si="1306"/>
        <v>5.9471671617808273</v>
      </c>
      <c r="X1279" s="351"/>
    </row>
    <row r="1280" spans="3:24" ht="24.75" customHeight="1" x14ac:dyDescent="0.3">
      <c r="C1280" s="353">
        <f>ABS(E1280-Dashboard!$F$14)</f>
        <v>5.8102590706231894</v>
      </c>
      <c r="D1280" s="350">
        <f t="shared" si="1257"/>
        <v>0.20074999999999313</v>
      </c>
      <c r="E1280" s="359" cm="1">
        <f t="array" ref="E1280">1000*SUM('DRE + DCF'!$L$36/M1280,'DRE + DCF'!$N$36:$V$36/N1280:V1280,F1280/V1280)/Dashboard!$F$11</f>
        <v>102.80025907062318</v>
      </c>
      <c r="F1280" s="359">
        <f t="shared" si="1255"/>
        <v>14186395.097072657</v>
      </c>
      <c r="G1280" s="359">
        <f>'DRE + DCF'!$W$31</f>
        <v>2791623.3540418856</v>
      </c>
      <c r="H1280" s="359">
        <f>'DRE + DCF'!$W$32</f>
        <v>81081.931703745853</v>
      </c>
      <c r="I1280" s="359">
        <f>-H1280*('DRE + DCF'!$V$33+K1280)/'DRE + DCF'!$V$33</f>
        <v>-90858.801614444121</v>
      </c>
      <c r="J1280" s="359">
        <f>-'DRE + DCF'!$V$56*L1280</f>
        <v>-1188924.4255577971</v>
      </c>
      <c r="K1280" s="360">
        <f>(1+L1280)/(1+Ke!$O$12)-1</f>
        <v>2.0000000000000018E-2</v>
      </c>
      <c r="L1280" s="360">
        <f>'DRE + DCF'!$Y$31</f>
        <v>7.3550000000000004E-2</v>
      </c>
      <c r="M1280" s="361">
        <f>(1+D1280)^((5-Dashboard!$F$9)*3/12)</f>
        <v>1.1470687452395485</v>
      </c>
      <c r="N1280" s="361">
        <f t="shared" ref="N1280:V1280" si="1307">M1280*(1+$D1280)</f>
        <v>1.37734279584638</v>
      </c>
      <c r="O1280" s="361">
        <f t="shared" si="1307"/>
        <v>1.6538443621125312</v>
      </c>
      <c r="P1280" s="361">
        <f t="shared" si="1307"/>
        <v>1.9858536178066104</v>
      </c>
      <c r="Q1280" s="361">
        <f t="shared" si="1307"/>
        <v>2.3845137315812739</v>
      </c>
      <c r="R1280" s="361">
        <f t="shared" si="1307"/>
        <v>2.8632048631961982</v>
      </c>
      <c r="S1280" s="361">
        <f t="shared" si="1307"/>
        <v>3.437993239482815</v>
      </c>
      <c r="T1280" s="361">
        <f t="shared" si="1307"/>
        <v>4.1281703823089666</v>
      </c>
      <c r="U1280" s="361">
        <f t="shared" si="1307"/>
        <v>4.9569005865574631</v>
      </c>
      <c r="V1280" s="362">
        <f t="shared" si="1307"/>
        <v>5.95199837930884</v>
      </c>
      <c r="X1280" s="351"/>
    </row>
    <row r="1281" spans="3:24" ht="24.75" customHeight="1" x14ac:dyDescent="0.3">
      <c r="C1281" s="353">
        <f>ABS(E1281-Dashboard!$F$14)</f>
        <v>5.7238606058462125</v>
      </c>
      <c r="D1281" s="350">
        <f t="shared" si="1257"/>
        <v>0.20084999999999312</v>
      </c>
      <c r="E1281" s="359" cm="1">
        <f t="array" ref="E1281">1000*SUM('DRE + DCF'!$L$36/M1281,'DRE + DCF'!$N$36:$V$36/N1281:V1281,F1281/V1281)/Dashboard!$F$11</f>
        <v>102.71386060584621</v>
      </c>
      <c r="F1281" s="359">
        <f t="shared" si="1255"/>
        <v>14177398.249043092</v>
      </c>
      <c r="G1281" s="359">
        <f>'DRE + DCF'!$W$31</f>
        <v>2791623.3540418856</v>
      </c>
      <c r="H1281" s="359">
        <f>'DRE + DCF'!$W$32</f>
        <v>81081.931703745853</v>
      </c>
      <c r="I1281" s="359">
        <f>-H1281*('DRE + DCF'!$V$33+K1281)/'DRE + DCF'!$V$33</f>
        <v>-90858.801614444121</v>
      </c>
      <c r="J1281" s="359">
        <f>-'DRE + DCF'!$V$56*L1281</f>
        <v>-1188924.4255577971</v>
      </c>
      <c r="K1281" s="360">
        <f>(1+L1281)/(1+Ke!$O$12)-1</f>
        <v>2.0000000000000018E-2</v>
      </c>
      <c r="L1281" s="360">
        <f>'DRE + DCF'!$Y$31</f>
        <v>7.3550000000000004E-2</v>
      </c>
      <c r="M1281" s="361">
        <f>(1+D1281)^((5-Dashboard!$F$9)*3/12)</f>
        <v>1.1471403915109091</v>
      </c>
      <c r="N1281" s="361">
        <f t="shared" ref="N1281:V1281" si="1308">M1281*(1+$D1281)</f>
        <v>1.3775435391458672</v>
      </c>
      <c r="O1281" s="361">
        <f t="shared" si="1308"/>
        <v>1.6542231589833052</v>
      </c>
      <c r="P1281" s="361">
        <f t="shared" si="1308"/>
        <v>1.9864738804650905</v>
      </c>
      <c r="Q1281" s="361">
        <f t="shared" si="1308"/>
        <v>2.3854571593564904</v>
      </c>
      <c r="R1281" s="361">
        <f t="shared" si="1308"/>
        <v>2.8645762298132249</v>
      </c>
      <c r="S1281" s="361">
        <f t="shared" si="1308"/>
        <v>3.4399263655711914</v>
      </c>
      <c r="T1281" s="361">
        <f t="shared" si="1308"/>
        <v>4.1308355760961417</v>
      </c>
      <c r="U1281" s="361">
        <f t="shared" si="1308"/>
        <v>4.9605139015550233</v>
      </c>
      <c r="V1281" s="362">
        <f t="shared" si="1308"/>
        <v>5.9568331186823151</v>
      </c>
      <c r="X1281" s="351"/>
    </row>
    <row r="1282" spans="3:24" ht="24.75" customHeight="1" x14ac:dyDescent="0.3">
      <c r="C1282" s="353">
        <f>ABS(E1282-Dashboard!$F$14)</f>
        <v>5.6375881393013714</v>
      </c>
      <c r="D1282" s="350">
        <f t="shared" si="1257"/>
        <v>0.20094999999999311</v>
      </c>
      <c r="E1282" s="359" cm="1">
        <f t="array" ref="E1282">1000*SUM('DRE + DCF'!$L$36/M1282,'DRE + DCF'!$N$36:$V$36/N1282:V1282,F1282/V1282)/Dashboard!$F$11</f>
        <v>102.62758813930137</v>
      </c>
      <c r="F1282" s="359">
        <f t="shared" si="1255"/>
        <v>14168413.389405057</v>
      </c>
      <c r="G1282" s="359">
        <f>'DRE + DCF'!$W$31</f>
        <v>2791623.3540418856</v>
      </c>
      <c r="H1282" s="359">
        <f>'DRE + DCF'!$W$32</f>
        <v>81081.931703745853</v>
      </c>
      <c r="I1282" s="359">
        <f>-H1282*('DRE + DCF'!$V$33+K1282)/'DRE + DCF'!$V$33</f>
        <v>-90858.801614444121</v>
      </c>
      <c r="J1282" s="359">
        <f>-'DRE + DCF'!$V$56*L1282</f>
        <v>-1188924.4255577971</v>
      </c>
      <c r="K1282" s="360">
        <f>(1+L1282)/(1+Ke!$O$12)-1</f>
        <v>2.0000000000000018E-2</v>
      </c>
      <c r="L1282" s="360">
        <f>'DRE + DCF'!$Y$31</f>
        <v>7.3550000000000004E-2</v>
      </c>
      <c r="M1282" s="361">
        <f>(1+D1282)^((5-Dashboard!$F$9)*3/12)</f>
        <v>1.1472120362907112</v>
      </c>
      <c r="N1282" s="361">
        <f t="shared" ref="N1282:V1282" si="1309">M1282*(1+$D1282)</f>
        <v>1.3777442949833216</v>
      </c>
      <c r="O1282" s="361">
        <f t="shared" si="1309"/>
        <v>1.6546020110602107</v>
      </c>
      <c r="P1282" s="361">
        <f t="shared" si="1309"/>
        <v>1.9870942851827484</v>
      </c>
      <c r="Q1282" s="361">
        <f t="shared" si="1309"/>
        <v>2.386400881790208</v>
      </c>
      <c r="R1282" s="361">
        <f t="shared" si="1309"/>
        <v>2.8659481389859338</v>
      </c>
      <c r="S1282" s="361">
        <f t="shared" si="1309"/>
        <v>3.4418604175151373</v>
      </c>
      <c r="T1282" s="361">
        <f t="shared" si="1309"/>
        <v>4.1335022684147802</v>
      </c>
      <c r="U1282" s="361">
        <f t="shared" si="1309"/>
        <v>4.9641295492527018</v>
      </c>
      <c r="V1282" s="362">
        <f t="shared" si="1309"/>
        <v>5.9616713821749983</v>
      </c>
      <c r="X1282" s="351"/>
    </row>
    <row r="1283" spans="3:24" ht="24.75" customHeight="1" x14ac:dyDescent="0.3">
      <c r="C1283" s="353">
        <f>ABS(E1283-Dashboard!$F$14)</f>
        <v>5.5514414080210202</v>
      </c>
      <c r="D1283" s="350">
        <f t="shared" si="1257"/>
        <v>0.2010499999999931</v>
      </c>
      <c r="E1283" s="359" cm="1">
        <f t="array" ref="E1283">1000*SUM('DRE + DCF'!$L$36/M1283,'DRE + DCF'!$N$36:$V$36/N1283:V1283,F1283/V1283)/Dashboard!$F$11</f>
        <v>102.54144140802102</v>
      </c>
      <c r="F1283" s="359">
        <f t="shared" si="1255"/>
        <v>14159440.493134424</v>
      </c>
      <c r="G1283" s="359">
        <f>'DRE + DCF'!$W$31</f>
        <v>2791623.3540418856</v>
      </c>
      <c r="H1283" s="359">
        <f>'DRE + DCF'!$W$32</f>
        <v>81081.931703745853</v>
      </c>
      <c r="I1283" s="359">
        <f>-H1283*('DRE + DCF'!$V$33+K1283)/'DRE + DCF'!$V$33</f>
        <v>-90858.801614444121</v>
      </c>
      <c r="J1283" s="359">
        <f>-'DRE + DCF'!$V$56*L1283</f>
        <v>-1188924.4255577971</v>
      </c>
      <c r="K1283" s="360">
        <f>(1+L1283)/(1+Ke!$O$12)-1</f>
        <v>2.0000000000000018E-2</v>
      </c>
      <c r="L1283" s="360">
        <f>'DRE + DCF'!$Y$31</f>
        <v>7.3550000000000004E-2</v>
      </c>
      <c r="M1283" s="361">
        <f>(1+D1283)^((5-Dashboard!$F$9)*3/12)</f>
        <v>1.1472836795791099</v>
      </c>
      <c r="N1283" s="361">
        <f t="shared" ref="N1283:V1283" si="1310">M1283*(1+$D1283)</f>
        <v>1.377945063358482</v>
      </c>
      <c r="O1283" s="361">
        <f t="shared" si="1310"/>
        <v>1.6549809183466953</v>
      </c>
      <c r="P1283" s="361">
        <f t="shared" si="1310"/>
        <v>1.9877148319802869</v>
      </c>
      <c r="Q1283" s="361">
        <f t="shared" si="1310"/>
        <v>2.3873448989499098</v>
      </c>
      <c r="R1283" s="361">
        <f t="shared" si="1310"/>
        <v>2.8673205908837724</v>
      </c>
      <c r="S1283" s="361">
        <f t="shared" si="1310"/>
        <v>3.4437953956809348</v>
      </c>
      <c r="T1283" s="361">
        <f t="shared" si="1310"/>
        <v>4.1361704599825631</v>
      </c>
      <c r="U1283" s="361">
        <f t="shared" si="1310"/>
        <v>4.9677475309620283</v>
      </c>
      <c r="V1283" s="362">
        <f t="shared" si="1310"/>
        <v>5.9665131720619096</v>
      </c>
      <c r="X1283" s="351"/>
    </row>
    <row r="1284" spans="3:24" ht="24.75" customHeight="1" x14ac:dyDescent="0.3">
      <c r="C1284" s="353">
        <f>ABS(E1284-Dashboard!$F$14)</f>
        <v>5.4654201497712478</v>
      </c>
      <c r="D1284" s="350">
        <f t="shared" si="1257"/>
        <v>0.20114999999999308</v>
      </c>
      <c r="E1284" s="359" cm="1">
        <f t="array" ref="E1284">1000*SUM('DRE + DCF'!$L$36/M1284,'DRE + DCF'!$N$36:$V$36/N1284:V1284,F1284/V1284)/Dashboard!$F$11</f>
        <v>102.45542014977124</v>
      </c>
      <c r="F1284" s="359">
        <f t="shared" si="1255"/>
        <v>14150479.535279192</v>
      </c>
      <c r="G1284" s="359">
        <f>'DRE + DCF'!$W$31</f>
        <v>2791623.3540418856</v>
      </c>
      <c r="H1284" s="359">
        <f>'DRE + DCF'!$W$32</f>
        <v>81081.931703745853</v>
      </c>
      <c r="I1284" s="359">
        <f>-H1284*('DRE + DCF'!$V$33+K1284)/'DRE + DCF'!$V$33</f>
        <v>-90858.801614444121</v>
      </c>
      <c r="J1284" s="359">
        <f>-'DRE + DCF'!$V$56*L1284</f>
        <v>-1188924.4255577971</v>
      </c>
      <c r="K1284" s="360">
        <f>(1+L1284)/(1+Ke!$O$12)-1</f>
        <v>2.0000000000000018E-2</v>
      </c>
      <c r="L1284" s="360">
        <f>'DRE + DCF'!$Y$31</f>
        <v>7.3550000000000004E-2</v>
      </c>
      <c r="M1284" s="361">
        <f>(1+D1284)^((5-Dashboard!$F$9)*3/12)</f>
        <v>1.1473553213762604</v>
      </c>
      <c r="N1284" s="361">
        <f t="shared" ref="N1284:V1284" si="1311">M1284*(1+$D1284)</f>
        <v>1.3781458442710872</v>
      </c>
      <c r="O1284" s="361">
        <f t="shared" si="1311"/>
        <v>1.6553598808462069</v>
      </c>
      <c r="P1284" s="361">
        <f t="shared" si="1311"/>
        <v>1.9883355208784099</v>
      </c>
      <c r="Q1284" s="361">
        <f t="shared" si="1311"/>
        <v>2.3882892109030882</v>
      </c>
      <c r="R1284" s="361">
        <f t="shared" si="1311"/>
        <v>2.8686935856762279</v>
      </c>
      <c r="S1284" s="361">
        <f t="shared" si="1311"/>
        <v>3.4457313004349812</v>
      </c>
      <c r="T1284" s="361">
        <f t="shared" si="1311"/>
        <v>4.1388401515174538</v>
      </c>
      <c r="U1284" s="361">
        <f t="shared" si="1311"/>
        <v>4.9713678479951611</v>
      </c>
      <c r="V1284" s="362">
        <f t="shared" si="1311"/>
        <v>5.9713584906193535</v>
      </c>
      <c r="X1284" s="351"/>
    </row>
    <row r="1285" spans="3:24" ht="24.75" customHeight="1" x14ac:dyDescent="0.3">
      <c r="C1285" s="353">
        <f>ABS(E1285-Dashboard!$F$14)</f>
        <v>5.3795241030493486</v>
      </c>
      <c r="D1285" s="350">
        <f t="shared" si="1257"/>
        <v>0.20124999999999307</v>
      </c>
      <c r="E1285" s="359" cm="1">
        <f t="array" ref="E1285">1000*SUM('DRE + DCF'!$L$36/M1285,'DRE + DCF'!$N$36:$V$36/N1285:V1285,F1285/V1285)/Dashboard!$F$11</f>
        <v>102.36952410304934</v>
      </c>
      <c r="F1285" s="359">
        <f t="shared" si="1255"/>
        <v>14141530.490959208</v>
      </c>
      <c r="G1285" s="359">
        <f>'DRE + DCF'!$W$31</f>
        <v>2791623.3540418856</v>
      </c>
      <c r="H1285" s="359">
        <f>'DRE + DCF'!$W$32</f>
        <v>81081.931703745853</v>
      </c>
      <c r="I1285" s="359">
        <f>-H1285*('DRE + DCF'!$V$33+K1285)/'DRE + DCF'!$V$33</f>
        <v>-90858.801614444121</v>
      </c>
      <c r="J1285" s="359">
        <f>-'DRE + DCF'!$V$56*L1285</f>
        <v>-1188924.4255577971</v>
      </c>
      <c r="K1285" s="360">
        <f>(1+L1285)/(1+Ke!$O$12)-1</f>
        <v>2.0000000000000018E-2</v>
      </c>
      <c r="L1285" s="360">
        <f>'DRE + DCF'!$Y$31</f>
        <v>7.3550000000000004E-2</v>
      </c>
      <c r="M1285" s="361">
        <f>(1+D1285)^((5-Dashboard!$F$9)*3/12)</f>
        <v>1.1474269616823181</v>
      </c>
      <c r="N1285" s="361">
        <f t="shared" ref="N1285:V1285" si="1312">M1285*(1+$D1285)</f>
        <v>1.3783466377208766</v>
      </c>
      <c r="O1285" s="361">
        <f t="shared" si="1312"/>
        <v>1.6557388985621935</v>
      </c>
      <c r="P1285" s="361">
        <f t="shared" si="1312"/>
        <v>1.9889563518978235</v>
      </c>
      <c r="Q1285" s="361">
        <f t="shared" si="1312"/>
        <v>2.3892338177172467</v>
      </c>
      <c r="R1285" s="361">
        <f t="shared" si="1312"/>
        <v>2.8700671235328259</v>
      </c>
      <c r="S1285" s="361">
        <f t="shared" si="1312"/>
        <v>3.4476681321437872</v>
      </c>
      <c r="T1285" s="361">
        <f t="shared" si="1312"/>
        <v>4.1415113437377</v>
      </c>
      <c r="U1285" s="361">
        <f t="shared" si="1312"/>
        <v>4.974990501664883</v>
      </c>
      <c r="V1285" s="362">
        <f t="shared" si="1312"/>
        <v>5.9762073401249065</v>
      </c>
      <c r="X1285" s="351"/>
    </row>
    <row r="1286" spans="3:24" ht="24.75" customHeight="1" x14ac:dyDescent="0.3">
      <c r="C1286" s="353">
        <f>ABS(E1286-Dashboard!$F$14)</f>
        <v>5.2937530070810368</v>
      </c>
      <c r="D1286" s="350">
        <f t="shared" si="1257"/>
        <v>0.20134999999999306</v>
      </c>
      <c r="E1286" s="359" cm="1">
        <f t="array" ref="E1286">1000*SUM('DRE + DCF'!$L$36/M1286,'DRE + DCF'!$N$36:$V$36/N1286:V1286,F1286/V1286)/Dashboard!$F$11</f>
        <v>102.28375300708103</v>
      </c>
      <c r="F1286" s="359">
        <f t="shared" si="1255"/>
        <v>14132593.335365904</v>
      </c>
      <c r="G1286" s="359">
        <f>'DRE + DCF'!$W$31</f>
        <v>2791623.3540418856</v>
      </c>
      <c r="H1286" s="359">
        <f>'DRE + DCF'!$W$32</f>
        <v>81081.931703745853</v>
      </c>
      <c r="I1286" s="359">
        <f>-H1286*('DRE + DCF'!$V$33+K1286)/'DRE + DCF'!$V$33</f>
        <v>-90858.801614444121</v>
      </c>
      <c r="J1286" s="359">
        <f>-'DRE + DCF'!$V$56*L1286</f>
        <v>-1188924.4255577971</v>
      </c>
      <c r="K1286" s="360">
        <f>(1+L1286)/(1+Ke!$O$12)-1</f>
        <v>2.0000000000000018E-2</v>
      </c>
      <c r="L1286" s="360">
        <f>'DRE + DCF'!$Y$31</f>
        <v>7.3550000000000004E-2</v>
      </c>
      <c r="M1286" s="361">
        <f>(1+D1286)^((5-Dashboard!$F$9)*3/12)</f>
        <v>1.1474986004974379</v>
      </c>
      <c r="N1286" s="361">
        <f t="shared" ref="N1286:V1286" si="1313">M1286*(1+$D1286)</f>
        <v>1.3785474437075891</v>
      </c>
      <c r="O1286" s="361">
        <f t="shared" si="1313"/>
        <v>1.6561179714981025</v>
      </c>
      <c r="P1286" s="361">
        <f t="shared" si="1313"/>
        <v>1.9895773250592339</v>
      </c>
      <c r="Q1286" s="361">
        <f t="shared" si="1313"/>
        <v>2.3901787194598967</v>
      </c>
      <c r="R1286" s="361">
        <f t="shared" si="1313"/>
        <v>2.8714412046231303</v>
      </c>
      <c r="S1286" s="361">
        <f t="shared" si="1313"/>
        <v>3.4496058911739778</v>
      </c>
      <c r="T1286" s="361">
        <f t="shared" si="1313"/>
        <v>4.1441840373618337</v>
      </c>
      <c r="U1286" s="361">
        <f t="shared" si="1313"/>
        <v>4.9786154932846101</v>
      </c>
      <c r="V1286" s="362">
        <f t="shared" si="1313"/>
        <v>5.9810597228574318</v>
      </c>
      <c r="X1286" s="351"/>
    </row>
    <row r="1287" spans="3:24" ht="24.75" customHeight="1" x14ac:dyDescent="0.3">
      <c r="C1287" s="353">
        <f>ABS(E1287-Dashboard!$F$14)</f>
        <v>5.2081066018180309</v>
      </c>
      <c r="D1287" s="350">
        <f t="shared" si="1257"/>
        <v>0.20144999999999305</v>
      </c>
      <c r="E1287" s="359" cm="1">
        <f t="array" ref="E1287">1000*SUM('DRE + DCF'!$L$36/M1287,'DRE + DCF'!$N$36:$V$36/N1287:V1287,F1287/V1287)/Dashboard!$F$11</f>
        <v>102.19810660181803</v>
      </c>
      <c r="F1287" s="359">
        <f t="shared" si="1255"/>
        <v>14123668.043762041</v>
      </c>
      <c r="G1287" s="359">
        <f>'DRE + DCF'!$W$31</f>
        <v>2791623.3540418856</v>
      </c>
      <c r="H1287" s="359">
        <f>'DRE + DCF'!$W$32</f>
        <v>81081.931703745853</v>
      </c>
      <c r="I1287" s="359">
        <f>-H1287*('DRE + DCF'!$V$33+K1287)/'DRE + DCF'!$V$33</f>
        <v>-90858.801614444121</v>
      </c>
      <c r="J1287" s="359">
        <f>-'DRE + DCF'!$V$56*L1287</f>
        <v>-1188924.4255577971</v>
      </c>
      <c r="K1287" s="360">
        <f>(1+L1287)/(1+Ke!$O$12)-1</f>
        <v>2.0000000000000018E-2</v>
      </c>
      <c r="L1287" s="360">
        <f>'DRE + DCF'!$Y$31</f>
        <v>7.3550000000000004E-2</v>
      </c>
      <c r="M1287" s="361">
        <f>(1+D1287)^((5-Dashboard!$F$9)*3/12)</f>
        <v>1.1475702378217751</v>
      </c>
      <c r="N1287" s="361">
        <f t="shared" ref="N1287:V1287" si="1314">M1287*(1+$D1287)</f>
        <v>1.3787482622309637</v>
      </c>
      <c r="O1287" s="361">
        <f t="shared" si="1314"/>
        <v>1.6564970996573818</v>
      </c>
      <c r="P1287" s="361">
        <f t="shared" si="1314"/>
        <v>1.9901984403833497</v>
      </c>
      <c r="Q1287" s="361">
        <f t="shared" si="1314"/>
        <v>2.3911239161985618</v>
      </c>
      <c r="R1287" s="361">
        <f t="shared" si="1314"/>
        <v>2.8728158291167456</v>
      </c>
      <c r="S1287" s="361">
        <f t="shared" si="1314"/>
        <v>3.4515445778922937</v>
      </c>
      <c r="T1287" s="361">
        <f t="shared" si="1314"/>
        <v>4.1468582331086719</v>
      </c>
      <c r="U1287" s="361">
        <f t="shared" si="1314"/>
        <v>4.9822428241683845</v>
      </c>
      <c r="V1287" s="362">
        <f t="shared" si="1314"/>
        <v>5.9859156410970709</v>
      </c>
      <c r="X1287" s="351"/>
    </row>
    <row r="1288" spans="3:24" ht="24.75" customHeight="1" x14ac:dyDescent="0.3">
      <c r="C1288" s="353">
        <f>ABS(E1288-Dashboard!$F$14)</f>
        <v>5.1225846279353959</v>
      </c>
      <c r="D1288" s="350">
        <f t="shared" si="1257"/>
        <v>0.20154999999999304</v>
      </c>
      <c r="E1288" s="359" cm="1">
        <f t="array" ref="E1288">1000*SUM('DRE + DCF'!$L$36/M1288,'DRE + DCF'!$N$36:$V$36/N1288:V1288,F1288/V1288)/Dashboard!$F$11</f>
        <v>102.11258462793539</v>
      </c>
      <c r="F1288" s="359">
        <f t="shared" si="1255"/>
        <v>14114754.591481432</v>
      </c>
      <c r="G1288" s="359">
        <f>'DRE + DCF'!$W$31</f>
        <v>2791623.3540418856</v>
      </c>
      <c r="H1288" s="359">
        <f>'DRE + DCF'!$W$32</f>
        <v>81081.931703745853</v>
      </c>
      <c r="I1288" s="359">
        <f>-H1288*('DRE + DCF'!$V$33+K1288)/'DRE + DCF'!$V$33</f>
        <v>-90858.801614444121</v>
      </c>
      <c r="J1288" s="359">
        <f>-'DRE + DCF'!$V$56*L1288</f>
        <v>-1188924.4255577971</v>
      </c>
      <c r="K1288" s="360">
        <f>(1+L1288)/(1+Ke!$O$12)-1</f>
        <v>2.0000000000000018E-2</v>
      </c>
      <c r="L1288" s="360">
        <f>'DRE + DCF'!$Y$31</f>
        <v>7.3550000000000004E-2</v>
      </c>
      <c r="M1288" s="361">
        <f>(1+D1288)^((5-Dashboard!$F$9)*3/12)</f>
        <v>1.1476418736554848</v>
      </c>
      <c r="N1288" s="361">
        <f t="shared" ref="N1288:V1288" si="1315">M1288*(1+$D1288)</f>
        <v>1.3789490932907398</v>
      </c>
      <c r="O1288" s="361">
        <f t="shared" si="1315"/>
        <v>1.6568762830434787</v>
      </c>
      <c r="P1288" s="361">
        <f t="shared" si="1315"/>
        <v>1.9908196978908803</v>
      </c>
      <c r="Q1288" s="361">
        <f t="shared" si="1315"/>
        <v>2.3920694080007734</v>
      </c>
      <c r="R1288" s="361">
        <f t="shared" si="1315"/>
        <v>2.8741909971833124</v>
      </c>
      <c r="S1288" s="361">
        <f t="shared" si="1315"/>
        <v>3.4534841926655888</v>
      </c>
      <c r="T1288" s="361">
        <f t="shared" si="1315"/>
        <v>4.1495339316973139</v>
      </c>
      <c r="U1288" s="361">
        <f t="shared" si="1315"/>
        <v>4.9858724956308782</v>
      </c>
      <c r="V1288" s="362">
        <f t="shared" si="1315"/>
        <v>5.9907750971252467</v>
      </c>
      <c r="X1288" s="351"/>
    </row>
    <row r="1289" spans="3:24" ht="24.75" customHeight="1" x14ac:dyDescent="0.3">
      <c r="C1289" s="353">
        <f>ABS(E1289-Dashboard!$F$14)</f>
        <v>5.0371868268289148</v>
      </c>
      <c r="D1289" s="350">
        <f t="shared" si="1257"/>
        <v>0.20164999999999303</v>
      </c>
      <c r="E1289" s="359" cm="1">
        <f t="array" ref="E1289">1000*SUM('DRE + DCF'!$L$36/M1289,'DRE + DCF'!$N$36:$V$36/N1289:V1289,F1289/V1289)/Dashboard!$F$11</f>
        <v>102.02718682682891</v>
      </c>
      <c r="F1289" s="359">
        <f t="shared" si="1255"/>
        <v>14105852.953928694</v>
      </c>
      <c r="G1289" s="359">
        <f>'DRE + DCF'!$W$31</f>
        <v>2791623.3540418856</v>
      </c>
      <c r="H1289" s="359">
        <f>'DRE + DCF'!$W$32</f>
        <v>81081.931703745853</v>
      </c>
      <c r="I1289" s="359">
        <f>-H1289*('DRE + DCF'!$V$33+K1289)/'DRE + DCF'!$V$33</f>
        <v>-90858.801614444121</v>
      </c>
      <c r="J1289" s="359">
        <f>-'DRE + DCF'!$V$56*L1289</f>
        <v>-1188924.4255577971</v>
      </c>
      <c r="K1289" s="360">
        <f>(1+L1289)/(1+Ke!$O$12)-1</f>
        <v>2.0000000000000018E-2</v>
      </c>
      <c r="L1289" s="360">
        <f>'DRE + DCF'!$Y$31</f>
        <v>7.3550000000000004E-2</v>
      </c>
      <c r="M1289" s="361">
        <f>(1+D1289)^((5-Dashboard!$F$9)*3/12)</f>
        <v>1.147713507998722</v>
      </c>
      <c r="N1289" s="361">
        <f t="shared" ref="N1289:V1289" si="1316">M1289*(1+$D1289)</f>
        <v>1.3791499368866562</v>
      </c>
      <c r="O1289" s="361">
        <f t="shared" si="1316"/>
        <v>1.6572555216598408</v>
      </c>
      <c r="P1289" s="361">
        <f t="shared" si="1316"/>
        <v>1.9914410976025361</v>
      </c>
      <c r="Q1289" s="361">
        <f t="shared" si="1316"/>
        <v>2.3930151949340734</v>
      </c>
      <c r="R1289" s="361">
        <f t="shared" si="1316"/>
        <v>2.8755667089925128</v>
      </c>
      <c r="S1289" s="361">
        <f t="shared" si="1316"/>
        <v>3.455424735860833</v>
      </c>
      <c r="T1289" s="361">
        <f t="shared" si="1316"/>
        <v>4.1522111338471461</v>
      </c>
      <c r="U1289" s="361">
        <f t="shared" si="1316"/>
        <v>4.9895045089873937</v>
      </c>
      <c r="V1289" s="362">
        <f t="shared" si="1316"/>
        <v>5.9956380932246667</v>
      </c>
      <c r="X1289" s="351"/>
    </row>
    <row r="1290" spans="3:24" ht="24.75" customHeight="1" x14ac:dyDescent="0.3">
      <c r="C1290" s="353">
        <f>ABS(E1290-Dashboard!$F$14)</f>
        <v>4.9519129406127291</v>
      </c>
      <c r="D1290" s="350">
        <f t="shared" si="1257"/>
        <v>0.20174999999999302</v>
      </c>
      <c r="E1290" s="359" cm="1">
        <f t="array" ref="E1290">1000*SUM('DRE + DCF'!$L$36/M1290,'DRE + DCF'!$N$36:$V$36/N1290:V1290,F1290/V1290)/Dashboard!$F$11</f>
        <v>101.94191294061272</v>
      </c>
      <c r="F1290" s="359">
        <f t="shared" si="1255"/>
        <v>14096963.106578976</v>
      </c>
      <c r="G1290" s="359">
        <f>'DRE + DCF'!$W$31</f>
        <v>2791623.3540418856</v>
      </c>
      <c r="H1290" s="359">
        <f>'DRE + DCF'!$W$32</f>
        <v>81081.931703745853</v>
      </c>
      <c r="I1290" s="359">
        <f>-H1290*('DRE + DCF'!$V$33+K1290)/'DRE + DCF'!$V$33</f>
        <v>-90858.801614444121</v>
      </c>
      <c r="J1290" s="359">
        <f>-'DRE + DCF'!$V$56*L1290</f>
        <v>-1188924.4255577971</v>
      </c>
      <c r="K1290" s="360">
        <f>(1+L1290)/(1+Ke!$O$12)-1</f>
        <v>2.0000000000000018E-2</v>
      </c>
      <c r="L1290" s="360">
        <f>'DRE + DCF'!$Y$31</f>
        <v>7.3550000000000004E-2</v>
      </c>
      <c r="M1290" s="361">
        <f>(1+D1290)^((5-Dashboard!$F$9)*3/12)</f>
        <v>1.1477851408516417</v>
      </c>
      <c r="N1290" s="361">
        <f t="shared" ref="N1290:V1290" si="1317">M1290*(1+$D1290)</f>
        <v>1.3793507930184523</v>
      </c>
      <c r="O1290" s="361">
        <f t="shared" si="1317"/>
        <v>1.6576348155099154</v>
      </c>
      <c r="P1290" s="361">
        <f t="shared" si="1317"/>
        <v>1.9920626395390293</v>
      </c>
      <c r="Q1290" s="361">
        <f t="shared" si="1317"/>
        <v>2.3939612770660146</v>
      </c>
      <c r="R1290" s="361">
        <f t="shared" si="1317"/>
        <v>2.8769429647140661</v>
      </c>
      <c r="S1290" s="361">
        <f t="shared" si="1317"/>
        <v>3.4573662078451086</v>
      </c>
      <c r="T1290" s="361">
        <f t="shared" si="1317"/>
        <v>4.1548898402778347</v>
      </c>
      <c r="U1290" s="361">
        <f t="shared" si="1317"/>
        <v>4.9931388655538589</v>
      </c>
      <c r="V1290" s="362">
        <f t="shared" si="1317"/>
        <v>6.0005046316793154</v>
      </c>
      <c r="X1290" s="351"/>
    </row>
    <row r="1291" spans="3:24" ht="24.75" customHeight="1" x14ac:dyDescent="0.3">
      <c r="C1291" s="353">
        <f>ABS(E1291-Dashboard!$F$14)</f>
        <v>4.8667627121165111</v>
      </c>
      <c r="D1291" s="350">
        <f t="shared" si="1257"/>
        <v>0.20184999999999301</v>
      </c>
      <c r="E1291" s="359" cm="1">
        <f t="array" ref="E1291">1000*SUM('DRE + DCF'!$L$36/M1291,'DRE + DCF'!$N$36:$V$36/N1291:V1291,F1291/V1291)/Dashboard!$F$11</f>
        <v>101.85676271211651</v>
      </c>
      <c r="F1291" s="359">
        <f t="shared" si="1255"/>
        <v>14088085.02497771</v>
      </c>
      <c r="G1291" s="359">
        <f>'DRE + DCF'!$W$31</f>
        <v>2791623.3540418856</v>
      </c>
      <c r="H1291" s="359">
        <f>'DRE + DCF'!$W$32</f>
        <v>81081.931703745853</v>
      </c>
      <c r="I1291" s="359">
        <f>-H1291*('DRE + DCF'!$V$33+K1291)/'DRE + DCF'!$V$33</f>
        <v>-90858.801614444121</v>
      </c>
      <c r="J1291" s="359">
        <f>-'DRE + DCF'!$V$56*L1291</f>
        <v>-1188924.4255577971</v>
      </c>
      <c r="K1291" s="360">
        <f>(1+L1291)/(1+Ke!$O$12)-1</f>
        <v>2.0000000000000018E-2</v>
      </c>
      <c r="L1291" s="360">
        <f>'DRE + DCF'!$Y$31</f>
        <v>7.3550000000000004E-2</v>
      </c>
      <c r="M1291" s="361">
        <f>(1+D1291)^((5-Dashboard!$F$9)*3/12)</f>
        <v>1.1478567722143989</v>
      </c>
      <c r="N1291" s="361">
        <f t="shared" ref="N1291:V1291" si="1318">M1291*(1+$D1291)</f>
        <v>1.3795516616858672</v>
      </c>
      <c r="O1291" s="361">
        <f t="shared" si="1318"/>
        <v>1.6580141645971498</v>
      </c>
      <c r="P1291" s="361">
        <f t="shared" si="1318"/>
        <v>1.9926843237210727</v>
      </c>
      <c r="Q1291" s="361">
        <f t="shared" si="1318"/>
        <v>2.3949076544641574</v>
      </c>
      <c r="R1291" s="361">
        <f t="shared" si="1318"/>
        <v>2.8783197645177307</v>
      </c>
      <c r="S1291" s="361">
        <f t="shared" si="1318"/>
        <v>3.4593086089856144</v>
      </c>
      <c r="T1291" s="361">
        <f t="shared" si="1318"/>
        <v>4.1575700517093361</v>
      </c>
      <c r="U1291" s="361">
        <f t="shared" si="1318"/>
        <v>4.9967755666468365</v>
      </c>
      <c r="V1291" s="362">
        <f t="shared" si="1318"/>
        <v>6.0053747147744652</v>
      </c>
      <c r="X1291" s="351"/>
    </row>
    <row r="1292" spans="3:24" ht="24.75" customHeight="1" x14ac:dyDescent="0.3">
      <c r="C1292" s="353">
        <f>ABS(E1292-Dashboard!$F$14)</f>
        <v>4.7817358848831191</v>
      </c>
      <c r="D1292" s="350">
        <f t="shared" si="1257"/>
        <v>0.201949999999993</v>
      </c>
      <c r="E1292" s="359" cm="1">
        <f t="array" ref="E1292">1000*SUM('DRE + DCF'!$L$36/M1292,'DRE + DCF'!$N$36:$V$36/N1292:V1292,F1292/V1292)/Dashboard!$F$11</f>
        <v>101.77173588488311</v>
      </c>
      <c r="F1292" s="359">
        <f t="shared" si="1255"/>
        <v>14079218.684740344</v>
      </c>
      <c r="G1292" s="359">
        <f>'DRE + DCF'!$W$31</f>
        <v>2791623.3540418856</v>
      </c>
      <c r="H1292" s="359">
        <f>'DRE + DCF'!$W$32</f>
        <v>81081.931703745853</v>
      </c>
      <c r="I1292" s="359">
        <f>-H1292*('DRE + DCF'!$V$33+K1292)/'DRE + DCF'!$V$33</f>
        <v>-90858.801614444121</v>
      </c>
      <c r="J1292" s="359">
        <f>-'DRE + DCF'!$V$56*L1292</f>
        <v>-1188924.4255577971</v>
      </c>
      <c r="K1292" s="360">
        <f>(1+L1292)/(1+Ke!$O$12)-1</f>
        <v>2.0000000000000018E-2</v>
      </c>
      <c r="L1292" s="360">
        <f>'DRE + DCF'!$Y$31</f>
        <v>7.3550000000000004E-2</v>
      </c>
      <c r="M1292" s="361">
        <f>(1+D1292)^((5-Dashboard!$F$9)*3/12)</f>
        <v>1.1479284020871487</v>
      </c>
      <c r="N1292" s="361">
        <f t="shared" ref="N1292:V1292" si="1319">M1292*(1+$D1292)</f>
        <v>1.3797525428886404</v>
      </c>
      <c r="O1292" s="361">
        <f t="shared" si="1319"/>
        <v>1.6583935689249916</v>
      </c>
      <c r="P1292" s="361">
        <f t="shared" si="1319"/>
        <v>1.9933061501693821</v>
      </c>
      <c r="Q1292" s="361">
        <f t="shared" si="1319"/>
        <v>2.3958543271960746</v>
      </c>
      <c r="R1292" s="361">
        <f t="shared" si="1319"/>
        <v>2.8796971085733052</v>
      </c>
      <c r="S1292" s="361">
        <f t="shared" si="1319"/>
        <v>3.4612519396496637</v>
      </c>
      <c r="T1292" s="361">
        <f t="shared" si="1319"/>
        <v>4.1602517688618885</v>
      </c>
      <c r="U1292" s="361">
        <f t="shared" si="1319"/>
        <v>5.0004146135835175</v>
      </c>
      <c r="V1292" s="362">
        <f t="shared" si="1319"/>
        <v>6.0102483447966737</v>
      </c>
      <c r="X1292" s="351"/>
    </row>
    <row r="1293" spans="3:24" ht="24.75" customHeight="1" x14ac:dyDescent="0.3">
      <c r="C1293" s="353">
        <f>ABS(E1293-Dashboard!$F$14)</f>
        <v>4.6968322031660108</v>
      </c>
      <c r="D1293" s="350">
        <f t="shared" si="1257"/>
        <v>0.20204999999999299</v>
      </c>
      <c r="E1293" s="359" cm="1">
        <f t="array" ref="E1293">1000*SUM('DRE + DCF'!$L$36/M1293,'DRE + DCF'!$N$36:$V$36/N1293:V1293,F1293/V1293)/Dashboard!$F$11</f>
        <v>101.68683220316601</v>
      </c>
      <c r="F1293" s="359">
        <f t="shared" si="1255"/>
        <v>14070364.061552085</v>
      </c>
      <c r="G1293" s="359">
        <f>'DRE + DCF'!$W$31</f>
        <v>2791623.3540418856</v>
      </c>
      <c r="H1293" s="359">
        <f>'DRE + DCF'!$W$32</f>
        <v>81081.931703745853</v>
      </c>
      <c r="I1293" s="359">
        <f>-H1293*('DRE + DCF'!$V$33+K1293)/'DRE + DCF'!$V$33</f>
        <v>-90858.801614444121</v>
      </c>
      <c r="J1293" s="359">
        <f>-'DRE + DCF'!$V$56*L1293</f>
        <v>-1188924.4255577971</v>
      </c>
      <c r="K1293" s="360">
        <f>(1+L1293)/(1+Ke!$O$12)-1</f>
        <v>2.0000000000000018E-2</v>
      </c>
      <c r="L1293" s="360">
        <f>'DRE + DCF'!$Y$31</f>
        <v>7.3550000000000004E-2</v>
      </c>
      <c r="M1293" s="361">
        <f>(1+D1293)^((5-Dashboard!$F$9)*3/12)</f>
        <v>1.1480000304700462</v>
      </c>
      <c r="N1293" s="361">
        <f t="shared" ref="N1293:V1293" si="1320">M1293*(1+$D1293)</f>
        <v>1.3799534366265109</v>
      </c>
      <c r="O1293" s="361">
        <f t="shared" si="1320"/>
        <v>1.6587730284968878</v>
      </c>
      <c r="P1293" s="361">
        <f t="shared" si="1320"/>
        <v>1.9939281189046723</v>
      </c>
      <c r="Q1293" s="361">
        <f t="shared" si="1320"/>
        <v>2.3968012953293472</v>
      </c>
      <c r="R1293" s="361">
        <f t="shared" si="1320"/>
        <v>2.8810749970506251</v>
      </c>
      <c r="S1293" s="361">
        <f t="shared" si="1320"/>
        <v>3.4631962002046834</v>
      </c>
      <c r="T1293" s="361">
        <f t="shared" si="1320"/>
        <v>4.1629349924560151</v>
      </c>
      <c r="U1293" s="361">
        <f t="shared" si="1320"/>
        <v>5.004056007681724</v>
      </c>
      <c r="V1293" s="362">
        <f t="shared" si="1320"/>
        <v>6.0151255240337811</v>
      </c>
      <c r="X1293" s="351"/>
    </row>
    <row r="1294" spans="3:24" ht="24.75" customHeight="1" x14ac:dyDescent="0.3">
      <c r="C1294" s="353">
        <f>ABS(E1294-Dashboard!$F$14)</f>
        <v>4.6120514119268137</v>
      </c>
      <c r="D1294" s="350">
        <f t="shared" si="1257"/>
        <v>0.20214999999999297</v>
      </c>
      <c r="E1294" s="359" cm="1">
        <f t="array" ref="E1294">1000*SUM('DRE + DCF'!$L$36/M1294,'DRE + DCF'!$N$36:$V$36/N1294:V1294,F1294/V1294)/Dashboard!$F$11</f>
        <v>101.60205141192681</v>
      </c>
      <c r="F1294" s="359">
        <f t="shared" ref="F1294:F1357" si="1321">AVERAGE(SUM(G1294:J1294)*(1+L1294)/(D1294-L1294),G1294*(1+L1294)*(1-L1294/D1294)/(D1294-L1294))</f>
        <v>14061521.131167654</v>
      </c>
      <c r="G1294" s="359">
        <f>'DRE + DCF'!$W$31</f>
        <v>2791623.3540418856</v>
      </c>
      <c r="H1294" s="359">
        <f>'DRE + DCF'!$W$32</f>
        <v>81081.931703745853</v>
      </c>
      <c r="I1294" s="359">
        <f>-H1294*('DRE + DCF'!$V$33+K1294)/'DRE + DCF'!$V$33</f>
        <v>-90858.801614444121</v>
      </c>
      <c r="J1294" s="359">
        <f>-'DRE + DCF'!$V$56*L1294</f>
        <v>-1188924.4255577971</v>
      </c>
      <c r="K1294" s="360">
        <f>(1+L1294)/(1+Ke!$O$12)-1</f>
        <v>2.0000000000000018E-2</v>
      </c>
      <c r="L1294" s="360">
        <f>'DRE + DCF'!$Y$31</f>
        <v>7.3550000000000004E-2</v>
      </c>
      <c r="M1294" s="361">
        <f>(1+D1294)^((5-Dashboard!$F$9)*3/12)</f>
        <v>1.1480716573632459</v>
      </c>
      <c r="N1294" s="361">
        <f t="shared" ref="N1294:V1294" si="1322">M1294*(1+$D1294)</f>
        <v>1.380154342899218</v>
      </c>
      <c r="O1294" s="361">
        <f t="shared" si="1322"/>
        <v>1.6591525433162853</v>
      </c>
      <c r="P1294" s="361">
        <f t="shared" si="1322"/>
        <v>1.9945502299476605</v>
      </c>
      <c r="Q1294" s="361">
        <f t="shared" si="1322"/>
        <v>2.3977485589315659</v>
      </c>
      <c r="R1294" s="361">
        <f t="shared" si="1322"/>
        <v>2.8824534301195652</v>
      </c>
      <c r="S1294" s="361">
        <f t="shared" si="1322"/>
        <v>3.4651413910182152</v>
      </c>
      <c r="T1294" s="361">
        <f t="shared" si="1322"/>
        <v>4.1656197232125232</v>
      </c>
      <c r="U1294" s="361">
        <f t="shared" si="1322"/>
        <v>5.0076997502599054</v>
      </c>
      <c r="V1294" s="362">
        <f t="shared" si="1322"/>
        <v>6.02000625477491</v>
      </c>
      <c r="X1294" s="351"/>
    </row>
    <row r="1295" spans="3:24" ht="24.75" customHeight="1" x14ac:dyDescent="0.3">
      <c r="C1295" s="353">
        <f>ABS(E1295-Dashboard!$F$14)</f>
        <v>4.5273932568326671</v>
      </c>
      <c r="D1295" s="350">
        <f t="shared" ref="D1295:D1358" si="1323">D1294+0.0001</f>
        <v>0.20224999999999296</v>
      </c>
      <c r="E1295" s="359" cm="1">
        <f t="array" ref="E1295">1000*SUM('DRE + DCF'!$L$36/M1295,'DRE + DCF'!$N$36:$V$36/N1295:V1295,F1295/V1295)/Dashboard!$F$11</f>
        <v>101.51739325683266</v>
      </c>
      <c r="F1295" s="359">
        <f t="shared" si="1321"/>
        <v>14052689.86941102</v>
      </c>
      <c r="G1295" s="359">
        <f>'DRE + DCF'!$W$31</f>
        <v>2791623.3540418856</v>
      </c>
      <c r="H1295" s="359">
        <f>'DRE + DCF'!$W$32</f>
        <v>81081.931703745853</v>
      </c>
      <c r="I1295" s="359">
        <f>-H1295*('DRE + DCF'!$V$33+K1295)/'DRE + DCF'!$V$33</f>
        <v>-90858.801614444121</v>
      </c>
      <c r="J1295" s="359">
        <f>-'DRE + DCF'!$V$56*L1295</f>
        <v>-1188924.4255577971</v>
      </c>
      <c r="K1295" s="360">
        <f>(1+L1295)/(1+Ke!$O$12)-1</f>
        <v>2.0000000000000018E-2</v>
      </c>
      <c r="L1295" s="360">
        <f>'DRE + DCF'!$Y$31</f>
        <v>7.3550000000000004E-2</v>
      </c>
      <c r="M1295" s="361">
        <f>(1+D1295)^((5-Dashboard!$F$9)*3/12)</f>
        <v>1.1481432827669029</v>
      </c>
      <c r="N1295" s="361">
        <f t="shared" ref="N1295:V1295" si="1324">M1295*(1+$D1295)</f>
        <v>1.3803552617065009</v>
      </c>
      <c r="O1295" s="361">
        <f t="shared" si="1324"/>
        <v>1.659532113386631</v>
      </c>
      <c r="P1295" s="361">
        <f t="shared" si="1324"/>
        <v>1.9951724833190654</v>
      </c>
      <c r="Q1295" s="361">
        <f t="shared" si="1324"/>
        <v>2.3986961180703323</v>
      </c>
      <c r="R1295" s="361">
        <f t="shared" si="1324"/>
        <v>2.8838324079500399</v>
      </c>
      <c r="S1295" s="361">
        <f t="shared" si="1324"/>
        <v>3.467087512457915</v>
      </c>
      <c r="T1295" s="361">
        <f t="shared" si="1324"/>
        <v>4.1683059618525036</v>
      </c>
      <c r="U1295" s="361">
        <f t="shared" si="1324"/>
        <v>5.0113458426371427</v>
      </c>
      <c r="V1295" s="362">
        <f t="shared" si="1324"/>
        <v>6.0248905393104693</v>
      </c>
      <c r="X1295" s="351"/>
    </row>
    <row r="1296" spans="3:24" ht="24.75" customHeight="1" x14ac:dyDescent="0.3">
      <c r="C1296" s="353">
        <f>ABS(E1296-Dashboard!$F$14)</f>
        <v>4.4428574842538211</v>
      </c>
      <c r="D1296" s="350">
        <f t="shared" si="1323"/>
        <v>0.20234999999999295</v>
      </c>
      <c r="E1296" s="359" cm="1">
        <f t="array" ref="E1296">1000*SUM('DRE + DCF'!$L$36/M1296,'DRE + DCF'!$N$36:$V$36/N1296:V1296,F1296/V1296)/Dashboard!$F$11</f>
        <v>101.43285748425382</v>
      </c>
      <c r="F1296" s="359">
        <f t="shared" si="1321"/>
        <v>14043870.252175141</v>
      </c>
      <c r="G1296" s="359">
        <f>'DRE + DCF'!$W$31</f>
        <v>2791623.3540418856</v>
      </c>
      <c r="H1296" s="359">
        <f>'DRE + DCF'!$W$32</f>
        <v>81081.931703745853</v>
      </c>
      <c r="I1296" s="359">
        <f>-H1296*('DRE + DCF'!$V$33+K1296)/'DRE + DCF'!$V$33</f>
        <v>-90858.801614444121</v>
      </c>
      <c r="J1296" s="359">
        <f>-'DRE + DCF'!$V$56*L1296</f>
        <v>-1188924.4255577971</v>
      </c>
      <c r="K1296" s="360">
        <f>(1+L1296)/(1+Ke!$O$12)-1</f>
        <v>2.0000000000000018E-2</v>
      </c>
      <c r="L1296" s="360">
        <f>'DRE + DCF'!$Y$31</f>
        <v>7.3550000000000004E-2</v>
      </c>
      <c r="M1296" s="361">
        <f>(1+D1296)^((5-Dashboard!$F$9)*3/12)</f>
        <v>1.1482149066811724</v>
      </c>
      <c r="N1296" s="361">
        <f t="shared" ref="N1296:V1296" si="1325">M1296*(1+$D1296)</f>
        <v>1.3805561930480996</v>
      </c>
      <c r="O1296" s="361">
        <f t="shared" si="1325"/>
        <v>1.6599117387113729</v>
      </c>
      <c r="P1296" s="361">
        <f t="shared" si="1325"/>
        <v>1.9957948790396074</v>
      </c>
      <c r="Q1296" s="361">
        <f t="shared" si="1325"/>
        <v>2.3996439728132577</v>
      </c>
      <c r="R1296" s="361">
        <f t="shared" si="1325"/>
        <v>2.8852119307120034</v>
      </c>
      <c r="S1296" s="361">
        <f t="shared" si="1325"/>
        <v>3.4690345648915568</v>
      </c>
      <c r="T1296" s="361">
        <f t="shared" si="1325"/>
        <v>4.1709937090973384</v>
      </c>
      <c r="U1296" s="361">
        <f t="shared" si="1325"/>
        <v>5.0149942861331551</v>
      </c>
      <c r="V1296" s="362">
        <f t="shared" si="1325"/>
        <v>6.0297783799321634</v>
      </c>
      <c r="X1296" s="351"/>
    </row>
    <row r="1297" spans="3:24" ht="24.75" customHeight="1" x14ac:dyDescent="0.3">
      <c r="C1297" s="353">
        <f>ABS(E1297-Dashboard!$F$14)</f>
        <v>4.3584438412610922</v>
      </c>
      <c r="D1297" s="350">
        <f t="shared" si="1323"/>
        <v>0.20244999999999294</v>
      </c>
      <c r="E1297" s="359" cm="1">
        <f t="array" ref="E1297">1000*SUM('DRE + DCF'!$L$36/M1297,'DRE + DCF'!$N$36:$V$36/N1297:V1297,F1297/V1297)/Dashboard!$F$11</f>
        <v>101.34844384126109</v>
      </c>
      <c r="F1297" s="359">
        <f t="shared" si="1321"/>
        <v>14035062.255421732</v>
      </c>
      <c r="G1297" s="359">
        <f>'DRE + DCF'!$W$31</f>
        <v>2791623.3540418856</v>
      </c>
      <c r="H1297" s="359">
        <f>'DRE + DCF'!$W$32</f>
        <v>81081.931703745853</v>
      </c>
      <c r="I1297" s="359">
        <f>-H1297*('DRE + DCF'!$V$33+K1297)/'DRE + DCF'!$V$33</f>
        <v>-90858.801614444121</v>
      </c>
      <c r="J1297" s="359">
        <f>-'DRE + DCF'!$V$56*L1297</f>
        <v>-1188924.4255577971</v>
      </c>
      <c r="K1297" s="360">
        <f>(1+L1297)/(1+Ke!$O$12)-1</f>
        <v>2.0000000000000018E-2</v>
      </c>
      <c r="L1297" s="360">
        <f>'DRE + DCF'!$Y$31</f>
        <v>7.3550000000000004E-2</v>
      </c>
      <c r="M1297" s="361">
        <f>(1+D1297)^((5-Dashboard!$F$9)*3/12)</f>
        <v>1.1482865291062088</v>
      </c>
      <c r="N1297" s="361">
        <f t="shared" ref="N1297:V1297" si="1326">M1297*(1+$D1297)</f>
        <v>1.3807571369237526</v>
      </c>
      <c r="O1297" s="361">
        <f t="shared" si="1326"/>
        <v>1.6602914192939564</v>
      </c>
      <c r="P1297" s="361">
        <f t="shared" si="1326"/>
        <v>1.9964174171300062</v>
      </c>
      <c r="Q1297" s="361">
        <f t="shared" si="1326"/>
        <v>2.4005921232279617</v>
      </c>
      <c r="R1297" s="361">
        <f t="shared" si="1326"/>
        <v>2.8865919985754456</v>
      </c>
      <c r="S1297" s="361">
        <f t="shared" si="1326"/>
        <v>3.470982548687024</v>
      </c>
      <c r="T1297" s="361">
        <f t="shared" si="1326"/>
        <v>4.1736829656686876</v>
      </c>
      <c r="U1297" s="361">
        <f t="shared" si="1326"/>
        <v>5.018645082068284</v>
      </c>
      <c r="V1297" s="362">
        <f t="shared" si="1326"/>
        <v>6.0346697789329724</v>
      </c>
      <c r="X1297" s="351"/>
    </row>
    <row r="1298" spans="3:24" ht="24.75" customHeight="1" x14ac:dyDescent="0.3">
      <c r="C1298" s="353">
        <f>ABS(E1298-Dashboard!$F$14)</f>
        <v>4.2741520756235474</v>
      </c>
      <c r="D1298" s="350">
        <f t="shared" si="1323"/>
        <v>0.20254999999999293</v>
      </c>
      <c r="E1298" s="359" cm="1">
        <f t="array" ref="E1298">1000*SUM('DRE + DCF'!$L$36/M1298,'DRE + DCF'!$N$36:$V$36/N1298:V1298,F1298/V1298)/Dashboard!$F$11</f>
        <v>101.26415207562354</v>
      </c>
      <c r="F1298" s="359">
        <f t="shared" si="1321"/>
        <v>14026265.85518099</v>
      </c>
      <c r="G1298" s="359">
        <f>'DRE + DCF'!$W$31</f>
        <v>2791623.3540418856</v>
      </c>
      <c r="H1298" s="359">
        <f>'DRE + DCF'!$W$32</f>
        <v>81081.931703745853</v>
      </c>
      <c r="I1298" s="359">
        <f>-H1298*('DRE + DCF'!$V$33+K1298)/'DRE + DCF'!$V$33</f>
        <v>-90858.801614444121</v>
      </c>
      <c r="J1298" s="359">
        <f>-'DRE + DCF'!$V$56*L1298</f>
        <v>-1188924.4255577971</v>
      </c>
      <c r="K1298" s="360">
        <f>(1+L1298)/(1+Ke!$O$12)-1</f>
        <v>2.0000000000000018E-2</v>
      </c>
      <c r="L1298" s="360">
        <f>'DRE + DCF'!$Y$31</f>
        <v>7.3550000000000004E-2</v>
      </c>
      <c r="M1298" s="361">
        <f>(1+D1298)^((5-Dashboard!$F$9)*3/12)</f>
        <v>1.1483581500421669</v>
      </c>
      <c r="N1298" s="361">
        <f t="shared" ref="N1298:V1298" si="1327">M1298*(1+$D1298)</f>
        <v>1.3809580933331997</v>
      </c>
      <c r="O1298" s="361">
        <f t="shared" si="1327"/>
        <v>1.6606711551378295</v>
      </c>
      <c r="P1298" s="361">
        <f t="shared" si="1327"/>
        <v>1.997040097610985</v>
      </c>
      <c r="Q1298" s="361">
        <f t="shared" si="1327"/>
        <v>2.4015405693820759</v>
      </c>
      <c r="R1298" s="361">
        <f t="shared" si="1327"/>
        <v>2.8879726117103983</v>
      </c>
      <c r="S1298" s="361">
        <f t="shared" si="1327"/>
        <v>3.4729314642123188</v>
      </c>
      <c r="T1298" s="361">
        <f t="shared" si="1327"/>
        <v>4.1763737322884991</v>
      </c>
      <c r="U1298" s="361">
        <f t="shared" si="1327"/>
        <v>5.0222982317635045</v>
      </c>
      <c r="V1298" s="362">
        <f t="shared" si="1327"/>
        <v>6.0395647386071669</v>
      </c>
      <c r="X1298" s="351"/>
    </row>
    <row r="1299" spans="3:24" ht="24.75" customHeight="1" x14ac:dyDescent="0.3">
      <c r="C1299" s="353">
        <f>ABS(E1299-Dashboard!$F$14)</f>
        <v>4.189981935805875</v>
      </c>
      <c r="D1299" s="350">
        <f t="shared" si="1323"/>
        <v>0.20264999999999292</v>
      </c>
      <c r="E1299" s="359" cm="1">
        <f t="array" ref="E1299">1000*SUM('DRE + DCF'!$L$36/M1299,'DRE + DCF'!$N$36:$V$36/N1299:V1299,F1299/V1299)/Dashboard!$F$11</f>
        <v>101.17998193580587</v>
      </c>
      <c r="F1299" s="359">
        <f t="shared" si="1321"/>
        <v>14017481.027551368</v>
      </c>
      <c r="G1299" s="359">
        <f>'DRE + DCF'!$W$31</f>
        <v>2791623.3540418856</v>
      </c>
      <c r="H1299" s="359">
        <f>'DRE + DCF'!$W$32</f>
        <v>81081.931703745853</v>
      </c>
      <c r="I1299" s="359">
        <f>-H1299*('DRE + DCF'!$V$33+K1299)/'DRE + DCF'!$V$33</f>
        <v>-90858.801614444121</v>
      </c>
      <c r="J1299" s="359">
        <f>-'DRE + DCF'!$V$56*L1299</f>
        <v>-1188924.4255577971</v>
      </c>
      <c r="K1299" s="360">
        <f>(1+L1299)/(1+Ke!$O$12)-1</f>
        <v>2.0000000000000018E-2</v>
      </c>
      <c r="L1299" s="360">
        <f>'DRE + DCF'!$Y$31</f>
        <v>7.3550000000000004E-2</v>
      </c>
      <c r="M1299" s="361">
        <f>(1+D1299)^((5-Dashboard!$F$9)*3/12)</f>
        <v>1.1484297694892018</v>
      </c>
      <c r="N1299" s="361">
        <f t="shared" ref="N1299:V1299" si="1328">M1299*(1+$D1299)</f>
        <v>1.3811590622761805</v>
      </c>
      <c r="O1299" s="361">
        <f t="shared" si="1328"/>
        <v>1.6610509462464387</v>
      </c>
      <c r="P1299" s="361">
        <f t="shared" si="1328"/>
        <v>1.9976629205032677</v>
      </c>
      <c r="Q1299" s="361">
        <f t="shared" si="1328"/>
        <v>2.4024893113432406</v>
      </c>
      <c r="R1299" s="361">
        <f t="shared" si="1328"/>
        <v>2.8893537702869314</v>
      </c>
      <c r="S1299" s="361">
        <f t="shared" si="1328"/>
        <v>3.4748813118355577</v>
      </c>
      <c r="T1299" s="361">
        <f t="shared" si="1328"/>
        <v>4.1790660096790084</v>
      </c>
      <c r="U1299" s="361">
        <f t="shared" si="1328"/>
        <v>5.0259537365404299</v>
      </c>
      <c r="V1299" s="362">
        <f t="shared" si="1328"/>
        <v>6.0444632612503124</v>
      </c>
      <c r="X1299" s="351"/>
    </row>
    <row r="1300" spans="3:24" ht="24.75" customHeight="1" x14ac:dyDescent="0.3">
      <c r="C1300" s="353">
        <f>ABS(E1300-Dashboard!$F$14)</f>
        <v>4.1059331709659546</v>
      </c>
      <c r="D1300" s="350">
        <f t="shared" si="1323"/>
        <v>0.20274999999999291</v>
      </c>
      <c r="E1300" s="359" cm="1">
        <f t="array" ref="E1300">1000*SUM('DRE + DCF'!$L$36/M1300,'DRE + DCF'!$N$36:$V$36/N1300:V1300,F1300/V1300)/Dashboard!$F$11</f>
        <v>101.09593317096595</v>
      </c>
      <c r="F1300" s="359">
        <f t="shared" si="1321"/>
        <v>14008707.748699298</v>
      </c>
      <c r="G1300" s="359">
        <f>'DRE + DCF'!$W$31</f>
        <v>2791623.3540418856</v>
      </c>
      <c r="H1300" s="359">
        <f>'DRE + DCF'!$W$32</f>
        <v>81081.931703745853</v>
      </c>
      <c r="I1300" s="359">
        <f>-H1300*('DRE + DCF'!$V$33+K1300)/'DRE + DCF'!$V$33</f>
        <v>-90858.801614444121</v>
      </c>
      <c r="J1300" s="359">
        <f>-'DRE + DCF'!$V$56*L1300</f>
        <v>-1188924.4255577971</v>
      </c>
      <c r="K1300" s="360">
        <f>(1+L1300)/(1+Ke!$O$12)-1</f>
        <v>2.0000000000000018E-2</v>
      </c>
      <c r="L1300" s="360">
        <f>'DRE + DCF'!$Y$31</f>
        <v>7.3550000000000004E-2</v>
      </c>
      <c r="M1300" s="361">
        <f>(1+D1300)^((5-Dashboard!$F$9)*3/12)</f>
        <v>1.1485013874474681</v>
      </c>
      <c r="N1300" s="361">
        <f t="shared" ref="N1300:V1300" si="1329">M1300*(1+$D1300)</f>
        <v>1.381360043752434</v>
      </c>
      <c r="O1300" s="361">
        <f t="shared" si="1329"/>
        <v>1.6614307926232301</v>
      </c>
      <c r="P1300" s="361">
        <f t="shared" si="1329"/>
        <v>1.9982858858275783</v>
      </c>
      <c r="Q1300" s="361">
        <f t="shared" si="1329"/>
        <v>2.4034383491791056</v>
      </c>
      <c r="R1300" s="361">
        <f t="shared" si="1329"/>
        <v>2.8907354744751523</v>
      </c>
      <c r="S1300" s="361">
        <f t="shared" si="1329"/>
        <v>3.4768320919249689</v>
      </c>
      <c r="T1300" s="361">
        <f t="shared" si="1329"/>
        <v>4.1817597985627319</v>
      </c>
      <c r="U1300" s="361">
        <f t="shared" si="1329"/>
        <v>5.0296115977212965</v>
      </c>
      <c r="V1300" s="362">
        <f t="shared" si="1329"/>
        <v>6.0493653491592534</v>
      </c>
      <c r="X1300" s="351"/>
    </row>
    <row r="1301" spans="3:24" ht="24.75" customHeight="1" x14ac:dyDescent="0.3">
      <c r="C1301" s="353">
        <f>ABS(E1301-Dashboard!$F$14)</f>
        <v>4.022005530952498</v>
      </c>
      <c r="D1301" s="350">
        <f t="shared" si="1323"/>
        <v>0.2028499999999929</v>
      </c>
      <c r="E1301" s="359" cm="1">
        <f t="array" ref="E1301">1000*SUM('DRE + DCF'!$L$36/M1301,'DRE + DCF'!$N$36:$V$36/N1301:V1301,F1301/V1301)/Dashboard!$F$11</f>
        <v>101.01200553095249</v>
      </c>
      <c r="F1301" s="359">
        <f t="shared" si="1321"/>
        <v>13999945.994858969</v>
      </c>
      <c r="G1301" s="359">
        <f>'DRE + DCF'!$W$31</f>
        <v>2791623.3540418856</v>
      </c>
      <c r="H1301" s="359">
        <f>'DRE + DCF'!$W$32</f>
        <v>81081.931703745853</v>
      </c>
      <c r="I1301" s="359">
        <f>-H1301*('DRE + DCF'!$V$33+K1301)/'DRE + DCF'!$V$33</f>
        <v>-90858.801614444121</v>
      </c>
      <c r="J1301" s="359">
        <f>-'DRE + DCF'!$V$56*L1301</f>
        <v>-1188924.4255577971</v>
      </c>
      <c r="K1301" s="360">
        <f>(1+L1301)/(1+Ke!$O$12)-1</f>
        <v>2.0000000000000018E-2</v>
      </c>
      <c r="L1301" s="360">
        <f>'DRE + DCF'!$Y$31</f>
        <v>7.3550000000000004E-2</v>
      </c>
      <c r="M1301" s="361">
        <f>(1+D1301)^((5-Dashboard!$F$9)*3/12)</f>
        <v>1.1485730039171205</v>
      </c>
      <c r="N1301" s="361">
        <f t="shared" ref="N1301:V1301" si="1330">M1301*(1+$D1301)</f>
        <v>1.3815610377617003</v>
      </c>
      <c r="O1301" s="361">
        <f t="shared" si="1330"/>
        <v>1.6618106942716513</v>
      </c>
      <c r="P1301" s="361">
        <f t="shared" si="1330"/>
        <v>1.9989089936046438</v>
      </c>
      <c r="Q1301" s="361">
        <f t="shared" si="1330"/>
        <v>2.4043876829573314</v>
      </c>
      <c r="R1301" s="361">
        <f t="shared" si="1330"/>
        <v>2.892117724445209</v>
      </c>
      <c r="S1301" s="361">
        <f t="shared" si="1330"/>
        <v>3.478783804848899</v>
      </c>
      <c r="T1301" s="361">
        <f t="shared" si="1330"/>
        <v>4.1844550996624736</v>
      </c>
      <c r="U1301" s="361">
        <f t="shared" si="1330"/>
        <v>5.0332718166289769</v>
      </c>
      <c r="V1301" s="362">
        <f t="shared" si="1330"/>
        <v>6.0542710046321293</v>
      </c>
      <c r="X1301" s="351"/>
    </row>
    <row r="1302" spans="3:24" ht="24.75" customHeight="1" x14ac:dyDescent="0.3">
      <c r="C1302" s="353">
        <f>ABS(E1302-Dashboard!$F$14)</f>
        <v>3.9381987663026479</v>
      </c>
      <c r="D1302" s="350">
        <f t="shared" si="1323"/>
        <v>0.20294999999999289</v>
      </c>
      <c r="E1302" s="359" cm="1">
        <f t="array" ref="E1302">1000*SUM('DRE + DCF'!$L$36/M1302,'DRE + DCF'!$N$36:$V$36/N1302:V1302,F1302/V1302)/Dashboard!$F$11</f>
        <v>100.92819876630264</v>
      </c>
      <c r="F1302" s="359">
        <f t="shared" si="1321"/>
        <v>13991195.74233206</v>
      </c>
      <c r="G1302" s="359">
        <f>'DRE + DCF'!$W$31</f>
        <v>2791623.3540418856</v>
      </c>
      <c r="H1302" s="359">
        <f>'DRE + DCF'!$W$32</f>
        <v>81081.931703745853</v>
      </c>
      <c r="I1302" s="359">
        <f>-H1302*('DRE + DCF'!$V$33+K1302)/'DRE + DCF'!$V$33</f>
        <v>-90858.801614444121</v>
      </c>
      <c r="J1302" s="359">
        <f>-'DRE + DCF'!$V$56*L1302</f>
        <v>-1188924.4255577971</v>
      </c>
      <c r="K1302" s="360">
        <f>(1+L1302)/(1+Ke!$O$12)-1</f>
        <v>2.0000000000000018E-2</v>
      </c>
      <c r="L1302" s="360">
        <f>'DRE + DCF'!$Y$31</f>
        <v>7.3550000000000004E-2</v>
      </c>
      <c r="M1302" s="361">
        <f>(1+D1302)^((5-Dashboard!$F$9)*3/12)</f>
        <v>1.1486446188983137</v>
      </c>
      <c r="N1302" s="361">
        <f t="shared" ref="N1302:V1302" si="1331">M1302*(1+$D1302)</f>
        <v>1.3817620443037182</v>
      </c>
      <c r="O1302" s="361">
        <f t="shared" si="1331"/>
        <v>1.6621906511951479</v>
      </c>
      <c r="P1302" s="361">
        <f t="shared" si="1331"/>
        <v>1.9995322438551912</v>
      </c>
      <c r="Q1302" s="361">
        <f t="shared" si="1331"/>
        <v>2.4053373127455879</v>
      </c>
      <c r="R1302" s="361">
        <f t="shared" si="1331"/>
        <v>2.8935005203672879</v>
      </c>
      <c r="S1302" s="361">
        <f t="shared" si="1331"/>
        <v>3.4807364509758081</v>
      </c>
      <c r="T1302" s="361">
        <f t="shared" si="1331"/>
        <v>4.1871519137013236</v>
      </c>
      <c r="U1302" s="361">
        <f t="shared" si="1331"/>
        <v>5.0369343945869769</v>
      </c>
      <c r="V1302" s="362">
        <f t="shared" si="1331"/>
        <v>6.0591802299683675</v>
      </c>
      <c r="X1302" s="351"/>
    </row>
    <row r="1303" spans="3:24" ht="24.75" customHeight="1" x14ac:dyDescent="0.3">
      <c r="C1303" s="353">
        <f>ABS(E1303-Dashboard!$F$14)</f>
        <v>3.8545126282392914</v>
      </c>
      <c r="D1303" s="350">
        <f t="shared" si="1323"/>
        <v>0.20304999999999288</v>
      </c>
      <c r="E1303" s="359" cm="1">
        <f t="array" ref="E1303">1000*SUM('DRE + DCF'!$L$36/M1303,'DRE + DCF'!$N$36:$V$36/N1303:V1303,F1303/V1303)/Dashboard!$F$11</f>
        <v>100.84451262823929</v>
      </c>
      <c r="F1303" s="359">
        <f t="shared" si="1321"/>
        <v>13982456.967487505</v>
      </c>
      <c r="G1303" s="359">
        <f>'DRE + DCF'!$W$31</f>
        <v>2791623.3540418856</v>
      </c>
      <c r="H1303" s="359">
        <f>'DRE + DCF'!$W$32</f>
        <v>81081.931703745853</v>
      </c>
      <c r="I1303" s="359">
        <f>-H1303*('DRE + DCF'!$V$33+K1303)/'DRE + DCF'!$V$33</f>
        <v>-90858.801614444121</v>
      </c>
      <c r="J1303" s="359">
        <f>-'DRE + DCF'!$V$56*L1303</f>
        <v>-1188924.4255577971</v>
      </c>
      <c r="K1303" s="360">
        <f>(1+L1303)/(1+Ke!$O$12)-1</f>
        <v>2.0000000000000018E-2</v>
      </c>
      <c r="L1303" s="360">
        <f>'DRE + DCF'!$Y$31</f>
        <v>7.3550000000000004E-2</v>
      </c>
      <c r="M1303" s="361">
        <f>(1+D1303)^((5-Dashboard!$F$9)*3/12)</f>
        <v>1.1487162323912024</v>
      </c>
      <c r="N1303" s="361">
        <f t="shared" ref="N1303:V1303" si="1332">M1303*(1+$D1303)</f>
        <v>1.3819630633782278</v>
      </c>
      <c r="O1303" s="361">
        <f t="shared" si="1332"/>
        <v>1.6625706633971671</v>
      </c>
      <c r="P1303" s="361">
        <f t="shared" si="1332"/>
        <v>2.00015563659995</v>
      </c>
      <c r="Q1303" s="361">
        <f t="shared" si="1332"/>
        <v>2.4062872386115557</v>
      </c>
      <c r="R1303" s="361">
        <f t="shared" si="1332"/>
        <v>2.8948838624116147</v>
      </c>
      <c r="S1303" s="361">
        <f t="shared" si="1332"/>
        <v>3.4826900306742723</v>
      </c>
      <c r="T1303" s="361">
        <f t="shared" si="1332"/>
        <v>4.1898502414026586</v>
      </c>
      <c r="U1303" s="361">
        <f t="shared" si="1332"/>
        <v>5.0405993329194381</v>
      </c>
      <c r="V1303" s="362">
        <f t="shared" si="1332"/>
        <v>6.0640930274686937</v>
      </c>
      <c r="X1303" s="351"/>
    </row>
    <row r="1304" spans="3:24" ht="24.75" customHeight="1" x14ac:dyDescent="0.3">
      <c r="C1304" s="353">
        <f>ABS(E1304-Dashboard!$F$14)</f>
        <v>3.770946868669057</v>
      </c>
      <c r="D1304" s="350">
        <f t="shared" si="1323"/>
        <v>0.20314999999999286</v>
      </c>
      <c r="E1304" s="359" cm="1">
        <f t="array" ref="E1304">1000*SUM('DRE + DCF'!$L$36/M1304,'DRE + DCF'!$N$36:$V$36/N1304:V1304,F1304/V1304)/Dashboard!$F$11</f>
        <v>100.76094686866905</v>
      </c>
      <c r="F1304" s="359">
        <f t="shared" si="1321"/>
        <v>13973729.646761252</v>
      </c>
      <c r="G1304" s="359">
        <f>'DRE + DCF'!$W$31</f>
        <v>2791623.3540418856</v>
      </c>
      <c r="H1304" s="359">
        <f>'DRE + DCF'!$W$32</f>
        <v>81081.931703745853</v>
      </c>
      <c r="I1304" s="359">
        <f>-H1304*('DRE + DCF'!$V$33+K1304)/'DRE + DCF'!$V$33</f>
        <v>-90858.801614444121</v>
      </c>
      <c r="J1304" s="359">
        <f>-'DRE + DCF'!$V$56*L1304</f>
        <v>-1188924.4255577971</v>
      </c>
      <c r="K1304" s="360">
        <f>(1+L1304)/(1+Ke!$O$12)-1</f>
        <v>2.0000000000000018E-2</v>
      </c>
      <c r="L1304" s="360">
        <f>'DRE + DCF'!$Y$31</f>
        <v>7.3550000000000004E-2</v>
      </c>
      <c r="M1304" s="361">
        <f>(1+D1304)^((5-Dashboard!$F$9)*3/12)</f>
        <v>1.1487878443959409</v>
      </c>
      <c r="N1304" s="361">
        <f t="shared" ref="N1304:V1304" si="1333">M1304*(1+$D1304)</f>
        <v>1.3821640949849681</v>
      </c>
      <c r="O1304" s="361">
        <f t="shared" si="1333"/>
        <v>1.6629507308811544</v>
      </c>
      <c r="P1304" s="361">
        <f t="shared" si="1333"/>
        <v>2.0007791718596488</v>
      </c>
      <c r="Q1304" s="361">
        <f t="shared" si="1333"/>
        <v>2.4072374606229223</v>
      </c>
      <c r="R1304" s="361">
        <f t="shared" si="1333"/>
        <v>2.8962677507484518</v>
      </c>
      <c r="S1304" s="361">
        <f t="shared" si="1333"/>
        <v>3.484644544312979</v>
      </c>
      <c r="T1304" s="361">
        <f t="shared" si="1333"/>
        <v>4.1925500834901355</v>
      </c>
      <c r="U1304" s="361">
        <f t="shared" si="1333"/>
        <v>5.0442666329511265</v>
      </c>
      <c r="V1304" s="362">
        <f t="shared" si="1333"/>
        <v>6.069009399435112</v>
      </c>
      <c r="X1304" s="351"/>
    </row>
    <row r="1305" spans="3:24" ht="24.75" customHeight="1" x14ac:dyDescent="0.3">
      <c r="C1305" s="353">
        <f>ABS(E1305-Dashboard!$F$14)</f>
        <v>3.6875012401795999</v>
      </c>
      <c r="D1305" s="350">
        <f t="shared" si="1323"/>
        <v>0.20324999999999285</v>
      </c>
      <c r="E1305" s="359" cm="1">
        <f t="array" ref="E1305">1000*SUM('DRE + DCF'!$L$36/M1305,'DRE + DCF'!$N$36:$V$36/N1305:V1305,F1305/V1305)/Dashboard!$F$11</f>
        <v>100.67750124017959</v>
      </c>
      <c r="F1305" s="359">
        <f t="shared" si="1321"/>
        <v>13965013.756656002</v>
      </c>
      <c r="G1305" s="359">
        <f>'DRE + DCF'!$W$31</f>
        <v>2791623.3540418856</v>
      </c>
      <c r="H1305" s="359">
        <f>'DRE + DCF'!$W$32</f>
        <v>81081.931703745853</v>
      </c>
      <c r="I1305" s="359">
        <f>-H1305*('DRE + DCF'!$V$33+K1305)/'DRE + DCF'!$V$33</f>
        <v>-90858.801614444121</v>
      </c>
      <c r="J1305" s="359">
        <f>-'DRE + DCF'!$V$56*L1305</f>
        <v>-1188924.4255577971</v>
      </c>
      <c r="K1305" s="360">
        <f>(1+L1305)/(1+Ke!$O$12)-1</f>
        <v>2.0000000000000018E-2</v>
      </c>
      <c r="L1305" s="360">
        <f>'DRE + DCF'!$Y$31</f>
        <v>7.3550000000000004E-2</v>
      </c>
      <c r="M1305" s="361">
        <f>(1+D1305)^((5-Dashboard!$F$9)*3/12)</f>
        <v>1.1488594549126845</v>
      </c>
      <c r="N1305" s="361">
        <f t="shared" ref="N1305:V1305" si="1334">M1305*(1+$D1305)</f>
        <v>1.3823651391236793</v>
      </c>
      <c r="O1305" s="361">
        <f t="shared" si="1334"/>
        <v>1.6633308536505571</v>
      </c>
      <c r="P1305" s="361">
        <f t="shared" si="1334"/>
        <v>2.0014028496550207</v>
      </c>
      <c r="Q1305" s="361">
        <f t="shared" si="1334"/>
        <v>2.4081879788473892</v>
      </c>
      <c r="R1305" s="361">
        <f t="shared" si="1334"/>
        <v>2.8976521855481039</v>
      </c>
      <c r="S1305" s="361">
        <f t="shared" si="1334"/>
        <v>3.4865999922607354</v>
      </c>
      <c r="T1305" s="361">
        <f t="shared" si="1334"/>
        <v>4.1952514406877048</v>
      </c>
      <c r="U1305" s="361">
        <f t="shared" si="1334"/>
        <v>5.0479362960074505</v>
      </c>
      <c r="V1305" s="362">
        <f t="shared" si="1334"/>
        <v>6.0739293481709282</v>
      </c>
      <c r="X1305" s="351"/>
    </row>
    <row r="1306" spans="3:24" ht="24.75" customHeight="1" x14ac:dyDescent="0.3">
      <c r="C1306" s="353">
        <f>ABS(E1306-Dashboard!$F$14)</f>
        <v>3.604175496037314</v>
      </c>
      <c r="D1306" s="350">
        <f t="shared" si="1323"/>
        <v>0.20334999999999284</v>
      </c>
      <c r="E1306" s="359" cm="1">
        <f t="array" ref="E1306">1000*SUM('DRE + DCF'!$L$36/M1306,'DRE + DCF'!$N$36:$V$36/N1306:V1306,F1306/V1306)/Dashboard!$F$11</f>
        <v>100.59417549603731</v>
      </c>
      <c r="F1306" s="359">
        <f t="shared" si="1321"/>
        <v>13956309.273740988</v>
      </c>
      <c r="G1306" s="359">
        <f>'DRE + DCF'!$W$31</f>
        <v>2791623.3540418856</v>
      </c>
      <c r="H1306" s="359">
        <f>'DRE + DCF'!$W$32</f>
        <v>81081.931703745853</v>
      </c>
      <c r="I1306" s="359">
        <f>-H1306*('DRE + DCF'!$V$33+K1306)/'DRE + DCF'!$V$33</f>
        <v>-90858.801614444121</v>
      </c>
      <c r="J1306" s="359">
        <f>-'DRE + DCF'!$V$56*L1306</f>
        <v>-1188924.4255577971</v>
      </c>
      <c r="K1306" s="360">
        <f>(1+L1306)/(1+Ke!$O$12)-1</f>
        <v>2.0000000000000018E-2</v>
      </c>
      <c r="L1306" s="360">
        <f>'DRE + DCF'!$Y$31</f>
        <v>7.3550000000000004E-2</v>
      </c>
      <c r="M1306" s="361">
        <f>(1+D1306)^((5-Dashboard!$F$9)*3/12)</f>
        <v>1.1489310639415873</v>
      </c>
      <c r="N1306" s="361">
        <f t="shared" ref="N1306:V1306" si="1335">M1306*(1+$D1306)</f>
        <v>1.3825661957941009</v>
      </c>
      <c r="O1306" s="361">
        <f t="shared" si="1335"/>
        <v>1.6637110317088213</v>
      </c>
      <c r="P1306" s="361">
        <f t="shared" si="1335"/>
        <v>2.0020266700067983</v>
      </c>
      <c r="Q1306" s="361">
        <f t="shared" si="1335"/>
        <v>2.4091387933526662</v>
      </c>
      <c r="R1306" s="361">
        <f t="shared" si="1335"/>
        <v>2.8990371669809134</v>
      </c>
      <c r="S1306" s="361">
        <f t="shared" si="1335"/>
        <v>3.4885563748864614</v>
      </c>
      <c r="T1306" s="361">
        <f t="shared" si="1335"/>
        <v>4.197954313719598</v>
      </c>
      <c r="U1306" s="361">
        <f t="shared" si="1335"/>
        <v>5.051608323414448</v>
      </c>
      <c r="V1306" s="362">
        <f t="shared" si="1335"/>
        <v>6.0788528759807399</v>
      </c>
      <c r="X1306" s="351"/>
    </row>
    <row r="1307" spans="3:24" ht="24.75" customHeight="1" x14ac:dyDescent="0.3">
      <c r="C1307" s="353">
        <f>ABS(E1307-Dashboard!$F$14)</f>
        <v>3.5209693901850017</v>
      </c>
      <c r="D1307" s="350">
        <f t="shared" si="1323"/>
        <v>0.20344999999999283</v>
      </c>
      <c r="E1307" s="359" cm="1">
        <f t="array" ref="E1307">1000*SUM('DRE + DCF'!$L$36/M1307,'DRE + DCF'!$N$36:$V$36/N1307:V1307,F1307/V1307)/Dashboard!$F$11</f>
        <v>100.510969390185</v>
      </c>
      <c r="F1307" s="359">
        <f t="shared" si="1321"/>
        <v>13947616.174651712</v>
      </c>
      <c r="G1307" s="359">
        <f>'DRE + DCF'!$W$31</f>
        <v>2791623.3540418856</v>
      </c>
      <c r="H1307" s="359">
        <f>'DRE + DCF'!$W$32</f>
        <v>81081.931703745853</v>
      </c>
      <c r="I1307" s="359">
        <f>-H1307*('DRE + DCF'!$V$33+K1307)/'DRE + DCF'!$V$33</f>
        <v>-90858.801614444121</v>
      </c>
      <c r="J1307" s="359">
        <f>-'DRE + DCF'!$V$56*L1307</f>
        <v>-1188924.4255577971</v>
      </c>
      <c r="K1307" s="360">
        <f>(1+L1307)/(1+Ke!$O$12)-1</f>
        <v>2.0000000000000018E-2</v>
      </c>
      <c r="L1307" s="360">
        <f>'DRE + DCF'!$Y$31</f>
        <v>7.3550000000000004E-2</v>
      </c>
      <c r="M1307" s="361">
        <f>(1+D1307)^((5-Dashboard!$F$9)*3/12)</f>
        <v>1.1490026714828039</v>
      </c>
      <c r="N1307" s="361">
        <f t="shared" ref="N1307:V1307" si="1336">M1307*(1+$D1307)</f>
        <v>1.3827672649959721</v>
      </c>
      <c r="O1307" s="361">
        <f t="shared" si="1336"/>
        <v>1.6640912650593926</v>
      </c>
      <c r="P1307" s="361">
        <f t="shared" si="1336"/>
        <v>2.0026506329357141</v>
      </c>
      <c r="Q1307" s="361">
        <f t="shared" si="1336"/>
        <v>2.4100899042064707</v>
      </c>
      <c r="R1307" s="361">
        <f t="shared" si="1336"/>
        <v>2.90042269521726</v>
      </c>
      <c r="S1307" s="361">
        <f t="shared" si="1336"/>
        <v>3.4905136925591909</v>
      </c>
      <c r="T1307" s="361">
        <f t="shared" si="1336"/>
        <v>4.2006587033103333</v>
      </c>
      <c r="U1307" s="361">
        <f t="shared" si="1336"/>
        <v>5.0552827164987901</v>
      </c>
      <c r="V1307" s="362">
        <f t="shared" si="1336"/>
        <v>6.0837799851704322</v>
      </c>
      <c r="X1307" s="351"/>
    </row>
    <row r="1308" spans="3:24" ht="24.75" customHeight="1" x14ac:dyDescent="0.3">
      <c r="C1308" s="353">
        <f>ABS(E1308-Dashboard!$F$14)</f>
        <v>3.4378826772394859</v>
      </c>
      <c r="D1308" s="350">
        <f t="shared" si="1323"/>
        <v>0.20354999999999282</v>
      </c>
      <c r="E1308" s="359" cm="1">
        <f t="array" ref="E1308">1000*SUM('DRE + DCF'!$L$36/M1308,'DRE + DCF'!$N$36:$V$36/N1308:V1308,F1308/V1308)/Dashboard!$F$11</f>
        <v>100.42788267723948</v>
      </c>
      <c r="F1308" s="359">
        <f t="shared" si="1321"/>
        <v>13938934.436089722</v>
      </c>
      <c r="G1308" s="359">
        <f>'DRE + DCF'!$W$31</f>
        <v>2791623.3540418856</v>
      </c>
      <c r="H1308" s="359">
        <f>'DRE + DCF'!$W$32</f>
        <v>81081.931703745853</v>
      </c>
      <c r="I1308" s="359">
        <f>-H1308*('DRE + DCF'!$V$33+K1308)/'DRE + DCF'!$V$33</f>
        <v>-90858.801614444121</v>
      </c>
      <c r="J1308" s="359">
        <f>-'DRE + DCF'!$V$56*L1308</f>
        <v>-1188924.4255577971</v>
      </c>
      <c r="K1308" s="360">
        <f>(1+L1308)/(1+Ke!$O$12)-1</f>
        <v>2.0000000000000018E-2</v>
      </c>
      <c r="L1308" s="360">
        <f>'DRE + DCF'!$Y$31</f>
        <v>7.3550000000000004E-2</v>
      </c>
      <c r="M1308" s="361">
        <f>(1+D1308)^((5-Dashboard!$F$9)*3/12)</f>
        <v>1.1490742775364891</v>
      </c>
      <c r="N1308" s="361">
        <f t="shared" ref="N1308:V1308" si="1337">M1308*(1+$D1308)</f>
        <v>1.382968346729033</v>
      </c>
      <c r="O1308" s="361">
        <f t="shared" si="1337"/>
        <v>1.6644715537057178</v>
      </c>
      <c r="P1308" s="361">
        <f t="shared" si="1337"/>
        <v>2.0032747384625047</v>
      </c>
      <c r="Q1308" s="361">
        <f t="shared" si="1337"/>
        <v>2.411041311476533</v>
      </c>
      <c r="R1308" s="361">
        <f t="shared" si="1337"/>
        <v>2.9018087704275639</v>
      </c>
      <c r="S1308" s="361">
        <f t="shared" si="1337"/>
        <v>3.4924719456480737</v>
      </c>
      <c r="T1308" s="361">
        <f t="shared" si="1337"/>
        <v>4.203364610184714</v>
      </c>
      <c r="U1308" s="361">
        <f t="shared" si="1337"/>
        <v>5.0589594765877823</v>
      </c>
      <c r="V1308" s="362">
        <f t="shared" si="1337"/>
        <v>6.0887106780471889</v>
      </c>
      <c r="X1308" s="351"/>
    </row>
    <row r="1309" spans="3:24" ht="24.75" customHeight="1" x14ac:dyDescent="0.3">
      <c r="C1309" s="353">
        <f>ABS(E1309-Dashboard!$F$14)</f>
        <v>3.3549151124891949</v>
      </c>
      <c r="D1309" s="350">
        <f t="shared" si="1323"/>
        <v>0.20364999999999281</v>
      </c>
      <c r="E1309" s="359" cm="1">
        <f t="array" ref="E1309">1000*SUM('DRE + DCF'!$L$36/M1309,'DRE + DCF'!$N$36:$V$36/N1309:V1309,F1309/V1309)/Dashboard!$F$11</f>
        <v>100.34491511248919</v>
      </c>
      <c r="F1309" s="359">
        <f t="shared" si="1321"/>
        <v>13930264.034822365</v>
      </c>
      <c r="G1309" s="359">
        <f>'DRE + DCF'!$W$31</f>
        <v>2791623.3540418856</v>
      </c>
      <c r="H1309" s="359">
        <f>'DRE + DCF'!$W$32</f>
        <v>81081.931703745853</v>
      </c>
      <c r="I1309" s="359">
        <f>-H1309*('DRE + DCF'!$V$33+K1309)/'DRE + DCF'!$V$33</f>
        <v>-90858.801614444121</v>
      </c>
      <c r="J1309" s="359">
        <f>-'DRE + DCF'!$V$56*L1309</f>
        <v>-1188924.4255577971</v>
      </c>
      <c r="K1309" s="360">
        <f>(1+L1309)/(1+Ke!$O$12)-1</f>
        <v>2.0000000000000018E-2</v>
      </c>
      <c r="L1309" s="360">
        <f>'DRE + DCF'!$Y$31</f>
        <v>7.3550000000000004E-2</v>
      </c>
      <c r="M1309" s="361">
        <f>(1+D1309)^((5-Dashboard!$F$9)*3/12)</f>
        <v>1.1491458821027969</v>
      </c>
      <c r="N1309" s="361">
        <f t="shared" ref="N1309:V1309" si="1338">M1309*(1+$D1309)</f>
        <v>1.3831694409930231</v>
      </c>
      <c r="O1309" s="361">
        <f t="shared" si="1338"/>
        <v>1.6648518976512423</v>
      </c>
      <c r="P1309" s="361">
        <f t="shared" si="1338"/>
        <v>2.003898986607906</v>
      </c>
      <c r="Q1309" s="361">
        <f t="shared" si="1338"/>
        <v>2.4119930152305917</v>
      </c>
      <c r="R1309" s="361">
        <f t="shared" si="1338"/>
        <v>2.9031953927822842</v>
      </c>
      <c r="S1309" s="361">
        <f t="shared" si="1338"/>
        <v>3.4944311345223755</v>
      </c>
      <c r="T1309" s="361">
        <f t="shared" si="1338"/>
        <v>4.206072035067832</v>
      </c>
      <c r="U1309" s="361">
        <f t="shared" si="1338"/>
        <v>5.0626386050093659</v>
      </c>
      <c r="V1309" s="362">
        <f t="shared" si="1338"/>
        <v>6.093644956919487</v>
      </c>
      <c r="X1309" s="351"/>
    </row>
    <row r="1310" spans="3:24" ht="24.75" customHeight="1" x14ac:dyDescent="0.3">
      <c r="C1310" s="353">
        <f>ABS(E1310-Dashboard!$F$14)</f>
        <v>3.2720664518919023</v>
      </c>
      <c r="D1310" s="350">
        <f t="shared" si="1323"/>
        <v>0.2037499999999928</v>
      </c>
      <c r="E1310" s="359" cm="1">
        <f t="array" ref="E1310">1000*SUM('DRE + DCF'!$L$36/M1310,'DRE + DCF'!$N$36:$V$36/N1310:V1310,F1310/V1310)/Dashboard!$F$11</f>
        <v>100.2620664518919</v>
      </c>
      <c r="F1310" s="359">
        <f t="shared" si="1321"/>
        <v>13921604.947682548</v>
      </c>
      <c r="G1310" s="359">
        <f>'DRE + DCF'!$W$31</f>
        <v>2791623.3540418856</v>
      </c>
      <c r="H1310" s="359">
        <f>'DRE + DCF'!$W$32</f>
        <v>81081.931703745853</v>
      </c>
      <c r="I1310" s="359">
        <f>-H1310*('DRE + DCF'!$V$33+K1310)/'DRE + DCF'!$V$33</f>
        <v>-90858.801614444121</v>
      </c>
      <c r="J1310" s="359">
        <f>-'DRE + DCF'!$V$56*L1310</f>
        <v>-1188924.4255577971</v>
      </c>
      <c r="K1310" s="360">
        <f>(1+L1310)/(1+Ke!$O$12)-1</f>
        <v>2.0000000000000018E-2</v>
      </c>
      <c r="L1310" s="360">
        <f>'DRE + DCF'!$Y$31</f>
        <v>7.3550000000000004E-2</v>
      </c>
      <c r="M1310" s="361">
        <f>(1+D1310)^((5-Dashboard!$F$9)*3/12)</f>
        <v>1.1492174851818819</v>
      </c>
      <c r="N1310" s="361">
        <f t="shared" ref="N1310:V1310" si="1339">M1310*(1+$D1310)</f>
        <v>1.3833705477876821</v>
      </c>
      <c r="O1310" s="361">
        <f t="shared" si="1339"/>
        <v>1.6652322968994122</v>
      </c>
      <c r="P1310" s="361">
        <f t="shared" si="1339"/>
        <v>2.0045233773926556</v>
      </c>
      <c r="Q1310" s="361">
        <f t="shared" si="1339"/>
        <v>2.4129450155363945</v>
      </c>
      <c r="R1310" s="361">
        <f t="shared" si="1339"/>
        <v>2.9045825624519175</v>
      </c>
      <c r="S1310" s="361">
        <f t="shared" si="1339"/>
        <v>3.4963912595514746</v>
      </c>
      <c r="T1310" s="361">
        <f t="shared" si="1339"/>
        <v>4.2087809786850618</v>
      </c>
      <c r="U1310" s="361">
        <f t="shared" si="1339"/>
        <v>5.0663201030921128</v>
      </c>
      <c r="V1310" s="362">
        <f t="shared" si="1339"/>
        <v>6.0985828240970941</v>
      </c>
      <c r="X1310" s="351"/>
    </row>
    <row r="1311" spans="3:24" ht="24.75" customHeight="1" x14ac:dyDescent="0.3">
      <c r="C1311" s="353">
        <f>ABS(E1311-Dashboard!$F$14)</f>
        <v>3.1893364520722258</v>
      </c>
      <c r="D1311" s="350">
        <f t="shared" si="1323"/>
        <v>0.20384999999999279</v>
      </c>
      <c r="E1311" s="359" cm="1">
        <f t="array" ref="E1311">1000*SUM('DRE + DCF'!$L$36/M1311,'DRE + DCF'!$N$36:$V$36/N1311:V1311,F1311/V1311)/Dashboard!$F$11</f>
        <v>100.17933645207222</v>
      </c>
      <c r="F1311" s="359">
        <f t="shared" si="1321"/>
        <v>13912957.151568502</v>
      </c>
      <c r="G1311" s="359">
        <f>'DRE + DCF'!$W$31</f>
        <v>2791623.3540418856</v>
      </c>
      <c r="H1311" s="359">
        <f>'DRE + DCF'!$W$32</f>
        <v>81081.931703745853</v>
      </c>
      <c r="I1311" s="359">
        <f>-H1311*('DRE + DCF'!$V$33+K1311)/'DRE + DCF'!$V$33</f>
        <v>-90858.801614444121</v>
      </c>
      <c r="J1311" s="359">
        <f>-'DRE + DCF'!$V$56*L1311</f>
        <v>-1188924.4255577971</v>
      </c>
      <c r="K1311" s="360">
        <f>(1+L1311)/(1+Ke!$O$12)-1</f>
        <v>2.0000000000000018E-2</v>
      </c>
      <c r="L1311" s="360">
        <f>'DRE + DCF'!$Y$31</f>
        <v>7.3550000000000004E-2</v>
      </c>
      <c r="M1311" s="361">
        <f>(1+D1311)^((5-Dashboard!$F$9)*3/12)</f>
        <v>1.149289086773899</v>
      </c>
      <c r="N1311" s="361">
        <f t="shared" ref="N1311:V1311" si="1340">M1311*(1+$D1311)</f>
        <v>1.38357166711275</v>
      </c>
      <c r="O1311" s="361">
        <f t="shared" si="1340"/>
        <v>1.665612751453674</v>
      </c>
      <c r="P1311" s="361">
        <f t="shared" si="1340"/>
        <v>2.0051479108374934</v>
      </c>
      <c r="Q1311" s="361">
        <f t="shared" si="1340"/>
        <v>2.4138973124617018</v>
      </c>
      <c r="R1311" s="361">
        <f t="shared" si="1340"/>
        <v>2.9059702796070024</v>
      </c>
      <c r="S1311" s="361">
        <f t="shared" si="1340"/>
        <v>3.4983523211048686</v>
      </c>
      <c r="T1311" s="361">
        <f t="shared" si="1340"/>
        <v>4.211491441762071</v>
      </c>
      <c r="U1311" s="361">
        <f t="shared" si="1340"/>
        <v>5.0700039721652388</v>
      </c>
      <c r="V1311" s="362">
        <f t="shared" si="1340"/>
        <v>6.1035242818910858</v>
      </c>
      <c r="X1311" s="351"/>
    </row>
    <row r="1312" spans="3:24" ht="24.75" customHeight="1" x14ac:dyDescent="0.3">
      <c r="C1312" s="353">
        <f>ABS(E1312-Dashboard!$F$14)</f>
        <v>3.10672487031961</v>
      </c>
      <c r="D1312" s="350">
        <f t="shared" si="1323"/>
        <v>0.20394999999999278</v>
      </c>
      <c r="E1312" s="359" cm="1">
        <f t="array" ref="E1312">1000*SUM('DRE + DCF'!$L$36/M1312,'DRE + DCF'!$N$36:$V$36/N1312:V1312,F1312/V1312)/Dashboard!$F$11</f>
        <v>100.0967248703196</v>
      </c>
      <c r="F1312" s="359">
        <f t="shared" si="1321"/>
        <v>13904320.623443544</v>
      </c>
      <c r="G1312" s="359">
        <f>'DRE + DCF'!$W$31</f>
        <v>2791623.3540418856</v>
      </c>
      <c r="H1312" s="359">
        <f>'DRE + DCF'!$W$32</f>
        <v>81081.931703745853</v>
      </c>
      <c r="I1312" s="359">
        <f>-H1312*('DRE + DCF'!$V$33+K1312)/'DRE + DCF'!$V$33</f>
        <v>-90858.801614444121</v>
      </c>
      <c r="J1312" s="359">
        <f>-'DRE + DCF'!$V$56*L1312</f>
        <v>-1188924.4255577971</v>
      </c>
      <c r="K1312" s="360">
        <f>(1+L1312)/(1+Ke!$O$12)-1</f>
        <v>2.0000000000000018E-2</v>
      </c>
      <c r="L1312" s="360">
        <f>'DRE + DCF'!$Y$31</f>
        <v>7.3550000000000004E-2</v>
      </c>
      <c r="M1312" s="361">
        <f>(1+D1312)^((5-Dashboard!$F$9)*3/12)</f>
        <v>1.1493606868790021</v>
      </c>
      <c r="N1312" s="361">
        <f t="shared" ref="N1312:V1312" si="1341">M1312*(1+$D1312)</f>
        <v>1.3837727989679662</v>
      </c>
      <c r="O1312" s="361">
        <f t="shared" si="1341"/>
        <v>1.6659932613174728</v>
      </c>
      <c r="P1312" s="361">
        <f t="shared" si="1341"/>
        <v>2.0057725869631593</v>
      </c>
      <c r="Q1312" s="361">
        <f t="shared" si="1341"/>
        <v>2.4148499060742812</v>
      </c>
      <c r="R1312" s="361">
        <f t="shared" si="1341"/>
        <v>2.9073585444181131</v>
      </c>
      <c r="S1312" s="361">
        <f t="shared" si="1341"/>
        <v>3.5003143195521664</v>
      </c>
      <c r="T1312" s="361">
        <f t="shared" si="1341"/>
        <v>4.214203425024805</v>
      </c>
      <c r="U1312" s="361">
        <f t="shared" si="1341"/>
        <v>5.0736902135585833</v>
      </c>
      <c r="V1312" s="362">
        <f t="shared" si="1341"/>
        <v>6.1084693326138195</v>
      </c>
      <c r="X1312" s="351"/>
    </row>
    <row r="1313" spans="3:24" ht="24.75" customHeight="1" x14ac:dyDescent="0.3">
      <c r="C1313" s="353">
        <f>ABS(E1313-Dashboard!$F$14)</f>
        <v>3.0242314645856396</v>
      </c>
      <c r="D1313" s="350">
        <f t="shared" si="1323"/>
        <v>0.20404999999999276</v>
      </c>
      <c r="E1313" s="359" cm="1">
        <f t="array" ref="E1313">1000*SUM('DRE + DCF'!$L$36/M1313,'DRE + DCF'!$N$36:$V$36/N1313:V1313,F1313/V1313)/Dashboard!$F$11</f>
        <v>100.01423146458563</v>
      </c>
      <c r="F1313" s="359">
        <f t="shared" si="1321"/>
        <v>13895695.340335846</v>
      </c>
      <c r="G1313" s="359">
        <f>'DRE + DCF'!$W$31</f>
        <v>2791623.3540418856</v>
      </c>
      <c r="H1313" s="359">
        <f>'DRE + DCF'!$W$32</f>
        <v>81081.931703745853</v>
      </c>
      <c r="I1313" s="359">
        <f>-H1313*('DRE + DCF'!$V$33+K1313)/'DRE + DCF'!$V$33</f>
        <v>-90858.801614444121</v>
      </c>
      <c r="J1313" s="359">
        <f>-'DRE + DCF'!$V$56*L1313</f>
        <v>-1188924.4255577971</v>
      </c>
      <c r="K1313" s="360">
        <f>(1+L1313)/(1+Ke!$O$12)-1</f>
        <v>2.0000000000000018E-2</v>
      </c>
      <c r="L1313" s="360">
        <f>'DRE + DCF'!$Y$31</f>
        <v>7.3550000000000004E-2</v>
      </c>
      <c r="M1313" s="361">
        <f>(1+D1313)^((5-Dashboard!$F$9)*3/12)</f>
        <v>1.1494322854973458</v>
      </c>
      <c r="N1313" s="361">
        <f t="shared" ref="N1313:V1313" si="1342">M1313*(1+$D1313)</f>
        <v>1.3839739433530709</v>
      </c>
      <c r="O1313" s="361">
        <f t="shared" si="1342"/>
        <v>1.6663738264942549</v>
      </c>
      <c r="P1313" s="361">
        <f t="shared" si="1342"/>
        <v>2.0063974057903957</v>
      </c>
      <c r="Q1313" s="361">
        <f t="shared" si="1342"/>
        <v>2.4158027964419113</v>
      </c>
      <c r="R1313" s="361">
        <f t="shared" si="1342"/>
        <v>2.9087473570558657</v>
      </c>
      <c r="S1313" s="361">
        <f t="shared" si="1342"/>
        <v>3.5022772552630941</v>
      </c>
      <c r="T1313" s="361">
        <f t="shared" si="1342"/>
        <v>4.2169169291995026</v>
      </c>
      <c r="U1313" s="361">
        <f t="shared" si="1342"/>
        <v>5.0773788286026305</v>
      </c>
      <c r="V1313" s="362">
        <f t="shared" si="1342"/>
        <v>6.1134179785789602</v>
      </c>
      <c r="X1313" s="351"/>
    </row>
    <row r="1314" spans="3:24" ht="24.75" customHeight="1" x14ac:dyDescent="0.3">
      <c r="C1314" s="353">
        <f>ABS(E1314-Dashboard!$F$14)</f>
        <v>2.9418559934819939</v>
      </c>
      <c r="D1314" s="350">
        <f t="shared" si="1323"/>
        <v>0.20414999999999275</v>
      </c>
      <c r="E1314" s="359" cm="1">
        <f t="array" ref="E1314">1000*SUM('DRE + DCF'!$L$36/M1314,'DRE + DCF'!$N$36:$V$36/N1314:V1314,F1314/V1314)/Dashboard!$F$11</f>
        <v>99.931855993481989</v>
      </c>
      <c r="F1314" s="359">
        <f t="shared" si="1321"/>
        <v>13887081.2793382</v>
      </c>
      <c r="G1314" s="359">
        <f>'DRE + DCF'!$W$31</f>
        <v>2791623.3540418856</v>
      </c>
      <c r="H1314" s="359">
        <f>'DRE + DCF'!$W$32</f>
        <v>81081.931703745853</v>
      </c>
      <c r="I1314" s="359">
        <f>-H1314*('DRE + DCF'!$V$33+K1314)/'DRE + DCF'!$V$33</f>
        <v>-90858.801614444121</v>
      </c>
      <c r="J1314" s="359">
        <f>-'DRE + DCF'!$V$56*L1314</f>
        <v>-1188924.4255577971</v>
      </c>
      <c r="K1314" s="360">
        <f>(1+L1314)/(1+Ke!$O$12)-1</f>
        <v>2.0000000000000018E-2</v>
      </c>
      <c r="L1314" s="360">
        <f>'DRE + DCF'!$Y$31</f>
        <v>7.3550000000000004E-2</v>
      </c>
      <c r="M1314" s="361">
        <f>(1+D1314)^((5-Dashboard!$F$9)*3/12)</f>
        <v>1.1495038826290844</v>
      </c>
      <c r="N1314" s="361">
        <f t="shared" ref="N1314:V1314" si="1343">M1314*(1+$D1314)</f>
        <v>1.3841751002678035</v>
      </c>
      <c r="O1314" s="361">
        <f t="shared" si="1343"/>
        <v>1.6667544469874656</v>
      </c>
      <c r="P1314" s="361">
        <f t="shared" si="1343"/>
        <v>2.0070223673399443</v>
      </c>
      <c r="Q1314" s="361">
        <f t="shared" si="1343"/>
        <v>2.4167559836323793</v>
      </c>
      <c r="R1314" s="361">
        <f t="shared" si="1343"/>
        <v>2.9101367176909121</v>
      </c>
      <c r="S1314" s="361">
        <f t="shared" si="1343"/>
        <v>3.5042411286074908</v>
      </c>
      <c r="T1314" s="361">
        <f t="shared" si="1343"/>
        <v>4.2196319550126846</v>
      </c>
      <c r="U1314" s="361">
        <f t="shared" si="1343"/>
        <v>5.0810698186284933</v>
      </c>
      <c r="V1314" s="362">
        <f t="shared" si="1343"/>
        <v>6.1183702221014631</v>
      </c>
      <c r="X1314" s="351"/>
    </row>
    <row r="1315" spans="3:24" ht="24.75" customHeight="1" x14ac:dyDescent="0.3">
      <c r="C1315" s="353">
        <f>ABS(E1315-Dashboard!$F$14)</f>
        <v>2.8595982162780729</v>
      </c>
      <c r="D1315" s="350">
        <f t="shared" si="1323"/>
        <v>0.20424999999999274</v>
      </c>
      <c r="E1315" s="359" cm="1">
        <f t="array" ref="E1315">1000*SUM('DRE + DCF'!$L$36/M1315,'DRE + DCF'!$N$36:$V$36/N1315:V1315,F1315/V1315)/Dashboard!$F$11</f>
        <v>99.849598216278068</v>
      </c>
      <c r="F1315" s="359">
        <f t="shared" si="1321"/>
        <v>13878478.417607777</v>
      </c>
      <c r="G1315" s="359">
        <f>'DRE + DCF'!$W$31</f>
        <v>2791623.3540418856</v>
      </c>
      <c r="H1315" s="359">
        <f>'DRE + DCF'!$W$32</f>
        <v>81081.931703745853</v>
      </c>
      <c r="I1315" s="359">
        <f>-H1315*('DRE + DCF'!$V$33+K1315)/'DRE + DCF'!$V$33</f>
        <v>-90858.801614444121</v>
      </c>
      <c r="J1315" s="359">
        <f>-'DRE + DCF'!$V$56*L1315</f>
        <v>-1188924.4255577971</v>
      </c>
      <c r="K1315" s="360">
        <f>(1+L1315)/(1+Ke!$O$12)-1</f>
        <v>2.0000000000000018E-2</v>
      </c>
      <c r="L1315" s="360">
        <f>'DRE + DCF'!$Y$31</f>
        <v>7.3550000000000004E-2</v>
      </c>
      <c r="M1315" s="361">
        <f>(1+D1315)^((5-Dashboard!$F$9)*3/12)</f>
        <v>1.1495754782743721</v>
      </c>
      <c r="N1315" s="361">
        <f t="shared" ref="N1315:V1315" si="1344">M1315*(1+$D1315)</f>
        <v>1.3843762697119042</v>
      </c>
      <c r="O1315" s="361">
        <f t="shared" si="1344"/>
        <v>1.6671351228005507</v>
      </c>
      <c r="P1315" s="361">
        <f t="shared" si="1344"/>
        <v>2.0076474716325512</v>
      </c>
      <c r="Q1315" s="361">
        <f t="shared" si="1344"/>
        <v>2.4177094677134852</v>
      </c>
      <c r="R1315" s="361">
        <f t="shared" si="1344"/>
        <v>2.9115266264939468</v>
      </c>
      <c r="S1315" s="361">
        <f t="shared" si="1344"/>
        <v>3.506205939955314</v>
      </c>
      <c r="T1315" s="361">
        <f t="shared" si="1344"/>
        <v>4.2223485031911618</v>
      </c>
      <c r="U1315" s="361">
        <f t="shared" si="1344"/>
        <v>5.084763184967926</v>
      </c>
      <c r="V1315" s="362">
        <f t="shared" si="1344"/>
        <v>6.1233260654975883</v>
      </c>
      <c r="X1315" s="351"/>
    </row>
    <row r="1316" spans="3:24" ht="24.75" customHeight="1" x14ac:dyDescent="0.3">
      <c r="C1316" s="353">
        <f>ABS(E1316-Dashboard!$F$14)</f>
        <v>2.7774578928986955</v>
      </c>
      <c r="D1316" s="350">
        <f t="shared" si="1323"/>
        <v>0.20434999999999273</v>
      </c>
      <c r="E1316" s="359" cm="1">
        <f t="array" ref="E1316">1000*SUM('DRE + DCF'!$L$36/M1316,'DRE + DCF'!$N$36:$V$36/N1316:V1316,F1316/V1316)/Dashboard!$F$11</f>
        <v>99.76745789289869</v>
      </c>
      <c r="F1316" s="359">
        <f t="shared" si="1321"/>
        <v>13869886.732365904</v>
      </c>
      <c r="G1316" s="359">
        <f>'DRE + DCF'!$W$31</f>
        <v>2791623.3540418856</v>
      </c>
      <c r="H1316" s="359">
        <f>'DRE + DCF'!$W$32</f>
        <v>81081.931703745853</v>
      </c>
      <c r="I1316" s="359">
        <f>-H1316*('DRE + DCF'!$V$33+K1316)/'DRE + DCF'!$V$33</f>
        <v>-90858.801614444121</v>
      </c>
      <c r="J1316" s="359">
        <f>-'DRE + DCF'!$V$56*L1316</f>
        <v>-1188924.4255577971</v>
      </c>
      <c r="K1316" s="360">
        <f>(1+L1316)/(1+Ke!$O$12)-1</f>
        <v>2.0000000000000018E-2</v>
      </c>
      <c r="L1316" s="360">
        <f>'DRE + DCF'!$Y$31</f>
        <v>7.3550000000000004E-2</v>
      </c>
      <c r="M1316" s="361">
        <f>(1+D1316)^((5-Dashboard!$F$9)*3/12)</f>
        <v>1.1496470724333634</v>
      </c>
      <c r="N1316" s="361">
        <f t="shared" ref="N1316:V1316" si="1345">M1316*(1+$D1316)</f>
        <v>1.3845774516851128</v>
      </c>
      <c r="O1316" s="361">
        <f t="shared" si="1345"/>
        <v>1.6675158539369555</v>
      </c>
      <c r="P1316" s="361">
        <f t="shared" si="1345"/>
        <v>2.0082727186889602</v>
      </c>
      <c r="Q1316" s="361">
        <f t="shared" si="1345"/>
        <v>2.4186632487530346</v>
      </c>
      <c r="R1316" s="361">
        <f t="shared" si="1345"/>
        <v>2.9129170836356995</v>
      </c>
      <c r="S1316" s="361">
        <f t="shared" si="1345"/>
        <v>3.5081716896766335</v>
      </c>
      <c r="T1316" s="361">
        <f t="shared" si="1345"/>
        <v>4.2250665744620282</v>
      </c>
      <c r="U1316" s="361">
        <f t="shared" si="1345"/>
        <v>5.0884589289533126</v>
      </c>
      <c r="V1316" s="362">
        <f t="shared" si="1345"/>
        <v>6.1282855110848846</v>
      </c>
      <c r="X1316" s="351"/>
    </row>
    <row r="1317" spans="3:24" ht="24.75" customHeight="1" x14ac:dyDescent="0.3">
      <c r="C1317" s="353">
        <f>ABS(E1317-Dashboard!$F$14)</f>
        <v>2.6954347839217974</v>
      </c>
      <c r="D1317" s="350">
        <f t="shared" si="1323"/>
        <v>0.20444999999999272</v>
      </c>
      <c r="E1317" s="359" cm="1">
        <f t="array" ref="E1317">1000*SUM('DRE + DCF'!$L$36/M1317,'DRE + DCF'!$N$36:$V$36/N1317:V1317,F1317/V1317)/Dashboard!$F$11</f>
        <v>99.685434783921792</v>
      </c>
      <c r="F1317" s="359">
        <f t="shared" si="1321"/>
        <v>13861306.200897835</v>
      </c>
      <c r="G1317" s="359">
        <f>'DRE + DCF'!$W$31</f>
        <v>2791623.3540418856</v>
      </c>
      <c r="H1317" s="359">
        <f>'DRE + DCF'!$W$32</f>
        <v>81081.931703745853</v>
      </c>
      <c r="I1317" s="359">
        <f>-H1317*('DRE + DCF'!$V$33+K1317)/'DRE + DCF'!$V$33</f>
        <v>-90858.801614444121</v>
      </c>
      <c r="J1317" s="359">
        <f>-'DRE + DCF'!$V$56*L1317</f>
        <v>-1188924.4255577971</v>
      </c>
      <c r="K1317" s="360">
        <f>(1+L1317)/(1+Ke!$O$12)-1</f>
        <v>2.0000000000000018E-2</v>
      </c>
      <c r="L1317" s="360">
        <f>'DRE + DCF'!$Y$31</f>
        <v>7.3550000000000004E-2</v>
      </c>
      <c r="M1317" s="361">
        <f>(1+D1317)^((5-Dashboard!$F$9)*3/12)</f>
        <v>1.1497186651062126</v>
      </c>
      <c r="N1317" s="361">
        <f t="shared" ref="N1317:V1317" si="1346">M1317*(1+$D1317)</f>
        <v>1.3847786461871694</v>
      </c>
      <c r="O1317" s="361">
        <f t="shared" si="1346"/>
        <v>1.6678966404001261</v>
      </c>
      <c r="P1317" s="361">
        <f t="shared" si="1346"/>
        <v>2.0088981085299196</v>
      </c>
      <c r="Q1317" s="361">
        <f t="shared" si="1346"/>
        <v>2.4196173268188468</v>
      </c>
      <c r="R1317" s="361">
        <f t="shared" si="1346"/>
        <v>2.9143080892869424</v>
      </c>
      <c r="S1317" s="361">
        <f t="shared" si="1346"/>
        <v>3.5101383781416367</v>
      </c>
      <c r="T1317" s="361">
        <f t="shared" si="1346"/>
        <v>4.2277861695526688</v>
      </c>
      <c r="U1317" s="361">
        <f t="shared" si="1346"/>
        <v>5.0921570519176811</v>
      </c>
      <c r="V1317" s="362">
        <f t="shared" si="1346"/>
        <v>6.1332485611822136</v>
      </c>
      <c r="X1317" s="351"/>
    </row>
    <row r="1318" spans="3:24" ht="24.75" customHeight="1" x14ac:dyDescent="0.3">
      <c r="C1318" s="353">
        <f>ABS(E1318-Dashboard!$F$14)</f>
        <v>2.6135286505762707</v>
      </c>
      <c r="D1318" s="350">
        <f t="shared" si="1323"/>
        <v>0.20454999999999271</v>
      </c>
      <c r="E1318" s="359" cm="1">
        <f t="array" ref="E1318">1000*SUM('DRE + DCF'!$L$36/M1318,'DRE + DCF'!$N$36:$V$36/N1318:V1318,F1318/V1318)/Dashboard!$F$11</f>
        <v>99.603528650576266</v>
      </c>
      <c r="F1318" s="359">
        <f t="shared" si="1321"/>
        <v>13852736.800552506</v>
      </c>
      <c r="G1318" s="359">
        <f>'DRE + DCF'!$W$31</f>
        <v>2791623.3540418856</v>
      </c>
      <c r="H1318" s="359">
        <f>'DRE + DCF'!$W$32</f>
        <v>81081.931703745853</v>
      </c>
      <c r="I1318" s="359">
        <f>-H1318*('DRE + DCF'!$V$33+K1318)/'DRE + DCF'!$V$33</f>
        <v>-90858.801614444121</v>
      </c>
      <c r="J1318" s="359">
        <f>-'DRE + DCF'!$V$56*L1318</f>
        <v>-1188924.4255577971</v>
      </c>
      <c r="K1318" s="360">
        <f>(1+L1318)/(1+Ke!$O$12)-1</f>
        <v>2.0000000000000018E-2</v>
      </c>
      <c r="L1318" s="360">
        <f>'DRE + DCF'!$Y$31</f>
        <v>7.3550000000000004E-2</v>
      </c>
      <c r="M1318" s="361">
        <f>(1+D1318)^((5-Dashboard!$F$9)*3/12)</f>
        <v>1.1497902562930735</v>
      </c>
      <c r="N1318" s="361">
        <f t="shared" ref="N1318:V1318" si="1347">M1318*(1+$D1318)</f>
        <v>1.3849798532178133</v>
      </c>
      <c r="O1318" s="361">
        <f t="shared" si="1347"/>
        <v>1.6682774821935069</v>
      </c>
      <c r="P1318" s="361">
        <f t="shared" si="1347"/>
        <v>2.0095236411761763</v>
      </c>
      <c r="Q1318" s="361">
        <f t="shared" si="1347"/>
        <v>2.4205717019787483</v>
      </c>
      <c r="R1318" s="361">
        <f t="shared" si="1347"/>
        <v>2.9156996436184834</v>
      </c>
      <c r="S1318" s="361">
        <f t="shared" si="1347"/>
        <v>3.5121060057206228</v>
      </c>
      <c r="T1318" s="361">
        <f t="shared" si="1347"/>
        <v>4.2305072891907507</v>
      </c>
      <c r="U1318" s="361">
        <f t="shared" si="1347"/>
        <v>5.0958575551946881</v>
      </c>
      <c r="V1318" s="362">
        <f t="shared" si="1347"/>
        <v>6.1382152181097238</v>
      </c>
      <c r="X1318" s="351"/>
    </row>
    <row r="1319" spans="3:24" ht="24.75" customHeight="1" x14ac:dyDescent="0.3">
      <c r="C1319" s="353">
        <f>ABS(E1319-Dashboard!$F$14)</f>
        <v>2.5317392547395627</v>
      </c>
      <c r="D1319" s="350">
        <f t="shared" si="1323"/>
        <v>0.2046499999999927</v>
      </c>
      <c r="E1319" s="359" cm="1">
        <f t="array" ref="E1319">1000*SUM('DRE + DCF'!$L$36/M1319,'DRE + DCF'!$N$36:$V$36/N1319:V1319,F1319/V1319)/Dashboard!$F$11</f>
        <v>99.521739254739558</v>
      </c>
      <c r="F1319" s="359">
        <f t="shared" si="1321"/>
        <v>13844178.508742323</v>
      </c>
      <c r="G1319" s="359">
        <f>'DRE + DCF'!$W$31</f>
        <v>2791623.3540418856</v>
      </c>
      <c r="H1319" s="359">
        <f>'DRE + DCF'!$W$32</f>
        <v>81081.931703745853</v>
      </c>
      <c r="I1319" s="359">
        <f>-H1319*('DRE + DCF'!$V$33+K1319)/'DRE + DCF'!$V$33</f>
        <v>-90858.801614444121</v>
      </c>
      <c r="J1319" s="359">
        <f>-'DRE + DCF'!$V$56*L1319</f>
        <v>-1188924.4255577971</v>
      </c>
      <c r="K1319" s="360">
        <f>(1+L1319)/(1+Ke!$O$12)-1</f>
        <v>2.0000000000000018E-2</v>
      </c>
      <c r="L1319" s="360">
        <f>'DRE + DCF'!$Y$31</f>
        <v>7.3550000000000004E-2</v>
      </c>
      <c r="M1319" s="361">
        <f>(1+D1319)^((5-Dashboard!$F$9)*3/12)</f>
        <v>1.1498618459941008</v>
      </c>
      <c r="N1319" s="361">
        <f t="shared" ref="N1319:V1319" si="1348">M1319*(1+$D1319)</f>
        <v>1.385181072776785</v>
      </c>
      <c r="O1319" s="361">
        <f t="shared" si="1348"/>
        <v>1.6686583793205438</v>
      </c>
      <c r="P1319" s="361">
        <f t="shared" si="1348"/>
        <v>2.010149316648481</v>
      </c>
      <c r="Q1319" s="361">
        <f t="shared" si="1348"/>
        <v>2.4215263743005777</v>
      </c>
      <c r="R1319" s="361">
        <f t="shared" si="1348"/>
        <v>2.917091746801173</v>
      </c>
      <c r="S1319" s="361">
        <f t="shared" si="1348"/>
        <v>3.5140745727840117</v>
      </c>
      <c r="T1319" s="361">
        <f t="shared" si="1348"/>
        <v>4.2332299341042336</v>
      </c>
      <c r="U1319" s="361">
        <f t="shared" si="1348"/>
        <v>5.0995604401186343</v>
      </c>
      <c r="V1319" s="362">
        <f t="shared" si="1348"/>
        <v>6.1431854841888756</v>
      </c>
      <c r="X1319" s="351"/>
    </row>
    <row r="1320" spans="3:24" ht="24.75" customHeight="1" x14ac:dyDescent="0.3">
      <c r="C1320" s="353">
        <f>ABS(E1320-Dashboard!$F$14)</f>
        <v>2.4500663589355014</v>
      </c>
      <c r="D1320" s="350">
        <f t="shared" si="1323"/>
        <v>0.20474999999999269</v>
      </c>
      <c r="E1320" s="359" cm="1">
        <f t="array" ref="E1320">1000*SUM('DRE + DCF'!$L$36/M1320,'DRE + DCF'!$N$36:$V$36/N1320:V1320,F1320/V1320)/Dashboard!$F$11</f>
        <v>99.440066358935496</v>
      </c>
      <c r="F1320" s="359">
        <f t="shared" si="1321"/>
        <v>13835631.302942924</v>
      </c>
      <c r="G1320" s="359">
        <f>'DRE + DCF'!$W$31</f>
        <v>2791623.3540418856</v>
      </c>
      <c r="H1320" s="359">
        <f>'DRE + DCF'!$W$32</f>
        <v>81081.931703745853</v>
      </c>
      <c r="I1320" s="359">
        <f>-H1320*('DRE + DCF'!$V$33+K1320)/'DRE + DCF'!$V$33</f>
        <v>-90858.801614444121</v>
      </c>
      <c r="J1320" s="359">
        <f>-'DRE + DCF'!$V$56*L1320</f>
        <v>-1188924.4255577971</v>
      </c>
      <c r="K1320" s="360">
        <f>(1+L1320)/(1+Ke!$O$12)-1</f>
        <v>2.0000000000000018E-2</v>
      </c>
      <c r="L1320" s="360">
        <f>'DRE + DCF'!$Y$31</f>
        <v>7.3550000000000004E-2</v>
      </c>
      <c r="M1320" s="361">
        <f>(1+D1320)^((5-Dashboard!$F$9)*3/12)</f>
        <v>1.1499334342094483</v>
      </c>
      <c r="N1320" s="361">
        <f t="shared" ref="N1320:V1320" si="1349">M1320*(1+$D1320)</f>
        <v>1.3853823048638243</v>
      </c>
      <c r="O1320" s="361">
        <f t="shared" si="1349"/>
        <v>1.6690393317846821</v>
      </c>
      <c r="P1320" s="361">
        <f t="shared" si="1349"/>
        <v>2.0107751349675835</v>
      </c>
      <c r="Q1320" s="361">
        <f t="shared" si="1349"/>
        <v>2.4224813438521817</v>
      </c>
      <c r="R1320" s="361">
        <f t="shared" si="1349"/>
        <v>2.918484399005898</v>
      </c>
      <c r="S1320" s="361">
        <f t="shared" si="1349"/>
        <v>3.516044079702334</v>
      </c>
      <c r="T1320" s="361">
        <f t="shared" si="1349"/>
        <v>4.2359541050213609</v>
      </c>
      <c r="U1320" s="361">
        <f t="shared" si="1349"/>
        <v>5.1032657080244537</v>
      </c>
      <c r="V1320" s="362">
        <f t="shared" si="1349"/>
        <v>6.1481593617424233</v>
      </c>
      <c r="X1320" s="351"/>
    </row>
    <row r="1321" spans="3:24" ht="24.75" customHeight="1" x14ac:dyDescent="0.3">
      <c r="C1321" s="353">
        <f>ABS(E1321-Dashboard!$F$14)</f>
        <v>2.3685097263320927</v>
      </c>
      <c r="D1321" s="350">
        <f t="shared" si="1323"/>
        <v>0.20484999999999268</v>
      </c>
      <c r="E1321" s="359" cm="1">
        <f t="array" ref="E1321">1000*SUM('DRE + DCF'!$L$36/M1321,'DRE + DCF'!$N$36:$V$36/N1321:V1321,F1321/V1321)/Dashboard!$F$11</f>
        <v>99.358509726332088</v>
      </c>
      <c r="F1321" s="359">
        <f t="shared" si="1321"/>
        <v>13827095.160692953</v>
      </c>
      <c r="G1321" s="359">
        <f>'DRE + DCF'!$W$31</f>
        <v>2791623.3540418856</v>
      </c>
      <c r="H1321" s="359">
        <f>'DRE + DCF'!$W$32</f>
        <v>81081.931703745853</v>
      </c>
      <c r="I1321" s="359">
        <f>-H1321*('DRE + DCF'!$V$33+K1321)/'DRE + DCF'!$V$33</f>
        <v>-90858.801614444121</v>
      </c>
      <c r="J1321" s="359">
        <f>-'DRE + DCF'!$V$56*L1321</f>
        <v>-1188924.4255577971</v>
      </c>
      <c r="K1321" s="360">
        <f>(1+L1321)/(1+Ke!$O$12)-1</f>
        <v>2.0000000000000018E-2</v>
      </c>
      <c r="L1321" s="360">
        <f>'DRE + DCF'!$Y$31</f>
        <v>7.3550000000000004E-2</v>
      </c>
      <c r="M1321" s="361">
        <f>(1+D1321)^((5-Dashboard!$F$9)*3/12)</f>
        <v>1.1500050209392705</v>
      </c>
      <c r="N1321" s="361">
        <f t="shared" ref="N1321:V1321" si="1350">M1321*(1+$D1321)</f>
        <v>1.3855835494786717</v>
      </c>
      <c r="O1321" s="361">
        <f t="shared" si="1350"/>
        <v>1.6694203395893674</v>
      </c>
      <c r="P1321" s="361">
        <f t="shared" si="1350"/>
        <v>2.0114010961542372</v>
      </c>
      <c r="Q1321" s="361">
        <f t="shared" si="1350"/>
        <v>2.423436610701418</v>
      </c>
      <c r="R1321" s="361">
        <f t="shared" si="1350"/>
        <v>2.9198776004035856</v>
      </c>
      <c r="S1321" s="361">
        <f t="shared" si="1350"/>
        <v>3.5180145268462386</v>
      </c>
      <c r="T1321" s="361">
        <f t="shared" si="1350"/>
        <v>4.2386798026706645</v>
      </c>
      <c r="U1321" s="361">
        <f t="shared" si="1350"/>
        <v>5.1069733602477188</v>
      </c>
      <c r="V1321" s="362">
        <f t="shared" si="1350"/>
        <v>6.1531368530944262</v>
      </c>
      <c r="X1321" s="351"/>
    </row>
    <row r="1322" spans="3:24" ht="24.75" customHeight="1" x14ac:dyDescent="0.3">
      <c r="C1322" s="353">
        <f>ABS(E1322-Dashboard!$F$14)</f>
        <v>2.2870691207392326</v>
      </c>
      <c r="D1322" s="350">
        <f t="shared" si="1323"/>
        <v>0.20494999999999267</v>
      </c>
      <c r="E1322" s="359" cm="1">
        <f t="array" ref="E1322">1000*SUM('DRE + DCF'!$L$36/M1322,'DRE + DCF'!$N$36:$V$36/N1322:V1322,F1322/V1322)/Dashboard!$F$11</f>
        <v>99.277069120739228</v>
      </c>
      <c r="F1322" s="359">
        <f t="shared" si="1321"/>
        <v>13818570.05959384</v>
      </c>
      <c r="G1322" s="359">
        <f>'DRE + DCF'!$W$31</f>
        <v>2791623.3540418856</v>
      </c>
      <c r="H1322" s="359">
        <f>'DRE + DCF'!$W$32</f>
        <v>81081.931703745853</v>
      </c>
      <c r="I1322" s="359">
        <f>-H1322*('DRE + DCF'!$V$33+K1322)/'DRE + DCF'!$V$33</f>
        <v>-90858.801614444121</v>
      </c>
      <c r="J1322" s="359">
        <f>-'DRE + DCF'!$V$56*L1322</f>
        <v>-1188924.4255577971</v>
      </c>
      <c r="K1322" s="360">
        <f>(1+L1322)/(1+Ke!$O$12)-1</f>
        <v>2.0000000000000018E-2</v>
      </c>
      <c r="L1322" s="360">
        <f>'DRE + DCF'!$Y$31</f>
        <v>7.3550000000000004E-2</v>
      </c>
      <c r="M1322" s="361">
        <f>(1+D1322)^((5-Dashboard!$F$9)*3/12)</f>
        <v>1.1500766061837213</v>
      </c>
      <c r="N1322" s="361">
        <f t="shared" ref="N1322:V1322" si="1351">M1322*(1+$D1322)</f>
        <v>1.3857848066210665</v>
      </c>
      <c r="O1322" s="361">
        <f t="shared" si="1351"/>
        <v>1.6698014027380439</v>
      </c>
      <c r="P1322" s="361">
        <f t="shared" si="1351"/>
        <v>2.0120272002291939</v>
      </c>
      <c r="Q1322" s="361">
        <f t="shared" si="1351"/>
        <v>2.4243921749161523</v>
      </c>
      <c r="R1322" s="361">
        <f t="shared" si="1351"/>
        <v>2.9212713511652</v>
      </c>
      <c r="S1322" s="361">
        <f t="shared" si="1351"/>
        <v>3.5199859145864862</v>
      </c>
      <c r="T1322" s="361">
        <f t="shared" si="1351"/>
        <v>4.2414070277809603</v>
      </c>
      <c r="U1322" s="361">
        <f t="shared" si="1351"/>
        <v>5.1106833981246371</v>
      </c>
      <c r="V1322" s="362">
        <f t="shared" si="1351"/>
        <v>6.1581179605702436</v>
      </c>
      <c r="X1322" s="351"/>
    </row>
    <row r="1323" spans="3:24" ht="24.75" customHeight="1" x14ac:dyDescent="0.3">
      <c r="C1323" s="353">
        <f>ABS(E1323-Dashboard!$F$14)</f>
        <v>2.205744306606519</v>
      </c>
      <c r="D1323" s="350">
        <f t="shared" si="1323"/>
        <v>0.20504999999999265</v>
      </c>
      <c r="E1323" s="359" cm="1">
        <f t="array" ref="E1323">1000*SUM('DRE + DCF'!$L$36/M1323,'DRE + DCF'!$N$36:$V$36/N1323:V1323,F1323/V1323)/Dashboard!$F$11</f>
        <v>99.195744306606514</v>
      </c>
      <c r="F1323" s="359">
        <f t="shared" si="1321"/>
        <v>13810055.977309566</v>
      </c>
      <c r="G1323" s="359">
        <f>'DRE + DCF'!$W$31</f>
        <v>2791623.3540418856</v>
      </c>
      <c r="H1323" s="359">
        <f>'DRE + DCF'!$W$32</f>
        <v>81081.931703745853</v>
      </c>
      <c r="I1323" s="359">
        <f>-H1323*('DRE + DCF'!$V$33+K1323)/'DRE + DCF'!$V$33</f>
        <v>-90858.801614444121</v>
      </c>
      <c r="J1323" s="359">
        <f>-'DRE + DCF'!$V$56*L1323</f>
        <v>-1188924.4255577971</v>
      </c>
      <c r="K1323" s="360">
        <f>(1+L1323)/(1+Ke!$O$12)-1</f>
        <v>2.0000000000000018E-2</v>
      </c>
      <c r="L1323" s="360">
        <f>'DRE + DCF'!$Y$31</f>
        <v>7.3550000000000004E-2</v>
      </c>
      <c r="M1323" s="361">
        <f>(1+D1323)^((5-Dashboard!$F$9)*3/12)</f>
        <v>1.1501481899429549</v>
      </c>
      <c r="N1323" s="361">
        <f t="shared" ref="N1323:V1323" si="1352">M1323*(1+$D1323)</f>
        <v>1.3859860762907492</v>
      </c>
      <c r="O1323" s="361">
        <f t="shared" si="1352"/>
        <v>1.6701825212341572</v>
      </c>
      <c r="P1323" s="361">
        <f t="shared" si="1352"/>
        <v>2.0126534472132089</v>
      </c>
      <c r="Q1323" s="361">
        <f t="shared" si="1352"/>
        <v>2.4253480365642628</v>
      </c>
      <c r="R1323" s="361">
        <f t="shared" si="1352"/>
        <v>2.9226656514617471</v>
      </c>
      <c r="S1323" s="361">
        <f t="shared" si="1352"/>
        <v>3.5219582432939567</v>
      </c>
      <c r="T1323" s="361">
        <f t="shared" si="1352"/>
        <v>4.2441357810813569</v>
      </c>
      <c r="U1323" s="361">
        <f t="shared" si="1352"/>
        <v>5.1143958229920576</v>
      </c>
      <c r="V1323" s="362">
        <f t="shared" si="1352"/>
        <v>6.1631026864965417</v>
      </c>
      <c r="X1323" s="351"/>
    </row>
    <row r="1324" spans="3:24" ht="24.75" customHeight="1" x14ac:dyDescent="0.3">
      <c r="C1324" s="353">
        <f>ABS(E1324-Dashboard!$F$14)</f>
        <v>2.1245350490210058</v>
      </c>
      <c r="D1324" s="350">
        <f t="shared" si="1323"/>
        <v>0.20514999999999264</v>
      </c>
      <c r="E1324" s="359" cm="1">
        <f t="array" ref="E1324">1000*SUM('DRE + DCF'!$L$36/M1324,'DRE + DCF'!$N$36:$V$36/N1324:V1324,F1324/V1324)/Dashboard!$F$11</f>
        <v>99.114535049021001</v>
      </c>
      <c r="F1324" s="359">
        <f t="shared" si="1321"/>
        <v>13801552.891566444</v>
      </c>
      <c r="G1324" s="359">
        <f>'DRE + DCF'!$W$31</f>
        <v>2791623.3540418856</v>
      </c>
      <c r="H1324" s="359">
        <f>'DRE + DCF'!$W$32</f>
        <v>81081.931703745853</v>
      </c>
      <c r="I1324" s="359">
        <f>-H1324*('DRE + DCF'!$V$33+K1324)/'DRE + DCF'!$V$33</f>
        <v>-90858.801614444121</v>
      </c>
      <c r="J1324" s="359">
        <f>-'DRE + DCF'!$V$56*L1324</f>
        <v>-1188924.4255577971</v>
      </c>
      <c r="K1324" s="360">
        <f>(1+L1324)/(1+Ke!$O$12)-1</f>
        <v>2.0000000000000018E-2</v>
      </c>
      <c r="L1324" s="360">
        <f>'DRE + DCF'!$Y$31</f>
        <v>7.3550000000000004E-2</v>
      </c>
      <c r="M1324" s="361">
        <f>(1+D1324)^((5-Dashboard!$F$9)*3/12)</f>
        <v>1.1502197722171252</v>
      </c>
      <c r="N1324" s="361">
        <f t="shared" ref="N1324:V1324" si="1353">M1324*(1+$D1324)</f>
        <v>1.38618735848746</v>
      </c>
      <c r="O1324" s="361">
        <f t="shared" si="1353"/>
        <v>1.6705636950811522</v>
      </c>
      <c r="P1324" s="361">
        <f t="shared" si="1353"/>
        <v>2.0132798371270382</v>
      </c>
      <c r="Q1324" s="361">
        <f t="shared" si="1353"/>
        <v>2.4263041957136351</v>
      </c>
      <c r="R1324" s="361">
        <f t="shared" si="1353"/>
        <v>2.9240605014642695</v>
      </c>
      <c r="S1324" s="361">
        <f t="shared" si="1353"/>
        <v>3.5239315133396429</v>
      </c>
      <c r="T1324" s="361">
        <f t="shared" si="1353"/>
        <v>4.2468660633012449</v>
      </c>
      <c r="U1324" s="361">
        <f t="shared" si="1353"/>
        <v>5.1181106361874642</v>
      </c>
      <c r="V1324" s="362">
        <f t="shared" si="1353"/>
        <v>6.1680910332012848</v>
      </c>
      <c r="X1324" s="351"/>
    </row>
    <row r="1325" spans="3:24" ht="24.75" customHeight="1" x14ac:dyDescent="0.3">
      <c r="C1325" s="353">
        <f>ABS(E1325-Dashboard!$F$14)</f>
        <v>2.0434411137050716</v>
      </c>
      <c r="D1325" s="350">
        <f t="shared" si="1323"/>
        <v>0.20524999999999263</v>
      </c>
      <c r="E1325" s="359" cm="1">
        <f t="array" ref="E1325">1000*SUM('DRE + DCF'!$L$36/M1325,'DRE + DCF'!$N$36:$V$36/N1325:V1325,F1325/V1325)/Dashboard!$F$11</f>
        <v>99.033441113705067</v>
      </c>
      <c r="F1325" s="359">
        <f t="shared" si="1321"/>
        <v>13793060.780152906</v>
      </c>
      <c r="G1325" s="359">
        <f>'DRE + DCF'!$W$31</f>
        <v>2791623.3540418856</v>
      </c>
      <c r="H1325" s="359">
        <f>'DRE + DCF'!$W$32</f>
        <v>81081.931703745853</v>
      </c>
      <c r="I1325" s="359">
        <f>-H1325*('DRE + DCF'!$V$33+K1325)/'DRE + DCF'!$V$33</f>
        <v>-90858.801614444121</v>
      </c>
      <c r="J1325" s="359">
        <f>-'DRE + DCF'!$V$56*L1325</f>
        <v>-1188924.4255577971</v>
      </c>
      <c r="K1325" s="360">
        <f>(1+L1325)/(1+Ke!$O$12)-1</f>
        <v>2.0000000000000018E-2</v>
      </c>
      <c r="L1325" s="360">
        <f>'DRE + DCF'!$Y$31</f>
        <v>7.3550000000000004E-2</v>
      </c>
      <c r="M1325" s="361">
        <f>(1+D1325)^((5-Dashboard!$F$9)*3/12)</f>
        <v>1.1502913530063863</v>
      </c>
      <c r="N1325" s="361">
        <f t="shared" ref="N1325:V1325" si="1354">M1325*(1+$D1325)</f>
        <v>1.3863886532109386</v>
      </c>
      <c r="O1325" s="361">
        <f t="shared" si="1354"/>
        <v>1.6709449242824734</v>
      </c>
      <c r="P1325" s="361">
        <f t="shared" si="1354"/>
        <v>2.0139063699914388</v>
      </c>
      <c r="Q1325" s="361">
        <f t="shared" si="1354"/>
        <v>2.4272606524321669</v>
      </c>
      <c r="R1325" s="361">
        <f t="shared" si="1354"/>
        <v>2.925455901343851</v>
      </c>
      <c r="S1325" s="361">
        <f t="shared" si="1354"/>
        <v>3.5259057250946548</v>
      </c>
      <c r="T1325" s="361">
        <f t="shared" si="1354"/>
        <v>4.2495978751703065</v>
      </c>
      <c r="U1325" s="361">
        <f t="shared" si="1354"/>
        <v>5.1218278390489802</v>
      </c>
      <c r="V1325" s="362">
        <f t="shared" si="1354"/>
        <v>6.1730830030137458</v>
      </c>
      <c r="X1325" s="351"/>
    </row>
    <row r="1326" spans="3:24" ht="24.75" customHeight="1" x14ac:dyDescent="0.3">
      <c r="C1326" s="353">
        <f>ABS(E1326-Dashboard!$F$14)</f>
        <v>1.9624622670141036</v>
      </c>
      <c r="D1326" s="350">
        <f t="shared" si="1323"/>
        <v>0.20534999999999262</v>
      </c>
      <c r="E1326" s="359" cm="1">
        <f t="array" ref="E1326">1000*SUM('DRE + DCF'!$L$36/M1326,'DRE + DCF'!$N$36:$V$36/N1326:V1326,F1326/V1326)/Dashboard!$F$11</f>
        <v>98.952462267014099</v>
      </c>
      <c r="F1326" s="359">
        <f t="shared" si="1321"/>
        <v>13784579.620919259</v>
      </c>
      <c r="G1326" s="359">
        <f>'DRE + DCF'!$W$31</f>
        <v>2791623.3540418856</v>
      </c>
      <c r="H1326" s="359">
        <f>'DRE + DCF'!$W$32</f>
        <v>81081.931703745853</v>
      </c>
      <c r="I1326" s="359">
        <f>-H1326*('DRE + DCF'!$V$33+K1326)/'DRE + DCF'!$V$33</f>
        <v>-90858.801614444121</v>
      </c>
      <c r="J1326" s="359">
        <f>-'DRE + DCF'!$V$56*L1326</f>
        <v>-1188924.4255577971</v>
      </c>
      <c r="K1326" s="360">
        <f>(1+L1326)/(1+Ke!$O$12)-1</f>
        <v>2.0000000000000018E-2</v>
      </c>
      <c r="L1326" s="360">
        <f>'DRE + DCF'!$Y$31</f>
        <v>7.3550000000000004E-2</v>
      </c>
      <c r="M1326" s="361">
        <f>(1+D1326)^((5-Dashboard!$F$9)*3/12)</f>
        <v>1.1503629323108924</v>
      </c>
      <c r="N1326" s="361">
        <f t="shared" ref="N1326:V1326" si="1355">M1326*(1+$D1326)</f>
        <v>1.3865899604609255</v>
      </c>
      <c r="O1326" s="361">
        <f t="shared" si="1355"/>
        <v>1.6713262088415664</v>
      </c>
      <c r="P1326" s="361">
        <f t="shared" si="1355"/>
        <v>2.0145330458271697</v>
      </c>
      <c r="Q1326" s="361">
        <f t="shared" si="1355"/>
        <v>2.428217406787764</v>
      </c>
      <c r="R1326" s="361">
        <f t="shared" si="1355"/>
        <v>2.9268518512716133</v>
      </c>
      <c r="S1326" s="361">
        <f t="shared" si="1355"/>
        <v>3.5278808789302176</v>
      </c>
      <c r="T1326" s="361">
        <f t="shared" si="1355"/>
        <v>4.2523312174185115</v>
      </c>
      <c r="U1326" s="361">
        <f t="shared" si="1355"/>
        <v>5.1255474329153712</v>
      </c>
      <c r="V1326" s="362">
        <f t="shared" si="1355"/>
        <v>6.1780785982645048</v>
      </c>
      <c r="X1326" s="351"/>
    </row>
    <row r="1327" spans="3:24" ht="24.75" customHeight="1" x14ac:dyDescent="0.3">
      <c r="C1327" s="353">
        <f>ABS(E1327-Dashboard!$F$14)</f>
        <v>1.8815982759344365</v>
      </c>
      <c r="D1327" s="350">
        <f t="shared" si="1323"/>
        <v>0.20544999999999261</v>
      </c>
      <c r="E1327" s="359" cm="1">
        <f t="array" ref="E1327">1000*SUM('DRE + DCF'!$L$36/M1327,'DRE + DCF'!$N$36:$V$36/N1327:V1327,F1327/V1327)/Dashboard!$F$11</f>
        <v>98.871598275934431</v>
      </c>
      <c r="F1327" s="359">
        <f t="shared" si="1321"/>
        <v>13776109.39177748</v>
      </c>
      <c r="G1327" s="359">
        <f>'DRE + DCF'!$W$31</f>
        <v>2791623.3540418856</v>
      </c>
      <c r="H1327" s="359">
        <f>'DRE + DCF'!$W$32</f>
        <v>81081.931703745853</v>
      </c>
      <c r="I1327" s="359">
        <f>-H1327*('DRE + DCF'!$V$33+K1327)/'DRE + DCF'!$V$33</f>
        <v>-90858.801614444121</v>
      </c>
      <c r="J1327" s="359">
        <f>-'DRE + DCF'!$V$56*L1327</f>
        <v>-1188924.4255577971</v>
      </c>
      <c r="K1327" s="360">
        <f>(1+L1327)/(1+Ke!$O$12)-1</f>
        <v>2.0000000000000018E-2</v>
      </c>
      <c r="L1327" s="360">
        <f>'DRE + DCF'!$Y$31</f>
        <v>7.3550000000000004E-2</v>
      </c>
      <c r="M1327" s="361">
        <f>(1+D1327)^((5-Dashboard!$F$9)*3/12)</f>
        <v>1.1504345101307971</v>
      </c>
      <c r="N1327" s="361">
        <f t="shared" ref="N1327:V1327" si="1356">M1327*(1+$D1327)</f>
        <v>1.3867912802371609</v>
      </c>
      <c r="O1327" s="361">
        <f t="shared" si="1356"/>
        <v>1.6717075487618753</v>
      </c>
      <c r="P1327" s="361">
        <f t="shared" si="1356"/>
        <v>2.0151598646549904</v>
      </c>
      <c r="Q1327" s="361">
        <f t="shared" si="1356"/>
        <v>2.429174458848343</v>
      </c>
      <c r="R1327" s="361">
        <f t="shared" si="1356"/>
        <v>2.9282483514187172</v>
      </c>
      <c r="S1327" s="361">
        <f t="shared" si="1356"/>
        <v>3.5298569752176707</v>
      </c>
      <c r="T1327" s="361">
        <f t="shared" si="1356"/>
        <v>4.2550660907761149</v>
      </c>
      <c r="U1327" s="361">
        <f t="shared" si="1356"/>
        <v>5.129269419126036</v>
      </c>
      <c r="V1327" s="362">
        <f t="shared" si="1356"/>
        <v>6.1830778212854423</v>
      </c>
      <c r="X1327" s="351"/>
    </row>
    <row r="1328" spans="3:24" ht="24.75" customHeight="1" x14ac:dyDescent="0.3">
      <c r="C1328" s="353">
        <f>ABS(E1328-Dashboard!$F$14)</f>
        <v>1.8008489080811785</v>
      </c>
      <c r="D1328" s="350">
        <f t="shared" si="1323"/>
        <v>0.2055499999999926</v>
      </c>
      <c r="E1328" s="359" cm="1">
        <f t="array" ref="E1328">1000*SUM('DRE + DCF'!$L$36/M1328,'DRE + DCF'!$N$36:$V$36/N1328:V1328,F1328/V1328)/Dashboard!$F$11</f>
        <v>98.790848908081173</v>
      </c>
      <c r="F1328" s="359">
        <f t="shared" si="1321"/>
        <v>13767650.070700996</v>
      </c>
      <c r="G1328" s="359">
        <f>'DRE + DCF'!$W$31</f>
        <v>2791623.3540418856</v>
      </c>
      <c r="H1328" s="359">
        <f>'DRE + DCF'!$W$32</f>
        <v>81081.931703745853</v>
      </c>
      <c r="I1328" s="359">
        <f>-H1328*('DRE + DCF'!$V$33+K1328)/'DRE + DCF'!$V$33</f>
        <v>-90858.801614444121</v>
      </c>
      <c r="J1328" s="359">
        <f>-'DRE + DCF'!$V$56*L1328</f>
        <v>-1188924.4255577971</v>
      </c>
      <c r="K1328" s="360">
        <f>(1+L1328)/(1+Ke!$O$12)-1</f>
        <v>2.0000000000000018E-2</v>
      </c>
      <c r="L1328" s="360">
        <f>'DRE + DCF'!$Y$31</f>
        <v>7.3550000000000004E-2</v>
      </c>
      <c r="M1328" s="361">
        <f>(1+D1328)^((5-Dashboard!$F$9)*3/12)</f>
        <v>1.1505060864662546</v>
      </c>
      <c r="N1328" s="361">
        <f t="shared" ref="N1328:V1328" si="1357">M1328*(1+$D1328)</f>
        <v>1.3869926125393848</v>
      </c>
      <c r="O1328" s="361">
        <f t="shared" si="1357"/>
        <v>1.6720889440468449</v>
      </c>
      <c r="P1328" s="361">
        <f t="shared" si="1357"/>
        <v>2.0157868264956615</v>
      </c>
      <c r="Q1328" s="361">
        <f t="shared" si="1357"/>
        <v>2.4301318086818298</v>
      </c>
      <c r="R1328" s="361">
        <f t="shared" si="1357"/>
        <v>2.9296454019563618</v>
      </c>
      <c r="S1328" s="361">
        <f t="shared" si="1357"/>
        <v>3.5318340143284703</v>
      </c>
      <c r="T1328" s="361">
        <f t="shared" si="1357"/>
        <v>4.2578024959736611</v>
      </c>
      <c r="U1328" s="361">
        <f t="shared" si="1357"/>
        <v>5.1329937990210155</v>
      </c>
      <c r="V1328" s="362">
        <f t="shared" si="1357"/>
        <v>6.188080674409747</v>
      </c>
      <c r="X1328" s="351"/>
    </row>
    <row r="1329" spans="3:24" ht="24.75" customHeight="1" x14ac:dyDescent="0.3">
      <c r="C1329" s="353">
        <f>ABS(E1329-Dashboard!$F$14)</f>
        <v>1.7202139316959659</v>
      </c>
      <c r="D1329" s="350">
        <f t="shared" si="1323"/>
        <v>0.20564999999999259</v>
      </c>
      <c r="E1329" s="359" cm="1">
        <f t="array" ref="E1329">1000*SUM('DRE + DCF'!$L$36/M1329,'DRE + DCF'!$N$36:$V$36/N1329:V1329,F1329/V1329)/Dashboard!$F$11</f>
        <v>98.710213931695961</v>
      </c>
      <c r="F1329" s="359">
        <f t="shared" si="1321"/>
        <v>13759201.635724451</v>
      </c>
      <c r="G1329" s="359">
        <f>'DRE + DCF'!$W$31</f>
        <v>2791623.3540418856</v>
      </c>
      <c r="H1329" s="359">
        <f>'DRE + DCF'!$W$32</f>
        <v>81081.931703745853</v>
      </c>
      <c r="I1329" s="359">
        <f>-H1329*('DRE + DCF'!$V$33+K1329)/'DRE + DCF'!$V$33</f>
        <v>-90858.801614444121</v>
      </c>
      <c r="J1329" s="359">
        <f>-'DRE + DCF'!$V$56*L1329</f>
        <v>-1188924.4255577971</v>
      </c>
      <c r="K1329" s="360">
        <f>(1+L1329)/(1+Ke!$O$12)-1</f>
        <v>2.0000000000000018E-2</v>
      </c>
      <c r="L1329" s="360">
        <f>'DRE + DCF'!$Y$31</f>
        <v>7.3550000000000004E-2</v>
      </c>
      <c r="M1329" s="361">
        <f>(1+D1329)^((5-Dashboard!$F$9)*3/12)</f>
        <v>1.1505776613174188</v>
      </c>
      <c r="N1329" s="361">
        <f t="shared" ref="N1329:V1329" si="1358">M1329*(1+$D1329)</f>
        <v>1.3871939573673373</v>
      </c>
      <c r="O1329" s="361">
        <f t="shared" si="1358"/>
        <v>1.67247039469992</v>
      </c>
      <c r="P1329" s="361">
        <f t="shared" si="1358"/>
        <v>2.0164139313699461</v>
      </c>
      <c r="Q1329" s="361">
        <f t="shared" si="1358"/>
        <v>2.4310894563561605</v>
      </c>
      <c r="R1329" s="361">
        <f t="shared" si="1358"/>
        <v>2.9310430030557866</v>
      </c>
      <c r="S1329" s="361">
        <f t="shared" si="1358"/>
        <v>3.5338119966341872</v>
      </c>
      <c r="T1329" s="361">
        <f t="shared" si="1358"/>
        <v>4.2605404337419817</v>
      </c>
      <c r="U1329" s="361">
        <f t="shared" si="1358"/>
        <v>5.1367205739409885</v>
      </c>
      <c r="V1329" s="362">
        <f t="shared" si="1358"/>
        <v>6.1930871599719142</v>
      </c>
      <c r="X1329" s="351"/>
    </row>
    <row r="1330" spans="3:24" ht="24.75" customHeight="1" x14ac:dyDescent="0.3">
      <c r="C1330" s="353">
        <f>ABS(E1330-Dashboard!$F$14)</f>
        <v>1.6396931156447891</v>
      </c>
      <c r="D1330" s="350">
        <f t="shared" si="1323"/>
        <v>0.20574999999999258</v>
      </c>
      <c r="E1330" s="359" cm="1">
        <f t="array" ref="E1330">1000*SUM('DRE + DCF'!$L$36/M1330,'DRE + DCF'!$N$36:$V$36/N1330:V1330,F1330/V1330)/Dashboard!$F$11</f>
        <v>98.629693115644784</v>
      </c>
      <c r="F1330" s="359">
        <f t="shared" si="1321"/>
        <v>13750764.064943509</v>
      </c>
      <c r="G1330" s="359">
        <f>'DRE + DCF'!$W$31</f>
        <v>2791623.3540418856</v>
      </c>
      <c r="H1330" s="359">
        <f>'DRE + DCF'!$W$32</f>
        <v>81081.931703745853</v>
      </c>
      <c r="I1330" s="359">
        <f>-H1330*('DRE + DCF'!$V$33+K1330)/'DRE + DCF'!$V$33</f>
        <v>-90858.801614444121</v>
      </c>
      <c r="J1330" s="359">
        <f>-'DRE + DCF'!$V$56*L1330</f>
        <v>-1188924.4255577971</v>
      </c>
      <c r="K1330" s="360">
        <f>(1+L1330)/(1+Ke!$O$12)-1</f>
        <v>2.0000000000000018E-2</v>
      </c>
      <c r="L1330" s="360">
        <f>'DRE + DCF'!$Y$31</f>
        <v>7.3550000000000004E-2</v>
      </c>
      <c r="M1330" s="361">
        <f>(1+D1330)^((5-Dashboard!$F$9)*3/12)</f>
        <v>1.1506492346844435</v>
      </c>
      <c r="N1330" s="361">
        <f t="shared" ref="N1330:V1330" si="1359">M1330*(1+$D1330)</f>
        <v>1.3873953147207592</v>
      </c>
      <c r="O1330" s="361">
        <f t="shared" si="1359"/>
        <v>1.672851900724545</v>
      </c>
      <c r="P1330" s="361">
        <f t="shared" si="1359"/>
        <v>2.0170411792986078</v>
      </c>
      <c r="Q1330" s="361">
        <f t="shared" si="1359"/>
        <v>2.4320474019392813</v>
      </c>
      <c r="R1330" s="361">
        <f t="shared" si="1359"/>
        <v>2.9324411548882701</v>
      </c>
      <c r="S1330" s="361">
        <f t="shared" si="1359"/>
        <v>3.5357909225065098</v>
      </c>
      <c r="T1330" s="361">
        <f t="shared" si="1359"/>
        <v>4.2632799048121983</v>
      </c>
      <c r="U1330" s="361">
        <f t="shared" si="1359"/>
        <v>5.1404497452272766</v>
      </c>
      <c r="V1330" s="362">
        <f t="shared" si="1359"/>
        <v>6.1980972803077501</v>
      </c>
      <c r="X1330" s="351"/>
    </row>
    <row r="1331" spans="3:24" ht="24.75" customHeight="1" x14ac:dyDescent="0.3">
      <c r="C1331" s="353">
        <f>ABS(E1331-Dashboard!$F$14)</f>
        <v>1.5592862294159886</v>
      </c>
      <c r="D1331" s="350">
        <f t="shared" si="1323"/>
        <v>0.20584999999999257</v>
      </c>
      <c r="E1331" s="359" cm="1">
        <f t="array" ref="E1331">1000*SUM('DRE + DCF'!$L$36/M1331,'DRE + DCF'!$N$36:$V$36/N1331:V1331,F1331/V1331)/Dashboard!$F$11</f>
        <v>98.549286229415983</v>
      </c>
      <c r="F1331" s="359">
        <f t="shared" si="1321"/>
        <v>13742337.336514615</v>
      </c>
      <c r="G1331" s="359">
        <f>'DRE + DCF'!$W$31</f>
        <v>2791623.3540418856</v>
      </c>
      <c r="H1331" s="359">
        <f>'DRE + DCF'!$W$32</f>
        <v>81081.931703745853</v>
      </c>
      <c r="I1331" s="359">
        <f>-H1331*('DRE + DCF'!$V$33+K1331)/'DRE + DCF'!$V$33</f>
        <v>-90858.801614444121</v>
      </c>
      <c r="J1331" s="359">
        <f>-'DRE + DCF'!$V$56*L1331</f>
        <v>-1188924.4255577971</v>
      </c>
      <c r="K1331" s="360">
        <f>(1+L1331)/(1+Ke!$O$12)-1</f>
        <v>2.0000000000000018E-2</v>
      </c>
      <c r="L1331" s="360">
        <f>'DRE + DCF'!$Y$31</f>
        <v>7.3550000000000004E-2</v>
      </c>
      <c r="M1331" s="361">
        <f>(1+D1331)^((5-Dashboard!$F$9)*3/12)</f>
        <v>1.1507208065674825</v>
      </c>
      <c r="N1331" s="361">
        <f t="shared" ref="N1331:V1331" si="1360">M1331*(1+$D1331)</f>
        <v>1.3875966845993903</v>
      </c>
      <c r="O1331" s="361">
        <f t="shared" si="1360"/>
        <v>1.6732334621241645</v>
      </c>
      <c r="P1331" s="361">
        <f t="shared" si="1360"/>
        <v>2.0176685703024111</v>
      </c>
      <c r="Q1331" s="361">
        <f t="shared" si="1360"/>
        <v>2.4330056454991476</v>
      </c>
      <c r="R1331" s="361">
        <f t="shared" si="1360"/>
        <v>2.933839857625129</v>
      </c>
      <c r="S1331" s="361">
        <f t="shared" si="1360"/>
        <v>3.5377707923172399</v>
      </c>
      <c r="T1331" s="361">
        <f t="shared" si="1360"/>
        <v>4.2660209099157171</v>
      </c>
      <c r="U1331" s="361">
        <f t="shared" si="1360"/>
        <v>5.1441813142218358</v>
      </c>
      <c r="V1331" s="362">
        <f t="shared" si="1360"/>
        <v>6.2031110377543621</v>
      </c>
      <c r="X1331" s="351"/>
    </row>
    <row r="1332" spans="3:24" ht="24.75" customHeight="1" x14ac:dyDescent="0.3">
      <c r="C1332" s="353">
        <f>ABS(E1332-Dashboard!$F$14)</f>
        <v>1.4789930431180522</v>
      </c>
      <c r="D1332" s="350">
        <f t="shared" si="1323"/>
        <v>0.20594999999999256</v>
      </c>
      <c r="E1332" s="359" cm="1">
        <f t="array" ref="E1332">1000*SUM('DRE + DCF'!$L$36/M1332,'DRE + DCF'!$N$36:$V$36/N1332:V1332,F1332/V1332)/Dashboard!$F$11</f>
        <v>98.468993043118047</v>
      </c>
      <c r="F1332" s="359">
        <f t="shared" si="1321"/>
        <v>13733921.42865479</v>
      </c>
      <c r="G1332" s="359">
        <f>'DRE + DCF'!$W$31</f>
        <v>2791623.3540418856</v>
      </c>
      <c r="H1332" s="359">
        <f>'DRE + DCF'!$W$32</f>
        <v>81081.931703745853</v>
      </c>
      <c r="I1332" s="359">
        <f>-H1332*('DRE + DCF'!$V$33+K1332)/'DRE + DCF'!$V$33</f>
        <v>-90858.801614444121</v>
      </c>
      <c r="J1332" s="359">
        <f>-'DRE + DCF'!$V$56*L1332</f>
        <v>-1188924.4255577971</v>
      </c>
      <c r="K1332" s="360">
        <f>(1+L1332)/(1+Ke!$O$12)-1</f>
        <v>2.0000000000000018E-2</v>
      </c>
      <c r="L1332" s="360">
        <f>'DRE + DCF'!$Y$31</f>
        <v>7.3550000000000004E-2</v>
      </c>
      <c r="M1332" s="361">
        <f>(1+D1332)^((5-Dashboard!$F$9)*3/12)</f>
        <v>1.1507923769666899</v>
      </c>
      <c r="N1332" s="361">
        <f t="shared" ref="N1332:V1332" si="1361">M1332*(1+$D1332)</f>
        <v>1.387798067002971</v>
      </c>
      <c r="O1332" s="361">
        <f t="shared" si="1361"/>
        <v>1.6736150789022226</v>
      </c>
      <c r="P1332" s="361">
        <f t="shared" si="1361"/>
        <v>2.0182961044021228</v>
      </c>
      <c r="Q1332" s="361">
        <f t="shared" si="1361"/>
        <v>2.433964187103725</v>
      </c>
      <c r="R1332" s="361">
        <f t="shared" si="1361"/>
        <v>2.9352391114377188</v>
      </c>
      <c r="S1332" s="361">
        <f t="shared" si="1361"/>
        <v>3.539751606438295</v>
      </c>
      <c r="T1332" s="361">
        <f t="shared" si="1361"/>
        <v>4.2687634497842355</v>
      </c>
      <c r="U1332" s="361">
        <f t="shared" si="1361"/>
        <v>5.1479152822672667</v>
      </c>
      <c r="V1332" s="362">
        <f t="shared" si="1361"/>
        <v>6.2081284346501722</v>
      </c>
      <c r="X1332" s="351"/>
    </row>
    <row r="1333" spans="3:24" ht="24.75" customHeight="1" x14ac:dyDescent="0.3">
      <c r="C1333" s="353">
        <f>ABS(E1333-Dashboard!$F$14)</f>
        <v>1.3988133274773702</v>
      </c>
      <c r="D1333" s="350">
        <f t="shared" si="1323"/>
        <v>0.20604999999999254</v>
      </c>
      <c r="E1333" s="359" cm="1">
        <f t="array" ref="E1333">1000*SUM('DRE + DCF'!$L$36/M1333,'DRE + DCF'!$N$36:$V$36/N1333:V1333,F1333/V1333)/Dashboard!$F$11</f>
        <v>98.388813327477365</v>
      </c>
      <c r="F1333" s="359">
        <f t="shared" si="1321"/>
        <v>13725516.319641421</v>
      </c>
      <c r="G1333" s="359">
        <f>'DRE + DCF'!$W$31</f>
        <v>2791623.3540418856</v>
      </c>
      <c r="H1333" s="359">
        <f>'DRE + DCF'!$W$32</f>
        <v>81081.931703745853</v>
      </c>
      <c r="I1333" s="359">
        <f>-H1333*('DRE + DCF'!$V$33+K1333)/'DRE + DCF'!$V$33</f>
        <v>-90858.801614444121</v>
      </c>
      <c r="J1333" s="359">
        <f>-'DRE + DCF'!$V$56*L1333</f>
        <v>-1188924.4255577971</v>
      </c>
      <c r="K1333" s="360">
        <f>(1+L1333)/(1+Ke!$O$12)-1</f>
        <v>2.0000000000000018E-2</v>
      </c>
      <c r="L1333" s="360">
        <f>'DRE + DCF'!$Y$31</f>
        <v>7.3550000000000004E-2</v>
      </c>
      <c r="M1333" s="361">
        <f>(1+D1333)^((5-Dashboard!$F$9)*3/12)</f>
        <v>1.1508639458822194</v>
      </c>
      <c r="N1333" s="361">
        <f t="shared" ref="N1333:V1333" si="1362">M1333*(1+$D1333)</f>
        <v>1.3879994619312421</v>
      </c>
      <c r="O1333" s="361">
        <f t="shared" si="1362"/>
        <v>1.6739967510621643</v>
      </c>
      <c r="P1333" s="361">
        <f t="shared" si="1362"/>
        <v>2.0189237816185108</v>
      </c>
      <c r="Q1333" s="361">
        <f t="shared" si="1362"/>
        <v>2.4349230268209898</v>
      </c>
      <c r="R1333" s="361">
        <f t="shared" si="1362"/>
        <v>2.9366389164974365</v>
      </c>
      <c r="S1333" s="361">
        <f t="shared" si="1362"/>
        <v>3.5417333652417113</v>
      </c>
      <c r="T1333" s="361">
        <f t="shared" si="1362"/>
        <v>4.2715075251497394</v>
      </c>
      <c r="U1333" s="361">
        <f t="shared" si="1362"/>
        <v>5.1516516507068113</v>
      </c>
      <c r="V1333" s="362">
        <f t="shared" si="1362"/>
        <v>6.2131494733349113</v>
      </c>
      <c r="X1333" s="351"/>
    </row>
    <row r="1334" spans="3:24" ht="24.75" customHeight="1" x14ac:dyDescent="0.3">
      <c r="C1334" s="353">
        <f>ABS(E1334-Dashboard!$F$14)</f>
        <v>1.3187468538363731</v>
      </c>
      <c r="D1334" s="350">
        <f t="shared" si="1323"/>
        <v>0.20614999999999253</v>
      </c>
      <c r="E1334" s="359" cm="1">
        <f t="array" ref="E1334">1000*SUM('DRE + DCF'!$L$36/M1334,'DRE + DCF'!$N$36:$V$36/N1334:V1334,F1334/V1334)/Dashboard!$F$11</f>
        <v>98.308746853836368</v>
      </c>
      <c r="F1334" s="359">
        <f t="shared" si="1321"/>
        <v>13717121.987812031</v>
      </c>
      <c r="G1334" s="359">
        <f>'DRE + DCF'!$W$31</f>
        <v>2791623.3540418856</v>
      </c>
      <c r="H1334" s="359">
        <f>'DRE + DCF'!$W$32</f>
        <v>81081.931703745853</v>
      </c>
      <c r="I1334" s="359">
        <f>-H1334*('DRE + DCF'!$V$33+K1334)/'DRE + DCF'!$V$33</f>
        <v>-90858.801614444121</v>
      </c>
      <c r="J1334" s="359">
        <f>-'DRE + DCF'!$V$56*L1334</f>
        <v>-1188924.4255577971</v>
      </c>
      <c r="K1334" s="360">
        <f>(1+L1334)/(1+Ke!$O$12)-1</f>
        <v>2.0000000000000018E-2</v>
      </c>
      <c r="L1334" s="360">
        <f>'DRE + DCF'!$Y$31</f>
        <v>7.3550000000000004E-2</v>
      </c>
      <c r="M1334" s="361">
        <f>(1+D1334)^((5-Dashboard!$F$9)*3/12)</f>
        <v>1.1509355133142245</v>
      </c>
      <c r="N1334" s="361">
        <f t="shared" ref="N1334:V1334" si="1363">M1334*(1+$D1334)</f>
        <v>1.3882008693839432</v>
      </c>
      <c r="O1334" s="361">
        <f t="shared" si="1363"/>
        <v>1.6743784786074327</v>
      </c>
      <c r="P1334" s="361">
        <f t="shared" si="1363"/>
        <v>2.0195516019723425</v>
      </c>
      <c r="Q1334" s="361">
        <f t="shared" si="1363"/>
        <v>2.4358821647189259</v>
      </c>
      <c r="R1334" s="361">
        <f t="shared" si="1363"/>
        <v>2.9380392729757143</v>
      </c>
      <c r="S1334" s="361">
        <f t="shared" si="1363"/>
        <v>3.5437160690996357</v>
      </c>
      <c r="T1334" s="361">
        <f t="shared" si="1363"/>
        <v>4.2742531367444991</v>
      </c>
      <c r="U1334" s="361">
        <f t="shared" si="1363"/>
        <v>5.1553904208843457</v>
      </c>
      <c r="V1334" s="362">
        <f t="shared" si="1363"/>
        <v>6.2181741561496153</v>
      </c>
      <c r="X1334" s="351"/>
    </row>
    <row r="1335" spans="3:24" ht="24.75" customHeight="1" x14ac:dyDescent="0.3">
      <c r="C1335" s="353">
        <f>ABS(E1335-Dashboard!$F$14)</f>
        <v>1.2387933941511022</v>
      </c>
      <c r="D1335" s="350">
        <f t="shared" si="1323"/>
        <v>0.20624999999999252</v>
      </c>
      <c r="E1335" s="359" cm="1">
        <f t="array" ref="E1335">1000*SUM('DRE + DCF'!$L$36/M1335,'DRE + DCF'!$N$36:$V$36/N1335:V1335,F1335/V1335)/Dashboard!$F$11</f>
        <v>98.228793394151097</v>
      </c>
      <c r="F1335" s="359">
        <f t="shared" si="1321"/>
        <v>13708738.411564078</v>
      </c>
      <c r="G1335" s="359">
        <f>'DRE + DCF'!$W$31</f>
        <v>2791623.3540418856</v>
      </c>
      <c r="H1335" s="359">
        <f>'DRE + DCF'!$W$32</f>
        <v>81081.931703745853</v>
      </c>
      <c r="I1335" s="359">
        <f>-H1335*('DRE + DCF'!$V$33+K1335)/'DRE + DCF'!$V$33</f>
        <v>-90858.801614444121</v>
      </c>
      <c r="J1335" s="359">
        <f>-'DRE + DCF'!$V$56*L1335</f>
        <v>-1188924.4255577971</v>
      </c>
      <c r="K1335" s="360">
        <f>(1+L1335)/(1+Ke!$O$12)-1</f>
        <v>2.0000000000000018E-2</v>
      </c>
      <c r="L1335" s="360">
        <f>'DRE + DCF'!$Y$31</f>
        <v>7.3550000000000004E-2</v>
      </c>
      <c r="M1335" s="361">
        <f>(1+D1335)^((5-Dashboard!$F$9)*3/12)</f>
        <v>1.1510070792628593</v>
      </c>
      <c r="N1335" s="361">
        <f t="shared" ref="N1335:V1335" si="1364">M1335*(1+$D1335)</f>
        <v>1.3884022893608154</v>
      </c>
      <c r="O1335" s="361">
        <f t="shared" si="1364"/>
        <v>1.6747602615414732</v>
      </c>
      <c r="P1335" s="361">
        <f t="shared" si="1364"/>
        <v>2.0201795654843893</v>
      </c>
      <c r="Q1335" s="361">
        <f t="shared" si="1364"/>
        <v>2.4368416008655296</v>
      </c>
      <c r="R1335" s="361">
        <f t="shared" si="1364"/>
        <v>2.9394401810440267</v>
      </c>
      <c r="S1335" s="361">
        <f t="shared" si="1364"/>
        <v>3.5456997183843351</v>
      </c>
      <c r="T1335" s="361">
        <f t="shared" si="1364"/>
        <v>4.2770002853010771</v>
      </c>
      <c r="U1335" s="361">
        <f t="shared" si="1364"/>
        <v>5.1591315941443918</v>
      </c>
      <c r="V1335" s="362">
        <f t="shared" si="1364"/>
        <v>6.2232024854366337</v>
      </c>
      <c r="X1335" s="351"/>
    </row>
    <row r="1336" spans="3:24" ht="24.75" customHeight="1" x14ac:dyDescent="0.3">
      <c r="C1336" s="353">
        <f>ABS(E1336-Dashboard!$F$14)</f>
        <v>1.1589527209893618</v>
      </c>
      <c r="D1336" s="350">
        <f t="shared" si="1323"/>
        <v>0.20634999999999251</v>
      </c>
      <c r="E1336" s="359" cm="1">
        <f t="array" ref="E1336">1000*SUM('DRE + DCF'!$L$36/M1336,'DRE + DCF'!$N$36:$V$36/N1336:V1336,F1336/V1336)/Dashboard!$F$11</f>
        <v>98.148952720989357</v>
      </c>
      <c r="F1336" s="359">
        <f t="shared" si="1321"/>
        <v>13700365.569354735</v>
      </c>
      <c r="G1336" s="359">
        <f>'DRE + DCF'!$W$31</f>
        <v>2791623.3540418856</v>
      </c>
      <c r="H1336" s="359">
        <f>'DRE + DCF'!$W$32</f>
        <v>81081.931703745853</v>
      </c>
      <c r="I1336" s="359">
        <f>-H1336*('DRE + DCF'!$V$33+K1336)/'DRE + DCF'!$V$33</f>
        <v>-90858.801614444121</v>
      </c>
      <c r="J1336" s="359">
        <f>-'DRE + DCF'!$V$56*L1336</f>
        <v>-1188924.4255577971</v>
      </c>
      <c r="K1336" s="360">
        <f>(1+L1336)/(1+Ke!$O$12)-1</f>
        <v>2.0000000000000018E-2</v>
      </c>
      <c r="L1336" s="360">
        <f>'DRE + DCF'!$Y$31</f>
        <v>7.3550000000000004E-2</v>
      </c>
      <c r="M1336" s="361">
        <f>(1+D1336)^((5-Dashboard!$F$9)*3/12)</f>
        <v>1.1510786437282774</v>
      </c>
      <c r="N1336" s="361">
        <f t="shared" ref="N1336:V1336" si="1365">M1336*(1+$D1336)</f>
        <v>1.3886037218615987</v>
      </c>
      <c r="O1336" s="361">
        <f t="shared" si="1365"/>
        <v>1.6751420998677291</v>
      </c>
      <c r="P1336" s="361">
        <f t="shared" si="1365"/>
        <v>2.0208076721754225</v>
      </c>
      <c r="Q1336" s="361">
        <f t="shared" si="1365"/>
        <v>2.4378013353288055</v>
      </c>
      <c r="R1336" s="361">
        <f t="shared" si="1365"/>
        <v>2.9408416408738862</v>
      </c>
      <c r="S1336" s="361">
        <f t="shared" si="1365"/>
        <v>3.5476843134681904</v>
      </c>
      <c r="T1336" s="361">
        <f t="shared" si="1365"/>
        <v>4.2797489715523245</v>
      </c>
      <c r="U1336" s="361">
        <f t="shared" si="1365"/>
        <v>5.1628751718321144</v>
      </c>
      <c r="V1336" s="362">
        <f t="shared" si="1365"/>
        <v>6.2282344635396321</v>
      </c>
      <c r="X1336" s="351"/>
    </row>
    <row r="1337" spans="3:24" ht="24.75" customHeight="1" x14ac:dyDescent="0.3">
      <c r="C1337" s="353">
        <f>ABS(E1337-Dashboard!$F$14)</f>
        <v>1.0792246075285163</v>
      </c>
      <c r="D1337" s="350">
        <f t="shared" si="1323"/>
        <v>0.2064499999999925</v>
      </c>
      <c r="E1337" s="359" cm="1">
        <f t="array" ref="E1337">1000*SUM('DRE + DCF'!$L$36/M1337,'DRE + DCF'!$N$36:$V$36/N1337:V1337,F1337/V1337)/Dashboard!$F$11</f>
        <v>98.069224607528511</v>
      </c>
      <c r="F1337" s="359">
        <f t="shared" si="1321"/>
        <v>13692003.439700689</v>
      </c>
      <c r="G1337" s="359">
        <f>'DRE + DCF'!$W$31</f>
        <v>2791623.3540418856</v>
      </c>
      <c r="H1337" s="359">
        <f>'DRE + DCF'!$W$32</f>
        <v>81081.931703745853</v>
      </c>
      <c r="I1337" s="359">
        <f>-H1337*('DRE + DCF'!$V$33+K1337)/'DRE + DCF'!$V$33</f>
        <v>-90858.801614444121</v>
      </c>
      <c r="J1337" s="359">
        <f>-'DRE + DCF'!$V$56*L1337</f>
        <v>-1188924.4255577971</v>
      </c>
      <c r="K1337" s="360">
        <f>(1+L1337)/(1+Ke!$O$12)-1</f>
        <v>2.0000000000000018E-2</v>
      </c>
      <c r="L1337" s="360">
        <f>'DRE + DCF'!$Y$31</f>
        <v>7.3550000000000004E-2</v>
      </c>
      <c r="M1337" s="361">
        <f>(1+D1337)^((5-Dashboard!$F$9)*3/12)</f>
        <v>1.1511502067106325</v>
      </c>
      <c r="N1337" s="361">
        <f t="shared" ref="N1337:V1337" si="1366">M1337*(1+$D1337)</f>
        <v>1.3888051668860339</v>
      </c>
      <c r="O1337" s="361">
        <f t="shared" si="1366"/>
        <v>1.6755239935896451</v>
      </c>
      <c r="P1337" s="361">
        <f t="shared" si="1366"/>
        <v>2.0214359220662148</v>
      </c>
      <c r="Q1337" s="361">
        <f t="shared" si="1366"/>
        <v>2.4387613681767695</v>
      </c>
      <c r="R1337" s="361">
        <f t="shared" si="1366"/>
        <v>2.942243652636845</v>
      </c>
      <c r="S1337" s="361">
        <f t="shared" si="1366"/>
        <v>3.5496698547236996</v>
      </c>
      <c r="T1337" s="361">
        <f t="shared" si="1366"/>
        <v>4.282499196231381</v>
      </c>
      <c r="U1337" s="361">
        <f t="shared" si="1366"/>
        <v>5.166621155293317</v>
      </c>
      <c r="V1337" s="362">
        <f t="shared" si="1366"/>
        <v>6.2332700928035836</v>
      </c>
      <c r="X1337" s="351"/>
    </row>
    <row r="1338" spans="3:24" ht="24.75" customHeight="1" x14ac:dyDescent="0.3">
      <c r="C1338" s="353">
        <f>ABS(E1338-Dashboard!$F$14)</f>
        <v>0.99960882755341629</v>
      </c>
      <c r="D1338" s="350">
        <f t="shared" si="1323"/>
        <v>0.20654999999999249</v>
      </c>
      <c r="E1338" s="359" cm="1">
        <f t="array" ref="E1338">1000*SUM('DRE + DCF'!$L$36/M1338,'DRE + DCF'!$N$36:$V$36/N1338:V1338,F1338/V1338)/Dashboard!$F$11</f>
        <v>97.989608827553411</v>
      </c>
      <c r="F1338" s="359">
        <f t="shared" si="1321"/>
        <v>13683652.001177913</v>
      </c>
      <c r="G1338" s="359">
        <f>'DRE + DCF'!$W$31</f>
        <v>2791623.3540418856</v>
      </c>
      <c r="H1338" s="359">
        <f>'DRE + DCF'!$W$32</f>
        <v>81081.931703745853</v>
      </c>
      <c r="I1338" s="359">
        <f>-H1338*('DRE + DCF'!$V$33+K1338)/'DRE + DCF'!$V$33</f>
        <v>-90858.801614444121</v>
      </c>
      <c r="J1338" s="359">
        <f>-'DRE + DCF'!$V$56*L1338</f>
        <v>-1188924.4255577971</v>
      </c>
      <c r="K1338" s="360">
        <f>(1+L1338)/(1+Ke!$O$12)-1</f>
        <v>2.0000000000000018E-2</v>
      </c>
      <c r="L1338" s="360">
        <f>'DRE + DCF'!$Y$31</f>
        <v>7.3550000000000004E-2</v>
      </c>
      <c r="M1338" s="361">
        <f>(1+D1338)^((5-Dashboard!$F$9)*3/12)</f>
        <v>1.151221768210078</v>
      </c>
      <c r="N1338" s="361">
        <f t="shared" ref="N1338:V1338" si="1367">M1338*(1+$D1338)</f>
        <v>1.389006624433861</v>
      </c>
      <c r="O1338" s="361">
        <f t="shared" si="1367"/>
        <v>1.6759059427106646</v>
      </c>
      <c r="P1338" s="361">
        <f t="shared" si="1367"/>
        <v>2.0220643151775399</v>
      </c>
      <c r="Q1338" s="361">
        <f t="shared" si="1367"/>
        <v>2.4397216994774458</v>
      </c>
      <c r="R1338" s="361">
        <f t="shared" si="1367"/>
        <v>2.9436462165044937</v>
      </c>
      <c r="S1338" s="361">
        <f t="shared" si="1367"/>
        <v>3.5516563425234748</v>
      </c>
      <c r="T1338" s="361">
        <f t="shared" si="1367"/>
        <v>4.2852509600716715</v>
      </c>
      <c r="U1338" s="361">
        <f t="shared" si="1367"/>
        <v>5.1703695458744425</v>
      </c>
      <c r="V1338" s="362">
        <f t="shared" si="1367"/>
        <v>6.2383093755747696</v>
      </c>
      <c r="X1338" s="351"/>
    </row>
    <row r="1339" spans="3:24" ht="24.75" customHeight="1" x14ac:dyDescent="0.3">
      <c r="C1339" s="353">
        <f>ABS(E1339-Dashboard!$F$14)</f>
        <v>0.92010515545447902</v>
      </c>
      <c r="D1339" s="350">
        <f t="shared" si="1323"/>
        <v>0.20664999999999248</v>
      </c>
      <c r="E1339" s="359" cm="1">
        <f t="array" ref="E1339">1000*SUM('DRE + DCF'!$L$36/M1339,'DRE + DCF'!$N$36:$V$36/N1339:V1339,F1339/V1339)/Dashboard!$F$11</f>
        <v>97.910105155454474</v>
      </c>
      <c r="F1339" s="359">
        <f t="shared" si="1321"/>
        <v>13675311.232421473</v>
      </c>
      <c r="G1339" s="359">
        <f>'DRE + DCF'!$W$31</f>
        <v>2791623.3540418856</v>
      </c>
      <c r="H1339" s="359">
        <f>'DRE + DCF'!$W$32</f>
        <v>81081.931703745853</v>
      </c>
      <c r="I1339" s="359">
        <f>-H1339*('DRE + DCF'!$V$33+K1339)/'DRE + DCF'!$V$33</f>
        <v>-90858.801614444121</v>
      </c>
      <c r="J1339" s="359">
        <f>-'DRE + DCF'!$V$56*L1339</f>
        <v>-1188924.4255577971</v>
      </c>
      <c r="K1339" s="360">
        <f>(1+L1339)/(1+Ke!$O$12)-1</f>
        <v>2.0000000000000018E-2</v>
      </c>
      <c r="L1339" s="360">
        <f>'DRE + DCF'!$Y$31</f>
        <v>7.3550000000000004E-2</v>
      </c>
      <c r="M1339" s="361">
        <f>(1+D1339)^((5-Dashboard!$F$9)*3/12)</f>
        <v>1.1512933282267679</v>
      </c>
      <c r="N1339" s="361">
        <f t="shared" ref="N1339:V1339" si="1368">M1339*(1+$D1339)</f>
        <v>1.3892080945048209</v>
      </c>
      <c r="O1339" s="361">
        <f t="shared" si="1368"/>
        <v>1.6762879472342316</v>
      </c>
      <c r="P1339" s="361">
        <f t="shared" si="1368"/>
        <v>2.0226928515301728</v>
      </c>
      <c r="Q1339" s="361">
        <f t="shared" si="1368"/>
        <v>2.4406823292988675</v>
      </c>
      <c r="R1339" s="361">
        <f t="shared" si="1368"/>
        <v>2.9450493326484599</v>
      </c>
      <c r="S1339" s="361">
        <f t="shared" si="1368"/>
        <v>3.5536437772402421</v>
      </c>
      <c r="T1339" s="361">
        <f t="shared" si="1368"/>
        <v>4.2880042638069114</v>
      </c>
      <c r="U1339" s="361">
        <f t="shared" si="1368"/>
        <v>5.174120344922577</v>
      </c>
      <c r="V1339" s="362">
        <f t="shared" si="1368"/>
        <v>6.2433523142007887</v>
      </c>
      <c r="X1339" s="351"/>
    </row>
    <row r="1340" spans="3:24" ht="24.75" customHeight="1" x14ac:dyDescent="0.3">
      <c r="C1340" s="353">
        <f>ABS(E1340-Dashboard!$F$14)</f>
        <v>0.84071336622524484</v>
      </c>
      <c r="D1340" s="350">
        <f t="shared" si="1323"/>
        <v>0.20674999999999247</v>
      </c>
      <c r="E1340" s="359" cm="1">
        <f t="array" ref="E1340">1000*SUM('DRE + DCF'!$L$36/M1340,'DRE + DCF'!$N$36:$V$36/N1340:V1340,F1340/V1340)/Dashboard!$F$11</f>
        <v>97.83071336622524</v>
      </c>
      <c r="F1340" s="359">
        <f t="shared" si="1321"/>
        <v>13666981.112125304</v>
      </c>
      <c r="G1340" s="359">
        <f>'DRE + DCF'!$W$31</f>
        <v>2791623.3540418856</v>
      </c>
      <c r="H1340" s="359">
        <f>'DRE + DCF'!$W$32</f>
        <v>81081.931703745853</v>
      </c>
      <c r="I1340" s="359">
        <f>-H1340*('DRE + DCF'!$V$33+K1340)/'DRE + DCF'!$V$33</f>
        <v>-90858.801614444121</v>
      </c>
      <c r="J1340" s="359">
        <f>-'DRE + DCF'!$V$56*L1340</f>
        <v>-1188924.4255577971</v>
      </c>
      <c r="K1340" s="360">
        <f>(1+L1340)/(1+Ke!$O$12)-1</f>
        <v>2.0000000000000018E-2</v>
      </c>
      <c r="L1340" s="360">
        <f>'DRE + DCF'!$Y$31</f>
        <v>7.3550000000000004E-2</v>
      </c>
      <c r="M1340" s="361">
        <f>(1+D1340)^((5-Dashboard!$F$9)*3/12)</f>
        <v>1.1513648867608557</v>
      </c>
      <c r="N1340" s="361">
        <f t="shared" ref="N1340:V1340" si="1369">M1340*(1+$D1340)</f>
        <v>1.3894095770986539</v>
      </c>
      <c r="O1340" s="361">
        <f t="shared" si="1369"/>
        <v>1.6766700071637901</v>
      </c>
      <c r="P1340" s="361">
        <f t="shared" si="1369"/>
        <v>2.0233215311448909</v>
      </c>
      <c r="Q1340" s="361">
        <f t="shared" si="1369"/>
        <v>2.4416432577090816</v>
      </c>
      <c r="R1340" s="361">
        <f t="shared" si="1369"/>
        <v>2.9464530012404158</v>
      </c>
      <c r="S1340" s="361">
        <f t="shared" si="1369"/>
        <v>3.5556321592468496</v>
      </c>
      <c r="T1340" s="361">
        <f t="shared" si="1369"/>
        <v>4.2907591081711089</v>
      </c>
      <c r="U1340" s="361">
        <f t="shared" si="1369"/>
        <v>5.177873553785453</v>
      </c>
      <c r="V1340" s="362">
        <f t="shared" si="1369"/>
        <v>6.2483989110305567</v>
      </c>
      <c r="X1340" s="351"/>
    </row>
    <row r="1341" spans="3:24" ht="24.75" customHeight="1" x14ac:dyDescent="0.3">
      <c r="C1341" s="353">
        <f>ABS(E1341-Dashboard!$F$14)</f>
        <v>0.76143323546070008</v>
      </c>
      <c r="D1341" s="350">
        <f t="shared" si="1323"/>
        <v>0.20684999999999246</v>
      </c>
      <c r="E1341" s="359" cm="1">
        <f t="array" ref="E1341">1000*SUM('DRE + DCF'!$L$36/M1341,'DRE + DCF'!$N$36:$V$36/N1341:V1341,F1341/V1341)/Dashboard!$F$11</f>
        <v>97.751433235460695</v>
      </c>
      <c r="F1341" s="359">
        <f t="shared" si="1321"/>
        <v>13658661.619042022</v>
      </c>
      <c r="G1341" s="359">
        <f>'DRE + DCF'!$W$31</f>
        <v>2791623.3540418856</v>
      </c>
      <c r="H1341" s="359">
        <f>'DRE + DCF'!$W$32</f>
        <v>81081.931703745853</v>
      </c>
      <c r="I1341" s="359">
        <f>-H1341*('DRE + DCF'!$V$33+K1341)/'DRE + DCF'!$V$33</f>
        <v>-90858.801614444121</v>
      </c>
      <c r="J1341" s="359">
        <f>-'DRE + DCF'!$V$56*L1341</f>
        <v>-1188924.4255577971</v>
      </c>
      <c r="K1341" s="360">
        <f>(1+L1341)/(1+Ke!$O$12)-1</f>
        <v>2.0000000000000018E-2</v>
      </c>
      <c r="L1341" s="360">
        <f>'DRE + DCF'!$Y$31</f>
        <v>7.3550000000000004E-2</v>
      </c>
      <c r="M1341" s="361">
        <f>(1+D1341)^((5-Dashboard!$F$9)*3/12)</f>
        <v>1.1514364438124947</v>
      </c>
      <c r="N1341" s="361">
        <f t="shared" ref="N1341:V1341" si="1370">M1341*(1+$D1341)</f>
        <v>1.3896110722151005</v>
      </c>
      <c r="O1341" s="361">
        <f t="shared" si="1370"/>
        <v>1.6770521225027835</v>
      </c>
      <c r="P1341" s="361">
        <f t="shared" si="1370"/>
        <v>2.0239503540424715</v>
      </c>
      <c r="Q1341" s="361">
        <f t="shared" si="1370"/>
        <v>2.4426044847761412</v>
      </c>
      <c r="R1341" s="361">
        <f t="shared" si="1370"/>
        <v>2.9478572224520674</v>
      </c>
      <c r="S1341" s="361">
        <f t="shared" si="1370"/>
        <v>3.5576214889162552</v>
      </c>
      <c r="T1341" s="361">
        <f t="shared" si="1370"/>
        <v>4.293515493898556</v>
      </c>
      <c r="U1341" s="361">
        <f t="shared" si="1370"/>
        <v>5.1816291738114399</v>
      </c>
      <c r="V1341" s="362">
        <f t="shared" si="1370"/>
        <v>6.2534491684142974</v>
      </c>
      <c r="X1341" s="351"/>
    </row>
    <row r="1342" spans="3:24" ht="24.75" customHeight="1" x14ac:dyDescent="0.3">
      <c r="C1342" s="353">
        <f>ABS(E1342-Dashboard!$F$14)</f>
        <v>0.68226453935510278</v>
      </c>
      <c r="D1342" s="350">
        <f t="shared" si="1323"/>
        <v>0.20694999999999245</v>
      </c>
      <c r="E1342" s="359" cm="1">
        <f t="array" ref="E1342">1000*SUM('DRE + DCF'!$L$36/M1342,'DRE + DCF'!$N$36:$V$36/N1342:V1342,F1342/V1342)/Dashboard!$F$11</f>
        <v>97.672264539355098</v>
      </c>
      <c r="F1342" s="359">
        <f t="shared" si="1321"/>
        <v>13650352.731982693</v>
      </c>
      <c r="G1342" s="359">
        <f>'DRE + DCF'!$W$31</f>
        <v>2791623.3540418856</v>
      </c>
      <c r="H1342" s="359">
        <f>'DRE + DCF'!$W$32</f>
        <v>81081.931703745853</v>
      </c>
      <c r="I1342" s="359">
        <f>-H1342*('DRE + DCF'!$V$33+K1342)/'DRE + DCF'!$V$33</f>
        <v>-90858.801614444121</v>
      </c>
      <c r="J1342" s="359">
        <f>-'DRE + DCF'!$V$56*L1342</f>
        <v>-1188924.4255577971</v>
      </c>
      <c r="K1342" s="360">
        <f>(1+L1342)/(1+Ke!$O$12)-1</f>
        <v>2.0000000000000018E-2</v>
      </c>
      <c r="L1342" s="360">
        <f>'DRE + DCF'!$Y$31</f>
        <v>7.3550000000000004E-2</v>
      </c>
      <c r="M1342" s="361">
        <f>(1+D1342)^((5-Dashboard!$F$9)*3/12)</f>
        <v>1.1515079993818389</v>
      </c>
      <c r="N1342" s="361">
        <f t="shared" ref="N1342:V1342" si="1371">M1342*(1+$D1342)</f>
        <v>1.3898125798539018</v>
      </c>
      <c r="O1342" s="361">
        <f t="shared" si="1371"/>
        <v>1.6774342932546562</v>
      </c>
      <c r="P1342" s="361">
        <f t="shared" si="1371"/>
        <v>2.0245793202436948</v>
      </c>
      <c r="Q1342" s="361">
        <f t="shared" si="1371"/>
        <v>2.4435660105681123</v>
      </c>
      <c r="R1342" s="361">
        <f t="shared" si="1371"/>
        <v>2.9492619964551645</v>
      </c>
      <c r="S1342" s="361">
        <f t="shared" si="1371"/>
        <v>3.5596117666215386</v>
      </c>
      <c r="T1342" s="361">
        <f t="shared" si="1371"/>
        <v>4.2962734217238392</v>
      </c>
      <c r="U1342" s="361">
        <f t="shared" si="1371"/>
        <v>5.1853872063495547</v>
      </c>
      <c r="V1342" s="362">
        <f t="shared" si="1371"/>
        <v>6.2585030887035558</v>
      </c>
      <c r="X1342" s="351"/>
    </row>
    <row r="1343" spans="3:24" ht="24.75" customHeight="1" x14ac:dyDescent="0.3">
      <c r="C1343" s="353">
        <f>ABS(E1343-Dashboard!$F$14)</f>
        <v>0.60320705469987956</v>
      </c>
      <c r="D1343" s="350">
        <f t="shared" si="1323"/>
        <v>0.20704999999999243</v>
      </c>
      <c r="E1343" s="359" cm="1">
        <f t="array" ref="E1343">1000*SUM('DRE + DCF'!$L$36/M1343,'DRE + DCF'!$N$36:$V$36/N1343:V1343,F1343/V1343)/Dashboard!$F$11</f>
        <v>97.593207054699874</v>
      </c>
      <c r="F1343" s="359">
        <f t="shared" si="1321"/>
        <v>13642054.429816643</v>
      </c>
      <c r="G1343" s="359">
        <f>'DRE + DCF'!$W$31</f>
        <v>2791623.3540418856</v>
      </c>
      <c r="H1343" s="359">
        <f>'DRE + DCF'!$W$32</f>
        <v>81081.931703745853</v>
      </c>
      <c r="I1343" s="359">
        <f>-H1343*('DRE + DCF'!$V$33+K1343)/'DRE + DCF'!$V$33</f>
        <v>-90858.801614444121</v>
      </c>
      <c r="J1343" s="359">
        <f>-'DRE + DCF'!$V$56*L1343</f>
        <v>-1188924.4255577971</v>
      </c>
      <c r="K1343" s="360">
        <f>(1+L1343)/(1+Ke!$O$12)-1</f>
        <v>2.0000000000000018E-2</v>
      </c>
      <c r="L1343" s="360">
        <f>'DRE + DCF'!$Y$31</f>
        <v>7.3550000000000004E-2</v>
      </c>
      <c r="M1343" s="361">
        <f>(1+D1343)^((5-Dashboard!$F$9)*3/12)</f>
        <v>1.1515795534690414</v>
      </c>
      <c r="N1343" s="361">
        <f t="shared" ref="N1343:V1343" si="1372">M1343*(1+$D1343)</f>
        <v>1.3900141000147976</v>
      </c>
      <c r="O1343" s="361">
        <f t="shared" si="1372"/>
        <v>1.6778165194228509</v>
      </c>
      <c r="P1343" s="361">
        <f t="shared" si="1372"/>
        <v>2.0252084297693393</v>
      </c>
      <c r="Q1343" s="361">
        <f t="shared" si="1372"/>
        <v>2.4445278351530657</v>
      </c>
      <c r="R1343" s="361">
        <f t="shared" si="1372"/>
        <v>2.9506673234214893</v>
      </c>
      <c r="S1343" s="361">
        <f t="shared" si="1372"/>
        <v>3.5616029927358861</v>
      </c>
      <c r="T1343" s="361">
        <f t="shared" si="1372"/>
        <v>4.299032892381824</v>
      </c>
      <c r="U1343" s="361">
        <f t="shared" si="1372"/>
        <v>5.1891476527494476</v>
      </c>
      <c r="V1343" s="362">
        <f t="shared" si="1372"/>
        <v>6.2635606742511811</v>
      </c>
      <c r="X1343" s="351"/>
    </row>
    <row r="1344" spans="3:24" ht="24.75" customHeight="1" x14ac:dyDescent="0.3">
      <c r="C1344" s="353">
        <f>ABS(E1344-Dashboard!$F$14)</f>
        <v>0.5242605588815934</v>
      </c>
      <c r="D1344" s="350">
        <f t="shared" si="1323"/>
        <v>0.20714999999999242</v>
      </c>
      <c r="E1344" s="359" cm="1">
        <f t="array" ref="E1344">1000*SUM('DRE + DCF'!$L$36/M1344,'DRE + DCF'!$N$36:$V$36/N1344:V1344,F1344/V1344)/Dashboard!$F$11</f>
        <v>97.514260558881588</v>
      </c>
      <c r="F1344" s="359">
        <f t="shared" si="1321"/>
        <v>13633766.691471247</v>
      </c>
      <c r="G1344" s="359">
        <f>'DRE + DCF'!$W$31</f>
        <v>2791623.3540418856</v>
      </c>
      <c r="H1344" s="359">
        <f>'DRE + DCF'!$W$32</f>
        <v>81081.931703745853</v>
      </c>
      <c r="I1344" s="359">
        <f>-H1344*('DRE + DCF'!$V$33+K1344)/'DRE + DCF'!$V$33</f>
        <v>-90858.801614444121</v>
      </c>
      <c r="J1344" s="359">
        <f>-'DRE + DCF'!$V$56*L1344</f>
        <v>-1188924.4255577971</v>
      </c>
      <c r="K1344" s="360">
        <f>(1+L1344)/(1+Ke!$O$12)-1</f>
        <v>2.0000000000000018E-2</v>
      </c>
      <c r="L1344" s="360">
        <f>'DRE + DCF'!$Y$31</f>
        <v>7.3550000000000004E-2</v>
      </c>
      <c r="M1344" s="361">
        <f>(1+D1344)^((5-Dashboard!$F$9)*3/12)</f>
        <v>1.151651106074256</v>
      </c>
      <c r="N1344" s="361">
        <f t="shared" ref="N1344:V1344" si="1373">M1344*(1+$D1344)</f>
        <v>1.3902156326975295</v>
      </c>
      <c r="O1344" s="361">
        <f t="shared" si="1373"/>
        <v>1.6781988010108122</v>
      </c>
      <c r="P1344" s="361">
        <f t="shared" si="1373"/>
        <v>2.0258376826401894</v>
      </c>
      <c r="Q1344" s="361">
        <f t="shared" si="1373"/>
        <v>2.4454899585990892</v>
      </c>
      <c r="R1344" s="361">
        <f t="shared" si="1373"/>
        <v>2.9520732035228718</v>
      </c>
      <c r="S1344" s="361">
        <f t="shared" si="1373"/>
        <v>3.5635951676326121</v>
      </c>
      <c r="T1344" s="361">
        <f t="shared" si="1373"/>
        <v>4.3017939066076805</v>
      </c>
      <c r="U1344" s="361">
        <f t="shared" si="1373"/>
        <v>5.1929105143614285</v>
      </c>
      <c r="V1344" s="362">
        <f t="shared" si="1373"/>
        <v>6.2686219274113588</v>
      </c>
      <c r="X1344" s="351"/>
    </row>
    <row r="1345" spans="3:24" ht="24.75" customHeight="1" x14ac:dyDescent="0.3">
      <c r="C1345" s="353">
        <f>ABS(E1345-Dashboard!$F$14)</f>
        <v>0.44542482988008203</v>
      </c>
      <c r="D1345" s="350">
        <f t="shared" si="1323"/>
        <v>0.20724999999999241</v>
      </c>
      <c r="E1345" s="359" cm="1">
        <f t="array" ref="E1345">1000*SUM('DRE + DCF'!$L$36/M1345,'DRE + DCF'!$N$36:$V$36/N1345:V1345,F1345/V1345)/Dashboard!$F$11</f>
        <v>97.435424829880077</v>
      </c>
      <c r="F1345" s="359">
        <f t="shared" si="1321"/>
        <v>13625489.495931728</v>
      </c>
      <c r="G1345" s="359">
        <f>'DRE + DCF'!$W$31</f>
        <v>2791623.3540418856</v>
      </c>
      <c r="H1345" s="359">
        <f>'DRE + DCF'!$W$32</f>
        <v>81081.931703745853</v>
      </c>
      <c r="I1345" s="359">
        <f>-H1345*('DRE + DCF'!$V$33+K1345)/'DRE + DCF'!$V$33</f>
        <v>-90858.801614444121</v>
      </c>
      <c r="J1345" s="359">
        <f>-'DRE + DCF'!$V$56*L1345</f>
        <v>-1188924.4255577971</v>
      </c>
      <c r="K1345" s="360">
        <f>(1+L1345)/(1+Ke!$O$12)-1</f>
        <v>2.0000000000000018E-2</v>
      </c>
      <c r="L1345" s="360">
        <f>'DRE + DCF'!$Y$31</f>
        <v>7.3550000000000004E-2</v>
      </c>
      <c r="M1345" s="361">
        <f>(1+D1345)^((5-Dashboard!$F$9)*3/12)</f>
        <v>1.151722657197636</v>
      </c>
      <c r="N1345" s="361">
        <f t="shared" ref="N1345:V1345" si="1374">M1345*(1+$D1345)</f>
        <v>1.3904171779018373</v>
      </c>
      <c r="O1345" s="361">
        <f t="shared" si="1374"/>
        <v>1.6785811380219824</v>
      </c>
      <c r="P1345" s="361">
        <f t="shared" si="1374"/>
        <v>2.0264670788770256</v>
      </c>
      <c r="Q1345" s="361">
        <f t="shared" si="1374"/>
        <v>2.4464523809742738</v>
      </c>
      <c r="R1345" s="361">
        <f t="shared" si="1374"/>
        <v>2.9534796369311733</v>
      </c>
      <c r="S1345" s="361">
        <f t="shared" si="1374"/>
        <v>3.5655882916851365</v>
      </c>
      <c r="T1345" s="361">
        <f t="shared" si="1374"/>
        <v>4.3045564651368542</v>
      </c>
      <c r="U1345" s="361">
        <f t="shared" si="1374"/>
        <v>5.1966757925364346</v>
      </c>
      <c r="V1345" s="362">
        <f t="shared" si="1374"/>
        <v>6.2736868505395709</v>
      </c>
      <c r="X1345" s="351"/>
    </row>
    <row r="1346" spans="3:24" ht="24.75" customHeight="1" x14ac:dyDescent="0.3">
      <c r="C1346" s="353">
        <f>ABS(E1346-Dashboard!$F$14)</f>
        <v>0.36669964626629792</v>
      </c>
      <c r="D1346" s="350">
        <f t="shared" si="1323"/>
        <v>0.2073499999999924</v>
      </c>
      <c r="E1346" s="359" cm="1">
        <f t="array" ref="E1346">1000*SUM('DRE + DCF'!$L$36/M1346,'DRE + DCF'!$N$36:$V$36/N1346:V1346,F1346/V1346)/Dashboard!$F$11</f>
        <v>97.356699646266293</v>
      </c>
      <c r="F1346" s="359">
        <f t="shared" si="1321"/>
        <v>13617222.822240945</v>
      </c>
      <c r="G1346" s="359">
        <f>'DRE + DCF'!$W$31</f>
        <v>2791623.3540418856</v>
      </c>
      <c r="H1346" s="359">
        <f>'DRE + DCF'!$W$32</f>
        <v>81081.931703745853</v>
      </c>
      <c r="I1346" s="359">
        <f>-H1346*('DRE + DCF'!$V$33+K1346)/'DRE + DCF'!$V$33</f>
        <v>-90858.801614444121</v>
      </c>
      <c r="J1346" s="359">
        <f>-'DRE + DCF'!$V$56*L1346</f>
        <v>-1188924.4255577971</v>
      </c>
      <c r="K1346" s="360">
        <f>(1+L1346)/(1+Ke!$O$12)-1</f>
        <v>2.0000000000000018E-2</v>
      </c>
      <c r="L1346" s="360">
        <f>'DRE + DCF'!$Y$31</f>
        <v>7.3550000000000004E-2</v>
      </c>
      <c r="M1346" s="361">
        <f>(1+D1346)^((5-Dashboard!$F$9)*3/12)</f>
        <v>1.1517942068393348</v>
      </c>
      <c r="N1346" s="361">
        <f t="shared" ref="N1346:V1346" si="1375">M1346*(1+$D1346)</f>
        <v>1.390618735627462</v>
      </c>
      <c r="O1346" s="361">
        <f t="shared" si="1375"/>
        <v>1.6789635304598056</v>
      </c>
      <c r="P1346" s="361">
        <f t="shared" si="1375"/>
        <v>2.0270966185006336</v>
      </c>
      <c r="Q1346" s="361">
        <f t="shared" si="1375"/>
        <v>2.4474151023467243</v>
      </c>
      <c r="R1346" s="361">
        <f t="shared" si="1375"/>
        <v>2.9548866238182989</v>
      </c>
      <c r="S1346" s="361">
        <f t="shared" si="1375"/>
        <v>3.5675823652670005</v>
      </c>
      <c r="T1346" s="361">
        <f t="shared" si="1375"/>
        <v>4.3073205687050855</v>
      </c>
      <c r="U1346" s="361">
        <f t="shared" si="1375"/>
        <v>5.2004434886260524</v>
      </c>
      <c r="V1346" s="362">
        <f t="shared" si="1375"/>
        <v>6.2787554459926245</v>
      </c>
      <c r="X1346" s="351"/>
    </row>
    <row r="1347" spans="3:24" ht="24.75" customHeight="1" x14ac:dyDescent="0.3">
      <c r="C1347" s="353">
        <f>ABS(E1347-Dashboard!$F$14)</f>
        <v>0.28808478720023345</v>
      </c>
      <c r="D1347" s="350">
        <f t="shared" si="1323"/>
        <v>0.20744999999999239</v>
      </c>
      <c r="E1347" s="359" cm="1">
        <f t="array" ref="E1347">1000*SUM('DRE + DCF'!$L$36/M1347,'DRE + DCF'!$N$36:$V$36/N1347:V1347,F1347/V1347)/Dashboard!$F$11</f>
        <v>97.278084787200228</v>
      </c>
      <c r="F1347" s="359">
        <f t="shared" si="1321"/>
        <v>13608966.6494992</v>
      </c>
      <c r="G1347" s="359">
        <f>'DRE + DCF'!$W$31</f>
        <v>2791623.3540418856</v>
      </c>
      <c r="H1347" s="359">
        <f>'DRE + DCF'!$W$32</f>
        <v>81081.931703745853</v>
      </c>
      <c r="I1347" s="359">
        <f>-H1347*('DRE + DCF'!$V$33+K1347)/'DRE + DCF'!$V$33</f>
        <v>-90858.801614444121</v>
      </c>
      <c r="J1347" s="359">
        <f>-'DRE + DCF'!$V$56*L1347</f>
        <v>-1188924.4255577971</v>
      </c>
      <c r="K1347" s="360">
        <f>(1+L1347)/(1+Ke!$O$12)-1</f>
        <v>2.0000000000000018E-2</v>
      </c>
      <c r="L1347" s="360">
        <f>'DRE + DCF'!$Y$31</f>
        <v>7.3550000000000004E-2</v>
      </c>
      <c r="M1347" s="361">
        <f>(1+D1347)^((5-Dashboard!$F$9)*3/12)</f>
        <v>1.1518657549995057</v>
      </c>
      <c r="N1347" s="361">
        <f t="shared" ref="N1347:V1347" si="1376">M1347*(1+$D1347)</f>
        <v>1.3908203058741444</v>
      </c>
      <c r="O1347" s="361">
        <f t="shared" si="1376"/>
        <v>1.6793459783277251</v>
      </c>
      <c r="P1347" s="361">
        <f t="shared" si="1376"/>
        <v>2.027726301531799</v>
      </c>
      <c r="Q1347" s="361">
        <f t="shared" si="1376"/>
        <v>2.4483781227845554</v>
      </c>
      <c r="R1347" s="361">
        <f t="shared" si="1376"/>
        <v>2.9562941643561929</v>
      </c>
      <c r="S1347" s="361">
        <f t="shared" si="1376"/>
        <v>3.5695773887518625</v>
      </c>
      <c r="T1347" s="361">
        <f t="shared" si="1376"/>
        <v>4.3100862180484087</v>
      </c>
      <c r="U1347" s="361">
        <f t="shared" si="1376"/>
        <v>5.2042136039825184</v>
      </c>
      <c r="V1347" s="362">
        <f t="shared" si="1376"/>
        <v>6.283827716128652</v>
      </c>
      <c r="X1347" s="351"/>
    </row>
    <row r="1348" spans="3:24" ht="24.75" customHeight="1" x14ac:dyDescent="0.3">
      <c r="C1348" s="353">
        <f>ABS(E1348-Dashboard!$F$14)</f>
        <v>0.20958003242914458</v>
      </c>
      <c r="D1348" s="350">
        <f t="shared" si="1323"/>
        <v>0.20754999999999238</v>
      </c>
      <c r="E1348" s="359" cm="1">
        <f t="array" ref="E1348">1000*SUM('DRE + DCF'!$L$36/M1348,'DRE + DCF'!$N$36:$V$36/N1348:V1348,F1348/V1348)/Dashboard!$F$11</f>
        <v>97.199580032429139</v>
      </c>
      <c r="F1348" s="359">
        <f t="shared" si="1321"/>
        <v>13600720.956864033</v>
      </c>
      <c r="G1348" s="359">
        <f>'DRE + DCF'!$W$31</f>
        <v>2791623.3540418856</v>
      </c>
      <c r="H1348" s="359">
        <f>'DRE + DCF'!$W$32</f>
        <v>81081.931703745853</v>
      </c>
      <c r="I1348" s="359">
        <f>-H1348*('DRE + DCF'!$V$33+K1348)/'DRE + DCF'!$V$33</f>
        <v>-90858.801614444121</v>
      </c>
      <c r="J1348" s="359">
        <f>-'DRE + DCF'!$V$56*L1348</f>
        <v>-1188924.4255577971</v>
      </c>
      <c r="K1348" s="360">
        <f>(1+L1348)/(1+Ke!$O$12)-1</f>
        <v>2.0000000000000018E-2</v>
      </c>
      <c r="L1348" s="360">
        <f>'DRE + DCF'!$Y$31</f>
        <v>7.3550000000000004E-2</v>
      </c>
      <c r="M1348" s="361">
        <f>(1+D1348)^((5-Dashboard!$F$9)*3/12)</f>
        <v>1.1519373016783025</v>
      </c>
      <c r="N1348" s="361">
        <f t="shared" ref="N1348:V1348" si="1377">M1348*(1+$D1348)</f>
        <v>1.3910218886416255</v>
      </c>
      <c r="O1348" s="361">
        <f t="shared" si="1377"/>
        <v>1.6797284816291842</v>
      </c>
      <c r="P1348" s="361">
        <f t="shared" si="1377"/>
        <v>2.0283561279913087</v>
      </c>
      <c r="Q1348" s="361">
        <f t="shared" si="1377"/>
        <v>2.4493414423558892</v>
      </c>
      <c r="R1348" s="361">
        <f t="shared" si="1377"/>
        <v>2.9577022587168353</v>
      </c>
      <c r="S1348" s="361">
        <f t="shared" si="1377"/>
        <v>3.571573362513492</v>
      </c>
      <c r="T1348" s="361">
        <f t="shared" si="1377"/>
        <v>4.3128534139031398</v>
      </c>
      <c r="U1348" s="361">
        <f t="shared" si="1377"/>
        <v>5.2079861399587033</v>
      </c>
      <c r="V1348" s="362">
        <f t="shared" si="1377"/>
        <v>6.2889036633070923</v>
      </c>
      <c r="X1348" s="351"/>
    </row>
    <row r="1349" spans="3:24" ht="24.75" customHeight="1" x14ac:dyDescent="0.3">
      <c r="C1349" s="353">
        <f>ABS(E1349-Dashboard!$F$14)</f>
        <v>0.131185162285405</v>
      </c>
      <c r="D1349" s="350">
        <f t="shared" si="1323"/>
        <v>0.20764999999999237</v>
      </c>
      <c r="E1349" s="359" cm="1">
        <f t="array" ref="E1349">1000*SUM('DRE + DCF'!$L$36/M1349,'DRE + DCF'!$N$36:$V$36/N1349:V1349,F1349/V1349)/Dashboard!$F$11</f>
        <v>97.1211851622854</v>
      </c>
      <c r="F1349" s="359">
        <f t="shared" si="1321"/>
        <v>13592485.723550018</v>
      </c>
      <c r="G1349" s="359">
        <f>'DRE + DCF'!$W$31</f>
        <v>2791623.3540418856</v>
      </c>
      <c r="H1349" s="359">
        <f>'DRE + DCF'!$W$32</f>
        <v>81081.931703745853</v>
      </c>
      <c r="I1349" s="359">
        <f>-H1349*('DRE + DCF'!$V$33+K1349)/'DRE + DCF'!$V$33</f>
        <v>-90858.801614444121</v>
      </c>
      <c r="J1349" s="359">
        <f>-'DRE + DCF'!$V$56*L1349</f>
        <v>-1188924.4255577971</v>
      </c>
      <c r="K1349" s="360">
        <f>(1+L1349)/(1+Ke!$O$12)-1</f>
        <v>2.0000000000000018E-2</v>
      </c>
      <c r="L1349" s="360">
        <f>'DRE + DCF'!$Y$31</f>
        <v>7.3550000000000004E-2</v>
      </c>
      <c r="M1349" s="361">
        <f>(1+D1349)^((5-Dashboard!$F$9)*3/12)</f>
        <v>1.1520088468758782</v>
      </c>
      <c r="N1349" s="361">
        <f t="shared" ref="N1349:V1349" si="1378">M1349*(1+$D1349)</f>
        <v>1.3912234839296456</v>
      </c>
      <c r="O1349" s="361">
        <f t="shared" si="1378"/>
        <v>1.6801110403676258</v>
      </c>
      <c r="P1349" s="361">
        <f t="shared" si="1378"/>
        <v>2.0289860978999505</v>
      </c>
      <c r="Q1349" s="361">
        <f t="shared" si="1378"/>
        <v>2.4503050611288599</v>
      </c>
      <c r="R1349" s="361">
        <f t="shared" si="1378"/>
        <v>2.9591109070722488</v>
      </c>
      <c r="S1349" s="361">
        <f t="shared" si="1378"/>
        <v>3.5735702869257784</v>
      </c>
      <c r="T1349" s="361">
        <f t="shared" si="1378"/>
        <v>4.3156221570058886</v>
      </c>
      <c r="U1349" s="361">
        <f t="shared" si="1378"/>
        <v>5.2117610979081279</v>
      </c>
      <c r="V1349" s="362">
        <f t="shared" si="1378"/>
        <v>6.2939832898887111</v>
      </c>
      <c r="X1349" s="351"/>
    </row>
    <row r="1350" spans="3:24" ht="24.75" customHeight="1" x14ac:dyDescent="0.3">
      <c r="C1350" s="353">
        <f>ABS(E1350-Dashboard!$F$14)</f>
        <v>5.2899957684587662E-2</v>
      </c>
      <c r="D1350" s="350">
        <f t="shared" si="1323"/>
        <v>0.20774999999999236</v>
      </c>
      <c r="E1350" s="359" cm="1">
        <f t="array" ref="E1350">1000*SUM('DRE + DCF'!$L$36/M1350,'DRE + DCF'!$N$36:$V$36/N1350:V1350,F1350/V1350)/Dashboard!$F$11</f>
        <v>97.042899957684583</v>
      </c>
      <c r="F1350" s="359">
        <f t="shared" si="1321"/>
        <v>13584260.928828564</v>
      </c>
      <c r="G1350" s="359">
        <f>'DRE + DCF'!$W$31</f>
        <v>2791623.3540418856</v>
      </c>
      <c r="H1350" s="359">
        <f>'DRE + DCF'!$W$32</f>
        <v>81081.931703745853</v>
      </c>
      <c r="I1350" s="359">
        <f>-H1350*('DRE + DCF'!$V$33+K1350)/'DRE + DCF'!$V$33</f>
        <v>-90858.801614444121</v>
      </c>
      <c r="J1350" s="359">
        <f>-'DRE + DCF'!$V$56*L1350</f>
        <v>-1188924.4255577971</v>
      </c>
      <c r="K1350" s="360">
        <f>(1+L1350)/(1+Ke!$O$12)-1</f>
        <v>2.0000000000000018E-2</v>
      </c>
      <c r="L1350" s="360">
        <f>'DRE + DCF'!$Y$31</f>
        <v>7.3550000000000004E-2</v>
      </c>
      <c r="M1350" s="361">
        <f>(1+D1350)^((5-Dashboard!$F$9)*3/12)</f>
        <v>1.1520803905923862</v>
      </c>
      <c r="N1350" s="361">
        <f t="shared" ref="N1350:V1350" si="1379">M1350*(1+$D1350)</f>
        <v>1.3914250917379456</v>
      </c>
      <c r="O1350" s="361">
        <f t="shared" si="1379"/>
        <v>1.680493654546493</v>
      </c>
      <c r="P1350" s="361">
        <f t="shared" si="1379"/>
        <v>2.0296162112785141</v>
      </c>
      <c r="Q1350" s="361">
        <f t="shared" si="1379"/>
        <v>2.4512689791716098</v>
      </c>
      <c r="R1350" s="361">
        <f t="shared" si="1379"/>
        <v>2.9605201095944929</v>
      </c>
      <c r="S1350" s="361">
        <f t="shared" si="1379"/>
        <v>3.575568162362726</v>
      </c>
      <c r="T1350" s="361">
        <f t="shared" si="1379"/>
        <v>4.3183924480935545</v>
      </c>
      <c r="U1350" s="361">
        <f t="shared" si="1379"/>
        <v>5.2155384791849571</v>
      </c>
      <c r="V1350" s="362">
        <f t="shared" si="1379"/>
        <v>6.2990665982355916</v>
      </c>
      <c r="X1350" s="351"/>
    </row>
    <row r="1351" spans="3:24" ht="24.75" customHeight="1" x14ac:dyDescent="0.3">
      <c r="C1351" s="353">
        <f>ABS(E1351-Dashboard!$F$14)</f>
        <v>2.5275799876652627E-2</v>
      </c>
      <c r="D1351" s="350">
        <f t="shared" si="1323"/>
        <v>0.20784999999999235</v>
      </c>
      <c r="E1351" s="359" cm="1">
        <f t="array" ref="E1351">1000*SUM('DRE + DCF'!$L$36/M1351,'DRE + DCF'!$N$36:$V$36/N1351:V1351,F1351/V1351)/Dashboard!$F$11</f>
        <v>96.964724200123342</v>
      </c>
      <c r="F1351" s="359">
        <f t="shared" si="1321"/>
        <v>13576046.552027717</v>
      </c>
      <c r="G1351" s="359">
        <f>'DRE + DCF'!$W$31</f>
        <v>2791623.3540418856</v>
      </c>
      <c r="H1351" s="359">
        <f>'DRE + DCF'!$W$32</f>
        <v>81081.931703745853</v>
      </c>
      <c r="I1351" s="359">
        <f>-H1351*('DRE + DCF'!$V$33+K1351)/'DRE + DCF'!$V$33</f>
        <v>-90858.801614444121</v>
      </c>
      <c r="J1351" s="359">
        <f>-'DRE + DCF'!$V$56*L1351</f>
        <v>-1188924.4255577971</v>
      </c>
      <c r="K1351" s="360">
        <f>(1+L1351)/(1+Ke!$O$12)-1</f>
        <v>2.0000000000000018E-2</v>
      </c>
      <c r="L1351" s="360">
        <f>'DRE + DCF'!$Y$31</f>
        <v>7.3550000000000004E-2</v>
      </c>
      <c r="M1351" s="361">
        <f>(1+D1351)^((5-Dashboard!$F$9)*3/12)</f>
        <v>1.1521519328279797</v>
      </c>
      <c r="N1351" s="361">
        <f t="shared" ref="N1351:V1351" si="1380">M1351*(1+$D1351)</f>
        <v>1.3916267120662664</v>
      </c>
      <c r="O1351" s="361">
        <f t="shared" si="1380"/>
        <v>1.6808763241692293</v>
      </c>
      <c r="P1351" s="361">
        <f t="shared" si="1380"/>
        <v>2.0302464681477908</v>
      </c>
      <c r="Q1351" s="361">
        <f t="shared" si="1380"/>
        <v>2.4522331965522937</v>
      </c>
      <c r="R1351" s="361">
        <f t="shared" si="1380"/>
        <v>2.961929866455669</v>
      </c>
      <c r="S1351" s="361">
        <f t="shared" si="1380"/>
        <v>3.5775669891984569</v>
      </c>
      <c r="T1351" s="361">
        <f t="shared" si="1380"/>
        <v>4.3211642879033292</v>
      </c>
      <c r="U1351" s="361">
        <f t="shared" si="1380"/>
        <v>5.219318285144003</v>
      </c>
      <c r="V1351" s="362">
        <f t="shared" si="1380"/>
        <v>6.3041535907111443</v>
      </c>
      <c r="X1351" s="351"/>
    </row>
    <row r="1352" spans="3:24" ht="24.75" customHeight="1" x14ac:dyDescent="0.3">
      <c r="C1352" s="353">
        <f>ABS(E1352-Dashboard!$F$14)</f>
        <v>0.10334232832222767</v>
      </c>
      <c r="D1352" s="350">
        <f t="shared" si="1323"/>
        <v>0.20794999999999234</v>
      </c>
      <c r="E1352" s="359" cm="1">
        <f t="array" ref="E1352">1000*SUM('DRE + DCF'!$L$36/M1352,'DRE + DCF'!$N$36:$V$36/N1352:V1352,F1352/V1352)/Dashboard!$F$11</f>
        <v>96.886657671677767</v>
      </c>
      <c r="F1352" s="359">
        <f t="shared" si="1321"/>
        <v>13567842.572531965</v>
      </c>
      <c r="G1352" s="359">
        <f>'DRE + DCF'!$W$31</f>
        <v>2791623.3540418856</v>
      </c>
      <c r="H1352" s="359">
        <f>'DRE + DCF'!$W$32</f>
        <v>81081.931703745853</v>
      </c>
      <c r="I1352" s="359">
        <f>-H1352*('DRE + DCF'!$V$33+K1352)/'DRE + DCF'!$V$33</f>
        <v>-90858.801614444121</v>
      </c>
      <c r="J1352" s="359">
        <f>-'DRE + DCF'!$V$56*L1352</f>
        <v>-1188924.4255577971</v>
      </c>
      <c r="K1352" s="360">
        <f>(1+L1352)/(1+Ke!$O$12)-1</f>
        <v>2.0000000000000018E-2</v>
      </c>
      <c r="L1352" s="360">
        <f>'DRE + DCF'!$Y$31</f>
        <v>7.3550000000000004E-2</v>
      </c>
      <c r="M1352" s="361">
        <f>(1+D1352)^((5-Dashboard!$F$9)*3/12)</f>
        <v>1.1522234735828121</v>
      </c>
      <c r="N1352" s="361">
        <f t="shared" ref="N1352:V1352" si="1381">M1352*(1+$D1352)</f>
        <v>1.3918283449143489</v>
      </c>
      <c r="O1352" s="361">
        <f t="shared" si="1381"/>
        <v>1.6812590492392772</v>
      </c>
      <c r="P1352" s="361">
        <f t="shared" si="1381"/>
        <v>2.0308768685285719</v>
      </c>
      <c r="Q1352" s="361">
        <f t="shared" si="1381"/>
        <v>2.4531977133390725</v>
      </c>
      <c r="R1352" s="361">
        <f t="shared" si="1381"/>
        <v>2.9633401778279138</v>
      </c>
      <c r="S1352" s="361">
        <f t="shared" si="1381"/>
        <v>3.5795667678072056</v>
      </c>
      <c r="T1352" s="361">
        <f t="shared" si="1381"/>
        <v>4.3239376771726867</v>
      </c>
      <c r="U1352" s="361">
        <f t="shared" si="1381"/>
        <v>5.2231005171407139</v>
      </c>
      <c r="V1352" s="362">
        <f t="shared" si="1381"/>
        <v>6.309244269680085</v>
      </c>
      <c r="X1352" s="351"/>
    </row>
    <row r="1353" spans="3:24" ht="24.75" customHeight="1" x14ac:dyDescent="0.3">
      <c r="C1353" s="353">
        <f>ABS(E1353-Dashboard!$F$14)</f>
        <v>0.18129984499893226</v>
      </c>
      <c r="D1353" s="350">
        <f t="shared" si="1323"/>
        <v>0.20804999999999232</v>
      </c>
      <c r="E1353" s="359" cm="1">
        <f t="array" ref="E1353">1000*SUM('DRE + DCF'!$L$36/M1353,'DRE + DCF'!$N$36:$V$36/N1353:V1353,F1353/V1353)/Dashboard!$F$11</f>
        <v>96.808700155001063</v>
      </c>
      <c r="F1353" s="359">
        <f t="shared" si="1321"/>
        <v>13559648.96978203</v>
      </c>
      <c r="G1353" s="359">
        <f>'DRE + DCF'!$W$31</f>
        <v>2791623.3540418856</v>
      </c>
      <c r="H1353" s="359">
        <f>'DRE + DCF'!$W$32</f>
        <v>81081.931703745853</v>
      </c>
      <c r="I1353" s="359">
        <f>-H1353*('DRE + DCF'!$V$33+K1353)/'DRE + DCF'!$V$33</f>
        <v>-90858.801614444121</v>
      </c>
      <c r="J1353" s="359">
        <f>-'DRE + DCF'!$V$56*L1353</f>
        <v>-1188924.4255577971</v>
      </c>
      <c r="K1353" s="360">
        <f>(1+L1353)/(1+Ke!$O$12)-1</f>
        <v>2.0000000000000018E-2</v>
      </c>
      <c r="L1353" s="360">
        <f>'DRE + DCF'!$Y$31</f>
        <v>7.3550000000000004E-2</v>
      </c>
      <c r="M1353" s="361">
        <f>(1+D1353)^((5-Dashboard!$F$9)*3/12)</f>
        <v>1.1522950128570364</v>
      </c>
      <c r="N1353" s="361">
        <f t="shared" ref="N1353:V1353" si="1382">M1353*(1+$D1353)</f>
        <v>1.392029990281934</v>
      </c>
      <c r="O1353" s="361">
        <f t="shared" si="1382"/>
        <v>1.6816418297600797</v>
      </c>
      <c r="P1353" s="361">
        <f t="shared" si="1382"/>
        <v>2.0315074124416515</v>
      </c>
      <c r="Q1353" s="361">
        <f t="shared" si="1382"/>
        <v>2.4541625296001213</v>
      </c>
      <c r="R1353" s="361">
        <f t="shared" si="1382"/>
        <v>2.9647510438834077</v>
      </c>
      <c r="S1353" s="361">
        <f t="shared" si="1382"/>
        <v>3.5815674985633277</v>
      </c>
      <c r="T1353" s="361">
        <f t="shared" si="1382"/>
        <v>4.3267126166394005</v>
      </c>
      <c r="U1353" s="361">
        <f t="shared" si="1382"/>
        <v>5.2268851765311943</v>
      </c>
      <c r="V1353" s="362">
        <f t="shared" si="1382"/>
        <v>6.3143386375084694</v>
      </c>
      <c r="X1353" s="351"/>
    </row>
    <row r="1354" spans="3:24" ht="24.75" customHeight="1" x14ac:dyDescent="0.3">
      <c r="C1354" s="353">
        <f>ABS(E1354-Dashboard!$F$14)</f>
        <v>0.25914856667817787</v>
      </c>
      <c r="D1354" s="350">
        <f t="shared" si="1323"/>
        <v>0.20814999999999231</v>
      </c>
      <c r="E1354" s="359" cm="1">
        <f t="array" ref="E1354">1000*SUM('DRE + DCF'!$L$36/M1354,'DRE + DCF'!$N$36:$V$36/N1354:V1354,F1354/V1354)/Dashboard!$F$11</f>
        <v>96.730851433321817</v>
      </c>
      <c r="F1354" s="359">
        <f t="shared" si="1321"/>
        <v>13551465.723274682</v>
      </c>
      <c r="G1354" s="359">
        <f>'DRE + DCF'!$W$31</f>
        <v>2791623.3540418856</v>
      </c>
      <c r="H1354" s="359">
        <f>'DRE + DCF'!$W$32</f>
        <v>81081.931703745853</v>
      </c>
      <c r="I1354" s="359">
        <f>-H1354*('DRE + DCF'!$V$33+K1354)/'DRE + DCF'!$V$33</f>
        <v>-90858.801614444121</v>
      </c>
      <c r="J1354" s="359">
        <f>-'DRE + DCF'!$V$56*L1354</f>
        <v>-1188924.4255577971</v>
      </c>
      <c r="K1354" s="360">
        <f>(1+L1354)/(1+Ke!$O$12)-1</f>
        <v>2.0000000000000018E-2</v>
      </c>
      <c r="L1354" s="360">
        <f>'DRE + DCF'!$Y$31</f>
        <v>7.3550000000000004E-2</v>
      </c>
      <c r="M1354" s="361">
        <f>(1+D1354)^((5-Dashboard!$F$9)*3/12)</f>
        <v>1.1523665506508061</v>
      </c>
      <c r="N1354" s="361">
        <f t="shared" ref="N1354:V1354" si="1383">M1354*(1+$D1354)</f>
        <v>1.3922316481687624</v>
      </c>
      <c r="O1354" s="361">
        <f t="shared" si="1383"/>
        <v>1.6820246657350797</v>
      </c>
      <c r="P1354" s="361">
        <f t="shared" si="1383"/>
        <v>2.0321380999078236</v>
      </c>
      <c r="Q1354" s="361">
        <f t="shared" si="1383"/>
        <v>2.4551276454036213</v>
      </c>
      <c r="R1354" s="361">
        <f t="shared" si="1383"/>
        <v>2.9661624647943663</v>
      </c>
      <c r="S1354" s="361">
        <f t="shared" si="1383"/>
        <v>3.5835691818412907</v>
      </c>
      <c r="T1354" s="361">
        <f t="shared" si="1383"/>
        <v>4.3294891070415273</v>
      </c>
      <c r="U1354" s="361">
        <f t="shared" si="1383"/>
        <v>5.2306722646721875</v>
      </c>
      <c r="V1354" s="362">
        <f t="shared" si="1383"/>
        <v>6.3194366965636632</v>
      </c>
      <c r="X1354" s="351"/>
    </row>
    <row r="1355" spans="3:24" ht="24.75" customHeight="1" x14ac:dyDescent="0.3">
      <c r="C1355" s="353">
        <f>ABS(E1355-Dashboard!$F$14)</f>
        <v>0.33688870955793959</v>
      </c>
      <c r="D1355" s="350">
        <f t="shared" si="1323"/>
        <v>0.2082499999999923</v>
      </c>
      <c r="E1355" s="359" cm="1">
        <f t="array" ref="E1355">1000*SUM('DRE + DCF'!$L$36/M1355,'DRE + DCF'!$N$36:$V$36/N1355:V1355,F1355/V1355)/Dashboard!$F$11</f>
        <v>96.653111290442055</v>
      </c>
      <c r="F1355" s="359">
        <f t="shared" si="1321"/>
        <v>13543292.812562538</v>
      </c>
      <c r="G1355" s="359">
        <f>'DRE + DCF'!$W$31</f>
        <v>2791623.3540418856</v>
      </c>
      <c r="H1355" s="359">
        <f>'DRE + DCF'!$W$32</f>
        <v>81081.931703745853</v>
      </c>
      <c r="I1355" s="359">
        <f>-H1355*('DRE + DCF'!$V$33+K1355)/'DRE + DCF'!$V$33</f>
        <v>-90858.801614444121</v>
      </c>
      <c r="J1355" s="359">
        <f>-'DRE + DCF'!$V$56*L1355</f>
        <v>-1188924.4255577971</v>
      </c>
      <c r="K1355" s="360">
        <f>(1+L1355)/(1+Ke!$O$12)-1</f>
        <v>2.0000000000000018E-2</v>
      </c>
      <c r="L1355" s="360">
        <f>'DRE + DCF'!$Y$31</f>
        <v>7.3550000000000004E-2</v>
      </c>
      <c r="M1355" s="361">
        <f>(1+D1355)^((5-Dashboard!$F$9)*3/12)</f>
        <v>1.1524380869642741</v>
      </c>
      <c r="N1355" s="361">
        <f t="shared" ref="N1355:V1355" si="1384">M1355*(1+$D1355)</f>
        <v>1.3924333185745752</v>
      </c>
      <c r="O1355" s="361">
        <f t="shared" si="1384"/>
        <v>1.6824075571677197</v>
      </c>
      <c r="P1355" s="361">
        <f t="shared" si="1384"/>
        <v>2.0327689309478845</v>
      </c>
      <c r="Q1355" s="361">
        <f t="shared" si="1384"/>
        <v>2.4560930608177656</v>
      </c>
      <c r="R1355" s="361">
        <f t="shared" si="1384"/>
        <v>2.9675744407330464</v>
      </c>
      <c r="S1355" s="361">
        <f t="shared" si="1384"/>
        <v>3.5855718180156804</v>
      </c>
      <c r="T1355" s="361">
        <f t="shared" si="1384"/>
        <v>4.3322671491174178</v>
      </c>
      <c r="U1355" s="361">
        <f t="shared" si="1384"/>
        <v>5.2344617829210867</v>
      </c>
      <c r="V1355" s="362">
        <f t="shared" si="1384"/>
        <v>6.3245384492143621</v>
      </c>
      <c r="X1355" s="351"/>
    </row>
    <row r="1356" spans="3:24" ht="24.75" customHeight="1" x14ac:dyDescent="0.3">
      <c r="C1356" s="353">
        <f>ABS(E1356-Dashboard!$F$14)</f>
        <v>0.41452048926480245</v>
      </c>
      <c r="D1356" s="350">
        <f t="shared" si="1323"/>
        <v>0.20834999999999229</v>
      </c>
      <c r="E1356" s="359" cm="1">
        <f t="array" ref="E1356">1000*SUM('DRE + DCF'!$L$36/M1356,'DRE + DCF'!$N$36:$V$36/N1356:V1356,F1356/V1356)/Dashboard!$F$11</f>
        <v>96.575479510735192</v>
      </c>
      <c r="F1356" s="359">
        <f t="shared" si="1321"/>
        <v>13535130.217253868</v>
      </c>
      <c r="G1356" s="359">
        <f>'DRE + DCF'!$W$31</f>
        <v>2791623.3540418856</v>
      </c>
      <c r="H1356" s="359">
        <f>'DRE + DCF'!$W$32</f>
        <v>81081.931703745853</v>
      </c>
      <c r="I1356" s="359">
        <f>-H1356*('DRE + DCF'!$V$33+K1356)/'DRE + DCF'!$V$33</f>
        <v>-90858.801614444121</v>
      </c>
      <c r="J1356" s="359">
        <f>-'DRE + DCF'!$V$56*L1356</f>
        <v>-1188924.4255577971</v>
      </c>
      <c r="K1356" s="360">
        <f>(1+L1356)/(1+Ke!$O$12)-1</f>
        <v>2.0000000000000018E-2</v>
      </c>
      <c r="L1356" s="360">
        <f>'DRE + DCF'!$Y$31</f>
        <v>7.3550000000000004E-2</v>
      </c>
      <c r="M1356" s="361">
        <f>(1+D1356)^((5-Dashboard!$F$9)*3/12)</f>
        <v>1.1525096217975939</v>
      </c>
      <c r="N1356" s="361">
        <f t="shared" ref="N1356:V1356" si="1385">M1356*(1+$D1356)</f>
        <v>1.3926350014991136</v>
      </c>
      <c r="O1356" s="361">
        <f t="shared" si="1385"/>
        <v>1.682790504061443</v>
      </c>
      <c r="P1356" s="361">
        <f t="shared" si="1385"/>
        <v>2.0333999055826317</v>
      </c>
      <c r="Q1356" s="361">
        <f t="shared" si="1385"/>
        <v>2.4570587759107574</v>
      </c>
      <c r="R1356" s="361">
        <f t="shared" si="1385"/>
        <v>2.9689869718717445</v>
      </c>
      <c r="S1356" s="361">
        <f t="shared" si="1385"/>
        <v>3.5875754074611996</v>
      </c>
      <c r="T1356" s="361">
        <f t="shared" si="1385"/>
        <v>4.3350467436057132</v>
      </c>
      <c r="U1356" s="361">
        <f t="shared" si="1385"/>
        <v>5.23825373263593</v>
      </c>
      <c r="V1356" s="362">
        <f t="shared" si="1385"/>
        <v>6.3296438978305858</v>
      </c>
      <c r="X1356" s="351"/>
    </row>
    <row r="1357" spans="3:24" ht="24.75" customHeight="1" x14ac:dyDescent="0.3">
      <c r="C1357" s="353">
        <f>ABS(E1357-Dashboard!$F$14)</f>
        <v>0.49204412085578042</v>
      </c>
      <c r="D1357" s="350">
        <f t="shared" si="1323"/>
        <v>0.20844999999999228</v>
      </c>
      <c r="E1357" s="359" cm="1">
        <f t="array" ref="E1357">1000*SUM('DRE + DCF'!$L$36/M1357,'DRE + DCF'!$N$36:$V$36/N1357:V1357,F1357/V1357)/Dashboard!$F$11</f>
        <v>96.497955879144214</v>
      </c>
      <c r="F1357" s="359">
        <f t="shared" si="1321"/>
        <v>13526977.917012399</v>
      </c>
      <c r="G1357" s="359">
        <f>'DRE + DCF'!$W$31</f>
        <v>2791623.3540418856</v>
      </c>
      <c r="H1357" s="359">
        <f>'DRE + DCF'!$W$32</f>
        <v>81081.931703745853</v>
      </c>
      <c r="I1357" s="359">
        <f>-H1357*('DRE + DCF'!$V$33+K1357)/'DRE + DCF'!$V$33</f>
        <v>-90858.801614444121</v>
      </c>
      <c r="J1357" s="359">
        <f>-'DRE + DCF'!$V$56*L1357</f>
        <v>-1188924.4255577971</v>
      </c>
      <c r="K1357" s="360">
        <f>(1+L1357)/(1+Ke!$O$12)-1</f>
        <v>2.0000000000000018E-2</v>
      </c>
      <c r="L1357" s="360">
        <f>'DRE + DCF'!$Y$31</f>
        <v>7.3550000000000004E-2</v>
      </c>
      <c r="M1357" s="361">
        <f>(1+D1357)^((5-Dashboard!$F$9)*3/12)</f>
        <v>1.1525811551509182</v>
      </c>
      <c r="N1357" s="361">
        <f t="shared" ref="N1357:V1357" si="1386">M1357*(1+$D1357)</f>
        <v>1.3928366969421182</v>
      </c>
      <c r="O1357" s="361">
        <f t="shared" si="1386"/>
        <v>1.683173506419692</v>
      </c>
      <c r="P1357" s="361">
        <f t="shared" si="1386"/>
        <v>2.0340310238328638</v>
      </c>
      <c r="Q1357" s="361">
        <f t="shared" si="1386"/>
        <v>2.4580247907508084</v>
      </c>
      <c r="R1357" s="361">
        <f t="shared" si="1386"/>
        <v>2.9704000583827952</v>
      </c>
      <c r="S1357" s="361">
        <f t="shared" si="1386"/>
        <v>3.589579950552666</v>
      </c>
      <c r="T1357" s="361">
        <f t="shared" si="1386"/>
        <v>4.3378278912453414</v>
      </c>
      <c r="U1357" s="361">
        <f t="shared" si="1386"/>
        <v>5.2420481151753995</v>
      </c>
      <c r="V1357" s="362">
        <f t="shared" si="1386"/>
        <v>6.3347530447836711</v>
      </c>
      <c r="X1357" s="351"/>
    </row>
    <row r="1358" spans="3:24" ht="24.75" customHeight="1" x14ac:dyDescent="0.3">
      <c r="C1358" s="353">
        <f>ABS(E1358-Dashboard!$F$14)</f>
        <v>0.56945981882026331</v>
      </c>
      <c r="D1358" s="350">
        <f t="shared" si="1323"/>
        <v>0.20854999999999227</v>
      </c>
      <c r="E1358" s="359" cm="1">
        <f t="array" ref="E1358">1000*SUM('DRE + DCF'!$L$36/M1358,'DRE + DCF'!$N$36:$V$36/N1358:V1358,F1358/V1358)/Dashboard!$F$11</f>
        <v>96.420540181179732</v>
      </c>
      <c r="F1358" s="359">
        <f t="shared" ref="F1358:F1421" si="1387">AVERAGE(SUM(G1358:J1358)*(1+L1358)/(D1358-L1358),G1358*(1+L1358)*(1-L1358/D1358)/(D1358-L1358))</f>
        <v>13518835.891557127</v>
      </c>
      <c r="G1358" s="359">
        <f>'DRE + DCF'!$W$31</f>
        <v>2791623.3540418856</v>
      </c>
      <c r="H1358" s="359">
        <f>'DRE + DCF'!$W$32</f>
        <v>81081.931703745853</v>
      </c>
      <c r="I1358" s="359">
        <f>-H1358*('DRE + DCF'!$V$33+K1358)/'DRE + DCF'!$V$33</f>
        <v>-90858.801614444121</v>
      </c>
      <c r="J1358" s="359">
        <f>-'DRE + DCF'!$V$56*L1358</f>
        <v>-1188924.4255577971</v>
      </c>
      <c r="K1358" s="360">
        <f>(1+L1358)/(1+Ke!$O$12)-1</f>
        <v>2.0000000000000018E-2</v>
      </c>
      <c r="L1358" s="360">
        <f>'DRE + DCF'!$Y$31</f>
        <v>7.3550000000000004E-2</v>
      </c>
      <c r="M1358" s="361">
        <f>(1+D1358)^((5-Dashboard!$F$9)*3/12)</f>
        <v>1.1526526870244003</v>
      </c>
      <c r="N1358" s="361">
        <f t="shared" ref="N1358:V1358" si="1388">M1358*(1+$D1358)</f>
        <v>1.39303840490333</v>
      </c>
      <c r="O1358" s="361">
        <f t="shared" si="1388"/>
        <v>1.6835565642459087</v>
      </c>
      <c r="P1358" s="361">
        <f t="shared" si="1388"/>
        <v>2.0346622857193801</v>
      </c>
      <c r="Q1358" s="361">
        <f t="shared" si="1388"/>
        <v>2.4589911054061409</v>
      </c>
      <c r="R1358" s="361">
        <f t="shared" si="1388"/>
        <v>2.9718137004385725</v>
      </c>
      <c r="S1358" s="361">
        <f t="shared" si="1388"/>
        <v>3.5915854476650138</v>
      </c>
      <c r="T1358" s="361">
        <f t="shared" si="1388"/>
        <v>4.3406105927755245</v>
      </c>
      <c r="U1358" s="361">
        <f t="shared" si="1388"/>
        <v>5.2458449318988265</v>
      </c>
      <c r="V1358" s="362">
        <f t="shared" si="1388"/>
        <v>6.3398658924462863</v>
      </c>
      <c r="X1358" s="351"/>
    </row>
    <row r="1359" spans="3:24" ht="24.75" customHeight="1" x14ac:dyDescent="0.3">
      <c r="C1359" s="353">
        <f>ABS(E1359-Dashboard!$F$14)</f>
        <v>0.64676779708193521</v>
      </c>
      <c r="D1359" s="350">
        <f t="shared" ref="D1359:D1422" si="1389">D1358+0.0001</f>
        <v>0.20864999999999226</v>
      </c>
      <c r="E1359" s="359" cm="1">
        <f t="array" ref="E1359">1000*SUM('DRE + DCF'!$L$36/M1359,'DRE + DCF'!$N$36:$V$36/N1359:V1359,F1359/V1359)/Dashboard!$F$11</f>
        <v>96.34323220291806</v>
      </c>
      <c r="F1359" s="359">
        <f t="shared" si="1387"/>
        <v>13510704.120662116</v>
      </c>
      <c r="G1359" s="359">
        <f>'DRE + DCF'!$W$31</f>
        <v>2791623.3540418856</v>
      </c>
      <c r="H1359" s="359">
        <f>'DRE + DCF'!$W$32</f>
        <v>81081.931703745853</v>
      </c>
      <c r="I1359" s="359">
        <f>-H1359*('DRE + DCF'!$V$33+K1359)/'DRE + DCF'!$V$33</f>
        <v>-90858.801614444121</v>
      </c>
      <c r="J1359" s="359">
        <f>-'DRE + DCF'!$V$56*L1359</f>
        <v>-1188924.4255577971</v>
      </c>
      <c r="K1359" s="360">
        <f>(1+L1359)/(1+Ke!$O$12)-1</f>
        <v>2.0000000000000018E-2</v>
      </c>
      <c r="L1359" s="360">
        <f>'DRE + DCF'!$Y$31</f>
        <v>7.3550000000000004E-2</v>
      </c>
      <c r="M1359" s="361">
        <f>(1+D1359)^((5-Dashboard!$F$9)*3/12)</f>
        <v>1.1527242174181933</v>
      </c>
      <c r="N1359" s="361">
        <f t="shared" ref="N1359:V1359" si="1390">M1359*(1+$D1359)</f>
        <v>1.3932401253824904</v>
      </c>
      <c r="O1359" s="361">
        <f t="shared" si="1390"/>
        <v>1.6839396775435362</v>
      </c>
      <c r="P1359" s="361">
        <f t="shared" si="1390"/>
        <v>2.0352936912629822</v>
      </c>
      <c r="Q1359" s="361">
        <f t="shared" si="1390"/>
        <v>2.4599577199449878</v>
      </c>
      <c r="R1359" s="361">
        <f t="shared" si="1390"/>
        <v>2.9732278982114906</v>
      </c>
      <c r="S1359" s="361">
        <f t="shared" si="1390"/>
        <v>3.5935918991732949</v>
      </c>
      <c r="T1359" s="361">
        <f t="shared" si="1390"/>
        <v>4.343394848935775</v>
      </c>
      <c r="U1359" s="361">
        <f t="shared" si="1390"/>
        <v>5.2496441841661907</v>
      </c>
      <c r="V1359" s="362">
        <f t="shared" si="1390"/>
        <v>6.3449824431924258</v>
      </c>
      <c r="X1359" s="351"/>
    </row>
    <row r="1360" spans="3:24" ht="24.75" customHeight="1" x14ac:dyDescent="0.3">
      <c r="C1360" s="353">
        <f>ABS(E1360-Dashboard!$F$14)</f>
        <v>0.72396826900059352</v>
      </c>
      <c r="D1360" s="350">
        <f t="shared" si="1389"/>
        <v>0.20874999999999225</v>
      </c>
      <c r="E1360" s="359" cm="1">
        <f t="array" ref="E1360">1000*SUM('DRE + DCF'!$L$36/M1360,'DRE + DCF'!$N$36:$V$36/N1360:V1360,F1360/V1360)/Dashboard!$F$11</f>
        <v>96.266031730999401</v>
      </c>
      <c r="F1360" s="359">
        <f t="shared" si="1387"/>
        <v>13502582.584156312</v>
      </c>
      <c r="G1360" s="359">
        <f>'DRE + DCF'!$W$31</f>
        <v>2791623.3540418856</v>
      </c>
      <c r="H1360" s="359">
        <f>'DRE + DCF'!$W$32</f>
        <v>81081.931703745853</v>
      </c>
      <c r="I1360" s="359">
        <f>-H1360*('DRE + DCF'!$V$33+K1360)/'DRE + DCF'!$V$33</f>
        <v>-90858.801614444121</v>
      </c>
      <c r="J1360" s="359">
        <f>-'DRE + DCF'!$V$56*L1360</f>
        <v>-1188924.4255577971</v>
      </c>
      <c r="K1360" s="360">
        <f>(1+L1360)/(1+Ke!$O$12)-1</f>
        <v>2.0000000000000018E-2</v>
      </c>
      <c r="L1360" s="360">
        <f>'DRE + DCF'!$Y$31</f>
        <v>7.3550000000000004E-2</v>
      </c>
      <c r="M1360" s="361">
        <f>(1+D1360)^((5-Dashboard!$F$9)*3/12)</f>
        <v>1.1527957463324501</v>
      </c>
      <c r="N1360" s="361">
        <f t="shared" ref="N1360:V1360" si="1391">M1360*(1+$D1360)</f>
        <v>1.39344185837934</v>
      </c>
      <c r="O1360" s="361">
        <f t="shared" si="1391"/>
        <v>1.6843228463160163</v>
      </c>
      <c r="P1360" s="361">
        <f t="shared" si="1391"/>
        <v>2.0359252404844717</v>
      </c>
      <c r="Q1360" s="361">
        <f t="shared" si="1391"/>
        <v>2.4609246344355893</v>
      </c>
      <c r="R1360" s="361">
        <f t="shared" si="1391"/>
        <v>2.9746426518739995</v>
      </c>
      <c r="S1360" s="361">
        <f t="shared" si="1391"/>
        <v>3.5955993054526738</v>
      </c>
      <c r="T1360" s="361">
        <f t="shared" si="1391"/>
        <v>4.3461806604658912</v>
      </c>
      <c r="U1360" s="361">
        <f t="shared" si="1391"/>
        <v>5.2534458733381122</v>
      </c>
      <c r="V1360" s="362">
        <f t="shared" si="1391"/>
        <v>6.3501026993974019</v>
      </c>
      <c r="X1360" s="351"/>
    </row>
    <row r="1361" spans="3:24" ht="24.75" customHeight="1" x14ac:dyDescent="0.3">
      <c r="C1361" s="353">
        <f>ABS(E1361-Dashboard!$F$14)</f>
        <v>0.80106144737433738</v>
      </c>
      <c r="D1361" s="350">
        <f t="shared" si="1389"/>
        <v>0.20884999999999224</v>
      </c>
      <c r="E1361" s="359" cm="1">
        <f t="array" ref="E1361">1000*SUM('DRE + DCF'!$L$36/M1361,'DRE + DCF'!$N$36:$V$36/N1361:V1361,F1361/V1361)/Dashboard!$F$11</f>
        <v>96.188938552625658</v>
      </c>
      <c r="F1361" s="359">
        <f t="shared" si="1387"/>
        <v>13494471.261923354</v>
      </c>
      <c r="G1361" s="359">
        <f>'DRE + DCF'!$W$31</f>
        <v>2791623.3540418856</v>
      </c>
      <c r="H1361" s="359">
        <f>'DRE + DCF'!$W$32</f>
        <v>81081.931703745853</v>
      </c>
      <c r="I1361" s="359">
        <f>-H1361*('DRE + DCF'!$V$33+K1361)/'DRE + DCF'!$V$33</f>
        <v>-90858.801614444121</v>
      </c>
      <c r="J1361" s="359">
        <f>-'DRE + DCF'!$V$56*L1361</f>
        <v>-1188924.4255577971</v>
      </c>
      <c r="K1361" s="360">
        <f>(1+L1361)/(1+Ke!$O$12)-1</f>
        <v>2.0000000000000018E-2</v>
      </c>
      <c r="L1361" s="360">
        <f>'DRE + DCF'!$Y$31</f>
        <v>7.3550000000000004E-2</v>
      </c>
      <c r="M1361" s="361">
        <f>(1+D1361)^((5-Dashboard!$F$9)*3/12)</f>
        <v>1.1528672737673238</v>
      </c>
      <c r="N1361" s="361">
        <f t="shared" ref="N1361:V1361" si="1392">M1361*(1+$D1361)</f>
        <v>1.3936436038936204</v>
      </c>
      <c r="O1361" s="361">
        <f t="shared" si="1392"/>
        <v>1.6847060705667922</v>
      </c>
      <c r="P1361" s="361">
        <f t="shared" si="1392"/>
        <v>2.0365569334046536</v>
      </c>
      <c r="Q1361" s="361">
        <f t="shared" si="1392"/>
        <v>2.4618918489461996</v>
      </c>
      <c r="R1361" s="361">
        <f t="shared" si="1392"/>
        <v>2.976057961598594</v>
      </c>
      <c r="S1361" s="361">
        <f t="shared" si="1392"/>
        <v>3.5976076668784374</v>
      </c>
      <c r="T1361" s="361">
        <f t="shared" si="1392"/>
        <v>4.3489680281059711</v>
      </c>
      <c r="U1361" s="361">
        <f t="shared" si="1392"/>
        <v>5.2572500007758691</v>
      </c>
      <c r="V1361" s="362">
        <f t="shared" si="1392"/>
        <v>6.3552266634378682</v>
      </c>
      <c r="X1361" s="351"/>
    </row>
    <row r="1362" spans="3:24" ht="24.75" customHeight="1" x14ac:dyDescent="0.3">
      <c r="C1362" s="353">
        <f>ABS(E1362-Dashboard!$F$14)</f>
        <v>0.87804754444098876</v>
      </c>
      <c r="D1362" s="350">
        <f t="shared" si="1389"/>
        <v>0.20894999999999223</v>
      </c>
      <c r="E1362" s="359" cm="1">
        <f t="array" ref="E1362">1000*SUM('DRE + DCF'!$L$36/M1362,'DRE + DCF'!$N$36:$V$36/N1362:V1362,F1362/V1362)/Dashboard!$F$11</f>
        <v>96.111952455559006</v>
      </c>
      <c r="F1362" s="359">
        <f t="shared" si="1387"/>
        <v>13486370.133901376</v>
      </c>
      <c r="G1362" s="359">
        <f>'DRE + DCF'!$W$31</f>
        <v>2791623.3540418856</v>
      </c>
      <c r="H1362" s="359">
        <f>'DRE + DCF'!$W$32</f>
        <v>81081.931703745853</v>
      </c>
      <c r="I1362" s="359">
        <f>-H1362*('DRE + DCF'!$V$33+K1362)/'DRE + DCF'!$V$33</f>
        <v>-90858.801614444121</v>
      </c>
      <c r="J1362" s="359">
        <f>-'DRE + DCF'!$V$56*L1362</f>
        <v>-1188924.4255577971</v>
      </c>
      <c r="K1362" s="360">
        <f>(1+L1362)/(1+Ke!$O$12)-1</f>
        <v>2.0000000000000018E-2</v>
      </c>
      <c r="L1362" s="360">
        <f>'DRE + DCF'!$Y$31</f>
        <v>7.3550000000000004E-2</v>
      </c>
      <c r="M1362" s="361">
        <f>(1+D1362)^((5-Dashboard!$F$9)*3/12)</f>
        <v>1.1529387997229672</v>
      </c>
      <c r="N1362" s="361">
        <f t="shared" ref="N1362:V1362" si="1393">M1362*(1+$D1362)</f>
        <v>1.3938453619250721</v>
      </c>
      <c r="O1362" s="361">
        <f t="shared" si="1393"/>
        <v>1.6850893502993052</v>
      </c>
      <c r="P1362" s="361">
        <f t="shared" si="1393"/>
        <v>2.0371887700443319</v>
      </c>
      <c r="Q1362" s="361">
        <f t="shared" si="1393"/>
        <v>2.4628593635450793</v>
      </c>
      <c r="R1362" s="361">
        <f t="shared" si="1393"/>
        <v>2.9774738275578043</v>
      </c>
      <c r="S1362" s="361">
        <f t="shared" si="1393"/>
        <v>3.5996169838259844</v>
      </c>
      <c r="T1362" s="361">
        <f t="shared" si="1393"/>
        <v>4.3517569525963955</v>
      </c>
      <c r="U1362" s="361">
        <f t="shared" si="1393"/>
        <v>5.2610565678413783</v>
      </c>
      <c r="V1362" s="362">
        <f t="shared" si="1393"/>
        <v>6.3603543376917937</v>
      </c>
      <c r="X1362" s="351"/>
    </row>
    <row r="1363" spans="3:24" ht="24.75" customHeight="1" x14ac:dyDescent="0.3">
      <c r="C1363" s="353">
        <f>ABS(E1363-Dashboard!$F$14)</f>
        <v>0.9549267718803236</v>
      </c>
      <c r="D1363" s="350">
        <f t="shared" si="1389"/>
        <v>0.20904999999999221</v>
      </c>
      <c r="E1363" s="359" cm="1">
        <f t="array" ref="E1363">1000*SUM('DRE + DCF'!$L$36/M1363,'DRE + DCF'!$N$36:$V$36/N1363:V1363,F1363/V1363)/Dashboard!$F$11</f>
        <v>96.035073228119671</v>
      </c>
      <c r="F1363" s="359">
        <f t="shared" si="1387"/>
        <v>13478279.180082824</v>
      </c>
      <c r="G1363" s="359">
        <f>'DRE + DCF'!$W$31</f>
        <v>2791623.3540418856</v>
      </c>
      <c r="H1363" s="359">
        <f>'DRE + DCF'!$W$32</f>
        <v>81081.931703745853</v>
      </c>
      <c r="I1363" s="359">
        <f>-H1363*('DRE + DCF'!$V$33+K1363)/'DRE + DCF'!$V$33</f>
        <v>-90858.801614444121</v>
      </c>
      <c r="J1363" s="359">
        <f>-'DRE + DCF'!$V$56*L1363</f>
        <v>-1188924.4255577971</v>
      </c>
      <c r="K1363" s="360">
        <f>(1+L1363)/(1+Ke!$O$12)-1</f>
        <v>2.0000000000000018E-2</v>
      </c>
      <c r="L1363" s="360">
        <f>'DRE + DCF'!$Y$31</f>
        <v>7.3550000000000004E-2</v>
      </c>
      <c r="M1363" s="361">
        <f>(1+D1363)^((5-Dashboard!$F$9)*3/12)</f>
        <v>1.1530103241995335</v>
      </c>
      <c r="N1363" s="361">
        <f t="shared" ref="N1363:V1363" si="1394">M1363*(1+$D1363)</f>
        <v>1.3940471324734369</v>
      </c>
      <c r="O1363" s="361">
        <f t="shared" si="1394"/>
        <v>1.6854726855169979</v>
      </c>
      <c r="P1363" s="361">
        <f t="shared" si="1394"/>
        <v>2.0378207504243133</v>
      </c>
      <c r="Q1363" s="361">
        <f t="shared" si="1394"/>
        <v>2.4638271783004999</v>
      </c>
      <c r="R1363" s="361">
        <f t="shared" si="1394"/>
        <v>2.9788902499242003</v>
      </c>
      <c r="S1363" s="361">
        <f t="shared" si="1394"/>
        <v>3.6016272566708309</v>
      </c>
      <c r="T1363" s="361">
        <f t="shared" si="1394"/>
        <v>4.3545474346778397</v>
      </c>
      <c r="U1363" s="361">
        <f t="shared" si="1394"/>
        <v>5.2648655758972076</v>
      </c>
      <c r="V1363" s="362">
        <f t="shared" si="1394"/>
        <v>6.3654857245384777</v>
      </c>
      <c r="X1363" s="351"/>
    </row>
    <row r="1364" spans="3:24" ht="24.75" customHeight="1" x14ac:dyDescent="0.3">
      <c r="C1364" s="353">
        <f>ABS(E1364-Dashboard!$F$14)</f>
        <v>1.0316993408158481</v>
      </c>
      <c r="D1364" s="350">
        <f t="shared" si="1389"/>
        <v>0.2091499999999922</v>
      </c>
      <c r="E1364" s="359" cm="1">
        <f t="array" ref="E1364">1000*SUM('DRE + DCF'!$L$36/M1364,'DRE + DCF'!$N$36:$V$36/N1364:V1364,F1364/V1364)/Dashboard!$F$11</f>
        <v>95.958300659184147</v>
      </c>
      <c r="F1364" s="359">
        <f t="shared" si="1387"/>
        <v>13470198.380514272</v>
      </c>
      <c r="G1364" s="359">
        <f>'DRE + DCF'!$W$31</f>
        <v>2791623.3540418856</v>
      </c>
      <c r="H1364" s="359">
        <f>'DRE + DCF'!$W$32</f>
        <v>81081.931703745853</v>
      </c>
      <c r="I1364" s="359">
        <f>-H1364*('DRE + DCF'!$V$33+K1364)/'DRE + DCF'!$V$33</f>
        <v>-90858.801614444121</v>
      </c>
      <c r="J1364" s="359">
        <f>-'DRE + DCF'!$V$56*L1364</f>
        <v>-1188924.4255577971</v>
      </c>
      <c r="K1364" s="360">
        <f>(1+L1364)/(1+Ke!$O$12)-1</f>
        <v>2.0000000000000018E-2</v>
      </c>
      <c r="L1364" s="360">
        <f>'DRE + DCF'!$Y$31</f>
        <v>7.3550000000000004E-2</v>
      </c>
      <c r="M1364" s="361">
        <f>(1+D1364)^((5-Dashboard!$F$9)*3/12)</f>
        <v>1.1530818471971755</v>
      </c>
      <c r="N1364" s="361">
        <f t="shared" ref="N1364:V1364" si="1395">M1364*(1+$D1364)</f>
        <v>1.3942489155384559</v>
      </c>
      <c r="O1364" s="361">
        <f t="shared" si="1395"/>
        <v>1.685856076223313</v>
      </c>
      <c r="P1364" s="361">
        <f t="shared" si="1395"/>
        <v>2.0384528745654058</v>
      </c>
      <c r="Q1364" s="361">
        <f t="shared" si="1395"/>
        <v>2.4647952932807446</v>
      </c>
      <c r="R1364" s="361">
        <f t="shared" si="1395"/>
        <v>2.9803072288703931</v>
      </c>
      <c r="S1364" s="361">
        <f t="shared" si="1395"/>
        <v>3.6036384857886126</v>
      </c>
      <c r="T1364" s="361">
        <f t="shared" si="1395"/>
        <v>4.3573394750912726</v>
      </c>
      <c r="U1364" s="361">
        <f t="shared" si="1395"/>
        <v>5.2686770263065785</v>
      </c>
      <c r="V1364" s="362">
        <f t="shared" si="1395"/>
        <v>6.3706208263585582</v>
      </c>
      <c r="X1364" s="351"/>
    </row>
    <row r="1365" spans="3:24" ht="24.75" customHeight="1" x14ac:dyDescent="0.3">
      <c r="C1365" s="353">
        <f>ABS(E1365-Dashboard!$F$14)</f>
        <v>1.108365461816561</v>
      </c>
      <c r="D1365" s="350">
        <f t="shared" si="1389"/>
        <v>0.20924999999999219</v>
      </c>
      <c r="E1365" s="359" cm="1">
        <f t="array" ref="E1365">1000*SUM('DRE + DCF'!$L$36/M1365,'DRE + DCF'!$N$36:$V$36/N1365:V1365,F1365/V1365)/Dashboard!$F$11</f>
        <v>95.881634538183434</v>
      </c>
      <c r="F1365" s="359">
        <f t="shared" si="1387"/>
        <v>13462127.715296216</v>
      </c>
      <c r="G1365" s="359">
        <f>'DRE + DCF'!$W$31</f>
        <v>2791623.3540418856</v>
      </c>
      <c r="H1365" s="359">
        <f>'DRE + DCF'!$W$32</f>
        <v>81081.931703745853</v>
      </c>
      <c r="I1365" s="359">
        <f>-H1365*('DRE + DCF'!$V$33+K1365)/'DRE + DCF'!$V$33</f>
        <v>-90858.801614444121</v>
      </c>
      <c r="J1365" s="359">
        <f>-'DRE + DCF'!$V$56*L1365</f>
        <v>-1188924.4255577971</v>
      </c>
      <c r="K1365" s="360">
        <f>(1+L1365)/(1+Ke!$O$12)-1</f>
        <v>2.0000000000000018E-2</v>
      </c>
      <c r="L1365" s="360">
        <f>'DRE + DCF'!$Y$31</f>
        <v>7.3550000000000004E-2</v>
      </c>
      <c r="M1365" s="361">
        <f>(1+D1365)^((5-Dashboard!$F$9)*3/12)</f>
        <v>1.153153368716046</v>
      </c>
      <c r="N1365" s="361">
        <f t="shared" ref="N1365:V1365" si="1396">M1365*(1+$D1365)</f>
        <v>1.3944507111198696</v>
      </c>
      <c r="O1365" s="361">
        <f t="shared" si="1396"/>
        <v>1.6862395224216915</v>
      </c>
      <c r="P1365" s="361">
        <f t="shared" si="1396"/>
        <v>2.0390851424884171</v>
      </c>
      <c r="Q1365" s="361">
        <f t="shared" si="1396"/>
        <v>2.4657637085541024</v>
      </c>
      <c r="R1365" s="361">
        <f t="shared" si="1396"/>
        <v>2.9817247645690292</v>
      </c>
      <c r="S1365" s="361">
        <f t="shared" si="1396"/>
        <v>3.6056506715550753</v>
      </c>
      <c r="T1365" s="361">
        <f t="shared" si="1396"/>
        <v>4.3601330745779467</v>
      </c>
      <c r="U1365" s="361">
        <f t="shared" si="1396"/>
        <v>5.2724909204333477</v>
      </c>
      <c r="V1365" s="362">
        <f t="shared" si="1396"/>
        <v>6.375759645533984</v>
      </c>
      <c r="X1365" s="351"/>
    </row>
    <row r="1366" spans="3:24" ht="24.75" customHeight="1" x14ac:dyDescent="0.3">
      <c r="C1366" s="353">
        <f>ABS(E1366-Dashboard!$F$14)</f>
        <v>1.1849253448989572</v>
      </c>
      <c r="D1366" s="350">
        <f t="shared" si="1389"/>
        <v>0.20934999999999218</v>
      </c>
      <c r="E1366" s="359" cm="1">
        <f t="array" ref="E1366">1000*SUM('DRE + DCF'!$L$36/M1366,'DRE + DCF'!$N$36:$V$36/N1366:V1366,F1366/V1366)/Dashboard!$F$11</f>
        <v>95.805074655101038</v>
      </c>
      <c r="F1366" s="359">
        <f t="shared" si="1387"/>
        <v>13454067.16458291</v>
      </c>
      <c r="G1366" s="359">
        <f>'DRE + DCF'!$W$31</f>
        <v>2791623.3540418856</v>
      </c>
      <c r="H1366" s="359">
        <f>'DRE + DCF'!$W$32</f>
        <v>81081.931703745853</v>
      </c>
      <c r="I1366" s="359">
        <f>-H1366*('DRE + DCF'!$V$33+K1366)/'DRE + DCF'!$V$33</f>
        <v>-90858.801614444121</v>
      </c>
      <c r="J1366" s="359">
        <f>-'DRE + DCF'!$V$56*L1366</f>
        <v>-1188924.4255577971</v>
      </c>
      <c r="K1366" s="360">
        <f>(1+L1366)/(1+Ke!$O$12)-1</f>
        <v>2.0000000000000018E-2</v>
      </c>
      <c r="L1366" s="360">
        <f>'DRE + DCF'!$Y$31</f>
        <v>7.3550000000000004E-2</v>
      </c>
      <c r="M1366" s="361">
        <f>(1+D1366)^((5-Dashboard!$F$9)*3/12)</f>
        <v>1.1532248887562981</v>
      </c>
      <c r="N1366" s="361">
        <f t="shared" ref="N1366:V1366" si="1397">M1366*(1+$D1366)</f>
        <v>1.3946525192174202</v>
      </c>
      <c r="O1366" s="361">
        <f t="shared" si="1397"/>
        <v>1.6866230241155762</v>
      </c>
      <c r="P1366" s="361">
        <f t="shared" si="1397"/>
        <v>2.039717554214159</v>
      </c>
      <c r="Q1366" s="361">
        <f t="shared" si="1397"/>
        <v>2.4667324241888773</v>
      </c>
      <c r="R1366" s="361">
        <f t="shared" si="1397"/>
        <v>2.9831428571927994</v>
      </c>
      <c r="S1366" s="361">
        <f t="shared" si="1397"/>
        <v>3.6076638143460884</v>
      </c>
      <c r="T1366" s="361">
        <f t="shared" si="1397"/>
        <v>4.3629282338794138</v>
      </c>
      <c r="U1366" s="361">
        <f t="shared" si="1397"/>
        <v>5.2763072596420351</v>
      </c>
      <c r="V1366" s="362">
        <f t="shared" si="1397"/>
        <v>6.380902184448054</v>
      </c>
      <c r="X1366" s="351"/>
    </row>
    <row r="1367" spans="3:24" ht="24.75" customHeight="1" x14ac:dyDescent="0.3">
      <c r="C1367" s="353">
        <f>ABS(E1367-Dashboard!$F$14)</f>
        <v>1.2613791995287613</v>
      </c>
      <c r="D1367" s="350">
        <f t="shared" si="1389"/>
        <v>0.20944999999999217</v>
      </c>
      <c r="E1367" s="359" cm="1">
        <f t="array" ref="E1367">1000*SUM('DRE + DCF'!$L$36/M1367,'DRE + DCF'!$N$36:$V$36/N1367:V1367,F1367/V1367)/Dashboard!$F$11</f>
        <v>95.728620800471234</v>
      </c>
      <c r="F1367" s="359">
        <f t="shared" si="1387"/>
        <v>13446016.708582163</v>
      </c>
      <c r="G1367" s="359">
        <f>'DRE + DCF'!$W$31</f>
        <v>2791623.3540418856</v>
      </c>
      <c r="H1367" s="359">
        <f>'DRE + DCF'!$W$32</f>
        <v>81081.931703745853</v>
      </c>
      <c r="I1367" s="359">
        <f>-H1367*('DRE + DCF'!$V$33+K1367)/'DRE + DCF'!$V$33</f>
        <v>-90858.801614444121</v>
      </c>
      <c r="J1367" s="359">
        <f>-'DRE + DCF'!$V$56*L1367</f>
        <v>-1188924.4255577971</v>
      </c>
      <c r="K1367" s="360">
        <f>(1+L1367)/(1+Ke!$O$12)-1</f>
        <v>2.0000000000000018E-2</v>
      </c>
      <c r="L1367" s="360">
        <f>'DRE + DCF'!$Y$31</f>
        <v>7.3550000000000004E-2</v>
      </c>
      <c r="M1367" s="361">
        <f>(1+D1367)^((5-Dashboard!$F$9)*3/12)</f>
        <v>1.1532964073180845</v>
      </c>
      <c r="N1367" s="361">
        <f t="shared" ref="N1367:V1367" si="1398">M1367*(1+$D1367)</f>
        <v>1.3948543398308482</v>
      </c>
      <c r="O1367" s="361">
        <f t="shared" si="1398"/>
        <v>1.6870065813084083</v>
      </c>
      <c r="P1367" s="361">
        <f t="shared" si="1398"/>
        <v>2.0403501097634411</v>
      </c>
      <c r="Q1367" s="361">
        <f t="shared" si="1398"/>
        <v>2.4677014402533777</v>
      </c>
      <c r="R1367" s="361">
        <f t="shared" si="1398"/>
        <v>2.9845615069144285</v>
      </c>
      <c r="S1367" s="361">
        <f t="shared" si="1398"/>
        <v>3.6096779145376319</v>
      </c>
      <c r="T1367" s="361">
        <f t="shared" si="1398"/>
        <v>4.3657249537375105</v>
      </c>
      <c r="U1367" s="361">
        <f t="shared" si="1398"/>
        <v>5.2801260452977976</v>
      </c>
      <c r="V1367" s="362">
        <f t="shared" si="1398"/>
        <v>6.3860484454853799</v>
      </c>
      <c r="X1367" s="351"/>
    </row>
    <row r="1368" spans="3:24" ht="24.75" customHeight="1" x14ac:dyDescent="0.3">
      <c r="C1368" s="353">
        <f>ABS(E1368-Dashboard!$F$14)</f>
        <v>1.3377272346229034</v>
      </c>
      <c r="D1368" s="350">
        <f t="shared" si="1389"/>
        <v>0.20954999999999216</v>
      </c>
      <c r="E1368" s="359" cm="1">
        <f t="array" ref="E1368">1000*SUM('DRE + DCF'!$L$36/M1368,'DRE + DCF'!$N$36:$V$36/N1368:V1368,F1368/V1368)/Dashboard!$F$11</f>
        <v>95.652272765377091</v>
      </c>
      <c r="F1368" s="359">
        <f t="shared" si="1387"/>
        <v>13437976.327555161</v>
      </c>
      <c r="G1368" s="359">
        <f>'DRE + DCF'!$W$31</f>
        <v>2791623.3540418856</v>
      </c>
      <c r="H1368" s="359">
        <f>'DRE + DCF'!$W$32</f>
        <v>81081.931703745853</v>
      </c>
      <c r="I1368" s="359">
        <f>-H1368*('DRE + DCF'!$V$33+K1368)/'DRE + DCF'!$V$33</f>
        <v>-90858.801614444121</v>
      </c>
      <c r="J1368" s="359">
        <f>-'DRE + DCF'!$V$56*L1368</f>
        <v>-1188924.4255577971</v>
      </c>
      <c r="K1368" s="360">
        <f>(1+L1368)/(1+Ke!$O$12)-1</f>
        <v>2.0000000000000018E-2</v>
      </c>
      <c r="L1368" s="360">
        <f>'DRE + DCF'!$Y$31</f>
        <v>7.3550000000000004E-2</v>
      </c>
      <c r="M1368" s="361">
        <f>(1+D1368)^((5-Dashboard!$F$9)*3/12)</f>
        <v>1.1533679244015578</v>
      </c>
      <c r="N1368" s="361">
        <f t="shared" ref="N1368:V1368" si="1399">M1368*(1+$D1368)</f>
        <v>1.3950561729598951</v>
      </c>
      <c r="O1368" s="361">
        <f t="shared" si="1399"/>
        <v>1.6873901940036302</v>
      </c>
      <c r="P1368" s="361">
        <f t="shared" si="1399"/>
        <v>2.0409828091570779</v>
      </c>
      <c r="Q1368" s="361">
        <f t="shared" si="1399"/>
        <v>2.4686707568159276</v>
      </c>
      <c r="R1368" s="361">
        <f t="shared" si="1399"/>
        <v>2.9859807139066858</v>
      </c>
      <c r="S1368" s="361">
        <f t="shared" si="1399"/>
        <v>3.6116929725058085</v>
      </c>
      <c r="T1368" s="361">
        <f t="shared" si="1399"/>
        <v>4.3685232348943721</v>
      </c>
      <c r="U1368" s="361">
        <f t="shared" si="1399"/>
        <v>5.283947278766453</v>
      </c>
      <c r="V1368" s="362">
        <f t="shared" si="1399"/>
        <v>6.3911984310319214</v>
      </c>
      <c r="X1368" s="351"/>
    </row>
    <row r="1369" spans="3:24" ht="24.75" customHeight="1" x14ac:dyDescent="0.3">
      <c r="C1369" s="353">
        <f>ABS(E1369-Dashboard!$F$14)</f>
        <v>1.4139696585510819</v>
      </c>
      <c r="D1369" s="350">
        <f t="shared" si="1389"/>
        <v>0.20964999999999215</v>
      </c>
      <c r="E1369" s="359" cm="1">
        <f t="array" ref="E1369">1000*SUM('DRE + DCF'!$L$36/M1369,'DRE + DCF'!$N$36:$V$36/N1369:V1369,F1369/V1369)/Dashboard!$F$11</f>
        <v>95.576030341448913</v>
      </c>
      <c r="F1369" s="359">
        <f t="shared" si="1387"/>
        <v>13429946.001816284</v>
      </c>
      <c r="G1369" s="359">
        <f>'DRE + DCF'!$W$31</f>
        <v>2791623.3540418856</v>
      </c>
      <c r="H1369" s="359">
        <f>'DRE + DCF'!$W$32</f>
        <v>81081.931703745853</v>
      </c>
      <c r="I1369" s="359">
        <f>-H1369*('DRE + DCF'!$V$33+K1369)/'DRE + DCF'!$V$33</f>
        <v>-90858.801614444121</v>
      </c>
      <c r="J1369" s="359">
        <f>-'DRE + DCF'!$V$56*L1369</f>
        <v>-1188924.4255577971</v>
      </c>
      <c r="K1369" s="360">
        <f>(1+L1369)/(1+Ke!$O$12)-1</f>
        <v>2.0000000000000018E-2</v>
      </c>
      <c r="L1369" s="360">
        <f>'DRE + DCF'!$Y$31</f>
        <v>7.3550000000000004E-2</v>
      </c>
      <c r="M1369" s="361">
        <f>(1+D1369)^((5-Dashboard!$F$9)*3/12)</f>
        <v>1.153439440006871</v>
      </c>
      <c r="N1369" s="361">
        <f t="shared" ref="N1369:V1369" si="1400">M1369*(1+$D1369)</f>
        <v>1.3952580186043024</v>
      </c>
      <c r="O1369" s="361">
        <f t="shared" si="1400"/>
        <v>1.6877738622046834</v>
      </c>
      <c r="P1369" s="361">
        <f t="shared" si="1400"/>
        <v>2.0416156524158819</v>
      </c>
      <c r="Q1369" s="361">
        <f t="shared" si="1400"/>
        <v>2.4696403739448556</v>
      </c>
      <c r="R1369" s="361">
        <f t="shared" si="1400"/>
        <v>2.9874004783423751</v>
      </c>
      <c r="S1369" s="361">
        <f t="shared" si="1400"/>
        <v>3.6137089886268305</v>
      </c>
      <c r="T1369" s="361">
        <f t="shared" si="1400"/>
        <v>4.3713230780924173</v>
      </c>
      <c r="U1369" s="361">
        <f t="shared" si="1400"/>
        <v>5.2877709614144583</v>
      </c>
      <c r="V1369" s="362">
        <f t="shared" si="1400"/>
        <v>6.3963521434749575</v>
      </c>
      <c r="X1369" s="351"/>
    </row>
    <row r="1370" spans="3:24" ht="24.75" customHeight="1" x14ac:dyDescent="0.3">
      <c r="C1370" s="353">
        <f>ABS(E1370-Dashboard!$F$14)</f>
        <v>1.4901066791379094</v>
      </c>
      <c r="D1370" s="350">
        <f t="shared" si="1389"/>
        <v>0.20974999999999214</v>
      </c>
      <c r="E1370" s="359" cm="1">
        <f t="array" ref="E1370">1000*SUM('DRE + DCF'!$L$36/M1370,'DRE + DCF'!$N$36:$V$36/N1370:V1370,F1370/V1370)/Dashboard!$F$11</f>
        <v>95.499893320862085</v>
      </c>
      <c r="F1370" s="359">
        <f t="shared" si="1387"/>
        <v>13421925.711732917</v>
      </c>
      <c r="G1370" s="359">
        <f>'DRE + DCF'!$W$31</f>
        <v>2791623.3540418856</v>
      </c>
      <c r="H1370" s="359">
        <f>'DRE + DCF'!$W$32</f>
        <v>81081.931703745853</v>
      </c>
      <c r="I1370" s="359">
        <f>-H1370*('DRE + DCF'!$V$33+K1370)/'DRE + DCF'!$V$33</f>
        <v>-90858.801614444121</v>
      </c>
      <c r="J1370" s="359">
        <f>-'DRE + DCF'!$V$56*L1370</f>
        <v>-1188924.4255577971</v>
      </c>
      <c r="K1370" s="360">
        <f>(1+L1370)/(1+Ke!$O$12)-1</f>
        <v>2.0000000000000018E-2</v>
      </c>
      <c r="L1370" s="360">
        <f>'DRE + DCF'!$Y$31</f>
        <v>7.3550000000000004E-2</v>
      </c>
      <c r="M1370" s="361">
        <f>(1+D1370)^((5-Dashboard!$F$9)*3/12)</f>
        <v>1.1535109541341768</v>
      </c>
      <c r="N1370" s="361">
        <f t="shared" ref="N1370:V1370" si="1401">M1370*(1+$D1370)</f>
        <v>1.3954598767638113</v>
      </c>
      <c r="O1370" s="361">
        <f t="shared" si="1401"/>
        <v>1.6881575859150098</v>
      </c>
      <c r="P1370" s="361">
        <f t="shared" si="1401"/>
        <v>2.0422486395606696</v>
      </c>
      <c r="Q1370" s="361">
        <f t="shared" si="1401"/>
        <v>2.4706102917085038</v>
      </c>
      <c r="R1370" s="361">
        <f t="shared" si="1401"/>
        <v>2.9888208003943428</v>
      </c>
      <c r="S1370" s="361">
        <f t="shared" si="1401"/>
        <v>3.6157259632770327</v>
      </c>
      <c r="T1370" s="361">
        <f t="shared" si="1401"/>
        <v>4.3741244840743621</v>
      </c>
      <c r="U1370" s="361">
        <f t="shared" si="1401"/>
        <v>5.2915970946089246</v>
      </c>
      <c r="V1370" s="362">
        <f t="shared" si="1401"/>
        <v>6.4015095852031045</v>
      </c>
      <c r="X1370" s="351"/>
    </row>
    <row r="1371" spans="3:24" ht="24.75" customHeight="1" x14ac:dyDescent="0.3">
      <c r="C1371" s="353">
        <f>ABS(E1371-Dashboard!$F$14)</f>
        <v>1.5661385036645896</v>
      </c>
      <c r="D1371" s="350">
        <f t="shared" si="1389"/>
        <v>0.20984999999999213</v>
      </c>
      <c r="E1371" s="359" cm="1">
        <f t="array" ref="E1371">1000*SUM('DRE + DCF'!$L$36/M1371,'DRE + DCF'!$N$36:$V$36/N1371:V1371,F1371/V1371)/Dashboard!$F$11</f>
        <v>95.423861496335405</v>
      </c>
      <c r="F1371" s="359">
        <f t="shared" si="1387"/>
        <v>13413915.437725268</v>
      </c>
      <c r="G1371" s="359">
        <f>'DRE + DCF'!$W$31</f>
        <v>2791623.3540418856</v>
      </c>
      <c r="H1371" s="359">
        <f>'DRE + DCF'!$W$32</f>
        <v>81081.931703745853</v>
      </c>
      <c r="I1371" s="359">
        <f>-H1371*('DRE + DCF'!$V$33+K1371)/'DRE + DCF'!$V$33</f>
        <v>-90858.801614444121</v>
      </c>
      <c r="J1371" s="359">
        <f>-'DRE + DCF'!$V$56*L1371</f>
        <v>-1188924.4255577971</v>
      </c>
      <c r="K1371" s="360">
        <f>(1+L1371)/(1+Ke!$O$12)-1</f>
        <v>2.0000000000000018E-2</v>
      </c>
      <c r="L1371" s="360">
        <f>'DRE + DCF'!$Y$31</f>
        <v>7.3550000000000004E-2</v>
      </c>
      <c r="M1371" s="361">
        <f>(1+D1371)^((5-Dashboard!$F$9)*3/12)</f>
        <v>1.1535824667836279</v>
      </c>
      <c r="N1371" s="361">
        <f t="shared" ref="N1371:V1371" si="1402">M1371*(1+$D1371)</f>
        <v>1.395661747438163</v>
      </c>
      <c r="O1371" s="361">
        <f t="shared" si="1402"/>
        <v>1.6885413651380505</v>
      </c>
      <c r="P1371" s="361">
        <f t="shared" si="1402"/>
        <v>2.0428817706122571</v>
      </c>
      <c r="Q1371" s="361">
        <f t="shared" si="1402"/>
        <v>2.4715805101752233</v>
      </c>
      <c r="R1371" s="361">
        <f t="shared" si="1402"/>
        <v>2.9902416802354743</v>
      </c>
      <c r="S1371" s="361">
        <f t="shared" si="1402"/>
        <v>3.6177438968328648</v>
      </c>
      <c r="T1371" s="361">
        <f t="shared" si="1402"/>
        <v>4.376927453583213</v>
      </c>
      <c r="U1371" s="361">
        <f t="shared" si="1402"/>
        <v>5.2954256797176154</v>
      </c>
      <c r="V1371" s="362">
        <f t="shared" si="1402"/>
        <v>6.4066707586063147</v>
      </c>
      <c r="X1371" s="351"/>
    </row>
    <row r="1372" spans="3:24" ht="24.75" customHeight="1" x14ac:dyDescent="0.3">
      <c r="C1372" s="353">
        <f>ABS(E1372-Dashboard!$F$14)</f>
        <v>1.6420653388705659</v>
      </c>
      <c r="D1372" s="350">
        <f t="shared" si="1389"/>
        <v>0.20994999999999212</v>
      </c>
      <c r="E1372" s="359" cm="1">
        <f t="array" ref="E1372">1000*SUM('DRE + DCF'!$L$36/M1372,'DRE + DCF'!$N$36:$V$36/N1372:V1372,F1372/V1372)/Dashboard!$F$11</f>
        <v>95.347934661129429</v>
      </c>
      <c r="F1372" s="359">
        <f t="shared" si="1387"/>
        <v>13405915.160266191</v>
      </c>
      <c r="G1372" s="359">
        <f>'DRE + DCF'!$W$31</f>
        <v>2791623.3540418856</v>
      </c>
      <c r="H1372" s="359">
        <f>'DRE + DCF'!$W$32</f>
        <v>81081.931703745853</v>
      </c>
      <c r="I1372" s="359">
        <f>-H1372*('DRE + DCF'!$V$33+K1372)/'DRE + DCF'!$V$33</f>
        <v>-90858.801614444121</v>
      </c>
      <c r="J1372" s="359">
        <f>-'DRE + DCF'!$V$56*L1372</f>
        <v>-1188924.4255577971</v>
      </c>
      <c r="K1372" s="360">
        <f>(1+L1372)/(1+Ke!$O$12)-1</f>
        <v>2.0000000000000018E-2</v>
      </c>
      <c r="L1372" s="360">
        <f>'DRE + DCF'!$Y$31</f>
        <v>7.3550000000000004E-2</v>
      </c>
      <c r="M1372" s="361">
        <f>(1+D1372)^((5-Dashboard!$F$9)*3/12)</f>
        <v>1.1536539779553769</v>
      </c>
      <c r="N1372" s="361">
        <f t="shared" ref="N1372:V1372" si="1403">M1372*(1+$D1372)</f>
        <v>1.3958636306270993</v>
      </c>
      <c r="O1372" s="361">
        <f t="shared" si="1403"/>
        <v>1.6889251998772477</v>
      </c>
      <c r="P1372" s="361">
        <f t="shared" si="1403"/>
        <v>2.0435150455914624</v>
      </c>
      <c r="Q1372" s="361">
        <f t="shared" si="1403"/>
        <v>2.4725510294133737</v>
      </c>
      <c r="R1372" s="361">
        <f t="shared" si="1403"/>
        <v>2.9916631180386921</v>
      </c>
      <c r="S1372" s="361">
        <f t="shared" si="1403"/>
        <v>3.6197627896708919</v>
      </c>
      <c r="T1372" s="361">
        <f t="shared" si="1403"/>
        <v>4.3797319873622671</v>
      </c>
      <c r="U1372" s="361">
        <f t="shared" si="1403"/>
        <v>5.2992567181089401</v>
      </c>
      <c r="V1372" s="362">
        <f t="shared" si="1403"/>
        <v>6.41183566607587</v>
      </c>
      <c r="X1372" s="351"/>
    </row>
    <row r="1373" spans="3:24" ht="24.75" customHeight="1" x14ac:dyDescent="0.3">
      <c r="C1373" s="353">
        <f>ABS(E1373-Dashboard!$F$14)</f>
        <v>1.7178873909556387</v>
      </c>
      <c r="D1373" s="350">
        <f t="shared" si="1389"/>
        <v>0.2100499999999921</v>
      </c>
      <c r="E1373" s="359" cm="1">
        <f t="array" ref="E1373">1000*SUM('DRE + DCF'!$L$36/M1373,'DRE + DCF'!$N$36:$V$36/N1373:V1373,F1373/V1373)/Dashboard!$F$11</f>
        <v>95.272112609044356</v>
      </c>
      <c r="F1373" s="359">
        <f t="shared" si="1387"/>
        <v>13397924.859880997</v>
      </c>
      <c r="G1373" s="359">
        <f>'DRE + DCF'!$W$31</f>
        <v>2791623.3540418856</v>
      </c>
      <c r="H1373" s="359">
        <f>'DRE + DCF'!$W$32</f>
        <v>81081.931703745853</v>
      </c>
      <c r="I1373" s="359">
        <f>-H1373*('DRE + DCF'!$V$33+K1373)/'DRE + DCF'!$V$33</f>
        <v>-90858.801614444121</v>
      </c>
      <c r="J1373" s="359">
        <f>-'DRE + DCF'!$V$56*L1373</f>
        <v>-1188924.4255577971</v>
      </c>
      <c r="K1373" s="360">
        <f>(1+L1373)/(1+Ke!$O$12)-1</f>
        <v>2.0000000000000018E-2</v>
      </c>
      <c r="L1373" s="360">
        <f>'DRE + DCF'!$Y$31</f>
        <v>7.3550000000000004E-2</v>
      </c>
      <c r="M1373" s="361">
        <f>(1+D1373)^((5-Dashboard!$F$9)*3/12)</f>
        <v>1.1537254876495768</v>
      </c>
      <c r="N1373" s="361">
        <f t="shared" ref="N1373:V1373" si="1404">M1373*(1+$D1373)</f>
        <v>1.3960655263303614</v>
      </c>
      <c r="O1373" s="361">
        <f t="shared" si="1404"/>
        <v>1.6893090901360428</v>
      </c>
      <c r="P1373" s="361">
        <f t="shared" si="1404"/>
        <v>2.0441484645191053</v>
      </c>
      <c r="Q1373" s="361">
        <f t="shared" si="1404"/>
        <v>2.4735218494913269</v>
      </c>
      <c r="R1373" s="361">
        <f t="shared" si="1404"/>
        <v>2.9930851139769605</v>
      </c>
      <c r="S1373" s="361">
        <f t="shared" si="1404"/>
        <v>3.6217826421677972</v>
      </c>
      <c r="T1373" s="361">
        <f t="shared" si="1404"/>
        <v>4.3825380861551144</v>
      </c>
      <c r="U1373" s="361">
        <f t="shared" si="1404"/>
        <v>5.3030902111519618</v>
      </c>
      <c r="V1373" s="362">
        <f t="shared" si="1404"/>
        <v>6.4170043100043896</v>
      </c>
      <c r="X1373" s="351"/>
    </row>
    <row r="1374" spans="3:24" ht="24.75" customHeight="1" x14ac:dyDescent="0.3">
      <c r="C1374" s="353">
        <f>ABS(E1374-Dashboard!$F$14)</f>
        <v>1.7936048655815426</v>
      </c>
      <c r="D1374" s="350">
        <f t="shared" si="1389"/>
        <v>0.21014999999999209</v>
      </c>
      <c r="E1374" s="359" cm="1">
        <f t="array" ref="E1374">1000*SUM('DRE + DCF'!$L$36/M1374,'DRE + DCF'!$N$36:$V$36/N1374:V1374,F1374/V1374)/Dashboard!$F$11</f>
        <v>95.196395134418452</v>
      </c>
      <c r="F1374" s="359">
        <f t="shared" si="1387"/>
        <v>13389944.517147277</v>
      </c>
      <c r="G1374" s="359">
        <f>'DRE + DCF'!$W$31</f>
        <v>2791623.3540418856</v>
      </c>
      <c r="H1374" s="359">
        <f>'DRE + DCF'!$W$32</f>
        <v>81081.931703745853</v>
      </c>
      <c r="I1374" s="359">
        <f>-H1374*('DRE + DCF'!$V$33+K1374)/'DRE + DCF'!$V$33</f>
        <v>-90858.801614444121</v>
      </c>
      <c r="J1374" s="359">
        <f>-'DRE + DCF'!$V$56*L1374</f>
        <v>-1188924.4255577971</v>
      </c>
      <c r="K1374" s="360">
        <f>(1+L1374)/(1+Ke!$O$12)-1</f>
        <v>2.0000000000000018E-2</v>
      </c>
      <c r="L1374" s="360">
        <f>'DRE + DCF'!$Y$31</f>
        <v>7.3550000000000004E-2</v>
      </c>
      <c r="M1374" s="361">
        <f>(1+D1374)^((5-Dashboard!$F$9)*3/12)</f>
        <v>1.1537969958663798</v>
      </c>
      <c r="N1374" s="361">
        <f t="shared" ref="N1374:V1374" si="1405">M1374*(1+$D1374)</f>
        <v>1.3962674345476904</v>
      </c>
      <c r="O1374" s="361">
        <f t="shared" si="1405"/>
        <v>1.6896930359178766</v>
      </c>
      <c r="P1374" s="361">
        <f t="shared" si="1405"/>
        <v>2.0447820274160051</v>
      </c>
      <c r="Q1374" s="361">
        <f t="shared" si="1405"/>
        <v>2.4744929704774625</v>
      </c>
      <c r="R1374" s="361">
        <f t="shared" si="1405"/>
        <v>2.9945076682232816</v>
      </c>
      <c r="S1374" s="361">
        <f t="shared" si="1405"/>
        <v>3.6238034547003806</v>
      </c>
      <c r="T1374" s="361">
        <f t="shared" si="1405"/>
        <v>4.3853457507056364</v>
      </c>
      <c r="U1374" s="361">
        <f t="shared" si="1405"/>
        <v>5.3069261602163911</v>
      </c>
      <c r="V1374" s="362">
        <f t="shared" si="1405"/>
        <v>6.4221766927858237</v>
      </c>
      <c r="X1374" s="351"/>
    </row>
    <row r="1375" spans="3:24" ht="24.75" customHeight="1" x14ac:dyDescent="0.3">
      <c r="C1375" s="353">
        <f>ABS(E1375-Dashboard!$F$14)</f>
        <v>1.8692179678736665</v>
      </c>
      <c r="D1375" s="350">
        <f t="shared" si="1389"/>
        <v>0.21024999999999208</v>
      </c>
      <c r="E1375" s="359" cm="1">
        <f t="array" ref="E1375">1000*SUM('DRE + DCF'!$L$36/M1375,'DRE + DCF'!$N$36:$V$36/N1375:V1375,F1375/V1375)/Dashboard!$F$11</f>
        <v>95.120782032126328</v>
      </c>
      <c r="F1375" s="359">
        <f t="shared" si="1387"/>
        <v>13381974.112694725</v>
      </c>
      <c r="G1375" s="359">
        <f>'DRE + DCF'!$W$31</f>
        <v>2791623.3540418856</v>
      </c>
      <c r="H1375" s="359">
        <f>'DRE + DCF'!$W$32</f>
        <v>81081.931703745853</v>
      </c>
      <c r="I1375" s="359">
        <f>-H1375*('DRE + DCF'!$V$33+K1375)/'DRE + DCF'!$V$33</f>
        <v>-90858.801614444121</v>
      </c>
      <c r="J1375" s="359">
        <f>-'DRE + DCF'!$V$56*L1375</f>
        <v>-1188924.4255577971</v>
      </c>
      <c r="K1375" s="360">
        <f>(1+L1375)/(1+Ke!$O$12)-1</f>
        <v>2.0000000000000018E-2</v>
      </c>
      <c r="L1375" s="360">
        <f>'DRE + DCF'!$Y$31</f>
        <v>7.3550000000000004E-2</v>
      </c>
      <c r="M1375" s="361">
        <f>(1+D1375)^((5-Dashboard!$F$9)*3/12)</f>
        <v>1.1538685026059388</v>
      </c>
      <c r="N1375" s="361">
        <f t="shared" ref="N1375:V1375" si="1406">M1375*(1+$D1375)</f>
        <v>1.3964693552788283</v>
      </c>
      <c r="O1375" s="361">
        <f t="shared" si="1406"/>
        <v>1.6900770372261908</v>
      </c>
      <c r="P1375" s="361">
        <f t="shared" si="1406"/>
        <v>2.045415734302984</v>
      </c>
      <c r="Q1375" s="361">
        <f t="shared" si="1406"/>
        <v>2.4754643924401702</v>
      </c>
      <c r="R1375" s="361">
        <f t="shared" si="1406"/>
        <v>2.9959307809506965</v>
      </c>
      <c r="S1375" s="361">
        <f t="shared" si="1406"/>
        <v>3.6258252276455565</v>
      </c>
      <c r="T1375" s="361">
        <f t="shared" si="1406"/>
        <v>4.3881549817580057</v>
      </c>
      <c r="U1375" s="361">
        <f t="shared" si="1406"/>
        <v>5.3107645666725913</v>
      </c>
      <c r="V1375" s="362">
        <f t="shared" si="1406"/>
        <v>6.4273528168154614</v>
      </c>
      <c r="X1375" s="351"/>
    </row>
    <row r="1376" spans="3:24" ht="24.75" customHeight="1" x14ac:dyDescent="0.3">
      <c r="C1376" s="353">
        <f>ABS(E1376-Dashboard!$F$14)</f>
        <v>1.9447269024231701</v>
      </c>
      <c r="D1376" s="350">
        <f t="shared" si="1389"/>
        <v>0.21034999999999207</v>
      </c>
      <c r="E1376" s="359" cm="1">
        <f t="array" ref="E1376">1000*SUM('DRE + DCF'!$L$36/M1376,'DRE + DCF'!$N$36:$V$36/N1376:V1376,F1376/V1376)/Dashboard!$F$11</f>
        <v>95.045273097576825</v>
      </c>
      <c r="F1376" s="359">
        <f t="shared" si="1387"/>
        <v>13374013.627204955</v>
      </c>
      <c r="G1376" s="359">
        <f>'DRE + DCF'!$W$31</f>
        <v>2791623.3540418856</v>
      </c>
      <c r="H1376" s="359">
        <f>'DRE + DCF'!$W$32</f>
        <v>81081.931703745853</v>
      </c>
      <c r="I1376" s="359">
        <f>-H1376*('DRE + DCF'!$V$33+K1376)/'DRE + DCF'!$V$33</f>
        <v>-90858.801614444121</v>
      </c>
      <c r="J1376" s="359">
        <f>-'DRE + DCF'!$V$56*L1376</f>
        <v>-1188924.4255577971</v>
      </c>
      <c r="K1376" s="360">
        <f>(1+L1376)/(1+Ke!$O$12)-1</f>
        <v>2.0000000000000018E-2</v>
      </c>
      <c r="L1376" s="360">
        <f>'DRE + DCF'!$Y$31</f>
        <v>7.3550000000000004E-2</v>
      </c>
      <c r="M1376" s="361">
        <f>(1+D1376)^((5-Dashboard!$F$9)*3/12)</f>
        <v>1.1539400078684063</v>
      </c>
      <c r="N1376" s="361">
        <f t="shared" ref="N1376:V1376" si="1407">M1376*(1+$D1376)</f>
        <v>1.3966712885235164</v>
      </c>
      <c r="O1376" s="361">
        <f t="shared" si="1407"/>
        <v>1.6904610940644269</v>
      </c>
      <c r="P1376" s="361">
        <f t="shared" si="1407"/>
        <v>2.0460495852008656</v>
      </c>
      <c r="Q1376" s="361">
        <f t="shared" si="1407"/>
        <v>2.4764361154478514</v>
      </c>
      <c r="R1376" s="361">
        <f t="shared" si="1407"/>
        <v>2.9973544523322873</v>
      </c>
      <c r="S1376" s="361">
        <f t="shared" si="1407"/>
        <v>3.6278479613803598</v>
      </c>
      <c r="T1376" s="361">
        <f t="shared" si="1407"/>
        <v>4.3909657800566899</v>
      </c>
      <c r="U1376" s="361">
        <f t="shared" si="1407"/>
        <v>5.3146054318915796</v>
      </c>
      <c r="V1376" s="362">
        <f t="shared" si="1407"/>
        <v>6.4325326844899315</v>
      </c>
      <c r="X1376" s="351"/>
    </row>
    <row r="1377" spans="3:24" ht="24.75" customHeight="1" x14ac:dyDescent="0.3">
      <c r="C1377" s="353">
        <f>ABS(E1377-Dashboard!$F$14)</f>
        <v>2.0201318732883777</v>
      </c>
      <c r="D1377" s="350">
        <f t="shared" si="1389"/>
        <v>0.21044999999999206</v>
      </c>
      <c r="E1377" s="359" cm="1">
        <f t="array" ref="E1377">1000*SUM('DRE + DCF'!$L$36/M1377,'DRE + DCF'!$N$36:$V$36/N1377:V1377,F1377/V1377)/Dashboard!$F$11</f>
        <v>94.969868126711617</v>
      </c>
      <c r="F1377" s="359">
        <f t="shared" si="1387"/>
        <v>13366063.04141132</v>
      </c>
      <c r="G1377" s="359">
        <f>'DRE + DCF'!$W$31</f>
        <v>2791623.3540418856</v>
      </c>
      <c r="H1377" s="359">
        <f>'DRE + DCF'!$W$32</f>
        <v>81081.931703745853</v>
      </c>
      <c r="I1377" s="359">
        <f>-H1377*('DRE + DCF'!$V$33+K1377)/'DRE + DCF'!$V$33</f>
        <v>-90858.801614444121</v>
      </c>
      <c r="J1377" s="359">
        <f>-'DRE + DCF'!$V$56*L1377</f>
        <v>-1188924.4255577971</v>
      </c>
      <c r="K1377" s="360">
        <f>(1+L1377)/(1+Ke!$O$12)-1</f>
        <v>2.0000000000000018E-2</v>
      </c>
      <c r="L1377" s="360">
        <f>'DRE + DCF'!$Y$31</f>
        <v>7.3550000000000004E-2</v>
      </c>
      <c r="M1377" s="361">
        <f>(1+D1377)^((5-Dashboard!$F$9)*3/12)</f>
        <v>1.1540115116539347</v>
      </c>
      <c r="N1377" s="361">
        <f t="shared" ref="N1377:V1377" si="1408">M1377*(1+$D1377)</f>
        <v>1.396873234281496</v>
      </c>
      <c r="O1377" s="361">
        <f t="shared" si="1408"/>
        <v>1.6908452064360258</v>
      </c>
      <c r="P1377" s="361">
        <f t="shared" si="1408"/>
        <v>2.0466835801304737</v>
      </c>
      <c r="Q1377" s="361">
        <f t="shared" si="1408"/>
        <v>2.4774081395689156</v>
      </c>
      <c r="R1377" s="361">
        <f t="shared" si="1408"/>
        <v>2.998778682541174</v>
      </c>
      <c r="S1377" s="361">
        <f t="shared" si="1408"/>
        <v>3.62987165628194</v>
      </c>
      <c r="T1377" s="361">
        <f t="shared" si="1408"/>
        <v>4.3937781463464454</v>
      </c>
      <c r="U1377" s="361">
        <f t="shared" si="1408"/>
        <v>5.3184487572450196</v>
      </c>
      <c r="V1377" s="362">
        <f t="shared" si="1408"/>
        <v>6.4377162982071914</v>
      </c>
      <c r="X1377" s="351"/>
    </row>
    <row r="1378" spans="3:24" ht="24.75" customHeight="1" x14ac:dyDescent="0.3">
      <c r="C1378" s="353">
        <f>ABS(E1378-Dashboard!$F$14)</f>
        <v>2.095433083996781</v>
      </c>
      <c r="D1378" s="350">
        <f t="shared" si="1389"/>
        <v>0.21054999999999205</v>
      </c>
      <c r="E1378" s="359" cm="1">
        <f t="array" ref="E1378">1000*SUM('DRE + DCF'!$L$36/M1378,'DRE + DCF'!$N$36:$V$36/N1378:V1378,F1378/V1378)/Dashboard!$F$11</f>
        <v>94.894566916003214</v>
      </c>
      <c r="F1378" s="359">
        <f t="shared" si="1387"/>
        <v>13358122.336098742</v>
      </c>
      <c r="G1378" s="359">
        <f>'DRE + DCF'!$W$31</f>
        <v>2791623.3540418856</v>
      </c>
      <c r="H1378" s="359">
        <f>'DRE + DCF'!$W$32</f>
        <v>81081.931703745853</v>
      </c>
      <c r="I1378" s="359">
        <f>-H1378*('DRE + DCF'!$V$33+K1378)/'DRE + DCF'!$V$33</f>
        <v>-90858.801614444121</v>
      </c>
      <c r="J1378" s="359">
        <f>-'DRE + DCF'!$V$56*L1378</f>
        <v>-1188924.4255577971</v>
      </c>
      <c r="K1378" s="360">
        <f>(1+L1378)/(1+Ke!$O$12)-1</f>
        <v>2.0000000000000018E-2</v>
      </c>
      <c r="L1378" s="360">
        <f>'DRE + DCF'!$Y$31</f>
        <v>7.3550000000000004E-2</v>
      </c>
      <c r="M1378" s="361">
        <f>(1+D1378)^((5-Dashboard!$F$9)*3/12)</f>
        <v>1.1540830139626765</v>
      </c>
      <c r="N1378" s="361">
        <f t="shared" ref="N1378:V1378" si="1409">M1378*(1+$D1378)</f>
        <v>1.3970751925525089</v>
      </c>
      <c r="O1378" s="361">
        <f t="shared" si="1409"/>
        <v>1.6912293743444284</v>
      </c>
      <c r="P1378" s="361">
        <f t="shared" si="1409"/>
        <v>2.0473177191126344</v>
      </c>
      <c r="Q1378" s="361">
        <f t="shared" si="1409"/>
        <v>2.4783804648717833</v>
      </c>
      <c r="R1378" s="361">
        <f t="shared" si="1409"/>
        <v>3.0002034717505177</v>
      </c>
      <c r="S1378" s="361">
        <f t="shared" si="1409"/>
        <v>3.6318963127275654</v>
      </c>
      <c r="T1378" s="361">
        <f t="shared" si="1409"/>
        <v>4.3965920813723249</v>
      </c>
      <c r="U1378" s="361">
        <f t="shared" si="1409"/>
        <v>5.3222945441052332</v>
      </c>
      <c r="V1378" s="362">
        <f t="shared" si="1409"/>
        <v>6.4429036603665475</v>
      </c>
      <c r="X1378" s="351"/>
    </row>
    <row r="1379" spans="3:24" ht="24.75" customHeight="1" x14ac:dyDescent="0.3">
      <c r="C1379" s="353">
        <f>ABS(E1379-Dashboard!$F$14)</f>
        <v>2.1706307375466736</v>
      </c>
      <c r="D1379" s="350">
        <f t="shared" si="1389"/>
        <v>0.21064999999999204</v>
      </c>
      <c r="E1379" s="359" cm="1">
        <f t="array" ref="E1379">1000*SUM('DRE + DCF'!$L$36/M1379,'DRE + DCF'!$N$36:$V$36/N1379:V1379,F1379/V1379)/Dashboard!$F$11</f>
        <v>94.819369262453321</v>
      </c>
      <c r="F1379" s="359">
        <f t="shared" si="1387"/>
        <v>13350191.49210353</v>
      </c>
      <c r="G1379" s="359">
        <f>'DRE + DCF'!$W$31</f>
        <v>2791623.3540418856</v>
      </c>
      <c r="H1379" s="359">
        <f>'DRE + DCF'!$W$32</f>
        <v>81081.931703745853</v>
      </c>
      <c r="I1379" s="359">
        <f>-H1379*('DRE + DCF'!$V$33+K1379)/'DRE + DCF'!$V$33</f>
        <v>-90858.801614444121</v>
      </c>
      <c r="J1379" s="359">
        <f>-'DRE + DCF'!$V$56*L1379</f>
        <v>-1188924.4255577971</v>
      </c>
      <c r="K1379" s="360">
        <f>(1+L1379)/(1+Ke!$O$12)-1</f>
        <v>2.0000000000000018E-2</v>
      </c>
      <c r="L1379" s="360">
        <f>'DRE + DCF'!$Y$31</f>
        <v>7.3550000000000004E-2</v>
      </c>
      <c r="M1379" s="361">
        <f>(1+D1379)^((5-Dashboard!$F$9)*3/12)</f>
        <v>1.1541545147947847</v>
      </c>
      <c r="N1379" s="361">
        <f t="shared" ref="N1379:V1379" si="1410">M1379*(1+$D1379)</f>
        <v>1.3972771633362968</v>
      </c>
      <c r="O1379" s="361">
        <f t="shared" si="1410"/>
        <v>1.6916135977930766</v>
      </c>
      <c r="P1379" s="361">
        <f t="shared" si="1410"/>
        <v>2.0479520021681745</v>
      </c>
      <c r="Q1379" s="361">
        <f t="shared" si="1410"/>
        <v>2.4793530914248842</v>
      </c>
      <c r="R1379" s="361">
        <f t="shared" si="1410"/>
        <v>3.0016288201335164</v>
      </c>
      <c r="S1379" s="361">
        <f t="shared" si="1410"/>
        <v>3.6339219310946178</v>
      </c>
      <c r="T1379" s="361">
        <f t="shared" si="1410"/>
        <v>4.3994075858796702</v>
      </c>
      <c r="U1379" s="361">
        <f t="shared" si="1410"/>
        <v>5.3261427938451877</v>
      </c>
      <c r="V1379" s="362">
        <f t="shared" si="1410"/>
        <v>6.4480947733686342</v>
      </c>
      <c r="X1379" s="351"/>
    </row>
    <row r="1380" spans="3:24" ht="24.75" customHeight="1" x14ac:dyDescent="0.3">
      <c r="C1380" s="353">
        <f>ABS(E1380-Dashboard!$F$14)</f>
        <v>2.2457250364088992</v>
      </c>
      <c r="D1380" s="350">
        <f t="shared" si="1389"/>
        <v>0.21074999999999203</v>
      </c>
      <c r="E1380" s="359" cm="1">
        <f t="array" ref="E1380">1000*SUM('DRE + DCF'!$L$36/M1380,'DRE + DCF'!$N$36:$V$36/N1380:V1380,F1380/V1380)/Dashboard!$F$11</f>
        <v>94.744274963591096</v>
      </c>
      <c r="F1380" s="359">
        <f t="shared" si="1387"/>
        <v>13342270.490313202</v>
      </c>
      <c r="G1380" s="359">
        <f>'DRE + DCF'!$W$31</f>
        <v>2791623.3540418856</v>
      </c>
      <c r="H1380" s="359">
        <f>'DRE + DCF'!$W$32</f>
        <v>81081.931703745853</v>
      </c>
      <c r="I1380" s="359">
        <f>-H1380*('DRE + DCF'!$V$33+K1380)/'DRE + DCF'!$V$33</f>
        <v>-90858.801614444121</v>
      </c>
      <c r="J1380" s="359">
        <f>-'DRE + DCF'!$V$56*L1380</f>
        <v>-1188924.4255577971</v>
      </c>
      <c r="K1380" s="360">
        <f>(1+L1380)/(1+Ke!$O$12)-1</f>
        <v>2.0000000000000018E-2</v>
      </c>
      <c r="L1380" s="360">
        <f>'DRE + DCF'!$Y$31</f>
        <v>7.3550000000000004E-2</v>
      </c>
      <c r="M1380" s="361">
        <f>(1+D1380)^((5-Dashboard!$F$9)*3/12)</f>
        <v>1.154226014150411</v>
      </c>
      <c r="N1380" s="361">
        <f t="shared" ref="N1380:V1380" si="1411">M1380*(1+$D1380)</f>
        <v>1.3974791466326009</v>
      </c>
      <c r="O1380" s="361">
        <f t="shared" si="1411"/>
        <v>1.6919978767854102</v>
      </c>
      <c r="P1380" s="361">
        <f t="shared" si="1411"/>
        <v>2.0485864293179219</v>
      </c>
      <c r="Q1380" s="361">
        <f t="shared" si="1411"/>
        <v>2.4803260192966574</v>
      </c>
      <c r="R1380" s="361">
        <f t="shared" si="1411"/>
        <v>3.0030547278634083</v>
      </c>
      <c r="S1380" s="361">
        <f t="shared" si="1411"/>
        <v>3.6359485117605974</v>
      </c>
      <c r="T1380" s="361">
        <f t="shared" si="1411"/>
        <v>4.402224660614114</v>
      </c>
      <c r="U1380" s="361">
        <f t="shared" si="1411"/>
        <v>5.3299935078385037</v>
      </c>
      <c r="V1380" s="362">
        <f t="shared" si="1411"/>
        <v>6.4532896396154253</v>
      </c>
      <c r="X1380" s="351"/>
    </row>
    <row r="1381" spans="3:24" ht="24.75" customHeight="1" x14ac:dyDescent="0.3">
      <c r="C1381" s="353">
        <f>ABS(E1381-Dashboard!$F$14)</f>
        <v>2.3207161825287841</v>
      </c>
      <c r="D1381" s="350">
        <f t="shared" si="1389"/>
        <v>0.21084999999999202</v>
      </c>
      <c r="E1381" s="359" cm="1">
        <f t="array" ref="E1381">1000*SUM('DRE + DCF'!$L$36/M1381,'DRE + DCF'!$N$36:$V$36/N1381:V1381,F1381/V1381)/Dashboard!$F$11</f>
        <v>94.669283817471211</v>
      </c>
      <c r="F1381" s="359">
        <f t="shared" si="1387"/>
        <v>13334359.311666315</v>
      </c>
      <c r="G1381" s="359">
        <f>'DRE + DCF'!$W$31</f>
        <v>2791623.3540418856</v>
      </c>
      <c r="H1381" s="359">
        <f>'DRE + DCF'!$W$32</f>
        <v>81081.931703745853</v>
      </c>
      <c r="I1381" s="359">
        <f>-H1381*('DRE + DCF'!$V$33+K1381)/'DRE + DCF'!$V$33</f>
        <v>-90858.801614444121</v>
      </c>
      <c r="J1381" s="359">
        <f>-'DRE + DCF'!$V$56*L1381</f>
        <v>-1188924.4255577971</v>
      </c>
      <c r="K1381" s="360">
        <f>(1+L1381)/(1+Ke!$O$12)-1</f>
        <v>2.0000000000000018E-2</v>
      </c>
      <c r="L1381" s="360">
        <f>'DRE + DCF'!$Y$31</f>
        <v>7.3550000000000004E-2</v>
      </c>
      <c r="M1381" s="361">
        <f>(1+D1381)^((5-Dashboard!$F$9)*3/12)</f>
        <v>1.1542975120297085</v>
      </c>
      <c r="N1381" s="361">
        <f t="shared" ref="N1381:V1381" si="1412">M1381*(1+$D1381)</f>
        <v>1.3976811424411633</v>
      </c>
      <c r="O1381" s="361">
        <f t="shared" si="1412"/>
        <v>1.6923822113248714</v>
      </c>
      <c r="P1381" s="361">
        <f t="shared" si="1412"/>
        <v>2.049221000582707</v>
      </c>
      <c r="Q1381" s="361">
        <f t="shared" si="1412"/>
        <v>2.4812992485555543</v>
      </c>
      <c r="R1381" s="361">
        <f t="shared" si="1412"/>
        <v>3.0044811951134731</v>
      </c>
      <c r="S1381" s="361">
        <f t="shared" si="1412"/>
        <v>3.6379760551031248</v>
      </c>
      <c r="T1381" s="361">
        <f t="shared" si="1412"/>
        <v>4.4050433063215895</v>
      </c>
      <c r="U1381" s="361">
        <f t="shared" si="1412"/>
        <v>5.3338466874594612</v>
      </c>
      <c r="V1381" s="362">
        <f t="shared" si="1412"/>
        <v>6.4584882615102455</v>
      </c>
      <c r="X1381" s="351"/>
    </row>
    <row r="1382" spans="3:24" ht="24.75" customHeight="1" x14ac:dyDescent="0.3">
      <c r="C1382" s="353">
        <f>ABS(E1382-Dashboard!$F$14)</f>
        <v>2.395604377327615</v>
      </c>
      <c r="D1382" s="350">
        <f t="shared" si="1389"/>
        <v>0.21094999999999201</v>
      </c>
      <c r="E1382" s="359" cm="1">
        <f t="array" ref="E1382">1000*SUM('DRE + DCF'!$L$36/M1382,'DRE + DCF'!$N$36:$V$36/N1382:V1382,F1382/V1382)/Dashboard!$F$11</f>
        <v>94.59439562267238</v>
      </c>
      <c r="F1382" s="359">
        <f t="shared" si="1387"/>
        <v>13326457.937152287</v>
      </c>
      <c r="G1382" s="359">
        <f>'DRE + DCF'!$W$31</f>
        <v>2791623.3540418856</v>
      </c>
      <c r="H1382" s="359">
        <f>'DRE + DCF'!$W$32</f>
        <v>81081.931703745853</v>
      </c>
      <c r="I1382" s="359">
        <f>-H1382*('DRE + DCF'!$V$33+K1382)/'DRE + DCF'!$V$33</f>
        <v>-90858.801614444121</v>
      </c>
      <c r="J1382" s="359">
        <f>-'DRE + DCF'!$V$56*L1382</f>
        <v>-1188924.4255577971</v>
      </c>
      <c r="K1382" s="360">
        <f>(1+L1382)/(1+Ke!$O$12)-1</f>
        <v>2.0000000000000018E-2</v>
      </c>
      <c r="L1382" s="360">
        <f>'DRE + DCF'!$Y$31</f>
        <v>7.3550000000000004E-2</v>
      </c>
      <c r="M1382" s="361">
        <f>(1+D1382)^((5-Dashboard!$F$9)*3/12)</f>
        <v>1.1543690084328291</v>
      </c>
      <c r="N1382" s="361">
        <f t="shared" ref="N1382:V1382" si="1413">M1382*(1+$D1382)</f>
        <v>1.3978831507617251</v>
      </c>
      <c r="O1382" s="361">
        <f t="shared" si="1413"/>
        <v>1.6927666014148999</v>
      </c>
      <c r="P1382" s="361">
        <f t="shared" si="1413"/>
        <v>2.0498557159833593</v>
      </c>
      <c r="Q1382" s="361">
        <f t="shared" si="1413"/>
        <v>2.4822727792700325</v>
      </c>
      <c r="R1382" s="361">
        <f t="shared" si="1413"/>
        <v>3.0059082220570259</v>
      </c>
      <c r="S1382" s="361">
        <f t="shared" si="1413"/>
        <v>3.6400045614999312</v>
      </c>
      <c r="T1382" s="361">
        <f t="shared" si="1413"/>
        <v>4.4078635237483121</v>
      </c>
      <c r="U1382" s="361">
        <f t="shared" si="1413"/>
        <v>5.3377023340829828</v>
      </c>
      <c r="V1382" s="362">
        <f t="shared" si="1413"/>
        <v>6.4636906414577453</v>
      </c>
      <c r="X1382" s="351"/>
    </row>
    <row r="1383" spans="3:24" ht="24.75" customHeight="1" x14ac:dyDescent="0.3">
      <c r="C1383" s="353">
        <f>ABS(E1383-Dashboard!$F$14)</f>
        <v>2.4703898217046003</v>
      </c>
      <c r="D1383" s="350">
        <f t="shared" si="1389"/>
        <v>0.21104999999999199</v>
      </c>
      <c r="E1383" s="359" cm="1">
        <f t="array" ref="E1383">1000*SUM('DRE + DCF'!$L$36/M1383,'DRE + DCF'!$N$36:$V$36/N1383:V1383,F1383/V1383)/Dashboard!$F$11</f>
        <v>94.519610178295395</v>
      </c>
      <c r="F1383" s="359">
        <f t="shared" si="1387"/>
        <v>13318566.347811222</v>
      </c>
      <c r="G1383" s="359">
        <f>'DRE + DCF'!$W$31</f>
        <v>2791623.3540418856</v>
      </c>
      <c r="H1383" s="359">
        <f>'DRE + DCF'!$W$32</f>
        <v>81081.931703745853</v>
      </c>
      <c r="I1383" s="359">
        <f>-H1383*('DRE + DCF'!$V$33+K1383)/'DRE + DCF'!$V$33</f>
        <v>-90858.801614444121</v>
      </c>
      <c r="J1383" s="359">
        <f>-'DRE + DCF'!$V$56*L1383</f>
        <v>-1188924.4255577971</v>
      </c>
      <c r="K1383" s="360">
        <f>(1+L1383)/(1+Ke!$O$12)-1</f>
        <v>2.0000000000000018E-2</v>
      </c>
      <c r="L1383" s="360">
        <f>'DRE + DCF'!$Y$31</f>
        <v>7.3550000000000004E-2</v>
      </c>
      <c r="M1383" s="361">
        <f>(1+D1383)^((5-Dashboard!$F$9)*3/12)</f>
        <v>1.1544405033599257</v>
      </c>
      <c r="N1383" s="361">
        <f t="shared" ref="N1383:V1383" si="1414">M1383*(1+$D1383)</f>
        <v>1.3980851715940288</v>
      </c>
      <c r="O1383" s="361">
        <f t="shared" si="1414"/>
        <v>1.6931510470589373</v>
      </c>
      <c r="P1383" s="361">
        <f t="shared" si="1414"/>
        <v>2.0504905755407123</v>
      </c>
      <c r="Q1383" s="361">
        <f t="shared" si="1414"/>
        <v>2.4832466115085632</v>
      </c>
      <c r="R1383" s="361">
        <f t="shared" si="1414"/>
        <v>3.0073358088674254</v>
      </c>
      <c r="S1383" s="361">
        <f t="shared" si="1414"/>
        <v>3.6420340313288713</v>
      </c>
      <c r="T1383" s="361">
        <f t="shared" si="1414"/>
        <v>4.4106853136408004</v>
      </c>
      <c r="U1383" s="361">
        <f t="shared" si="1414"/>
        <v>5.341560449084656</v>
      </c>
      <c r="V1383" s="362">
        <f t="shared" si="1414"/>
        <v>6.46889678186393</v>
      </c>
      <c r="X1383" s="351"/>
    </row>
    <row r="1384" spans="3:24" ht="24.75" customHeight="1" x14ac:dyDescent="0.3">
      <c r="C1384" s="353">
        <f>ABS(E1384-Dashboard!$F$14)</f>
        <v>2.5450727160382769</v>
      </c>
      <c r="D1384" s="350">
        <f t="shared" si="1389"/>
        <v>0.21114999999999198</v>
      </c>
      <c r="E1384" s="359" cm="1">
        <f t="array" ref="E1384">1000*SUM('DRE + DCF'!$L$36/M1384,'DRE + DCF'!$N$36:$V$36/N1384:V1384,F1384/V1384)/Dashboard!$F$11</f>
        <v>94.444927283961718</v>
      </c>
      <c r="F1384" s="359">
        <f t="shared" si="1387"/>
        <v>13310684.524733737</v>
      </c>
      <c r="G1384" s="359">
        <f>'DRE + DCF'!$W$31</f>
        <v>2791623.3540418856</v>
      </c>
      <c r="H1384" s="359">
        <f>'DRE + DCF'!$W$32</f>
        <v>81081.931703745853</v>
      </c>
      <c r="I1384" s="359">
        <f>-H1384*('DRE + DCF'!$V$33+K1384)/'DRE + DCF'!$V$33</f>
        <v>-90858.801614444121</v>
      </c>
      <c r="J1384" s="359">
        <f>-'DRE + DCF'!$V$56*L1384</f>
        <v>-1188924.4255577971</v>
      </c>
      <c r="K1384" s="360">
        <f>(1+L1384)/(1+Ke!$O$12)-1</f>
        <v>2.0000000000000018E-2</v>
      </c>
      <c r="L1384" s="360">
        <f>'DRE + DCF'!$Y$31</f>
        <v>7.3550000000000004E-2</v>
      </c>
      <c r="M1384" s="361">
        <f>(1+D1384)^((5-Dashboard!$F$9)*3/12)</f>
        <v>1.1545119968111501</v>
      </c>
      <c r="N1384" s="361">
        <f t="shared" ref="N1384:V1384" si="1415">M1384*(1+$D1384)</f>
        <v>1.3982872049378152</v>
      </c>
      <c r="O1384" s="361">
        <f t="shared" si="1415"/>
        <v>1.6935355482604237</v>
      </c>
      <c r="P1384" s="361">
        <f t="shared" si="1415"/>
        <v>2.0511255792755985</v>
      </c>
      <c r="Q1384" s="361">
        <f t="shared" si="1415"/>
        <v>2.4842207453396248</v>
      </c>
      <c r="R1384" s="361">
        <f t="shared" si="1415"/>
        <v>3.0087639557180665</v>
      </c>
      <c r="S1384" s="361">
        <f t="shared" si="1415"/>
        <v>3.6440644649679119</v>
      </c>
      <c r="T1384" s="361">
        <f t="shared" si="1415"/>
        <v>4.4135086767458569</v>
      </c>
      <c r="U1384" s="361">
        <f t="shared" si="1415"/>
        <v>5.3454210338407089</v>
      </c>
      <c r="V1384" s="362">
        <f t="shared" si="1415"/>
        <v>6.4741066851361317</v>
      </c>
      <c r="X1384" s="351"/>
    </row>
    <row r="1385" spans="3:24" ht="24.75" customHeight="1" x14ac:dyDescent="0.3">
      <c r="C1385" s="353">
        <f>ABS(E1385-Dashboard!$F$14)</f>
        <v>2.6196532601886133</v>
      </c>
      <c r="D1385" s="350">
        <f t="shared" si="1389"/>
        <v>0.21124999999999197</v>
      </c>
      <c r="E1385" s="359" cm="1">
        <f t="array" ref="E1385">1000*SUM('DRE + DCF'!$L$36/M1385,'DRE + DCF'!$N$36:$V$36/N1385:V1385,F1385/V1385)/Dashboard!$F$11</f>
        <v>94.370346739811382</v>
      </c>
      <c r="F1385" s="359">
        <f t="shared" si="1387"/>
        <v>13302812.449060798</v>
      </c>
      <c r="G1385" s="359">
        <f>'DRE + DCF'!$W$31</f>
        <v>2791623.3540418856</v>
      </c>
      <c r="H1385" s="359">
        <f>'DRE + DCF'!$W$32</f>
        <v>81081.931703745853</v>
      </c>
      <c r="I1385" s="359">
        <f>-H1385*('DRE + DCF'!$V$33+K1385)/'DRE + DCF'!$V$33</f>
        <v>-90858.801614444121</v>
      </c>
      <c r="J1385" s="359">
        <f>-'DRE + DCF'!$V$56*L1385</f>
        <v>-1188924.4255577971</v>
      </c>
      <c r="K1385" s="360">
        <f>(1+L1385)/(1+Ke!$O$12)-1</f>
        <v>2.0000000000000018E-2</v>
      </c>
      <c r="L1385" s="360">
        <f>'DRE + DCF'!$Y$31</f>
        <v>7.3550000000000004E-2</v>
      </c>
      <c r="M1385" s="361">
        <f>(1+D1385)^((5-Dashboard!$F$9)*3/12)</f>
        <v>1.1545834887866548</v>
      </c>
      <c r="N1385" s="361">
        <f t="shared" ref="N1385:V1385" si="1416">M1385*(1+$D1385)</f>
        <v>1.3984892507928264</v>
      </c>
      <c r="O1385" s="361">
        <f t="shared" si="1416"/>
        <v>1.6939201050227997</v>
      </c>
      <c r="P1385" s="361">
        <f t="shared" si="1416"/>
        <v>2.0517607272088525</v>
      </c>
      <c r="Q1385" s="361">
        <f t="shared" si="1416"/>
        <v>2.4851951808317061</v>
      </c>
      <c r="R1385" s="361">
        <f t="shared" si="1416"/>
        <v>3.0101926627823841</v>
      </c>
      <c r="S1385" s="361">
        <f t="shared" si="1416"/>
        <v>3.6460958627951383</v>
      </c>
      <c r="T1385" s="361">
        <f t="shared" si="1416"/>
        <v>4.4163336138105818</v>
      </c>
      <c r="U1385" s="361">
        <f t="shared" si="1416"/>
        <v>5.3492840897280312</v>
      </c>
      <c r="V1385" s="362">
        <f t="shared" si="1416"/>
        <v>6.4793203536830344</v>
      </c>
      <c r="X1385" s="351"/>
    </row>
    <row r="1386" spans="3:24" ht="24.75" customHeight="1" x14ac:dyDescent="0.3">
      <c r="C1386" s="353">
        <f>ABS(E1386-Dashboard!$F$14)</f>
        <v>2.6941316534985162</v>
      </c>
      <c r="D1386" s="350">
        <f t="shared" si="1389"/>
        <v>0.21134999999999196</v>
      </c>
      <c r="E1386" s="359" cm="1">
        <f t="array" ref="E1386">1000*SUM('DRE + DCF'!$L$36/M1386,'DRE + DCF'!$N$36:$V$36/N1386:V1386,F1386/V1386)/Dashboard!$F$11</f>
        <v>94.295868346501479</v>
      </c>
      <c r="F1386" s="359">
        <f t="shared" si="1387"/>
        <v>13294950.101983527</v>
      </c>
      <c r="G1386" s="359">
        <f>'DRE + DCF'!$W$31</f>
        <v>2791623.3540418856</v>
      </c>
      <c r="H1386" s="359">
        <f>'DRE + DCF'!$W$32</f>
        <v>81081.931703745853</v>
      </c>
      <c r="I1386" s="359">
        <f>-H1386*('DRE + DCF'!$V$33+K1386)/'DRE + DCF'!$V$33</f>
        <v>-90858.801614444121</v>
      </c>
      <c r="J1386" s="359">
        <f>-'DRE + DCF'!$V$56*L1386</f>
        <v>-1188924.4255577971</v>
      </c>
      <c r="K1386" s="360">
        <f>(1+L1386)/(1+Ke!$O$12)-1</f>
        <v>2.0000000000000018E-2</v>
      </c>
      <c r="L1386" s="360">
        <f>'DRE + DCF'!$Y$31</f>
        <v>7.3550000000000004E-2</v>
      </c>
      <c r="M1386" s="361">
        <f>(1+D1386)^((5-Dashboard!$F$9)*3/12)</f>
        <v>1.1546549792865923</v>
      </c>
      <c r="N1386" s="361">
        <f t="shared" ref="N1386:V1386" si="1417">M1386*(1+$D1386)</f>
        <v>1.3986913091588042</v>
      </c>
      <c r="O1386" s="361">
        <f t="shared" si="1417"/>
        <v>1.6943047173495063</v>
      </c>
      <c r="P1386" s="361">
        <f t="shared" si="1417"/>
        <v>2.0523960193613107</v>
      </c>
      <c r="Q1386" s="361">
        <f t="shared" si="1417"/>
        <v>2.486169918053307</v>
      </c>
      <c r="R1386" s="361">
        <f t="shared" si="1417"/>
        <v>3.0116219302338534</v>
      </c>
      <c r="S1386" s="361">
        <f t="shared" si="1417"/>
        <v>3.6481282251887541</v>
      </c>
      <c r="T1386" s="361">
        <f t="shared" si="1417"/>
        <v>4.4191601255823683</v>
      </c>
      <c r="U1386" s="361">
        <f t="shared" si="1417"/>
        <v>5.3531496181241662</v>
      </c>
      <c r="V1386" s="362">
        <f t="shared" si="1417"/>
        <v>6.4845377899146657</v>
      </c>
      <c r="X1386" s="351"/>
    </row>
    <row r="1387" spans="3:24" ht="24.75" customHeight="1" x14ac:dyDescent="0.3">
      <c r="C1387" s="353">
        <f>ABS(E1387-Dashboard!$F$14)</f>
        <v>2.7685080947954361</v>
      </c>
      <c r="D1387" s="350">
        <f t="shared" si="1389"/>
        <v>0.21144999999999195</v>
      </c>
      <c r="E1387" s="359" cm="1">
        <f t="array" ref="E1387">1000*SUM('DRE + DCF'!$L$36/M1387,'DRE + DCF'!$N$36:$V$36/N1387:V1387,F1387/V1387)/Dashboard!$F$11</f>
        <v>94.221491905204559</v>
      </c>
      <c r="F1387" s="359">
        <f t="shared" si="1387"/>
        <v>13287097.464743059</v>
      </c>
      <c r="G1387" s="359">
        <f>'DRE + DCF'!$W$31</f>
        <v>2791623.3540418856</v>
      </c>
      <c r="H1387" s="359">
        <f>'DRE + DCF'!$W$32</f>
        <v>81081.931703745853</v>
      </c>
      <c r="I1387" s="359">
        <f>-H1387*('DRE + DCF'!$V$33+K1387)/'DRE + DCF'!$V$33</f>
        <v>-90858.801614444121</v>
      </c>
      <c r="J1387" s="359">
        <f>-'DRE + DCF'!$V$56*L1387</f>
        <v>-1188924.4255577971</v>
      </c>
      <c r="K1387" s="360">
        <f>(1+L1387)/(1+Ke!$O$12)-1</f>
        <v>2.0000000000000018E-2</v>
      </c>
      <c r="L1387" s="360">
        <f>'DRE + DCF'!$Y$31</f>
        <v>7.3550000000000004E-2</v>
      </c>
      <c r="M1387" s="361">
        <f>(1+D1387)^((5-Dashboard!$F$9)*3/12)</f>
        <v>1.1547264683111147</v>
      </c>
      <c r="N1387" s="361">
        <f t="shared" ref="N1387:V1387" si="1418">M1387*(1+$D1387)</f>
        <v>1.3988933800354906</v>
      </c>
      <c r="O1387" s="361">
        <f t="shared" si="1418"/>
        <v>1.6946893852439837</v>
      </c>
      <c r="P1387" s="361">
        <f t="shared" si="1418"/>
        <v>2.0530314557538105</v>
      </c>
      <c r="Q1387" s="361">
        <f t="shared" si="1418"/>
        <v>2.4871449570729371</v>
      </c>
      <c r="R1387" s="361">
        <f t="shared" si="1418"/>
        <v>3.0130517582459895</v>
      </c>
      <c r="S1387" s="361">
        <f t="shared" si="1418"/>
        <v>3.6501615525270794</v>
      </c>
      <c r="T1387" s="361">
        <f t="shared" si="1418"/>
        <v>4.421988212808901</v>
      </c>
      <c r="U1387" s="361">
        <f t="shared" si="1418"/>
        <v>5.3570176204073077</v>
      </c>
      <c r="V1387" s="362">
        <f t="shared" si="1418"/>
        <v>6.4897589962423892</v>
      </c>
      <c r="X1387" s="351"/>
    </row>
    <row r="1388" spans="3:24" ht="24.75" customHeight="1" x14ac:dyDescent="0.3">
      <c r="C1388" s="353">
        <f>ABS(E1388-Dashboard!$F$14)</f>
        <v>2.8427827823932574</v>
      </c>
      <c r="D1388" s="350">
        <f t="shared" si="1389"/>
        <v>0.21154999999999194</v>
      </c>
      <c r="E1388" s="359" cm="1">
        <f t="array" ref="E1388">1000*SUM('DRE + DCF'!$L$36/M1388,'DRE + DCF'!$N$36:$V$36/N1388:V1388,F1388/V1388)/Dashboard!$F$11</f>
        <v>94.147217217606737</v>
      </c>
      <c r="F1388" s="359">
        <f t="shared" si="1387"/>
        <v>13279254.518630352</v>
      </c>
      <c r="G1388" s="359">
        <f>'DRE + DCF'!$W$31</f>
        <v>2791623.3540418856</v>
      </c>
      <c r="H1388" s="359">
        <f>'DRE + DCF'!$W$32</f>
        <v>81081.931703745853</v>
      </c>
      <c r="I1388" s="359">
        <f>-H1388*('DRE + DCF'!$V$33+K1388)/'DRE + DCF'!$V$33</f>
        <v>-90858.801614444121</v>
      </c>
      <c r="J1388" s="359">
        <f>-'DRE + DCF'!$V$56*L1388</f>
        <v>-1188924.4255577971</v>
      </c>
      <c r="K1388" s="360">
        <f>(1+L1388)/(1+Ke!$O$12)-1</f>
        <v>2.0000000000000018E-2</v>
      </c>
      <c r="L1388" s="360">
        <f>'DRE + DCF'!$Y$31</f>
        <v>7.3550000000000004E-2</v>
      </c>
      <c r="M1388" s="361">
        <f>(1+D1388)^((5-Dashboard!$F$9)*3/12)</f>
        <v>1.1547979558603743</v>
      </c>
      <c r="N1388" s="361">
        <f t="shared" ref="N1388:V1388" si="1419">M1388*(1+$D1388)</f>
        <v>1.3990954634226271</v>
      </c>
      <c r="O1388" s="361">
        <f t="shared" si="1419"/>
        <v>1.6950741087096726</v>
      </c>
      <c r="P1388" s="361">
        <f t="shared" si="1419"/>
        <v>2.0536670364071901</v>
      </c>
      <c r="Q1388" s="361">
        <f t="shared" si="1419"/>
        <v>2.4881202979591146</v>
      </c>
      <c r="R1388" s="361">
        <f t="shared" si="1419"/>
        <v>3.0144821469923451</v>
      </c>
      <c r="S1388" s="361">
        <f t="shared" si="1419"/>
        <v>3.6521958451885514</v>
      </c>
      <c r="T1388" s="361">
        <f t="shared" si="1419"/>
        <v>4.4248178762381603</v>
      </c>
      <c r="U1388" s="361">
        <f t="shared" si="1419"/>
        <v>5.3608880979563072</v>
      </c>
      <c r="V1388" s="362">
        <f t="shared" si="1419"/>
        <v>6.4949839750789202</v>
      </c>
      <c r="X1388" s="351"/>
    </row>
    <row r="1389" spans="3:24" ht="24.75" customHeight="1" x14ac:dyDescent="0.3">
      <c r="C1389" s="353">
        <f>ABS(E1389-Dashboard!$F$14)</f>
        <v>2.9169559140938759</v>
      </c>
      <c r="D1389" s="350">
        <f t="shared" si="1389"/>
        <v>0.21164999999999193</v>
      </c>
      <c r="E1389" s="359" cm="1">
        <f t="array" ref="E1389">1000*SUM('DRE + DCF'!$L$36/M1389,'DRE + DCF'!$N$36:$V$36/N1389:V1389,F1389/V1389)/Dashboard!$F$11</f>
        <v>94.073044085906119</v>
      </c>
      <c r="F1389" s="359">
        <f t="shared" si="1387"/>
        <v>13271421.244986022</v>
      </c>
      <c r="G1389" s="359">
        <f>'DRE + DCF'!$W$31</f>
        <v>2791623.3540418856</v>
      </c>
      <c r="H1389" s="359">
        <f>'DRE + DCF'!$W$32</f>
        <v>81081.931703745853</v>
      </c>
      <c r="I1389" s="359">
        <f>-H1389*('DRE + DCF'!$V$33+K1389)/'DRE + DCF'!$V$33</f>
        <v>-90858.801614444121</v>
      </c>
      <c r="J1389" s="359">
        <f>-'DRE + DCF'!$V$56*L1389</f>
        <v>-1188924.4255577971</v>
      </c>
      <c r="K1389" s="360">
        <f>(1+L1389)/(1+Ke!$O$12)-1</f>
        <v>2.0000000000000018E-2</v>
      </c>
      <c r="L1389" s="360">
        <f>'DRE + DCF'!$Y$31</f>
        <v>7.3550000000000004E-2</v>
      </c>
      <c r="M1389" s="361">
        <f>(1+D1389)^((5-Dashboard!$F$9)*3/12)</f>
        <v>1.1548694419345231</v>
      </c>
      <c r="N1389" s="361">
        <f t="shared" ref="N1389:V1389" si="1420">M1389*(1+$D1389)</f>
        <v>1.3992975593199557</v>
      </c>
      <c r="O1389" s="361">
        <f t="shared" si="1420"/>
        <v>1.695458887750013</v>
      </c>
      <c r="P1389" s="361">
        <f t="shared" si="1420"/>
        <v>2.0543027613422895</v>
      </c>
      <c r="Q1389" s="361">
        <f t="shared" si="1420"/>
        <v>2.4890959407803686</v>
      </c>
      <c r="R1389" s="361">
        <f t="shared" si="1420"/>
        <v>3.0159130966465133</v>
      </c>
      <c r="S1389" s="361">
        <f t="shared" si="1420"/>
        <v>3.6542311035517234</v>
      </c>
      <c r="T1389" s="361">
        <f t="shared" si="1420"/>
        <v>4.427649116618416</v>
      </c>
      <c r="U1389" s="361">
        <f t="shared" si="1420"/>
        <v>5.3647610521506675</v>
      </c>
      <c r="V1389" s="362">
        <f t="shared" si="1420"/>
        <v>6.5002127288383127</v>
      </c>
      <c r="X1389" s="351"/>
    </row>
    <row r="1390" spans="3:24" ht="24.75" customHeight="1" x14ac:dyDescent="0.3">
      <c r="C1390" s="353">
        <f>ABS(E1390-Dashboard!$F$14)</f>
        <v>2.9910276871889181</v>
      </c>
      <c r="D1390" s="350">
        <f t="shared" si="1389"/>
        <v>0.21174999999999192</v>
      </c>
      <c r="E1390" s="359" cm="1">
        <f t="array" ref="E1390">1000*SUM('DRE + DCF'!$L$36/M1390,'DRE + DCF'!$N$36:$V$36/N1390:V1390,F1390/V1390)/Dashboard!$F$11</f>
        <v>93.998972312811077</v>
      </c>
      <c r="F1390" s="359">
        <f t="shared" si="1387"/>
        <v>13263597.625200171</v>
      </c>
      <c r="G1390" s="359">
        <f>'DRE + DCF'!$W$31</f>
        <v>2791623.3540418856</v>
      </c>
      <c r="H1390" s="359">
        <f>'DRE + DCF'!$W$32</f>
        <v>81081.931703745853</v>
      </c>
      <c r="I1390" s="359">
        <f>-H1390*('DRE + DCF'!$V$33+K1390)/'DRE + DCF'!$V$33</f>
        <v>-90858.801614444121</v>
      </c>
      <c r="J1390" s="359">
        <f>-'DRE + DCF'!$V$56*L1390</f>
        <v>-1188924.4255577971</v>
      </c>
      <c r="K1390" s="360">
        <f>(1+L1390)/(1+Ke!$O$12)-1</f>
        <v>2.0000000000000018E-2</v>
      </c>
      <c r="L1390" s="360">
        <f>'DRE + DCF'!$Y$31</f>
        <v>7.3550000000000004E-2</v>
      </c>
      <c r="M1390" s="361">
        <f>(1+D1390)^((5-Dashboard!$F$9)*3/12)</f>
        <v>1.1549409265337136</v>
      </c>
      <c r="N1390" s="361">
        <f t="shared" ref="N1390:V1390" si="1421">M1390*(1+$D1390)</f>
        <v>1.399499667727218</v>
      </c>
      <c r="O1390" s="361">
        <f t="shared" si="1421"/>
        <v>1.6958437223684451</v>
      </c>
      <c r="P1390" s="361">
        <f t="shared" si="1421"/>
        <v>2.0549386305799495</v>
      </c>
      <c r="Q1390" s="361">
        <f t="shared" si="1421"/>
        <v>2.4900718856052371</v>
      </c>
      <c r="R1390" s="361">
        <f t="shared" si="1421"/>
        <v>3.017344607382126</v>
      </c>
      <c r="S1390" s="361">
        <f t="shared" si="1421"/>
        <v>3.6562673279952667</v>
      </c>
      <c r="T1390" s="361">
        <f t="shared" si="1421"/>
        <v>4.4304819346982347</v>
      </c>
      <c r="U1390" s="361">
        <f t="shared" si="1421"/>
        <v>5.3686364843705503</v>
      </c>
      <c r="V1390" s="362">
        <f t="shared" si="1421"/>
        <v>6.5054452599359704</v>
      </c>
      <c r="X1390" s="351"/>
    </row>
    <row r="1391" spans="3:24" ht="24.75" customHeight="1" x14ac:dyDescent="0.3">
      <c r="C1391" s="353">
        <f>ABS(E1391-Dashboard!$F$14)</f>
        <v>3.0649982984614041</v>
      </c>
      <c r="D1391" s="350">
        <f t="shared" si="1389"/>
        <v>0.21184999999999191</v>
      </c>
      <c r="E1391" s="359" cm="1">
        <f t="array" ref="E1391">1000*SUM('DRE + DCF'!$L$36/M1391,'DRE + DCF'!$N$36:$V$36/N1391:V1391,F1391/V1391)/Dashboard!$F$11</f>
        <v>93.925001701538591</v>
      </c>
      <c r="F1391" s="359">
        <f t="shared" si="1387"/>
        <v>13255783.64071223</v>
      </c>
      <c r="G1391" s="359">
        <f>'DRE + DCF'!$W$31</f>
        <v>2791623.3540418856</v>
      </c>
      <c r="H1391" s="359">
        <f>'DRE + DCF'!$W$32</f>
        <v>81081.931703745853</v>
      </c>
      <c r="I1391" s="359">
        <f>-H1391*('DRE + DCF'!$V$33+K1391)/'DRE + DCF'!$V$33</f>
        <v>-90858.801614444121</v>
      </c>
      <c r="J1391" s="359">
        <f>-'DRE + DCF'!$V$56*L1391</f>
        <v>-1188924.4255577971</v>
      </c>
      <c r="K1391" s="360">
        <f>(1+L1391)/(1+Ke!$O$12)-1</f>
        <v>2.0000000000000018E-2</v>
      </c>
      <c r="L1391" s="360">
        <f>'DRE + DCF'!$Y$31</f>
        <v>7.3550000000000004E-2</v>
      </c>
      <c r="M1391" s="361">
        <f>(1+D1391)^((5-Dashboard!$F$9)*3/12)</f>
        <v>1.1550124096580978</v>
      </c>
      <c r="N1391" s="361">
        <f t="shared" ref="N1391:V1391" si="1422">M1391*(1+$D1391)</f>
        <v>1.3997017886441565</v>
      </c>
      <c r="O1391" s="361">
        <f t="shared" si="1422"/>
        <v>1.6962286125684096</v>
      </c>
      <c r="P1391" s="361">
        <f t="shared" si="1422"/>
        <v>2.0555746441410134</v>
      </c>
      <c r="Q1391" s="361">
        <f t="shared" si="1422"/>
        <v>2.4910481325022706</v>
      </c>
      <c r="R1391" s="361">
        <f t="shared" si="1422"/>
        <v>3.0187766793728565</v>
      </c>
      <c r="S1391" s="361">
        <f t="shared" si="1422"/>
        <v>3.6583045188979715</v>
      </c>
      <c r="T1391" s="361">
        <f t="shared" si="1422"/>
        <v>4.4333163312264769</v>
      </c>
      <c r="U1391" s="361">
        <f t="shared" si="1422"/>
        <v>5.3725143959967703</v>
      </c>
      <c r="V1391" s="362">
        <f t="shared" si="1422"/>
        <v>6.5106815707886421</v>
      </c>
      <c r="X1391" s="351"/>
    </row>
    <row r="1392" spans="3:24" ht="24.75" customHeight="1" x14ac:dyDescent="0.3">
      <c r="C1392" s="353">
        <f>ABS(E1392-Dashboard!$F$14)</f>
        <v>3.1388679441873393</v>
      </c>
      <c r="D1392" s="350">
        <f t="shared" si="1389"/>
        <v>0.21194999999999189</v>
      </c>
      <c r="E1392" s="359" cm="1">
        <f t="array" ref="E1392">1000*SUM('DRE + DCF'!$L$36/M1392,'DRE + DCF'!$N$36:$V$36/N1392:V1392,F1392/V1392)/Dashboard!$F$11</f>
        <v>93.851132055812656</v>
      </c>
      <c r="F1392" s="359">
        <f t="shared" si="1387"/>
        <v>13247979.273010779</v>
      </c>
      <c r="G1392" s="359">
        <f>'DRE + DCF'!$W$31</f>
        <v>2791623.3540418856</v>
      </c>
      <c r="H1392" s="359">
        <f>'DRE + DCF'!$W$32</f>
        <v>81081.931703745853</v>
      </c>
      <c r="I1392" s="359">
        <f>-H1392*('DRE + DCF'!$V$33+K1392)/'DRE + DCF'!$V$33</f>
        <v>-90858.801614444121</v>
      </c>
      <c r="J1392" s="359">
        <f>-'DRE + DCF'!$V$56*L1392</f>
        <v>-1188924.4255577971</v>
      </c>
      <c r="K1392" s="360">
        <f>(1+L1392)/(1+Ke!$O$12)-1</f>
        <v>2.0000000000000018E-2</v>
      </c>
      <c r="L1392" s="360">
        <f>'DRE + DCF'!$Y$31</f>
        <v>7.3550000000000004E-2</v>
      </c>
      <c r="M1392" s="361">
        <f>(1+D1392)^((5-Dashboard!$F$9)*3/12)</f>
        <v>1.1550838913078276</v>
      </c>
      <c r="N1392" s="361">
        <f t="shared" ref="N1392:V1392" si="1423">M1392*(1+$D1392)</f>
        <v>1.3999039220705123</v>
      </c>
      <c r="O1392" s="361">
        <f t="shared" si="1423"/>
        <v>1.6966135583533459</v>
      </c>
      <c r="P1392" s="361">
        <f t="shared" si="1423"/>
        <v>2.0562108020463237</v>
      </c>
      <c r="Q1392" s="361">
        <f t="shared" si="1423"/>
        <v>2.4920246815400251</v>
      </c>
      <c r="R1392" s="361">
        <f t="shared" si="1423"/>
        <v>3.0202093127924132</v>
      </c>
      <c r="S1392" s="361">
        <f t="shared" si="1423"/>
        <v>3.6603426766387406</v>
      </c>
      <c r="T1392" s="361">
        <f t="shared" si="1423"/>
        <v>4.4361523069522919</v>
      </c>
      <c r="U1392" s="361">
        <f t="shared" si="1423"/>
        <v>5.3763947884107939</v>
      </c>
      <c r="V1392" s="362">
        <f t="shared" si="1423"/>
        <v>6.5159216638144182</v>
      </c>
      <c r="X1392" s="351"/>
    </row>
    <row r="1393" spans="3:24" ht="24.75" customHeight="1" x14ac:dyDescent="0.3">
      <c r="C1393" s="353">
        <f>ABS(E1393-Dashboard!$F$14)</f>
        <v>3.2126368201376181</v>
      </c>
      <c r="D1393" s="350">
        <f t="shared" si="1389"/>
        <v>0.21204999999999188</v>
      </c>
      <c r="E1393" s="359" cm="1">
        <f t="array" ref="E1393">1000*SUM('DRE + DCF'!$L$36/M1393,'DRE + DCF'!$N$36:$V$36/N1393:V1393,F1393/V1393)/Dashboard!$F$11</f>
        <v>93.777363179862377</v>
      </c>
      <c r="F1393" s="359">
        <f t="shared" si="1387"/>
        <v>13240184.503633384</v>
      </c>
      <c r="G1393" s="359">
        <f>'DRE + DCF'!$W$31</f>
        <v>2791623.3540418856</v>
      </c>
      <c r="H1393" s="359">
        <f>'DRE + DCF'!$W$32</f>
        <v>81081.931703745853</v>
      </c>
      <c r="I1393" s="359">
        <f>-H1393*('DRE + DCF'!$V$33+K1393)/'DRE + DCF'!$V$33</f>
        <v>-90858.801614444121</v>
      </c>
      <c r="J1393" s="359">
        <f>-'DRE + DCF'!$V$56*L1393</f>
        <v>-1188924.4255577971</v>
      </c>
      <c r="K1393" s="360">
        <f>(1+L1393)/(1+Ke!$O$12)-1</f>
        <v>2.0000000000000018E-2</v>
      </c>
      <c r="L1393" s="360">
        <f>'DRE + DCF'!$Y$31</f>
        <v>7.3550000000000004E-2</v>
      </c>
      <c r="M1393" s="361">
        <f>(1+D1393)^((5-Dashboard!$F$9)*3/12)</f>
        <v>1.1551553714830556</v>
      </c>
      <c r="N1393" s="361">
        <f t="shared" ref="N1393:V1393" si="1424">M1393*(1+$D1393)</f>
        <v>1.4001060680060282</v>
      </c>
      <c r="O1393" s="361">
        <f t="shared" si="1424"/>
        <v>1.696998559726695</v>
      </c>
      <c r="P1393" s="361">
        <f t="shared" si="1424"/>
        <v>2.0568471043167267</v>
      </c>
      <c r="Q1393" s="361">
        <f t="shared" si="1424"/>
        <v>2.4930015327870718</v>
      </c>
      <c r="R1393" s="361">
        <f t="shared" si="1424"/>
        <v>3.0216425078145499</v>
      </c>
      <c r="S1393" s="361">
        <f t="shared" si="1424"/>
        <v>3.6623818015966005</v>
      </c>
      <c r="T1393" s="361">
        <f t="shared" si="1424"/>
        <v>4.4389898626251298</v>
      </c>
      <c r="U1393" s="361">
        <f t="shared" si="1424"/>
        <v>5.3802776629947529</v>
      </c>
      <c r="V1393" s="362">
        <f t="shared" si="1424"/>
        <v>6.5211655414327465</v>
      </c>
      <c r="X1393" s="351"/>
    </row>
    <row r="1394" spans="3:24" ht="24.75" customHeight="1" x14ac:dyDescent="0.3">
      <c r="C1394" s="353">
        <f>ABS(E1394-Dashboard!$F$14)</f>
        <v>3.286305121579332</v>
      </c>
      <c r="D1394" s="350">
        <f t="shared" si="1389"/>
        <v>0.21214999999999187</v>
      </c>
      <c r="E1394" s="359" cm="1">
        <f t="array" ref="E1394">1000*SUM('DRE + DCF'!$L$36/M1394,'DRE + DCF'!$N$36:$V$36/N1394:V1394,F1394/V1394)/Dashboard!$F$11</f>
        <v>93.703694878420663</v>
      </c>
      <c r="F1394" s="359">
        <f t="shared" si="1387"/>
        <v>13232399.314166436</v>
      </c>
      <c r="G1394" s="359">
        <f>'DRE + DCF'!$W$31</f>
        <v>2791623.3540418856</v>
      </c>
      <c r="H1394" s="359">
        <f>'DRE + DCF'!$W$32</f>
        <v>81081.931703745853</v>
      </c>
      <c r="I1394" s="359">
        <f>-H1394*('DRE + DCF'!$V$33+K1394)/'DRE + DCF'!$V$33</f>
        <v>-90858.801614444121</v>
      </c>
      <c r="J1394" s="359">
        <f>-'DRE + DCF'!$V$56*L1394</f>
        <v>-1188924.4255577971</v>
      </c>
      <c r="K1394" s="360">
        <f>(1+L1394)/(1+Ke!$O$12)-1</f>
        <v>2.0000000000000018E-2</v>
      </c>
      <c r="L1394" s="360">
        <f>'DRE + DCF'!$Y$31</f>
        <v>7.3550000000000004E-2</v>
      </c>
      <c r="M1394" s="361">
        <f>(1+D1394)^((5-Dashboard!$F$9)*3/12)</f>
        <v>1.1552268501839333</v>
      </c>
      <c r="N1394" s="361">
        <f t="shared" ref="N1394:V1394" si="1425">M1394*(1+$D1394)</f>
        <v>1.4003082264504454</v>
      </c>
      <c r="O1394" s="361">
        <f t="shared" si="1425"/>
        <v>1.6973836166918959</v>
      </c>
      <c r="P1394" s="361">
        <f t="shared" si="1425"/>
        <v>2.0574835509730676</v>
      </c>
      <c r="Q1394" s="361">
        <f t="shared" si="1425"/>
        <v>2.493978686311987</v>
      </c>
      <c r="R1394" s="361">
        <f t="shared" si="1425"/>
        <v>3.0230762646130547</v>
      </c>
      <c r="S1394" s="361">
        <f t="shared" si="1425"/>
        <v>3.6644218941506894</v>
      </c>
      <c r="T1394" s="361">
        <f t="shared" si="1425"/>
        <v>4.4418289989947279</v>
      </c>
      <c r="U1394" s="361">
        <f t="shared" si="1425"/>
        <v>5.3841630211314229</v>
      </c>
      <c r="V1394" s="362">
        <f t="shared" si="1425"/>
        <v>6.5264132060644107</v>
      </c>
      <c r="X1394" s="351"/>
    </row>
    <row r="1395" spans="3:24" ht="24.75" customHeight="1" x14ac:dyDescent="0.3">
      <c r="C1395" s="353">
        <f>ABS(E1395-Dashboard!$F$14)</f>
        <v>3.3598730432777302</v>
      </c>
      <c r="D1395" s="350">
        <f t="shared" si="1389"/>
        <v>0.21224999999999186</v>
      </c>
      <c r="E1395" s="359" cm="1">
        <f t="array" ref="E1395">1000*SUM('DRE + DCF'!$L$36/M1395,'DRE + DCF'!$N$36:$V$36/N1395:V1395,F1395/V1395)/Dashboard!$F$11</f>
        <v>93.630126956722265</v>
      </c>
      <c r="F1395" s="359">
        <f t="shared" si="1387"/>
        <v>13224623.68624498</v>
      </c>
      <c r="G1395" s="359">
        <f>'DRE + DCF'!$W$31</f>
        <v>2791623.3540418856</v>
      </c>
      <c r="H1395" s="359">
        <f>'DRE + DCF'!$W$32</f>
        <v>81081.931703745853</v>
      </c>
      <c r="I1395" s="359">
        <f>-H1395*('DRE + DCF'!$V$33+K1395)/'DRE + DCF'!$V$33</f>
        <v>-90858.801614444121</v>
      </c>
      <c r="J1395" s="359">
        <f>-'DRE + DCF'!$V$56*L1395</f>
        <v>-1188924.4255577971</v>
      </c>
      <c r="K1395" s="360">
        <f>(1+L1395)/(1+Ke!$O$12)-1</f>
        <v>2.0000000000000018E-2</v>
      </c>
      <c r="L1395" s="360">
        <f>'DRE + DCF'!$Y$31</f>
        <v>7.3550000000000004E-2</v>
      </c>
      <c r="M1395" s="361">
        <f>(1+D1395)^((5-Dashboard!$F$9)*3/12)</f>
        <v>1.1552983274106132</v>
      </c>
      <c r="N1395" s="361">
        <f t="shared" ref="N1395:V1395" si="1426">M1395*(1+$D1395)</f>
        <v>1.4005103974035065</v>
      </c>
      <c r="O1395" s="361">
        <f t="shared" si="1426"/>
        <v>1.6977687292523893</v>
      </c>
      <c r="P1395" s="361">
        <f t="shared" si="1426"/>
        <v>2.058120142036195</v>
      </c>
      <c r="Q1395" s="361">
        <f t="shared" si="1426"/>
        <v>2.4949561421833604</v>
      </c>
      <c r="R1395" s="361">
        <f t="shared" si="1426"/>
        <v>3.0245105833617583</v>
      </c>
      <c r="S1395" s="361">
        <f t="shared" si="1426"/>
        <v>3.666462954680267</v>
      </c>
      <c r="T1395" s="361">
        <f t="shared" si="1426"/>
        <v>4.4446697168111235</v>
      </c>
      <c r="U1395" s="361">
        <f t="shared" si="1426"/>
        <v>5.3880508642042484</v>
      </c>
      <c r="V1395" s="362">
        <f t="shared" si="1426"/>
        <v>6.5316646601315558</v>
      </c>
      <c r="X1395" s="351"/>
    </row>
    <row r="1396" spans="3:24" ht="24.75" customHeight="1" x14ac:dyDescent="0.3">
      <c r="C1396" s="353">
        <f>ABS(E1396-Dashboard!$F$14)</f>
        <v>3.4333407794975841</v>
      </c>
      <c r="D1396" s="350">
        <f t="shared" si="1389"/>
        <v>0.21234999999999185</v>
      </c>
      <c r="E1396" s="359" cm="1">
        <f t="array" ref="E1396">1000*SUM('DRE + DCF'!$L$36/M1396,'DRE + DCF'!$N$36:$V$36/N1396:V1396,F1396/V1396)/Dashboard!$F$11</f>
        <v>93.556659220502411</v>
      </c>
      <c r="F1396" s="359">
        <f t="shared" si="1387"/>
        <v>13216857.60155255</v>
      </c>
      <c r="G1396" s="359">
        <f>'DRE + DCF'!$W$31</f>
        <v>2791623.3540418856</v>
      </c>
      <c r="H1396" s="359">
        <f>'DRE + DCF'!$W$32</f>
        <v>81081.931703745853</v>
      </c>
      <c r="I1396" s="359">
        <f>-H1396*('DRE + DCF'!$V$33+K1396)/'DRE + DCF'!$V$33</f>
        <v>-90858.801614444121</v>
      </c>
      <c r="J1396" s="359">
        <f>-'DRE + DCF'!$V$56*L1396</f>
        <v>-1188924.4255577971</v>
      </c>
      <c r="K1396" s="360">
        <f>(1+L1396)/(1+Ke!$O$12)-1</f>
        <v>2.0000000000000018E-2</v>
      </c>
      <c r="L1396" s="360">
        <f>'DRE + DCF'!$Y$31</f>
        <v>7.3550000000000004E-2</v>
      </c>
      <c r="M1396" s="361">
        <f>(1+D1396)^((5-Dashboard!$F$9)*3/12)</f>
        <v>1.1553698031632469</v>
      </c>
      <c r="N1396" s="361">
        <f t="shared" ref="N1396:V1396" si="1427">M1396*(1+$D1396)</f>
        <v>1.400712580864953</v>
      </c>
      <c r="O1396" s="361">
        <f t="shared" si="1427"/>
        <v>1.6981538974116144</v>
      </c>
      <c r="P1396" s="361">
        <f t="shared" si="1427"/>
        <v>2.0587568775269567</v>
      </c>
      <c r="Q1396" s="361">
        <f t="shared" si="1427"/>
        <v>2.4959339004697889</v>
      </c>
      <c r="R1396" s="361">
        <f t="shared" si="1427"/>
        <v>3.0259454642345283</v>
      </c>
      <c r="S1396" s="361">
        <f t="shared" si="1427"/>
        <v>3.6685049835647057</v>
      </c>
      <c r="T1396" s="361">
        <f t="shared" si="1427"/>
        <v>4.4475120168246409</v>
      </c>
      <c r="U1396" s="361">
        <f t="shared" si="1427"/>
        <v>5.3919411935973169</v>
      </c>
      <c r="V1396" s="362">
        <f t="shared" si="1427"/>
        <v>6.5369199060576628</v>
      </c>
      <c r="X1396" s="351"/>
    </row>
    <row r="1397" spans="3:24" ht="24.75" customHeight="1" x14ac:dyDescent="0.3">
      <c r="C1397" s="353">
        <f>ABS(E1397-Dashboard!$F$14)</f>
        <v>3.506708524005191</v>
      </c>
      <c r="D1397" s="350">
        <f t="shared" si="1389"/>
        <v>0.21244999999999184</v>
      </c>
      <c r="E1397" s="359" cm="1">
        <f t="array" ref="E1397">1000*SUM('DRE + DCF'!$L$36/M1397,'DRE + DCF'!$N$36:$V$36/N1397:V1397,F1397/V1397)/Dashboard!$F$11</f>
        <v>93.483291475994804</v>
      </c>
      <c r="F1397" s="359">
        <f t="shared" si="1387"/>
        <v>13209101.041821005</v>
      </c>
      <c r="G1397" s="359">
        <f>'DRE + DCF'!$W$31</f>
        <v>2791623.3540418856</v>
      </c>
      <c r="H1397" s="359">
        <f>'DRE + DCF'!$W$32</f>
        <v>81081.931703745853</v>
      </c>
      <c r="I1397" s="359">
        <f>-H1397*('DRE + DCF'!$V$33+K1397)/'DRE + DCF'!$V$33</f>
        <v>-90858.801614444121</v>
      </c>
      <c r="J1397" s="359">
        <f>-'DRE + DCF'!$V$56*L1397</f>
        <v>-1188924.4255577971</v>
      </c>
      <c r="K1397" s="360">
        <f>(1+L1397)/(1+Ke!$O$12)-1</f>
        <v>2.0000000000000018E-2</v>
      </c>
      <c r="L1397" s="360">
        <f>'DRE + DCF'!$Y$31</f>
        <v>7.3550000000000004E-2</v>
      </c>
      <c r="M1397" s="361">
        <f>(1+D1397)^((5-Dashboard!$F$9)*3/12)</f>
        <v>1.1554412774419869</v>
      </c>
      <c r="N1397" s="361">
        <f t="shared" ref="N1397:V1397" si="1428">M1397*(1+$D1397)</f>
        <v>1.4009147768345276</v>
      </c>
      <c r="O1397" s="361">
        <f t="shared" si="1428"/>
        <v>1.6985391211730114</v>
      </c>
      <c r="P1397" s="361">
        <f t="shared" si="1428"/>
        <v>2.059393757466204</v>
      </c>
      <c r="Q1397" s="361">
        <f t="shared" si="1428"/>
        <v>2.4969119612398822</v>
      </c>
      <c r="R1397" s="361">
        <f t="shared" si="1428"/>
        <v>3.0273809074052749</v>
      </c>
      <c r="S1397" s="361">
        <f t="shared" si="1428"/>
        <v>3.6705479811835007</v>
      </c>
      <c r="T1397" s="361">
        <f t="shared" si="1428"/>
        <v>4.4503558997859054</v>
      </c>
      <c r="U1397" s="361">
        <f t="shared" si="1428"/>
        <v>5.3958340106953848</v>
      </c>
      <c r="V1397" s="362">
        <f t="shared" si="1428"/>
        <v>6.5421789462675752</v>
      </c>
      <c r="X1397" s="351"/>
    </row>
    <row r="1398" spans="3:24" ht="24.75" customHeight="1" x14ac:dyDescent="0.3">
      <c r="C1398" s="353">
        <f>ABS(E1398-Dashboard!$F$14)</f>
        <v>3.5799764700694396</v>
      </c>
      <c r="D1398" s="350">
        <f t="shared" si="1389"/>
        <v>0.21254999999999183</v>
      </c>
      <c r="E1398" s="359" cm="1">
        <f t="array" ref="E1398">1000*SUM('DRE + DCF'!$L$36/M1398,'DRE + DCF'!$N$36:$V$36/N1398:V1398,F1398/V1398)/Dashboard!$F$11</f>
        <v>93.410023529930555</v>
      </c>
      <c r="F1398" s="359">
        <f t="shared" si="1387"/>
        <v>13201353.988830371</v>
      </c>
      <c r="G1398" s="359">
        <f>'DRE + DCF'!$W$31</f>
        <v>2791623.3540418856</v>
      </c>
      <c r="H1398" s="359">
        <f>'DRE + DCF'!$W$32</f>
        <v>81081.931703745853</v>
      </c>
      <c r="I1398" s="359">
        <f>-H1398*('DRE + DCF'!$V$33+K1398)/'DRE + DCF'!$V$33</f>
        <v>-90858.801614444121</v>
      </c>
      <c r="J1398" s="359">
        <f>-'DRE + DCF'!$V$56*L1398</f>
        <v>-1188924.4255577971</v>
      </c>
      <c r="K1398" s="360">
        <f>(1+L1398)/(1+Ke!$O$12)-1</f>
        <v>2.0000000000000018E-2</v>
      </c>
      <c r="L1398" s="360">
        <f>'DRE + DCF'!$Y$31</f>
        <v>7.3550000000000004E-2</v>
      </c>
      <c r="M1398" s="361">
        <f>(1+D1398)^((5-Dashboard!$F$9)*3/12)</f>
        <v>1.1555127502469846</v>
      </c>
      <c r="N1398" s="361">
        <f t="shared" ref="N1398:V1398" si="1429">M1398*(1+$D1398)</f>
        <v>1.4011169853119718</v>
      </c>
      <c r="O1398" s="361">
        <f t="shared" si="1429"/>
        <v>1.6989244005400199</v>
      </c>
      <c r="P1398" s="361">
        <f t="shared" si="1429"/>
        <v>2.0600307818747874</v>
      </c>
      <c r="Q1398" s="361">
        <f t="shared" si="1429"/>
        <v>2.4978903245622566</v>
      </c>
      <c r="R1398" s="361">
        <f t="shared" si="1429"/>
        <v>3.0288169130479439</v>
      </c>
      <c r="S1398" s="361">
        <f t="shared" si="1429"/>
        <v>3.6725919479162594</v>
      </c>
      <c r="T1398" s="361">
        <f t="shared" si="1429"/>
        <v>4.4532013664458301</v>
      </c>
      <c r="U1398" s="361">
        <f t="shared" si="1429"/>
        <v>5.3997293168838549</v>
      </c>
      <c r="V1398" s="362">
        <f t="shared" si="1429"/>
        <v>6.5474417831874741</v>
      </c>
      <c r="X1398" s="351"/>
    </row>
    <row r="1399" spans="3:24" ht="24.75" customHeight="1" x14ac:dyDescent="0.3">
      <c r="C1399" s="353">
        <f>ABS(E1399-Dashboard!$F$14)</f>
        <v>3.6531448104640276</v>
      </c>
      <c r="D1399" s="350">
        <f t="shared" si="1389"/>
        <v>0.21264999999999182</v>
      </c>
      <c r="E1399" s="359" cm="1">
        <f t="array" ref="E1399">1000*SUM('DRE + DCF'!$L$36/M1399,'DRE + DCF'!$N$36:$V$36/N1399:V1399,F1399/V1399)/Dashboard!$F$11</f>
        <v>93.336855189535967</v>
      </c>
      <c r="F1399" s="359">
        <f t="shared" si="1387"/>
        <v>13193616.424408674</v>
      </c>
      <c r="G1399" s="359">
        <f>'DRE + DCF'!$W$31</f>
        <v>2791623.3540418856</v>
      </c>
      <c r="H1399" s="359">
        <f>'DRE + DCF'!$W$32</f>
        <v>81081.931703745853</v>
      </c>
      <c r="I1399" s="359">
        <f>-H1399*('DRE + DCF'!$V$33+K1399)/'DRE + DCF'!$V$33</f>
        <v>-90858.801614444121</v>
      </c>
      <c r="J1399" s="359">
        <f>-'DRE + DCF'!$V$56*L1399</f>
        <v>-1188924.4255577971</v>
      </c>
      <c r="K1399" s="360">
        <f>(1+L1399)/(1+Ke!$O$12)-1</f>
        <v>2.0000000000000018E-2</v>
      </c>
      <c r="L1399" s="360">
        <f>'DRE + DCF'!$Y$31</f>
        <v>7.3550000000000004E-2</v>
      </c>
      <c r="M1399" s="361">
        <f>(1+D1399)^((5-Dashboard!$F$9)*3/12)</f>
        <v>1.1555842215783922</v>
      </c>
      <c r="N1399" s="361">
        <f t="shared" ref="N1399:V1399" si="1430">M1399*(1+$D1399)</f>
        <v>1.4013192062970279</v>
      </c>
      <c r="O1399" s="361">
        <f t="shared" si="1430"/>
        <v>1.6993097355160793</v>
      </c>
      <c r="P1399" s="361">
        <f t="shared" si="1430"/>
        <v>2.0606679507735595</v>
      </c>
      <c r="Q1399" s="361">
        <f t="shared" si="1430"/>
        <v>2.4988689905055401</v>
      </c>
      <c r="R1399" s="361">
        <f t="shared" si="1430"/>
        <v>3.0302534813365227</v>
      </c>
      <c r="S1399" s="361">
        <f t="shared" si="1430"/>
        <v>3.6746368841427093</v>
      </c>
      <c r="T1399" s="361">
        <f t="shared" si="1430"/>
        <v>4.4560484175556265</v>
      </c>
      <c r="U1399" s="361">
        <f t="shared" si="1430"/>
        <v>5.4036271135487937</v>
      </c>
      <c r="V1399" s="362">
        <f t="shared" si="1430"/>
        <v>6.5527084192449001</v>
      </c>
      <c r="X1399" s="351"/>
    </row>
    <row r="1400" spans="3:24" ht="24.75" customHeight="1" x14ac:dyDescent="0.3">
      <c r="C1400" s="353">
        <f>ABS(E1400-Dashboard!$F$14)</f>
        <v>3.7262137374687541</v>
      </c>
      <c r="D1400" s="350">
        <f t="shared" si="1389"/>
        <v>0.21274999999999181</v>
      </c>
      <c r="E1400" s="359" cm="1">
        <f t="array" ref="E1400">1000*SUM('DRE + DCF'!$L$36/M1400,'DRE + DCF'!$N$36:$V$36/N1400:V1400,F1400/V1400)/Dashboard!$F$11</f>
        <v>93.263786262531241</v>
      </c>
      <c r="F1400" s="359">
        <f t="shared" si="1387"/>
        <v>13185888.330431771</v>
      </c>
      <c r="G1400" s="359">
        <f>'DRE + DCF'!$W$31</f>
        <v>2791623.3540418856</v>
      </c>
      <c r="H1400" s="359">
        <f>'DRE + DCF'!$W$32</f>
        <v>81081.931703745853</v>
      </c>
      <c r="I1400" s="359">
        <f>-H1400*('DRE + DCF'!$V$33+K1400)/'DRE + DCF'!$V$33</f>
        <v>-90858.801614444121</v>
      </c>
      <c r="J1400" s="359">
        <f>-'DRE + DCF'!$V$56*L1400</f>
        <v>-1188924.4255577971</v>
      </c>
      <c r="K1400" s="360">
        <f>(1+L1400)/(1+Ke!$O$12)-1</f>
        <v>2.0000000000000018E-2</v>
      </c>
      <c r="L1400" s="360">
        <f>'DRE + DCF'!$Y$31</f>
        <v>7.3550000000000004E-2</v>
      </c>
      <c r="M1400" s="361">
        <f>(1+D1400)^((5-Dashboard!$F$9)*3/12)</f>
        <v>1.1556556914363618</v>
      </c>
      <c r="N1400" s="361">
        <f t="shared" ref="N1400:V1400" si="1431">M1400*(1+$D1400)</f>
        <v>1.4015214397894382</v>
      </c>
      <c r="O1400" s="361">
        <f t="shared" si="1431"/>
        <v>1.6996951261046296</v>
      </c>
      <c r="P1400" s="361">
        <f t="shared" si="1431"/>
        <v>2.0613052641833756</v>
      </c>
      <c r="Q1400" s="361">
        <f t="shared" si="1431"/>
        <v>2.4998479591383718</v>
      </c>
      <c r="R1400" s="361">
        <f t="shared" si="1431"/>
        <v>3.0316906124450398</v>
      </c>
      <c r="S1400" s="361">
        <f t="shared" si="1431"/>
        <v>3.6766827902426971</v>
      </c>
      <c r="T1400" s="361">
        <f t="shared" si="1431"/>
        <v>4.4588970538668002</v>
      </c>
      <c r="U1400" s="361">
        <f t="shared" si="1431"/>
        <v>5.4075274020769255</v>
      </c>
      <c r="V1400" s="362">
        <f t="shared" si="1431"/>
        <v>6.5579788568687469</v>
      </c>
      <c r="X1400" s="351"/>
    </row>
    <row r="1401" spans="3:24" ht="24.75" customHeight="1" x14ac:dyDescent="0.3">
      <c r="C1401" s="353">
        <f>ABS(E1401-Dashboard!$F$14)</f>
        <v>3.79918344287114</v>
      </c>
      <c r="D1401" s="350">
        <f t="shared" si="1389"/>
        <v>0.2128499999999918</v>
      </c>
      <c r="E1401" s="359" cm="1">
        <f t="array" ref="E1401">1000*SUM('DRE + DCF'!$L$36/M1401,'DRE + DCF'!$N$36:$V$36/N1401:V1401,F1401/V1401)/Dashboard!$F$11</f>
        <v>93.190816557128855</v>
      </c>
      <c r="F1401" s="359">
        <f t="shared" si="1387"/>
        <v>13178169.688823206</v>
      </c>
      <c r="G1401" s="359">
        <f>'DRE + DCF'!$W$31</f>
        <v>2791623.3540418856</v>
      </c>
      <c r="H1401" s="359">
        <f>'DRE + DCF'!$W$32</f>
        <v>81081.931703745853</v>
      </c>
      <c r="I1401" s="359">
        <f>-H1401*('DRE + DCF'!$V$33+K1401)/'DRE + DCF'!$V$33</f>
        <v>-90858.801614444121</v>
      </c>
      <c r="J1401" s="359">
        <f>-'DRE + DCF'!$V$56*L1401</f>
        <v>-1188924.4255577971</v>
      </c>
      <c r="K1401" s="360">
        <f>(1+L1401)/(1+Ke!$O$12)-1</f>
        <v>2.0000000000000018E-2</v>
      </c>
      <c r="L1401" s="360">
        <f>'DRE + DCF'!$Y$31</f>
        <v>7.3550000000000004E-2</v>
      </c>
      <c r="M1401" s="361">
        <f>(1+D1401)^((5-Dashboard!$F$9)*3/12)</f>
        <v>1.1557271598210448</v>
      </c>
      <c r="N1401" s="361">
        <f t="shared" ref="N1401:V1401" si="1432">M1401*(1+$D1401)</f>
        <v>1.4017236857889446</v>
      </c>
      <c r="O1401" s="361">
        <f t="shared" si="1432"/>
        <v>1.7000805723091099</v>
      </c>
      <c r="P1401" s="361">
        <f t="shared" si="1432"/>
        <v>2.0619427221250901</v>
      </c>
      <c r="Q1401" s="361">
        <f t="shared" si="1432"/>
        <v>2.5008272305293984</v>
      </c>
      <c r="R1401" s="361">
        <f t="shared" si="1432"/>
        <v>3.0331283065475603</v>
      </c>
      <c r="S1401" s="361">
        <f t="shared" si="1432"/>
        <v>3.6787296665961837</v>
      </c>
      <c r="T1401" s="361">
        <f t="shared" si="1432"/>
        <v>4.4617472761311507</v>
      </c>
      <c r="U1401" s="361">
        <f t="shared" si="1432"/>
        <v>5.4114301838556296</v>
      </c>
      <c r="V1401" s="362">
        <f t="shared" si="1432"/>
        <v>6.5632530984892554</v>
      </c>
      <c r="X1401" s="351"/>
    </row>
    <row r="1402" spans="3:24" ht="24.75" customHeight="1" x14ac:dyDescent="0.3">
      <c r="C1402" s="353">
        <f>ABS(E1402-Dashboard!$F$14)</f>
        <v>3.8720541179681192</v>
      </c>
      <c r="D1402" s="350">
        <f t="shared" si="1389"/>
        <v>0.21294999999999178</v>
      </c>
      <c r="E1402" s="359" cm="1">
        <f t="array" ref="E1402">1000*SUM('DRE + DCF'!$L$36/M1402,'DRE + DCF'!$N$36:$V$36/N1402:V1402,F1402/V1402)/Dashboard!$F$11</f>
        <v>93.117945882031876</v>
      </c>
      <c r="F1402" s="359">
        <f t="shared" si="1387"/>
        <v>13170460.481554031</v>
      </c>
      <c r="G1402" s="359">
        <f>'DRE + DCF'!$W$31</f>
        <v>2791623.3540418856</v>
      </c>
      <c r="H1402" s="359">
        <f>'DRE + DCF'!$W$32</f>
        <v>81081.931703745853</v>
      </c>
      <c r="I1402" s="359">
        <f>-H1402*('DRE + DCF'!$V$33+K1402)/'DRE + DCF'!$V$33</f>
        <v>-90858.801614444121</v>
      </c>
      <c r="J1402" s="359">
        <f>-'DRE + DCF'!$V$56*L1402</f>
        <v>-1188924.4255577971</v>
      </c>
      <c r="K1402" s="360">
        <f>(1+L1402)/(1+Ke!$O$12)-1</f>
        <v>2.0000000000000018E-2</v>
      </c>
      <c r="L1402" s="360">
        <f>'DRE + DCF'!$Y$31</f>
        <v>7.3550000000000004E-2</v>
      </c>
      <c r="M1402" s="361">
        <f>(1+D1402)^((5-Dashboard!$F$9)*3/12)</f>
        <v>1.1557986267325933</v>
      </c>
      <c r="N1402" s="361">
        <f t="shared" ref="N1402:V1402" si="1433">M1402*(1+$D1402)</f>
        <v>1.4019259442952894</v>
      </c>
      <c r="O1402" s="361">
        <f t="shared" si="1433"/>
        <v>1.7004660741329598</v>
      </c>
      <c r="P1402" s="361">
        <f t="shared" si="1433"/>
        <v>2.0625803246195598</v>
      </c>
      <c r="Q1402" s="361">
        <f t="shared" si="1433"/>
        <v>2.5018068047472779</v>
      </c>
      <c r="R1402" s="361">
        <f t="shared" si="1433"/>
        <v>3.0345665638181902</v>
      </c>
      <c r="S1402" s="361">
        <f t="shared" si="1433"/>
        <v>3.6807775135832488</v>
      </c>
      <c r="T1402" s="361">
        <f t="shared" si="1433"/>
        <v>4.4645990851007715</v>
      </c>
      <c r="U1402" s="361">
        <f t="shared" si="1433"/>
        <v>5.415335460272944</v>
      </c>
      <c r="V1402" s="362">
        <f t="shared" si="1433"/>
        <v>6.5685311465380227</v>
      </c>
      <c r="X1402" s="351"/>
    </row>
    <row r="1403" spans="3:24" ht="24.75" customHeight="1" x14ac:dyDescent="0.3">
      <c r="C1403" s="353">
        <f>ABS(E1403-Dashboard!$F$14)</f>
        <v>3.9448259535675732</v>
      </c>
      <c r="D1403" s="350">
        <f t="shared" si="1389"/>
        <v>0.21304999999999177</v>
      </c>
      <c r="E1403" s="359" cm="1">
        <f t="array" ref="E1403">1000*SUM('DRE + DCF'!$L$36/M1403,'DRE + DCF'!$N$36:$V$36/N1403:V1403,F1403/V1403)/Dashboard!$F$11</f>
        <v>93.045174046432422</v>
      </c>
      <c r="F1403" s="359">
        <f t="shared" si="1387"/>
        <v>13162760.690642659</v>
      </c>
      <c r="G1403" s="359">
        <f>'DRE + DCF'!$W$31</f>
        <v>2791623.3540418856</v>
      </c>
      <c r="H1403" s="359">
        <f>'DRE + DCF'!$W$32</f>
        <v>81081.931703745853</v>
      </c>
      <c r="I1403" s="359">
        <f>-H1403*('DRE + DCF'!$V$33+K1403)/'DRE + DCF'!$V$33</f>
        <v>-90858.801614444121</v>
      </c>
      <c r="J1403" s="359">
        <f>-'DRE + DCF'!$V$56*L1403</f>
        <v>-1188924.4255577971</v>
      </c>
      <c r="K1403" s="360">
        <f>(1+L1403)/(1+Ke!$O$12)-1</f>
        <v>2.0000000000000018E-2</v>
      </c>
      <c r="L1403" s="360">
        <f>'DRE + DCF'!$Y$31</f>
        <v>7.3550000000000004E-2</v>
      </c>
      <c r="M1403" s="361">
        <f>(1+D1403)^((5-Dashboard!$F$9)*3/12)</f>
        <v>1.1558700921711591</v>
      </c>
      <c r="N1403" s="361">
        <f t="shared" ref="N1403:V1403" si="1434">M1403*(1+$D1403)</f>
        <v>1.4021282153082151</v>
      </c>
      <c r="O1403" s="361">
        <f t="shared" si="1434"/>
        <v>1.7008516315796187</v>
      </c>
      <c r="P1403" s="361">
        <f t="shared" si="1434"/>
        <v>2.0632180716876425</v>
      </c>
      <c r="Q1403" s="361">
        <f t="shared" si="1434"/>
        <v>2.5027866818606777</v>
      </c>
      <c r="R1403" s="361">
        <f t="shared" si="1434"/>
        <v>3.0360053844310744</v>
      </c>
      <c r="S1403" s="361">
        <f t="shared" si="1434"/>
        <v>3.6828263315840899</v>
      </c>
      <c r="T1403" s="361">
        <f t="shared" si="1434"/>
        <v>4.4674524815280501</v>
      </c>
      <c r="U1403" s="361">
        <f t="shared" si="1434"/>
        <v>5.4192432327175641</v>
      </c>
      <c r="V1403" s="362">
        <f t="shared" si="1434"/>
        <v>6.573813003447996</v>
      </c>
      <c r="X1403" s="351"/>
    </row>
    <row r="1404" spans="3:24" ht="24.75" customHeight="1" x14ac:dyDescent="0.3">
      <c r="C1404" s="353">
        <f>ABS(E1404-Dashboard!$F$14)</f>
        <v>4.0174991399899369</v>
      </c>
      <c r="D1404" s="350">
        <f t="shared" si="1389"/>
        <v>0.21314999999999176</v>
      </c>
      <c r="E1404" s="359" cm="1">
        <f t="array" ref="E1404">1000*SUM('DRE + DCF'!$L$36/M1404,'DRE + DCF'!$N$36:$V$36/N1404:V1404,F1404/V1404)/Dashboard!$F$11</f>
        <v>92.972500860010058</v>
      </c>
      <c r="F1404" s="359">
        <f t="shared" si="1387"/>
        <v>13155070.298154693</v>
      </c>
      <c r="G1404" s="359">
        <f>'DRE + DCF'!$W$31</f>
        <v>2791623.3540418856</v>
      </c>
      <c r="H1404" s="359">
        <f>'DRE + DCF'!$W$32</f>
        <v>81081.931703745853</v>
      </c>
      <c r="I1404" s="359">
        <f>-H1404*('DRE + DCF'!$V$33+K1404)/'DRE + DCF'!$V$33</f>
        <v>-90858.801614444121</v>
      </c>
      <c r="J1404" s="359">
        <f>-'DRE + DCF'!$V$56*L1404</f>
        <v>-1188924.4255577971</v>
      </c>
      <c r="K1404" s="360">
        <f>(1+L1404)/(1+Ke!$O$12)-1</f>
        <v>2.0000000000000018E-2</v>
      </c>
      <c r="L1404" s="360">
        <f>'DRE + DCF'!$Y$31</f>
        <v>7.3550000000000004E-2</v>
      </c>
      <c r="M1404" s="361">
        <f>(1+D1404)^((5-Dashboard!$F$9)*3/12)</f>
        <v>1.155941556136894</v>
      </c>
      <c r="N1404" s="361">
        <f t="shared" ref="N1404:V1404" si="1435">M1404*(1+$D1404)</f>
        <v>1.4023304988274634</v>
      </c>
      <c r="O1404" s="361">
        <f t="shared" si="1435"/>
        <v>1.7012372446525257</v>
      </c>
      <c r="P1404" s="361">
        <f t="shared" si="1435"/>
        <v>2.0638559633501976</v>
      </c>
      <c r="Q1404" s="361">
        <f t="shared" si="1435"/>
        <v>2.5037668619382751</v>
      </c>
      <c r="R1404" s="361">
        <f t="shared" si="1435"/>
        <v>3.0374447685603978</v>
      </c>
      <c r="S1404" s="361">
        <f t="shared" si="1435"/>
        <v>3.6848761209790215</v>
      </c>
      <c r="T1404" s="361">
        <f t="shared" si="1435"/>
        <v>4.4703074661656697</v>
      </c>
      <c r="U1404" s="361">
        <f t="shared" si="1435"/>
        <v>5.4231535025788453</v>
      </c>
      <c r="V1404" s="362">
        <f t="shared" si="1435"/>
        <v>6.5790986716534814</v>
      </c>
      <c r="X1404" s="351"/>
    </row>
    <row r="1405" spans="3:24" ht="24.75" customHeight="1" x14ac:dyDescent="0.3">
      <c r="C1405" s="353">
        <f>ABS(E1405-Dashboard!$F$14)</f>
        <v>4.0900738670697621</v>
      </c>
      <c r="D1405" s="350">
        <f t="shared" si="1389"/>
        <v>0.21324999999999175</v>
      </c>
      <c r="E1405" s="359" cm="1">
        <f t="array" ref="E1405">1000*SUM('DRE + DCF'!$L$36/M1405,'DRE + DCF'!$N$36:$V$36/N1405:V1405,F1405/V1405)/Dashboard!$F$11</f>
        <v>92.899926132930233</v>
      </c>
      <c r="F1405" s="359">
        <f t="shared" si="1387"/>
        <v>13147389.286202783</v>
      </c>
      <c r="G1405" s="359">
        <f>'DRE + DCF'!$W$31</f>
        <v>2791623.3540418856</v>
      </c>
      <c r="H1405" s="359">
        <f>'DRE + DCF'!$W$32</f>
        <v>81081.931703745853</v>
      </c>
      <c r="I1405" s="359">
        <f>-H1405*('DRE + DCF'!$V$33+K1405)/'DRE + DCF'!$V$33</f>
        <v>-90858.801614444121</v>
      </c>
      <c r="J1405" s="359">
        <f>-'DRE + DCF'!$V$56*L1405</f>
        <v>-1188924.4255577971</v>
      </c>
      <c r="K1405" s="360">
        <f>(1+L1405)/(1+Ke!$O$12)-1</f>
        <v>2.0000000000000018E-2</v>
      </c>
      <c r="L1405" s="360">
        <f>'DRE + DCF'!$Y$31</f>
        <v>7.3550000000000004E-2</v>
      </c>
      <c r="M1405" s="361">
        <f>(1+D1405)^((5-Dashboard!$F$9)*3/12)</f>
        <v>1.1560130186299498</v>
      </c>
      <c r="N1405" s="361">
        <f t="shared" ref="N1405:V1405" si="1436">M1405*(1+$D1405)</f>
        <v>1.402532794852777</v>
      </c>
      <c r="O1405" s="361">
        <f t="shared" si="1436"/>
        <v>1.7016229133551202</v>
      </c>
      <c r="P1405" s="361">
        <f t="shared" si="1436"/>
        <v>2.0644939996280853</v>
      </c>
      <c r="Q1405" s="361">
        <f t="shared" si="1436"/>
        <v>2.5047473450487576</v>
      </c>
      <c r="R1405" s="361">
        <f t="shared" si="1436"/>
        <v>3.0388847163803843</v>
      </c>
      <c r="S1405" s="361">
        <f t="shared" si="1436"/>
        <v>3.6869268821484762</v>
      </c>
      <c r="T1405" s="361">
        <f t="shared" si="1436"/>
        <v>4.4731640397666084</v>
      </c>
      <c r="U1405" s="361">
        <f t="shared" si="1436"/>
        <v>5.427066271246801</v>
      </c>
      <c r="V1405" s="362">
        <f t="shared" si="1436"/>
        <v>6.5843881535901367</v>
      </c>
      <c r="X1405" s="351"/>
    </row>
    <row r="1406" spans="3:24" ht="24.75" customHeight="1" x14ac:dyDescent="0.3">
      <c r="C1406" s="353">
        <f>ABS(E1406-Dashboard!$F$14)</f>
        <v>4.1625503241573938</v>
      </c>
      <c r="D1406" s="350">
        <f t="shared" si="1389"/>
        <v>0.21334999999999174</v>
      </c>
      <c r="E1406" s="359" cm="1">
        <f t="array" ref="E1406">1000*SUM('DRE + DCF'!$L$36/M1406,'DRE + DCF'!$N$36:$V$36/N1406:V1406,F1406/V1406)/Dashboard!$F$11</f>
        <v>92.827449675842601</v>
      </c>
      <c r="F1406" s="359">
        <f t="shared" si="1387"/>
        <v>13139717.636946447</v>
      </c>
      <c r="G1406" s="359">
        <f>'DRE + DCF'!$W$31</f>
        <v>2791623.3540418856</v>
      </c>
      <c r="H1406" s="359">
        <f>'DRE + DCF'!$W$32</f>
        <v>81081.931703745853</v>
      </c>
      <c r="I1406" s="359">
        <f>-H1406*('DRE + DCF'!$V$33+K1406)/'DRE + DCF'!$V$33</f>
        <v>-90858.801614444121</v>
      </c>
      <c r="J1406" s="359">
        <f>-'DRE + DCF'!$V$56*L1406</f>
        <v>-1188924.4255577971</v>
      </c>
      <c r="K1406" s="360">
        <f>(1+L1406)/(1+Ke!$O$12)-1</f>
        <v>2.0000000000000018E-2</v>
      </c>
      <c r="L1406" s="360">
        <f>'DRE + DCF'!$Y$31</f>
        <v>7.3550000000000004E-2</v>
      </c>
      <c r="M1406" s="361">
        <f>(1+D1406)^((5-Dashboard!$F$9)*3/12)</f>
        <v>1.1560844796504781</v>
      </c>
      <c r="N1406" s="361">
        <f t="shared" ref="N1406:V1406" si="1437">M1406*(1+$D1406)</f>
        <v>1.402735103383898</v>
      </c>
      <c r="O1406" s="361">
        <f t="shared" si="1437"/>
        <v>1.702008637690841</v>
      </c>
      <c r="P1406" s="361">
        <f t="shared" si="1437"/>
        <v>2.0651321805421676</v>
      </c>
      <c r="Q1406" s="361">
        <f t="shared" si="1437"/>
        <v>2.5057281312608222</v>
      </c>
      <c r="R1406" s="361">
        <f t="shared" si="1437"/>
        <v>3.0403252280652979</v>
      </c>
      <c r="S1406" s="361">
        <f t="shared" si="1437"/>
        <v>3.6889786154730042</v>
      </c>
      <c r="T1406" s="361">
        <f t="shared" si="1437"/>
        <v>4.4760222030841392</v>
      </c>
      <c r="U1406" s="361">
        <f t="shared" si="1437"/>
        <v>5.4309815401121035</v>
      </c>
      <c r="V1406" s="362">
        <f t="shared" si="1437"/>
        <v>6.5896814516949762</v>
      </c>
      <c r="X1406" s="351"/>
    </row>
    <row r="1407" spans="3:24" ht="24.75" customHeight="1" x14ac:dyDescent="0.3">
      <c r="C1407" s="353">
        <f>ABS(E1407-Dashboard!$F$14)</f>
        <v>4.2349287001203777</v>
      </c>
      <c r="D1407" s="350">
        <f t="shared" si="1389"/>
        <v>0.21344999999999173</v>
      </c>
      <c r="E1407" s="359" cm="1">
        <f t="array" ref="E1407">1000*SUM('DRE + DCF'!$L$36/M1407,'DRE + DCF'!$N$36:$V$36/N1407:V1407,F1407/V1407)/Dashboard!$F$11</f>
        <v>92.755071299879617</v>
      </c>
      <c r="F1407" s="359">
        <f t="shared" si="1387"/>
        <v>13132055.332591936</v>
      </c>
      <c r="G1407" s="359">
        <f>'DRE + DCF'!$W$31</f>
        <v>2791623.3540418856</v>
      </c>
      <c r="H1407" s="359">
        <f>'DRE + DCF'!$W$32</f>
        <v>81081.931703745853</v>
      </c>
      <c r="I1407" s="359">
        <f>-H1407*('DRE + DCF'!$V$33+K1407)/'DRE + DCF'!$V$33</f>
        <v>-90858.801614444121</v>
      </c>
      <c r="J1407" s="359">
        <f>-'DRE + DCF'!$V$56*L1407</f>
        <v>-1188924.4255577971</v>
      </c>
      <c r="K1407" s="360">
        <f>(1+L1407)/(1+Ke!$O$12)-1</f>
        <v>2.0000000000000018E-2</v>
      </c>
      <c r="L1407" s="360">
        <f>'DRE + DCF'!$Y$31</f>
        <v>7.3550000000000004E-2</v>
      </c>
      <c r="M1407" s="361">
        <f>(1+D1407)^((5-Dashboard!$F$9)*3/12)</f>
        <v>1.1561559391986307</v>
      </c>
      <c r="N1407" s="361">
        <f t="shared" ref="N1407:V1407" si="1438">M1407*(1+$D1407)</f>
        <v>1.4029374244205688</v>
      </c>
      <c r="O1407" s="361">
        <f t="shared" si="1438"/>
        <v>1.7023944176631276</v>
      </c>
      <c r="P1407" s="361">
        <f t="shared" si="1438"/>
        <v>2.0657705061133083</v>
      </c>
      <c r="Q1407" s="361">
        <f t="shared" si="1438"/>
        <v>2.5067092206431769</v>
      </c>
      <c r="R1407" s="361">
        <f t="shared" si="1438"/>
        <v>3.041766303789442</v>
      </c>
      <c r="S1407" s="361">
        <f t="shared" si="1438"/>
        <v>3.6910313213332731</v>
      </c>
      <c r="T1407" s="361">
        <f t="shared" si="1438"/>
        <v>4.4788819568718292</v>
      </c>
      <c r="U1407" s="361">
        <f t="shared" si="1438"/>
        <v>5.4348993105660837</v>
      </c>
      <c r="V1407" s="362">
        <f t="shared" si="1438"/>
        <v>6.5949785684063693</v>
      </c>
      <c r="X1407" s="351"/>
    </row>
    <row r="1408" spans="3:24" ht="24.75" customHeight="1" x14ac:dyDescent="0.3">
      <c r="C1408" s="353">
        <f>ABS(E1408-Dashboard!$F$14)</f>
        <v>4.3072091833451509</v>
      </c>
      <c r="D1408" s="350">
        <f t="shared" si="1389"/>
        <v>0.21354999999999172</v>
      </c>
      <c r="E1408" s="359" cm="1">
        <f t="array" ref="E1408">1000*SUM('DRE + DCF'!$L$36/M1408,'DRE + DCF'!$N$36:$V$36/N1408:V1408,F1408/V1408)/Dashboard!$F$11</f>
        <v>92.682790816654844</v>
      </c>
      <c r="F1408" s="359">
        <f t="shared" si="1387"/>
        <v>13124402.355392056</v>
      </c>
      <c r="G1408" s="359">
        <f>'DRE + DCF'!$W$31</f>
        <v>2791623.3540418856</v>
      </c>
      <c r="H1408" s="359">
        <f>'DRE + DCF'!$W$32</f>
        <v>81081.931703745853</v>
      </c>
      <c r="I1408" s="359">
        <f>-H1408*('DRE + DCF'!$V$33+K1408)/'DRE + DCF'!$V$33</f>
        <v>-90858.801614444121</v>
      </c>
      <c r="J1408" s="359">
        <f>-'DRE + DCF'!$V$56*L1408</f>
        <v>-1188924.4255577971</v>
      </c>
      <c r="K1408" s="360">
        <f>(1+L1408)/(1+Ke!$O$12)-1</f>
        <v>2.0000000000000018E-2</v>
      </c>
      <c r="L1408" s="360">
        <f>'DRE + DCF'!$Y$31</f>
        <v>7.3550000000000004E-2</v>
      </c>
      <c r="M1408" s="361">
        <f>(1+D1408)^((5-Dashboard!$F$9)*3/12)</f>
        <v>1.1562273972745591</v>
      </c>
      <c r="N1408" s="361">
        <f t="shared" ref="N1408:V1408" si="1439">M1408*(1+$D1408)</f>
        <v>1.4031397579625315</v>
      </c>
      <c r="O1408" s="361">
        <f t="shared" si="1439"/>
        <v>1.7027802532754186</v>
      </c>
      <c r="P1408" s="361">
        <f t="shared" si="1439"/>
        <v>2.0664089763623701</v>
      </c>
      <c r="Q1408" s="361">
        <f t="shared" si="1439"/>
        <v>2.5076906132645371</v>
      </c>
      <c r="R1408" s="361">
        <f t="shared" si="1439"/>
        <v>3.0432079437271584</v>
      </c>
      <c r="S1408" s="361">
        <f t="shared" si="1439"/>
        <v>3.6930850001100679</v>
      </c>
      <c r="T1408" s="361">
        <f t="shared" si="1439"/>
        <v>4.481743301883542</v>
      </c>
      <c r="U1408" s="361">
        <f t="shared" si="1439"/>
        <v>5.4388195840007354</v>
      </c>
      <c r="V1408" s="362">
        <f t="shared" si="1439"/>
        <v>6.6002795061640471</v>
      </c>
      <c r="X1408" s="351"/>
    </row>
    <row r="1409" spans="3:24" ht="24.75" customHeight="1" x14ac:dyDescent="0.3">
      <c r="C1409" s="353">
        <f>ABS(E1409-Dashboard!$F$14)</f>
        <v>4.37939196173852</v>
      </c>
      <c r="D1409" s="350">
        <f t="shared" si="1389"/>
        <v>0.21364999999999171</v>
      </c>
      <c r="E1409" s="359" cm="1">
        <f t="array" ref="E1409">1000*SUM('DRE + DCF'!$L$36/M1409,'DRE + DCF'!$N$36:$V$36/N1409:V1409,F1409/V1409)/Dashboard!$F$11</f>
        <v>92.610608038261475</v>
      </c>
      <c r="F1409" s="359">
        <f t="shared" si="1387"/>
        <v>13116758.687646031</v>
      </c>
      <c r="G1409" s="359">
        <f>'DRE + DCF'!$W$31</f>
        <v>2791623.3540418856</v>
      </c>
      <c r="H1409" s="359">
        <f>'DRE + DCF'!$W$32</f>
        <v>81081.931703745853</v>
      </c>
      <c r="I1409" s="359">
        <f>-H1409*('DRE + DCF'!$V$33+K1409)/'DRE + DCF'!$V$33</f>
        <v>-90858.801614444121</v>
      </c>
      <c r="J1409" s="359">
        <f>-'DRE + DCF'!$V$56*L1409</f>
        <v>-1188924.4255577971</v>
      </c>
      <c r="K1409" s="360">
        <f>(1+L1409)/(1+Ke!$O$12)-1</f>
        <v>2.0000000000000018E-2</v>
      </c>
      <c r="L1409" s="360">
        <f>'DRE + DCF'!$Y$31</f>
        <v>7.3550000000000004E-2</v>
      </c>
      <c r="M1409" s="361">
        <f>(1+D1409)^((5-Dashboard!$F$9)*3/12)</f>
        <v>1.1562988538784151</v>
      </c>
      <c r="N1409" s="361">
        <f t="shared" ref="N1409:V1409" si="1440">M1409*(1+$D1409)</f>
        <v>1.4033421040095289</v>
      </c>
      <c r="O1409" s="361">
        <f t="shared" si="1440"/>
        <v>1.703166144531153</v>
      </c>
      <c r="P1409" s="361">
        <f t="shared" si="1440"/>
        <v>2.0670475913102195</v>
      </c>
      <c r="Q1409" s="361">
        <f t="shared" si="1440"/>
        <v>2.5086723091936309</v>
      </c>
      <c r="R1409" s="361">
        <f t="shared" si="1440"/>
        <v>3.0446501480528294</v>
      </c>
      <c r="S1409" s="361">
        <f t="shared" si="1440"/>
        <v>3.6951396521842912</v>
      </c>
      <c r="T1409" s="361">
        <f t="shared" si="1440"/>
        <v>4.4846062388734342</v>
      </c>
      <c r="U1409" s="361">
        <f t="shared" si="1440"/>
        <v>5.4427423618087065</v>
      </c>
      <c r="V1409" s="362">
        <f t="shared" si="1440"/>
        <v>6.6055842674090917</v>
      </c>
      <c r="X1409" s="351"/>
    </row>
    <row r="1410" spans="3:24" ht="24.75" customHeight="1" x14ac:dyDescent="0.3">
      <c r="C1410" s="353">
        <f>ABS(E1410-Dashboard!$F$14)</f>
        <v>4.4514772227292951</v>
      </c>
      <c r="D1410" s="350">
        <f t="shared" si="1389"/>
        <v>0.2137499999999917</v>
      </c>
      <c r="E1410" s="359" cm="1">
        <f t="array" ref="E1410">1000*SUM('DRE + DCF'!$L$36/M1410,'DRE + DCF'!$N$36:$V$36/N1410:V1410,F1410/V1410)/Dashboard!$F$11</f>
        <v>92.5385227772707</v>
      </c>
      <c r="F1410" s="359">
        <f t="shared" si="1387"/>
        <v>13109124.311699331</v>
      </c>
      <c r="G1410" s="359">
        <f>'DRE + DCF'!$W$31</f>
        <v>2791623.3540418856</v>
      </c>
      <c r="H1410" s="359">
        <f>'DRE + DCF'!$W$32</f>
        <v>81081.931703745853</v>
      </c>
      <c r="I1410" s="359">
        <f>-H1410*('DRE + DCF'!$V$33+K1410)/'DRE + DCF'!$V$33</f>
        <v>-90858.801614444121</v>
      </c>
      <c r="J1410" s="359">
        <f>-'DRE + DCF'!$V$56*L1410</f>
        <v>-1188924.4255577971</v>
      </c>
      <c r="K1410" s="360">
        <f>(1+L1410)/(1+Ke!$O$12)-1</f>
        <v>2.0000000000000018E-2</v>
      </c>
      <c r="L1410" s="360">
        <f>'DRE + DCF'!$Y$31</f>
        <v>7.3550000000000004E-2</v>
      </c>
      <c r="M1410" s="361">
        <f>(1+D1410)^((5-Dashboard!$F$9)*3/12)</f>
        <v>1.1563703090103503</v>
      </c>
      <c r="N1410" s="361">
        <f t="shared" ref="N1410:V1410" si="1441">M1410*(1+$D1410)</f>
        <v>1.4035444625613032</v>
      </c>
      <c r="O1410" s="361">
        <f t="shared" si="1441"/>
        <v>1.7035520914337701</v>
      </c>
      <c r="P1410" s="361">
        <f t="shared" si="1441"/>
        <v>2.0676863509777244</v>
      </c>
      <c r="Q1410" s="361">
        <f t="shared" si="1441"/>
        <v>2.5096543084991958</v>
      </c>
      <c r="R1410" s="361">
        <f t="shared" si="1441"/>
        <v>3.0460929169408781</v>
      </c>
      <c r="S1410" s="361">
        <f t="shared" si="1441"/>
        <v>3.6971952779369657</v>
      </c>
      <c r="T1410" s="361">
        <f t="shared" si="1441"/>
        <v>4.4874707685959612</v>
      </c>
      <c r="U1410" s="361">
        <f t="shared" si="1441"/>
        <v>5.4466676453833101</v>
      </c>
      <c r="V1410" s="362">
        <f t="shared" si="1441"/>
        <v>6.6108928545839474</v>
      </c>
      <c r="X1410" s="351"/>
    </row>
    <row r="1411" spans="3:24" ht="24.75" customHeight="1" x14ac:dyDescent="0.3">
      <c r="C1411" s="353">
        <f>ABS(E1411-Dashboard!$F$14)</f>
        <v>4.5234651532697541</v>
      </c>
      <c r="D1411" s="350">
        <f t="shared" si="1389"/>
        <v>0.21384999999999169</v>
      </c>
      <c r="E1411" s="359" cm="1">
        <f t="array" ref="E1411">1000*SUM('DRE + DCF'!$L$36/M1411,'DRE + DCF'!$N$36:$V$36/N1411:V1411,F1411/V1411)/Dashboard!$F$11</f>
        <v>92.466534846730241</v>
      </c>
      <c r="F1411" s="359">
        <f t="shared" si="1387"/>
        <v>13101499.209943533</v>
      </c>
      <c r="G1411" s="359">
        <f>'DRE + DCF'!$W$31</f>
        <v>2791623.3540418856</v>
      </c>
      <c r="H1411" s="359">
        <f>'DRE + DCF'!$W$32</f>
        <v>81081.931703745853</v>
      </c>
      <c r="I1411" s="359">
        <f>-H1411*('DRE + DCF'!$V$33+K1411)/'DRE + DCF'!$V$33</f>
        <v>-90858.801614444121</v>
      </c>
      <c r="J1411" s="359">
        <f>-'DRE + DCF'!$V$56*L1411</f>
        <v>-1188924.4255577971</v>
      </c>
      <c r="K1411" s="360">
        <f>(1+L1411)/(1+Ke!$O$12)-1</f>
        <v>2.0000000000000018E-2</v>
      </c>
      <c r="L1411" s="360">
        <f>'DRE + DCF'!$Y$31</f>
        <v>7.3550000000000004E-2</v>
      </c>
      <c r="M1411" s="361">
        <f>(1+D1411)^((5-Dashboard!$F$9)*3/12)</f>
        <v>1.1564417626705163</v>
      </c>
      <c r="N1411" s="361">
        <f t="shared" ref="N1411:V1411" si="1442">M1411*(1+$D1411)</f>
        <v>1.4037468336175967</v>
      </c>
      <c r="O1411" s="361">
        <f t="shared" si="1442"/>
        <v>1.7039380939867079</v>
      </c>
      <c r="P1411" s="361">
        <f t="shared" si="1442"/>
        <v>2.0683252553857514</v>
      </c>
      <c r="Q1411" s="361">
        <f t="shared" si="1442"/>
        <v>2.5106366112499772</v>
      </c>
      <c r="R1411" s="361">
        <f t="shared" si="1442"/>
        <v>3.0475362505657637</v>
      </c>
      <c r="S1411" s="361">
        <f t="shared" si="1442"/>
        <v>3.6992518777492269</v>
      </c>
      <c r="T1411" s="361">
        <f t="shared" si="1442"/>
        <v>4.4903368918058684</v>
      </c>
      <c r="U1411" s="361">
        <f t="shared" si="1442"/>
        <v>5.4505954361185163</v>
      </c>
      <c r="V1411" s="362">
        <f t="shared" si="1442"/>
        <v>6.6162052701324159</v>
      </c>
      <c r="X1411" s="351"/>
    </row>
    <row r="1412" spans="3:24" ht="24.75" customHeight="1" x14ac:dyDescent="0.3">
      <c r="C1412" s="353">
        <f>ABS(E1412-Dashboard!$F$14)</f>
        <v>4.5953559398371624</v>
      </c>
      <c r="D1412" s="350">
        <f t="shared" si="1389"/>
        <v>0.21394999999999167</v>
      </c>
      <c r="E1412" s="359" cm="1">
        <f t="array" ref="E1412">1000*SUM('DRE + DCF'!$L$36/M1412,'DRE + DCF'!$N$36:$V$36/N1412:V1412,F1412/V1412)/Dashboard!$F$11</f>
        <v>92.394644060162832</v>
      </c>
      <c r="F1412" s="359">
        <f t="shared" si="1387"/>
        <v>13093883.364816148</v>
      </c>
      <c r="G1412" s="359">
        <f>'DRE + DCF'!$W$31</f>
        <v>2791623.3540418856</v>
      </c>
      <c r="H1412" s="359">
        <f>'DRE + DCF'!$W$32</f>
        <v>81081.931703745853</v>
      </c>
      <c r="I1412" s="359">
        <f>-H1412*('DRE + DCF'!$V$33+K1412)/'DRE + DCF'!$V$33</f>
        <v>-90858.801614444121</v>
      </c>
      <c r="J1412" s="359">
        <f>-'DRE + DCF'!$V$56*L1412</f>
        <v>-1188924.4255577971</v>
      </c>
      <c r="K1412" s="360">
        <f>(1+L1412)/(1+Ke!$O$12)-1</f>
        <v>2.0000000000000018E-2</v>
      </c>
      <c r="L1412" s="360">
        <f>'DRE + DCF'!$Y$31</f>
        <v>7.3550000000000004E-2</v>
      </c>
      <c r="M1412" s="361">
        <f>(1+D1412)^((5-Dashboard!$F$9)*3/12)</f>
        <v>1.1565132148590647</v>
      </c>
      <c r="N1412" s="361">
        <f t="shared" ref="N1412:V1412" si="1443">M1412*(1+$D1412)</f>
        <v>1.4039492171781518</v>
      </c>
      <c r="O1412" s="361">
        <f t="shared" si="1443"/>
        <v>1.7043241521934056</v>
      </c>
      <c r="P1412" s="361">
        <f t="shared" si="1443"/>
        <v>2.0689643045551707</v>
      </c>
      <c r="Q1412" s="361">
        <f t="shared" si="1443"/>
        <v>2.511619217514732</v>
      </c>
      <c r="R1412" s="361">
        <f t="shared" si="1443"/>
        <v>3.0489801491019879</v>
      </c>
      <c r="S1412" s="361">
        <f t="shared" si="1443"/>
        <v>3.7013094520023326</v>
      </c>
      <c r="T1412" s="361">
        <f t="shared" si="1443"/>
        <v>4.4932046092582008</v>
      </c>
      <c r="U1412" s="361">
        <f t="shared" si="1443"/>
        <v>5.4545257354089554</v>
      </c>
      <c r="V1412" s="362">
        <f t="shared" si="1443"/>
        <v>6.6215215164996559</v>
      </c>
      <c r="X1412" s="351"/>
    </row>
    <row r="1413" spans="3:24" ht="24.75" customHeight="1" x14ac:dyDescent="0.3">
      <c r="C1413" s="353">
        <f>ABS(E1413-Dashboard!$F$14)</f>
        <v>4.6671497684355501</v>
      </c>
      <c r="D1413" s="350">
        <f t="shared" si="1389"/>
        <v>0.21404999999999166</v>
      </c>
      <c r="E1413" s="359" cm="1">
        <f t="array" ref="E1413">1000*SUM('DRE + DCF'!$L$36/M1413,'DRE + DCF'!$N$36:$V$36/N1413:V1413,F1413/V1413)/Dashboard!$F$11</f>
        <v>92.322850231564445</v>
      </c>
      <c r="F1413" s="359">
        <f t="shared" si="1387"/>
        <v>13086276.758800482</v>
      </c>
      <c r="G1413" s="359">
        <f>'DRE + DCF'!$W$31</f>
        <v>2791623.3540418856</v>
      </c>
      <c r="H1413" s="359">
        <f>'DRE + DCF'!$W$32</f>
        <v>81081.931703745853</v>
      </c>
      <c r="I1413" s="359">
        <f>-H1413*('DRE + DCF'!$V$33+K1413)/'DRE + DCF'!$V$33</f>
        <v>-90858.801614444121</v>
      </c>
      <c r="J1413" s="359">
        <f>-'DRE + DCF'!$V$56*L1413</f>
        <v>-1188924.4255577971</v>
      </c>
      <c r="K1413" s="360">
        <f>(1+L1413)/(1+Ke!$O$12)-1</f>
        <v>2.0000000000000018E-2</v>
      </c>
      <c r="L1413" s="360">
        <f>'DRE + DCF'!$Y$31</f>
        <v>7.3550000000000004E-2</v>
      </c>
      <c r="M1413" s="361">
        <f>(1+D1413)^((5-Dashboard!$F$9)*3/12)</f>
        <v>1.1565846655761469</v>
      </c>
      <c r="N1413" s="361">
        <f t="shared" ref="N1413:V1413" si="1444">M1413*(1+$D1413)</f>
        <v>1.4041516132427114</v>
      </c>
      <c r="O1413" s="361">
        <f t="shared" si="1444"/>
        <v>1.7047102660573021</v>
      </c>
      <c r="P1413" s="361">
        <f t="shared" si="1444"/>
        <v>2.0696034985068534</v>
      </c>
      <c r="Q1413" s="361">
        <f t="shared" si="1444"/>
        <v>2.5126021273622281</v>
      </c>
      <c r="R1413" s="361">
        <f t="shared" si="1444"/>
        <v>3.0504246127240919</v>
      </c>
      <c r="S1413" s="361">
        <f t="shared" si="1444"/>
        <v>3.7033680010776582</v>
      </c>
      <c r="T1413" s="361">
        <f t="shared" si="1444"/>
        <v>4.4960739217082999</v>
      </c>
      <c r="U1413" s="361">
        <f t="shared" si="1444"/>
        <v>5.4584585446499236</v>
      </c>
      <c r="V1413" s="362">
        <f t="shared" si="1444"/>
        <v>6.626841596132194</v>
      </c>
      <c r="X1413" s="351"/>
    </row>
    <row r="1414" spans="3:24" ht="24.75" customHeight="1" x14ac:dyDescent="0.3">
      <c r="C1414" s="353">
        <f>ABS(E1414-Dashboard!$F$14)</f>
        <v>4.7388468245968198</v>
      </c>
      <c r="D1414" s="350">
        <f t="shared" si="1389"/>
        <v>0.21414999999999165</v>
      </c>
      <c r="E1414" s="359" cm="1">
        <f t="array" ref="E1414">1000*SUM('DRE + DCF'!$L$36/M1414,'DRE + DCF'!$N$36:$V$36/N1414:V1414,F1414/V1414)/Dashboard!$F$11</f>
        <v>92.251153175403175</v>
      </c>
      <c r="F1414" s="359">
        <f t="shared" si="1387"/>
        <v>13078679.374425486</v>
      </c>
      <c r="G1414" s="359">
        <f>'DRE + DCF'!$W$31</f>
        <v>2791623.3540418856</v>
      </c>
      <c r="H1414" s="359">
        <f>'DRE + DCF'!$W$32</f>
        <v>81081.931703745853</v>
      </c>
      <c r="I1414" s="359">
        <f>-H1414*('DRE + DCF'!$V$33+K1414)/'DRE + DCF'!$V$33</f>
        <v>-90858.801614444121</v>
      </c>
      <c r="J1414" s="359">
        <f>-'DRE + DCF'!$V$56*L1414</f>
        <v>-1188924.4255577971</v>
      </c>
      <c r="K1414" s="360">
        <f>(1+L1414)/(1+Ke!$O$12)-1</f>
        <v>2.0000000000000018E-2</v>
      </c>
      <c r="L1414" s="360">
        <f>'DRE + DCF'!$Y$31</f>
        <v>7.3550000000000004E-2</v>
      </c>
      <c r="M1414" s="361">
        <f>(1+D1414)^((5-Dashboard!$F$9)*3/12)</f>
        <v>1.1566561148219145</v>
      </c>
      <c r="N1414" s="361">
        <f t="shared" ref="N1414:V1414" si="1445">M1414*(1+$D1414)</f>
        <v>1.4043540218110178</v>
      </c>
      <c r="O1414" s="361">
        <f t="shared" si="1445"/>
        <v>1.7050964355818354</v>
      </c>
      <c r="P1414" s="361">
        <f t="shared" si="1445"/>
        <v>2.070242837261671</v>
      </c>
      <c r="Q1414" s="361">
        <f t="shared" si="1445"/>
        <v>2.5135853408612405</v>
      </c>
      <c r="R1414" s="361">
        <f t="shared" si="1445"/>
        <v>3.051869641606654</v>
      </c>
      <c r="S1414" s="361">
        <f t="shared" si="1445"/>
        <v>3.7054275253566935</v>
      </c>
      <c r="T1414" s="361">
        <f t="shared" si="1445"/>
        <v>4.4989448299117987</v>
      </c>
      <c r="U1414" s="361">
        <f t="shared" si="1445"/>
        <v>5.4623938652373729</v>
      </c>
      <c r="V1414" s="362">
        <f t="shared" si="1445"/>
        <v>6.6321655114779103</v>
      </c>
      <c r="X1414" s="351"/>
    </row>
    <row r="1415" spans="3:24" ht="24.75" customHeight="1" x14ac:dyDescent="0.3">
      <c r="C1415" s="353">
        <f>ABS(E1415-Dashboard!$F$14)</f>
        <v>4.8104472933826514</v>
      </c>
      <c r="D1415" s="350">
        <f t="shared" si="1389"/>
        <v>0.21424999999999164</v>
      </c>
      <c r="E1415" s="359" cm="1">
        <f t="array" ref="E1415">1000*SUM('DRE + DCF'!$L$36/M1415,'DRE + DCF'!$N$36:$V$36/N1415:V1415,F1415/V1415)/Dashboard!$F$11</f>
        <v>92.179552706617343</v>
      </c>
      <c r="F1415" s="359">
        <f t="shared" si="1387"/>
        <v>13071091.194265582</v>
      </c>
      <c r="G1415" s="359">
        <f>'DRE + DCF'!$W$31</f>
        <v>2791623.3540418856</v>
      </c>
      <c r="H1415" s="359">
        <f>'DRE + DCF'!$W$32</f>
        <v>81081.931703745853</v>
      </c>
      <c r="I1415" s="359">
        <f>-H1415*('DRE + DCF'!$V$33+K1415)/'DRE + DCF'!$V$33</f>
        <v>-90858.801614444121</v>
      </c>
      <c r="J1415" s="359">
        <f>-'DRE + DCF'!$V$56*L1415</f>
        <v>-1188924.4255577971</v>
      </c>
      <c r="K1415" s="360">
        <f>(1+L1415)/(1+Ke!$O$12)-1</f>
        <v>2.0000000000000018E-2</v>
      </c>
      <c r="L1415" s="360">
        <f>'DRE + DCF'!$Y$31</f>
        <v>7.3550000000000004E-2</v>
      </c>
      <c r="M1415" s="361">
        <f>(1+D1415)^((5-Dashboard!$F$9)*3/12)</f>
        <v>1.1567275625965188</v>
      </c>
      <c r="N1415" s="361">
        <f t="shared" ref="N1415:V1415" si="1446">M1415*(1+$D1415)</f>
        <v>1.4045564428828132</v>
      </c>
      <c r="O1415" s="361">
        <f t="shared" si="1446"/>
        <v>1.7054826607704441</v>
      </c>
      <c r="P1415" s="361">
        <f t="shared" si="1446"/>
        <v>2.0708823208404974</v>
      </c>
      <c r="Q1415" s="361">
        <f t="shared" si="1446"/>
        <v>2.5145688580805565</v>
      </c>
      <c r="R1415" s="361">
        <f t="shared" si="1446"/>
        <v>3.0533152359242948</v>
      </c>
      <c r="S1415" s="361">
        <f t="shared" si="1446"/>
        <v>3.7074880252210494</v>
      </c>
      <c r="T1415" s="361">
        <f t="shared" si="1446"/>
        <v>4.5018173346246284</v>
      </c>
      <c r="U1415" s="361">
        <f t="shared" si="1446"/>
        <v>5.4663316985679176</v>
      </c>
      <c r="V1415" s="362">
        <f t="shared" si="1446"/>
        <v>6.6374932649860483</v>
      </c>
      <c r="X1415" s="351"/>
    </row>
    <row r="1416" spans="3:24" ht="24.75" customHeight="1" x14ac:dyDescent="0.3">
      <c r="C1416" s="353">
        <f>ABS(E1416-Dashboard!$F$14)</f>
        <v>4.8819513593857806</v>
      </c>
      <c r="D1416" s="350">
        <f t="shared" si="1389"/>
        <v>0.21434999999999163</v>
      </c>
      <c r="E1416" s="359" cm="1">
        <f t="array" ref="E1416">1000*SUM('DRE + DCF'!$L$36/M1416,'DRE + DCF'!$N$36:$V$36/N1416:V1416,F1416/V1416)/Dashboard!$F$11</f>
        <v>92.108048640614214</v>
      </c>
      <c r="F1416" s="359">
        <f t="shared" si="1387"/>
        <v>13063512.200940533</v>
      </c>
      <c r="G1416" s="359">
        <f>'DRE + DCF'!$W$31</f>
        <v>2791623.3540418856</v>
      </c>
      <c r="H1416" s="359">
        <f>'DRE + DCF'!$W$32</f>
        <v>81081.931703745853</v>
      </c>
      <c r="I1416" s="359">
        <f>-H1416*('DRE + DCF'!$V$33+K1416)/'DRE + DCF'!$V$33</f>
        <v>-90858.801614444121</v>
      </c>
      <c r="J1416" s="359">
        <f>-'DRE + DCF'!$V$56*L1416</f>
        <v>-1188924.4255577971</v>
      </c>
      <c r="K1416" s="360">
        <f>(1+L1416)/(1+Ke!$O$12)-1</f>
        <v>2.0000000000000018E-2</v>
      </c>
      <c r="L1416" s="360">
        <f>'DRE + DCF'!$Y$31</f>
        <v>7.3550000000000004E-2</v>
      </c>
      <c r="M1416" s="361">
        <f>(1+D1416)^((5-Dashboard!$F$9)*3/12)</f>
        <v>1.1567990089001114</v>
      </c>
      <c r="N1416" s="361">
        <f t="shared" ref="N1416:V1416" si="1447">M1416*(1+$D1416)</f>
        <v>1.4047588764578407</v>
      </c>
      <c r="O1416" s="361">
        <f t="shared" si="1447"/>
        <v>1.7058689416265671</v>
      </c>
      <c r="P1416" s="361">
        <f t="shared" si="1447"/>
        <v>2.0715219492642074</v>
      </c>
      <c r="Q1416" s="361">
        <f t="shared" si="1447"/>
        <v>2.5155526790889731</v>
      </c>
      <c r="R1416" s="361">
        <f t="shared" si="1447"/>
        <v>3.0547613958516733</v>
      </c>
      <c r="S1416" s="361">
        <f t="shared" si="1447"/>
        <v>3.7095495010524537</v>
      </c>
      <c r="T1416" s="361">
        <f t="shared" si="1447"/>
        <v>4.5046914366030162</v>
      </c>
      <c r="U1416" s="361">
        <f t="shared" si="1447"/>
        <v>5.4702720460388345</v>
      </c>
      <c r="V1416" s="362">
        <f t="shared" si="1447"/>
        <v>6.642824859107213</v>
      </c>
      <c r="X1416" s="351"/>
    </row>
    <row r="1417" spans="3:24" ht="24.75" customHeight="1" x14ac:dyDescent="0.3">
      <c r="C1417" s="353">
        <f>ABS(E1417-Dashboard!$F$14)</f>
        <v>4.9533592067316619</v>
      </c>
      <c r="D1417" s="350">
        <f t="shared" si="1389"/>
        <v>0.21444999999999162</v>
      </c>
      <c r="E1417" s="359" cm="1">
        <f t="array" ref="E1417">1000*SUM('DRE + DCF'!$L$36/M1417,'DRE + DCF'!$N$36:$V$36/N1417:V1417,F1417/V1417)/Dashboard!$F$11</f>
        <v>92.036640793268333</v>
      </c>
      <c r="F1417" s="359">
        <f t="shared" si="1387"/>
        <v>13055942.377115289</v>
      </c>
      <c r="G1417" s="359">
        <f>'DRE + DCF'!$W$31</f>
        <v>2791623.3540418856</v>
      </c>
      <c r="H1417" s="359">
        <f>'DRE + DCF'!$W$32</f>
        <v>81081.931703745853</v>
      </c>
      <c r="I1417" s="359">
        <f>-H1417*('DRE + DCF'!$V$33+K1417)/'DRE + DCF'!$V$33</f>
        <v>-90858.801614444121</v>
      </c>
      <c r="J1417" s="359">
        <f>-'DRE + DCF'!$V$56*L1417</f>
        <v>-1188924.4255577971</v>
      </c>
      <c r="K1417" s="360">
        <f>(1+L1417)/(1+Ke!$O$12)-1</f>
        <v>2.0000000000000018E-2</v>
      </c>
      <c r="L1417" s="360">
        <f>'DRE + DCF'!$Y$31</f>
        <v>7.3550000000000004E-2</v>
      </c>
      <c r="M1417" s="361">
        <f>(1+D1417)^((5-Dashboard!$F$9)*3/12)</f>
        <v>1.1568704537328438</v>
      </c>
      <c r="N1417" s="361">
        <f t="shared" ref="N1417:V1417" si="1448">M1417*(1+$D1417)</f>
        <v>1.4049613225358424</v>
      </c>
      <c r="O1417" s="361">
        <f t="shared" si="1448"/>
        <v>1.706255278153642</v>
      </c>
      <c r="P1417" s="361">
        <f t="shared" si="1448"/>
        <v>2.0721617225536764</v>
      </c>
      <c r="Q1417" s="361">
        <f t="shared" si="1448"/>
        <v>2.5165368039552947</v>
      </c>
      <c r="R1417" s="361">
        <f t="shared" si="1448"/>
        <v>3.0562081215634866</v>
      </c>
      <c r="S1417" s="361">
        <f t="shared" si="1448"/>
        <v>3.7116119532327505</v>
      </c>
      <c r="T1417" s="361">
        <f t="shared" si="1448"/>
        <v>4.5075671366034831</v>
      </c>
      <c r="U1417" s="361">
        <f t="shared" si="1448"/>
        <v>5.4742149090480625</v>
      </c>
      <c r="V1417" s="362">
        <f t="shared" si="1448"/>
        <v>6.6481602962933737</v>
      </c>
      <c r="X1417" s="351"/>
    </row>
    <row r="1418" spans="3:24" ht="24.75" customHeight="1" x14ac:dyDescent="0.3">
      <c r="C1418" s="353">
        <f>ABS(E1418-Dashboard!$F$14)</f>
        <v>5.0246710190798041</v>
      </c>
      <c r="D1418" s="350">
        <f t="shared" si="1389"/>
        <v>0.21454999999999161</v>
      </c>
      <c r="E1418" s="359" cm="1">
        <f t="array" ref="E1418">1000*SUM('DRE + DCF'!$L$36/M1418,'DRE + DCF'!$N$36:$V$36/N1418:V1418,F1418/V1418)/Dashboard!$F$11</f>
        <v>91.965328980920191</v>
      </c>
      <c r="F1418" s="359">
        <f t="shared" si="1387"/>
        <v>13048381.70549982</v>
      </c>
      <c r="G1418" s="359">
        <f>'DRE + DCF'!$W$31</f>
        <v>2791623.3540418856</v>
      </c>
      <c r="H1418" s="359">
        <f>'DRE + DCF'!$W$32</f>
        <v>81081.931703745853</v>
      </c>
      <c r="I1418" s="359">
        <f>-H1418*('DRE + DCF'!$V$33+K1418)/'DRE + DCF'!$V$33</f>
        <v>-90858.801614444121</v>
      </c>
      <c r="J1418" s="359">
        <f>-'DRE + DCF'!$V$56*L1418</f>
        <v>-1188924.4255577971</v>
      </c>
      <c r="K1418" s="360">
        <f>(1+L1418)/(1+Ke!$O$12)-1</f>
        <v>2.0000000000000018E-2</v>
      </c>
      <c r="L1418" s="360">
        <f>'DRE + DCF'!$Y$31</f>
        <v>7.3550000000000004E-2</v>
      </c>
      <c r="M1418" s="361">
        <f>(1+D1418)^((5-Dashboard!$F$9)*3/12)</f>
        <v>1.1569418970948673</v>
      </c>
      <c r="N1418" s="361">
        <f t="shared" ref="N1418:V1418" si="1449">M1418*(1+$D1418)</f>
        <v>1.4051637811165614</v>
      </c>
      <c r="O1418" s="361">
        <f t="shared" si="1449"/>
        <v>1.7066416703551077</v>
      </c>
      <c r="P1418" s="361">
        <f t="shared" si="1449"/>
        <v>2.0728016407297818</v>
      </c>
      <c r="Q1418" s="361">
        <f t="shared" si="1449"/>
        <v>2.5175212327483392</v>
      </c>
      <c r="R1418" s="361">
        <f t="shared" si="1449"/>
        <v>3.0576554132344742</v>
      </c>
      <c r="S1418" s="361">
        <f t="shared" si="1449"/>
        <v>3.7136753821439048</v>
      </c>
      <c r="T1418" s="361">
        <f t="shared" si="1449"/>
        <v>4.5104444353828486</v>
      </c>
      <c r="U1418" s="361">
        <f t="shared" si="1449"/>
        <v>5.4781602889942009</v>
      </c>
      <c r="V1418" s="362">
        <f t="shared" si="1449"/>
        <v>6.6534995789978604</v>
      </c>
      <c r="X1418" s="351"/>
    </row>
    <row r="1419" spans="3:24" ht="24.75" customHeight="1" x14ac:dyDescent="0.3">
      <c r="C1419" s="353">
        <f>ABS(E1419-Dashboard!$F$14)</f>
        <v>5.0958869796254476</v>
      </c>
      <c r="D1419" s="350">
        <f t="shared" si="1389"/>
        <v>0.2146499999999916</v>
      </c>
      <c r="E1419" s="359" cm="1">
        <f t="array" ref="E1419">1000*SUM('DRE + DCF'!$L$36/M1419,'DRE + DCF'!$N$36:$V$36/N1419:V1419,F1419/V1419)/Dashboard!$F$11</f>
        <v>91.894113020374547</v>
      </c>
      <c r="F1419" s="359">
        <f t="shared" si="1387"/>
        <v>13040830.168848991</v>
      </c>
      <c r="G1419" s="359">
        <f>'DRE + DCF'!$W$31</f>
        <v>2791623.3540418856</v>
      </c>
      <c r="H1419" s="359">
        <f>'DRE + DCF'!$W$32</f>
        <v>81081.931703745853</v>
      </c>
      <c r="I1419" s="359">
        <f>-H1419*('DRE + DCF'!$V$33+K1419)/'DRE + DCF'!$V$33</f>
        <v>-90858.801614444121</v>
      </c>
      <c r="J1419" s="359">
        <f>-'DRE + DCF'!$V$56*L1419</f>
        <v>-1188924.4255577971</v>
      </c>
      <c r="K1419" s="360">
        <f>(1+L1419)/(1+Ke!$O$12)-1</f>
        <v>2.0000000000000018E-2</v>
      </c>
      <c r="L1419" s="360">
        <f>'DRE + DCF'!$Y$31</f>
        <v>7.3550000000000004E-2</v>
      </c>
      <c r="M1419" s="361">
        <f>(1+D1419)^((5-Dashboard!$F$9)*3/12)</f>
        <v>1.1570133389863333</v>
      </c>
      <c r="N1419" s="361">
        <f t="shared" ref="N1419:V1419" si="1450">M1419*(1+$D1419)</f>
        <v>1.4053662521997399</v>
      </c>
      <c r="O1419" s="361">
        <f t="shared" si="1450"/>
        <v>1.7070281182344023</v>
      </c>
      <c r="P1419" s="361">
        <f t="shared" si="1450"/>
        <v>2.0734417038134021</v>
      </c>
      <c r="Q1419" s="361">
        <f t="shared" si="1450"/>
        <v>2.5185059655369315</v>
      </c>
      <c r="R1419" s="361">
        <f t="shared" si="1450"/>
        <v>3.0591032710394126</v>
      </c>
      <c r="S1419" s="361">
        <f t="shared" si="1450"/>
        <v>3.7157397881679968</v>
      </c>
      <c r="T1419" s="361">
        <f t="shared" si="1450"/>
        <v>4.5133233336982261</v>
      </c>
      <c r="U1419" s="361">
        <f t="shared" si="1450"/>
        <v>5.4821081872765127</v>
      </c>
      <c r="V1419" s="362">
        <f t="shared" si="1450"/>
        <v>6.65884270967537</v>
      </c>
      <c r="X1419" s="351"/>
    </row>
    <row r="1420" spans="3:24" ht="24.75" customHeight="1" x14ac:dyDescent="0.3">
      <c r="C1420" s="353">
        <f>ABS(E1420-Dashboard!$F$14)</f>
        <v>5.1670072711008999</v>
      </c>
      <c r="D1420" s="350">
        <f t="shared" si="1389"/>
        <v>0.21474999999999159</v>
      </c>
      <c r="E1420" s="359" cm="1">
        <f t="array" ref="E1420">1000*SUM('DRE + DCF'!$L$36/M1420,'DRE + DCF'!$N$36:$V$36/N1420:V1420,F1420/V1420)/Dashboard!$F$11</f>
        <v>91.822992728899095</v>
      </c>
      <c r="F1420" s="359">
        <f t="shared" si="1387"/>
        <v>13033287.749962386</v>
      </c>
      <c r="G1420" s="359">
        <f>'DRE + DCF'!$W$31</f>
        <v>2791623.3540418856</v>
      </c>
      <c r="H1420" s="359">
        <f>'DRE + DCF'!$W$32</f>
        <v>81081.931703745853</v>
      </c>
      <c r="I1420" s="359">
        <f>-H1420*('DRE + DCF'!$V$33+K1420)/'DRE + DCF'!$V$33</f>
        <v>-90858.801614444121</v>
      </c>
      <c r="J1420" s="359">
        <f>-'DRE + DCF'!$V$56*L1420</f>
        <v>-1188924.4255577971</v>
      </c>
      <c r="K1420" s="360">
        <f>(1+L1420)/(1+Ke!$O$12)-1</f>
        <v>2.0000000000000018E-2</v>
      </c>
      <c r="L1420" s="360">
        <f>'DRE + DCF'!$Y$31</f>
        <v>7.3550000000000004E-2</v>
      </c>
      <c r="M1420" s="361">
        <f>(1+D1420)^((5-Dashboard!$F$9)*3/12)</f>
        <v>1.1570847794073928</v>
      </c>
      <c r="N1420" s="361">
        <f t="shared" ref="N1420:V1420" si="1451">M1420*(1+$D1420)</f>
        <v>1.4055687357851208</v>
      </c>
      <c r="O1420" s="361">
        <f t="shared" si="1451"/>
        <v>1.7074146217949635</v>
      </c>
      <c r="P1420" s="361">
        <f t="shared" si="1451"/>
        <v>2.0740819118254175</v>
      </c>
      <c r="Q1420" s="361">
        <f t="shared" si="1451"/>
        <v>2.5194910023899082</v>
      </c>
      <c r="R1420" s="361">
        <f t="shared" si="1451"/>
        <v>3.0605516951531198</v>
      </c>
      <c r="S1420" s="361">
        <f t="shared" si="1451"/>
        <v>3.7178051716872265</v>
      </c>
      <c r="T1420" s="361">
        <f t="shared" si="1451"/>
        <v>4.5162038323070268</v>
      </c>
      <c r="U1420" s="361">
        <f t="shared" si="1451"/>
        <v>5.4860586052949225</v>
      </c>
      <c r="V1420" s="362">
        <f t="shared" si="1451"/>
        <v>6.6641896907819609</v>
      </c>
      <c r="X1420" s="351"/>
    </row>
    <row r="1421" spans="3:24" ht="24.75" customHeight="1" x14ac:dyDescent="0.3">
      <c r="C1421" s="353">
        <f>ABS(E1421-Dashboard!$F$14)</f>
        <v>5.2380320757771983</v>
      </c>
      <c r="D1421" s="350">
        <f t="shared" si="1389"/>
        <v>0.21484999999999158</v>
      </c>
      <c r="E1421" s="359" cm="1">
        <f t="array" ref="E1421">1000*SUM('DRE + DCF'!$L$36/M1421,'DRE + DCF'!$N$36:$V$36/N1421:V1421,F1421/V1421)/Dashboard!$F$11</f>
        <v>91.751967924222797</v>
      </c>
      <c r="F1421" s="359">
        <f t="shared" si="1387"/>
        <v>13025754.431684185</v>
      </c>
      <c r="G1421" s="359">
        <f>'DRE + DCF'!$W$31</f>
        <v>2791623.3540418856</v>
      </c>
      <c r="H1421" s="359">
        <f>'DRE + DCF'!$W$32</f>
        <v>81081.931703745853</v>
      </c>
      <c r="I1421" s="359">
        <f>-H1421*('DRE + DCF'!$V$33+K1421)/'DRE + DCF'!$V$33</f>
        <v>-90858.801614444121</v>
      </c>
      <c r="J1421" s="359">
        <f>-'DRE + DCF'!$V$56*L1421</f>
        <v>-1188924.4255577971</v>
      </c>
      <c r="K1421" s="360">
        <f>(1+L1421)/(1+Ke!$O$12)-1</f>
        <v>2.0000000000000018E-2</v>
      </c>
      <c r="L1421" s="360">
        <f>'DRE + DCF'!$Y$31</f>
        <v>7.3550000000000004E-2</v>
      </c>
      <c r="M1421" s="361">
        <f>(1+D1421)^((5-Dashboard!$F$9)*3/12)</f>
        <v>1.1571562183581976</v>
      </c>
      <c r="N1421" s="361">
        <f t="shared" ref="N1421:V1421" si="1452">M1421*(1+$D1421)</f>
        <v>1.4057712318724467</v>
      </c>
      <c r="O1421" s="361">
        <f t="shared" si="1452"/>
        <v>1.70780118104023</v>
      </c>
      <c r="P1421" s="361">
        <f t="shared" si="1452"/>
        <v>2.074722264786709</v>
      </c>
      <c r="Q1421" s="361">
        <f t="shared" si="1452"/>
        <v>2.5204763433761159</v>
      </c>
      <c r="R1421" s="361">
        <f t="shared" si="1452"/>
        <v>3.0620006857504531</v>
      </c>
      <c r="S1421" s="361">
        <f t="shared" si="1452"/>
        <v>3.7198715330839121</v>
      </c>
      <c r="T1421" s="361">
        <f t="shared" si="1452"/>
        <v>4.5190859319669592</v>
      </c>
      <c r="U1421" s="361">
        <f t="shared" si="1452"/>
        <v>5.4900115444500219</v>
      </c>
      <c r="V1421" s="362">
        <f t="shared" si="1452"/>
        <v>6.669540524775063</v>
      </c>
      <c r="X1421" s="351"/>
    </row>
    <row r="1422" spans="3:24" ht="24.75" customHeight="1" x14ac:dyDescent="0.3">
      <c r="C1422" s="353">
        <f>ABS(E1422-Dashboard!$F$14)</f>
        <v>5.3089615754653465</v>
      </c>
      <c r="D1422" s="350">
        <f t="shared" si="1389"/>
        <v>0.21494999999999156</v>
      </c>
      <c r="E1422" s="359" cm="1">
        <f t="array" ref="E1422">1000*SUM('DRE + DCF'!$L$36/M1422,'DRE + DCF'!$N$36:$V$36/N1422:V1422,F1422/V1422)/Dashboard!$F$11</f>
        <v>91.681038424534648</v>
      </c>
      <c r="F1422" s="359">
        <f t="shared" ref="F1422:F1485" si="1453">AVERAGE(SUM(G1422:J1422)*(1+L1422)/(D1422-L1422),G1422*(1+L1422)*(1-L1422/D1422)/(D1422-L1422))</f>
        <v>13018230.196902994</v>
      </c>
      <c r="G1422" s="359">
        <f>'DRE + DCF'!$W$31</f>
        <v>2791623.3540418856</v>
      </c>
      <c r="H1422" s="359">
        <f>'DRE + DCF'!$W$32</f>
        <v>81081.931703745853</v>
      </c>
      <c r="I1422" s="359">
        <f>-H1422*('DRE + DCF'!$V$33+K1422)/'DRE + DCF'!$V$33</f>
        <v>-90858.801614444121</v>
      </c>
      <c r="J1422" s="359">
        <f>-'DRE + DCF'!$V$56*L1422</f>
        <v>-1188924.4255577971</v>
      </c>
      <c r="K1422" s="360">
        <f>(1+L1422)/(1+Ke!$O$12)-1</f>
        <v>2.0000000000000018E-2</v>
      </c>
      <c r="L1422" s="360">
        <f>'DRE + DCF'!$Y$31</f>
        <v>7.3550000000000004E-2</v>
      </c>
      <c r="M1422" s="361">
        <f>(1+D1422)^((5-Dashboard!$F$9)*3/12)</f>
        <v>1.1572276558388987</v>
      </c>
      <c r="N1422" s="361">
        <f t="shared" ref="N1422:V1422" si="1454">M1422*(1+$D1422)</f>
        <v>1.4059737404614603</v>
      </c>
      <c r="O1422" s="361">
        <f t="shared" si="1454"/>
        <v>1.7081877959736393</v>
      </c>
      <c r="P1422" s="361">
        <f t="shared" si="1454"/>
        <v>2.0753627627181586</v>
      </c>
      <c r="Q1422" s="361">
        <f t="shared" si="1454"/>
        <v>2.5214619885644094</v>
      </c>
      <c r="R1422" s="361">
        <f t="shared" si="1454"/>
        <v>3.063450243006308</v>
      </c>
      <c r="S1422" s="361">
        <f t="shared" si="1454"/>
        <v>3.7219388727404881</v>
      </c>
      <c r="T1422" s="361">
        <f t="shared" si="1454"/>
        <v>4.5219696334360249</v>
      </c>
      <c r="U1422" s="361">
        <f t="shared" si="1454"/>
        <v>5.4939670061430599</v>
      </c>
      <c r="V1422" s="362">
        <f t="shared" si="1454"/>
        <v>6.6748952141134641</v>
      </c>
      <c r="X1422" s="351"/>
    </row>
    <row r="1423" spans="3:24" ht="24.75" customHeight="1" x14ac:dyDescent="0.3">
      <c r="C1423" s="353">
        <f>ABS(E1423-Dashboard!$F$14)</f>
        <v>5.3797959515180196</v>
      </c>
      <c r="D1423" s="350">
        <f t="shared" ref="D1423:D1486" si="1455">D1422+0.0001</f>
        <v>0.21504999999999155</v>
      </c>
      <c r="E1423" s="359" cm="1">
        <f t="array" ref="E1423">1000*SUM('DRE + DCF'!$L$36/M1423,'DRE + DCF'!$N$36:$V$36/N1423:V1423,F1423/V1423)/Dashboard!$F$11</f>
        <v>91.610204048481975</v>
      </c>
      <c r="F1423" s="359">
        <f t="shared" si="1453"/>
        <v>13010715.028551713</v>
      </c>
      <c r="G1423" s="359">
        <f>'DRE + DCF'!$W$31</f>
        <v>2791623.3540418856</v>
      </c>
      <c r="H1423" s="359">
        <f>'DRE + DCF'!$W$32</f>
        <v>81081.931703745853</v>
      </c>
      <c r="I1423" s="359">
        <f>-H1423*('DRE + DCF'!$V$33+K1423)/'DRE + DCF'!$V$33</f>
        <v>-90858.801614444121</v>
      </c>
      <c r="J1423" s="359">
        <f>-'DRE + DCF'!$V$56*L1423</f>
        <v>-1188924.4255577971</v>
      </c>
      <c r="K1423" s="360">
        <f>(1+L1423)/(1+Ke!$O$12)-1</f>
        <v>2.0000000000000018E-2</v>
      </c>
      <c r="L1423" s="360">
        <f>'DRE + DCF'!$Y$31</f>
        <v>7.3550000000000004E-2</v>
      </c>
      <c r="M1423" s="361">
        <f>(1+D1423)^((5-Dashboard!$F$9)*3/12)</f>
        <v>1.1572990918496475</v>
      </c>
      <c r="N1423" s="361">
        <f t="shared" ref="N1423:V1423" si="1456">M1423*(1+$D1423)</f>
        <v>1.4061762615519044</v>
      </c>
      <c r="O1423" s="361">
        <f t="shared" si="1456"/>
        <v>1.7085744665986295</v>
      </c>
      <c r="P1423" s="361">
        <f t="shared" si="1456"/>
        <v>2.0760034056406504</v>
      </c>
      <c r="Q1423" s="361">
        <f t="shared" si="1456"/>
        <v>2.5224479380236549</v>
      </c>
      <c r="R1423" s="361">
        <f t="shared" si="1456"/>
        <v>3.0649003670956203</v>
      </c>
      <c r="S1423" s="361">
        <f t="shared" si="1456"/>
        <v>3.7240071910395076</v>
      </c>
      <c r="T1423" s="361">
        <f t="shared" si="1456"/>
        <v>4.5248549374725222</v>
      </c>
      <c r="U1423" s="361">
        <f t="shared" si="1456"/>
        <v>5.4979249917759496</v>
      </c>
      <c r="V1423" s="362">
        <f t="shared" si="1456"/>
        <v>6.6802537612573207</v>
      </c>
      <c r="X1423" s="351"/>
    </row>
    <row r="1424" spans="3:24" ht="24.75" customHeight="1" x14ac:dyDescent="0.3">
      <c r="C1424" s="353">
        <f>ABS(E1424-Dashboard!$F$14)</f>
        <v>5.4505353848308715</v>
      </c>
      <c r="D1424" s="350">
        <f t="shared" si="1455"/>
        <v>0.21514999999999154</v>
      </c>
      <c r="E1424" s="359" cm="1">
        <f t="array" ref="E1424">1000*SUM('DRE + DCF'!$L$36/M1424,'DRE + DCF'!$N$36:$V$36/N1424:V1424,F1424/V1424)/Dashboard!$F$11</f>
        <v>91.539464615169123</v>
      </c>
      <c r="F1424" s="359">
        <f t="shared" si="1453"/>
        <v>13003208.909607381</v>
      </c>
      <c r="G1424" s="359">
        <f>'DRE + DCF'!$W$31</f>
        <v>2791623.3540418856</v>
      </c>
      <c r="H1424" s="359">
        <f>'DRE + DCF'!$W$32</f>
        <v>81081.931703745853</v>
      </c>
      <c r="I1424" s="359">
        <f>-H1424*('DRE + DCF'!$V$33+K1424)/'DRE + DCF'!$V$33</f>
        <v>-90858.801614444121</v>
      </c>
      <c r="J1424" s="359">
        <f>-'DRE + DCF'!$V$56*L1424</f>
        <v>-1188924.4255577971</v>
      </c>
      <c r="K1424" s="360">
        <f>(1+L1424)/(1+Ke!$O$12)-1</f>
        <v>2.0000000000000018E-2</v>
      </c>
      <c r="L1424" s="360">
        <f>'DRE + DCF'!$Y$31</f>
        <v>7.3550000000000004E-2</v>
      </c>
      <c r="M1424" s="361">
        <f>(1+D1424)^((5-Dashboard!$F$9)*3/12)</f>
        <v>1.1573705263905951</v>
      </c>
      <c r="N1424" s="361">
        <f t="shared" ref="N1424:V1424" si="1457">M1424*(1+$D1424)</f>
        <v>1.4063787951435218</v>
      </c>
      <c r="O1424" s="361">
        <f t="shared" si="1457"/>
        <v>1.7089611929186386</v>
      </c>
      <c r="P1424" s="361">
        <f t="shared" si="1457"/>
        <v>2.0766441935750692</v>
      </c>
      <c r="Q1424" s="361">
        <f t="shared" si="1457"/>
        <v>2.5234341918227279</v>
      </c>
      <c r="R1424" s="361">
        <f t="shared" si="1457"/>
        <v>3.0663510581933662</v>
      </c>
      <c r="S1424" s="361">
        <f t="shared" si="1457"/>
        <v>3.7260764883636428</v>
      </c>
      <c r="T1424" s="361">
        <f t="shared" si="1457"/>
        <v>4.5277418448350488</v>
      </c>
      <c r="U1424" s="361">
        <f t="shared" si="1457"/>
        <v>5.5018855027512714</v>
      </c>
      <c r="V1424" s="362">
        <f t="shared" si="1457"/>
        <v>6.6856161686681608</v>
      </c>
      <c r="X1424" s="351"/>
    </row>
    <row r="1425" spans="3:24" ht="24.75" customHeight="1" x14ac:dyDescent="0.3">
      <c r="C1425" s="353">
        <f>ABS(E1425-Dashboard!$F$14)</f>
        <v>5.5211800558441411</v>
      </c>
      <c r="D1425" s="350">
        <f t="shared" si="1455"/>
        <v>0.21524999999999153</v>
      </c>
      <c r="E1425" s="359" cm="1">
        <f t="array" ref="E1425">1000*SUM('DRE + DCF'!$L$36/M1425,'DRE + DCF'!$N$36:$V$36/N1425:V1425,F1425/V1425)/Dashboard!$F$11</f>
        <v>91.468819944155854</v>
      </c>
      <c r="F1425" s="359">
        <f t="shared" si="1453"/>
        <v>12995711.823091034</v>
      </c>
      <c r="G1425" s="359">
        <f>'DRE + DCF'!$W$31</f>
        <v>2791623.3540418856</v>
      </c>
      <c r="H1425" s="359">
        <f>'DRE + DCF'!$W$32</f>
        <v>81081.931703745853</v>
      </c>
      <c r="I1425" s="359">
        <f>-H1425*('DRE + DCF'!$V$33+K1425)/'DRE + DCF'!$V$33</f>
        <v>-90858.801614444121</v>
      </c>
      <c r="J1425" s="359">
        <f>-'DRE + DCF'!$V$56*L1425</f>
        <v>-1188924.4255577971</v>
      </c>
      <c r="K1425" s="360">
        <f>(1+L1425)/(1+Ke!$O$12)-1</f>
        <v>2.0000000000000018E-2</v>
      </c>
      <c r="L1425" s="360">
        <f>'DRE + DCF'!$Y$31</f>
        <v>7.3550000000000004E-2</v>
      </c>
      <c r="M1425" s="361">
        <f>(1+D1425)^((5-Dashboard!$F$9)*3/12)</f>
        <v>1.1574419594618928</v>
      </c>
      <c r="N1425" s="361">
        <f t="shared" ref="N1425:V1425" si="1458">M1425*(1+$D1425)</f>
        <v>1.4065813412360553</v>
      </c>
      <c r="O1425" s="361">
        <f t="shared" si="1458"/>
        <v>1.7093479749371041</v>
      </c>
      <c r="P1425" s="361">
        <f t="shared" si="1458"/>
        <v>2.0772851265423014</v>
      </c>
      <c r="Q1425" s="361">
        <f t="shared" si="1458"/>
        <v>2.5244207500305142</v>
      </c>
      <c r="R1425" s="361">
        <f t="shared" si="1458"/>
        <v>3.0678023164745611</v>
      </c>
      <c r="S1425" s="361">
        <f t="shared" si="1458"/>
        <v>3.7281467650956843</v>
      </c>
      <c r="T1425" s="361">
        <f t="shared" si="1458"/>
        <v>4.530630356282499</v>
      </c>
      <c r="U1425" s="361">
        <f t="shared" si="1458"/>
        <v>5.5058485404722681</v>
      </c>
      <c r="V1425" s="362">
        <f t="shared" si="1458"/>
        <v>6.6909824388088772</v>
      </c>
      <c r="X1425" s="351"/>
    </row>
    <row r="1426" spans="3:24" ht="24.75" customHeight="1" x14ac:dyDescent="0.3">
      <c r="C1426" s="353">
        <f>ABS(E1426-Dashboard!$F$14)</f>
        <v>5.5917301445440017</v>
      </c>
      <c r="D1426" s="350">
        <f t="shared" si="1455"/>
        <v>0.21534999999999152</v>
      </c>
      <c r="E1426" s="359" cm="1">
        <f t="array" ref="E1426">1000*SUM('DRE + DCF'!$L$36/M1426,'DRE + DCF'!$N$36:$V$36/N1426:V1426,F1426/V1426)/Dashboard!$F$11</f>
        <v>91.398269855455993</v>
      </c>
      <c r="F1426" s="359">
        <f t="shared" si="1453"/>
        <v>12988223.752067551</v>
      </c>
      <c r="G1426" s="359">
        <f>'DRE + DCF'!$W$31</f>
        <v>2791623.3540418856</v>
      </c>
      <c r="H1426" s="359">
        <f>'DRE + DCF'!$W$32</f>
        <v>81081.931703745853</v>
      </c>
      <c r="I1426" s="359">
        <f>-H1426*('DRE + DCF'!$V$33+K1426)/'DRE + DCF'!$V$33</f>
        <v>-90858.801614444121</v>
      </c>
      <c r="J1426" s="359">
        <f>-'DRE + DCF'!$V$56*L1426</f>
        <v>-1188924.4255577971</v>
      </c>
      <c r="K1426" s="360">
        <f>(1+L1426)/(1+Ke!$O$12)-1</f>
        <v>2.0000000000000018E-2</v>
      </c>
      <c r="L1426" s="360">
        <f>'DRE + DCF'!$Y$31</f>
        <v>7.3550000000000004E-2</v>
      </c>
      <c r="M1426" s="361">
        <f>(1+D1426)^((5-Dashboard!$F$9)*3/12)</f>
        <v>1.1575133910636917</v>
      </c>
      <c r="N1426" s="361">
        <f t="shared" ref="N1426:V1426" si="1459">M1426*(1+$D1426)</f>
        <v>1.4067838998292479</v>
      </c>
      <c r="O1426" s="361">
        <f t="shared" si="1459"/>
        <v>1.7097348126574645</v>
      </c>
      <c r="P1426" s="361">
        <f t="shared" si="1459"/>
        <v>2.077926204563235</v>
      </c>
      <c r="Q1426" s="361">
        <f t="shared" si="1459"/>
        <v>2.52540761271591</v>
      </c>
      <c r="R1426" s="361">
        <f t="shared" si="1459"/>
        <v>3.0692541421142598</v>
      </c>
      <c r="S1426" s="361">
        <f t="shared" si="1459"/>
        <v>3.7302180216185397</v>
      </c>
      <c r="T1426" s="361">
        <f t="shared" si="1459"/>
        <v>4.5335204725740601</v>
      </c>
      <c r="U1426" s="361">
        <f t="shared" si="1459"/>
        <v>5.5098141063428452</v>
      </c>
      <c r="V1426" s="362">
        <f t="shared" si="1459"/>
        <v>6.69635257414373</v>
      </c>
      <c r="X1426" s="351"/>
    </row>
    <row r="1427" spans="3:24" ht="24.75" customHeight="1" x14ac:dyDescent="0.3">
      <c r="C1427" s="353">
        <f>ABS(E1427-Dashboard!$F$14)</f>
        <v>5.6621858304639403</v>
      </c>
      <c r="D1427" s="350">
        <f t="shared" si="1455"/>
        <v>0.21544999999999151</v>
      </c>
      <c r="E1427" s="359" cm="1">
        <f t="array" ref="E1427">1000*SUM('DRE + DCF'!$L$36/M1427,'DRE + DCF'!$N$36:$V$36/N1427:V1427,F1427/V1427)/Dashboard!$F$11</f>
        <v>91.327814169536055</v>
      </c>
      <c r="F1427" s="359">
        <f t="shared" si="1453"/>
        <v>12980744.679645523</v>
      </c>
      <c r="G1427" s="359">
        <f>'DRE + DCF'!$W$31</f>
        <v>2791623.3540418856</v>
      </c>
      <c r="H1427" s="359">
        <f>'DRE + DCF'!$W$32</f>
        <v>81081.931703745853</v>
      </c>
      <c r="I1427" s="359">
        <f>-H1427*('DRE + DCF'!$V$33+K1427)/'DRE + DCF'!$V$33</f>
        <v>-90858.801614444121</v>
      </c>
      <c r="J1427" s="359">
        <f>-'DRE + DCF'!$V$56*L1427</f>
        <v>-1188924.4255577971</v>
      </c>
      <c r="K1427" s="360">
        <f>(1+L1427)/(1+Ke!$O$12)-1</f>
        <v>2.0000000000000018E-2</v>
      </c>
      <c r="L1427" s="360">
        <f>'DRE + DCF'!$Y$31</f>
        <v>7.3550000000000004E-2</v>
      </c>
      <c r="M1427" s="361">
        <f>(1+D1427)^((5-Dashboard!$F$9)*3/12)</f>
        <v>1.1575848211961428</v>
      </c>
      <c r="N1427" s="361">
        <f t="shared" ref="N1427:V1427" si="1460">M1427*(1+$D1427)</f>
        <v>1.4069864709228419</v>
      </c>
      <c r="O1427" s="361">
        <f t="shared" si="1460"/>
        <v>1.7101217060831562</v>
      </c>
      <c r="P1427" s="361">
        <f t="shared" si="1460"/>
        <v>2.0785674276587578</v>
      </c>
      <c r="Q1427" s="361">
        <f t="shared" si="1460"/>
        <v>2.5263947799478195</v>
      </c>
      <c r="R1427" s="361">
        <f t="shared" si="1460"/>
        <v>3.0707065352875555</v>
      </c>
      <c r="S1427" s="361">
        <f t="shared" si="1460"/>
        <v>3.7322902583152331</v>
      </c>
      <c r="T1427" s="361">
        <f t="shared" si="1460"/>
        <v>4.536412194469218</v>
      </c>
      <c r="U1427" s="361">
        <f t="shared" si="1460"/>
        <v>5.5137822017675724</v>
      </c>
      <c r="V1427" s="362">
        <f t="shared" si="1460"/>
        <v>6.7017265771383485</v>
      </c>
      <c r="X1427" s="351"/>
    </row>
    <row r="1428" spans="3:24" ht="24.75" customHeight="1" x14ac:dyDescent="0.3">
      <c r="C1428" s="353">
        <f>ABS(E1428-Dashboard!$F$14)</f>
        <v>5.7325472926864336</v>
      </c>
      <c r="D1428" s="350">
        <f t="shared" si="1455"/>
        <v>0.2155499999999915</v>
      </c>
      <c r="E1428" s="359" cm="1">
        <f t="array" ref="E1428">1000*SUM('DRE + DCF'!$L$36/M1428,'DRE + DCF'!$N$36:$V$36/N1428:V1428,F1428/V1428)/Dashboard!$F$11</f>
        <v>91.257452707313561</v>
      </c>
      <c r="F1428" s="359">
        <f t="shared" si="1453"/>
        <v>12973274.588977098</v>
      </c>
      <c r="G1428" s="359">
        <f>'DRE + DCF'!$W$31</f>
        <v>2791623.3540418856</v>
      </c>
      <c r="H1428" s="359">
        <f>'DRE + DCF'!$W$32</f>
        <v>81081.931703745853</v>
      </c>
      <c r="I1428" s="359">
        <f>-H1428*('DRE + DCF'!$V$33+K1428)/'DRE + DCF'!$V$33</f>
        <v>-90858.801614444121</v>
      </c>
      <c r="J1428" s="359">
        <f>-'DRE + DCF'!$V$56*L1428</f>
        <v>-1188924.4255577971</v>
      </c>
      <c r="K1428" s="360">
        <f>(1+L1428)/(1+Ke!$O$12)-1</f>
        <v>2.0000000000000018E-2</v>
      </c>
      <c r="L1428" s="360">
        <f>'DRE + DCF'!$Y$31</f>
        <v>7.3550000000000004E-2</v>
      </c>
      <c r="M1428" s="361">
        <f>(1+D1428)^((5-Dashboard!$F$9)*3/12)</f>
        <v>1.1576562498593974</v>
      </c>
      <c r="N1428" s="361">
        <f t="shared" ref="N1428:V1428" si="1461">M1428*(1+$D1428)</f>
        <v>1.4071890545165806</v>
      </c>
      <c r="O1428" s="361">
        <f t="shared" si="1461"/>
        <v>1.7105086552176176</v>
      </c>
      <c r="P1428" s="361">
        <f t="shared" si="1461"/>
        <v>2.0792087958497607</v>
      </c>
      <c r="Q1428" s="361">
        <f t="shared" si="1461"/>
        <v>2.5273822517951587</v>
      </c>
      <c r="R1428" s="361">
        <f t="shared" si="1461"/>
        <v>3.0721594961695837</v>
      </c>
      <c r="S1428" s="361">
        <f t="shared" si="1461"/>
        <v>3.7343634755689115</v>
      </c>
      <c r="T1428" s="361">
        <f t="shared" si="1461"/>
        <v>4.5393055227277586</v>
      </c>
      <c r="U1428" s="361">
        <f t="shared" si="1461"/>
        <v>5.5177528281516883</v>
      </c>
      <c r="V1428" s="362">
        <f t="shared" si="1461"/>
        <v>6.7071044502597381</v>
      </c>
      <c r="X1428" s="351"/>
    </row>
    <row r="1429" spans="3:24" ht="24.75" customHeight="1" x14ac:dyDescent="0.3">
      <c r="C1429" s="353">
        <f>ABS(E1429-Dashboard!$F$14)</f>
        <v>5.8028147098442417</v>
      </c>
      <c r="D1429" s="350">
        <f t="shared" si="1455"/>
        <v>0.21564999999999149</v>
      </c>
      <c r="E1429" s="359" cm="1">
        <f t="array" ref="E1429">1000*SUM('DRE + DCF'!$L$36/M1429,'DRE + DCF'!$N$36:$V$36/N1429:V1429,F1429/V1429)/Dashboard!$F$11</f>
        <v>91.187185290155753</v>
      </c>
      <c r="F1429" s="359">
        <f t="shared" si="1453"/>
        <v>12965813.463257836</v>
      </c>
      <c r="G1429" s="359">
        <f>'DRE + DCF'!$W$31</f>
        <v>2791623.3540418856</v>
      </c>
      <c r="H1429" s="359">
        <f>'DRE + DCF'!$W$32</f>
        <v>81081.931703745853</v>
      </c>
      <c r="I1429" s="359">
        <f>-H1429*('DRE + DCF'!$V$33+K1429)/'DRE + DCF'!$V$33</f>
        <v>-90858.801614444121</v>
      </c>
      <c r="J1429" s="359">
        <f>-'DRE + DCF'!$V$56*L1429</f>
        <v>-1188924.4255577971</v>
      </c>
      <c r="K1429" s="360">
        <f>(1+L1429)/(1+Ke!$O$12)-1</f>
        <v>2.0000000000000018E-2</v>
      </c>
      <c r="L1429" s="360">
        <f>'DRE + DCF'!$Y$31</f>
        <v>7.3550000000000004E-2</v>
      </c>
      <c r="M1429" s="361">
        <f>(1+D1429)^((5-Dashboard!$F$9)*3/12)</f>
        <v>1.1577276770536067</v>
      </c>
      <c r="N1429" s="361">
        <f t="shared" ref="N1429:V1429" si="1462">M1429*(1+$D1429)</f>
        <v>1.4073916506102071</v>
      </c>
      <c r="O1429" s="361">
        <f t="shared" si="1462"/>
        <v>1.7108956600642862</v>
      </c>
      <c r="P1429" s="361">
        <f t="shared" si="1462"/>
        <v>2.079850309157135</v>
      </c>
      <c r="Q1429" s="361">
        <f t="shared" si="1462"/>
        <v>2.5283700283268535</v>
      </c>
      <c r="R1429" s="361">
        <f t="shared" si="1462"/>
        <v>3.073613024935518</v>
      </c>
      <c r="S1429" s="361">
        <f t="shared" si="1462"/>
        <v>3.7364376737628362</v>
      </c>
      <c r="T1429" s="361">
        <f t="shared" si="1462"/>
        <v>4.5422004581097601</v>
      </c>
      <c r="U1429" s="361">
        <f t="shared" si="1462"/>
        <v>5.5217259869010915</v>
      </c>
      <c r="V1429" s="362">
        <f t="shared" si="1462"/>
        <v>6.7124861959762647</v>
      </c>
      <c r="X1429" s="351"/>
    </row>
    <row r="1430" spans="3:24" ht="24.75" customHeight="1" x14ac:dyDescent="0.3">
      <c r="C1430" s="353">
        <f>ABS(E1430-Dashboard!$F$14)</f>
        <v>5.8729882601217582</v>
      </c>
      <c r="D1430" s="350">
        <f t="shared" si="1455"/>
        <v>0.21574999999999148</v>
      </c>
      <c r="E1430" s="359" cm="1">
        <f t="array" ref="E1430">1000*SUM('DRE + DCF'!$L$36/M1430,'DRE + DCF'!$N$36:$V$36/N1430:V1430,F1430/V1430)/Dashboard!$F$11</f>
        <v>91.117011739878237</v>
      </c>
      <c r="F1430" s="359">
        <f t="shared" si="1453"/>
        <v>12958361.285726573</v>
      </c>
      <c r="G1430" s="359">
        <f>'DRE + DCF'!$W$31</f>
        <v>2791623.3540418856</v>
      </c>
      <c r="H1430" s="359">
        <f>'DRE + DCF'!$W$32</f>
        <v>81081.931703745853</v>
      </c>
      <c r="I1430" s="359">
        <f>-H1430*('DRE + DCF'!$V$33+K1430)/'DRE + DCF'!$V$33</f>
        <v>-90858.801614444121</v>
      </c>
      <c r="J1430" s="359">
        <f>-'DRE + DCF'!$V$56*L1430</f>
        <v>-1188924.4255577971</v>
      </c>
      <c r="K1430" s="360">
        <f>(1+L1430)/(1+Ke!$O$12)-1</f>
        <v>2.0000000000000018E-2</v>
      </c>
      <c r="L1430" s="360">
        <f>'DRE + DCF'!$Y$31</f>
        <v>7.3550000000000004E-2</v>
      </c>
      <c r="M1430" s="361">
        <f>(1+D1430)^((5-Dashboard!$F$9)*3/12)</f>
        <v>1.1577991027789214</v>
      </c>
      <c r="N1430" s="361">
        <f t="shared" ref="N1430:V1430" si="1463">M1430*(1+$D1430)</f>
        <v>1.4075942592034638</v>
      </c>
      <c r="O1430" s="361">
        <f t="shared" si="1463"/>
        <v>1.711282720626599</v>
      </c>
      <c r="P1430" s="361">
        <f t="shared" si="1463"/>
        <v>2.0804919676017732</v>
      </c>
      <c r="Q1430" s="361">
        <f t="shared" si="1463"/>
        <v>2.529358109611838</v>
      </c>
      <c r="R1430" s="361">
        <f t="shared" si="1463"/>
        <v>3.0750671217605703</v>
      </c>
      <c r="S1430" s="361">
        <f t="shared" si="1463"/>
        <v>3.7385128532803868</v>
      </c>
      <c r="T1430" s="361">
        <f t="shared" si="1463"/>
        <v>4.5450970013755985</v>
      </c>
      <c r="U1430" s="361">
        <f t="shared" si="1463"/>
        <v>5.5257016794223448</v>
      </c>
      <c r="V1430" s="362">
        <f t="shared" si="1463"/>
        <v>6.7178718167576683</v>
      </c>
      <c r="X1430" s="351"/>
    </row>
    <row r="1431" spans="3:24" ht="24.75" customHeight="1" x14ac:dyDescent="0.3">
      <c r="C1431" s="353">
        <f>ABS(E1431-Dashboard!$F$14)</f>
        <v>5.9430681212566157</v>
      </c>
      <c r="D1431" s="350">
        <f t="shared" si="1455"/>
        <v>0.21584999999999147</v>
      </c>
      <c r="E1431" s="359" cm="1">
        <f t="array" ref="E1431">1000*SUM('DRE + DCF'!$L$36/M1431,'DRE + DCF'!$N$36:$V$36/N1431:V1431,F1431/V1431)/Dashboard!$F$11</f>
        <v>91.046931878743379</v>
      </c>
      <c r="F1431" s="359">
        <f t="shared" si="1453"/>
        <v>12950918.039665274</v>
      </c>
      <c r="G1431" s="359">
        <f>'DRE + DCF'!$W$31</f>
        <v>2791623.3540418856</v>
      </c>
      <c r="H1431" s="359">
        <f>'DRE + DCF'!$W$32</f>
        <v>81081.931703745853</v>
      </c>
      <c r="I1431" s="359">
        <f>-H1431*('DRE + DCF'!$V$33+K1431)/'DRE + DCF'!$V$33</f>
        <v>-90858.801614444121</v>
      </c>
      <c r="J1431" s="359">
        <f>-'DRE + DCF'!$V$56*L1431</f>
        <v>-1188924.4255577971</v>
      </c>
      <c r="K1431" s="360">
        <f>(1+L1431)/(1+Ke!$O$12)-1</f>
        <v>2.0000000000000018E-2</v>
      </c>
      <c r="L1431" s="360">
        <f>'DRE + DCF'!$Y$31</f>
        <v>7.3550000000000004E-2</v>
      </c>
      <c r="M1431" s="361">
        <f>(1+D1431)^((5-Dashboard!$F$9)*3/12)</f>
        <v>1.1578705270354928</v>
      </c>
      <c r="N1431" s="361">
        <f t="shared" ref="N1431:V1431" si="1464">M1431*(1+$D1431)</f>
        <v>1.4077968802960941</v>
      </c>
      <c r="O1431" s="361">
        <f t="shared" si="1464"/>
        <v>1.7116698369079939</v>
      </c>
      <c r="P1431" s="361">
        <f t="shared" si="1464"/>
        <v>2.0811337712045699</v>
      </c>
      <c r="Q1431" s="361">
        <f t="shared" si="1464"/>
        <v>2.5303464957190585</v>
      </c>
      <c r="R1431" s="361">
        <f t="shared" si="1464"/>
        <v>3.0765217868199954</v>
      </c>
      <c r="S1431" s="361">
        <f t="shared" si="1464"/>
        <v>3.7405890145050651</v>
      </c>
      <c r="T1431" s="361">
        <f t="shared" si="1464"/>
        <v>4.5479951532859513</v>
      </c>
      <c r="U1431" s="361">
        <f t="shared" si="1464"/>
        <v>5.5296799071226852</v>
      </c>
      <c r="V1431" s="362">
        <f t="shared" si="1464"/>
        <v>6.7232613150750691</v>
      </c>
      <c r="X1431" s="351"/>
    </row>
    <row r="1432" spans="3:24" ht="24.75" customHeight="1" x14ac:dyDescent="0.3">
      <c r="C1432" s="353">
        <f>ABS(E1432-Dashboard!$F$14)</f>
        <v>6.0130544705410074</v>
      </c>
      <c r="D1432" s="350">
        <f t="shared" si="1455"/>
        <v>0.21594999999999145</v>
      </c>
      <c r="E1432" s="359" cm="1">
        <f t="array" ref="E1432">1000*SUM('DRE + DCF'!$L$36/M1432,'DRE + DCF'!$N$36:$V$36/N1432:V1432,F1432/V1432)/Dashboard!$F$11</f>
        <v>90.976945529458987</v>
      </c>
      <c r="F1432" s="359">
        <f t="shared" si="1453"/>
        <v>12943483.70839889</v>
      </c>
      <c r="G1432" s="359">
        <f>'DRE + DCF'!$W$31</f>
        <v>2791623.3540418856</v>
      </c>
      <c r="H1432" s="359">
        <f>'DRE + DCF'!$W$32</f>
        <v>81081.931703745853</v>
      </c>
      <c r="I1432" s="359">
        <f>-H1432*('DRE + DCF'!$V$33+K1432)/'DRE + DCF'!$V$33</f>
        <v>-90858.801614444121</v>
      </c>
      <c r="J1432" s="359">
        <f>-'DRE + DCF'!$V$56*L1432</f>
        <v>-1188924.4255577971</v>
      </c>
      <c r="K1432" s="360">
        <f>(1+L1432)/(1+Ke!$O$12)-1</f>
        <v>2.0000000000000018E-2</v>
      </c>
      <c r="L1432" s="360">
        <f>'DRE + DCF'!$Y$31</f>
        <v>7.3550000000000004E-2</v>
      </c>
      <c r="M1432" s="361">
        <f>(1+D1432)^((5-Dashboard!$F$9)*3/12)</f>
        <v>1.1579419498234715</v>
      </c>
      <c r="N1432" s="361">
        <f t="shared" ref="N1432:V1432" si="1465">M1432*(1+$D1432)</f>
        <v>1.4079995138878403</v>
      </c>
      <c r="O1432" s="361">
        <f t="shared" si="1465"/>
        <v>1.7120570089119074</v>
      </c>
      <c r="P1432" s="361">
        <f t="shared" si="1465"/>
        <v>2.0817757199864193</v>
      </c>
      <c r="Q1432" s="361">
        <f t="shared" si="1465"/>
        <v>2.5313351867174685</v>
      </c>
      <c r="R1432" s="361">
        <f t="shared" si="1465"/>
        <v>3.0779770202890839</v>
      </c>
      <c r="S1432" s="361">
        <f t="shared" si="1465"/>
        <v>3.7426661578204854</v>
      </c>
      <c r="T1432" s="361">
        <f t="shared" si="1465"/>
        <v>4.5508949146017867</v>
      </c>
      <c r="U1432" s="361">
        <f t="shared" si="1465"/>
        <v>5.5336606714100034</v>
      </c>
      <c r="V1432" s="362">
        <f t="shared" si="1465"/>
        <v>6.7286546934009461</v>
      </c>
      <c r="X1432" s="351"/>
    </row>
    <row r="1433" spans="3:24" ht="24.75" customHeight="1" x14ac:dyDescent="0.3">
      <c r="C1433" s="353">
        <f>ABS(E1433-Dashboard!$F$14)</f>
        <v>6.0829474848231655</v>
      </c>
      <c r="D1433" s="350">
        <f t="shared" si="1455"/>
        <v>0.21604999999999144</v>
      </c>
      <c r="E1433" s="359" cm="1">
        <f t="array" ref="E1433">1000*SUM('DRE + DCF'!$L$36/M1433,'DRE + DCF'!$N$36:$V$36/N1433:V1433,F1433/V1433)/Dashboard!$F$11</f>
        <v>90.907052515176829</v>
      </c>
      <c r="F1433" s="359">
        <f t="shared" si="1453"/>
        <v>12936058.27529522</v>
      </c>
      <c r="G1433" s="359">
        <f>'DRE + DCF'!$W$31</f>
        <v>2791623.3540418856</v>
      </c>
      <c r="H1433" s="359">
        <f>'DRE + DCF'!$W$32</f>
        <v>81081.931703745853</v>
      </c>
      <c r="I1433" s="359">
        <f>-H1433*('DRE + DCF'!$V$33+K1433)/'DRE + DCF'!$V$33</f>
        <v>-90858.801614444121</v>
      </c>
      <c r="J1433" s="359">
        <f>-'DRE + DCF'!$V$56*L1433</f>
        <v>-1188924.4255577971</v>
      </c>
      <c r="K1433" s="360">
        <f>(1+L1433)/(1+Ke!$O$12)-1</f>
        <v>2.0000000000000018E-2</v>
      </c>
      <c r="L1433" s="360">
        <f>'DRE + DCF'!$Y$31</f>
        <v>7.3550000000000004E-2</v>
      </c>
      <c r="M1433" s="361">
        <f>(1+D1433)^((5-Dashboard!$F$9)*3/12)</f>
        <v>1.1580133711430092</v>
      </c>
      <c r="N1433" s="361">
        <f t="shared" ref="N1433:V1433" si="1466">M1433*(1+$D1433)</f>
        <v>1.4082021599784464</v>
      </c>
      <c r="O1433" s="361">
        <f t="shared" si="1466"/>
        <v>1.7124442366417778</v>
      </c>
      <c r="P1433" s="361">
        <f t="shared" si="1466"/>
        <v>2.082417813968219</v>
      </c>
      <c r="Q1433" s="361">
        <f t="shared" si="1466"/>
        <v>2.5323241826760348</v>
      </c>
      <c r="R1433" s="361">
        <f t="shared" si="1466"/>
        <v>3.0794328223431702</v>
      </c>
      <c r="S1433" s="361">
        <f t="shared" si="1466"/>
        <v>3.7447442836103857</v>
      </c>
      <c r="T1433" s="361">
        <f t="shared" si="1466"/>
        <v>4.5537962860843777</v>
      </c>
      <c r="U1433" s="361">
        <f t="shared" si="1466"/>
        <v>5.5376439736928686</v>
      </c>
      <c r="V1433" s="362">
        <f t="shared" si="1466"/>
        <v>6.734051954209165</v>
      </c>
      <c r="X1433" s="351"/>
    </row>
    <row r="1434" spans="3:24" ht="24.75" customHeight="1" x14ac:dyDescent="0.3">
      <c r="C1434" s="353">
        <f>ABS(E1434-Dashboard!$F$14)</f>
        <v>6.1527473405086113</v>
      </c>
      <c r="D1434" s="350">
        <f t="shared" si="1455"/>
        <v>0.21614999999999143</v>
      </c>
      <c r="E1434" s="359" cm="1">
        <f t="array" ref="E1434">1000*SUM('DRE + DCF'!$L$36/M1434,'DRE + DCF'!$N$36:$V$36/N1434:V1434,F1434/V1434)/Dashboard!$F$11</f>
        <v>90.837252659491384</v>
      </c>
      <c r="F1434" s="359">
        <f t="shared" si="1453"/>
        <v>12928641.723764759</v>
      </c>
      <c r="G1434" s="359">
        <f>'DRE + DCF'!$W$31</f>
        <v>2791623.3540418856</v>
      </c>
      <c r="H1434" s="359">
        <f>'DRE + DCF'!$W$32</f>
        <v>81081.931703745853</v>
      </c>
      <c r="I1434" s="359">
        <f>-H1434*('DRE + DCF'!$V$33+K1434)/'DRE + DCF'!$V$33</f>
        <v>-90858.801614444121</v>
      </c>
      <c r="J1434" s="359">
        <f>-'DRE + DCF'!$V$56*L1434</f>
        <v>-1188924.4255577971</v>
      </c>
      <c r="K1434" s="360">
        <f>(1+L1434)/(1+Ke!$O$12)-1</f>
        <v>2.0000000000000018E-2</v>
      </c>
      <c r="L1434" s="360">
        <f>'DRE + DCF'!$Y$31</f>
        <v>7.3550000000000004E-2</v>
      </c>
      <c r="M1434" s="361">
        <f>(1+D1434)^((5-Dashboard!$F$9)*3/12)</f>
        <v>1.1580847909942562</v>
      </c>
      <c r="N1434" s="361">
        <f t="shared" ref="N1434:V1434" si="1467">M1434*(1+$D1434)</f>
        <v>1.4084048185676548</v>
      </c>
      <c r="O1434" s="361">
        <f t="shared" si="1467"/>
        <v>1.7128315201010413</v>
      </c>
      <c r="P1434" s="361">
        <f t="shared" si="1467"/>
        <v>2.0830600531708665</v>
      </c>
      <c r="Q1434" s="361">
        <f t="shared" si="1467"/>
        <v>2.5333134836637314</v>
      </c>
      <c r="R1434" s="361">
        <f t="shared" si="1467"/>
        <v>3.080889193157625</v>
      </c>
      <c r="S1434" s="361">
        <f t="shared" si="1467"/>
        <v>3.7468233922586189</v>
      </c>
      <c r="T1434" s="361">
        <f t="shared" si="1467"/>
        <v>4.5566992684952874</v>
      </c>
      <c r="U1434" s="361">
        <f t="shared" si="1467"/>
        <v>5.5416298153805048</v>
      </c>
      <c r="V1434" s="362">
        <f t="shared" si="1467"/>
        <v>6.7394530999749529</v>
      </c>
      <c r="X1434" s="351"/>
    </row>
    <row r="1435" spans="3:24" ht="24.75" customHeight="1" x14ac:dyDescent="0.3">
      <c r="C1435" s="353">
        <f>ABS(E1435-Dashboard!$F$14)</f>
        <v>6.2224542135618321</v>
      </c>
      <c r="D1435" s="350">
        <f t="shared" si="1455"/>
        <v>0.21624999999999142</v>
      </c>
      <c r="E1435" s="359" cm="1">
        <f t="array" ref="E1435">1000*SUM('DRE + DCF'!$L$36/M1435,'DRE + DCF'!$N$36:$V$36/N1435:V1435,F1435/V1435)/Dashboard!$F$11</f>
        <v>90.767545786438163</v>
      </c>
      <c r="F1435" s="359">
        <f t="shared" si="1453"/>
        <v>12921234.037260583</v>
      </c>
      <c r="G1435" s="359">
        <f>'DRE + DCF'!$W$31</f>
        <v>2791623.3540418856</v>
      </c>
      <c r="H1435" s="359">
        <f>'DRE + DCF'!$W$32</f>
        <v>81081.931703745853</v>
      </c>
      <c r="I1435" s="359">
        <f>-H1435*('DRE + DCF'!$V$33+K1435)/'DRE + DCF'!$V$33</f>
        <v>-90858.801614444121</v>
      </c>
      <c r="J1435" s="359">
        <f>-'DRE + DCF'!$V$56*L1435</f>
        <v>-1188924.4255577971</v>
      </c>
      <c r="K1435" s="360">
        <f>(1+L1435)/(1+Ke!$O$12)-1</f>
        <v>2.0000000000000018E-2</v>
      </c>
      <c r="L1435" s="360">
        <f>'DRE + DCF'!$Y$31</f>
        <v>7.3550000000000004E-2</v>
      </c>
      <c r="M1435" s="361">
        <f>(1+D1435)^((5-Dashboard!$F$9)*3/12)</f>
        <v>1.1581562093773636</v>
      </c>
      <c r="N1435" s="361">
        <f t="shared" ref="N1435:V1435" si="1468">M1435*(1+$D1435)</f>
        <v>1.4086074896552085</v>
      </c>
      <c r="O1435" s="361">
        <f t="shared" si="1468"/>
        <v>1.7132188592931352</v>
      </c>
      <c r="P1435" s="361">
        <f t="shared" si="1468"/>
        <v>2.0837024376152611</v>
      </c>
      <c r="Q1435" s="361">
        <f t="shared" si="1468"/>
        <v>2.5343030897495433</v>
      </c>
      <c r="R1435" s="361">
        <f t="shared" si="1468"/>
        <v>3.0823461329078601</v>
      </c>
      <c r="S1435" s="361">
        <f t="shared" si="1468"/>
        <v>3.7489034841491584</v>
      </c>
      <c r="T1435" s="361">
        <f t="shared" si="1468"/>
        <v>4.559603862596382</v>
      </c>
      <c r="U1435" s="361">
        <f t="shared" si="1468"/>
        <v>5.5456181978828107</v>
      </c>
      <c r="V1435" s="362">
        <f t="shared" si="1468"/>
        <v>6.7448581331749207</v>
      </c>
      <c r="X1435" s="351"/>
    </row>
    <row r="1436" spans="3:24" ht="24.75" customHeight="1" x14ac:dyDescent="0.3">
      <c r="C1436" s="353">
        <f>ABS(E1436-Dashboard!$F$14)</f>
        <v>6.2920682795074185</v>
      </c>
      <c r="D1436" s="350">
        <f t="shared" si="1455"/>
        <v>0.21634999999999141</v>
      </c>
      <c r="E1436" s="359" cm="1">
        <f t="array" ref="E1436">1000*SUM('DRE + DCF'!$L$36/M1436,'DRE + DCF'!$N$36:$V$36/N1436:V1436,F1436/V1436)/Dashboard!$F$11</f>
        <v>90.697931720492576</v>
      </c>
      <c r="F1436" s="359">
        <f t="shared" si="1453"/>
        <v>12913835.199278174</v>
      </c>
      <c r="G1436" s="359">
        <f>'DRE + DCF'!$W$31</f>
        <v>2791623.3540418856</v>
      </c>
      <c r="H1436" s="359">
        <f>'DRE + DCF'!$W$32</f>
        <v>81081.931703745853</v>
      </c>
      <c r="I1436" s="359">
        <f>-H1436*('DRE + DCF'!$V$33+K1436)/'DRE + DCF'!$V$33</f>
        <v>-90858.801614444121</v>
      </c>
      <c r="J1436" s="359">
        <f>-'DRE + DCF'!$V$56*L1436</f>
        <v>-1188924.4255577971</v>
      </c>
      <c r="K1436" s="360">
        <f>(1+L1436)/(1+Ke!$O$12)-1</f>
        <v>2.0000000000000018E-2</v>
      </c>
      <c r="L1436" s="360">
        <f>'DRE + DCF'!$Y$31</f>
        <v>7.3550000000000004E-2</v>
      </c>
      <c r="M1436" s="361">
        <f>(1+D1436)^((5-Dashboard!$F$9)*3/12)</f>
        <v>1.1582276262924827</v>
      </c>
      <c r="N1436" s="361">
        <f t="shared" ref="N1436:V1436" si="1469">M1436*(1+$D1436)</f>
        <v>1.4088101732408513</v>
      </c>
      <c r="O1436" s="361">
        <f t="shared" si="1469"/>
        <v>1.7136062542214974</v>
      </c>
      <c r="P1436" s="361">
        <f t="shared" si="1469"/>
        <v>2.0843449673223033</v>
      </c>
      <c r="Q1436" s="361">
        <f t="shared" si="1469"/>
        <v>2.5352930010024659</v>
      </c>
      <c r="R1436" s="361">
        <f t="shared" si="1469"/>
        <v>3.0838036417693275</v>
      </c>
      <c r="S1436" s="361">
        <f t="shared" si="1469"/>
        <v>3.7509845596660951</v>
      </c>
      <c r="T1436" s="361">
        <f t="shared" si="1469"/>
        <v>4.5625100691498224</v>
      </c>
      <c r="U1436" s="361">
        <f t="shared" si="1469"/>
        <v>5.549609122610347</v>
      </c>
      <c r="V1436" s="362">
        <f t="shared" si="1469"/>
        <v>6.7502670562870479</v>
      </c>
      <c r="X1436" s="351"/>
    </row>
    <row r="1437" spans="3:24" ht="24.75" customHeight="1" x14ac:dyDescent="0.3">
      <c r="C1437" s="353">
        <f>ABS(E1437-Dashboard!$F$14)</f>
        <v>6.3615897134316413</v>
      </c>
      <c r="D1437" s="350">
        <f t="shared" si="1455"/>
        <v>0.2164499999999914</v>
      </c>
      <c r="E1437" s="359" cm="1">
        <f t="array" ref="E1437">1000*SUM('DRE + DCF'!$L$36/M1437,'DRE + DCF'!$N$36:$V$36/N1437:V1437,F1437/V1437)/Dashboard!$F$11</f>
        <v>90.628410286568354</v>
      </c>
      <c r="F1437" s="359">
        <f t="shared" si="1453"/>
        <v>12906445.193355311</v>
      </c>
      <c r="G1437" s="359">
        <f>'DRE + DCF'!$W$31</f>
        <v>2791623.3540418856</v>
      </c>
      <c r="H1437" s="359">
        <f>'DRE + DCF'!$W$32</f>
        <v>81081.931703745853</v>
      </c>
      <c r="I1437" s="359">
        <f>-H1437*('DRE + DCF'!$V$33+K1437)/'DRE + DCF'!$V$33</f>
        <v>-90858.801614444121</v>
      </c>
      <c r="J1437" s="359">
        <f>-'DRE + DCF'!$V$56*L1437</f>
        <v>-1188924.4255577971</v>
      </c>
      <c r="K1437" s="360">
        <f>(1+L1437)/(1+Ke!$O$12)-1</f>
        <v>2.0000000000000018E-2</v>
      </c>
      <c r="L1437" s="360">
        <f>'DRE + DCF'!$Y$31</f>
        <v>7.3550000000000004E-2</v>
      </c>
      <c r="M1437" s="361">
        <f>(1+D1437)^((5-Dashboard!$F$9)*3/12)</f>
        <v>1.1582990417397636</v>
      </c>
      <c r="N1437" s="361">
        <f t="shared" ref="N1437:V1437" si="1470">M1437*(1+$D1437)</f>
        <v>1.4090128693243253</v>
      </c>
      <c r="O1437" s="361">
        <f t="shared" si="1470"/>
        <v>1.7139937048895635</v>
      </c>
      <c r="P1437" s="361">
        <f t="shared" si="1470"/>
        <v>2.0849876423128948</v>
      </c>
      <c r="Q1437" s="361">
        <f t="shared" si="1470"/>
        <v>2.5362832174915031</v>
      </c>
      <c r="R1437" s="361">
        <f t="shared" si="1470"/>
        <v>3.0852617199175172</v>
      </c>
      <c r="S1437" s="361">
        <f t="shared" si="1470"/>
        <v>3.7530666191936373</v>
      </c>
      <c r="T1437" s="361">
        <f t="shared" si="1470"/>
        <v>4.5654178889180681</v>
      </c>
      <c r="U1437" s="361">
        <f t="shared" si="1470"/>
        <v>5.5536025909743447</v>
      </c>
      <c r="V1437" s="362">
        <f t="shared" si="1470"/>
        <v>6.7556798717906936</v>
      </c>
      <c r="X1437" s="351"/>
    </row>
    <row r="1438" spans="3:24" ht="24.75" customHeight="1" x14ac:dyDescent="0.3">
      <c r="C1438" s="353">
        <f>ABS(E1438-Dashboard!$F$14)</f>
        <v>6.4310186899836879</v>
      </c>
      <c r="D1438" s="350">
        <f t="shared" si="1455"/>
        <v>0.21654999999999139</v>
      </c>
      <c r="E1438" s="359" cm="1">
        <f t="array" ref="E1438">1000*SUM('DRE + DCF'!$L$36/M1438,'DRE + DCF'!$N$36:$V$36/N1438:V1438,F1438/V1438)/Dashboard!$F$11</f>
        <v>90.558981310016307</v>
      </c>
      <c r="F1438" s="359">
        <f t="shared" si="1453"/>
        <v>12899064.003071908</v>
      </c>
      <c r="G1438" s="359">
        <f>'DRE + DCF'!$W$31</f>
        <v>2791623.3540418856</v>
      </c>
      <c r="H1438" s="359">
        <f>'DRE + DCF'!$W$32</f>
        <v>81081.931703745853</v>
      </c>
      <c r="I1438" s="359">
        <f>-H1438*('DRE + DCF'!$V$33+K1438)/'DRE + DCF'!$V$33</f>
        <v>-90858.801614444121</v>
      </c>
      <c r="J1438" s="359">
        <f>-'DRE + DCF'!$V$56*L1438</f>
        <v>-1188924.4255577971</v>
      </c>
      <c r="K1438" s="360">
        <f>(1+L1438)/(1+Ke!$O$12)-1</f>
        <v>2.0000000000000018E-2</v>
      </c>
      <c r="L1438" s="360">
        <f>'DRE + DCF'!$Y$31</f>
        <v>7.3550000000000004E-2</v>
      </c>
      <c r="M1438" s="361">
        <f>(1+D1438)^((5-Dashboard!$F$9)*3/12)</f>
        <v>1.1583704557193575</v>
      </c>
      <c r="N1438" s="361">
        <f t="shared" ref="N1438:V1438" si="1471">M1438*(1+$D1438)</f>
        <v>1.4092155779053743</v>
      </c>
      <c r="O1438" s="361">
        <f t="shared" si="1471"/>
        <v>1.714381211300771</v>
      </c>
      <c r="P1438" s="361">
        <f t="shared" si="1471"/>
        <v>2.0856304626079383</v>
      </c>
      <c r="Q1438" s="361">
        <f t="shared" si="1471"/>
        <v>2.5372737392856695</v>
      </c>
      <c r="R1438" s="361">
        <f t="shared" si="1471"/>
        <v>3.0867203675279593</v>
      </c>
      <c r="S1438" s="361">
        <f t="shared" si="1471"/>
        <v>3.7551496631161121</v>
      </c>
      <c r="T1438" s="361">
        <f t="shared" si="1471"/>
        <v>4.5683273226638734</v>
      </c>
      <c r="U1438" s="361">
        <f t="shared" si="1471"/>
        <v>5.5575986043866958</v>
      </c>
      <c r="V1438" s="362">
        <f t="shared" si="1471"/>
        <v>6.7610965821665872</v>
      </c>
      <c r="X1438" s="351"/>
    </row>
    <row r="1439" spans="3:24" ht="24.75" customHeight="1" x14ac:dyDescent="0.3">
      <c r="C1439" s="353">
        <f>ABS(E1439-Dashboard!$F$14)</f>
        <v>6.5003553833772401</v>
      </c>
      <c r="D1439" s="350">
        <f t="shared" si="1455"/>
        <v>0.21664999999999138</v>
      </c>
      <c r="E1439" s="359" cm="1">
        <f t="array" ref="E1439">1000*SUM('DRE + DCF'!$L$36/M1439,'DRE + DCF'!$N$36:$V$36/N1439:V1439,F1439/V1439)/Dashboard!$F$11</f>
        <v>90.489644616622755</v>
      </c>
      <c r="F1439" s="359">
        <f t="shared" si="1453"/>
        <v>12891691.6120499</v>
      </c>
      <c r="G1439" s="359">
        <f>'DRE + DCF'!$W$31</f>
        <v>2791623.3540418856</v>
      </c>
      <c r="H1439" s="359">
        <f>'DRE + DCF'!$W$32</f>
        <v>81081.931703745853</v>
      </c>
      <c r="I1439" s="359">
        <f>-H1439*('DRE + DCF'!$V$33+K1439)/'DRE + DCF'!$V$33</f>
        <v>-90858.801614444121</v>
      </c>
      <c r="J1439" s="359">
        <f>-'DRE + DCF'!$V$56*L1439</f>
        <v>-1188924.4255577971</v>
      </c>
      <c r="K1439" s="360">
        <f>(1+L1439)/(1+Ke!$O$12)-1</f>
        <v>2.0000000000000018E-2</v>
      </c>
      <c r="L1439" s="360">
        <f>'DRE + DCF'!$Y$31</f>
        <v>7.3550000000000004E-2</v>
      </c>
      <c r="M1439" s="361">
        <f>(1+D1439)^((5-Dashboard!$F$9)*3/12)</f>
        <v>1.1584418682314155</v>
      </c>
      <c r="N1439" s="361">
        <f t="shared" ref="N1439:V1439" si="1472">M1439*(1+$D1439)</f>
        <v>1.4094182989837416</v>
      </c>
      <c r="O1439" s="361">
        <f t="shared" si="1472"/>
        <v>1.714768773458557</v>
      </c>
      <c r="P1439" s="361">
        <f t="shared" si="1472"/>
        <v>2.0862734282283384</v>
      </c>
      <c r="Q1439" s="361">
        <f t="shared" si="1472"/>
        <v>2.5382645664539898</v>
      </c>
      <c r="R1439" s="361">
        <f t="shared" si="1472"/>
        <v>3.0881795847762246</v>
      </c>
      <c r="S1439" s="361">
        <f t="shared" si="1472"/>
        <v>3.7572336918179667</v>
      </c>
      <c r="T1439" s="361">
        <f t="shared" si="1472"/>
        <v>4.5712383711502964</v>
      </c>
      <c r="U1439" s="361">
        <f t="shared" si="1472"/>
        <v>5.5615971642599682</v>
      </c>
      <c r="V1439" s="362">
        <f t="shared" si="1472"/>
        <v>6.7665171898968426</v>
      </c>
      <c r="X1439" s="351"/>
    </row>
    <row r="1440" spans="3:24" ht="24.75" customHeight="1" x14ac:dyDescent="0.3">
      <c r="C1440" s="353">
        <f>ABS(E1440-Dashboard!$F$14)</f>
        <v>6.5695999673916674</v>
      </c>
      <c r="D1440" s="350">
        <f t="shared" si="1455"/>
        <v>0.21674999999999137</v>
      </c>
      <c r="E1440" s="359" cm="1">
        <f t="array" ref="E1440">1000*SUM('DRE + DCF'!$L$36/M1440,'DRE + DCF'!$N$36:$V$36/N1440:V1440,F1440/V1440)/Dashboard!$F$11</f>
        <v>90.420400032608327</v>
      </c>
      <c r="F1440" s="359">
        <f t="shared" si="1453"/>
        <v>12884328.003953081</v>
      </c>
      <c r="G1440" s="359">
        <f>'DRE + DCF'!$W$31</f>
        <v>2791623.3540418856</v>
      </c>
      <c r="H1440" s="359">
        <f>'DRE + DCF'!$W$32</f>
        <v>81081.931703745853</v>
      </c>
      <c r="I1440" s="359">
        <f>-H1440*('DRE + DCF'!$V$33+K1440)/'DRE + DCF'!$V$33</f>
        <v>-90858.801614444121</v>
      </c>
      <c r="J1440" s="359">
        <f>-'DRE + DCF'!$V$56*L1440</f>
        <v>-1188924.4255577971</v>
      </c>
      <c r="K1440" s="360">
        <f>(1+L1440)/(1+Ke!$O$12)-1</f>
        <v>2.0000000000000018E-2</v>
      </c>
      <c r="L1440" s="360">
        <f>'DRE + DCF'!$Y$31</f>
        <v>7.3550000000000004E-2</v>
      </c>
      <c r="M1440" s="361">
        <f>(1+D1440)^((5-Dashboard!$F$9)*3/12)</f>
        <v>1.1585132792760877</v>
      </c>
      <c r="N1440" s="361">
        <f t="shared" ref="N1440:V1440" si="1473">M1440*(1+$D1440)</f>
        <v>1.4096210325591696</v>
      </c>
      <c r="O1440" s="361">
        <f t="shared" si="1473"/>
        <v>1.7151563913663574</v>
      </c>
      <c r="P1440" s="361">
        <f t="shared" si="1473"/>
        <v>2.0869165391950006</v>
      </c>
      <c r="Q1440" s="361">
        <f t="shared" si="1473"/>
        <v>2.5392556990654991</v>
      </c>
      <c r="R1440" s="361">
        <f t="shared" si="1473"/>
        <v>3.089639371837924</v>
      </c>
      <c r="S1440" s="361">
        <f t="shared" si="1473"/>
        <v>3.7593187056837674</v>
      </c>
      <c r="T1440" s="361">
        <f t="shared" si="1473"/>
        <v>4.5741510351406918</v>
      </c>
      <c r="U1440" s="361">
        <f t="shared" si="1473"/>
        <v>5.5655982720073967</v>
      </c>
      <c r="V1440" s="362">
        <f t="shared" si="1473"/>
        <v>6.7719416974649516</v>
      </c>
      <c r="X1440" s="351"/>
    </row>
    <row r="1441" spans="3:24" ht="24.75" customHeight="1" x14ac:dyDescent="0.3">
      <c r="C1441" s="353">
        <f>ABS(E1441-Dashboard!$F$14)</f>
        <v>6.6387526153734626</v>
      </c>
      <c r="D1441" s="350">
        <f t="shared" si="1455"/>
        <v>0.21684999999999136</v>
      </c>
      <c r="E1441" s="359" cm="1">
        <f t="array" ref="E1441">1000*SUM('DRE + DCF'!$L$36/M1441,'DRE + DCF'!$N$36:$V$36/N1441:V1441,F1441/V1441)/Dashboard!$F$11</f>
        <v>90.351247384626532</v>
      </c>
      <c r="F1441" s="359">
        <f t="shared" si="1453"/>
        <v>12876973.162486982</v>
      </c>
      <c r="G1441" s="359">
        <f>'DRE + DCF'!$W$31</f>
        <v>2791623.3540418856</v>
      </c>
      <c r="H1441" s="359">
        <f>'DRE + DCF'!$W$32</f>
        <v>81081.931703745853</v>
      </c>
      <c r="I1441" s="359">
        <f>-H1441*('DRE + DCF'!$V$33+K1441)/'DRE + DCF'!$V$33</f>
        <v>-90858.801614444121</v>
      </c>
      <c r="J1441" s="359">
        <f>-'DRE + DCF'!$V$56*L1441</f>
        <v>-1188924.4255577971</v>
      </c>
      <c r="K1441" s="360">
        <f>(1+L1441)/(1+Ke!$O$12)-1</f>
        <v>2.0000000000000018E-2</v>
      </c>
      <c r="L1441" s="360">
        <f>'DRE + DCF'!$Y$31</f>
        <v>7.3550000000000004E-2</v>
      </c>
      <c r="M1441" s="361">
        <f>(1+D1441)^((5-Dashboard!$F$9)*3/12)</f>
        <v>1.1585846888535256</v>
      </c>
      <c r="N1441" s="361">
        <f t="shared" ref="N1441:V1441" si="1474">M1441*(1+$D1441)</f>
        <v>1.4098237786314025</v>
      </c>
      <c r="O1441" s="361">
        <f t="shared" si="1474"/>
        <v>1.7155440650276099</v>
      </c>
      <c r="P1441" s="361">
        <f t="shared" si="1474"/>
        <v>2.0875597955288323</v>
      </c>
      <c r="Q1441" s="361">
        <f t="shared" si="1474"/>
        <v>2.5402471371892417</v>
      </c>
      <c r="R1441" s="361">
        <f t="shared" si="1474"/>
        <v>3.0910997288887065</v>
      </c>
      <c r="S1441" s="361">
        <f t="shared" si="1474"/>
        <v>3.7614047050981956</v>
      </c>
      <c r="T1441" s="361">
        <f t="shared" si="1474"/>
        <v>4.5770653153987064</v>
      </c>
      <c r="U1441" s="361">
        <f t="shared" si="1474"/>
        <v>5.569601929042876</v>
      </c>
      <c r="V1441" s="362">
        <f t="shared" si="1474"/>
        <v>6.7773701073557753</v>
      </c>
      <c r="X1441" s="351"/>
    </row>
    <row r="1442" spans="3:24" ht="24.75" customHeight="1" x14ac:dyDescent="0.3">
      <c r="C1442" s="353">
        <f>ABS(E1442-Dashboard!$F$14)</f>
        <v>6.7078135002377053</v>
      </c>
      <c r="D1442" s="350">
        <f t="shared" si="1455"/>
        <v>0.21694999999999134</v>
      </c>
      <c r="E1442" s="359" cm="1">
        <f t="array" ref="E1442">1000*SUM('DRE + DCF'!$L$36/M1442,'DRE + DCF'!$N$36:$V$36/N1442:V1442,F1442/V1442)/Dashboard!$F$11</f>
        <v>90.28218649976229</v>
      </c>
      <c r="F1442" s="359">
        <f t="shared" si="1453"/>
        <v>12869627.071398729</v>
      </c>
      <c r="G1442" s="359">
        <f>'DRE + DCF'!$W$31</f>
        <v>2791623.3540418856</v>
      </c>
      <c r="H1442" s="359">
        <f>'DRE + DCF'!$W$32</f>
        <v>81081.931703745853</v>
      </c>
      <c r="I1442" s="359">
        <f>-H1442*('DRE + DCF'!$V$33+K1442)/'DRE + DCF'!$V$33</f>
        <v>-90858.801614444121</v>
      </c>
      <c r="J1442" s="359">
        <f>-'DRE + DCF'!$V$56*L1442</f>
        <v>-1188924.4255577971</v>
      </c>
      <c r="K1442" s="360">
        <f>(1+L1442)/(1+Ke!$O$12)-1</f>
        <v>2.0000000000000018E-2</v>
      </c>
      <c r="L1442" s="360">
        <f>'DRE + DCF'!$Y$31</f>
        <v>7.3550000000000004E-2</v>
      </c>
      <c r="M1442" s="361">
        <f>(1+D1442)^((5-Dashboard!$F$9)*3/12)</f>
        <v>1.1586560969638793</v>
      </c>
      <c r="N1442" s="361">
        <f t="shared" ref="N1442:V1442" si="1475">M1442*(1+$D1442)</f>
        <v>1.4100265372001828</v>
      </c>
      <c r="O1442" s="361">
        <f t="shared" si="1475"/>
        <v>1.7159317944457502</v>
      </c>
      <c r="P1442" s="361">
        <f t="shared" si="1475"/>
        <v>2.0882031972507407</v>
      </c>
      <c r="Q1442" s="361">
        <f t="shared" si="1475"/>
        <v>2.5412388808942707</v>
      </c>
      <c r="R1442" s="361">
        <f t="shared" si="1475"/>
        <v>3.0925606561042609</v>
      </c>
      <c r="S1442" s="361">
        <f t="shared" si="1475"/>
        <v>3.7634916904460534</v>
      </c>
      <c r="T1442" s="361">
        <f t="shared" si="1475"/>
        <v>4.5799812126882919</v>
      </c>
      <c r="U1442" s="361">
        <f t="shared" si="1475"/>
        <v>5.5736081367809769</v>
      </c>
      <c r="V1442" s="362">
        <f t="shared" si="1475"/>
        <v>6.7828024220555614</v>
      </c>
      <c r="X1442" s="351"/>
    </row>
    <row r="1443" spans="3:24" ht="24.75" customHeight="1" x14ac:dyDescent="0.3">
      <c r="C1443" s="353">
        <f>ABS(E1443-Dashboard!$F$14)</f>
        <v>6.7767827944692556</v>
      </c>
      <c r="D1443" s="350">
        <f t="shared" si="1455"/>
        <v>0.21704999999999133</v>
      </c>
      <c r="E1443" s="359" cm="1">
        <f t="array" ref="E1443">1000*SUM('DRE + DCF'!$L$36/M1443,'DRE + DCF'!$N$36:$V$36/N1443:V1443,F1443/V1443)/Dashboard!$F$11</f>
        <v>90.213217205530739</v>
      </c>
      <c r="F1443" s="359">
        <f t="shared" si="1453"/>
        <v>12862289.714476909</v>
      </c>
      <c r="G1443" s="359">
        <f>'DRE + DCF'!$W$31</f>
        <v>2791623.3540418856</v>
      </c>
      <c r="H1443" s="359">
        <f>'DRE + DCF'!$W$32</f>
        <v>81081.931703745853</v>
      </c>
      <c r="I1443" s="359">
        <f>-H1443*('DRE + DCF'!$V$33+K1443)/'DRE + DCF'!$V$33</f>
        <v>-90858.801614444121</v>
      </c>
      <c r="J1443" s="359">
        <f>-'DRE + DCF'!$V$56*L1443</f>
        <v>-1188924.4255577971</v>
      </c>
      <c r="K1443" s="360">
        <f>(1+L1443)/(1+Ke!$O$12)-1</f>
        <v>2.0000000000000018E-2</v>
      </c>
      <c r="L1443" s="360">
        <f>'DRE + DCF'!$Y$31</f>
        <v>7.3550000000000004E-2</v>
      </c>
      <c r="M1443" s="361">
        <f>(1+D1443)^((5-Dashboard!$F$9)*3/12)</f>
        <v>1.1587275036072999</v>
      </c>
      <c r="N1443" s="361">
        <f t="shared" ref="N1443:V1443" si="1476">M1443*(1+$D1443)</f>
        <v>1.4102293082652544</v>
      </c>
      <c r="O1443" s="361">
        <f t="shared" si="1476"/>
        <v>1.7163195796242157</v>
      </c>
      <c r="P1443" s="361">
        <f t="shared" si="1476"/>
        <v>2.0888467443816365</v>
      </c>
      <c r="Q1443" s="361">
        <f t="shared" si="1476"/>
        <v>2.5422309302496524</v>
      </c>
      <c r="R1443" s="361">
        <f t="shared" si="1476"/>
        <v>3.0940221536603172</v>
      </c>
      <c r="S1443" s="361">
        <f t="shared" si="1476"/>
        <v>3.7655796621122621</v>
      </c>
      <c r="T1443" s="361">
        <f t="shared" si="1476"/>
        <v>4.5828987277736957</v>
      </c>
      <c r="U1443" s="361">
        <f t="shared" si="1476"/>
        <v>5.5776168966369362</v>
      </c>
      <c r="V1443" s="362">
        <f t="shared" si="1476"/>
        <v>6.7882386440519342</v>
      </c>
      <c r="X1443" s="351"/>
    </row>
    <row r="1444" spans="3:24" ht="24.75" customHeight="1" x14ac:dyDescent="0.3">
      <c r="C1444" s="353">
        <f>ABS(E1444-Dashboard!$F$14)</f>
        <v>6.8456606701242748</v>
      </c>
      <c r="D1444" s="350">
        <f t="shared" si="1455"/>
        <v>0.21714999999999132</v>
      </c>
      <c r="E1444" s="359" cm="1">
        <f t="array" ref="E1444">1000*SUM('DRE + DCF'!$L$36/M1444,'DRE + DCF'!$N$36:$V$36/N1444:V1444,F1444/V1444)/Dashboard!$F$11</f>
        <v>90.14433932987572</v>
      </c>
      <c r="F1444" s="359">
        <f t="shared" si="1453"/>
        <v>12854961.075551435</v>
      </c>
      <c r="G1444" s="359">
        <f>'DRE + DCF'!$W$31</f>
        <v>2791623.3540418856</v>
      </c>
      <c r="H1444" s="359">
        <f>'DRE + DCF'!$W$32</f>
        <v>81081.931703745853</v>
      </c>
      <c r="I1444" s="359">
        <f>-H1444*('DRE + DCF'!$V$33+K1444)/'DRE + DCF'!$V$33</f>
        <v>-90858.801614444121</v>
      </c>
      <c r="J1444" s="359">
        <f>-'DRE + DCF'!$V$56*L1444</f>
        <v>-1188924.4255577971</v>
      </c>
      <c r="K1444" s="360">
        <f>(1+L1444)/(1+Ke!$O$12)-1</f>
        <v>2.0000000000000018E-2</v>
      </c>
      <c r="L1444" s="360">
        <f>'DRE + DCF'!$Y$31</f>
        <v>7.3550000000000004E-2</v>
      </c>
      <c r="M1444" s="361">
        <f>(1+D1444)^((5-Dashboard!$F$9)*3/12)</f>
        <v>1.1587989087839379</v>
      </c>
      <c r="N1444" s="361">
        <f t="shared" ref="N1444:V1444" si="1477">M1444*(1+$D1444)</f>
        <v>1.41043209182636</v>
      </c>
      <c r="O1444" s="361">
        <f t="shared" si="1477"/>
        <v>1.7167074205664419</v>
      </c>
      <c r="P1444" s="361">
        <f t="shared" si="1477"/>
        <v>2.0894904369424299</v>
      </c>
      <c r="Q1444" s="361">
        <f t="shared" si="1477"/>
        <v>2.5432232853244603</v>
      </c>
      <c r="R1444" s="361">
        <f t="shared" si="1477"/>
        <v>3.0954842217326446</v>
      </c>
      <c r="S1444" s="361">
        <f t="shared" si="1477"/>
        <v>3.7676686204818615</v>
      </c>
      <c r="T1444" s="361">
        <f t="shared" si="1477"/>
        <v>4.5858178614194651</v>
      </c>
      <c r="U1444" s="361">
        <f t="shared" si="1477"/>
        <v>5.5816282100266621</v>
      </c>
      <c r="V1444" s="362">
        <f t="shared" si="1477"/>
        <v>6.7936787758339028</v>
      </c>
      <c r="X1444" s="351"/>
    </row>
    <row r="1445" spans="3:24" ht="24.75" customHeight="1" x14ac:dyDescent="0.3">
      <c r="C1445" s="353">
        <f>ABS(E1445-Dashboard!$F$14)</f>
        <v>6.9144472988313908</v>
      </c>
      <c r="D1445" s="350">
        <f t="shared" si="1455"/>
        <v>0.21724999999999131</v>
      </c>
      <c r="E1445" s="359" cm="1">
        <f t="array" ref="E1445">1000*SUM('DRE + DCF'!$L$36/M1445,'DRE + DCF'!$N$36:$V$36/N1445:V1445,F1445/V1445)/Dashboard!$F$11</f>
        <v>90.075552701168604</v>
      </c>
      <c r="F1445" s="359">
        <f t="shared" si="1453"/>
        <v>12847641.138493408</v>
      </c>
      <c r="G1445" s="359">
        <f>'DRE + DCF'!$W$31</f>
        <v>2791623.3540418856</v>
      </c>
      <c r="H1445" s="359">
        <f>'DRE + DCF'!$W$32</f>
        <v>81081.931703745853</v>
      </c>
      <c r="I1445" s="359">
        <f>-H1445*('DRE + DCF'!$V$33+K1445)/'DRE + DCF'!$V$33</f>
        <v>-90858.801614444121</v>
      </c>
      <c r="J1445" s="359">
        <f>-'DRE + DCF'!$V$56*L1445</f>
        <v>-1188924.4255577971</v>
      </c>
      <c r="K1445" s="360">
        <f>(1+L1445)/(1+Ke!$O$12)-1</f>
        <v>2.0000000000000018E-2</v>
      </c>
      <c r="L1445" s="360">
        <f>'DRE + DCF'!$Y$31</f>
        <v>7.3550000000000004E-2</v>
      </c>
      <c r="M1445" s="361">
        <f>(1+D1445)^((5-Dashboard!$F$9)*3/12)</f>
        <v>1.1588703124939439</v>
      </c>
      <c r="N1445" s="361">
        <f t="shared" ref="N1445:V1445" si="1478">M1445*(1+$D1445)</f>
        <v>1.4106348878832431</v>
      </c>
      <c r="O1445" s="361">
        <f t="shared" si="1478"/>
        <v>1.7170953172758654</v>
      </c>
      <c r="P1445" s="361">
        <f t="shared" si="1478"/>
        <v>2.0901342749540324</v>
      </c>
      <c r="Q1445" s="361">
        <f t="shared" si="1478"/>
        <v>2.5442159461877778</v>
      </c>
      <c r="R1445" s="361">
        <f t="shared" si="1478"/>
        <v>3.0969468604970505</v>
      </c>
      <c r="S1445" s="361">
        <f t="shared" si="1478"/>
        <v>3.7697585659400077</v>
      </c>
      <c r="T1445" s="361">
        <f t="shared" si="1478"/>
        <v>4.5887386143904418</v>
      </c>
      <c r="U1445" s="361">
        <f t="shared" si="1478"/>
        <v>5.5856420783667255</v>
      </c>
      <c r="V1445" s="362">
        <f t="shared" si="1478"/>
        <v>6.7991228198918483</v>
      </c>
      <c r="X1445" s="351"/>
    </row>
    <row r="1446" spans="3:24" ht="24.75" customHeight="1" x14ac:dyDescent="0.3">
      <c r="C1446" s="353">
        <f>ABS(E1446-Dashboard!$F$14)</f>
        <v>6.983142851793275</v>
      </c>
      <c r="D1446" s="350">
        <f t="shared" si="1455"/>
        <v>0.2173499999999913</v>
      </c>
      <c r="E1446" s="359" cm="1">
        <f t="array" ref="E1446">1000*SUM('DRE + DCF'!$L$36/M1446,'DRE + DCF'!$N$36:$V$36/N1446:V1446,F1446/V1446)/Dashboard!$F$11</f>
        <v>90.00685714820672</v>
      </c>
      <c r="F1446" s="359">
        <f t="shared" si="1453"/>
        <v>12840329.887214981</v>
      </c>
      <c r="G1446" s="359">
        <f>'DRE + DCF'!$W$31</f>
        <v>2791623.3540418856</v>
      </c>
      <c r="H1446" s="359">
        <f>'DRE + DCF'!$W$32</f>
        <v>81081.931703745853</v>
      </c>
      <c r="I1446" s="359">
        <f>-H1446*('DRE + DCF'!$V$33+K1446)/'DRE + DCF'!$V$33</f>
        <v>-90858.801614444121</v>
      </c>
      <c r="J1446" s="359">
        <f>-'DRE + DCF'!$V$56*L1446</f>
        <v>-1188924.4255577971</v>
      </c>
      <c r="K1446" s="360">
        <f>(1+L1446)/(1+Ke!$O$12)-1</f>
        <v>2.0000000000000018E-2</v>
      </c>
      <c r="L1446" s="360">
        <f>'DRE + DCF'!$Y$31</f>
        <v>7.3550000000000004E-2</v>
      </c>
      <c r="M1446" s="361">
        <f>(1+D1446)^((5-Dashboard!$F$9)*3/12)</f>
        <v>1.1589417147374685</v>
      </c>
      <c r="N1446" s="361">
        <f t="shared" ref="N1446:V1446" si="1479">M1446*(1+$D1446)</f>
        <v>1.4108376964356473</v>
      </c>
      <c r="O1446" s="361">
        <f t="shared" si="1479"/>
        <v>1.7174832697559228</v>
      </c>
      <c r="P1446" s="361">
        <f t="shared" si="1479"/>
        <v>2.0907782584373575</v>
      </c>
      <c r="Q1446" s="361">
        <f t="shared" si="1479"/>
        <v>2.545208912908699</v>
      </c>
      <c r="R1446" s="361">
        <f t="shared" si="1479"/>
        <v>3.0984100701293826</v>
      </c>
      <c r="S1446" s="361">
        <f t="shared" si="1479"/>
        <v>3.7718494988719771</v>
      </c>
      <c r="T1446" s="361">
        <f t="shared" si="1479"/>
        <v>4.5916609874517684</v>
      </c>
      <c r="U1446" s="361">
        <f t="shared" si="1479"/>
        <v>5.5896585030743706</v>
      </c>
      <c r="V1446" s="362">
        <f t="shared" si="1479"/>
        <v>6.8045707787175367</v>
      </c>
      <c r="X1446" s="351"/>
    </row>
    <row r="1447" spans="3:24" ht="24.75" customHeight="1" x14ac:dyDescent="0.3">
      <c r="C1447" s="353">
        <f>ABS(E1447-Dashboard!$F$14)</f>
        <v>7.0517474997878082</v>
      </c>
      <c r="D1447" s="350">
        <f t="shared" si="1455"/>
        <v>0.21744999999999129</v>
      </c>
      <c r="E1447" s="359" cm="1">
        <f t="array" ref="E1447">1000*SUM('DRE + DCF'!$L$36/M1447,'DRE + DCF'!$N$36:$V$36/N1447:V1447,F1447/V1447)/Dashboard!$F$11</f>
        <v>89.938252500212187</v>
      </c>
      <c r="F1447" s="359">
        <f t="shared" si="1453"/>
        <v>12833027.305669235</v>
      </c>
      <c r="G1447" s="359">
        <f>'DRE + DCF'!$W$31</f>
        <v>2791623.3540418856</v>
      </c>
      <c r="H1447" s="359">
        <f>'DRE + DCF'!$W$32</f>
        <v>81081.931703745853</v>
      </c>
      <c r="I1447" s="359">
        <f>-H1447*('DRE + DCF'!$V$33+K1447)/'DRE + DCF'!$V$33</f>
        <v>-90858.801614444121</v>
      </c>
      <c r="J1447" s="359">
        <f>-'DRE + DCF'!$V$56*L1447</f>
        <v>-1188924.4255577971</v>
      </c>
      <c r="K1447" s="360">
        <f>(1+L1447)/(1+Ke!$O$12)-1</f>
        <v>2.0000000000000018E-2</v>
      </c>
      <c r="L1447" s="360">
        <f>'DRE + DCF'!$Y$31</f>
        <v>7.3550000000000004E-2</v>
      </c>
      <c r="M1447" s="361">
        <f>(1+D1447)^((5-Dashboard!$F$9)*3/12)</f>
        <v>1.1590131155146624</v>
      </c>
      <c r="N1447" s="361">
        <f t="shared" ref="N1447:V1447" si="1480">M1447*(1+$D1447)</f>
        <v>1.4110405174833156</v>
      </c>
      <c r="O1447" s="361">
        <f t="shared" si="1480"/>
        <v>1.7178712780100502</v>
      </c>
      <c r="P1447" s="361">
        <f t="shared" si="1480"/>
        <v>2.0914223874133206</v>
      </c>
      <c r="Q1447" s="361">
        <f t="shared" si="1480"/>
        <v>2.546202185556329</v>
      </c>
      <c r="R1447" s="361">
        <f t="shared" si="1480"/>
        <v>3.0998738508055306</v>
      </c>
      <c r="S1447" s="361">
        <f t="shared" si="1480"/>
        <v>3.7739414196631662</v>
      </c>
      <c r="T1447" s="361">
        <f t="shared" si="1480"/>
        <v>4.5945849813688886</v>
      </c>
      <c r="U1447" s="361">
        <f t="shared" si="1480"/>
        <v>5.5936774855675129</v>
      </c>
      <c r="V1447" s="362">
        <f t="shared" si="1480"/>
        <v>6.8100226548041194</v>
      </c>
      <c r="X1447" s="351"/>
    </row>
    <row r="1448" spans="3:24" ht="24.75" customHeight="1" x14ac:dyDescent="0.3">
      <c r="C1448" s="353">
        <f>ABS(E1448-Dashboard!$F$14)</f>
        <v>7.1202614131694446</v>
      </c>
      <c r="D1448" s="350">
        <f t="shared" si="1455"/>
        <v>0.21754999999999128</v>
      </c>
      <c r="E1448" s="359" cm="1">
        <f t="array" ref="E1448">1000*SUM('DRE + DCF'!$L$36/M1448,'DRE + DCF'!$N$36:$V$36/N1448:V1448,F1448/V1448)/Dashboard!$F$11</f>
        <v>89.86973858683055</v>
      </c>
      <c r="F1448" s="359">
        <f t="shared" si="1453"/>
        <v>12825733.377850033</v>
      </c>
      <c r="G1448" s="359">
        <f>'DRE + DCF'!$W$31</f>
        <v>2791623.3540418856</v>
      </c>
      <c r="H1448" s="359">
        <f>'DRE + DCF'!$W$32</f>
        <v>81081.931703745853</v>
      </c>
      <c r="I1448" s="359">
        <f>-H1448*('DRE + DCF'!$V$33+K1448)/'DRE + DCF'!$V$33</f>
        <v>-90858.801614444121</v>
      </c>
      <c r="J1448" s="359">
        <f>-'DRE + DCF'!$V$56*L1448</f>
        <v>-1188924.4255577971</v>
      </c>
      <c r="K1448" s="360">
        <f>(1+L1448)/(1+Ke!$O$12)-1</f>
        <v>2.0000000000000018E-2</v>
      </c>
      <c r="L1448" s="360">
        <f>'DRE + DCF'!$Y$31</f>
        <v>7.3550000000000004E-2</v>
      </c>
      <c r="M1448" s="361">
        <f>(1+D1448)^((5-Dashboard!$F$9)*3/12)</f>
        <v>1.1590845148256761</v>
      </c>
      <c r="N1448" s="361">
        <f t="shared" ref="N1448:V1448" si="1481">M1448*(1+$D1448)</f>
        <v>1.4112433510259919</v>
      </c>
      <c r="O1448" s="361">
        <f t="shared" si="1481"/>
        <v>1.7182593420416841</v>
      </c>
      <c r="P1448" s="361">
        <f t="shared" si="1481"/>
        <v>2.0920666619028374</v>
      </c>
      <c r="Q1448" s="361">
        <f t="shared" si="1481"/>
        <v>2.5471957641997816</v>
      </c>
      <c r="R1448" s="361">
        <f t="shared" si="1481"/>
        <v>3.1013382027014216</v>
      </c>
      <c r="S1448" s="361">
        <f t="shared" si="1481"/>
        <v>3.7760343286990885</v>
      </c>
      <c r="T1448" s="361">
        <f t="shared" si="1481"/>
        <v>4.5975105969075418</v>
      </c>
      <c r="U1448" s="361">
        <f t="shared" si="1481"/>
        <v>5.5976990272647376</v>
      </c>
      <c r="V1448" s="362">
        <f t="shared" si="1481"/>
        <v>6.8154784506461326</v>
      </c>
      <c r="X1448" s="351"/>
    </row>
    <row r="1449" spans="3:24" ht="24.75" customHeight="1" x14ac:dyDescent="0.3">
      <c r="C1449" s="353">
        <f>ABS(E1449-Dashboard!$F$14)</f>
        <v>7.1886847618706327</v>
      </c>
      <c r="D1449" s="350">
        <f t="shared" si="1455"/>
        <v>0.21764999999999127</v>
      </c>
      <c r="E1449" s="359" cm="1">
        <f t="array" ref="E1449">1000*SUM('DRE + DCF'!$L$36/M1449,'DRE + DCF'!$N$36:$V$36/N1449:V1449,F1449/V1449)/Dashboard!$F$11</f>
        <v>89.801315238129362</v>
      </c>
      <c r="F1449" s="359">
        <f t="shared" si="1453"/>
        <v>12818448.087791894</v>
      </c>
      <c r="G1449" s="359">
        <f>'DRE + DCF'!$W$31</f>
        <v>2791623.3540418856</v>
      </c>
      <c r="H1449" s="359">
        <f>'DRE + DCF'!$W$32</f>
        <v>81081.931703745853</v>
      </c>
      <c r="I1449" s="359">
        <f>-H1449*('DRE + DCF'!$V$33+K1449)/'DRE + DCF'!$V$33</f>
        <v>-90858.801614444121</v>
      </c>
      <c r="J1449" s="359">
        <f>-'DRE + DCF'!$V$56*L1449</f>
        <v>-1188924.4255577971</v>
      </c>
      <c r="K1449" s="360">
        <f>(1+L1449)/(1+Ke!$O$12)-1</f>
        <v>2.0000000000000018E-2</v>
      </c>
      <c r="L1449" s="360">
        <f>'DRE + DCF'!$Y$31</f>
        <v>7.3550000000000004E-2</v>
      </c>
      <c r="M1449" s="361">
        <f>(1+D1449)^((5-Dashboard!$F$9)*3/12)</f>
        <v>1.1591559126706601</v>
      </c>
      <c r="N1449" s="361">
        <f t="shared" ref="N1449:V1449" si="1482">M1449*(1+$D1449)</f>
        <v>1.4114461970634191</v>
      </c>
      <c r="O1449" s="361">
        <f t="shared" si="1482"/>
        <v>1.71864746185426</v>
      </c>
      <c r="P1449" s="361">
        <f t="shared" si="1482"/>
        <v>2.0927110819268244</v>
      </c>
      <c r="Q1449" s="361">
        <f t="shared" si="1482"/>
        <v>2.5481896489081794</v>
      </c>
      <c r="R1449" s="361">
        <f t="shared" si="1482"/>
        <v>3.1028031259930224</v>
      </c>
      <c r="S1449" s="361">
        <f t="shared" si="1482"/>
        <v>3.7781282263653764</v>
      </c>
      <c r="T1449" s="361">
        <f t="shared" si="1482"/>
        <v>4.6004378348337678</v>
      </c>
      <c r="U1449" s="361">
        <f t="shared" si="1482"/>
        <v>5.6017231295852969</v>
      </c>
      <c r="V1449" s="362">
        <f t="shared" si="1482"/>
        <v>6.8209381687394881</v>
      </c>
      <c r="X1449" s="351"/>
    </row>
    <row r="1450" spans="3:24" ht="24.75" customHeight="1" x14ac:dyDescent="0.3">
      <c r="C1450" s="353">
        <f>ABS(E1450-Dashboard!$F$14)</f>
        <v>7.2570177154030375</v>
      </c>
      <c r="D1450" s="350">
        <f t="shared" si="1455"/>
        <v>0.21774999999999126</v>
      </c>
      <c r="E1450" s="359" cm="1">
        <f t="array" ref="E1450">1000*SUM('DRE + DCF'!$L$36/M1450,'DRE + DCF'!$N$36:$V$36/N1450:V1450,F1450/V1450)/Dashboard!$F$11</f>
        <v>89.732982284596957</v>
      </c>
      <c r="F1450" s="359">
        <f t="shared" si="1453"/>
        <v>12811171.419569861</v>
      </c>
      <c r="G1450" s="359">
        <f>'DRE + DCF'!$W$31</f>
        <v>2791623.3540418856</v>
      </c>
      <c r="H1450" s="359">
        <f>'DRE + DCF'!$W$32</f>
        <v>81081.931703745853</v>
      </c>
      <c r="I1450" s="359">
        <f>-H1450*('DRE + DCF'!$V$33+K1450)/'DRE + DCF'!$V$33</f>
        <v>-90858.801614444121</v>
      </c>
      <c r="J1450" s="359">
        <f>-'DRE + DCF'!$V$56*L1450</f>
        <v>-1188924.4255577971</v>
      </c>
      <c r="K1450" s="360">
        <f>(1+L1450)/(1+Ke!$O$12)-1</f>
        <v>2.0000000000000018E-2</v>
      </c>
      <c r="L1450" s="360">
        <f>'DRE + DCF'!$Y$31</f>
        <v>7.3550000000000004E-2</v>
      </c>
      <c r="M1450" s="361">
        <f>(1+D1450)^((5-Dashboard!$F$9)*3/12)</f>
        <v>1.1592273090497649</v>
      </c>
      <c r="N1450" s="361">
        <f t="shared" ref="N1450:V1450" si="1483">M1450*(1+$D1450)</f>
        <v>1.4116490555953409</v>
      </c>
      <c r="O1450" s="361">
        <f t="shared" si="1483"/>
        <v>1.7190356374512141</v>
      </c>
      <c r="P1450" s="361">
        <f t="shared" si="1483"/>
        <v>2.093355647506201</v>
      </c>
      <c r="Q1450" s="361">
        <f t="shared" si="1483"/>
        <v>2.5491838397506577</v>
      </c>
      <c r="R1450" s="361">
        <f t="shared" si="1483"/>
        <v>3.1042686208563408</v>
      </c>
      <c r="S1450" s="361">
        <f t="shared" si="1483"/>
        <v>3.7802231130477817</v>
      </c>
      <c r="T1450" s="361">
        <f t="shared" si="1483"/>
        <v>4.6033666959139028</v>
      </c>
      <c r="U1450" s="361">
        <f t="shared" si="1483"/>
        <v>5.6057497939491148</v>
      </c>
      <c r="V1450" s="362">
        <f t="shared" si="1483"/>
        <v>6.8264018115814853</v>
      </c>
      <c r="X1450" s="351"/>
    </row>
    <row r="1451" spans="3:24" ht="24.75" customHeight="1" x14ac:dyDescent="0.3">
      <c r="C1451" s="353">
        <f>ABS(E1451-Dashboard!$F$14)</f>
        <v>7.3252604428589478</v>
      </c>
      <c r="D1451" s="350">
        <f t="shared" si="1455"/>
        <v>0.21784999999999125</v>
      </c>
      <c r="E1451" s="359" cm="1">
        <f t="array" ref="E1451">1000*SUM('DRE + DCF'!$L$36/M1451,'DRE + DCF'!$N$36:$V$36/N1451:V1451,F1451/V1451)/Dashboard!$F$11</f>
        <v>89.664739557141047</v>
      </c>
      <c r="F1451" s="359">
        <f t="shared" si="1453"/>
        <v>12803903.357299373</v>
      </c>
      <c r="G1451" s="359">
        <f>'DRE + DCF'!$W$31</f>
        <v>2791623.3540418856</v>
      </c>
      <c r="H1451" s="359">
        <f>'DRE + DCF'!$W$32</f>
        <v>81081.931703745853</v>
      </c>
      <c r="I1451" s="359">
        <f>-H1451*('DRE + DCF'!$V$33+K1451)/'DRE + DCF'!$V$33</f>
        <v>-90858.801614444121</v>
      </c>
      <c r="J1451" s="359">
        <f>-'DRE + DCF'!$V$56*L1451</f>
        <v>-1188924.4255577971</v>
      </c>
      <c r="K1451" s="360">
        <f>(1+L1451)/(1+Ke!$O$12)-1</f>
        <v>2.0000000000000018E-2</v>
      </c>
      <c r="L1451" s="360">
        <f>'DRE + DCF'!$Y$31</f>
        <v>7.3550000000000004E-2</v>
      </c>
      <c r="M1451" s="361">
        <f>(1+D1451)^((5-Dashboard!$F$9)*3/12)</f>
        <v>1.1592987039631408</v>
      </c>
      <c r="N1451" s="361">
        <f t="shared" ref="N1451:V1451" si="1484">M1451*(1+$D1451)</f>
        <v>1.4118519266215008</v>
      </c>
      <c r="O1451" s="361">
        <f t="shared" si="1484"/>
        <v>1.7194238688359824</v>
      </c>
      <c r="P1451" s="361">
        <f t="shared" si="1484"/>
        <v>2.0940003586618863</v>
      </c>
      <c r="Q1451" s="361">
        <f t="shared" si="1484"/>
        <v>2.55017833679636</v>
      </c>
      <c r="R1451" s="361">
        <f t="shared" si="1484"/>
        <v>3.1057346874674248</v>
      </c>
      <c r="S1451" s="361">
        <f t="shared" si="1484"/>
        <v>3.7823189891321758</v>
      </c>
      <c r="T1451" s="361">
        <f t="shared" si="1484"/>
        <v>4.606297180914587</v>
      </c>
      <c r="U1451" s="361">
        <f t="shared" si="1484"/>
        <v>5.6097790217767889</v>
      </c>
      <c r="V1451" s="362">
        <f t="shared" si="1484"/>
        <v>6.8318693816708134</v>
      </c>
      <c r="X1451" s="351"/>
    </row>
    <row r="1452" spans="3:24" ht="24.75" customHeight="1" x14ac:dyDescent="0.3">
      <c r="C1452" s="353">
        <f>ABS(E1452-Dashboard!$F$14)</f>
        <v>7.3934131129124836</v>
      </c>
      <c r="D1452" s="350">
        <f t="shared" si="1455"/>
        <v>0.21794999999999123</v>
      </c>
      <c r="E1452" s="359" cm="1">
        <f t="array" ref="E1452">1000*SUM('DRE + DCF'!$L$36/M1452,'DRE + DCF'!$N$36:$V$36/N1452:V1452,F1452/V1452)/Dashboard!$F$11</f>
        <v>89.596586887087511</v>
      </c>
      <c r="F1452" s="359">
        <f t="shared" si="1453"/>
        <v>12796643.88513612</v>
      </c>
      <c r="G1452" s="359">
        <f>'DRE + DCF'!$W$31</f>
        <v>2791623.3540418856</v>
      </c>
      <c r="H1452" s="359">
        <f>'DRE + DCF'!$W$32</f>
        <v>81081.931703745853</v>
      </c>
      <c r="I1452" s="359">
        <f>-H1452*('DRE + DCF'!$V$33+K1452)/'DRE + DCF'!$V$33</f>
        <v>-90858.801614444121</v>
      </c>
      <c r="J1452" s="359">
        <f>-'DRE + DCF'!$V$56*L1452</f>
        <v>-1188924.4255577971</v>
      </c>
      <c r="K1452" s="360">
        <f>(1+L1452)/(1+Ke!$O$12)-1</f>
        <v>2.0000000000000018E-2</v>
      </c>
      <c r="L1452" s="360">
        <f>'DRE + DCF'!$Y$31</f>
        <v>7.3550000000000004E-2</v>
      </c>
      <c r="M1452" s="361">
        <f>(1+D1452)^((5-Dashboard!$F$9)*3/12)</f>
        <v>1.1593700974109387</v>
      </c>
      <c r="N1452" s="361">
        <f t="shared" ref="N1452:V1452" si="1485">M1452*(1+$D1452)</f>
        <v>1.4120548101416426</v>
      </c>
      <c r="O1452" s="361">
        <f t="shared" si="1485"/>
        <v>1.7198121560120012</v>
      </c>
      <c r="P1452" s="361">
        <f t="shared" si="1485"/>
        <v>2.0946452154148019</v>
      </c>
      <c r="Q1452" s="361">
        <f t="shared" si="1485"/>
        <v>2.5511731401144395</v>
      </c>
      <c r="R1452" s="361">
        <f t="shared" si="1485"/>
        <v>3.1072013260023592</v>
      </c>
      <c r="S1452" s="361">
        <f t="shared" si="1485"/>
        <v>3.7844158550045459</v>
      </c>
      <c r="T1452" s="361">
        <f t="shared" si="1485"/>
        <v>4.6092292906027534</v>
      </c>
      <c r="U1452" s="361">
        <f t="shared" si="1485"/>
        <v>5.6138108144895833</v>
      </c>
      <c r="V1452" s="362">
        <f t="shared" si="1485"/>
        <v>6.8373408815075383</v>
      </c>
      <c r="X1452" s="351"/>
    </row>
    <row r="1453" spans="3:24" ht="24.75" customHeight="1" x14ac:dyDescent="0.3">
      <c r="C1453" s="353">
        <f>ABS(E1453-Dashboard!$F$14)</f>
        <v>7.4614758938210457</v>
      </c>
      <c r="D1453" s="350">
        <f t="shared" si="1455"/>
        <v>0.21804999999999122</v>
      </c>
      <c r="E1453" s="359" cm="1">
        <f t="array" ref="E1453">1000*SUM('DRE + DCF'!$L$36/M1453,'DRE + DCF'!$N$36:$V$36/N1453:V1453,F1453/V1453)/Dashboard!$F$11</f>
        <v>89.528524106178949</v>
      </c>
      <c r="F1453" s="359">
        <f t="shared" si="1453"/>
        <v>12789392.987275925</v>
      </c>
      <c r="G1453" s="359">
        <f>'DRE + DCF'!$W$31</f>
        <v>2791623.3540418856</v>
      </c>
      <c r="H1453" s="359">
        <f>'DRE + DCF'!$W$32</f>
        <v>81081.931703745853</v>
      </c>
      <c r="I1453" s="359">
        <f>-H1453*('DRE + DCF'!$V$33+K1453)/'DRE + DCF'!$V$33</f>
        <v>-90858.801614444121</v>
      </c>
      <c r="J1453" s="359">
        <f>-'DRE + DCF'!$V$56*L1453</f>
        <v>-1188924.4255577971</v>
      </c>
      <c r="K1453" s="360">
        <f>(1+L1453)/(1+Ke!$O$12)-1</f>
        <v>2.0000000000000018E-2</v>
      </c>
      <c r="L1453" s="360">
        <f>'DRE + DCF'!$Y$31</f>
        <v>7.3550000000000004E-2</v>
      </c>
      <c r="M1453" s="361">
        <f>(1+D1453)^((5-Dashboard!$F$9)*3/12)</f>
        <v>1.1594414893933085</v>
      </c>
      <c r="N1453" s="361">
        <f t="shared" ref="N1453:V1453" si="1486">M1453*(1+$D1453)</f>
        <v>1.4122577061555093</v>
      </c>
      <c r="O1453" s="361">
        <f t="shared" si="1486"/>
        <v>1.7202004989827056</v>
      </c>
      <c r="P1453" s="361">
        <f t="shared" si="1486"/>
        <v>2.0952902177858692</v>
      </c>
      <c r="Q1453" s="361">
        <f t="shared" si="1486"/>
        <v>2.5521682497740596</v>
      </c>
      <c r="R1453" s="361">
        <f t="shared" si="1486"/>
        <v>3.1086685366372708</v>
      </c>
      <c r="S1453" s="361">
        <f t="shared" si="1486"/>
        <v>3.7865137110510005</v>
      </c>
      <c r="T1453" s="361">
        <f t="shared" si="1486"/>
        <v>4.6121630257456383</v>
      </c>
      <c r="U1453" s="361">
        <f t="shared" si="1486"/>
        <v>5.6178451735094344</v>
      </c>
      <c r="V1453" s="362">
        <f t="shared" si="1486"/>
        <v>6.8428163135931168</v>
      </c>
      <c r="X1453" s="351"/>
    </row>
    <row r="1454" spans="3:24" ht="24.75" customHeight="1" x14ac:dyDescent="0.3">
      <c r="C1454" s="353">
        <f>ABS(E1454-Dashboard!$F$14)</f>
        <v>7.5294489534265097</v>
      </c>
      <c r="D1454" s="350">
        <f t="shared" si="1455"/>
        <v>0.21814999999999121</v>
      </c>
      <c r="E1454" s="359" cm="1">
        <f t="array" ref="E1454">1000*SUM('DRE + DCF'!$L$36/M1454,'DRE + DCF'!$N$36:$V$36/N1454:V1454,F1454/V1454)/Dashboard!$F$11</f>
        <v>89.460551046573485</v>
      </c>
      <c r="F1454" s="359">
        <f t="shared" si="1453"/>
        <v>12782150.647954606</v>
      </c>
      <c r="G1454" s="359">
        <f>'DRE + DCF'!$W$31</f>
        <v>2791623.3540418856</v>
      </c>
      <c r="H1454" s="359">
        <f>'DRE + DCF'!$W$32</f>
        <v>81081.931703745853</v>
      </c>
      <c r="I1454" s="359">
        <f>-H1454*('DRE + DCF'!$V$33+K1454)/'DRE + DCF'!$V$33</f>
        <v>-90858.801614444121</v>
      </c>
      <c r="J1454" s="359">
        <f>-'DRE + DCF'!$V$56*L1454</f>
        <v>-1188924.4255577971</v>
      </c>
      <c r="K1454" s="360">
        <f>(1+L1454)/(1+Ke!$O$12)-1</f>
        <v>2.0000000000000018E-2</v>
      </c>
      <c r="L1454" s="360">
        <f>'DRE + DCF'!$Y$31</f>
        <v>7.3550000000000004E-2</v>
      </c>
      <c r="M1454" s="361">
        <f>(1+D1454)^((5-Dashboard!$F$9)*3/12)</f>
        <v>1.1595128799104009</v>
      </c>
      <c r="N1454" s="361">
        <f t="shared" ref="N1454:V1454" si="1487">M1454*(1+$D1454)</f>
        <v>1.4124606146628447</v>
      </c>
      <c r="O1454" s="361">
        <f t="shared" si="1487"/>
        <v>1.7205888977515318</v>
      </c>
      <c r="P1454" s="361">
        <f t="shared" si="1487"/>
        <v>2.0959353657960134</v>
      </c>
      <c r="Q1454" s="361">
        <f t="shared" si="1487"/>
        <v>2.5531636658443952</v>
      </c>
      <c r="R1454" s="361">
        <f t="shared" si="1487"/>
        <v>3.1101363195483276</v>
      </c>
      <c r="S1454" s="361">
        <f t="shared" si="1487"/>
        <v>3.7886125576577681</v>
      </c>
      <c r="T1454" s="361">
        <f t="shared" si="1487"/>
        <v>4.6150983871107769</v>
      </c>
      <c r="U1454" s="361">
        <f t="shared" si="1487"/>
        <v>5.6218821002589525</v>
      </c>
      <c r="V1454" s="362">
        <f t="shared" si="1487"/>
        <v>6.8482956804303932</v>
      </c>
      <c r="X1454" s="351"/>
    </row>
    <row r="1455" spans="3:24" ht="24.75" customHeight="1" x14ac:dyDescent="0.3">
      <c r="C1455" s="353">
        <f>ABS(E1455-Dashboard!$F$14)</f>
        <v>7.5973324591565472</v>
      </c>
      <c r="D1455" s="350">
        <f t="shared" si="1455"/>
        <v>0.2182499999999912</v>
      </c>
      <c r="E1455" s="359" cm="1">
        <f t="array" ref="E1455">1000*SUM('DRE + DCF'!$L$36/M1455,'DRE + DCF'!$N$36:$V$36/N1455:V1455,F1455/V1455)/Dashboard!$F$11</f>
        <v>89.392667540843448</v>
      </c>
      <c r="F1455" s="359">
        <f t="shared" si="1453"/>
        <v>12774916.85144786</v>
      </c>
      <c r="G1455" s="359">
        <f>'DRE + DCF'!$W$31</f>
        <v>2791623.3540418856</v>
      </c>
      <c r="H1455" s="359">
        <f>'DRE + DCF'!$W$32</f>
        <v>81081.931703745853</v>
      </c>
      <c r="I1455" s="359">
        <f>-H1455*('DRE + DCF'!$V$33+K1455)/'DRE + DCF'!$V$33</f>
        <v>-90858.801614444121</v>
      </c>
      <c r="J1455" s="359">
        <f>-'DRE + DCF'!$V$56*L1455</f>
        <v>-1188924.4255577971</v>
      </c>
      <c r="K1455" s="360">
        <f>(1+L1455)/(1+Ke!$O$12)-1</f>
        <v>2.0000000000000018E-2</v>
      </c>
      <c r="L1455" s="360">
        <f>'DRE + DCF'!$Y$31</f>
        <v>7.3550000000000004E-2</v>
      </c>
      <c r="M1455" s="361">
        <f>(1+D1455)^((5-Dashboard!$F$9)*3/12)</f>
        <v>1.1595842689623661</v>
      </c>
      <c r="N1455" s="361">
        <f t="shared" ref="N1455:V1455" si="1488">M1455*(1+$D1455)</f>
        <v>1.4126635356633923</v>
      </c>
      <c r="O1455" s="361">
        <f t="shared" si="1488"/>
        <v>1.7209773523219152</v>
      </c>
      <c r="P1455" s="361">
        <f t="shared" si="1488"/>
        <v>2.096580659466158</v>
      </c>
      <c r="Q1455" s="361">
        <f t="shared" si="1488"/>
        <v>2.5541593883946283</v>
      </c>
      <c r="R1455" s="361">
        <f t="shared" si="1488"/>
        <v>3.1116046749117334</v>
      </c>
      <c r="S1455" s="361">
        <f t="shared" si="1488"/>
        <v>3.7907123952111919</v>
      </c>
      <c r="T1455" s="361">
        <f t="shared" si="1488"/>
        <v>4.6180353754660013</v>
      </c>
      <c r="U1455" s="361">
        <f t="shared" si="1488"/>
        <v>5.6259215961614153</v>
      </c>
      <c r="V1455" s="362">
        <f t="shared" si="1488"/>
        <v>6.8537789845235944</v>
      </c>
      <c r="X1455" s="351"/>
    </row>
    <row r="1456" spans="3:24" ht="24.75" customHeight="1" x14ac:dyDescent="0.3">
      <c r="C1456" s="353">
        <f>ABS(E1456-Dashboard!$F$14)</f>
        <v>7.6651265780259621</v>
      </c>
      <c r="D1456" s="350">
        <f t="shared" si="1455"/>
        <v>0.21834999999999119</v>
      </c>
      <c r="E1456" s="359" cm="1">
        <f t="array" ref="E1456">1000*SUM('DRE + DCF'!$L$36/M1456,'DRE + DCF'!$N$36:$V$36/N1456:V1456,F1456/V1456)/Dashboard!$F$11</f>
        <v>89.324873421974033</v>
      </c>
      <c r="F1456" s="359">
        <f t="shared" si="1453"/>
        <v>12767691.582071114</v>
      </c>
      <c r="G1456" s="359">
        <f>'DRE + DCF'!$W$31</f>
        <v>2791623.3540418856</v>
      </c>
      <c r="H1456" s="359">
        <f>'DRE + DCF'!$W$32</f>
        <v>81081.931703745853</v>
      </c>
      <c r="I1456" s="359">
        <f>-H1456*('DRE + DCF'!$V$33+K1456)/'DRE + DCF'!$V$33</f>
        <v>-90858.801614444121</v>
      </c>
      <c r="J1456" s="359">
        <f>-'DRE + DCF'!$V$56*L1456</f>
        <v>-1188924.4255577971</v>
      </c>
      <c r="K1456" s="360">
        <f>(1+L1456)/(1+Ke!$O$12)-1</f>
        <v>2.0000000000000018E-2</v>
      </c>
      <c r="L1456" s="360">
        <f>'DRE + DCF'!$Y$31</f>
        <v>7.3550000000000004E-2</v>
      </c>
      <c r="M1456" s="361">
        <f>(1+D1456)^((5-Dashboard!$F$9)*3/12)</f>
        <v>1.1596556565493545</v>
      </c>
      <c r="N1456" s="361">
        <f t="shared" ref="N1456:V1456" si="1489">M1456*(1+$D1456)</f>
        <v>1.412866469156896</v>
      </c>
      <c r="O1456" s="361">
        <f t="shared" si="1489"/>
        <v>1.7213658626972916</v>
      </c>
      <c r="P1456" s="361">
        <f t="shared" si="1489"/>
        <v>2.09722609881723</v>
      </c>
      <c r="Q1456" s="361">
        <f t="shared" si="1489"/>
        <v>2.5551554174939537</v>
      </c>
      <c r="R1456" s="361">
        <f t="shared" si="1489"/>
        <v>3.1130736029037358</v>
      </c>
      <c r="S1456" s="361">
        <f t="shared" si="1489"/>
        <v>3.7928132240977388</v>
      </c>
      <c r="T1456" s="361">
        <f t="shared" si="1489"/>
        <v>4.6209739915794463</v>
      </c>
      <c r="U1456" s="361">
        <f t="shared" si="1489"/>
        <v>5.6299636626407779</v>
      </c>
      <c r="V1456" s="362">
        <f t="shared" si="1489"/>
        <v>6.8592662283783419</v>
      </c>
      <c r="X1456" s="351"/>
    </row>
    <row r="1457" spans="3:24" ht="24.75" customHeight="1" x14ac:dyDescent="0.3">
      <c r="C1457" s="353">
        <f>ABS(E1457-Dashboard!$F$14)</f>
        <v>7.7328314766379975</v>
      </c>
      <c r="D1457" s="350">
        <f t="shared" si="1455"/>
        <v>0.21844999999999118</v>
      </c>
      <c r="E1457" s="359" cm="1">
        <f t="array" ref="E1457">1000*SUM('DRE + DCF'!$L$36/M1457,'DRE + DCF'!$N$36:$V$36/N1457:V1457,F1457/V1457)/Dashboard!$F$11</f>
        <v>89.257168523361997</v>
      </c>
      <c r="F1457" s="359">
        <f t="shared" si="1453"/>
        <v>12760474.824179411</v>
      </c>
      <c r="G1457" s="359">
        <f>'DRE + DCF'!$W$31</f>
        <v>2791623.3540418856</v>
      </c>
      <c r="H1457" s="359">
        <f>'DRE + DCF'!$W$32</f>
        <v>81081.931703745853</v>
      </c>
      <c r="I1457" s="359">
        <f>-H1457*('DRE + DCF'!$V$33+K1457)/'DRE + DCF'!$V$33</f>
        <v>-90858.801614444121</v>
      </c>
      <c r="J1457" s="359">
        <f>-'DRE + DCF'!$V$56*L1457</f>
        <v>-1188924.4255577971</v>
      </c>
      <c r="K1457" s="360">
        <f>(1+L1457)/(1+Ke!$O$12)-1</f>
        <v>2.0000000000000018E-2</v>
      </c>
      <c r="L1457" s="360">
        <f>'DRE + DCF'!$Y$31</f>
        <v>7.3550000000000004E-2</v>
      </c>
      <c r="M1457" s="361">
        <f>(1+D1457)^((5-Dashboard!$F$9)*3/12)</f>
        <v>1.1597270426715165</v>
      </c>
      <c r="N1457" s="361">
        <f t="shared" ref="N1457:V1457" si="1490">M1457*(1+$D1457)</f>
        <v>1.4130694151430989</v>
      </c>
      <c r="O1457" s="361">
        <f t="shared" si="1490"/>
        <v>1.7217544288810964</v>
      </c>
      <c r="P1457" s="361">
        <f t="shared" si="1490"/>
        <v>2.0978716838701565</v>
      </c>
      <c r="Q1457" s="361">
        <f t="shared" si="1490"/>
        <v>2.5561517532115738</v>
      </c>
      <c r="R1457" s="361">
        <f t="shared" si="1490"/>
        <v>3.1145431037006195</v>
      </c>
      <c r="S1457" s="361">
        <f t="shared" si="1490"/>
        <v>3.7949150447039921</v>
      </c>
      <c r="T1457" s="361">
        <f t="shared" si="1490"/>
        <v>4.6239142362195453</v>
      </c>
      <c r="U1457" s="361">
        <f t="shared" si="1490"/>
        <v>5.6340083011216642</v>
      </c>
      <c r="V1457" s="362">
        <f t="shared" si="1490"/>
        <v>6.8647574145016419</v>
      </c>
      <c r="X1457" s="351"/>
    </row>
    <row r="1458" spans="3:24" ht="24.75" customHeight="1" x14ac:dyDescent="0.3">
      <c r="C1458" s="353">
        <f>ABS(E1458-Dashboard!$F$14)</f>
        <v>7.8004473211855441</v>
      </c>
      <c r="D1458" s="350">
        <f t="shared" si="1455"/>
        <v>0.21854999999999117</v>
      </c>
      <c r="E1458" s="359" cm="1">
        <f t="array" ref="E1458">1000*SUM('DRE + DCF'!$L$36/M1458,'DRE + DCF'!$N$36:$V$36/N1458:V1458,F1458/V1458)/Dashboard!$F$11</f>
        <v>89.189552678814451</v>
      </c>
      <c r="F1458" s="359">
        <f t="shared" si="1453"/>
        <v>12753266.562167272</v>
      </c>
      <c r="G1458" s="359">
        <f>'DRE + DCF'!$W$31</f>
        <v>2791623.3540418856</v>
      </c>
      <c r="H1458" s="359">
        <f>'DRE + DCF'!$W$32</f>
        <v>81081.931703745853</v>
      </c>
      <c r="I1458" s="359">
        <f>-H1458*('DRE + DCF'!$V$33+K1458)/'DRE + DCF'!$V$33</f>
        <v>-90858.801614444121</v>
      </c>
      <c r="J1458" s="359">
        <f>-'DRE + DCF'!$V$56*L1458</f>
        <v>-1188924.4255577971</v>
      </c>
      <c r="K1458" s="360">
        <f>(1+L1458)/(1+Ke!$O$12)-1</f>
        <v>2.0000000000000018E-2</v>
      </c>
      <c r="L1458" s="360">
        <f>'DRE + DCF'!$Y$31</f>
        <v>7.3550000000000004E-2</v>
      </c>
      <c r="M1458" s="361">
        <f>(1+D1458)^((5-Dashboard!$F$9)*3/12)</f>
        <v>1.1597984273290023</v>
      </c>
      <c r="N1458" s="361">
        <f t="shared" ref="N1458:V1458" si="1491">M1458*(1+$D1458)</f>
        <v>1.4132723736217454</v>
      </c>
      <c r="O1458" s="361">
        <f t="shared" si="1491"/>
        <v>1.7221430508767654</v>
      </c>
      <c r="P1458" s="361">
        <f t="shared" si="1491"/>
        <v>2.0985174146458672</v>
      </c>
      <c r="Q1458" s="361">
        <f t="shared" si="1491"/>
        <v>2.5571483956167027</v>
      </c>
      <c r="R1458" s="361">
        <f t="shared" si="1491"/>
        <v>3.1160131774787105</v>
      </c>
      <c r="S1458" s="361">
        <f t="shared" si="1491"/>
        <v>3.7970178574166553</v>
      </c>
      <c r="T1458" s="361">
        <f t="shared" si="1491"/>
        <v>4.6268561101550318</v>
      </c>
      <c r="U1458" s="361">
        <f t="shared" si="1491"/>
        <v>5.6380555130293732</v>
      </c>
      <c r="V1458" s="362">
        <f t="shared" si="1491"/>
        <v>6.8702525454018932</v>
      </c>
      <c r="X1458" s="351"/>
    </row>
    <row r="1459" spans="3:24" ht="24.75" customHeight="1" x14ac:dyDescent="0.3">
      <c r="C1459" s="353">
        <f>ABS(E1459-Dashboard!$F$14)</f>
        <v>7.8679742774524613</v>
      </c>
      <c r="D1459" s="350">
        <f t="shared" si="1455"/>
        <v>0.21864999999999116</v>
      </c>
      <c r="E1459" s="359" cm="1">
        <f t="array" ref="E1459">1000*SUM('DRE + DCF'!$L$36/M1459,'DRE + DCF'!$N$36:$V$36/N1459:V1459,F1459/V1459)/Dashboard!$F$11</f>
        <v>89.122025722547534</v>
      </c>
      <c r="F1459" s="359">
        <f t="shared" si="1453"/>
        <v>12746066.780468583</v>
      </c>
      <c r="G1459" s="359">
        <f>'DRE + DCF'!$W$31</f>
        <v>2791623.3540418856</v>
      </c>
      <c r="H1459" s="359">
        <f>'DRE + DCF'!$W$32</f>
        <v>81081.931703745853</v>
      </c>
      <c r="I1459" s="359">
        <f>-H1459*('DRE + DCF'!$V$33+K1459)/'DRE + DCF'!$V$33</f>
        <v>-90858.801614444121</v>
      </c>
      <c r="J1459" s="359">
        <f>-'DRE + DCF'!$V$56*L1459</f>
        <v>-1188924.4255577971</v>
      </c>
      <c r="K1459" s="360">
        <f>(1+L1459)/(1+Ke!$O$12)-1</f>
        <v>2.0000000000000018E-2</v>
      </c>
      <c r="L1459" s="360">
        <f>'DRE + DCF'!$Y$31</f>
        <v>7.3550000000000004E-2</v>
      </c>
      <c r="M1459" s="361">
        <f>(1+D1459)^((5-Dashboard!$F$9)*3/12)</f>
        <v>1.159869810521962</v>
      </c>
      <c r="N1459" s="361">
        <f t="shared" ref="N1459:V1459" si="1492">M1459*(1+$D1459)</f>
        <v>1.4134753445925787</v>
      </c>
      <c r="O1459" s="361">
        <f t="shared" si="1492"/>
        <v>1.7225317286877335</v>
      </c>
      <c r="P1459" s="361">
        <f t="shared" si="1492"/>
        <v>2.0991632911652913</v>
      </c>
      <c r="Q1459" s="361">
        <f t="shared" si="1492"/>
        <v>2.5581453447785636</v>
      </c>
      <c r="R1459" s="361">
        <f t="shared" si="1492"/>
        <v>3.1174838244143737</v>
      </c>
      <c r="S1459" s="361">
        <f t="shared" si="1492"/>
        <v>3.7991216626225488</v>
      </c>
      <c r="T1459" s="361">
        <f t="shared" si="1492"/>
        <v>4.6297996141549351</v>
      </c>
      <c r="U1459" s="361">
        <f t="shared" si="1492"/>
        <v>5.6421052997898702</v>
      </c>
      <c r="V1459" s="362">
        <f t="shared" si="1492"/>
        <v>6.8757516235888749</v>
      </c>
      <c r="X1459" s="351"/>
    </row>
    <row r="1460" spans="3:24" ht="24.75" customHeight="1" x14ac:dyDescent="0.3">
      <c r="C1460" s="353">
        <f>ABS(E1460-Dashboard!$F$14)</f>
        <v>7.9354125108148281</v>
      </c>
      <c r="D1460" s="350">
        <f t="shared" si="1455"/>
        <v>0.21874999999999115</v>
      </c>
      <c r="E1460" s="359" cm="1">
        <f t="array" ref="E1460">1000*SUM('DRE + DCF'!$L$36/M1460,'DRE + DCF'!$N$36:$V$36/N1460:V1460,F1460/V1460)/Dashboard!$F$11</f>
        <v>89.054587489185167</v>
      </c>
      <c r="F1460" s="359">
        <f t="shared" si="1453"/>
        <v>12738875.463556448</v>
      </c>
      <c r="G1460" s="359">
        <f>'DRE + DCF'!$W$31</f>
        <v>2791623.3540418856</v>
      </c>
      <c r="H1460" s="359">
        <f>'DRE + DCF'!$W$32</f>
        <v>81081.931703745853</v>
      </c>
      <c r="I1460" s="359">
        <f>-H1460*('DRE + DCF'!$V$33+K1460)/'DRE + DCF'!$V$33</f>
        <v>-90858.801614444121</v>
      </c>
      <c r="J1460" s="359">
        <f>-'DRE + DCF'!$V$56*L1460</f>
        <v>-1188924.4255577971</v>
      </c>
      <c r="K1460" s="360">
        <f>(1+L1460)/(1+Ke!$O$12)-1</f>
        <v>2.0000000000000018E-2</v>
      </c>
      <c r="L1460" s="360">
        <f>'DRE + DCF'!$Y$31</f>
        <v>7.3550000000000004E-2</v>
      </c>
      <c r="M1460" s="361">
        <f>(1+D1460)^((5-Dashboard!$F$9)*3/12)</f>
        <v>1.159941192250546</v>
      </c>
      <c r="N1460" s="361">
        <f t="shared" ref="N1460:V1460" si="1493">M1460*(1+$D1460)</f>
        <v>1.4136783280553427</v>
      </c>
      <c r="O1460" s="361">
        <f t="shared" si="1493"/>
        <v>1.7229204623174363</v>
      </c>
      <c r="P1460" s="361">
        <f t="shared" si="1493"/>
        <v>2.0998093134493603</v>
      </c>
      <c r="Q1460" s="361">
        <f t="shared" si="1493"/>
        <v>2.5591426007663891</v>
      </c>
      <c r="R1460" s="361">
        <f t="shared" si="1493"/>
        <v>3.118955044684014</v>
      </c>
      <c r="S1460" s="361">
        <f t="shared" si="1493"/>
        <v>3.8012264607086141</v>
      </c>
      <c r="T1460" s="361">
        <f t="shared" si="1493"/>
        <v>4.63274474898859</v>
      </c>
      <c r="U1460" s="361">
        <f t="shared" si="1493"/>
        <v>5.6461576628298031</v>
      </c>
      <c r="V1460" s="362">
        <f t="shared" si="1493"/>
        <v>6.881254651573772</v>
      </c>
      <c r="X1460" s="351"/>
    </row>
    <row r="1461" spans="3:24" ht="24.75" customHeight="1" x14ac:dyDescent="0.3">
      <c r="C1461" s="353">
        <f>ABS(E1461-Dashboard!$F$14)</f>
        <v>8.0027621862423359</v>
      </c>
      <c r="D1461" s="350">
        <f t="shared" si="1455"/>
        <v>0.21884999999999113</v>
      </c>
      <c r="E1461" s="359" cm="1">
        <f t="array" ref="E1461">1000*SUM('DRE + DCF'!$L$36/M1461,'DRE + DCF'!$N$36:$V$36/N1461:V1461,F1461/V1461)/Dashboard!$F$11</f>
        <v>88.987237813757659</v>
      </c>
      <c r="F1461" s="359">
        <f t="shared" si="1453"/>
        <v>12731692.59594308</v>
      </c>
      <c r="G1461" s="359">
        <f>'DRE + DCF'!$W$31</f>
        <v>2791623.3540418856</v>
      </c>
      <c r="H1461" s="359">
        <f>'DRE + DCF'!$W$32</f>
        <v>81081.931703745853</v>
      </c>
      <c r="I1461" s="359">
        <f>-H1461*('DRE + DCF'!$V$33+K1461)/'DRE + DCF'!$V$33</f>
        <v>-90858.801614444121</v>
      </c>
      <c r="J1461" s="359">
        <f>-'DRE + DCF'!$V$56*L1461</f>
        <v>-1188924.4255577971</v>
      </c>
      <c r="K1461" s="360">
        <f>(1+L1461)/(1+Ke!$O$12)-1</f>
        <v>2.0000000000000018E-2</v>
      </c>
      <c r="L1461" s="360">
        <f>'DRE + DCF'!$Y$31</f>
        <v>7.3550000000000004E-2</v>
      </c>
      <c r="M1461" s="361">
        <f>(1+D1461)^((5-Dashboard!$F$9)*3/12)</f>
        <v>1.1600125725149044</v>
      </c>
      <c r="N1461" s="361">
        <f t="shared" ref="N1461:V1461" si="1494">M1461*(1+$D1461)</f>
        <v>1.4138813240097809</v>
      </c>
      <c r="O1461" s="361">
        <f t="shared" si="1494"/>
        <v>1.7233092517693089</v>
      </c>
      <c r="P1461" s="361">
        <f t="shared" si="1494"/>
        <v>2.1004554815190071</v>
      </c>
      <c r="Q1461" s="361">
        <f t="shared" si="1494"/>
        <v>2.560140163649423</v>
      </c>
      <c r="R1461" s="361">
        <f t="shared" si="1494"/>
        <v>3.1204268384640765</v>
      </c>
      <c r="S1461" s="361">
        <f t="shared" si="1494"/>
        <v>3.8033322520619119</v>
      </c>
      <c r="T1461" s="361">
        <f t="shared" si="1494"/>
        <v>4.635691515425628</v>
      </c>
      <c r="U1461" s="361">
        <f t="shared" si="1494"/>
        <v>5.6502126035764855</v>
      </c>
      <c r="V1461" s="362">
        <f t="shared" si="1494"/>
        <v>6.8867616318691489</v>
      </c>
      <c r="X1461" s="351"/>
    </row>
    <row r="1462" spans="3:24" ht="24.75" customHeight="1" x14ac:dyDescent="0.3">
      <c r="C1462" s="353">
        <f>ABS(E1462-Dashboard!$F$14)</f>
        <v>8.0700234682993539</v>
      </c>
      <c r="D1462" s="350">
        <f t="shared" si="1455"/>
        <v>0.21894999999999112</v>
      </c>
      <c r="E1462" s="359" cm="1">
        <f t="array" ref="E1462">1000*SUM('DRE + DCF'!$L$36/M1462,'DRE + DCF'!$N$36:$V$36/N1462:V1462,F1462/V1462)/Dashboard!$F$11</f>
        <v>88.919976531700641</v>
      </c>
      <c r="F1462" s="359">
        <f t="shared" si="1453"/>
        <v>12724518.162179662</v>
      </c>
      <c r="G1462" s="359">
        <f>'DRE + DCF'!$W$31</f>
        <v>2791623.3540418856</v>
      </c>
      <c r="H1462" s="359">
        <f>'DRE + DCF'!$W$32</f>
        <v>81081.931703745853</v>
      </c>
      <c r="I1462" s="359">
        <f>-H1462*('DRE + DCF'!$V$33+K1462)/'DRE + DCF'!$V$33</f>
        <v>-90858.801614444121</v>
      </c>
      <c r="J1462" s="359">
        <f>-'DRE + DCF'!$V$56*L1462</f>
        <v>-1188924.4255577971</v>
      </c>
      <c r="K1462" s="360">
        <f>(1+L1462)/(1+Ke!$O$12)-1</f>
        <v>2.0000000000000018E-2</v>
      </c>
      <c r="L1462" s="360">
        <f>'DRE + DCF'!$Y$31</f>
        <v>7.3550000000000004E-2</v>
      </c>
      <c r="M1462" s="361">
        <f>(1+D1462)^((5-Dashboard!$F$9)*3/12)</f>
        <v>1.1600839513151875</v>
      </c>
      <c r="N1462" s="361">
        <f t="shared" ref="N1462:V1462" si="1495">M1462*(1+$D1462)</f>
        <v>1.4140843324556374</v>
      </c>
      <c r="O1462" s="361">
        <f t="shared" si="1495"/>
        <v>1.7236980970467866</v>
      </c>
      <c r="P1462" s="361">
        <f t="shared" si="1495"/>
        <v>2.1011017953951652</v>
      </c>
      <c r="Q1462" s="361">
        <f t="shared" si="1495"/>
        <v>2.5611380334969178</v>
      </c>
      <c r="R1462" s="361">
        <f t="shared" si="1495"/>
        <v>3.1218992059310451</v>
      </c>
      <c r="S1462" s="361">
        <f t="shared" si="1495"/>
        <v>3.8054390370696196</v>
      </c>
      <c r="T1462" s="361">
        <f t="shared" si="1495"/>
        <v>4.6386399142359789</v>
      </c>
      <c r="U1462" s="361">
        <f t="shared" si="1495"/>
        <v>5.6542701234579056</v>
      </c>
      <c r="V1462" s="362">
        <f t="shared" si="1495"/>
        <v>6.8922725669889635</v>
      </c>
      <c r="X1462" s="351"/>
    </row>
    <row r="1463" spans="3:24" ht="24.75" customHeight="1" x14ac:dyDescent="0.3">
      <c r="C1463" s="353">
        <f>ABS(E1463-Dashboard!$F$14)</f>
        <v>8.1371965211463504</v>
      </c>
      <c r="D1463" s="350">
        <f t="shared" si="1455"/>
        <v>0.21904999999999111</v>
      </c>
      <c r="E1463" s="359" cm="1">
        <f t="array" ref="E1463">1000*SUM('DRE + DCF'!$L$36/M1463,'DRE + DCF'!$N$36:$V$36/N1463:V1463,F1463/V1463)/Dashboard!$F$11</f>
        <v>88.852803478853644</v>
      </c>
      <c r="F1463" s="359">
        <f t="shared" si="1453"/>
        <v>12717352.146856232</v>
      </c>
      <c r="G1463" s="359">
        <f>'DRE + DCF'!$W$31</f>
        <v>2791623.3540418856</v>
      </c>
      <c r="H1463" s="359">
        <f>'DRE + DCF'!$W$32</f>
        <v>81081.931703745853</v>
      </c>
      <c r="I1463" s="359">
        <f>-H1463*('DRE + DCF'!$V$33+K1463)/'DRE + DCF'!$V$33</f>
        <v>-90858.801614444121</v>
      </c>
      <c r="J1463" s="359">
        <f>-'DRE + DCF'!$V$56*L1463</f>
        <v>-1188924.4255577971</v>
      </c>
      <c r="K1463" s="360">
        <f>(1+L1463)/(1+Ke!$O$12)-1</f>
        <v>2.0000000000000018E-2</v>
      </c>
      <c r="L1463" s="360">
        <f>'DRE + DCF'!$Y$31</f>
        <v>7.3550000000000004E-2</v>
      </c>
      <c r="M1463" s="361">
        <f>(1+D1463)^((5-Dashboard!$F$9)*3/12)</f>
        <v>1.1601553286515451</v>
      </c>
      <c r="N1463" s="361">
        <f t="shared" ref="N1463:V1463" si="1496">M1463*(1+$D1463)</f>
        <v>1.4142873533926557</v>
      </c>
      <c r="O1463" s="361">
        <f t="shared" si="1496"/>
        <v>1.7240869981533042</v>
      </c>
      <c r="P1463" s="361">
        <f t="shared" si="1496"/>
        <v>2.1017482550987703</v>
      </c>
      <c r="Q1463" s="361">
        <f t="shared" si="1496"/>
        <v>2.5621362103781373</v>
      </c>
      <c r="R1463" s="361">
        <f t="shared" si="1496"/>
        <v>3.1233721472614455</v>
      </c>
      <c r="S1463" s="361">
        <f t="shared" si="1496"/>
        <v>3.8075468161190371</v>
      </c>
      <c r="T1463" s="361">
        <f t="shared" si="1496"/>
        <v>4.6415899461898782</v>
      </c>
      <c r="U1463" s="361">
        <f t="shared" si="1496"/>
        <v>5.6583302239027295</v>
      </c>
      <c r="V1463" s="362">
        <f t="shared" si="1496"/>
        <v>6.8977874594485717</v>
      </c>
      <c r="X1463" s="351"/>
    </row>
    <row r="1464" spans="3:24" ht="24.75" customHeight="1" x14ac:dyDescent="0.3">
      <c r="C1464" s="353">
        <f>ABS(E1464-Dashboard!$F$14)</f>
        <v>8.2042815085411149</v>
      </c>
      <c r="D1464" s="350">
        <f t="shared" si="1455"/>
        <v>0.2191499999999911</v>
      </c>
      <c r="E1464" s="359" cm="1">
        <f t="array" ref="E1464">1000*SUM('DRE + DCF'!$L$36/M1464,'DRE + DCF'!$N$36:$V$36/N1464:V1464,F1464/V1464)/Dashboard!$F$11</f>
        <v>88.78571849145888</v>
      </c>
      <c r="F1464" s="359">
        <f t="shared" si="1453"/>
        <v>12710194.534601547</v>
      </c>
      <c r="G1464" s="359">
        <f>'DRE + DCF'!$W$31</f>
        <v>2791623.3540418856</v>
      </c>
      <c r="H1464" s="359">
        <f>'DRE + DCF'!$W$32</f>
        <v>81081.931703745853</v>
      </c>
      <c r="I1464" s="359">
        <f>-H1464*('DRE + DCF'!$V$33+K1464)/'DRE + DCF'!$V$33</f>
        <v>-90858.801614444121</v>
      </c>
      <c r="J1464" s="359">
        <f>-'DRE + DCF'!$V$56*L1464</f>
        <v>-1188924.4255577971</v>
      </c>
      <c r="K1464" s="360">
        <f>(1+L1464)/(1+Ke!$O$12)-1</f>
        <v>2.0000000000000018E-2</v>
      </c>
      <c r="L1464" s="360">
        <f>'DRE + DCF'!$Y$31</f>
        <v>7.3550000000000004E-2</v>
      </c>
      <c r="M1464" s="361">
        <f>(1+D1464)^((5-Dashboard!$F$9)*3/12)</f>
        <v>1.1602267045241279</v>
      </c>
      <c r="N1464" s="361">
        <f t="shared" ref="N1464:V1464" si="1497">M1464*(1+$D1464)</f>
        <v>1.4144903868205803</v>
      </c>
      <c r="O1464" s="361">
        <f t="shared" si="1497"/>
        <v>1.7244759550922979</v>
      </c>
      <c r="P1464" s="361">
        <f t="shared" si="1497"/>
        <v>2.1023948606507594</v>
      </c>
      <c r="Q1464" s="361">
        <f t="shared" si="1497"/>
        <v>2.5631346943623545</v>
      </c>
      <c r="R1464" s="361">
        <f t="shared" si="1497"/>
        <v>3.1248456626318415</v>
      </c>
      <c r="S1464" s="361">
        <f t="shared" si="1497"/>
        <v>3.8096555895975817</v>
      </c>
      <c r="T1464" s="361">
        <f t="shared" si="1497"/>
        <v>4.644541612057858</v>
      </c>
      <c r="U1464" s="361">
        <f t="shared" si="1497"/>
        <v>5.6623929063402958</v>
      </c>
      <c r="V1464" s="362">
        <f t="shared" si="1497"/>
        <v>6.9033063117647213</v>
      </c>
      <c r="X1464" s="351"/>
    </row>
    <row r="1465" spans="3:24" ht="24.75" customHeight="1" x14ac:dyDescent="0.3">
      <c r="C1465" s="353">
        <f>ABS(E1465-Dashboard!$F$14)</f>
        <v>8.2712785938399094</v>
      </c>
      <c r="D1465" s="350">
        <f t="shared" si="1455"/>
        <v>0.21924999999999109</v>
      </c>
      <c r="E1465" s="359" cm="1">
        <f t="array" ref="E1465">1000*SUM('DRE + DCF'!$L$36/M1465,'DRE + DCF'!$N$36:$V$36/N1465:V1465,F1465/V1465)/Dashboard!$F$11</f>
        <v>88.718721406160086</v>
      </c>
      <c r="F1465" s="359">
        <f t="shared" si="1453"/>
        <v>12703045.310082966</v>
      </c>
      <c r="G1465" s="359">
        <f>'DRE + DCF'!$W$31</f>
        <v>2791623.3540418856</v>
      </c>
      <c r="H1465" s="359">
        <f>'DRE + DCF'!$W$32</f>
        <v>81081.931703745853</v>
      </c>
      <c r="I1465" s="359">
        <f>-H1465*('DRE + DCF'!$V$33+K1465)/'DRE + DCF'!$V$33</f>
        <v>-90858.801614444121</v>
      </c>
      <c r="J1465" s="359">
        <f>-'DRE + DCF'!$V$56*L1465</f>
        <v>-1188924.4255577971</v>
      </c>
      <c r="K1465" s="360">
        <f>(1+L1465)/(1+Ke!$O$12)-1</f>
        <v>2.0000000000000018E-2</v>
      </c>
      <c r="L1465" s="360">
        <f>'DRE + DCF'!$Y$31</f>
        <v>7.3550000000000004E-2</v>
      </c>
      <c r="M1465" s="361">
        <f>(1+D1465)^((5-Dashboard!$F$9)*3/12)</f>
        <v>1.1602980789330852</v>
      </c>
      <c r="N1465" s="361">
        <f t="shared" ref="N1465:V1465" si="1498">M1465*(1+$D1465)</f>
        <v>1.4146934327391538</v>
      </c>
      <c r="O1465" s="361">
        <f t="shared" si="1498"/>
        <v>1.7248649678672006</v>
      </c>
      <c r="P1465" s="361">
        <f t="shared" si="1498"/>
        <v>2.1030416120720687</v>
      </c>
      <c r="Q1465" s="361">
        <f t="shared" si="1498"/>
        <v>2.5641334855188509</v>
      </c>
      <c r="R1465" s="361">
        <f t="shared" si="1498"/>
        <v>3.1263197522188362</v>
      </c>
      <c r="S1465" s="361">
        <f t="shared" si="1498"/>
        <v>3.8117653578927881</v>
      </c>
      <c r="T1465" s="361">
        <f t="shared" si="1498"/>
        <v>4.6474949126107479</v>
      </c>
      <c r="U1465" s="361">
        <f t="shared" si="1498"/>
        <v>5.6664581722006124</v>
      </c>
      <c r="V1465" s="362">
        <f t="shared" si="1498"/>
        <v>6.9088291264555464</v>
      </c>
      <c r="X1465" s="351"/>
    </row>
    <row r="1466" spans="3:24" ht="24.75" customHeight="1" x14ac:dyDescent="0.3">
      <c r="C1466" s="353">
        <f>ABS(E1466-Dashboard!$F$14)</f>
        <v>8.3381879399989032</v>
      </c>
      <c r="D1466" s="350">
        <f t="shared" si="1455"/>
        <v>0.21934999999999108</v>
      </c>
      <c r="E1466" s="359" cm="1">
        <f t="array" ref="E1466">1000*SUM('DRE + DCF'!$L$36/M1466,'DRE + DCF'!$N$36:$V$36/N1466:V1466,F1466/V1466)/Dashboard!$F$11</f>
        <v>88.651812060001092</v>
      </c>
      <c r="F1466" s="359">
        <f t="shared" si="1453"/>
        <v>12695904.45800633</v>
      </c>
      <c r="G1466" s="359">
        <f>'DRE + DCF'!$W$31</f>
        <v>2791623.3540418856</v>
      </c>
      <c r="H1466" s="359">
        <f>'DRE + DCF'!$W$32</f>
        <v>81081.931703745853</v>
      </c>
      <c r="I1466" s="359">
        <f>-H1466*('DRE + DCF'!$V$33+K1466)/'DRE + DCF'!$V$33</f>
        <v>-90858.801614444121</v>
      </c>
      <c r="J1466" s="359">
        <f>-'DRE + DCF'!$V$56*L1466</f>
        <v>-1188924.4255577971</v>
      </c>
      <c r="K1466" s="360">
        <f>(1+L1466)/(1+Ke!$O$12)-1</f>
        <v>2.0000000000000018E-2</v>
      </c>
      <c r="L1466" s="360">
        <f>'DRE + DCF'!$Y$31</f>
        <v>7.3550000000000004E-2</v>
      </c>
      <c r="M1466" s="361">
        <f>(1+D1466)^((5-Dashboard!$F$9)*3/12)</f>
        <v>1.1603694518785677</v>
      </c>
      <c r="N1466" s="361">
        <f t="shared" ref="N1466:V1466" si="1499">M1466*(1+$D1466)</f>
        <v>1.414896491148121</v>
      </c>
      <c r="O1466" s="361">
        <f t="shared" si="1499"/>
        <v>1.7252540364814486</v>
      </c>
      <c r="P1466" s="361">
        <f t="shared" si="1499"/>
        <v>2.1036885093836388</v>
      </c>
      <c r="Q1466" s="361">
        <f t="shared" si="1499"/>
        <v>2.5651325839169212</v>
      </c>
      <c r="R1466" s="361">
        <f t="shared" si="1499"/>
        <v>3.1277944161990749</v>
      </c>
      <c r="S1466" s="361">
        <f t="shared" si="1499"/>
        <v>3.813876121392314</v>
      </c>
      <c r="T1466" s="361">
        <f t="shared" si="1499"/>
        <v>4.6504498486196839</v>
      </c>
      <c r="U1466" s="361">
        <f t="shared" si="1499"/>
        <v>5.6705260229143697</v>
      </c>
      <c r="V1466" s="362">
        <f t="shared" si="1499"/>
        <v>6.9143559060405861</v>
      </c>
      <c r="X1466" s="351"/>
    </row>
    <row r="1467" spans="3:24" ht="24.75" customHeight="1" x14ac:dyDescent="0.3">
      <c r="C1467" s="353">
        <f>ABS(E1467-Dashboard!$F$14)</f>
        <v>8.4050097095752534</v>
      </c>
      <c r="D1467" s="350">
        <f t="shared" si="1455"/>
        <v>0.21944999999999107</v>
      </c>
      <c r="E1467" s="359" cm="1">
        <f t="array" ref="E1467">1000*SUM('DRE + DCF'!$L$36/M1467,'DRE + DCF'!$N$36:$V$36/N1467:V1467,F1467/V1467)/Dashboard!$F$11</f>
        <v>88.584990290424741</v>
      </c>
      <c r="F1467" s="359">
        <f t="shared" si="1453"/>
        <v>12688771.963115823</v>
      </c>
      <c r="G1467" s="359">
        <f>'DRE + DCF'!$W$31</f>
        <v>2791623.3540418856</v>
      </c>
      <c r="H1467" s="359">
        <f>'DRE + DCF'!$W$32</f>
        <v>81081.931703745853</v>
      </c>
      <c r="I1467" s="359">
        <f>-H1467*('DRE + DCF'!$V$33+K1467)/'DRE + DCF'!$V$33</f>
        <v>-90858.801614444121</v>
      </c>
      <c r="J1467" s="359">
        <f>-'DRE + DCF'!$V$56*L1467</f>
        <v>-1188924.4255577971</v>
      </c>
      <c r="K1467" s="360">
        <f>(1+L1467)/(1+Ke!$O$12)-1</f>
        <v>2.0000000000000018E-2</v>
      </c>
      <c r="L1467" s="360">
        <f>'DRE + DCF'!$Y$31</f>
        <v>7.3550000000000004E-2</v>
      </c>
      <c r="M1467" s="361">
        <f>(1+D1467)^((5-Dashboard!$F$9)*3/12)</f>
        <v>1.1604408233607253</v>
      </c>
      <c r="N1467" s="361">
        <f t="shared" ref="N1467:V1467" si="1500">M1467*(1+$D1467)</f>
        <v>1.415099562047226</v>
      </c>
      <c r="O1467" s="361">
        <f t="shared" si="1500"/>
        <v>1.725643160938477</v>
      </c>
      <c r="P1467" s="361">
        <f t="shared" si="1500"/>
        <v>2.1043355526064103</v>
      </c>
      <c r="Q1467" s="361">
        <f t="shared" si="1500"/>
        <v>2.5661319896258683</v>
      </c>
      <c r="R1467" s="361">
        <f t="shared" si="1500"/>
        <v>3.1292696547492422</v>
      </c>
      <c r="S1467" s="361">
        <f t="shared" si="1500"/>
        <v>3.8159878804839353</v>
      </c>
      <c r="T1467" s="361">
        <f t="shared" si="1500"/>
        <v>4.6534064208561006</v>
      </c>
      <c r="U1467" s="361">
        <f t="shared" si="1500"/>
        <v>5.6745964599129302</v>
      </c>
      <c r="V1467" s="362">
        <f t="shared" si="1500"/>
        <v>6.9198866530407717</v>
      </c>
      <c r="X1467" s="351"/>
    </row>
    <row r="1468" spans="3:24" ht="24.75" customHeight="1" x14ac:dyDescent="0.3">
      <c r="C1468" s="353">
        <f>ABS(E1468-Dashboard!$F$14)</f>
        <v>8.4717440647283553</v>
      </c>
      <c r="D1468" s="350">
        <f t="shared" si="1455"/>
        <v>0.21954999999999106</v>
      </c>
      <c r="E1468" s="359" cm="1">
        <f t="array" ref="E1468">1000*SUM('DRE + DCF'!$L$36/M1468,'DRE + DCF'!$N$36:$V$36/N1468:V1468,F1468/V1468)/Dashboard!$F$11</f>
        <v>88.51825593527164</v>
      </c>
      <c r="F1468" s="359">
        <f t="shared" si="1453"/>
        <v>12681647.810193863</v>
      </c>
      <c r="G1468" s="359">
        <f>'DRE + DCF'!$W$31</f>
        <v>2791623.3540418856</v>
      </c>
      <c r="H1468" s="359">
        <f>'DRE + DCF'!$W$32</f>
        <v>81081.931703745853</v>
      </c>
      <c r="I1468" s="359">
        <f>-H1468*('DRE + DCF'!$V$33+K1468)/'DRE + DCF'!$V$33</f>
        <v>-90858.801614444121</v>
      </c>
      <c r="J1468" s="359">
        <f>-'DRE + DCF'!$V$56*L1468</f>
        <v>-1188924.4255577971</v>
      </c>
      <c r="K1468" s="360">
        <f>(1+L1468)/(1+Ke!$O$12)-1</f>
        <v>2.0000000000000018E-2</v>
      </c>
      <c r="L1468" s="360">
        <f>'DRE + DCF'!$Y$31</f>
        <v>7.3550000000000004E-2</v>
      </c>
      <c r="M1468" s="361">
        <f>(1+D1468)^((5-Dashboard!$F$9)*3/12)</f>
        <v>1.1605121933797076</v>
      </c>
      <c r="N1468" s="361">
        <f t="shared" ref="N1468:V1468" si="1501">M1468*(1+$D1468)</f>
        <v>1.4153026454362119</v>
      </c>
      <c r="O1468" s="361">
        <f t="shared" si="1501"/>
        <v>1.7260323412417196</v>
      </c>
      <c r="P1468" s="361">
        <f t="shared" si="1501"/>
        <v>2.1049827417613236</v>
      </c>
      <c r="Q1468" s="361">
        <f t="shared" si="1501"/>
        <v>2.5671317027150033</v>
      </c>
      <c r="R1468" s="361">
        <f t="shared" si="1501"/>
        <v>3.1307454680460594</v>
      </c>
      <c r="S1468" s="361">
        <f t="shared" si="1501"/>
        <v>3.8181006355555436</v>
      </c>
      <c r="T1468" s="361">
        <f t="shared" si="1501"/>
        <v>4.656364630091729</v>
      </c>
      <c r="U1468" s="361">
        <f t="shared" si="1501"/>
        <v>5.6786694846283261</v>
      </c>
      <c r="V1468" s="362">
        <f t="shared" si="1501"/>
        <v>6.9254213699784239</v>
      </c>
      <c r="X1468" s="351"/>
    </row>
    <row r="1469" spans="3:24" ht="24.75" customHeight="1" x14ac:dyDescent="0.3">
      <c r="C1469" s="353">
        <f>ABS(E1469-Dashboard!$F$14)</f>
        <v>8.5383911672212207</v>
      </c>
      <c r="D1469" s="350">
        <f t="shared" si="1455"/>
        <v>0.21964999999999105</v>
      </c>
      <c r="E1469" s="359" cm="1">
        <f t="array" ref="E1469">1000*SUM('DRE + DCF'!$L$36/M1469,'DRE + DCF'!$N$36:$V$36/N1469:V1469,F1469/V1469)/Dashboard!$F$11</f>
        <v>88.451608832778774</v>
      </c>
      <c r="F1469" s="359">
        <f t="shared" si="1453"/>
        <v>12674531.984060973</v>
      </c>
      <c r="G1469" s="359">
        <f>'DRE + DCF'!$W$31</f>
        <v>2791623.3540418856</v>
      </c>
      <c r="H1469" s="359">
        <f>'DRE + DCF'!$W$32</f>
        <v>81081.931703745853</v>
      </c>
      <c r="I1469" s="359">
        <f>-H1469*('DRE + DCF'!$V$33+K1469)/'DRE + DCF'!$V$33</f>
        <v>-90858.801614444121</v>
      </c>
      <c r="J1469" s="359">
        <f>-'DRE + DCF'!$V$56*L1469</f>
        <v>-1188924.4255577971</v>
      </c>
      <c r="K1469" s="360">
        <f>(1+L1469)/(1+Ke!$O$12)-1</f>
        <v>2.0000000000000018E-2</v>
      </c>
      <c r="L1469" s="360">
        <f>'DRE + DCF'!$Y$31</f>
        <v>7.3550000000000004E-2</v>
      </c>
      <c r="M1469" s="361">
        <f>(1+D1469)^((5-Dashboard!$F$9)*3/12)</f>
        <v>1.160583561935665</v>
      </c>
      <c r="N1469" s="361">
        <f t="shared" ref="N1469:V1469" si="1502">M1469*(1+$D1469)</f>
        <v>1.4155057413148235</v>
      </c>
      <c r="O1469" s="361">
        <f t="shared" si="1502"/>
        <v>1.7264215773946119</v>
      </c>
      <c r="P1469" s="361">
        <f t="shared" si="1502"/>
        <v>2.105630076869323</v>
      </c>
      <c r="Q1469" s="361">
        <f t="shared" si="1502"/>
        <v>2.5681317232536509</v>
      </c>
      <c r="R1469" s="361">
        <f t="shared" si="1502"/>
        <v>3.1322218562662925</v>
      </c>
      <c r="S1469" s="361">
        <f t="shared" si="1502"/>
        <v>3.8202143869951555</v>
      </c>
      <c r="T1469" s="361">
        <f t="shared" si="1502"/>
        <v>4.6593244770986066</v>
      </c>
      <c r="U1469" s="361">
        <f t="shared" si="1502"/>
        <v>5.6827450984932737</v>
      </c>
      <c r="V1469" s="362">
        <f t="shared" si="1502"/>
        <v>6.93096005937727</v>
      </c>
      <c r="X1469" s="351"/>
    </row>
    <row r="1470" spans="3:24" ht="24.75" customHeight="1" x14ac:dyDescent="0.3">
      <c r="C1470" s="353">
        <f>ABS(E1470-Dashboard!$F$14)</f>
        <v>8.6049511784214872</v>
      </c>
      <c r="D1470" s="350">
        <f t="shared" si="1455"/>
        <v>0.21974999999999104</v>
      </c>
      <c r="E1470" s="359" cm="1">
        <f t="array" ref="E1470">1000*SUM('DRE + DCF'!$L$36/M1470,'DRE + DCF'!$N$36:$V$36/N1470:V1470,F1470/V1470)/Dashboard!$F$11</f>
        <v>88.385048821578508</v>
      </c>
      <c r="F1470" s="359">
        <f t="shared" si="1453"/>
        <v>12667424.46957566</v>
      </c>
      <c r="G1470" s="359">
        <f>'DRE + DCF'!$W$31</f>
        <v>2791623.3540418856</v>
      </c>
      <c r="H1470" s="359">
        <f>'DRE + DCF'!$W$32</f>
        <v>81081.931703745853</v>
      </c>
      <c r="I1470" s="359">
        <f>-H1470*('DRE + DCF'!$V$33+K1470)/'DRE + DCF'!$V$33</f>
        <v>-90858.801614444121</v>
      </c>
      <c r="J1470" s="359">
        <f>-'DRE + DCF'!$V$56*L1470</f>
        <v>-1188924.4255577971</v>
      </c>
      <c r="K1470" s="360">
        <f>(1+L1470)/(1+Ke!$O$12)-1</f>
        <v>2.0000000000000018E-2</v>
      </c>
      <c r="L1470" s="360">
        <f>'DRE + DCF'!$Y$31</f>
        <v>7.3550000000000004E-2</v>
      </c>
      <c r="M1470" s="361">
        <f>(1+D1470)^((5-Dashboard!$F$9)*3/12)</f>
        <v>1.1606549290287473</v>
      </c>
      <c r="N1470" s="361">
        <f t="shared" ref="N1470:V1470" si="1503">M1470*(1+$D1470)</f>
        <v>1.4157088496828041</v>
      </c>
      <c r="O1470" s="361">
        <f t="shared" si="1503"/>
        <v>1.7268108694005875</v>
      </c>
      <c r="P1470" s="361">
        <f t="shared" si="1503"/>
        <v>2.1062775579513509</v>
      </c>
      <c r="Q1470" s="361">
        <f t="shared" si="1503"/>
        <v>2.5691320513111413</v>
      </c>
      <c r="R1470" s="361">
        <f t="shared" si="1503"/>
        <v>3.1336988195867415</v>
      </c>
      <c r="S1470" s="361">
        <f t="shared" si="1503"/>
        <v>3.8223291351908997</v>
      </c>
      <c r="T1470" s="361">
        <f t="shared" si="1503"/>
        <v>4.6622859626490651</v>
      </c>
      <c r="U1470" s="361">
        <f t="shared" si="1503"/>
        <v>5.6868233029411552</v>
      </c>
      <c r="V1470" s="362">
        <f t="shared" si="1503"/>
        <v>6.9365027237624233</v>
      </c>
      <c r="X1470" s="351"/>
    </row>
    <row r="1471" spans="3:24" ht="24.75" customHeight="1" x14ac:dyDescent="0.3">
      <c r="C1471" s="353">
        <f>ABS(E1471-Dashboard!$F$14)</f>
        <v>8.6714242593029098</v>
      </c>
      <c r="D1471" s="350">
        <f t="shared" si="1455"/>
        <v>0.21984999999999102</v>
      </c>
      <c r="E1471" s="359" cm="1">
        <f t="array" ref="E1471">1000*SUM('DRE + DCF'!$L$36/M1471,'DRE + DCF'!$N$36:$V$36/N1471:V1471,F1471/V1471)/Dashboard!$F$11</f>
        <v>88.318575740697085</v>
      </c>
      <c r="F1471" s="359">
        <f t="shared" si="1453"/>
        <v>12660325.251634292</v>
      </c>
      <c r="G1471" s="359">
        <f>'DRE + DCF'!$W$31</f>
        <v>2791623.3540418856</v>
      </c>
      <c r="H1471" s="359">
        <f>'DRE + DCF'!$W$32</f>
        <v>81081.931703745853</v>
      </c>
      <c r="I1471" s="359">
        <f>-H1471*('DRE + DCF'!$V$33+K1471)/'DRE + DCF'!$V$33</f>
        <v>-90858.801614444121</v>
      </c>
      <c r="J1471" s="359">
        <f>-'DRE + DCF'!$V$56*L1471</f>
        <v>-1188924.4255577971</v>
      </c>
      <c r="K1471" s="360">
        <f>(1+L1471)/(1+Ke!$O$12)-1</f>
        <v>2.0000000000000018E-2</v>
      </c>
      <c r="L1471" s="360">
        <f>'DRE + DCF'!$Y$31</f>
        <v>7.3550000000000004E-2</v>
      </c>
      <c r="M1471" s="361">
        <f>(1+D1471)^((5-Dashboard!$F$9)*3/12)</f>
        <v>1.1607262946591046</v>
      </c>
      <c r="N1471" s="361">
        <f t="shared" ref="N1471:V1471" si="1504">M1471*(1+$D1471)</f>
        <v>1.4159119705398984</v>
      </c>
      <c r="O1471" s="361">
        <f t="shared" si="1504"/>
        <v>1.7272002172630823</v>
      </c>
      <c r="P1471" s="361">
        <f t="shared" si="1504"/>
        <v>2.1069251850283552</v>
      </c>
      <c r="Q1471" s="361">
        <f t="shared" si="1504"/>
        <v>2.57013268695682</v>
      </c>
      <c r="R1471" s="361">
        <f t="shared" si="1504"/>
        <v>3.1351763581842538</v>
      </c>
      <c r="S1471" s="361">
        <f t="shared" si="1504"/>
        <v>3.8244448805310336</v>
      </c>
      <c r="T1471" s="361">
        <f t="shared" si="1504"/>
        <v>4.6652490875157469</v>
      </c>
      <c r="U1471" s="361">
        <f t="shared" si="1504"/>
        <v>5.6909040994060414</v>
      </c>
      <c r="V1471" s="362">
        <f t="shared" si="1504"/>
        <v>6.9420493656604085</v>
      </c>
      <c r="X1471" s="351"/>
    </row>
    <row r="1472" spans="3:24" ht="24.75" customHeight="1" x14ac:dyDescent="0.3">
      <c r="C1472" s="353">
        <f>ABS(E1472-Dashboard!$F$14)</f>
        <v>8.7378105704463138</v>
      </c>
      <c r="D1472" s="350">
        <f t="shared" si="1455"/>
        <v>0.21994999999999101</v>
      </c>
      <c r="E1472" s="359" cm="1">
        <f t="array" ref="E1472">1000*SUM('DRE + DCF'!$L$36/M1472,'DRE + DCF'!$N$36:$V$36/N1472:V1472,F1472/V1472)/Dashboard!$F$11</f>
        <v>88.252189429553681</v>
      </c>
      <c r="F1472" s="359">
        <f t="shared" si="1453"/>
        <v>12653234.315170981</v>
      </c>
      <c r="G1472" s="359">
        <f>'DRE + DCF'!$W$31</f>
        <v>2791623.3540418856</v>
      </c>
      <c r="H1472" s="359">
        <f>'DRE + DCF'!$W$32</f>
        <v>81081.931703745853</v>
      </c>
      <c r="I1472" s="359">
        <f>-H1472*('DRE + DCF'!$V$33+K1472)/'DRE + DCF'!$V$33</f>
        <v>-90858.801614444121</v>
      </c>
      <c r="J1472" s="359">
        <f>-'DRE + DCF'!$V$56*L1472</f>
        <v>-1188924.4255577971</v>
      </c>
      <c r="K1472" s="360">
        <f>(1+L1472)/(1+Ke!$O$12)-1</f>
        <v>2.0000000000000018E-2</v>
      </c>
      <c r="L1472" s="360">
        <f>'DRE + DCF'!$Y$31</f>
        <v>7.3550000000000004E-2</v>
      </c>
      <c r="M1472" s="361">
        <f>(1+D1472)^((5-Dashboard!$F$9)*3/12)</f>
        <v>1.1607976588268862</v>
      </c>
      <c r="N1472" s="361">
        <f t="shared" ref="N1472:V1472" si="1505">M1472*(1+$D1472)</f>
        <v>1.4161151038858495</v>
      </c>
      <c r="O1472" s="361">
        <f t="shared" si="1505"/>
        <v>1.7275896209855293</v>
      </c>
      <c r="P1472" s="361">
        <f t="shared" si="1505"/>
        <v>2.1075729581212808</v>
      </c>
      <c r="Q1472" s="361">
        <f t="shared" si="1505"/>
        <v>2.5711336302600376</v>
      </c>
      <c r="R1472" s="361">
        <f t="shared" si="1505"/>
        <v>3.1366544722357097</v>
      </c>
      <c r="S1472" s="361">
        <f t="shared" si="1505"/>
        <v>3.8265616234039257</v>
      </c>
      <c r="T1472" s="361">
        <f t="shared" si="1505"/>
        <v>4.6682138524715846</v>
      </c>
      <c r="U1472" s="361">
        <f t="shared" si="1505"/>
        <v>5.694987489322668</v>
      </c>
      <c r="V1472" s="362">
        <f t="shared" si="1505"/>
        <v>6.9475999875991379</v>
      </c>
      <c r="X1472" s="351"/>
    </row>
    <row r="1473" spans="3:24" ht="24.75" customHeight="1" x14ac:dyDescent="0.3">
      <c r="C1473" s="353">
        <f>ABS(E1473-Dashboard!$F$14)</f>
        <v>8.8041102720409299</v>
      </c>
      <c r="D1473" s="350">
        <f t="shared" si="1455"/>
        <v>0.220049999999991</v>
      </c>
      <c r="E1473" s="359" cm="1">
        <f t="array" ref="E1473">1000*SUM('DRE + DCF'!$L$36/M1473,'DRE + DCF'!$N$36:$V$36/N1473:V1473,F1473/V1473)/Dashboard!$F$11</f>
        <v>88.185889727959065</v>
      </c>
      <c r="F1473" s="359">
        <f t="shared" si="1453"/>
        <v>12646151.645157455</v>
      </c>
      <c r="G1473" s="359">
        <f>'DRE + DCF'!$W$31</f>
        <v>2791623.3540418856</v>
      </c>
      <c r="H1473" s="359">
        <f>'DRE + DCF'!$W$32</f>
        <v>81081.931703745853</v>
      </c>
      <c r="I1473" s="359">
        <f>-H1473*('DRE + DCF'!$V$33+K1473)/'DRE + DCF'!$V$33</f>
        <v>-90858.801614444121</v>
      </c>
      <c r="J1473" s="359">
        <f>-'DRE + DCF'!$V$56*L1473</f>
        <v>-1188924.4255577971</v>
      </c>
      <c r="K1473" s="360">
        <f>(1+L1473)/(1+Ke!$O$12)-1</f>
        <v>2.0000000000000018E-2</v>
      </c>
      <c r="L1473" s="360">
        <f>'DRE + DCF'!$Y$31</f>
        <v>7.3550000000000004E-2</v>
      </c>
      <c r="M1473" s="361">
        <f>(1+D1473)^((5-Dashboard!$F$9)*3/12)</f>
        <v>1.1608690215322428</v>
      </c>
      <c r="N1473" s="361">
        <f t="shared" ref="N1473:V1473" si="1506">M1473*(1+$D1473)</f>
        <v>1.4163182497204023</v>
      </c>
      <c r="O1473" s="361">
        <f t="shared" si="1506"/>
        <v>1.7279790805713642</v>
      </c>
      <c r="P1473" s="361">
        <f t="shared" si="1506"/>
        <v>2.1082208772510773</v>
      </c>
      <c r="Q1473" s="361">
        <f t="shared" si="1506"/>
        <v>2.5721348812901579</v>
      </c>
      <c r="R1473" s="361">
        <f t="shared" si="1506"/>
        <v>3.1381331619180339</v>
      </c>
      <c r="S1473" s="361">
        <f t="shared" si="1506"/>
        <v>3.8286793641980688</v>
      </c>
      <c r="T1473" s="361">
        <f t="shared" si="1506"/>
        <v>4.6711802582898194</v>
      </c>
      <c r="U1473" s="361">
        <f t="shared" si="1506"/>
        <v>5.6990734741264522</v>
      </c>
      <c r="V1473" s="362">
        <f t="shared" si="1506"/>
        <v>6.9531545921079267</v>
      </c>
      <c r="X1473" s="351"/>
    </row>
    <row r="1474" spans="3:24" ht="24.75" customHeight="1" x14ac:dyDescent="0.3">
      <c r="C1474" s="353">
        <f>ABS(E1474-Dashboard!$F$14)</f>
        <v>8.8703235238855882</v>
      </c>
      <c r="D1474" s="350">
        <f t="shared" si="1455"/>
        <v>0.22014999999999099</v>
      </c>
      <c r="E1474" s="359" cm="1">
        <f t="array" ref="E1474">1000*SUM('DRE + DCF'!$L$36/M1474,'DRE + DCF'!$N$36:$V$36/N1474:V1474,F1474/V1474)/Dashboard!$F$11</f>
        <v>88.119676476114407</v>
      </c>
      <c r="F1474" s="359">
        <f t="shared" si="1453"/>
        <v>12639077.226602947</v>
      </c>
      <c r="G1474" s="359">
        <f>'DRE + DCF'!$W$31</f>
        <v>2791623.3540418856</v>
      </c>
      <c r="H1474" s="359">
        <f>'DRE + DCF'!$W$32</f>
        <v>81081.931703745853</v>
      </c>
      <c r="I1474" s="359">
        <f>-H1474*('DRE + DCF'!$V$33+K1474)/'DRE + DCF'!$V$33</f>
        <v>-90858.801614444121</v>
      </c>
      <c r="J1474" s="359">
        <f>-'DRE + DCF'!$V$56*L1474</f>
        <v>-1188924.4255577971</v>
      </c>
      <c r="K1474" s="360">
        <f>(1+L1474)/(1+Ke!$O$12)-1</f>
        <v>2.0000000000000018E-2</v>
      </c>
      <c r="L1474" s="360">
        <f>'DRE + DCF'!$Y$31</f>
        <v>7.3550000000000004E-2</v>
      </c>
      <c r="M1474" s="361">
        <f>(1+D1474)^((5-Dashboard!$F$9)*3/12)</f>
        <v>1.1609403827753235</v>
      </c>
      <c r="N1474" s="361">
        <f t="shared" ref="N1474:V1474" si="1507">M1474*(1+$D1474)</f>
        <v>1.4165214080433004</v>
      </c>
      <c r="O1474" s="361">
        <f t="shared" si="1507"/>
        <v>1.7283685960240203</v>
      </c>
      <c r="P1474" s="361">
        <f t="shared" si="1507"/>
        <v>2.1088689424386926</v>
      </c>
      <c r="Q1474" s="361">
        <f t="shared" si="1507"/>
        <v>2.5731364401165515</v>
      </c>
      <c r="R1474" s="361">
        <f t="shared" si="1507"/>
        <v>3.1396124274081871</v>
      </c>
      <c r="S1474" s="361">
        <f t="shared" si="1507"/>
        <v>3.830798103302071</v>
      </c>
      <c r="T1474" s="361">
        <f t="shared" si="1507"/>
        <v>4.6741483057439872</v>
      </c>
      <c r="U1474" s="361">
        <f t="shared" si="1507"/>
        <v>5.7031620552534834</v>
      </c>
      <c r="V1474" s="362">
        <f t="shared" si="1507"/>
        <v>6.9587131817174859</v>
      </c>
      <c r="X1474" s="351"/>
    </row>
    <row r="1475" spans="3:24" ht="24.75" customHeight="1" x14ac:dyDescent="0.3">
      <c r="C1475" s="353">
        <f>ABS(E1475-Dashboard!$F$14)</f>
        <v>8.936450485390111</v>
      </c>
      <c r="D1475" s="350">
        <f t="shared" si="1455"/>
        <v>0.22024999999999098</v>
      </c>
      <c r="E1475" s="359" cm="1">
        <f t="array" ref="E1475">1000*SUM('DRE + DCF'!$L$36/M1475,'DRE + DCF'!$N$36:$V$36/N1475:V1475,F1475/V1475)/Dashboard!$F$11</f>
        <v>88.053549514609884</v>
      </c>
      <c r="F1475" s="359">
        <f t="shared" si="1453"/>
        <v>12632011.044554066</v>
      </c>
      <c r="G1475" s="359">
        <f>'DRE + DCF'!$W$31</f>
        <v>2791623.3540418856</v>
      </c>
      <c r="H1475" s="359">
        <f>'DRE + DCF'!$W$32</f>
        <v>81081.931703745853</v>
      </c>
      <c r="I1475" s="359">
        <f>-H1475*('DRE + DCF'!$V$33+K1475)/'DRE + DCF'!$V$33</f>
        <v>-90858.801614444121</v>
      </c>
      <c r="J1475" s="359">
        <f>-'DRE + DCF'!$V$56*L1475</f>
        <v>-1188924.4255577971</v>
      </c>
      <c r="K1475" s="360">
        <f>(1+L1475)/(1+Ke!$O$12)-1</f>
        <v>2.0000000000000018E-2</v>
      </c>
      <c r="L1475" s="360">
        <f>'DRE + DCF'!$Y$31</f>
        <v>7.3550000000000004E-2</v>
      </c>
      <c r="M1475" s="361">
        <f>(1+D1475)^((5-Dashboard!$F$9)*3/12)</f>
        <v>1.1610117425562785</v>
      </c>
      <c r="N1475" s="361">
        <f t="shared" ref="N1475:V1475" si="1508">M1475*(1+$D1475)</f>
        <v>1.4167245788542884</v>
      </c>
      <c r="O1475" s="361">
        <f t="shared" si="1508"/>
        <v>1.7287581673469326</v>
      </c>
      <c r="P1475" s="361">
        <f t="shared" si="1508"/>
        <v>2.1095171537050788</v>
      </c>
      <c r="Q1475" s="361">
        <f t="shared" si="1508"/>
        <v>2.5741383068086034</v>
      </c>
      <c r="R1475" s="361">
        <f t="shared" si="1508"/>
        <v>3.1410922688831753</v>
      </c>
      <c r="S1475" s="361">
        <f t="shared" si="1508"/>
        <v>3.832917841104666</v>
      </c>
      <c r="T1475" s="361">
        <f t="shared" si="1508"/>
        <v>4.6771179956079338</v>
      </c>
      <c r="U1475" s="361">
        <f t="shared" si="1508"/>
        <v>5.7072532341405386</v>
      </c>
      <c r="V1475" s="362">
        <f t="shared" si="1508"/>
        <v>6.9642757589599409</v>
      </c>
      <c r="X1475" s="351"/>
    </row>
    <row r="1476" spans="3:24" ht="24.75" customHeight="1" x14ac:dyDescent="0.3">
      <c r="C1476" s="353">
        <f>ABS(E1476-Dashboard!$F$14)</f>
        <v>9.00249131557608</v>
      </c>
      <c r="D1476" s="350">
        <f t="shared" si="1455"/>
        <v>0.22034999999999097</v>
      </c>
      <c r="E1476" s="359" cm="1">
        <f t="array" ref="E1476">1000*SUM('DRE + DCF'!$L$36/M1476,'DRE + DCF'!$N$36:$V$36/N1476:V1476,F1476/V1476)/Dashboard!$F$11</f>
        <v>87.987508684423915</v>
      </c>
      <c r="F1476" s="359">
        <f t="shared" si="1453"/>
        <v>12624953.084094681</v>
      </c>
      <c r="G1476" s="359">
        <f>'DRE + DCF'!$W$31</f>
        <v>2791623.3540418856</v>
      </c>
      <c r="H1476" s="359">
        <f>'DRE + DCF'!$W$32</f>
        <v>81081.931703745853</v>
      </c>
      <c r="I1476" s="359">
        <f>-H1476*('DRE + DCF'!$V$33+K1476)/'DRE + DCF'!$V$33</f>
        <v>-90858.801614444121</v>
      </c>
      <c r="J1476" s="359">
        <f>-'DRE + DCF'!$V$56*L1476</f>
        <v>-1188924.4255577971</v>
      </c>
      <c r="K1476" s="360">
        <f>(1+L1476)/(1+Ke!$O$12)-1</f>
        <v>2.0000000000000018E-2</v>
      </c>
      <c r="L1476" s="360">
        <f>'DRE + DCF'!$Y$31</f>
        <v>7.3550000000000004E-2</v>
      </c>
      <c r="M1476" s="361">
        <f>(1+D1476)^((5-Dashboard!$F$9)*3/12)</f>
        <v>1.1610831008752573</v>
      </c>
      <c r="N1476" s="361">
        <f t="shared" ref="N1476:V1476" si="1509">M1476*(1+$D1476)</f>
        <v>1.4169277621531098</v>
      </c>
      <c r="O1476" s="361">
        <f t="shared" si="1509"/>
        <v>1.7291477945435347</v>
      </c>
      <c r="P1476" s="361">
        <f t="shared" si="1509"/>
        <v>2.110165511071187</v>
      </c>
      <c r="Q1476" s="361">
        <f t="shared" si="1509"/>
        <v>2.575140481435704</v>
      </c>
      <c r="R1476" s="361">
        <f t="shared" si="1509"/>
        <v>3.1425726865200381</v>
      </c>
      <c r="S1476" s="361">
        <f t="shared" si="1509"/>
        <v>3.8350385779947</v>
      </c>
      <c r="T1476" s="361">
        <f t="shared" si="1509"/>
        <v>4.6800893286557974</v>
      </c>
      <c r="U1476" s="361">
        <f t="shared" si="1509"/>
        <v>5.71134701222506</v>
      </c>
      <c r="V1476" s="362">
        <f t="shared" si="1509"/>
        <v>6.9698423263688003</v>
      </c>
      <c r="X1476" s="351"/>
    </row>
    <row r="1477" spans="3:24" ht="24.75" customHeight="1" x14ac:dyDescent="0.3">
      <c r="C1477" s="353">
        <f>ABS(E1477-Dashboard!$F$14)</f>
        <v>9.0684461730784278</v>
      </c>
      <c r="D1477" s="350">
        <f t="shared" si="1455"/>
        <v>0.22044999999999096</v>
      </c>
      <c r="E1477" s="359" cm="1">
        <f t="array" ref="E1477">1000*SUM('DRE + DCF'!$L$36/M1477,'DRE + DCF'!$N$36:$V$36/N1477:V1477,F1477/V1477)/Dashboard!$F$11</f>
        <v>87.921553826921567</v>
      </c>
      <c r="F1477" s="359">
        <f t="shared" si="1453"/>
        <v>12617903.330345806</v>
      </c>
      <c r="G1477" s="359">
        <f>'DRE + DCF'!$W$31</f>
        <v>2791623.3540418856</v>
      </c>
      <c r="H1477" s="359">
        <f>'DRE + DCF'!$W$32</f>
        <v>81081.931703745853</v>
      </c>
      <c r="I1477" s="359">
        <f>-H1477*('DRE + DCF'!$V$33+K1477)/'DRE + DCF'!$V$33</f>
        <v>-90858.801614444121</v>
      </c>
      <c r="J1477" s="359">
        <f>-'DRE + DCF'!$V$56*L1477</f>
        <v>-1188924.4255577971</v>
      </c>
      <c r="K1477" s="360">
        <f>(1+L1477)/(1+Ke!$O$12)-1</f>
        <v>2.0000000000000018E-2</v>
      </c>
      <c r="L1477" s="360">
        <f>'DRE + DCF'!$Y$31</f>
        <v>7.3550000000000004E-2</v>
      </c>
      <c r="M1477" s="361">
        <f>(1+D1477)^((5-Dashboard!$F$9)*3/12)</f>
        <v>1.16115445773241</v>
      </c>
      <c r="N1477" s="361">
        <f t="shared" ref="N1477:V1477" si="1510">M1477*(1+$D1477)</f>
        <v>1.4171309579395093</v>
      </c>
      <c r="O1477" s="361">
        <f t="shared" si="1510"/>
        <v>1.7295374776172612</v>
      </c>
      <c r="P1477" s="361">
        <f t="shared" si="1510"/>
        <v>2.1108140145579708</v>
      </c>
      <c r="Q1477" s="361">
        <f t="shared" si="1510"/>
        <v>2.5761429640672562</v>
      </c>
      <c r="R1477" s="361">
        <f t="shared" si="1510"/>
        <v>3.1440536804958596</v>
      </c>
      <c r="S1477" s="361">
        <f t="shared" si="1510"/>
        <v>3.8371603143611432</v>
      </c>
      <c r="T1477" s="361">
        <f t="shared" si="1510"/>
        <v>4.6830623056620224</v>
      </c>
      <c r="U1477" s="361">
        <f t="shared" si="1510"/>
        <v>5.7154433909451727</v>
      </c>
      <c r="V1477" s="362">
        <f t="shared" si="1510"/>
        <v>6.9754128864789839</v>
      </c>
      <c r="X1477" s="351"/>
    </row>
    <row r="1478" spans="3:24" ht="24.75" customHeight="1" x14ac:dyDescent="0.3">
      <c r="C1478" s="353">
        <f>ABS(E1478-Dashboard!$F$14)</f>
        <v>9.1343152161465184</v>
      </c>
      <c r="D1478" s="350">
        <f t="shared" si="1455"/>
        <v>0.22054999999999095</v>
      </c>
      <c r="E1478" s="359" cm="1">
        <f t="array" ref="E1478">1000*SUM('DRE + DCF'!$L$36/M1478,'DRE + DCF'!$N$36:$V$36/N1478:V1478,F1478/V1478)/Dashboard!$F$11</f>
        <v>87.855684783853476</v>
      </c>
      <c r="F1478" s="359">
        <f t="shared" si="1453"/>
        <v>12610861.768465478</v>
      </c>
      <c r="G1478" s="359">
        <f>'DRE + DCF'!$W$31</f>
        <v>2791623.3540418856</v>
      </c>
      <c r="H1478" s="359">
        <f>'DRE + DCF'!$W$32</f>
        <v>81081.931703745853</v>
      </c>
      <c r="I1478" s="359">
        <f>-H1478*('DRE + DCF'!$V$33+K1478)/'DRE + DCF'!$V$33</f>
        <v>-90858.801614444121</v>
      </c>
      <c r="J1478" s="359">
        <f>-'DRE + DCF'!$V$56*L1478</f>
        <v>-1188924.4255577971</v>
      </c>
      <c r="K1478" s="360">
        <f>(1+L1478)/(1+Ke!$O$12)-1</f>
        <v>2.0000000000000018E-2</v>
      </c>
      <c r="L1478" s="360">
        <f>'DRE + DCF'!$Y$31</f>
        <v>7.3550000000000004E-2</v>
      </c>
      <c r="M1478" s="361">
        <f>(1+D1478)^((5-Dashboard!$F$9)*3/12)</f>
        <v>1.1612258131278861</v>
      </c>
      <c r="N1478" s="361">
        <f t="shared" ref="N1478:V1478" si="1511">M1478*(1+$D1478)</f>
        <v>1.4173341662132308</v>
      </c>
      <c r="O1478" s="361">
        <f t="shared" si="1511"/>
        <v>1.729927216571546</v>
      </c>
      <c r="P1478" s="361">
        <f t="shared" si="1511"/>
        <v>2.111462664186385</v>
      </c>
      <c r="Q1478" s="361">
        <f t="shared" si="1511"/>
        <v>2.577145754772673</v>
      </c>
      <c r="R1478" s="361">
        <f t="shared" si="1511"/>
        <v>3.1455352509877628</v>
      </c>
      <c r="S1478" s="361">
        <f t="shared" si="1511"/>
        <v>3.8392830505930853</v>
      </c>
      <c r="T1478" s="361">
        <f t="shared" si="1511"/>
        <v>4.6860369274013554</v>
      </c>
      <c r="U1478" s="361">
        <f t="shared" si="1511"/>
        <v>5.7195423717396814</v>
      </c>
      <c r="V1478" s="362">
        <f t="shared" si="1511"/>
        <v>6.9809874418268159</v>
      </c>
      <c r="X1478" s="351"/>
    </row>
    <row r="1479" spans="3:24" ht="24.75" customHeight="1" x14ac:dyDescent="0.3">
      <c r="C1479" s="353">
        <f>ABS(E1479-Dashboard!$F$14)</f>
        <v>9.2000986026452125</v>
      </c>
      <c r="D1479" s="350">
        <f t="shared" si="1455"/>
        <v>0.22064999999999094</v>
      </c>
      <c r="E1479" s="359" cm="1">
        <f t="array" ref="E1479">1000*SUM('DRE + DCF'!$L$36/M1479,'DRE + DCF'!$N$36:$V$36/N1479:V1479,F1479/V1479)/Dashboard!$F$11</f>
        <v>87.789901397354782</v>
      </c>
      <c r="F1479" s="359">
        <f t="shared" si="1453"/>
        <v>12603828.383648634</v>
      </c>
      <c r="G1479" s="359">
        <f>'DRE + DCF'!$W$31</f>
        <v>2791623.3540418856</v>
      </c>
      <c r="H1479" s="359">
        <f>'DRE + DCF'!$W$32</f>
        <v>81081.931703745853</v>
      </c>
      <c r="I1479" s="359">
        <f>-H1479*('DRE + DCF'!$V$33+K1479)/'DRE + DCF'!$V$33</f>
        <v>-90858.801614444121</v>
      </c>
      <c r="J1479" s="359">
        <f>-'DRE + DCF'!$V$56*L1479</f>
        <v>-1188924.4255577971</v>
      </c>
      <c r="K1479" s="360">
        <f>(1+L1479)/(1+Ke!$O$12)-1</f>
        <v>2.0000000000000018E-2</v>
      </c>
      <c r="L1479" s="360">
        <f>'DRE + DCF'!$Y$31</f>
        <v>7.3550000000000004E-2</v>
      </c>
      <c r="M1479" s="361">
        <f>(1+D1479)^((5-Dashboard!$F$9)*3/12)</f>
        <v>1.1612971670618353</v>
      </c>
      <c r="N1479" s="361">
        <f t="shared" ref="N1479:V1479" si="1512">M1479*(1+$D1479)</f>
        <v>1.4175373869740187</v>
      </c>
      <c r="O1479" s="361">
        <f t="shared" si="1512"/>
        <v>1.730317011409823</v>
      </c>
      <c r="P1479" s="361">
        <f t="shared" si="1512"/>
        <v>2.1121114599773847</v>
      </c>
      <c r="Q1479" s="361">
        <f t="shared" si="1512"/>
        <v>2.5781488536213755</v>
      </c>
      <c r="R1479" s="361">
        <f t="shared" si="1512"/>
        <v>3.1470173981729084</v>
      </c>
      <c r="S1479" s="361">
        <f t="shared" si="1512"/>
        <v>3.8414067870797322</v>
      </c>
      <c r="T1479" s="361">
        <f t="shared" si="1512"/>
        <v>4.6890131946488403</v>
      </c>
      <c r="U1479" s="361">
        <f t="shared" si="1512"/>
        <v>5.7236439560480639</v>
      </c>
      <c r="V1479" s="362">
        <f t="shared" si="1512"/>
        <v>6.9865659949500172</v>
      </c>
      <c r="X1479" s="351"/>
    </row>
    <row r="1480" spans="3:24" ht="24.75" customHeight="1" x14ac:dyDescent="0.3">
      <c r="C1480" s="353">
        <f>ABS(E1480-Dashboard!$F$14)</f>
        <v>9.2657964900562746</v>
      </c>
      <c r="D1480" s="350">
        <f t="shared" si="1455"/>
        <v>0.22074999999999093</v>
      </c>
      <c r="E1480" s="359" cm="1">
        <f t="array" ref="E1480">1000*SUM('DRE + DCF'!$L$36/M1480,'DRE + DCF'!$N$36:$V$36/N1480:V1480,F1480/V1480)/Dashboard!$F$11</f>
        <v>87.72420350994372</v>
      </c>
      <c r="F1480" s="359">
        <f t="shared" si="1453"/>
        <v>12596803.161127005</v>
      </c>
      <c r="G1480" s="359">
        <f>'DRE + DCF'!$W$31</f>
        <v>2791623.3540418856</v>
      </c>
      <c r="H1480" s="359">
        <f>'DRE + DCF'!$W$32</f>
        <v>81081.931703745853</v>
      </c>
      <c r="I1480" s="359">
        <f>-H1480*('DRE + DCF'!$V$33+K1480)/'DRE + DCF'!$V$33</f>
        <v>-90858.801614444121</v>
      </c>
      <c r="J1480" s="359">
        <f>-'DRE + DCF'!$V$56*L1480</f>
        <v>-1188924.4255577971</v>
      </c>
      <c r="K1480" s="360">
        <f>(1+L1480)/(1+Ke!$O$12)-1</f>
        <v>2.0000000000000018E-2</v>
      </c>
      <c r="L1480" s="360">
        <f>'DRE + DCF'!$Y$31</f>
        <v>7.3550000000000004E-2</v>
      </c>
      <c r="M1480" s="361">
        <f>(1+D1480)^((5-Dashboard!$F$9)*3/12)</f>
        <v>1.1613685195344075</v>
      </c>
      <c r="N1480" s="361">
        <f t="shared" ref="N1480:V1480" si="1513">M1480*(1+$D1480)</f>
        <v>1.4177406202216174</v>
      </c>
      <c r="O1480" s="361">
        <f t="shared" si="1513"/>
        <v>1.7307068621355266</v>
      </c>
      <c r="P1480" s="361">
        <f t="shared" si="1513"/>
        <v>2.1127604019519284</v>
      </c>
      <c r="Q1480" s="361">
        <f t="shared" si="1513"/>
        <v>2.5791522606827972</v>
      </c>
      <c r="R1480" s="361">
        <f t="shared" si="1513"/>
        <v>3.1485001222285014</v>
      </c>
      <c r="S1480" s="361">
        <f t="shared" si="1513"/>
        <v>3.8435315242104142</v>
      </c>
      <c r="T1480" s="361">
        <f t="shared" si="1513"/>
        <v>4.6919911081798285</v>
      </c>
      <c r="U1480" s="361">
        <f t="shared" si="1513"/>
        <v>5.7277481453104828</v>
      </c>
      <c r="V1480" s="362">
        <f t="shared" si="1513"/>
        <v>6.9921485483877195</v>
      </c>
      <c r="X1480" s="351"/>
    </row>
    <row r="1481" spans="3:24" ht="24.75" customHeight="1" x14ac:dyDescent="0.3">
      <c r="C1481" s="353">
        <f>ABS(E1481-Dashboard!$F$14)</f>
        <v>9.3314090354792398</v>
      </c>
      <c r="D1481" s="350">
        <f t="shared" si="1455"/>
        <v>0.22084999999999091</v>
      </c>
      <c r="E1481" s="359" cm="1">
        <f t="array" ref="E1481">1000*SUM('DRE + DCF'!$L$36/M1481,'DRE + DCF'!$N$36:$V$36/N1481:V1481,F1481/V1481)/Dashboard!$F$11</f>
        <v>87.658590964520755</v>
      </c>
      <c r="F1481" s="359">
        <f t="shared" si="1453"/>
        <v>12589786.086168986</v>
      </c>
      <c r="G1481" s="359">
        <f>'DRE + DCF'!$W$31</f>
        <v>2791623.3540418856</v>
      </c>
      <c r="H1481" s="359">
        <f>'DRE + DCF'!$W$32</f>
        <v>81081.931703745853</v>
      </c>
      <c r="I1481" s="359">
        <f>-H1481*('DRE + DCF'!$V$33+K1481)/'DRE + DCF'!$V$33</f>
        <v>-90858.801614444121</v>
      </c>
      <c r="J1481" s="359">
        <f>-'DRE + DCF'!$V$56*L1481</f>
        <v>-1188924.4255577971</v>
      </c>
      <c r="K1481" s="360">
        <f>(1+L1481)/(1+Ke!$O$12)-1</f>
        <v>2.0000000000000018E-2</v>
      </c>
      <c r="L1481" s="360">
        <f>'DRE + DCF'!$Y$31</f>
        <v>7.3550000000000004E-2</v>
      </c>
      <c r="M1481" s="361">
        <f>(1+D1481)^((5-Dashboard!$F$9)*3/12)</f>
        <v>1.1614398705457518</v>
      </c>
      <c r="N1481" s="361">
        <f t="shared" ref="N1481:V1481" si="1514">M1481*(1+$D1481)</f>
        <v>1.4179438659557706</v>
      </c>
      <c r="O1481" s="361">
        <f t="shared" si="1514"/>
        <v>1.7310967687520895</v>
      </c>
      <c r="P1481" s="361">
        <f t="shared" si="1514"/>
        <v>2.1134094901309726</v>
      </c>
      <c r="Q1481" s="361">
        <f t="shared" si="1514"/>
        <v>2.5801559760263788</v>
      </c>
      <c r="R1481" s="361">
        <f t="shared" si="1514"/>
        <v>3.1499834233317809</v>
      </c>
      <c r="S1481" s="361">
        <f t="shared" si="1514"/>
        <v>3.8456572623745759</v>
      </c>
      <c r="T1481" s="361">
        <f t="shared" si="1514"/>
        <v>4.6949706687699662</v>
      </c>
      <c r="U1481" s="361">
        <f t="shared" si="1514"/>
        <v>5.7318549409677706</v>
      </c>
      <c r="V1481" s="362">
        <f t="shared" si="1514"/>
        <v>6.9977351046804506</v>
      </c>
      <c r="X1481" s="351"/>
    </row>
    <row r="1482" spans="3:24" ht="24.75" customHeight="1" x14ac:dyDescent="0.3">
      <c r="C1482" s="353">
        <f>ABS(E1482-Dashboard!$F$14)</f>
        <v>9.3969363956329488</v>
      </c>
      <c r="D1482" s="350">
        <f t="shared" si="1455"/>
        <v>0.2209499999999909</v>
      </c>
      <c r="E1482" s="359" cm="1">
        <f t="array" ref="E1482">1000*SUM('DRE + DCF'!$L$36/M1482,'DRE + DCF'!$N$36:$V$36/N1482:V1482,F1482/V1482)/Dashboard!$F$11</f>
        <v>87.593063604367046</v>
      </c>
      <c r="F1482" s="359">
        <f t="shared" si="1453"/>
        <v>12582777.144079538</v>
      </c>
      <c r="G1482" s="359">
        <f>'DRE + DCF'!$W$31</f>
        <v>2791623.3540418856</v>
      </c>
      <c r="H1482" s="359">
        <f>'DRE + DCF'!$W$32</f>
        <v>81081.931703745853</v>
      </c>
      <c r="I1482" s="359">
        <f>-H1482*('DRE + DCF'!$V$33+K1482)/'DRE + DCF'!$V$33</f>
        <v>-90858.801614444121</v>
      </c>
      <c r="J1482" s="359">
        <f>-'DRE + DCF'!$V$56*L1482</f>
        <v>-1188924.4255577971</v>
      </c>
      <c r="K1482" s="360">
        <f>(1+L1482)/(1+Ke!$O$12)-1</f>
        <v>2.0000000000000018E-2</v>
      </c>
      <c r="L1482" s="360">
        <f>'DRE + DCF'!$Y$31</f>
        <v>7.3550000000000004E-2</v>
      </c>
      <c r="M1482" s="361">
        <f>(1+D1482)^((5-Dashboard!$F$9)*3/12)</f>
        <v>1.1615112200960183</v>
      </c>
      <c r="N1482" s="361">
        <f t="shared" ref="N1482:V1482" si="1515">M1482*(1+$D1482)</f>
        <v>1.4181471241762229</v>
      </c>
      <c r="O1482" s="361">
        <f t="shared" si="1515"/>
        <v>1.7314867312629465</v>
      </c>
      <c r="P1482" s="361">
        <f t="shared" si="1515"/>
        <v>2.1140587245354787</v>
      </c>
      <c r="Q1482" s="361">
        <f t="shared" si="1515"/>
        <v>2.5811599997215735</v>
      </c>
      <c r="R1482" s="361">
        <f t="shared" si="1515"/>
        <v>3.1514673016600314</v>
      </c>
      <c r="S1482" s="361">
        <f t="shared" si="1515"/>
        <v>3.8477840019617866</v>
      </c>
      <c r="T1482" s="361">
        <f t="shared" si="1515"/>
        <v>4.6979518771952087</v>
      </c>
      <c r="U1482" s="361">
        <f t="shared" si="1515"/>
        <v>5.735964344461447</v>
      </c>
      <c r="V1482" s="362">
        <f t="shared" si="1515"/>
        <v>7.0033256663701513</v>
      </c>
      <c r="X1482" s="351"/>
    </row>
    <row r="1483" spans="3:24" ht="24.75" customHeight="1" x14ac:dyDescent="0.3">
      <c r="C1483" s="353">
        <f>ABS(E1483-Dashboard!$F$14)</f>
        <v>9.462378726856457</v>
      </c>
      <c r="D1483" s="350">
        <f t="shared" si="1455"/>
        <v>0.22104999999999089</v>
      </c>
      <c r="E1483" s="359" cm="1">
        <f t="array" ref="E1483">1000*SUM('DRE + DCF'!$L$36/M1483,'DRE + DCF'!$N$36:$V$36/N1483:V1483,F1483/V1483)/Dashboard!$F$11</f>
        <v>87.527621273143538</v>
      </c>
      <c r="F1483" s="359">
        <f t="shared" si="1453"/>
        <v>12575776.320200041</v>
      </c>
      <c r="G1483" s="359">
        <f>'DRE + DCF'!$W$31</f>
        <v>2791623.3540418856</v>
      </c>
      <c r="H1483" s="359">
        <f>'DRE + DCF'!$W$32</f>
        <v>81081.931703745853</v>
      </c>
      <c r="I1483" s="359">
        <f>-H1483*('DRE + DCF'!$V$33+K1483)/'DRE + DCF'!$V$33</f>
        <v>-90858.801614444121</v>
      </c>
      <c r="J1483" s="359">
        <f>-'DRE + DCF'!$V$56*L1483</f>
        <v>-1188924.4255577971</v>
      </c>
      <c r="K1483" s="360">
        <f>(1+L1483)/(1+Ke!$O$12)-1</f>
        <v>2.0000000000000018E-2</v>
      </c>
      <c r="L1483" s="360">
        <f>'DRE + DCF'!$Y$31</f>
        <v>7.3550000000000004E-2</v>
      </c>
      <c r="M1483" s="361">
        <f>(1+D1483)^((5-Dashboard!$F$9)*3/12)</f>
        <v>1.1615825681853564</v>
      </c>
      <c r="N1483" s="361">
        <f t="shared" ref="N1483:V1483" si="1516">M1483*(1+$D1483)</f>
        <v>1.418350394882719</v>
      </c>
      <c r="O1483" s="361">
        <f t="shared" si="1516"/>
        <v>1.731876749671531</v>
      </c>
      <c r="P1483" s="361">
        <f t="shared" si="1516"/>
        <v>2.114708105186407</v>
      </c>
      <c r="Q1483" s="361">
        <f t="shared" si="1516"/>
        <v>2.5821643318378431</v>
      </c>
      <c r="R1483" s="361">
        <f t="shared" si="1516"/>
        <v>3.1529517573905745</v>
      </c>
      <c r="S1483" s="361">
        <f t="shared" si="1516"/>
        <v>3.8499117433617323</v>
      </c>
      <c r="T1483" s="361">
        <f t="shared" si="1516"/>
        <v>4.700934734231808</v>
      </c>
      <c r="U1483" s="361">
        <f t="shared" si="1516"/>
        <v>5.7400763572337059</v>
      </c>
      <c r="V1483" s="362">
        <f t="shared" si="1516"/>
        <v>7.0089202360001641</v>
      </c>
      <c r="X1483" s="351"/>
    </row>
    <row r="1484" spans="3:24" ht="24.75" customHeight="1" x14ac:dyDescent="0.3">
      <c r="C1484" s="353">
        <f>ABS(E1484-Dashboard!$F$14)</f>
        <v>9.5277361851102711</v>
      </c>
      <c r="D1484" s="350">
        <f t="shared" si="1455"/>
        <v>0.22114999999999088</v>
      </c>
      <c r="E1484" s="359" cm="1">
        <f t="array" ref="E1484">1000*SUM('DRE + DCF'!$L$36/M1484,'DRE + DCF'!$N$36:$V$36/N1484:V1484,F1484/V1484)/Dashboard!$F$11</f>
        <v>87.462263814889724</v>
      </c>
      <c r="F1484" s="359">
        <f t="shared" si="1453"/>
        <v>12568783.599908218</v>
      </c>
      <c r="G1484" s="359">
        <f>'DRE + DCF'!$W$31</f>
        <v>2791623.3540418856</v>
      </c>
      <c r="H1484" s="359">
        <f>'DRE + DCF'!$W$32</f>
        <v>81081.931703745853</v>
      </c>
      <c r="I1484" s="359">
        <f>-H1484*('DRE + DCF'!$V$33+K1484)/'DRE + DCF'!$V$33</f>
        <v>-90858.801614444121</v>
      </c>
      <c r="J1484" s="359">
        <f>-'DRE + DCF'!$V$56*L1484</f>
        <v>-1188924.4255577971</v>
      </c>
      <c r="K1484" s="360">
        <f>(1+L1484)/(1+Ke!$O$12)-1</f>
        <v>2.0000000000000018E-2</v>
      </c>
      <c r="L1484" s="360">
        <f>'DRE + DCF'!$Y$31</f>
        <v>7.3550000000000004E-2</v>
      </c>
      <c r="M1484" s="361">
        <f>(1+D1484)^((5-Dashboard!$F$9)*3/12)</f>
        <v>1.1616539148139158</v>
      </c>
      <c r="N1484" s="361">
        <f t="shared" ref="N1484:V1484" si="1517">M1484*(1+$D1484)</f>
        <v>1.4185536780750025</v>
      </c>
      <c r="O1484" s="361">
        <f t="shared" si="1517"/>
        <v>1.7322668239812764</v>
      </c>
      <c r="P1484" s="361">
        <f t="shared" si="1517"/>
        <v>2.1153576321047201</v>
      </c>
      <c r="Q1484" s="361">
        <f t="shared" si="1517"/>
        <v>2.5831689724446596</v>
      </c>
      <c r="R1484" s="361">
        <f t="shared" si="1517"/>
        <v>3.1544367907007724</v>
      </c>
      <c r="S1484" s="361">
        <f t="shared" si="1517"/>
        <v>3.8520404869642193</v>
      </c>
      <c r="T1484" s="361">
        <f t="shared" si="1517"/>
        <v>4.7039192406563215</v>
      </c>
      <c r="U1484" s="361">
        <f t="shared" si="1517"/>
        <v>5.7441909807274243</v>
      </c>
      <c r="V1484" s="362">
        <f t="shared" si="1517"/>
        <v>7.0145188161152419</v>
      </c>
      <c r="X1484" s="351"/>
    </row>
    <row r="1485" spans="3:24" ht="24.75" customHeight="1" x14ac:dyDescent="0.3">
      <c r="C1485" s="353">
        <f>ABS(E1485-Dashboard!$F$14)</f>
        <v>9.5930089259775428</v>
      </c>
      <c r="D1485" s="350">
        <f t="shared" si="1455"/>
        <v>0.22124999999999087</v>
      </c>
      <c r="E1485" s="359" cm="1">
        <f t="array" ref="E1485">1000*SUM('DRE + DCF'!$L$36/M1485,'DRE + DCF'!$N$36:$V$36/N1485:V1485,F1485/V1485)/Dashboard!$F$11</f>
        <v>87.396991074022452</v>
      </c>
      <c r="F1485" s="359">
        <f t="shared" si="1453"/>
        <v>12561798.968617979</v>
      </c>
      <c r="G1485" s="359">
        <f>'DRE + DCF'!$W$31</f>
        <v>2791623.3540418856</v>
      </c>
      <c r="H1485" s="359">
        <f>'DRE + DCF'!$W$32</f>
        <v>81081.931703745853</v>
      </c>
      <c r="I1485" s="359">
        <f>-H1485*('DRE + DCF'!$V$33+K1485)/'DRE + DCF'!$V$33</f>
        <v>-90858.801614444121</v>
      </c>
      <c r="J1485" s="359">
        <f>-'DRE + DCF'!$V$56*L1485</f>
        <v>-1188924.4255577971</v>
      </c>
      <c r="K1485" s="360">
        <f>(1+L1485)/(1+Ke!$O$12)-1</f>
        <v>2.0000000000000018E-2</v>
      </c>
      <c r="L1485" s="360">
        <f>'DRE + DCF'!$Y$31</f>
        <v>7.3550000000000004E-2</v>
      </c>
      <c r="M1485" s="361">
        <f>(1+D1485)^((5-Dashboard!$F$9)*3/12)</f>
        <v>1.1617252599818457</v>
      </c>
      <c r="N1485" s="361">
        <f t="shared" ref="N1485:V1485" si="1518">M1485*(1+$D1485)</f>
        <v>1.4187569737528185</v>
      </c>
      <c r="O1485" s="361">
        <f t="shared" si="1518"/>
        <v>1.7326569541956167</v>
      </c>
      <c r="P1485" s="361">
        <f t="shared" si="1518"/>
        <v>2.1160073053113813</v>
      </c>
      <c r="Q1485" s="361">
        <f t="shared" si="1518"/>
        <v>2.5841739216115052</v>
      </c>
      <c r="R1485" s="361">
        <f t="shared" si="1518"/>
        <v>3.1559224017680272</v>
      </c>
      <c r="S1485" s="361">
        <f t="shared" si="1518"/>
        <v>3.8541702331591745</v>
      </c>
      <c r="T1485" s="361">
        <f t="shared" si="1518"/>
        <v>4.706905397245607</v>
      </c>
      <c r="U1485" s="361">
        <f t="shared" si="1518"/>
        <v>5.7483082163861541</v>
      </c>
      <c r="V1485" s="362">
        <f t="shared" si="1518"/>
        <v>7.020121409261538</v>
      </c>
      <c r="X1485" s="351"/>
    </row>
    <row r="1486" spans="3:24" ht="24.75" customHeight="1" x14ac:dyDescent="0.3">
      <c r="C1486" s="353">
        <f>ABS(E1486-Dashboard!$F$14)</f>
        <v>9.6581971046651631</v>
      </c>
      <c r="D1486" s="350">
        <f t="shared" si="1455"/>
        <v>0.22134999999999086</v>
      </c>
      <c r="E1486" s="359" cm="1">
        <f t="array" ref="E1486">1000*SUM('DRE + DCF'!$L$36/M1486,'DRE + DCF'!$N$36:$V$36/N1486:V1486,F1486/V1486)/Dashboard!$F$11</f>
        <v>87.331802895334832</v>
      </c>
      <c r="F1486" s="359">
        <f t="shared" ref="F1486:F1549" si="1519">AVERAGE(SUM(G1486:J1486)*(1+L1486)/(D1486-L1486),G1486*(1+L1486)*(1-L1486/D1486)/(D1486-L1486))</f>
        <v>12554822.411779344</v>
      </c>
      <c r="G1486" s="359">
        <f>'DRE + DCF'!$W$31</f>
        <v>2791623.3540418856</v>
      </c>
      <c r="H1486" s="359">
        <f>'DRE + DCF'!$W$32</f>
        <v>81081.931703745853</v>
      </c>
      <c r="I1486" s="359">
        <f>-H1486*('DRE + DCF'!$V$33+K1486)/'DRE + DCF'!$V$33</f>
        <v>-90858.801614444121</v>
      </c>
      <c r="J1486" s="359">
        <f>-'DRE + DCF'!$V$56*L1486</f>
        <v>-1188924.4255577971</v>
      </c>
      <c r="K1486" s="360">
        <f>(1+L1486)/(1+Ke!$O$12)-1</f>
        <v>2.0000000000000018E-2</v>
      </c>
      <c r="L1486" s="360">
        <f>'DRE + DCF'!$Y$31</f>
        <v>7.3550000000000004E-2</v>
      </c>
      <c r="M1486" s="361">
        <f>(1+D1486)^((5-Dashboard!$F$9)*3/12)</f>
        <v>1.1617966036892959</v>
      </c>
      <c r="N1486" s="361">
        <f t="shared" ref="N1486:V1486" si="1520">M1486*(1+$D1486)</f>
        <v>1.4189602819159108</v>
      </c>
      <c r="O1486" s="361">
        <f t="shared" si="1520"/>
        <v>1.7330471403179848</v>
      </c>
      <c r="P1486" s="361">
        <f t="shared" si="1520"/>
        <v>2.1166571248273547</v>
      </c>
      <c r="Q1486" s="361">
        <f t="shared" si="1520"/>
        <v>2.5851791794078705</v>
      </c>
      <c r="R1486" s="361">
        <f t="shared" si="1520"/>
        <v>3.1574085907697791</v>
      </c>
      <c r="S1486" s="361">
        <f t="shared" si="1520"/>
        <v>3.8563009823366405</v>
      </c>
      <c r="T1486" s="361">
        <f t="shared" si="1520"/>
        <v>4.7098932047768205</v>
      </c>
      <c r="U1486" s="361">
        <f t="shared" si="1520"/>
        <v>5.7524280656541267</v>
      </c>
      <c r="V1486" s="362">
        <f t="shared" si="1520"/>
        <v>7.0257280179866148</v>
      </c>
      <c r="X1486" s="351"/>
    </row>
    <row r="1487" spans="3:24" ht="24.75" customHeight="1" x14ac:dyDescent="0.3">
      <c r="C1487" s="353">
        <f>ABS(E1487-Dashboard!$F$14)</f>
        <v>9.7233008760050836</v>
      </c>
      <c r="D1487" s="350">
        <f t="shared" ref="D1487:D1550" si="1521">D1486+0.0001</f>
        <v>0.22144999999999085</v>
      </c>
      <c r="E1487" s="359" cm="1">
        <f t="array" ref="E1487">1000*SUM('DRE + DCF'!$L$36/M1487,'DRE + DCF'!$N$36:$V$36/N1487:V1487,F1487/V1487)/Dashboard!$F$11</f>
        <v>87.266699123994911</v>
      </c>
      <c r="F1487" s="359">
        <f t="shared" si="1519"/>
        <v>12547853.914878292</v>
      </c>
      <c r="G1487" s="359">
        <f>'DRE + DCF'!$W$31</f>
        <v>2791623.3540418856</v>
      </c>
      <c r="H1487" s="359">
        <f>'DRE + DCF'!$W$32</f>
        <v>81081.931703745853</v>
      </c>
      <c r="I1487" s="359">
        <f>-H1487*('DRE + DCF'!$V$33+K1487)/'DRE + DCF'!$V$33</f>
        <v>-90858.801614444121</v>
      </c>
      <c r="J1487" s="359">
        <f>-'DRE + DCF'!$V$56*L1487</f>
        <v>-1188924.4255577971</v>
      </c>
      <c r="K1487" s="360">
        <f>(1+L1487)/(1+Ke!$O$12)-1</f>
        <v>2.0000000000000018E-2</v>
      </c>
      <c r="L1487" s="360">
        <f>'DRE + DCF'!$Y$31</f>
        <v>7.3550000000000004E-2</v>
      </c>
      <c r="M1487" s="361">
        <f>(1+D1487)^((5-Dashboard!$F$9)*3/12)</f>
        <v>1.1618679459364158</v>
      </c>
      <c r="N1487" s="361">
        <f t="shared" ref="N1487:V1487" si="1522">M1487*(1+$D1487)</f>
        <v>1.4191636025640244</v>
      </c>
      <c r="O1487" s="361">
        <f t="shared" si="1522"/>
        <v>1.7334373823518145</v>
      </c>
      <c r="P1487" s="361">
        <f t="shared" si="1522"/>
        <v>2.117307090673608</v>
      </c>
      <c r="Q1487" s="361">
        <f t="shared" si="1522"/>
        <v>2.586184745903259</v>
      </c>
      <c r="R1487" s="361">
        <f t="shared" si="1522"/>
        <v>3.1588953578835119</v>
      </c>
      <c r="S1487" s="361">
        <f t="shared" si="1522"/>
        <v>3.8584327348867866</v>
      </c>
      <c r="T1487" s="361">
        <f t="shared" si="1522"/>
        <v>4.7128826640274299</v>
      </c>
      <c r="U1487" s="361">
        <f t="shared" si="1522"/>
        <v>5.7565505299762609</v>
      </c>
      <c r="V1487" s="362">
        <f t="shared" si="1522"/>
        <v>7.031338644839451</v>
      </c>
      <c r="X1487" s="351"/>
    </row>
    <row r="1488" spans="3:24" ht="24.75" customHeight="1" x14ac:dyDescent="0.3">
      <c r="C1488" s="353">
        <f>ABS(E1488-Dashboard!$F$14)</f>
        <v>9.7883203944551411</v>
      </c>
      <c r="D1488" s="350">
        <f t="shared" si="1521"/>
        <v>0.22154999999999084</v>
      </c>
      <c r="E1488" s="359" cm="1">
        <f t="array" ref="E1488">1000*SUM('DRE + DCF'!$L$36/M1488,'DRE + DCF'!$N$36:$V$36/N1488:V1488,F1488/V1488)/Dashboard!$F$11</f>
        <v>87.201679605544854</v>
      </c>
      <c r="F1488" s="359">
        <f t="shared" si="1519"/>
        <v>12540893.463436682</v>
      </c>
      <c r="G1488" s="359">
        <f>'DRE + DCF'!$W$31</f>
        <v>2791623.3540418856</v>
      </c>
      <c r="H1488" s="359">
        <f>'DRE + DCF'!$W$32</f>
        <v>81081.931703745853</v>
      </c>
      <c r="I1488" s="359">
        <f>-H1488*('DRE + DCF'!$V$33+K1488)/'DRE + DCF'!$V$33</f>
        <v>-90858.801614444121</v>
      </c>
      <c r="J1488" s="359">
        <f>-'DRE + DCF'!$V$56*L1488</f>
        <v>-1188924.4255577971</v>
      </c>
      <c r="K1488" s="360">
        <f>(1+L1488)/(1+Ke!$O$12)-1</f>
        <v>2.0000000000000018E-2</v>
      </c>
      <c r="L1488" s="360">
        <f>'DRE + DCF'!$Y$31</f>
        <v>7.3550000000000004E-2</v>
      </c>
      <c r="M1488" s="361">
        <f>(1+D1488)^((5-Dashboard!$F$9)*3/12)</f>
        <v>1.1619392867233549</v>
      </c>
      <c r="N1488" s="361">
        <f t="shared" ref="N1488:V1488" si="1523">M1488*(1+$D1488)</f>
        <v>1.4193669356969034</v>
      </c>
      <c r="O1488" s="361">
        <f t="shared" si="1523"/>
        <v>1.7338276803005392</v>
      </c>
      <c r="P1488" s="361">
        <f t="shared" si="1523"/>
        <v>2.1179572028711076</v>
      </c>
      <c r="Q1488" s="361">
        <f t="shared" si="1523"/>
        <v>2.5871906211671818</v>
      </c>
      <c r="R1488" s="361">
        <f t="shared" si="1523"/>
        <v>3.1603827032867473</v>
      </c>
      <c r="S1488" s="361">
        <f t="shared" si="1523"/>
        <v>3.860565491199897</v>
      </c>
      <c r="T1488" s="361">
        <f t="shared" si="1523"/>
        <v>4.715873775775199</v>
      </c>
      <c r="U1488" s="361">
        <f t="shared" si="1523"/>
        <v>5.7606756107981507</v>
      </c>
      <c r="V1488" s="362">
        <f t="shared" si="1523"/>
        <v>7.0369532923704279</v>
      </c>
      <c r="X1488" s="351"/>
    </row>
    <row r="1489" spans="3:24" ht="24.75" customHeight="1" x14ac:dyDescent="0.3">
      <c r="C1489" s="353">
        <f>ABS(E1489-Dashboard!$F$14)</f>
        <v>9.8532558141005637</v>
      </c>
      <c r="D1489" s="350">
        <f t="shared" si="1521"/>
        <v>0.22164999999999083</v>
      </c>
      <c r="E1489" s="359" cm="1">
        <f t="array" ref="E1489">1000*SUM('DRE + DCF'!$L$36/M1489,'DRE + DCF'!$N$36:$V$36/N1489:V1489,F1489/V1489)/Dashboard!$F$11</f>
        <v>87.136744185899431</v>
      </c>
      <c r="F1489" s="359">
        <f t="shared" si="1519"/>
        <v>12533941.043012116</v>
      </c>
      <c r="G1489" s="359">
        <f>'DRE + DCF'!$W$31</f>
        <v>2791623.3540418856</v>
      </c>
      <c r="H1489" s="359">
        <f>'DRE + DCF'!$W$32</f>
        <v>81081.931703745853</v>
      </c>
      <c r="I1489" s="359">
        <f>-H1489*('DRE + DCF'!$V$33+K1489)/'DRE + DCF'!$V$33</f>
        <v>-90858.801614444121</v>
      </c>
      <c r="J1489" s="359">
        <f>-'DRE + DCF'!$V$56*L1489</f>
        <v>-1188924.4255577971</v>
      </c>
      <c r="K1489" s="360">
        <f>(1+L1489)/(1+Ke!$O$12)-1</f>
        <v>2.0000000000000018E-2</v>
      </c>
      <c r="L1489" s="360">
        <f>'DRE + DCF'!$Y$31</f>
        <v>7.3550000000000004E-2</v>
      </c>
      <c r="M1489" s="361">
        <f>(1+D1489)^((5-Dashboard!$F$9)*3/12)</f>
        <v>1.1620106260502625</v>
      </c>
      <c r="N1489" s="361">
        <f t="shared" ref="N1489:V1489" si="1524">M1489*(1+$D1489)</f>
        <v>1.4195702813142925</v>
      </c>
      <c r="O1489" s="361">
        <f t="shared" si="1524"/>
        <v>1.7342180341675923</v>
      </c>
      <c r="P1489" s="361">
        <f t="shared" si="1524"/>
        <v>2.1186074614408232</v>
      </c>
      <c r="Q1489" s="361">
        <f t="shared" si="1524"/>
        <v>2.5881968052691624</v>
      </c>
      <c r="R1489" s="361">
        <f t="shared" si="1524"/>
        <v>3.1618706271570485</v>
      </c>
      <c r="S1489" s="361">
        <f t="shared" si="1524"/>
        <v>3.8626992516663794</v>
      </c>
      <c r="T1489" s="361">
        <f t="shared" si="1524"/>
        <v>4.7188665407981967</v>
      </c>
      <c r="U1489" s="361">
        <f t="shared" si="1524"/>
        <v>5.7648033095660738</v>
      </c>
      <c r="V1489" s="362">
        <f t="shared" si="1524"/>
        <v>7.0425719631313406</v>
      </c>
      <c r="X1489" s="351"/>
    </row>
    <row r="1490" spans="3:24" ht="24.75" customHeight="1" x14ac:dyDescent="0.3">
      <c r="C1490" s="353">
        <f>ABS(E1490-Dashboard!$F$14)</f>
        <v>9.9181072886548378</v>
      </c>
      <c r="D1490" s="350">
        <f t="shared" si="1521"/>
        <v>0.22174999999999082</v>
      </c>
      <c r="E1490" s="359" cm="1">
        <f t="array" ref="E1490">1000*SUM('DRE + DCF'!$L$36/M1490,'DRE + DCF'!$N$36:$V$36/N1490:V1490,F1490/V1490)/Dashboard!$F$11</f>
        <v>87.071892711345157</v>
      </c>
      <c r="F1490" s="359">
        <f t="shared" si="1519"/>
        <v>12526996.639197834</v>
      </c>
      <c r="G1490" s="359">
        <f>'DRE + DCF'!$W$31</f>
        <v>2791623.3540418856</v>
      </c>
      <c r="H1490" s="359">
        <f>'DRE + DCF'!$W$32</f>
        <v>81081.931703745853</v>
      </c>
      <c r="I1490" s="359">
        <f>-H1490*('DRE + DCF'!$V$33+K1490)/'DRE + DCF'!$V$33</f>
        <v>-90858.801614444121</v>
      </c>
      <c r="J1490" s="359">
        <f>-'DRE + DCF'!$V$56*L1490</f>
        <v>-1188924.4255577971</v>
      </c>
      <c r="K1490" s="360">
        <f>(1+L1490)/(1+Ke!$O$12)-1</f>
        <v>2.0000000000000018E-2</v>
      </c>
      <c r="L1490" s="360">
        <f>'DRE + DCF'!$Y$31</f>
        <v>7.3550000000000004E-2</v>
      </c>
      <c r="M1490" s="361">
        <f>(1+D1490)^((5-Dashboard!$F$9)*3/12)</f>
        <v>1.1620819639172879</v>
      </c>
      <c r="N1490" s="361">
        <f t="shared" ref="N1490:V1490" si="1525">M1490*(1+$D1490)</f>
        <v>1.4197736394159357</v>
      </c>
      <c r="O1490" s="361">
        <f t="shared" si="1525"/>
        <v>1.7346084439564065</v>
      </c>
      <c r="P1490" s="361">
        <f t="shared" si="1525"/>
        <v>2.1192578664037236</v>
      </c>
      <c r="Q1490" s="361">
        <f t="shared" si="1525"/>
        <v>2.5892032982787296</v>
      </c>
      <c r="R1490" s="361">
        <f t="shared" si="1525"/>
        <v>3.1633591296720143</v>
      </c>
      <c r="S1490" s="361">
        <f t="shared" si="1525"/>
        <v>3.8648340166767543</v>
      </c>
      <c r="T1490" s="361">
        <f t="shared" si="1525"/>
        <v>4.7218609598747889</v>
      </c>
      <c r="U1490" s="361">
        <f t="shared" si="1525"/>
        <v>5.7689336277269803</v>
      </c>
      <c r="V1490" s="362">
        <f t="shared" si="1525"/>
        <v>7.0481946596753851</v>
      </c>
      <c r="X1490" s="351"/>
    </row>
    <row r="1491" spans="3:24" ht="24.75" customHeight="1" x14ac:dyDescent="0.3">
      <c r="C1491" s="353">
        <f>ABS(E1491-Dashboard!$F$14)</f>
        <v>9.982874971460987</v>
      </c>
      <c r="D1491" s="350">
        <f t="shared" si="1521"/>
        <v>0.2218499999999908</v>
      </c>
      <c r="E1491" s="359" cm="1">
        <f t="array" ref="E1491">1000*SUM('DRE + DCF'!$L$36/M1491,'DRE + DCF'!$N$36:$V$36/N1491:V1491,F1491/V1491)/Dashboard!$F$11</f>
        <v>87.007125028539008</v>
      </c>
      <c r="F1491" s="359">
        <f t="shared" si="1519"/>
        <v>12520060.237622598</v>
      </c>
      <c r="G1491" s="359">
        <f>'DRE + DCF'!$W$31</f>
        <v>2791623.3540418856</v>
      </c>
      <c r="H1491" s="359">
        <f>'DRE + DCF'!$W$32</f>
        <v>81081.931703745853</v>
      </c>
      <c r="I1491" s="359">
        <f>-H1491*('DRE + DCF'!$V$33+K1491)/'DRE + DCF'!$V$33</f>
        <v>-90858.801614444121</v>
      </c>
      <c r="J1491" s="359">
        <f>-'DRE + DCF'!$V$56*L1491</f>
        <v>-1188924.4255577971</v>
      </c>
      <c r="K1491" s="360">
        <f>(1+L1491)/(1+Ke!$O$12)-1</f>
        <v>2.0000000000000018E-2</v>
      </c>
      <c r="L1491" s="360">
        <f>'DRE + DCF'!$Y$31</f>
        <v>7.3550000000000004E-2</v>
      </c>
      <c r="M1491" s="361">
        <f>(1+D1491)^((5-Dashboard!$F$9)*3/12)</f>
        <v>1.1621533003245808</v>
      </c>
      <c r="N1491" s="361">
        <f t="shared" ref="N1491:V1491" si="1526">M1491*(1+$D1491)</f>
        <v>1.4199770100015783</v>
      </c>
      <c r="O1491" s="361">
        <f t="shared" si="1526"/>
        <v>1.7349989096704153</v>
      </c>
      <c r="P1491" s="361">
        <f t="shared" si="1526"/>
        <v>2.1199084177807808</v>
      </c>
      <c r="Q1491" s="361">
        <f t="shared" si="1526"/>
        <v>2.5902101002654274</v>
      </c>
      <c r="R1491" s="361">
        <f t="shared" si="1526"/>
        <v>3.1648482110092888</v>
      </c>
      <c r="S1491" s="361">
        <f t="shared" si="1526"/>
        <v>3.8669697866216706</v>
      </c>
      <c r="T1491" s="361">
        <f t="shared" si="1526"/>
        <v>4.7248570337836524</v>
      </c>
      <c r="U1491" s="361">
        <f t="shared" si="1526"/>
        <v>5.7730665667285122</v>
      </c>
      <c r="V1491" s="362">
        <f t="shared" si="1526"/>
        <v>7.0538213845571791</v>
      </c>
      <c r="X1491" s="351"/>
    </row>
    <row r="1492" spans="3:24" ht="24.75" customHeight="1" x14ac:dyDescent="0.3">
      <c r="C1492" s="353">
        <f>ABS(E1492-Dashboard!$F$14)</f>
        <v>10.04755901549261</v>
      </c>
      <c r="D1492" s="350">
        <f t="shared" si="1521"/>
        <v>0.22194999999999079</v>
      </c>
      <c r="E1492" s="359" cm="1">
        <f t="array" ref="E1492">1000*SUM('DRE + DCF'!$L$36/M1492,'DRE + DCF'!$N$36:$V$36/N1492:V1492,F1492/V1492)/Dashboard!$F$11</f>
        <v>86.942440984507385</v>
      </c>
      <c r="F1492" s="359">
        <f t="shared" si="1519"/>
        <v>12513131.823950583</v>
      </c>
      <c r="G1492" s="359">
        <f>'DRE + DCF'!$W$31</f>
        <v>2791623.3540418856</v>
      </c>
      <c r="H1492" s="359">
        <f>'DRE + DCF'!$W$32</f>
        <v>81081.931703745853</v>
      </c>
      <c r="I1492" s="359">
        <f>-H1492*('DRE + DCF'!$V$33+K1492)/'DRE + DCF'!$V$33</f>
        <v>-90858.801614444121</v>
      </c>
      <c r="J1492" s="359">
        <f>-'DRE + DCF'!$V$56*L1492</f>
        <v>-1188924.4255577971</v>
      </c>
      <c r="K1492" s="360">
        <f>(1+L1492)/(1+Ke!$O$12)-1</f>
        <v>2.0000000000000018E-2</v>
      </c>
      <c r="L1492" s="360">
        <f>'DRE + DCF'!$Y$31</f>
        <v>7.3550000000000004E-2</v>
      </c>
      <c r="M1492" s="361">
        <f>(1+D1492)^((5-Dashboard!$F$9)*3/12)</f>
        <v>1.1622246352722903</v>
      </c>
      <c r="N1492" s="361">
        <f t="shared" ref="N1492:V1492" si="1527">M1492*(1+$D1492)</f>
        <v>1.4201803930709644</v>
      </c>
      <c r="O1492" s="361">
        <f t="shared" si="1527"/>
        <v>1.7353894313130518</v>
      </c>
      <c r="P1492" s="361">
        <f t="shared" si="1527"/>
        <v>2.1205591155929677</v>
      </c>
      <c r="Q1492" s="361">
        <f t="shared" si="1527"/>
        <v>2.5912172112988072</v>
      </c>
      <c r="R1492" s="361">
        <f t="shared" si="1527"/>
        <v>3.1663378713465535</v>
      </c>
      <c r="S1492" s="361">
        <f t="shared" si="1527"/>
        <v>3.8691065618918921</v>
      </c>
      <c r="T1492" s="361">
        <f t="shared" si="1527"/>
        <v>4.7278547633037622</v>
      </c>
      <c r="U1492" s="361">
        <f t="shared" si="1527"/>
        <v>5.7772021280189882</v>
      </c>
      <c r="V1492" s="362">
        <f t="shared" si="1527"/>
        <v>7.0594521403327493</v>
      </c>
      <c r="X1492" s="351"/>
    </row>
    <row r="1493" spans="3:24" ht="24.75" customHeight="1" x14ac:dyDescent="0.3">
      <c r="C1493" s="353">
        <f>ABS(E1493-Dashboard!$F$14)</f>
        <v>10.112159573355115</v>
      </c>
      <c r="D1493" s="350">
        <f t="shared" si="1521"/>
        <v>0.22204999999999078</v>
      </c>
      <c r="E1493" s="359" cm="1">
        <f t="array" ref="E1493">1000*SUM('DRE + DCF'!$L$36/M1493,'DRE + DCF'!$N$36:$V$36/N1493:V1493,F1493/V1493)/Dashboard!$F$11</f>
        <v>86.87784042664488</v>
      </c>
      <c r="F1493" s="359">
        <f t="shared" si="1519"/>
        <v>12506211.383881271</v>
      </c>
      <c r="G1493" s="359">
        <f>'DRE + DCF'!$W$31</f>
        <v>2791623.3540418856</v>
      </c>
      <c r="H1493" s="359">
        <f>'DRE + DCF'!$W$32</f>
        <v>81081.931703745853</v>
      </c>
      <c r="I1493" s="359">
        <f>-H1493*('DRE + DCF'!$V$33+K1493)/'DRE + DCF'!$V$33</f>
        <v>-90858.801614444121</v>
      </c>
      <c r="J1493" s="359">
        <f>-'DRE + DCF'!$V$56*L1493</f>
        <v>-1188924.4255577971</v>
      </c>
      <c r="K1493" s="360">
        <f>(1+L1493)/(1+Ke!$O$12)-1</f>
        <v>2.0000000000000018E-2</v>
      </c>
      <c r="L1493" s="360">
        <f>'DRE + DCF'!$Y$31</f>
        <v>7.3550000000000004E-2</v>
      </c>
      <c r="M1493" s="361">
        <f>(1+D1493)^((5-Dashboard!$F$9)*3/12)</f>
        <v>1.1622959687605656</v>
      </c>
      <c r="N1493" s="361">
        <f t="shared" ref="N1493:V1493" si="1528">M1493*(1+$D1493)</f>
        <v>1.4203837886238384</v>
      </c>
      <c r="O1493" s="361">
        <f t="shared" si="1528"/>
        <v>1.7357800088877486</v>
      </c>
      <c r="P1493" s="361">
        <f t="shared" si="1528"/>
        <v>2.121209959861257</v>
      </c>
      <c r="Q1493" s="361">
        <f t="shared" si="1528"/>
        <v>2.5922246314484294</v>
      </c>
      <c r="R1493" s="361">
        <f t="shared" si="1528"/>
        <v>3.1678281108615294</v>
      </c>
      <c r="S1493" s="361">
        <f t="shared" si="1528"/>
        <v>3.8712443428783025</v>
      </c>
      <c r="T1493" s="361">
        <f t="shared" si="1528"/>
        <v>4.7308541492143936</v>
      </c>
      <c r="U1493" s="361">
        <f t="shared" si="1528"/>
        <v>5.7813403130474059</v>
      </c>
      <c r="V1493" s="362">
        <f t="shared" si="1528"/>
        <v>7.0650869295595289</v>
      </c>
      <c r="X1493" s="351"/>
    </row>
    <row r="1494" spans="3:24" ht="24.75" customHeight="1" x14ac:dyDescent="0.3">
      <c r="C1494" s="353">
        <f>ABS(E1494-Dashboard!$F$14)</f>
        <v>10.176676797286817</v>
      </c>
      <c r="D1494" s="350">
        <f t="shared" si="1521"/>
        <v>0.22214999999999077</v>
      </c>
      <c r="E1494" s="359" cm="1">
        <f t="array" ref="E1494">1000*SUM('DRE + DCF'!$L$36/M1494,'DRE + DCF'!$N$36:$V$36/N1494:V1494,F1494/V1494)/Dashboard!$F$11</f>
        <v>86.813323202713178</v>
      </c>
      <c r="F1494" s="359">
        <f t="shared" si="1519"/>
        <v>12499298.903149322</v>
      </c>
      <c r="G1494" s="359">
        <f>'DRE + DCF'!$W$31</f>
        <v>2791623.3540418856</v>
      </c>
      <c r="H1494" s="359">
        <f>'DRE + DCF'!$W$32</f>
        <v>81081.931703745853</v>
      </c>
      <c r="I1494" s="359">
        <f>-H1494*('DRE + DCF'!$V$33+K1494)/'DRE + DCF'!$V$33</f>
        <v>-90858.801614444121</v>
      </c>
      <c r="J1494" s="359">
        <f>-'DRE + DCF'!$V$56*L1494</f>
        <v>-1188924.4255577971</v>
      </c>
      <c r="K1494" s="360">
        <f>(1+L1494)/(1+Ke!$O$12)-1</f>
        <v>2.0000000000000018E-2</v>
      </c>
      <c r="L1494" s="360">
        <f>'DRE + DCF'!$Y$31</f>
        <v>7.3550000000000004E-2</v>
      </c>
      <c r="M1494" s="361">
        <f>(1+D1494)^((5-Dashboard!$F$9)*3/12)</f>
        <v>1.1623673007895561</v>
      </c>
      <c r="N1494" s="361">
        <f t="shared" ref="N1494:V1494" si="1529">M1494*(1+$D1494)</f>
        <v>1.4205871966599453</v>
      </c>
      <c r="O1494" s="361">
        <f t="shared" si="1529"/>
        <v>1.7361706423979391</v>
      </c>
      <c r="P1494" s="361">
        <f t="shared" si="1529"/>
        <v>2.1218609506066253</v>
      </c>
      <c r="Q1494" s="361">
        <f t="shared" si="1529"/>
        <v>2.5932323607838677</v>
      </c>
      <c r="R1494" s="361">
        <f t="shared" si="1529"/>
        <v>3.1693189297319799</v>
      </c>
      <c r="S1494" s="361">
        <f t="shared" si="1529"/>
        <v>3.8733831299719101</v>
      </c>
      <c r="T1494" s="361">
        <f t="shared" si="1529"/>
        <v>4.7338551922951337</v>
      </c>
      <c r="U1494" s="361">
        <f t="shared" si="1529"/>
        <v>5.7854811232634535</v>
      </c>
      <c r="V1494" s="362">
        <f t="shared" si="1529"/>
        <v>7.070725754796376</v>
      </c>
      <c r="X1494" s="351"/>
    </row>
    <row r="1495" spans="3:24" ht="24.75" customHeight="1" x14ac:dyDescent="0.3">
      <c r="C1495" s="353">
        <f>ABS(E1495-Dashboard!$F$14)</f>
        <v>10.241110839159887</v>
      </c>
      <c r="D1495" s="350">
        <f t="shared" si="1521"/>
        <v>0.22224999999999076</v>
      </c>
      <c r="E1495" s="359" cm="1">
        <f t="array" ref="E1495">1000*SUM('DRE + DCF'!$L$36/M1495,'DRE + DCF'!$N$36:$V$36/N1495:V1495,F1495/V1495)/Dashboard!$F$11</f>
        <v>86.748889160840108</v>
      </c>
      <c r="F1495" s="359">
        <f t="shared" si="1519"/>
        <v>12492394.367524486</v>
      </c>
      <c r="G1495" s="359">
        <f>'DRE + DCF'!$W$31</f>
        <v>2791623.3540418856</v>
      </c>
      <c r="H1495" s="359">
        <f>'DRE + DCF'!$W$32</f>
        <v>81081.931703745853</v>
      </c>
      <c r="I1495" s="359">
        <f>-H1495*('DRE + DCF'!$V$33+K1495)/'DRE + DCF'!$V$33</f>
        <v>-90858.801614444121</v>
      </c>
      <c r="J1495" s="359">
        <f>-'DRE + DCF'!$V$56*L1495</f>
        <v>-1188924.4255577971</v>
      </c>
      <c r="K1495" s="360">
        <f>(1+L1495)/(1+Ke!$O$12)-1</f>
        <v>2.0000000000000018E-2</v>
      </c>
      <c r="L1495" s="360">
        <f>'DRE + DCF'!$Y$31</f>
        <v>7.3550000000000004E-2</v>
      </c>
      <c r="M1495" s="361">
        <f>(1+D1495)^((5-Dashboard!$F$9)*3/12)</f>
        <v>1.1624386313594113</v>
      </c>
      <c r="N1495" s="361">
        <f t="shared" ref="N1495:V1495" si="1530">M1495*(1+$D1495)</f>
        <v>1.4207906171790297</v>
      </c>
      <c r="O1495" s="361">
        <f t="shared" si="1530"/>
        <v>1.7365613318470559</v>
      </c>
      <c r="P1495" s="361">
        <f t="shared" si="1530"/>
        <v>2.1225120878500481</v>
      </c>
      <c r="Q1495" s="361">
        <f t="shared" si="1530"/>
        <v>2.5942403993747014</v>
      </c>
      <c r="R1495" s="361">
        <f t="shared" si="1530"/>
        <v>3.1708103281357047</v>
      </c>
      <c r="S1495" s="361">
        <f t="shared" si="1530"/>
        <v>3.8755229235638358</v>
      </c>
      <c r="T1495" s="361">
        <f t="shared" si="1530"/>
        <v>4.7368578933258627</v>
      </c>
      <c r="U1495" s="361">
        <f t="shared" si="1530"/>
        <v>5.7896245601174918</v>
      </c>
      <c r="V1495" s="362">
        <f t="shared" si="1530"/>
        <v>7.076368618603551</v>
      </c>
      <c r="X1495" s="351"/>
    </row>
    <row r="1496" spans="3:24" ht="24.75" customHeight="1" x14ac:dyDescent="0.3">
      <c r="C1496" s="353">
        <f>ABS(E1496-Dashboard!$F$14)</f>
        <v>10.305461850481734</v>
      </c>
      <c r="D1496" s="350">
        <f t="shared" si="1521"/>
        <v>0.22234999999999075</v>
      </c>
      <c r="E1496" s="359" cm="1">
        <f t="array" ref="E1496">1000*SUM('DRE + DCF'!$L$36/M1496,'DRE + DCF'!$N$36:$V$36/N1496:V1496,F1496/V1496)/Dashboard!$F$11</f>
        <v>86.684538149518261</v>
      </c>
      <c r="F1496" s="359">
        <f t="shared" si="1519"/>
        <v>12485497.762811471</v>
      </c>
      <c r="G1496" s="359">
        <f>'DRE + DCF'!$W$31</f>
        <v>2791623.3540418856</v>
      </c>
      <c r="H1496" s="359">
        <f>'DRE + DCF'!$W$32</f>
        <v>81081.931703745853</v>
      </c>
      <c r="I1496" s="359">
        <f>-H1496*('DRE + DCF'!$V$33+K1496)/'DRE + DCF'!$V$33</f>
        <v>-90858.801614444121</v>
      </c>
      <c r="J1496" s="359">
        <f>-'DRE + DCF'!$V$56*L1496</f>
        <v>-1188924.4255577971</v>
      </c>
      <c r="K1496" s="360">
        <f>(1+L1496)/(1+Ke!$O$12)-1</f>
        <v>2.0000000000000018E-2</v>
      </c>
      <c r="L1496" s="360">
        <f>'DRE + DCF'!$Y$31</f>
        <v>7.3550000000000004E-2</v>
      </c>
      <c r="M1496" s="361">
        <f>(1+D1496)^((5-Dashboard!$F$9)*3/12)</f>
        <v>1.16250996047028</v>
      </c>
      <c r="N1496" s="361">
        <f t="shared" ref="N1496:V1496" si="1531">M1496*(1+$D1496)</f>
        <v>1.420994050180836</v>
      </c>
      <c r="O1496" s="361">
        <f t="shared" si="1531"/>
        <v>1.7369520772385316</v>
      </c>
      <c r="P1496" s="361">
        <f t="shared" si="1531"/>
        <v>2.1231633716125029</v>
      </c>
      <c r="Q1496" s="361">
        <f t="shared" si="1531"/>
        <v>2.595248747290523</v>
      </c>
      <c r="R1496" s="361">
        <f t="shared" si="1531"/>
        <v>3.1723023062505469</v>
      </c>
      <c r="S1496" s="361">
        <f t="shared" si="1531"/>
        <v>3.8776637240453264</v>
      </c>
      <c r="T1496" s="361">
        <f t="shared" si="1531"/>
        <v>4.7398622530867689</v>
      </c>
      <c r="U1496" s="361">
        <f t="shared" si="1531"/>
        <v>5.7937706250605681</v>
      </c>
      <c r="V1496" s="362">
        <f t="shared" si="1531"/>
        <v>7.082015523542732</v>
      </c>
      <c r="X1496" s="351"/>
    </row>
    <row r="1497" spans="3:24" ht="24.75" customHeight="1" x14ac:dyDescent="0.3">
      <c r="C1497" s="353">
        <f>ABS(E1497-Dashboard!$F$14)</f>
        <v>10.369729982395967</v>
      </c>
      <c r="D1497" s="350">
        <f t="shared" si="1521"/>
        <v>0.22244999999999074</v>
      </c>
      <c r="E1497" s="359" cm="1">
        <f t="array" ref="E1497">1000*SUM('DRE + DCF'!$L$36/M1497,'DRE + DCF'!$N$36:$V$36/N1497:V1497,F1497/V1497)/Dashboard!$F$11</f>
        <v>86.620270017604028</v>
      </c>
      <c r="F1497" s="359">
        <f t="shared" si="1519"/>
        <v>12478609.074849848</v>
      </c>
      <c r="G1497" s="359">
        <f>'DRE + DCF'!$W$31</f>
        <v>2791623.3540418856</v>
      </c>
      <c r="H1497" s="359">
        <f>'DRE + DCF'!$W$32</f>
        <v>81081.931703745853</v>
      </c>
      <c r="I1497" s="359">
        <f>-H1497*('DRE + DCF'!$V$33+K1497)/'DRE + DCF'!$V$33</f>
        <v>-90858.801614444121</v>
      </c>
      <c r="J1497" s="359">
        <f>-'DRE + DCF'!$V$56*L1497</f>
        <v>-1188924.4255577971</v>
      </c>
      <c r="K1497" s="360">
        <f>(1+L1497)/(1+Ke!$O$12)-1</f>
        <v>2.0000000000000018E-2</v>
      </c>
      <c r="L1497" s="360">
        <f>'DRE + DCF'!$Y$31</f>
        <v>7.3550000000000004E-2</v>
      </c>
      <c r="M1497" s="361">
        <f>(1+D1497)^((5-Dashboard!$F$9)*3/12)</f>
        <v>1.1625812881223117</v>
      </c>
      <c r="N1497" s="361">
        <f t="shared" ref="N1497:V1497" si="1532">M1497*(1+$D1497)</f>
        <v>1.421197495665109</v>
      </c>
      <c r="O1497" s="361">
        <f t="shared" si="1532"/>
        <v>1.7373428785757994</v>
      </c>
      <c r="P1497" s="361">
        <f t="shared" si="1532"/>
        <v>2.1238148019149699</v>
      </c>
      <c r="Q1497" s="361">
        <f t="shared" si="1532"/>
        <v>2.596257404600935</v>
      </c>
      <c r="R1497" s="361">
        <f t="shared" si="1532"/>
        <v>3.1737948642543889</v>
      </c>
      <c r="S1497" s="361">
        <f t="shared" si="1532"/>
        <v>3.8798055318077482</v>
      </c>
      <c r="T1497" s="361">
        <f t="shared" si="1532"/>
        <v>4.7428682723583462</v>
      </c>
      <c r="U1497" s="361">
        <f t="shared" si="1532"/>
        <v>5.7979193195444161</v>
      </c>
      <c r="V1497" s="362">
        <f t="shared" si="1532"/>
        <v>7.087666472177018</v>
      </c>
      <c r="X1497" s="351"/>
    </row>
    <row r="1498" spans="3:24" ht="24.75" customHeight="1" x14ac:dyDescent="0.3">
      <c r="C1498" s="353">
        <f>ABS(E1498-Dashboard!$F$14)</f>
        <v>10.433915385683406</v>
      </c>
      <c r="D1498" s="350">
        <f t="shared" si="1521"/>
        <v>0.22254999999999073</v>
      </c>
      <c r="E1498" s="359" cm="1">
        <f t="array" ref="E1498">1000*SUM('DRE + DCF'!$L$36/M1498,'DRE + DCF'!$N$36:$V$36/N1498:V1498,F1498/V1498)/Dashboard!$F$11</f>
        <v>86.556084614316589</v>
      </c>
      <c r="F1498" s="359">
        <f t="shared" si="1519"/>
        <v>12471728.289513934</v>
      </c>
      <c r="G1498" s="359">
        <f>'DRE + DCF'!$W$31</f>
        <v>2791623.3540418856</v>
      </c>
      <c r="H1498" s="359">
        <f>'DRE + DCF'!$W$32</f>
        <v>81081.931703745853</v>
      </c>
      <c r="I1498" s="359">
        <f>-H1498*('DRE + DCF'!$V$33+K1498)/'DRE + DCF'!$V$33</f>
        <v>-90858.801614444121</v>
      </c>
      <c r="J1498" s="359">
        <f>-'DRE + DCF'!$V$56*L1498</f>
        <v>-1188924.4255577971</v>
      </c>
      <c r="K1498" s="360">
        <f>(1+L1498)/(1+Ke!$O$12)-1</f>
        <v>2.0000000000000018E-2</v>
      </c>
      <c r="L1498" s="360">
        <f>'DRE + DCF'!$Y$31</f>
        <v>7.3550000000000004E-2</v>
      </c>
      <c r="M1498" s="361">
        <f>(1+D1498)^((5-Dashboard!$F$9)*3/12)</f>
        <v>1.1626526143156553</v>
      </c>
      <c r="N1498" s="361">
        <f t="shared" ref="N1498:V1498" si="1533">M1498*(1+$D1498)</f>
        <v>1.4214009536315935</v>
      </c>
      <c r="O1498" s="361">
        <f t="shared" si="1533"/>
        <v>1.7377337358622913</v>
      </c>
      <c r="P1498" s="361">
        <f t="shared" si="1533"/>
        <v>2.1244663787784281</v>
      </c>
      <c r="Q1498" s="361">
        <f t="shared" si="1533"/>
        <v>2.5972663713755475</v>
      </c>
      <c r="R1498" s="361">
        <f t="shared" si="1533"/>
        <v>3.1752880023251513</v>
      </c>
      <c r="S1498" s="361">
        <f t="shared" si="1533"/>
        <v>3.881948347242584</v>
      </c>
      <c r="T1498" s="361">
        <f t="shared" si="1533"/>
        <v>4.7458759519213851</v>
      </c>
      <c r="U1498" s="361">
        <f t="shared" si="1533"/>
        <v>5.8020706450214456</v>
      </c>
      <c r="V1498" s="362">
        <f t="shared" si="1533"/>
        <v>7.0933214670709148</v>
      </c>
      <c r="X1498" s="351"/>
    </row>
    <row r="1499" spans="3:24" ht="24.75" customHeight="1" x14ac:dyDescent="0.3">
      <c r="C1499" s="353">
        <f>ABS(E1499-Dashboard!$F$14)</f>
        <v>10.498018210763433</v>
      </c>
      <c r="D1499" s="350">
        <f t="shared" si="1521"/>
        <v>0.22264999999999072</v>
      </c>
      <c r="E1499" s="359" cm="1">
        <f t="array" ref="E1499">1000*SUM('DRE + DCF'!$L$36/M1499,'DRE + DCF'!$N$36:$V$36/N1499:V1499,F1499/V1499)/Dashboard!$F$11</f>
        <v>86.491981789236561</v>
      </c>
      <c r="F1499" s="359">
        <f t="shared" si="1519"/>
        <v>12464855.392712688</v>
      </c>
      <c r="G1499" s="359">
        <f>'DRE + DCF'!$W$31</f>
        <v>2791623.3540418856</v>
      </c>
      <c r="H1499" s="359">
        <f>'DRE + DCF'!$W$32</f>
        <v>81081.931703745853</v>
      </c>
      <c r="I1499" s="359">
        <f>-H1499*('DRE + DCF'!$V$33+K1499)/'DRE + DCF'!$V$33</f>
        <v>-90858.801614444121</v>
      </c>
      <c r="J1499" s="359">
        <f>-'DRE + DCF'!$V$56*L1499</f>
        <v>-1188924.4255577971</v>
      </c>
      <c r="K1499" s="360">
        <f>(1+L1499)/(1+Ke!$O$12)-1</f>
        <v>2.0000000000000018E-2</v>
      </c>
      <c r="L1499" s="360">
        <f>'DRE + DCF'!$Y$31</f>
        <v>7.3550000000000004E-2</v>
      </c>
      <c r="M1499" s="361">
        <f>(1+D1499)^((5-Dashboard!$F$9)*3/12)</f>
        <v>1.1627239390504602</v>
      </c>
      <c r="N1499" s="361">
        <f t="shared" ref="N1499:V1499" si="1534">M1499*(1+$D1499)</f>
        <v>1.4216044240800343</v>
      </c>
      <c r="O1499" s="361">
        <f t="shared" si="1534"/>
        <v>1.7381246491014406</v>
      </c>
      <c r="P1499" s="361">
        <f t="shared" si="1534"/>
        <v>2.1251181022238601</v>
      </c>
      <c r="Q1499" s="361">
        <f t="shared" si="1534"/>
        <v>2.5982756476839826</v>
      </c>
      <c r="R1499" s="361">
        <f t="shared" si="1534"/>
        <v>3.1767817206407969</v>
      </c>
      <c r="S1499" s="361">
        <f t="shared" si="1534"/>
        <v>3.8840921707414409</v>
      </c>
      <c r="T1499" s="361">
        <f t="shared" si="1534"/>
        <v>4.7488852925569862</v>
      </c>
      <c r="U1499" s="361">
        <f t="shared" si="1534"/>
        <v>5.8062246029447548</v>
      </c>
      <c r="V1499" s="362">
        <f t="shared" si="1534"/>
        <v>7.0989805107903505</v>
      </c>
      <c r="X1499" s="351"/>
    </row>
    <row r="1500" spans="3:24" ht="24.75" customHeight="1" x14ac:dyDescent="0.3">
      <c r="C1500" s="353">
        <f>ABS(E1500-Dashboard!$F$14)</f>
        <v>10.562038607694902</v>
      </c>
      <c r="D1500" s="350">
        <f t="shared" si="1521"/>
        <v>0.22274999999999071</v>
      </c>
      <c r="E1500" s="359" cm="1">
        <f t="array" ref="E1500">1000*SUM('DRE + DCF'!$L$36/M1500,'DRE + DCF'!$N$36:$V$36/N1500:V1500,F1500/V1500)/Dashboard!$F$11</f>
        <v>86.427961392305093</v>
      </c>
      <c r="F1500" s="359">
        <f t="shared" si="1519"/>
        <v>12457990.370389596</v>
      </c>
      <c r="G1500" s="359">
        <f>'DRE + DCF'!$W$31</f>
        <v>2791623.3540418856</v>
      </c>
      <c r="H1500" s="359">
        <f>'DRE + DCF'!$W$32</f>
        <v>81081.931703745853</v>
      </c>
      <c r="I1500" s="359">
        <f>-H1500*('DRE + DCF'!$V$33+K1500)/'DRE + DCF'!$V$33</f>
        <v>-90858.801614444121</v>
      </c>
      <c r="J1500" s="359">
        <f>-'DRE + DCF'!$V$56*L1500</f>
        <v>-1188924.4255577971</v>
      </c>
      <c r="K1500" s="360">
        <f>(1+L1500)/(1+Ke!$O$12)-1</f>
        <v>2.0000000000000018E-2</v>
      </c>
      <c r="L1500" s="360">
        <f>'DRE + DCF'!$Y$31</f>
        <v>7.3550000000000004E-2</v>
      </c>
      <c r="M1500" s="361">
        <f>(1+D1500)^((5-Dashboard!$F$9)*3/12)</f>
        <v>1.1627952623268756</v>
      </c>
      <c r="N1500" s="361">
        <f t="shared" ref="N1500:V1500" si="1535">M1500*(1+$D1500)</f>
        <v>1.4218079070101763</v>
      </c>
      <c r="O1500" s="361">
        <f t="shared" si="1535"/>
        <v>1.7385156182966799</v>
      </c>
      <c r="P1500" s="361">
        <f t="shared" si="1535"/>
        <v>2.125769972272249</v>
      </c>
      <c r="Q1500" s="361">
        <f t="shared" si="1535"/>
        <v>2.5992852335958725</v>
      </c>
      <c r="R1500" s="361">
        <f t="shared" si="1535"/>
        <v>3.1782760193793287</v>
      </c>
      <c r="S1500" s="361">
        <f t="shared" si="1535"/>
        <v>3.8862370026960447</v>
      </c>
      <c r="T1500" s="361">
        <f t="shared" si="1535"/>
        <v>4.751896295046552</v>
      </c>
      <c r="U1500" s="361">
        <f t="shared" si="1535"/>
        <v>5.8103811947681274</v>
      </c>
      <c r="V1500" s="362">
        <f t="shared" si="1535"/>
        <v>7.1046436059026741</v>
      </c>
      <c r="X1500" s="351"/>
    </row>
    <row r="1501" spans="3:24" ht="24.75" customHeight="1" x14ac:dyDescent="0.3">
      <c r="C1501" s="353">
        <f>ABS(E1501-Dashboard!$F$14)</f>
        <v>10.625976726177171</v>
      </c>
      <c r="D1501" s="350">
        <f t="shared" si="1521"/>
        <v>0.22284999999999069</v>
      </c>
      <c r="E1501" s="359" cm="1">
        <f t="array" ref="E1501">1000*SUM('DRE + DCF'!$L$36/M1501,'DRE + DCF'!$N$36:$V$36/N1501:V1501,F1501/V1501)/Dashboard!$F$11</f>
        <v>86.364023273822824</v>
      </c>
      <c r="F1501" s="359">
        <f t="shared" si="1519"/>
        <v>12451133.208522566</v>
      </c>
      <c r="G1501" s="359">
        <f>'DRE + DCF'!$W$31</f>
        <v>2791623.3540418856</v>
      </c>
      <c r="H1501" s="359">
        <f>'DRE + DCF'!$W$32</f>
        <v>81081.931703745853</v>
      </c>
      <c r="I1501" s="359">
        <f>-H1501*('DRE + DCF'!$V$33+K1501)/'DRE + DCF'!$V$33</f>
        <v>-90858.801614444121</v>
      </c>
      <c r="J1501" s="359">
        <f>-'DRE + DCF'!$V$56*L1501</f>
        <v>-1188924.4255577971</v>
      </c>
      <c r="K1501" s="360">
        <f>(1+L1501)/(1+Ke!$O$12)-1</f>
        <v>2.0000000000000018E-2</v>
      </c>
      <c r="L1501" s="360">
        <f>'DRE + DCF'!$Y$31</f>
        <v>7.3550000000000004E-2</v>
      </c>
      <c r="M1501" s="361">
        <f>(1+D1501)^((5-Dashboard!$F$9)*3/12)</f>
        <v>1.1628665841450501</v>
      </c>
      <c r="N1501" s="361">
        <f t="shared" ref="N1501:V1501" si="1536">M1501*(1+$D1501)</f>
        <v>1.4220114024217636</v>
      </c>
      <c r="O1501" s="361">
        <f t="shared" si="1536"/>
        <v>1.7389066434514404</v>
      </c>
      <c r="P1501" s="361">
        <f t="shared" si="1536"/>
        <v>2.1264219889445779</v>
      </c>
      <c r="Q1501" s="361">
        <f t="shared" si="1536"/>
        <v>2.6002951291808571</v>
      </c>
      <c r="R1501" s="361">
        <f t="shared" si="1536"/>
        <v>3.1797708987187869</v>
      </c>
      <c r="S1501" s="361">
        <f t="shared" si="1536"/>
        <v>3.8883828434982388</v>
      </c>
      <c r="T1501" s="361">
        <f t="shared" si="1536"/>
        <v>4.7549089601717851</v>
      </c>
      <c r="U1501" s="361">
        <f t="shared" si="1536"/>
        <v>5.8145404219460231</v>
      </c>
      <c r="V1501" s="362">
        <f t="shared" si="1536"/>
        <v>7.1103107549766404</v>
      </c>
      <c r="X1501" s="351"/>
    </row>
    <row r="1502" spans="3:24" ht="24.75" customHeight="1" x14ac:dyDescent="0.3">
      <c r="C1502" s="353">
        <f>ABS(E1502-Dashboard!$F$14)</f>
        <v>10.689832715551503</v>
      </c>
      <c r="D1502" s="350">
        <f t="shared" si="1521"/>
        <v>0.22294999999999068</v>
      </c>
      <c r="E1502" s="359" cm="1">
        <f t="array" ref="E1502">1000*SUM('DRE + DCF'!$L$36/M1502,'DRE + DCF'!$N$36:$V$36/N1502:V1502,F1502/V1502)/Dashboard!$F$11</f>
        <v>86.300167284448492</v>
      </c>
      <c r="F1502" s="359">
        <f t="shared" si="1519"/>
        <v>12444283.893123824</v>
      </c>
      <c r="G1502" s="359">
        <f>'DRE + DCF'!$W$31</f>
        <v>2791623.3540418856</v>
      </c>
      <c r="H1502" s="359">
        <f>'DRE + DCF'!$W$32</f>
        <v>81081.931703745853</v>
      </c>
      <c r="I1502" s="359">
        <f>-H1502*('DRE + DCF'!$V$33+K1502)/'DRE + DCF'!$V$33</f>
        <v>-90858.801614444121</v>
      </c>
      <c r="J1502" s="359">
        <f>-'DRE + DCF'!$V$56*L1502</f>
        <v>-1188924.4255577971</v>
      </c>
      <c r="K1502" s="360">
        <f>(1+L1502)/(1+Ke!$O$12)-1</f>
        <v>2.0000000000000018E-2</v>
      </c>
      <c r="L1502" s="360">
        <f>'DRE + DCF'!$Y$31</f>
        <v>7.3550000000000004E-2</v>
      </c>
      <c r="M1502" s="361">
        <f>(1+D1502)^((5-Dashboard!$F$9)*3/12)</f>
        <v>1.1629379045051333</v>
      </c>
      <c r="N1502" s="361">
        <f t="shared" ref="N1502:V1502" si="1537">M1502*(1+$D1502)</f>
        <v>1.4222149103145421</v>
      </c>
      <c r="O1502" s="361">
        <f t="shared" si="1537"/>
        <v>1.7392977245691559</v>
      </c>
      <c r="P1502" s="361">
        <f t="shared" si="1537"/>
        <v>2.1270741522618328</v>
      </c>
      <c r="Q1502" s="361">
        <f t="shared" si="1537"/>
        <v>2.6013053345085884</v>
      </c>
      <c r="R1502" s="361">
        <f t="shared" si="1537"/>
        <v>3.1812663588372536</v>
      </c>
      <c r="S1502" s="361">
        <f t="shared" si="1537"/>
        <v>3.8905296935399898</v>
      </c>
      <c r="T1502" s="361">
        <f t="shared" si="1537"/>
        <v>4.7579232887146938</v>
      </c>
      <c r="U1502" s="361">
        <f t="shared" si="1537"/>
        <v>5.8187022859335906</v>
      </c>
      <c r="V1502" s="362">
        <f t="shared" si="1537"/>
        <v>7.1159819605824302</v>
      </c>
      <c r="X1502" s="351"/>
    </row>
    <row r="1503" spans="3:24" ht="24.75" customHeight="1" x14ac:dyDescent="0.3">
      <c r="C1503" s="353">
        <f>ABS(E1503-Dashboard!$F$14)</f>
        <v>10.753606724801799</v>
      </c>
      <c r="D1503" s="350">
        <f t="shared" si="1521"/>
        <v>0.22304999999999067</v>
      </c>
      <c r="E1503" s="359" cm="1">
        <f t="array" ref="E1503">1000*SUM('DRE + DCF'!$L$36/M1503,'DRE + DCF'!$N$36:$V$36/N1503:V1503,F1503/V1503)/Dashboard!$F$11</f>
        <v>86.236393275198196</v>
      </c>
      <c r="F1503" s="359">
        <f t="shared" si="1519"/>
        <v>12437442.410239795</v>
      </c>
      <c r="G1503" s="359">
        <f>'DRE + DCF'!$W$31</f>
        <v>2791623.3540418856</v>
      </c>
      <c r="H1503" s="359">
        <f>'DRE + DCF'!$W$32</f>
        <v>81081.931703745853</v>
      </c>
      <c r="I1503" s="359">
        <f>-H1503*('DRE + DCF'!$V$33+K1503)/'DRE + DCF'!$V$33</f>
        <v>-90858.801614444121</v>
      </c>
      <c r="J1503" s="359">
        <f>-'DRE + DCF'!$V$56*L1503</f>
        <v>-1188924.4255577971</v>
      </c>
      <c r="K1503" s="360">
        <f>(1+L1503)/(1+Ke!$O$12)-1</f>
        <v>2.0000000000000018E-2</v>
      </c>
      <c r="L1503" s="360">
        <f>'DRE + DCF'!$Y$31</f>
        <v>7.3550000000000004E-2</v>
      </c>
      <c r="M1503" s="361">
        <f>(1+D1503)^((5-Dashboard!$F$9)*3/12)</f>
        <v>1.163009223407274</v>
      </c>
      <c r="N1503" s="361">
        <f t="shared" ref="N1503:V1503" si="1538">M1503*(1+$D1503)</f>
        <v>1.4224184306882555</v>
      </c>
      <c r="O1503" s="361">
        <f t="shared" si="1538"/>
        <v>1.7396888616532575</v>
      </c>
      <c r="P1503" s="361">
        <f t="shared" si="1538"/>
        <v>2.1277264622450005</v>
      </c>
      <c r="Q1503" s="361">
        <f t="shared" si="1538"/>
        <v>2.6023158496487278</v>
      </c>
      <c r="R1503" s="361">
        <f t="shared" si="1538"/>
        <v>3.182762399912852</v>
      </c>
      <c r="S1503" s="361">
        <f t="shared" si="1538"/>
        <v>3.8926775532133839</v>
      </c>
      <c r="T1503" s="361">
        <f t="shared" si="1538"/>
        <v>4.7609392814575928</v>
      </c>
      <c r="U1503" s="361">
        <f t="shared" si="1538"/>
        <v>5.8228667881866647</v>
      </c>
      <c r="V1503" s="362">
        <f t="shared" si="1538"/>
        <v>7.1216572252916457</v>
      </c>
      <c r="X1503" s="351"/>
    </row>
    <row r="1504" spans="3:24" ht="24.75" customHeight="1" x14ac:dyDescent="0.3">
      <c r="C1504" s="353">
        <f>ABS(E1504-Dashboard!$F$14)</f>
        <v>10.817298902555805</v>
      </c>
      <c r="D1504" s="350">
        <f t="shared" si="1521"/>
        <v>0.22314999999999066</v>
      </c>
      <c r="E1504" s="359" cm="1">
        <f t="array" ref="E1504">1000*SUM('DRE + DCF'!$L$36/M1504,'DRE + DCF'!$N$36:$V$36/N1504:V1504,F1504/V1504)/Dashboard!$F$11</f>
        <v>86.17270109744419</v>
      </c>
      <c r="F1504" s="359">
        <f t="shared" si="1519"/>
        <v>12430608.745951012</v>
      </c>
      <c r="G1504" s="359">
        <f>'DRE + DCF'!$W$31</f>
        <v>2791623.3540418856</v>
      </c>
      <c r="H1504" s="359">
        <f>'DRE + DCF'!$W$32</f>
        <v>81081.931703745853</v>
      </c>
      <c r="I1504" s="359">
        <f>-H1504*('DRE + DCF'!$V$33+K1504)/'DRE + DCF'!$V$33</f>
        <v>-90858.801614444121</v>
      </c>
      <c r="J1504" s="359">
        <f>-'DRE + DCF'!$V$56*L1504</f>
        <v>-1188924.4255577971</v>
      </c>
      <c r="K1504" s="360">
        <f>(1+L1504)/(1+Ke!$O$12)-1</f>
        <v>2.0000000000000018E-2</v>
      </c>
      <c r="L1504" s="360">
        <f>'DRE + DCF'!$Y$31</f>
        <v>7.3550000000000004E-2</v>
      </c>
      <c r="M1504" s="361">
        <f>(1+D1504)^((5-Dashboard!$F$9)*3/12)</f>
        <v>1.1630805408516209</v>
      </c>
      <c r="N1504" s="361">
        <f t="shared" ref="N1504:V1504" si="1539">M1504*(1+$D1504)</f>
        <v>1.4226219635426494</v>
      </c>
      <c r="O1504" s="361">
        <f t="shared" si="1539"/>
        <v>1.7400800547071782</v>
      </c>
      <c r="P1504" s="361">
        <f t="shared" si="1539"/>
        <v>2.1283789189150686</v>
      </c>
      <c r="Q1504" s="361">
        <f t="shared" si="1539"/>
        <v>2.6033266746709463</v>
      </c>
      <c r="R1504" s="361">
        <f t="shared" si="1539"/>
        <v>3.1842590221237437</v>
      </c>
      <c r="S1504" s="361">
        <f t="shared" si="1539"/>
        <v>3.8948264229106271</v>
      </c>
      <c r="T1504" s="361">
        <f t="shared" si="1539"/>
        <v>4.7639569391830969</v>
      </c>
      <c r="U1504" s="361">
        <f t="shared" si="1539"/>
        <v>5.8270339301617602</v>
      </c>
      <c r="V1504" s="362">
        <f t="shared" si="1539"/>
        <v>7.1273365516773026</v>
      </c>
      <c r="X1504" s="351"/>
    </row>
    <row r="1505" spans="3:24" ht="24.75" customHeight="1" x14ac:dyDescent="0.3">
      <c r="C1505" s="353">
        <f>ABS(E1505-Dashboard!$F$14)</f>
        <v>10.880909397086427</v>
      </c>
      <c r="D1505" s="350">
        <f t="shared" si="1521"/>
        <v>0.22324999999999065</v>
      </c>
      <c r="E1505" s="359" cm="1">
        <f t="array" ref="E1505">1000*SUM('DRE + DCF'!$L$36/M1505,'DRE + DCF'!$N$36:$V$36/N1505:V1505,F1505/V1505)/Dashboard!$F$11</f>
        <v>86.109090602913568</v>
      </c>
      <c r="F1505" s="359">
        <f t="shared" si="1519"/>
        <v>12423782.886371993</v>
      </c>
      <c r="G1505" s="359">
        <f>'DRE + DCF'!$W$31</f>
        <v>2791623.3540418856</v>
      </c>
      <c r="H1505" s="359">
        <f>'DRE + DCF'!$W$32</f>
        <v>81081.931703745853</v>
      </c>
      <c r="I1505" s="359">
        <f>-H1505*('DRE + DCF'!$V$33+K1505)/'DRE + DCF'!$V$33</f>
        <v>-90858.801614444121</v>
      </c>
      <c r="J1505" s="359">
        <f>-'DRE + DCF'!$V$56*L1505</f>
        <v>-1188924.4255577971</v>
      </c>
      <c r="K1505" s="360">
        <f>(1+L1505)/(1+Ke!$O$12)-1</f>
        <v>2.0000000000000018E-2</v>
      </c>
      <c r="L1505" s="360">
        <f>'DRE + DCF'!$Y$31</f>
        <v>7.3550000000000004E-2</v>
      </c>
      <c r="M1505" s="361">
        <f>(1+D1505)^((5-Dashboard!$F$9)*3/12)</f>
        <v>1.1631518568383237</v>
      </c>
      <c r="N1505" s="361">
        <f t="shared" ref="N1505:V1505" si="1540">M1505*(1+$D1505)</f>
        <v>1.4228255088774686</v>
      </c>
      <c r="O1505" s="361">
        <f t="shared" si="1540"/>
        <v>1.7404713037343502</v>
      </c>
      <c r="P1505" s="361">
        <f t="shared" si="1540"/>
        <v>2.1290315222930274</v>
      </c>
      <c r="Q1505" s="361">
        <f t="shared" si="1540"/>
        <v>2.6043378096449259</v>
      </c>
      <c r="R1505" s="361">
        <f t="shared" si="1540"/>
        <v>3.1857562256481313</v>
      </c>
      <c r="S1505" s="361">
        <f t="shared" si="1540"/>
        <v>3.8969763030240467</v>
      </c>
      <c r="T1505" s="361">
        <f t="shared" si="1540"/>
        <v>4.7669762626741283</v>
      </c>
      <c r="U1505" s="361">
        <f t="shared" si="1540"/>
        <v>5.831203713316083</v>
      </c>
      <c r="V1505" s="362">
        <f t="shared" si="1540"/>
        <v>7.1330199423138438</v>
      </c>
      <c r="X1505" s="351"/>
    </row>
    <row r="1506" spans="3:24" ht="24.75" customHeight="1" x14ac:dyDescent="0.3">
      <c r="C1506" s="353">
        <f>ABS(E1506-Dashboard!$F$14)</f>
        <v>10.94443835631229</v>
      </c>
      <c r="D1506" s="350">
        <f t="shared" si="1521"/>
        <v>0.22334999999999064</v>
      </c>
      <c r="E1506" s="359" cm="1">
        <f t="array" ref="E1506">1000*SUM('DRE + DCF'!$L$36/M1506,'DRE + DCF'!$N$36:$V$36/N1506:V1506,F1506/V1506)/Dashboard!$F$11</f>
        <v>86.045561643687705</v>
      </c>
      <c r="F1506" s="359">
        <f t="shared" si="1519"/>
        <v>12416964.817651145</v>
      </c>
      <c r="G1506" s="359">
        <f>'DRE + DCF'!$W$31</f>
        <v>2791623.3540418856</v>
      </c>
      <c r="H1506" s="359">
        <f>'DRE + DCF'!$W$32</f>
        <v>81081.931703745853</v>
      </c>
      <c r="I1506" s="359">
        <f>-H1506*('DRE + DCF'!$V$33+K1506)/'DRE + DCF'!$V$33</f>
        <v>-90858.801614444121</v>
      </c>
      <c r="J1506" s="359">
        <f>-'DRE + DCF'!$V$56*L1506</f>
        <v>-1188924.4255577971</v>
      </c>
      <c r="K1506" s="360">
        <f>(1+L1506)/(1+Ke!$O$12)-1</f>
        <v>2.0000000000000018E-2</v>
      </c>
      <c r="L1506" s="360">
        <f>'DRE + DCF'!$Y$31</f>
        <v>7.3550000000000004E-2</v>
      </c>
      <c r="M1506" s="361">
        <f>(1+D1506)^((5-Dashboard!$F$9)*3/12)</f>
        <v>1.1632231713675307</v>
      </c>
      <c r="N1506" s="361">
        <f t="shared" ref="N1506:V1506" si="1541">M1506*(1+$D1506)</f>
        <v>1.4230290666924579</v>
      </c>
      <c r="O1506" s="361">
        <f t="shared" si="1541"/>
        <v>1.7408626087382051</v>
      </c>
      <c r="P1506" s="361">
        <f t="shared" si="1541"/>
        <v>2.1296842723998668</v>
      </c>
      <c r="Q1506" s="361">
        <f t="shared" si="1541"/>
        <v>2.6053492546403572</v>
      </c>
      <c r="R1506" s="361">
        <f t="shared" si="1541"/>
        <v>3.1872540106642564</v>
      </c>
      <c r="S1506" s="361">
        <f t="shared" si="1541"/>
        <v>3.8991271939460881</v>
      </c>
      <c r="T1506" s="361">
        <f t="shared" si="1541"/>
        <v>4.7699972527139103</v>
      </c>
      <c r="U1506" s="361">
        <f t="shared" si="1541"/>
        <v>5.8353761391075176</v>
      </c>
      <c r="V1506" s="362">
        <f t="shared" si="1541"/>
        <v>7.1387073997771271</v>
      </c>
      <c r="X1506" s="351"/>
    </row>
    <row r="1507" spans="3:24" ht="24.75" customHeight="1" x14ac:dyDescent="0.3">
      <c r="C1507" s="353">
        <f>ABS(E1507-Dashboard!$F$14)</f>
        <v>11.007885927799279</v>
      </c>
      <c r="D1507" s="350">
        <f t="shared" si="1521"/>
        <v>0.22344999999999063</v>
      </c>
      <c r="E1507" s="359" cm="1">
        <f t="array" ref="E1507">1000*SUM('DRE + DCF'!$L$36/M1507,'DRE + DCF'!$N$36:$V$36/N1507:V1507,F1507/V1507)/Dashboard!$F$11</f>
        <v>85.982114072200716</v>
      </c>
      <c r="F1507" s="359">
        <f t="shared" si="1519"/>
        <v>12410154.525970656</v>
      </c>
      <c r="G1507" s="359">
        <f>'DRE + DCF'!$W$31</f>
        <v>2791623.3540418856</v>
      </c>
      <c r="H1507" s="359">
        <f>'DRE + DCF'!$W$32</f>
        <v>81081.931703745853</v>
      </c>
      <c r="I1507" s="359">
        <f>-H1507*('DRE + DCF'!$V$33+K1507)/'DRE + DCF'!$V$33</f>
        <v>-90858.801614444121</v>
      </c>
      <c r="J1507" s="359">
        <f>-'DRE + DCF'!$V$56*L1507</f>
        <v>-1188924.4255577971</v>
      </c>
      <c r="K1507" s="360">
        <f>(1+L1507)/(1+Ke!$O$12)-1</f>
        <v>2.0000000000000018E-2</v>
      </c>
      <c r="L1507" s="360">
        <f>'DRE + DCF'!$Y$31</f>
        <v>7.3550000000000004E-2</v>
      </c>
      <c r="M1507" s="361">
        <f>(1+D1507)^((5-Dashboard!$F$9)*3/12)</f>
        <v>1.1632944844393911</v>
      </c>
      <c r="N1507" s="361">
        <f t="shared" ref="N1507:V1507" si="1542">M1507*(1+$D1507)</f>
        <v>1.423232636987362</v>
      </c>
      <c r="O1507" s="361">
        <f t="shared" si="1542"/>
        <v>1.7412539697221747</v>
      </c>
      <c r="P1507" s="361">
        <f t="shared" si="1542"/>
        <v>2.1303371692565785</v>
      </c>
      <c r="Q1507" s="361">
        <f t="shared" si="1542"/>
        <v>2.6063610097269407</v>
      </c>
      <c r="R1507" s="361">
        <f t="shared" si="1542"/>
        <v>3.1887523773504012</v>
      </c>
      <c r="S1507" s="361">
        <f t="shared" si="1542"/>
        <v>3.9012790960693184</v>
      </c>
      <c r="T1507" s="361">
        <f t="shared" si="1542"/>
        <v>4.7730199100859707</v>
      </c>
      <c r="U1507" s="361">
        <f t="shared" si="1542"/>
        <v>5.839551208994636</v>
      </c>
      <c r="V1507" s="362">
        <f t="shared" si="1542"/>
        <v>7.1443989266444321</v>
      </c>
      <c r="X1507" s="351"/>
    </row>
    <row r="1508" spans="3:24" ht="24.75" customHeight="1" x14ac:dyDescent="0.3">
      <c r="C1508" s="353">
        <f>ABS(E1508-Dashboard!$F$14)</f>
        <v>11.071252258761461</v>
      </c>
      <c r="D1508" s="350">
        <f t="shared" si="1521"/>
        <v>0.22354999999999062</v>
      </c>
      <c r="E1508" s="359" cm="1">
        <f t="array" ref="E1508">1000*SUM('DRE + DCF'!$L$36/M1508,'DRE + DCF'!$N$36:$V$36/N1508:V1508,F1508/V1508)/Dashboard!$F$11</f>
        <v>85.918747741238533</v>
      </c>
      <c r="F1508" s="359">
        <f t="shared" si="1519"/>
        <v>12403351.997546392</v>
      </c>
      <c r="G1508" s="359">
        <f>'DRE + DCF'!$W$31</f>
        <v>2791623.3540418856</v>
      </c>
      <c r="H1508" s="359">
        <f>'DRE + DCF'!$W$32</f>
        <v>81081.931703745853</v>
      </c>
      <c r="I1508" s="359">
        <f>-H1508*('DRE + DCF'!$V$33+K1508)/'DRE + DCF'!$V$33</f>
        <v>-90858.801614444121</v>
      </c>
      <c r="J1508" s="359">
        <f>-'DRE + DCF'!$V$56*L1508</f>
        <v>-1188924.4255577971</v>
      </c>
      <c r="K1508" s="360">
        <f>(1+L1508)/(1+Ke!$O$12)-1</f>
        <v>2.0000000000000018E-2</v>
      </c>
      <c r="L1508" s="360">
        <f>'DRE + DCF'!$Y$31</f>
        <v>7.3550000000000004E-2</v>
      </c>
      <c r="M1508" s="361">
        <f>(1+D1508)^((5-Dashboard!$F$9)*3/12)</f>
        <v>1.1633657960540535</v>
      </c>
      <c r="N1508" s="361">
        <f t="shared" ref="N1508:V1508" si="1543">M1508*(1+$D1508)</f>
        <v>1.4234362197619264</v>
      </c>
      <c r="O1508" s="361">
        <f t="shared" si="1543"/>
        <v>1.7416453866896917</v>
      </c>
      <c r="P1508" s="361">
        <f t="shared" si="1543"/>
        <v>2.1309902128841558</v>
      </c>
      <c r="Q1508" s="361">
        <f t="shared" si="1543"/>
        <v>2.6073730749743889</v>
      </c>
      <c r="R1508" s="361">
        <f t="shared" si="1543"/>
        <v>3.1902513258848888</v>
      </c>
      <c r="S1508" s="361">
        <f t="shared" si="1543"/>
        <v>3.9034320097864255</v>
      </c>
      <c r="T1508" s="361">
        <f t="shared" si="1543"/>
        <v>4.7760442355741439</v>
      </c>
      <c r="U1508" s="361">
        <f t="shared" si="1543"/>
        <v>5.8437289244366992</v>
      </c>
      <c r="V1508" s="362">
        <f t="shared" si="1543"/>
        <v>7.1500945254944686</v>
      </c>
      <c r="X1508" s="351"/>
    </row>
    <row r="1509" spans="3:24" ht="24.75" customHeight="1" x14ac:dyDescent="0.3">
      <c r="C1509" s="353">
        <f>ABS(E1509-Dashboard!$F$14)</f>
        <v>11.134537496062066</v>
      </c>
      <c r="D1509" s="350">
        <f t="shared" si="1521"/>
        <v>0.22364999999999061</v>
      </c>
      <c r="E1509" s="359" cm="1">
        <f t="array" ref="E1509">1000*SUM('DRE + DCF'!$L$36/M1509,'DRE + DCF'!$N$36:$V$36/N1509:V1509,F1509/V1509)/Dashboard!$F$11</f>
        <v>85.855462503937929</v>
      </c>
      <c r="F1509" s="359">
        <f t="shared" si="1519"/>
        <v>12396557.218627781</v>
      </c>
      <c r="G1509" s="359">
        <f>'DRE + DCF'!$W$31</f>
        <v>2791623.3540418856</v>
      </c>
      <c r="H1509" s="359">
        <f>'DRE + DCF'!$W$32</f>
        <v>81081.931703745853</v>
      </c>
      <c r="I1509" s="359">
        <f>-H1509*('DRE + DCF'!$V$33+K1509)/'DRE + DCF'!$V$33</f>
        <v>-90858.801614444121</v>
      </c>
      <c r="J1509" s="359">
        <f>-'DRE + DCF'!$V$56*L1509</f>
        <v>-1188924.4255577971</v>
      </c>
      <c r="K1509" s="360">
        <f>(1+L1509)/(1+Ke!$O$12)-1</f>
        <v>2.0000000000000018E-2</v>
      </c>
      <c r="L1509" s="360">
        <f>'DRE + DCF'!$Y$31</f>
        <v>7.3550000000000004E-2</v>
      </c>
      <c r="M1509" s="361">
        <f>(1+D1509)^((5-Dashboard!$F$9)*3/12)</f>
        <v>1.1634371062116673</v>
      </c>
      <c r="N1509" s="361">
        <f t="shared" ref="N1509:V1509" si="1544">M1509*(1+$D1509)</f>
        <v>1.4236398150158958</v>
      </c>
      <c r="O1509" s="361">
        <f t="shared" si="1544"/>
        <v>1.7420368596441875</v>
      </c>
      <c r="P1509" s="361">
        <f t="shared" si="1544"/>
        <v>2.1316434033035936</v>
      </c>
      <c r="Q1509" s="361">
        <f t="shared" si="1544"/>
        <v>2.6083854504524222</v>
      </c>
      <c r="R1509" s="361">
        <f t="shared" si="1544"/>
        <v>3.1917508564460819</v>
      </c>
      <c r="S1509" s="361">
        <f t="shared" si="1544"/>
        <v>3.905585935490218</v>
      </c>
      <c r="T1509" s="361">
        <f t="shared" si="1544"/>
        <v>4.7790702299625689</v>
      </c>
      <c r="U1509" s="361">
        <f t="shared" si="1544"/>
        <v>5.8479092868936524</v>
      </c>
      <c r="V1509" s="362">
        <f t="shared" si="1544"/>
        <v>7.1557941989073628</v>
      </c>
      <c r="X1509" s="351"/>
    </row>
    <row r="1510" spans="3:24" ht="24.75" customHeight="1" x14ac:dyDescent="0.3">
      <c r="C1510" s="353">
        <f>ABS(E1510-Dashboard!$F$14)</f>
        <v>11.197741786214536</v>
      </c>
      <c r="D1510" s="350">
        <f t="shared" si="1521"/>
        <v>0.2237499999999906</v>
      </c>
      <c r="E1510" s="359" cm="1">
        <f t="array" ref="E1510">1000*SUM('DRE + DCF'!$L$36/M1510,'DRE + DCF'!$N$36:$V$36/N1510:V1510,F1510/V1510)/Dashboard!$F$11</f>
        <v>85.792258213785459</v>
      </c>
      <c r="F1510" s="359">
        <f t="shared" si="1519"/>
        <v>12389770.17549772</v>
      </c>
      <c r="G1510" s="359">
        <f>'DRE + DCF'!$W$31</f>
        <v>2791623.3540418856</v>
      </c>
      <c r="H1510" s="359">
        <f>'DRE + DCF'!$W$32</f>
        <v>81081.931703745853</v>
      </c>
      <c r="I1510" s="359">
        <f>-H1510*('DRE + DCF'!$V$33+K1510)/'DRE + DCF'!$V$33</f>
        <v>-90858.801614444121</v>
      </c>
      <c r="J1510" s="359">
        <f>-'DRE + DCF'!$V$56*L1510</f>
        <v>-1188924.4255577971</v>
      </c>
      <c r="K1510" s="360">
        <f>(1+L1510)/(1+Ke!$O$12)-1</f>
        <v>2.0000000000000018E-2</v>
      </c>
      <c r="L1510" s="360">
        <f>'DRE + DCF'!$Y$31</f>
        <v>7.3550000000000004E-2</v>
      </c>
      <c r="M1510" s="361">
        <f>(1+D1510)^((5-Dashboard!$F$9)*3/12)</f>
        <v>1.1635084149123811</v>
      </c>
      <c r="N1510" s="361">
        <f t="shared" ref="N1510:V1510" si="1545">M1510*(1+$D1510)</f>
        <v>1.4238434227490153</v>
      </c>
      <c r="O1510" s="361">
        <f t="shared" si="1545"/>
        <v>1.7424283885890941</v>
      </c>
      <c r="P1510" s="361">
        <f t="shared" si="1545"/>
        <v>2.1322967405358875</v>
      </c>
      <c r="Q1510" s="361">
        <f t="shared" si="1545"/>
        <v>2.6093981362307721</v>
      </c>
      <c r="R1510" s="361">
        <f t="shared" si="1545"/>
        <v>3.1932509692123827</v>
      </c>
      <c r="S1510" s="361">
        <f t="shared" si="1545"/>
        <v>3.9077408735736232</v>
      </c>
      <c r="T1510" s="361">
        <f t="shared" si="1545"/>
        <v>4.7820978940356849</v>
      </c>
      <c r="U1510" s="361">
        <f t="shared" si="1545"/>
        <v>5.8520922978261245</v>
      </c>
      <c r="V1510" s="362">
        <f t="shared" si="1545"/>
        <v>7.1614979494646649</v>
      </c>
      <c r="X1510" s="351"/>
    </row>
    <row r="1511" spans="3:24" ht="24.75" customHeight="1" x14ac:dyDescent="0.3">
      <c r="C1511" s="353">
        <f>ABS(E1511-Dashboard!$F$14)</f>
        <v>11.26086527538375</v>
      </c>
      <c r="D1511" s="350">
        <f t="shared" si="1521"/>
        <v>0.22384999999999058</v>
      </c>
      <c r="E1511" s="359" cm="1">
        <f t="array" ref="E1511">1000*SUM('DRE + DCF'!$L$36/M1511,'DRE + DCF'!$N$36:$V$36/N1511:V1511,F1511/V1511)/Dashboard!$F$11</f>
        <v>85.729134724616245</v>
      </c>
      <c r="F1511" s="359">
        <f t="shared" si="1519"/>
        <v>12382990.85447247</v>
      </c>
      <c r="G1511" s="359">
        <f>'DRE + DCF'!$W$31</f>
        <v>2791623.3540418856</v>
      </c>
      <c r="H1511" s="359">
        <f>'DRE + DCF'!$W$32</f>
        <v>81081.931703745853</v>
      </c>
      <c r="I1511" s="359">
        <f>-H1511*('DRE + DCF'!$V$33+K1511)/'DRE + DCF'!$V$33</f>
        <v>-90858.801614444121</v>
      </c>
      <c r="J1511" s="359">
        <f>-'DRE + DCF'!$V$56*L1511</f>
        <v>-1188924.4255577971</v>
      </c>
      <c r="K1511" s="360">
        <f>(1+L1511)/(1+Ke!$O$12)-1</f>
        <v>2.0000000000000018E-2</v>
      </c>
      <c r="L1511" s="360">
        <f>'DRE + DCF'!$Y$31</f>
        <v>7.3550000000000004E-2</v>
      </c>
      <c r="M1511" s="361">
        <f>(1+D1511)^((5-Dashboard!$F$9)*3/12)</f>
        <v>1.1635797221563438</v>
      </c>
      <c r="N1511" s="361">
        <f t="shared" ref="N1511:V1511" si="1546">M1511*(1+$D1511)</f>
        <v>1.4240470429610304</v>
      </c>
      <c r="O1511" s="361">
        <f t="shared" si="1546"/>
        <v>1.7428199735278436</v>
      </c>
      <c r="P1511" s="361">
        <f t="shared" si="1546"/>
        <v>2.1329502246020349</v>
      </c>
      <c r="Q1511" s="361">
        <f t="shared" si="1546"/>
        <v>2.6104111323791801</v>
      </c>
      <c r="R1511" s="361">
        <f t="shared" si="1546"/>
        <v>3.1947516643622351</v>
      </c>
      <c r="S1511" s="361">
        <f t="shared" si="1546"/>
        <v>3.9098968244296914</v>
      </c>
      <c r="T1511" s="361">
        <f t="shared" si="1546"/>
        <v>4.7851272285782409</v>
      </c>
      <c r="U1511" s="361">
        <f t="shared" si="1546"/>
        <v>5.8562779586954345</v>
      </c>
      <c r="V1511" s="362">
        <f t="shared" si="1546"/>
        <v>7.1672057797493522</v>
      </c>
      <c r="X1511" s="351"/>
    </row>
    <row r="1512" spans="3:24" ht="24.75" customHeight="1" x14ac:dyDescent="0.3">
      <c r="C1512" s="353">
        <f>ABS(E1512-Dashboard!$F$14)</f>
        <v>11.323908109386863</v>
      </c>
      <c r="D1512" s="350">
        <f t="shared" si="1521"/>
        <v>0.22394999999999057</v>
      </c>
      <c r="E1512" s="359" cm="1">
        <f t="array" ref="E1512">1000*SUM('DRE + DCF'!$L$36/M1512,'DRE + DCF'!$N$36:$V$36/N1512:V1512,F1512/V1512)/Dashboard!$F$11</f>
        <v>85.666091890613131</v>
      </c>
      <c r="F1512" s="359">
        <f t="shared" si="1519"/>
        <v>12376219.241901543</v>
      </c>
      <c r="G1512" s="359">
        <f>'DRE + DCF'!$W$31</f>
        <v>2791623.3540418856</v>
      </c>
      <c r="H1512" s="359">
        <f>'DRE + DCF'!$W$32</f>
        <v>81081.931703745853</v>
      </c>
      <c r="I1512" s="359">
        <f>-H1512*('DRE + DCF'!$V$33+K1512)/'DRE + DCF'!$V$33</f>
        <v>-90858.801614444121</v>
      </c>
      <c r="J1512" s="359">
        <f>-'DRE + DCF'!$V$56*L1512</f>
        <v>-1188924.4255577971</v>
      </c>
      <c r="K1512" s="360">
        <f>(1+L1512)/(1+Ke!$O$12)-1</f>
        <v>2.0000000000000018E-2</v>
      </c>
      <c r="L1512" s="360">
        <f>'DRE + DCF'!$Y$31</f>
        <v>7.3550000000000004E-2</v>
      </c>
      <c r="M1512" s="361">
        <f>(1+D1512)^((5-Dashboard!$F$9)*3/12)</f>
        <v>1.1636510279437038</v>
      </c>
      <c r="N1512" s="361">
        <f t="shared" ref="N1512:V1512" si="1547">M1512*(1+$D1512)</f>
        <v>1.4242506756516853</v>
      </c>
      <c r="O1512" s="361">
        <f t="shared" si="1547"/>
        <v>1.7432116144638667</v>
      </c>
      <c r="P1512" s="361">
        <f t="shared" si="1547"/>
        <v>2.1336038555230332</v>
      </c>
      <c r="Q1512" s="361">
        <f t="shared" si="1547"/>
        <v>2.6114244389673962</v>
      </c>
      <c r="R1512" s="361">
        <f t="shared" si="1547"/>
        <v>3.1962529420741199</v>
      </c>
      <c r="S1512" s="361">
        <f t="shared" si="1547"/>
        <v>3.9120537884515887</v>
      </c>
      <c r="T1512" s="361">
        <f t="shared" si="1547"/>
        <v>4.7881582343752846</v>
      </c>
      <c r="U1512" s="361">
        <f t="shared" si="1547"/>
        <v>5.8604662709635846</v>
      </c>
      <c r="V1512" s="362">
        <f t="shared" si="1547"/>
        <v>7.1729176923458242</v>
      </c>
      <c r="X1512" s="351"/>
    </row>
    <row r="1513" spans="3:24" ht="24.75" customHeight="1" x14ac:dyDescent="0.3">
      <c r="C1513" s="353">
        <f>ABS(E1513-Dashboard!$F$14)</f>
        <v>11.386870433694497</v>
      </c>
      <c r="D1513" s="350">
        <f t="shared" si="1521"/>
        <v>0.22404999999999056</v>
      </c>
      <c r="E1513" s="359" cm="1">
        <f t="array" ref="E1513">1000*SUM('DRE + DCF'!$L$36/M1513,'DRE + DCF'!$N$36:$V$36/N1513:V1513,F1513/V1513)/Dashboard!$F$11</f>
        <v>85.603129566305498</v>
      </c>
      <c r="F1513" s="359">
        <f t="shared" si="1519"/>
        <v>12369455.324167609</v>
      </c>
      <c r="G1513" s="359">
        <f>'DRE + DCF'!$W$31</f>
        <v>2791623.3540418856</v>
      </c>
      <c r="H1513" s="359">
        <f>'DRE + DCF'!$W$32</f>
        <v>81081.931703745853</v>
      </c>
      <c r="I1513" s="359">
        <f>-H1513*('DRE + DCF'!$V$33+K1513)/'DRE + DCF'!$V$33</f>
        <v>-90858.801614444121</v>
      </c>
      <c r="J1513" s="359">
        <f>-'DRE + DCF'!$V$56*L1513</f>
        <v>-1188924.4255577971</v>
      </c>
      <c r="K1513" s="360">
        <f>(1+L1513)/(1+Ke!$O$12)-1</f>
        <v>2.0000000000000018E-2</v>
      </c>
      <c r="L1513" s="360">
        <f>'DRE + DCF'!$Y$31</f>
        <v>7.3550000000000004E-2</v>
      </c>
      <c r="M1513" s="361">
        <f>(1+D1513)^((5-Dashboard!$F$9)*3/12)</f>
        <v>1.1637223322746102</v>
      </c>
      <c r="N1513" s="361">
        <f t="shared" ref="N1513:V1513" si="1548">M1513*(1+$D1513)</f>
        <v>1.4244543208207257</v>
      </c>
      <c r="O1513" s="361">
        <f t="shared" si="1548"/>
        <v>1.7436033114005958</v>
      </c>
      <c r="P1513" s="361">
        <f t="shared" si="1548"/>
        <v>2.1342576333198826</v>
      </c>
      <c r="Q1513" s="361">
        <f t="shared" si="1548"/>
        <v>2.6124380560651823</v>
      </c>
      <c r="R1513" s="361">
        <f t="shared" si="1548"/>
        <v>3.1977548025265619</v>
      </c>
      <c r="S1513" s="361">
        <f t="shared" si="1548"/>
        <v>3.9142117660326079</v>
      </c>
      <c r="T1513" s="361">
        <f t="shared" si="1548"/>
        <v>4.7911909122121763</v>
      </c>
      <c r="U1513" s="361">
        <f t="shared" si="1548"/>
        <v>5.8646572360932687</v>
      </c>
      <c r="V1513" s="362">
        <f t="shared" si="1548"/>
        <v>7.1786336898399101</v>
      </c>
      <c r="X1513" s="351"/>
    </row>
    <row r="1514" spans="3:24" ht="24.75" customHeight="1" x14ac:dyDescent="0.3">
      <c r="C1514" s="353">
        <f>ABS(E1514-Dashboard!$F$14)</f>
        <v>11.449752393431709</v>
      </c>
      <c r="D1514" s="350">
        <f t="shared" si="1521"/>
        <v>0.22414999999999055</v>
      </c>
      <c r="E1514" s="359" cm="1">
        <f t="array" ref="E1514">1000*SUM('DRE + DCF'!$L$36/M1514,'DRE + DCF'!$N$36:$V$36/N1514:V1514,F1514/V1514)/Dashboard!$F$11</f>
        <v>85.540247606568286</v>
      </c>
      <c r="F1514" s="359">
        <f t="shared" si="1519"/>
        <v>12362699.087686386</v>
      </c>
      <c r="G1514" s="359">
        <f>'DRE + DCF'!$W$31</f>
        <v>2791623.3540418856</v>
      </c>
      <c r="H1514" s="359">
        <f>'DRE + DCF'!$W$32</f>
        <v>81081.931703745853</v>
      </c>
      <c r="I1514" s="359">
        <f>-H1514*('DRE + DCF'!$V$33+K1514)/'DRE + DCF'!$V$33</f>
        <v>-90858.801614444121</v>
      </c>
      <c r="J1514" s="359">
        <f>-'DRE + DCF'!$V$56*L1514</f>
        <v>-1188924.4255577971</v>
      </c>
      <c r="K1514" s="360">
        <f>(1+L1514)/(1+Ke!$O$12)-1</f>
        <v>2.0000000000000018E-2</v>
      </c>
      <c r="L1514" s="360">
        <f>'DRE + DCF'!$Y$31</f>
        <v>7.3550000000000004E-2</v>
      </c>
      <c r="M1514" s="361">
        <f>(1+D1514)^((5-Dashboard!$F$9)*3/12)</f>
        <v>1.1637936351492115</v>
      </c>
      <c r="N1514" s="361">
        <f t="shared" ref="N1514:V1514" si="1549">M1514*(1+$D1514)</f>
        <v>1.4246579784678963</v>
      </c>
      <c r="O1514" s="361">
        <f t="shared" si="1549"/>
        <v>1.7439950643414617</v>
      </c>
      <c r="P1514" s="361">
        <f t="shared" si="1549"/>
        <v>2.1349115580135836</v>
      </c>
      <c r="Q1514" s="361">
        <f t="shared" si="1549"/>
        <v>2.613451983742308</v>
      </c>
      <c r="R1514" s="361">
        <f t="shared" si="1549"/>
        <v>3.1992572458981217</v>
      </c>
      <c r="S1514" s="361">
        <f t="shared" si="1549"/>
        <v>3.9163707575661553</v>
      </c>
      <c r="T1514" s="361">
        <f t="shared" si="1549"/>
        <v>4.7942252628745718</v>
      </c>
      <c r="U1514" s="361">
        <f t="shared" si="1549"/>
        <v>5.868850855547862</v>
      </c>
      <c r="V1514" s="362">
        <f t="shared" si="1549"/>
        <v>7.1843537748188595</v>
      </c>
      <c r="X1514" s="351"/>
    </row>
    <row r="1515" spans="3:24" ht="24.75" customHeight="1" x14ac:dyDescent="0.3">
      <c r="C1515" s="353">
        <f>ABS(E1515-Dashboard!$F$14)</f>
        <v>11.51255413337914</v>
      </c>
      <c r="D1515" s="350">
        <f t="shared" si="1521"/>
        <v>0.22424999999999054</v>
      </c>
      <c r="E1515" s="359" cm="1">
        <f t="array" ref="E1515">1000*SUM('DRE + DCF'!$L$36/M1515,'DRE + DCF'!$N$36:$V$36/N1515:V1515,F1515/V1515)/Dashboard!$F$11</f>
        <v>85.477445866620855</v>
      </c>
      <c r="F1515" s="359">
        <f t="shared" si="1519"/>
        <v>12355950.518906541</v>
      </c>
      <c r="G1515" s="359">
        <f>'DRE + DCF'!$W$31</f>
        <v>2791623.3540418856</v>
      </c>
      <c r="H1515" s="359">
        <f>'DRE + DCF'!$W$32</f>
        <v>81081.931703745853</v>
      </c>
      <c r="I1515" s="359">
        <f>-H1515*('DRE + DCF'!$V$33+K1515)/'DRE + DCF'!$V$33</f>
        <v>-90858.801614444121</v>
      </c>
      <c r="J1515" s="359">
        <f>-'DRE + DCF'!$V$56*L1515</f>
        <v>-1188924.4255577971</v>
      </c>
      <c r="K1515" s="360">
        <f>(1+L1515)/(1+Ke!$O$12)-1</f>
        <v>2.0000000000000018E-2</v>
      </c>
      <c r="L1515" s="360">
        <f>'DRE + DCF'!$Y$31</f>
        <v>7.3550000000000004E-2</v>
      </c>
      <c r="M1515" s="361">
        <f>(1+D1515)^((5-Dashboard!$F$9)*3/12)</f>
        <v>1.1638649365676568</v>
      </c>
      <c r="N1515" s="361">
        <f t="shared" ref="N1515:V1515" si="1550">M1515*(1+$D1515)</f>
        <v>1.4248616485929428</v>
      </c>
      <c r="O1515" s="361">
        <f t="shared" si="1550"/>
        <v>1.7443868732898968</v>
      </c>
      <c r="P1515" s="361">
        <f t="shared" si="1550"/>
        <v>2.1355656296251397</v>
      </c>
      <c r="Q1515" s="361">
        <f t="shared" si="1550"/>
        <v>2.6144662220685571</v>
      </c>
      <c r="R1515" s="361">
        <f t="shared" si="1550"/>
        <v>3.2007602723674062</v>
      </c>
      <c r="S1515" s="361">
        <f t="shared" si="1550"/>
        <v>3.9185307634457667</v>
      </c>
      <c r="T1515" s="361">
        <f t="shared" si="1550"/>
        <v>4.7972612871484426</v>
      </c>
      <c r="U1515" s="361">
        <f t="shared" si="1550"/>
        <v>5.8730471307914351</v>
      </c>
      <c r="V1515" s="362">
        <f t="shared" si="1550"/>
        <v>7.190077949871359</v>
      </c>
      <c r="X1515" s="351"/>
    </row>
    <row r="1516" spans="3:24" ht="24.75" customHeight="1" x14ac:dyDescent="0.3">
      <c r="C1516" s="353">
        <f>ABS(E1516-Dashboard!$F$14)</f>
        <v>11.575275797973831</v>
      </c>
      <c r="D1516" s="350">
        <f t="shared" si="1521"/>
        <v>0.22434999999999053</v>
      </c>
      <c r="E1516" s="359" cm="1">
        <f t="array" ref="E1516">1000*SUM('DRE + DCF'!$L$36/M1516,'DRE + DCF'!$N$36:$V$36/N1516:V1516,F1516/V1516)/Dashboard!$F$11</f>
        <v>85.414724202026164</v>
      </c>
      <c r="F1516" s="359">
        <f t="shared" si="1519"/>
        <v>12349209.604309589</v>
      </c>
      <c r="G1516" s="359">
        <f>'DRE + DCF'!$W$31</f>
        <v>2791623.3540418856</v>
      </c>
      <c r="H1516" s="359">
        <f>'DRE + DCF'!$W$32</f>
        <v>81081.931703745853</v>
      </c>
      <c r="I1516" s="359">
        <f>-H1516*('DRE + DCF'!$V$33+K1516)/'DRE + DCF'!$V$33</f>
        <v>-90858.801614444121</v>
      </c>
      <c r="J1516" s="359">
        <f>-'DRE + DCF'!$V$56*L1516</f>
        <v>-1188924.4255577971</v>
      </c>
      <c r="K1516" s="360">
        <f>(1+L1516)/(1+Ke!$O$12)-1</f>
        <v>2.0000000000000018E-2</v>
      </c>
      <c r="L1516" s="360">
        <f>'DRE + DCF'!$Y$31</f>
        <v>7.3550000000000004E-2</v>
      </c>
      <c r="M1516" s="361">
        <f>(1+D1516)^((5-Dashboard!$F$9)*3/12)</f>
        <v>1.1639362365300945</v>
      </c>
      <c r="N1516" s="361">
        <f t="shared" ref="N1516:V1516" si="1551">M1516*(1+$D1516)</f>
        <v>1.4250653311956101</v>
      </c>
      <c r="O1516" s="361">
        <f t="shared" si="1551"/>
        <v>1.7447787382493316</v>
      </c>
      <c r="P1516" s="361">
        <f t="shared" si="1551"/>
        <v>2.1362198481755525</v>
      </c>
      <c r="Q1516" s="361">
        <f t="shared" si="1551"/>
        <v>2.6154807711137176</v>
      </c>
      <c r="R1516" s="361">
        <f t="shared" si="1551"/>
        <v>3.2022638821130553</v>
      </c>
      <c r="S1516" s="361">
        <f t="shared" si="1551"/>
        <v>3.920691784065089</v>
      </c>
      <c r="T1516" s="361">
        <f t="shared" si="1551"/>
        <v>4.8002989858200547</v>
      </c>
      <c r="U1516" s="361">
        <f t="shared" si="1551"/>
        <v>5.8772460632887382</v>
      </c>
      <c r="V1516" s="362">
        <f t="shared" si="1551"/>
        <v>7.1958062175875108</v>
      </c>
      <c r="X1516" s="351"/>
    </row>
    <row r="1517" spans="3:24" ht="24.75" customHeight="1" x14ac:dyDescent="0.3">
      <c r="C1517" s="353">
        <f>ABS(E1517-Dashboard!$F$14)</f>
        <v>11.637917531310478</v>
      </c>
      <c r="D1517" s="350">
        <f t="shared" si="1521"/>
        <v>0.22444999999999052</v>
      </c>
      <c r="E1517" s="359" cm="1">
        <f t="array" ref="E1517">1000*SUM('DRE + DCF'!$L$36/M1517,'DRE + DCF'!$N$36:$V$36/N1517:V1517,F1517/V1517)/Dashboard!$F$11</f>
        <v>85.352082468689517</v>
      </c>
      <c r="F1517" s="359">
        <f t="shared" si="1519"/>
        <v>12342476.330409775</v>
      </c>
      <c r="G1517" s="359">
        <f>'DRE + DCF'!$W$31</f>
        <v>2791623.3540418856</v>
      </c>
      <c r="H1517" s="359">
        <f>'DRE + DCF'!$W$32</f>
        <v>81081.931703745853</v>
      </c>
      <c r="I1517" s="359">
        <f>-H1517*('DRE + DCF'!$V$33+K1517)/'DRE + DCF'!$V$33</f>
        <v>-90858.801614444121</v>
      </c>
      <c r="J1517" s="359">
        <f>-'DRE + DCF'!$V$56*L1517</f>
        <v>-1188924.4255577971</v>
      </c>
      <c r="K1517" s="360">
        <f>(1+L1517)/(1+Ke!$O$12)-1</f>
        <v>2.0000000000000018E-2</v>
      </c>
      <c r="L1517" s="360">
        <f>'DRE + DCF'!$Y$31</f>
        <v>7.3550000000000004E-2</v>
      </c>
      <c r="M1517" s="361">
        <f>(1+D1517)^((5-Dashboard!$F$9)*3/12)</f>
        <v>1.164007535036673</v>
      </c>
      <c r="N1517" s="361">
        <f t="shared" ref="N1517:V1517" si="1552">M1517*(1+$D1517)</f>
        <v>1.4252690262756431</v>
      </c>
      <c r="O1517" s="361">
        <f t="shared" si="1552"/>
        <v>1.7451706592231977</v>
      </c>
      <c r="P1517" s="361">
        <f t="shared" si="1552"/>
        <v>2.1368742136858279</v>
      </c>
      <c r="Q1517" s="361">
        <f t="shared" si="1552"/>
        <v>2.6164956309475915</v>
      </c>
      <c r="R1517" s="361">
        <f t="shared" si="1552"/>
        <v>3.2037680753137536</v>
      </c>
      <c r="S1517" s="361">
        <f t="shared" si="1552"/>
        <v>3.9228538198178953</v>
      </c>
      <c r="T1517" s="361">
        <f t="shared" si="1552"/>
        <v>4.8033383596759842</v>
      </c>
      <c r="U1517" s="361">
        <f t="shared" si="1552"/>
        <v>5.8814476545052132</v>
      </c>
      <c r="V1517" s="362">
        <f t="shared" si="1552"/>
        <v>7.2015385805588528</v>
      </c>
      <c r="X1517" s="351"/>
    </row>
    <row r="1518" spans="3:24" ht="24.75" customHeight="1" x14ac:dyDescent="0.3">
      <c r="C1518" s="353">
        <f>ABS(E1518-Dashboard!$F$14)</f>
        <v>11.700479477142338</v>
      </c>
      <c r="D1518" s="350">
        <f t="shared" si="1521"/>
        <v>0.22454999999999051</v>
      </c>
      <c r="E1518" s="359" cm="1">
        <f t="array" ref="E1518">1000*SUM('DRE + DCF'!$L$36/M1518,'DRE + DCF'!$N$36:$V$36/N1518:V1518,F1518/V1518)/Dashboard!$F$11</f>
        <v>85.289520522857657</v>
      </c>
      <c r="F1518" s="359">
        <f t="shared" si="1519"/>
        <v>12335750.683754005</v>
      </c>
      <c r="G1518" s="359">
        <f>'DRE + DCF'!$W$31</f>
        <v>2791623.3540418856</v>
      </c>
      <c r="H1518" s="359">
        <f>'DRE + DCF'!$W$32</f>
        <v>81081.931703745853</v>
      </c>
      <c r="I1518" s="359">
        <f>-H1518*('DRE + DCF'!$V$33+K1518)/'DRE + DCF'!$V$33</f>
        <v>-90858.801614444121</v>
      </c>
      <c r="J1518" s="359">
        <f>-'DRE + DCF'!$V$56*L1518</f>
        <v>-1188924.4255577971</v>
      </c>
      <c r="K1518" s="360">
        <f>(1+L1518)/(1+Ke!$O$12)-1</f>
        <v>2.0000000000000018E-2</v>
      </c>
      <c r="L1518" s="360">
        <f>'DRE + DCF'!$Y$31</f>
        <v>7.3550000000000004E-2</v>
      </c>
      <c r="M1518" s="361">
        <f>(1+D1518)^((5-Dashboard!$F$9)*3/12)</f>
        <v>1.1640788320875415</v>
      </c>
      <c r="N1518" s="361">
        <f t="shared" ref="N1518:V1518" si="1553">M1518*(1+$D1518)</f>
        <v>1.4254727338327879</v>
      </c>
      <c r="O1518" s="361">
        <f t="shared" si="1553"/>
        <v>1.7455626362149268</v>
      </c>
      <c r="P1518" s="361">
        <f t="shared" si="1553"/>
        <v>2.137528726176972</v>
      </c>
      <c r="Q1518" s="361">
        <f t="shared" si="1553"/>
        <v>2.6175108016399906</v>
      </c>
      <c r="R1518" s="361">
        <f t="shared" si="1553"/>
        <v>3.2052728521482257</v>
      </c>
      <c r="S1518" s="361">
        <f t="shared" si="1553"/>
        <v>3.9250168710980793</v>
      </c>
      <c r="T1518" s="361">
        <f t="shared" si="1553"/>
        <v>4.8063794095031156</v>
      </c>
      <c r="U1518" s="361">
        <f t="shared" si="1553"/>
        <v>5.8856519059069941</v>
      </c>
      <c r="V1518" s="362">
        <f t="shared" si="1553"/>
        <v>7.2072750413783533</v>
      </c>
      <c r="X1518" s="351"/>
    </row>
    <row r="1519" spans="3:24" ht="24.75" customHeight="1" x14ac:dyDescent="0.3">
      <c r="C1519" s="353">
        <f>ABS(E1519-Dashboard!$F$14)</f>
        <v>11.7629617788823</v>
      </c>
      <c r="D1519" s="350">
        <f t="shared" si="1521"/>
        <v>0.2246499999999905</v>
      </c>
      <c r="E1519" s="359" cm="1">
        <f t="array" ref="E1519">1000*SUM('DRE + DCF'!$L$36/M1519,'DRE + DCF'!$N$36:$V$36/N1519:V1519,F1519/V1519)/Dashboard!$F$11</f>
        <v>85.227038221117695</v>
      </c>
      <c r="F1519" s="359">
        <f t="shared" si="1519"/>
        <v>12329032.650921712</v>
      </c>
      <c r="G1519" s="359">
        <f>'DRE + DCF'!$W$31</f>
        <v>2791623.3540418856</v>
      </c>
      <c r="H1519" s="359">
        <f>'DRE + DCF'!$W$32</f>
        <v>81081.931703745853</v>
      </c>
      <c r="I1519" s="359">
        <f>-H1519*('DRE + DCF'!$V$33+K1519)/'DRE + DCF'!$V$33</f>
        <v>-90858.801614444121</v>
      </c>
      <c r="J1519" s="359">
        <f>-'DRE + DCF'!$V$56*L1519</f>
        <v>-1188924.4255577971</v>
      </c>
      <c r="K1519" s="360">
        <f>(1+L1519)/(1+Ke!$O$12)-1</f>
        <v>2.0000000000000018E-2</v>
      </c>
      <c r="L1519" s="360">
        <f>'DRE + DCF'!$Y$31</f>
        <v>7.3550000000000004E-2</v>
      </c>
      <c r="M1519" s="361">
        <f>(1+D1519)^((5-Dashboard!$F$9)*3/12)</f>
        <v>1.1641501276828483</v>
      </c>
      <c r="N1519" s="361">
        <f t="shared" ref="N1519:V1519" si="1554">M1519*(1+$D1519)</f>
        <v>1.425676453866789</v>
      </c>
      <c r="O1519" s="361">
        <f t="shared" si="1554"/>
        <v>1.7459546692279495</v>
      </c>
      <c r="P1519" s="361">
        <f t="shared" si="1554"/>
        <v>2.1381833856699917</v>
      </c>
      <c r="Q1519" s="361">
        <f t="shared" si="1554"/>
        <v>2.618526283260735</v>
      </c>
      <c r="R1519" s="361">
        <f t="shared" si="1554"/>
        <v>3.2067782127952342</v>
      </c>
      <c r="S1519" s="361">
        <f t="shared" si="1554"/>
        <v>3.927180938299653</v>
      </c>
      <c r="T1519" s="361">
        <f t="shared" si="1554"/>
        <v>4.8094221360886324</v>
      </c>
      <c r="U1519" s="361">
        <f t="shared" si="1554"/>
        <v>5.8898588189608976</v>
      </c>
      <c r="V1519" s="362">
        <f t="shared" si="1554"/>
        <v>7.2130156026404073</v>
      </c>
      <c r="X1519" s="351"/>
    </row>
    <row r="1520" spans="3:24" ht="24.75" customHeight="1" x14ac:dyDescent="0.3">
      <c r="C1520" s="353">
        <f>ABS(E1520-Dashboard!$F$14)</f>
        <v>11.8253645796039</v>
      </c>
      <c r="D1520" s="350">
        <f t="shared" si="1521"/>
        <v>0.22474999999999049</v>
      </c>
      <c r="E1520" s="359" cm="1">
        <f t="array" ref="E1520">1000*SUM('DRE + DCF'!$L$36/M1520,'DRE + DCF'!$N$36:$V$36/N1520:V1520,F1520/V1520)/Dashboard!$F$11</f>
        <v>85.164635420396095</v>
      </c>
      <c r="F1520" s="359">
        <f t="shared" si="1519"/>
        <v>12322322.218524773</v>
      </c>
      <c r="G1520" s="359">
        <f>'DRE + DCF'!$W$31</f>
        <v>2791623.3540418856</v>
      </c>
      <c r="H1520" s="359">
        <f>'DRE + DCF'!$W$32</f>
        <v>81081.931703745853</v>
      </c>
      <c r="I1520" s="359">
        <f>-H1520*('DRE + DCF'!$V$33+K1520)/'DRE + DCF'!$V$33</f>
        <v>-90858.801614444121</v>
      </c>
      <c r="J1520" s="359">
        <f>-'DRE + DCF'!$V$56*L1520</f>
        <v>-1188924.4255577971</v>
      </c>
      <c r="K1520" s="360">
        <f>(1+L1520)/(1+Ke!$O$12)-1</f>
        <v>2.0000000000000018E-2</v>
      </c>
      <c r="L1520" s="360">
        <f>'DRE + DCF'!$Y$31</f>
        <v>7.3550000000000004E-2</v>
      </c>
      <c r="M1520" s="361">
        <f>(1+D1520)^((5-Dashboard!$F$9)*3/12)</f>
        <v>1.1642214218227418</v>
      </c>
      <c r="N1520" s="361">
        <f t="shared" ref="N1520:V1520" si="1555">M1520*(1+$D1520)</f>
        <v>1.425880186377392</v>
      </c>
      <c r="O1520" s="361">
        <f t="shared" si="1555"/>
        <v>1.7463467582656973</v>
      </c>
      <c r="P1520" s="361">
        <f t="shared" si="1555"/>
        <v>2.1388381921858959</v>
      </c>
      <c r="Q1520" s="361">
        <f t="shared" si="1555"/>
        <v>2.6195420758796555</v>
      </c>
      <c r="R1520" s="361">
        <f t="shared" si="1555"/>
        <v>3.208284157433583</v>
      </c>
      <c r="S1520" s="361">
        <f t="shared" si="1555"/>
        <v>3.92934602181675</v>
      </c>
      <c r="T1520" s="361">
        <f t="shared" si="1555"/>
        <v>4.8124665402200266</v>
      </c>
      <c r="U1520" s="361">
        <f t="shared" si="1555"/>
        <v>5.8940683951344317</v>
      </c>
      <c r="V1520" s="362">
        <f t="shared" si="1555"/>
        <v>7.2187602669408388</v>
      </c>
      <c r="X1520" s="351"/>
    </row>
    <row r="1521" spans="3:24" ht="24.75" customHeight="1" x14ac:dyDescent="0.3">
      <c r="C1521" s="353">
        <f>ABS(E1521-Dashboard!$F$14)</f>
        <v>11.887688022042227</v>
      </c>
      <c r="D1521" s="350">
        <f t="shared" si="1521"/>
        <v>0.22484999999999047</v>
      </c>
      <c r="E1521" s="359" cm="1">
        <f t="array" ref="E1521">1000*SUM('DRE + DCF'!$L$36/M1521,'DRE + DCF'!$N$36:$V$36/N1521:V1521,F1521/V1521)/Dashboard!$F$11</f>
        <v>85.102311977957768</v>
      </c>
      <c r="F1521" s="359">
        <f t="shared" si="1519"/>
        <v>12315619.373207407</v>
      </c>
      <c r="G1521" s="359">
        <f>'DRE + DCF'!$W$31</f>
        <v>2791623.3540418856</v>
      </c>
      <c r="H1521" s="359">
        <f>'DRE + DCF'!$W$32</f>
        <v>81081.931703745853</v>
      </c>
      <c r="I1521" s="359">
        <f>-H1521*('DRE + DCF'!$V$33+K1521)/'DRE + DCF'!$V$33</f>
        <v>-90858.801614444121</v>
      </c>
      <c r="J1521" s="359">
        <f>-'DRE + DCF'!$V$56*L1521</f>
        <v>-1188924.4255577971</v>
      </c>
      <c r="K1521" s="360">
        <f>(1+L1521)/(1+Ke!$O$12)-1</f>
        <v>2.0000000000000018E-2</v>
      </c>
      <c r="L1521" s="360">
        <f>'DRE + DCF'!$Y$31</f>
        <v>7.3550000000000004E-2</v>
      </c>
      <c r="M1521" s="361">
        <f>(1+D1521)^((5-Dashboard!$F$9)*3/12)</f>
        <v>1.1642927145073707</v>
      </c>
      <c r="N1521" s="361">
        <f t="shared" ref="N1521:V1521" si="1556">M1521*(1+$D1521)</f>
        <v>1.4260839313643419</v>
      </c>
      <c r="O1521" s="361">
        <f t="shared" si="1556"/>
        <v>1.7467389033316005</v>
      </c>
      <c r="P1521" s="361">
        <f t="shared" si="1556"/>
        <v>2.139493145745694</v>
      </c>
      <c r="Q1521" s="361">
        <f t="shared" si="1556"/>
        <v>2.6205581795665931</v>
      </c>
      <c r="R1521" s="361">
        <f t="shared" si="1556"/>
        <v>3.2097906862421164</v>
      </c>
      <c r="S1521" s="361">
        <f t="shared" si="1556"/>
        <v>3.9315121220436255</v>
      </c>
      <c r="T1521" s="361">
        <f t="shared" si="1556"/>
        <v>4.8155126226850973</v>
      </c>
      <c r="U1521" s="361">
        <f t="shared" si="1556"/>
        <v>5.8982806358957953</v>
      </c>
      <c r="V1521" s="362">
        <f t="shared" si="1556"/>
        <v>7.2245090368769089</v>
      </c>
      <c r="X1521" s="351"/>
    </row>
    <row r="1522" spans="3:24" ht="24.75" customHeight="1" x14ac:dyDescent="0.3">
      <c r="C1522" s="353">
        <f>ABS(E1522-Dashboard!$F$14)</f>
        <v>11.949932248595147</v>
      </c>
      <c r="D1522" s="350">
        <f t="shared" si="1521"/>
        <v>0.22494999999999046</v>
      </c>
      <c r="E1522" s="359" cm="1">
        <f t="array" ref="E1522">1000*SUM('DRE + DCF'!$L$36/M1522,'DRE + DCF'!$N$36:$V$36/N1522:V1522,F1522/V1522)/Dashboard!$F$11</f>
        <v>85.040067751404848</v>
      </c>
      <c r="F1522" s="359">
        <f t="shared" si="1519"/>
        <v>12308924.101646069</v>
      </c>
      <c r="G1522" s="359">
        <f>'DRE + DCF'!$W$31</f>
        <v>2791623.3540418856</v>
      </c>
      <c r="H1522" s="359">
        <f>'DRE + DCF'!$W$32</f>
        <v>81081.931703745853</v>
      </c>
      <c r="I1522" s="359">
        <f>-H1522*('DRE + DCF'!$V$33+K1522)/'DRE + DCF'!$V$33</f>
        <v>-90858.801614444121</v>
      </c>
      <c r="J1522" s="359">
        <f>-'DRE + DCF'!$V$56*L1522</f>
        <v>-1188924.4255577971</v>
      </c>
      <c r="K1522" s="360">
        <f>(1+L1522)/(1+Ke!$O$12)-1</f>
        <v>2.0000000000000018E-2</v>
      </c>
      <c r="L1522" s="360">
        <f>'DRE + DCF'!$Y$31</f>
        <v>7.3550000000000004E-2</v>
      </c>
      <c r="M1522" s="361">
        <f>(1+D1522)^((5-Dashboard!$F$9)*3/12)</f>
        <v>1.1643640057368838</v>
      </c>
      <c r="N1522" s="361">
        <f t="shared" ref="N1522:V1522" si="1557">M1522*(1+$D1522)</f>
        <v>1.4262876888273848</v>
      </c>
      <c r="O1522" s="361">
        <f t="shared" si="1557"/>
        <v>1.7471311044290914</v>
      </c>
      <c r="P1522" s="361">
        <f t="shared" si="1557"/>
        <v>2.1401482463703987</v>
      </c>
      <c r="Q1522" s="361">
        <f t="shared" si="1557"/>
        <v>2.6215745943913995</v>
      </c>
      <c r="R1522" s="361">
        <f t="shared" si="1557"/>
        <v>3.2112977993997198</v>
      </c>
      <c r="S1522" s="361">
        <f t="shared" si="1557"/>
        <v>3.9336792393746562</v>
      </c>
      <c r="T1522" s="361">
        <f t="shared" si="1557"/>
        <v>4.8185603842719473</v>
      </c>
      <c r="U1522" s="361">
        <f t="shared" si="1557"/>
        <v>5.9024955427138757</v>
      </c>
      <c r="V1522" s="362">
        <f t="shared" si="1557"/>
        <v>7.230261915047306</v>
      </c>
      <c r="X1522" s="351"/>
    </row>
    <row r="1523" spans="3:24" ht="24.75" customHeight="1" x14ac:dyDescent="0.3">
      <c r="C1523" s="353">
        <f>ABS(E1523-Dashboard!$F$14)</f>
        <v>12.012097401324098</v>
      </c>
      <c r="D1523" s="350">
        <f t="shared" si="1521"/>
        <v>0.22504999999999045</v>
      </c>
      <c r="E1523" s="359" cm="1">
        <f t="array" ref="E1523">1000*SUM('DRE + DCF'!$L$36/M1523,'DRE + DCF'!$N$36:$V$36/N1523:V1523,F1523/V1523)/Dashboard!$F$11</f>
        <v>84.977902598675897</v>
      </c>
      <c r="F1523" s="359">
        <f t="shared" si="1519"/>
        <v>12302236.390549356</v>
      </c>
      <c r="G1523" s="359">
        <f>'DRE + DCF'!$W$31</f>
        <v>2791623.3540418856</v>
      </c>
      <c r="H1523" s="359">
        <f>'DRE + DCF'!$W$32</f>
        <v>81081.931703745853</v>
      </c>
      <c r="I1523" s="359">
        <f>-H1523*('DRE + DCF'!$V$33+K1523)/'DRE + DCF'!$V$33</f>
        <v>-90858.801614444121</v>
      </c>
      <c r="J1523" s="359">
        <f>-'DRE + DCF'!$V$56*L1523</f>
        <v>-1188924.4255577971</v>
      </c>
      <c r="K1523" s="360">
        <f>(1+L1523)/(1+Ke!$O$12)-1</f>
        <v>2.0000000000000018E-2</v>
      </c>
      <c r="L1523" s="360">
        <f>'DRE + DCF'!$Y$31</f>
        <v>7.3550000000000004E-2</v>
      </c>
      <c r="M1523" s="361">
        <f>(1+D1523)^((5-Dashboard!$F$9)*3/12)</f>
        <v>1.164435295511429</v>
      </c>
      <c r="N1523" s="361">
        <f t="shared" ref="N1523:V1523" si="1558">M1523*(1+$D1523)</f>
        <v>1.4264914587662649</v>
      </c>
      <c r="O1523" s="361">
        <f t="shared" si="1558"/>
        <v>1.7475233615615993</v>
      </c>
      <c r="P1523" s="361">
        <f t="shared" si="1558"/>
        <v>2.1408034940810206</v>
      </c>
      <c r="Q1523" s="361">
        <f t="shared" si="1558"/>
        <v>2.6225913204239339</v>
      </c>
      <c r="R1523" s="361">
        <f t="shared" si="1558"/>
        <v>3.212805497085315</v>
      </c>
      <c r="S1523" s="361">
        <f t="shared" si="1558"/>
        <v>3.9358473742043345</v>
      </c>
      <c r="T1523" s="361">
        <f t="shared" si="1558"/>
        <v>4.8216098257689826</v>
      </c>
      <c r="U1523" s="361">
        <f t="shared" si="1558"/>
        <v>5.9067131170582456</v>
      </c>
      <c r="V1523" s="362">
        <f t="shared" si="1558"/>
        <v>7.2360189040521474</v>
      </c>
      <c r="X1523" s="351"/>
    </row>
    <row r="1524" spans="3:24" ht="24.75" customHeight="1" x14ac:dyDescent="0.3">
      <c r="C1524" s="353">
        <f>ABS(E1524-Dashboard!$F$14)</f>
        <v>12.074183621955243</v>
      </c>
      <c r="D1524" s="350">
        <f t="shared" si="1521"/>
        <v>0.22514999999999044</v>
      </c>
      <c r="E1524" s="359" cm="1">
        <f t="array" ref="E1524">1000*SUM('DRE + DCF'!$L$36/M1524,'DRE + DCF'!$N$36:$V$36/N1524:V1524,F1524/V1524)/Dashboard!$F$11</f>
        <v>84.915816378044752</v>
      </c>
      <c r="F1524" s="359">
        <f t="shared" si="1519"/>
        <v>12295556.226657905</v>
      </c>
      <c r="G1524" s="359">
        <f>'DRE + DCF'!$W$31</f>
        <v>2791623.3540418856</v>
      </c>
      <c r="H1524" s="359">
        <f>'DRE + DCF'!$W$32</f>
        <v>81081.931703745853</v>
      </c>
      <c r="I1524" s="359">
        <f>-H1524*('DRE + DCF'!$V$33+K1524)/'DRE + DCF'!$V$33</f>
        <v>-90858.801614444121</v>
      </c>
      <c r="J1524" s="359">
        <f>-'DRE + DCF'!$V$56*L1524</f>
        <v>-1188924.4255577971</v>
      </c>
      <c r="K1524" s="360">
        <f>(1+L1524)/(1+Ke!$O$12)-1</f>
        <v>2.0000000000000018E-2</v>
      </c>
      <c r="L1524" s="360">
        <f>'DRE + DCF'!$Y$31</f>
        <v>7.3550000000000004E-2</v>
      </c>
      <c r="M1524" s="361">
        <f>(1+D1524)^((5-Dashboard!$F$9)*3/12)</f>
        <v>1.1645065838311552</v>
      </c>
      <c r="N1524" s="361">
        <f t="shared" ref="N1524:V1524" si="1559">M1524*(1+$D1524)</f>
        <v>1.4266952411807288</v>
      </c>
      <c r="O1524" s="361">
        <f t="shared" si="1559"/>
        <v>1.7479156747325562</v>
      </c>
      <c r="P1524" s="361">
        <f t="shared" si="1559"/>
        <v>2.1414588888985744</v>
      </c>
      <c r="Q1524" s="361">
        <f t="shared" si="1559"/>
        <v>2.6236083577340681</v>
      </c>
      <c r="R1524" s="361">
        <f t="shared" si="1559"/>
        <v>3.2143137794778682</v>
      </c>
      <c r="S1524" s="361">
        <f t="shared" si="1559"/>
        <v>3.9380165269272793</v>
      </c>
      <c r="T1524" s="361">
        <f t="shared" si="1559"/>
        <v>4.8246609479649187</v>
      </c>
      <c r="U1524" s="361">
        <f t="shared" si="1559"/>
        <v>5.9109333603991736</v>
      </c>
      <c r="V1524" s="362">
        <f t="shared" si="1559"/>
        <v>7.2417800064929905</v>
      </c>
      <c r="X1524" s="351"/>
    </row>
    <row r="1525" spans="3:24" ht="24.75" customHeight="1" x14ac:dyDescent="0.3">
      <c r="C1525" s="353">
        <f>ABS(E1525-Dashboard!$F$14)</f>
        <v>12.136191051880431</v>
      </c>
      <c r="D1525" s="350">
        <f t="shared" si="1521"/>
        <v>0.22524999999999043</v>
      </c>
      <c r="E1525" s="359" cm="1">
        <f t="array" ref="E1525">1000*SUM('DRE + DCF'!$L$36/M1525,'DRE + DCF'!$N$36:$V$36/N1525:V1525,F1525/V1525)/Dashboard!$F$11</f>
        <v>84.853808948119564</v>
      </c>
      <c r="F1525" s="359">
        <f t="shared" si="1519"/>
        <v>12288883.596744288</v>
      </c>
      <c r="G1525" s="359">
        <f>'DRE + DCF'!$W$31</f>
        <v>2791623.3540418856</v>
      </c>
      <c r="H1525" s="359">
        <f>'DRE + DCF'!$W$32</f>
        <v>81081.931703745853</v>
      </c>
      <c r="I1525" s="359">
        <f>-H1525*('DRE + DCF'!$V$33+K1525)/'DRE + DCF'!$V$33</f>
        <v>-90858.801614444121</v>
      </c>
      <c r="J1525" s="359">
        <f>-'DRE + DCF'!$V$56*L1525</f>
        <v>-1188924.4255577971</v>
      </c>
      <c r="K1525" s="360">
        <f>(1+L1525)/(1+Ke!$O$12)-1</f>
        <v>2.0000000000000018E-2</v>
      </c>
      <c r="L1525" s="360">
        <f>'DRE + DCF'!$Y$31</f>
        <v>7.3550000000000004E-2</v>
      </c>
      <c r="M1525" s="361">
        <f>(1+D1525)^((5-Dashboard!$F$9)*3/12)</f>
        <v>1.1645778706962107</v>
      </c>
      <c r="N1525" s="361">
        <f t="shared" ref="N1525:V1525" si="1560">M1525*(1+$D1525)</f>
        <v>1.4268990360705209</v>
      </c>
      <c r="O1525" s="361">
        <f t="shared" si="1560"/>
        <v>1.7483080439453922</v>
      </c>
      <c r="P1525" s="361">
        <f t="shared" si="1560"/>
        <v>2.1421144308440749</v>
      </c>
      <c r="Q1525" s="361">
        <f t="shared" si="1560"/>
        <v>2.6246257063916825</v>
      </c>
      <c r="R1525" s="361">
        <f t="shared" si="1560"/>
        <v>3.2158226467563837</v>
      </c>
      <c r="S1525" s="361">
        <f t="shared" si="1560"/>
        <v>3.9401866979382283</v>
      </c>
      <c r="T1525" s="361">
        <f t="shared" si="1560"/>
        <v>4.8277137516487763</v>
      </c>
      <c r="U1525" s="361">
        <f t="shared" si="1560"/>
        <v>5.9151562742076171</v>
      </c>
      <c r="V1525" s="362">
        <f t="shared" si="1560"/>
        <v>7.2475452249728258</v>
      </c>
      <c r="X1525" s="351"/>
    </row>
    <row r="1526" spans="3:24" ht="24.75" customHeight="1" x14ac:dyDescent="0.3">
      <c r="C1526" s="353">
        <f>ABS(E1526-Dashboard!$F$14)</f>
        <v>12.198119832158113</v>
      </c>
      <c r="D1526" s="350">
        <f t="shared" si="1521"/>
        <v>0.22534999999999042</v>
      </c>
      <c r="E1526" s="359" cm="1">
        <f t="array" ref="E1526">1000*SUM('DRE + DCF'!$L$36/M1526,'DRE + DCF'!$N$36:$V$36/N1526:V1526,F1526/V1526)/Dashboard!$F$11</f>
        <v>84.791880167841882</v>
      </c>
      <c r="F1526" s="359">
        <f t="shared" si="1519"/>
        <v>12282218.487612937</v>
      </c>
      <c r="G1526" s="359">
        <f>'DRE + DCF'!$W$31</f>
        <v>2791623.3540418856</v>
      </c>
      <c r="H1526" s="359">
        <f>'DRE + DCF'!$W$32</f>
        <v>81081.931703745853</v>
      </c>
      <c r="I1526" s="359">
        <f>-H1526*('DRE + DCF'!$V$33+K1526)/'DRE + DCF'!$V$33</f>
        <v>-90858.801614444121</v>
      </c>
      <c r="J1526" s="359">
        <f>-'DRE + DCF'!$V$56*L1526</f>
        <v>-1188924.4255577971</v>
      </c>
      <c r="K1526" s="360">
        <f>(1+L1526)/(1+Ke!$O$12)-1</f>
        <v>2.0000000000000018E-2</v>
      </c>
      <c r="L1526" s="360">
        <f>'DRE + DCF'!$Y$31</f>
        <v>7.3550000000000004E-2</v>
      </c>
      <c r="M1526" s="361">
        <f>(1+D1526)^((5-Dashboard!$F$9)*3/12)</f>
        <v>1.1646491561067438</v>
      </c>
      <c r="N1526" s="361">
        <f t="shared" ref="N1526:V1526" si="1561">M1526*(1+$D1526)</f>
        <v>1.4271028434353874</v>
      </c>
      <c r="O1526" s="361">
        <f t="shared" si="1561"/>
        <v>1.7487004692035382</v>
      </c>
      <c r="P1526" s="361">
        <f t="shared" si="1561"/>
        <v>2.1427701199385387</v>
      </c>
      <c r="Q1526" s="361">
        <f t="shared" si="1561"/>
        <v>2.6256433664666678</v>
      </c>
      <c r="R1526" s="361">
        <f t="shared" si="1561"/>
        <v>3.2173320990999064</v>
      </c>
      <c r="S1526" s="361">
        <f t="shared" si="1561"/>
        <v>3.9423578876320393</v>
      </c>
      <c r="T1526" s="361">
        <f t="shared" si="1561"/>
        <v>4.8307682376098811</v>
      </c>
      <c r="U1526" s="361">
        <f t="shared" si="1561"/>
        <v>5.9193818599552213</v>
      </c>
      <c r="V1526" s="362">
        <f t="shared" si="1561"/>
        <v>7.2533145620960733</v>
      </c>
      <c r="X1526" s="351"/>
    </row>
    <row r="1527" spans="3:24" ht="24.75" customHeight="1" x14ac:dyDescent="0.3">
      <c r="C1527" s="353">
        <f>ABS(E1527-Dashboard!$F$14)</f>
        <v>12.259970103514533</v>
      </c>
      <c r="D1527" s="350">
        <f t="shared" si="1521"/>
        <v>0.22544999999999041</v>
      </c>
      <c r="E1527" s="359" cm="1">
        <f t="array" ref="E1527">1000*SUM('DRE + DCF'!$L$36/M1527,'DRE + DCF'!$N$36:$V$36/N1527:V1527,F1527/V1527)/Dashboard!$F$11</f>
        <v>84.730029896485462</v>
      </c>
      <c r="F1527" s="359">
        <f t="shared" si="1519"/>
        <v>12275560.886100005</v>
      </c>
      <c r="G1527" s="359">
        <f>'DRE + DCF'!$W$31</f>
        <v>2791623.3540418856</v>
      </c>
      <c r="H1527" s="359">
        <f>'DRE + DCF'!$W$32</f>
        <v>81081.931703745853</v>
      </c>
      <c r="I1527" s="359">
        <f>-H1527*('DRE + DCF'!$V$33+K1527)/'DRE + DCF'!$V$33</f>
        <v>-90858.801614444121</v>
      </c>
      <c r="J1527" s="359">
        <f>-'DRE + DCF'!$V$56*L1527</f>
        <v>-1188924.4255577971</v>
      </c>
      <c r="K1527" s="360">
        <f>(1+L1527)/(1+Ke!$O$12)-1</f>
        <v>2.0000000000000018E-2</v>
      </c>
      <c r="L1527" s="360">
        <f>'DRE + DCF'!$Y$31</f>
        <v>7.3550000000000004E-2</v>
      </c>
      <c r="M1527" s="361">
        <f>(1+D1527)^((5-Dashboard!$F$9)*3/12)</f>
        <v>1.1647204400629032</v>
      </c>
      <c r="N1527" s="361">
        <f t="shared" ref="N1527:V1527" si="1562">M1527*(1+$D1527)</f>
        <v>1.4273066632750735</v>
      </c>
      <c r="O1527" s="361">
        <f t="shared" si="1562"/>
        <v>1.7490929505104251</v>
      </c>
      <c r="P1527" s="361">
        <f t="shared" si="1562"/>
        <v>2.1434259562029836</v>
      </c>
      <c r="Q1527" s="361">
        <f t="shared" si="1562"/>
        <v>2.6266613380289257</v>
      </c>
      <c r="R1527" s="361">
        <f t="shared" si="1562"/>
        <v>3.2188421366875217</v>
      </c>
      <c r="S1527" s="361">
        <f t="shared" si="1562"/>
        <v>3.9445300964036925</v>
      </c>
      <c r="T1527" s="361">
        <f t="shared" si="1562"/>
        <v>4.8338244066378673</v>
      </c>
      <c r="U1527" s="361">
        <f t="shared" si="1562"/>
        <v>5.9236101191143282</v>
      </c>
      <c r="V1527" s="362">
        <f t="shared" si="1562"/>
        <v>7.2590880204685968</v>
      </c>
      <c r="X1527" s="351"/>
    </row>
    <row r="1528" spans="3:24" ht="24.75" customHeight="1" x14ac:dyDescent="0.3">
      <c r="C1528" s="353">
        <f>ABS(E1528-Dashboard!$F$14)</f>
        <v>12.321742006344365</v>
      </c>
      <c r="D1528" s="350">
        <f t="shared" si="1521"/>
        <v>0.2255499999999904</v>
      </c>
      <c r="E1528" s="359" cm="1">
        <f t="array" ref="E1528">1000*SUM('DRE + DCF'!$L$36/M1528,'DRE + DCF'!$N$36:$V$36/N1528:V1528,F1528/V1528)/Dashboard!$F$11</f>
        <v>84.668257993655629</v>
      </c>
      <c r="F1528" s="359">
        <f t="shared" si="1519"/>
        <v>12268910.779073317</v>
      </c>
      <c r="G1528" s="359">
        <f>'DRE + DCF'!$W$31</f>
        <v>2791623.3540418856</v>
      </c>
      <c r="H1528" s="359">
        <f>'DRE + DCF'!$W$32</f>
        <v>81081.931703745853</v>
      </c>
      <c r="I1528" s="359">
        <f>-H1528*('DRE + DCF'!$V$33+K1528)/'DRE + DCF'!$V$33</f>
        <v>-90858.801614444121</v>
      </c>
      <c r="J1528" s="359">
        <f>-'DRE + DCF'!$V$56*L1528</f>
        <v>-1188924.4255577971</v>
      </c>
      <c r="K1528" s="360">
        <f>(1+L1528)/(1+Ke!$O$12)-1</f>
        <v>2.0000000000000018E-2</v>
      </c>
      <c r="L1528" s="360">
        <f>'DRE + DCF'!$Y$31</f>
        <v>7.3550000000000004E-2</v>
      </c>
      <c r="M1528" s="361">
        <f>(1+D1528)^((5-Dashboard!$F$9)*3/12)</f>
        <v>1.1647917225648368</v>
      </c>
      <c r="N1528" s="361">
        <f t="shared" ref="N1528:V1528" si="1563">M1528*(1+$D1528)</f>
        <v>1.4275104955893245</v>
      </c>
      <c r="O1528" s="361">
        <f t="shared" si="1563"/>
        <v>1.749485487869483</v>
      </c>
      <c r="P1528" s="361">
        <f t="shared" si="1563"/>
        <v>2.1440819396584279</v>
      </c>
      <c r="Q1528" s="361">
        <f t="shared" si="1563"/>
        <v>2.6276796211483657</v>
      </c>
      <c r="R1528" s="361">
        <f t="shared" si="1563"/>
        <v>3.2203527596983541</v>
      </c>
      <c r="S1528" s="361">
        <f t="shared" si="1563"/>
        <v>3.9467033246482868</v>
      </c>
      <c r="T1528" s="361">
        <f t="shared" si="1563"/>
        <v>4.8368822595226701</v>
      </c>
      <c r="U1528" s="361">
        <f t="shared" si="1563"/>
        <v>5.9278410531579615</v>
      </c>
      <c r="V1528" s="362">
        <f t="shared" si="1563"/>
        <v>7.2648656026976823</v>
      </c>
      <c r="X1528" s="351"/>
    </row>
    <row r="1529" spans="3:24" ht="24.75" customHeight="1" x14ac:dyDescent="0.3">
      <c r="C1529" s="353">
        <f>ABS(E1529-Dashboard!$F$14)</f>
        <v>12.383435680712125</v>
      </c>
      <c r="D1529" s="350">
        <f t="shared" si="1521"/>
        <v>0.22564999999999039</v>
      </c>
      <c r="E1529" s="359" cm="1">
        <f t="array" ref="E1529">1000*SUM('DRE + DCF'!$L$36/M1529,'DRE + DCF'!$N$36:$V$36/N1529:V1529,F1529/V1529)/Dashboard!$F$11</f>
        <v>84.60656431928787</v>
      </c>
      <c r="F1529" s="359">
        <f t="shared" si="1519"/>
        <v>12262268.153432233</v>
      </c>
      <c r="G1529" s="359">
        <f>'DRE + DCF'!$W$31</f>
        <v>2791623.3540418856</v>
      </c>
      <c r="H1529" s="359">
        <f>'DRE + DCF'!$W$32</f>
        <v>81081.931703745853</v>
      </c>
      <c r="I1529" s="359">
        <f>-H1529*('DRE + DCF'!$V$33+K1529)/'DRE + DCF'!$V$33</f>
        <v>-90858.801614444121</v>
      </c>
      <c r="J1529" s="359">
        <f>-'DRE + DCF'!$V$56*L1529</f>
        <v>-1188924.4255577971</v>
      </c>
      <c r="K1529" s="360">
        <f>(1+L1529)/(1+Ke!$O$12)-1</f>
        <v>2.0000000000000018E-2</v>
      </c>
      <c r="L1529" s="360">
        <f>'DRE + DCF'!$Y$31</f>
        <v>7.3550000000000004E-2</v>
      </c>
      <c r="M1529" s="361">
        <f>(1+D1529)^((5-Dashboard!$F$9)*3/12)</f>
        <v>1.1648630036126932</v>
      </c>
      <c r="N1529" s="361">
        <f t="shared" ref="N1529:V1529" si="1564">M1529*(1+$D1529)</f>
        <v>1.4277143403778862</v>
      </c>
      <c r="O1529" s="361">
        <f t="shared" si="1564"/>
        <v>1.7498780812841426</v>
      </c>
      <c r="P1529" s="361">
        <f t="shared" si="1564"/>
        <v>2.1447380703258925</v>
      </c>
      <c r="Q1529" s="361">
        <f t="shared" si="1564"/>
        <v>2.6286982158949095</v>
      </c>
      <c r="R1529" s="361">
        <f t="shared" si="1564"/>
        <v>3.2218639683115704</v>
      </c>
      <c r="S1529" s="361">
        <f t="shared" si="1564"/>
        <v>3.9488775727610452</v>
      </c>
      <c r="T1529" s="361">
        <f t="shared" si="1564"/>
        <v>4.8399417970545366</v>
      </c>
      <c r="U1529" s="361">
        <f t="shared" si="1564"/>
        <v>5.9320746635598463</v>
      </c>
      <c r="V1529" s="362">
        <f t="shared" si="1564"/>
        <v>7.270647311392068</v>
      </c>
      <c r="X1529" s="351"/>
    </row>
    <row r="1530" spans="3:24" ht="24.75" customHeight="1" x14ac:dyDescent="0.3">
      <c r="C1530" s="353">
        <f>ABS(E1530-Dashboard!$F$14)</f>
        <v>12.445051266352905</v>
      </c>
      <c r="D1530" s="350">
        <f t="shared" si="1521"/>
        <v>0.22574999999999038</v>
      </c>
      <c r="E1530" s="359" cm="1">
        <f t="array" ref="E1530">1000*SUM('DRE + DCF'!$L$36/M1530,'DRE + DCF'!$N$36:$V$36/N1530:V1530,F1530/V1530)/Dashboard!$F$11</f>
        <v>84.54494873364709</v>
      </c>
      <c r="F1530" s="359">
        <f t="shared" si="1519"/>
        <v>12255632.996107569</v>
      </c>
      <c r="G1530" s="359">
        <f>'DRE + DCF'!$W$31</f>
        <v>2791623.3540418856</v>
      </c>
      <c r="H1530" s="359">
        <f>'DRE + DCF'!$W$32</f>
        <v>81081.931703745853</v>
      </c>
      <c r="I1530" s="359">
        <f>-H1530*('DRE + DCF'!$V$33+K1530)/'DRE + DCF'!$V$33</f>
        <v>-90858.801614444121</v>
      </c>
      <c r="J1530" s="359">
        <f>-'DRE + DCF'!$V$56*L1530</f>
        <v>-1188924.4255577971</v>
      </c>
      <c r="K1530" s="360">
        <f>(1+L1530)/(1+Ke!$O$12)-1</f>
        <v>2.0000000000000018E-2</v>
      </c>
      <c r="L1530" s="360">
        <f>'DRE + DCF'!$Y$31</f>
        <v>7.3550000000000004E-2</v>
      </c>
      <c r="M1530" s="361">
        <f>(1+D1530)^((5-Dashboard!$F$9)*3/12)</f>
        <v>1.1649342832066207</v>
      </c>
      <c r="N1530" s="361">
        <f t="shared" ref="N1530:V1530" si="1565">M1530*(1+$D1530)</f>
        <v>1.4279181976405042</v>
      </c>
      <c r="O1530" s="361">
        <f t="shared" si="1565"/>
        <v>1.7502707307578342</v>
      </c>
      <c r="P1530" s="361">
        <f t="shared" si="1565"/>
        <v>2.1453943482263984</v>
      </c>
      <c r="Q1530" s="361">
        <f t="shared" si="1565"/>
        <v>2.6297171223384872</v>
      </c>
      <c r="R1530" s="361">
        <f t="shared" si="1565"/>
        <v>3.2233757627063753</v>
      </c>
      <c r="S1530" s="361">
        <f t="shared" si="1565"/>
        <v>3.9510528411373085</v>
      </c>
      <c r="T1530" s="361">
        <f t="shared" si="1565"/>
        <v>4.8430030200240175</v>
      </c>
      <c r="U1530" s="361">
        <f t="shared" si="1565"/>
        <v>5.9363109517943924</v>
      </c>
      <c r="V1530" s="362">
        <f t="shared" si="1565"/>
        <v>7.2764331491619192</v>
      </c>
      <c r="X1530" s="351"/>
    </row>
    <row r="1531" spans="3:24" ht="24.75" customHeight="1" x14ac:dyDescent="0.3">
      <c r="C1531" s="353">
        <f>ABS(E1531-Dashboard!$F$14)</f>
        <v>12.506588902673286</v>
      </c>
      <c r="D1531" s="350">
        <f t="shared" si="1521"/>
        <v>0.22584999999999036</v>
      </c>
      <c r="E1531" s="359" cm="1">
        <f t="array" ref="E1531">1000*SUM('DRE + DCF'!$L$36/M1531,'DRE + DCF'!$N$36:$V$36/N1531:V1531,F1531/V1531)/Dashboard!$F$11</f>
        <v>84.483411097326709</v>
      </c>
      <c r="F1531" s="359">
        <f t="shared" si="1519"/>
        <v>12249005.294061497</v>
      </c>
      <c r="G1531" s="359">
        <f>'DRE + DCF'!$W$31</f>
        <v>2791623.3540418856</v>
      </c>
      <c r="H1531" s="359">
        <f>'DRE + DCF'!$W$32</f>
        <v>81081.931703745853</v>
      </c>
      <c r="I1531" s="359">
        <f>-H1531*('DRE + DCF'!$V$33+K1531)/'DRE + DCF'!$V$33</f>
        <v>-90858.801614444121</v>
      </c>
      <c r="J1531" s="359">
        <f>-'DRE + DCF'!$V$56*L1531</f>
        <v>-1188924.4255577971</v>
      </c>
      <c r="K1531" s="360">
        <f>(1+L1531)/(1+Ke!$O$12)-1</f>
        <v>2.0000000000000018E-2</v>
      </c>
      <c r="L1531" s="360">
        <f>'DRE + DCF'!$Y$31</f>
        <v>7.3550000000000004E-2</v>
      </c>
      <c r="M1531" s="361">
        <f>(1+D1531)^((5-Dashboard!$F$9)*3/12)</f>
        <v>1.1650055613467676</v>
      </c>
      <c r="N1531" s="361">
        <f t="shared" ref="N1531:V1531" si="1566">M1531*(1+$D1531)</f>
        <v>1.4281220673769237</v>
      </c>
      <c r="O1531" s="361">
        <f t="shared" si="1566"/>
        <v>1.7506634362939881</v>
      </c>
      <c r="P1531" s="361">
        <f t="shared" si="1566"/>
        <v>2.1460507733809684</v>
      </c>
      <c r="Q1531" s="361">
        <f t="shared" si="1566"/>
        <v>2.6307363405490394</v>
      </c>
      <c r="R1531" s="361">
        <f t="shared" si="1566"/>
        <v>3.2248881430620147</v>
      </c>
      <c r="S1531" s="361">
        <f t="shared" si="1566"/>
        <v>3.9532291301725393</v>
      </c>
      <c r="T1531" s="361">
        <f t="shared" si="1566"/>
        <v>4.846065929221969</v>
      </c>
      <c r="U1531" s="361">
        <f t="shared" si="1566"/>
        <v>5.9405499193367035</v>
      </c>
      <c r="V1531" s="362">
        <f t="shared" si="1566"/>
        <v>7.2822231186188402</v>
      </c>
      <c r="X1531" s="351"/>
    </row>
    <row r="1532" spans="3:24" ht="24.75" customHeight="1" x14ac:dyDescent="0.3">
      <c r="C1532" s="353">
        <f>ABS(E1532-Dashboard!$F$14)</f>
        <v>12.568048728752558</v>
      </c>
      <c r="D1532" s="350">
        <f t="shared" si="1521"/>
        <v>0.22594999999999035</v>
      </c>
      <c r="E1532" s="359" cm="1">
        <f t="array" ref="E1532">1000*SUM('DRE + DCF'!$L$36/M1532,'DRE + DCF'!$N$36:$V$36/N1532:V1532,F1532/V1532)/Dashboard!$F$11</f>
        <v>84.421951271247437</v>
      </c>
      <c r="F1532" s="359">
        <f t="shared" si="1519"/>
        <v>12242385.034287449</v>
      </c>
      <c r="G1532" s="359">
        <f>'DRE + DCF'!$W$31</f>
        <v>2791623.3540418856</v>
      </c>
      <c r="H1532" s="359">
        <f>'DRE + DCF'!$W$32</f>
        <v>81081.931703745853</v>
      </c>
      <c r="I1532" s="359">
        <f>-H1532*('DRE + DCF'!$V$33+K1532)/'DRE + DCF'!$V$33</f>
        <v>-90858.801614444121</v>
      </c>
      <c r="J1532" s="359">
        <f>-'DRE + DCF'!$V$56*L1532</f>
        <v>-1188924.4255577971</v>
      </c>
      <c r="K1532" s="360">
        <f>(1+L1532)/(1+Ke!$O$12)-1</f>
        <v>2.0000000000000018E-2</v>
      </c>
      <c r="L1532" s="360">
        <f>'DRE + DCF'!$Y$31</f>
        <v>7.3550000000000004E-2</v>
      </c>
      <c r="M1532" s="361">
        <f>(1+D1532)^((5-Dashboard!$F$9)*3/12)</f>
        <v>1.1650768380332819</v>
      </c>
      <c r="N1532" s="361">
        <f t="shared" ref="N1532:V1532" si="1567">M1532*(1+$D1532)</f>
        <v>1.4283259495868907</v>
      </c>
      <c r="O1532" s="361">
        <f t="shared" si="1567"/>
        <v>1.7510561978960348</v>
      </c>
      <c r="P1532" s="361">
        <f t="shared" si="1567"/>
        <v>2.1467073458106269</v>
      </c>
      <c r="Q1532" s="361">
        <f t="shared" si="1567"/>
        <v>2.6317558705965172</v>
      </c>
      <c r="R1532" s="361">
        <f t="shared" si="1567"/>
        <v>3.2264011095577749</v>
      </c>
      <c r="S1532" s="361">
        <f t="shared" si="1567"/>
        <v>3.955406440262323</v>
      </c>
      <c r="T1532" s="361">
        <f t="shared" si="1567"/>
        <v>4.8491305254395565</v>
      </c>
      <c r="U1532" s="361">
        <f t="shared" si="1567"/>
        <v>5.9447915676625778</v>
      </c>
      <c r="V1532" s="362">
        <f t="shared" si="1567"/>
        <v>7.2880172223758795</v>
      </c>
      <c r="X1532" s="351"/>
    </row>
    <row r="1533" spans="3:24" ht="24.75" customHeight="1" x14ac:dyDescent="0.3">
      <c r="C1533" s="353">
        <f>ABS(E1533-Dashboard!$F$14)</f>
        <v>12.629430883343474</v>
      </c>
      <c r="D1533" s="350">
        <f t="shared" si="1521"/>
        <v>0.22604999999999034</v>
      </c>
      <c r="E1533" s="359" cm="1">
        <f t="array" ref="E1533">1000*SUM('DRE + DCF'!$L$36/M1533,'DRE + DCF'!$N$36:$V$36/N1533:V1533,F1533/V1533)/Dashboard!$F$11</f>
        <v>84.360569116656521</v>
      </c>
      <c r="F1533" s="359">
        <f t="shared" si="1519"/>
        <v>12235772.203810021</v>
      </c>
      <c r="G1533" s="359">
        <f>'DRE + DCF'!$W$31</f>
        <v>2791623.3540418856</v>
      </c>
      <c r="H1533" s="359">
        <f>'DRE + DCF'!$W$32</f>
        <v>81081.931703745853</v>
      </c>
      <c r="I1533" s="359">
        <f>-H1533*('DRE + DCF'!$V$33+K1533)/'DRE + DCF'!$V$33</f>
        <v>-90858.801614444121</v>
      </c>
      <c r="J1533" s="359">
        <f>-'DRE + DCF'!$V$56*L1533</f>
        <v>-1188924.4255577971</v>
      </c>
      <c r="K1533" s="360">
        <f>(1+L1533)/(1+Ke!$O$12)-1</f>
        <v>2.0000000000000018E-2</v>
      </c>
      <c r="L1533" s="360">
        <f>'DRE + DCF'!$Y$31</f>
        <v>7.3550000000000004E-2</v>
      </c>
      <c r="M1533" s="361">
        <f>(1+D1533)^((5-Dashboard!$F$9)*3/12)</f>
        <v>1.165148113266312</v>
      </c>
      <c r="N1533" s="361">
        <f t="shared" ref="N1533:V1533" si="1568">M1533*(1+$D1533)</f>
        <v>1.4285298442701504</v>
      </c>
      <c r="O1533" s="361">
        <f t="shared" si="1568"/>
        <v>1.7514490155674041</v>
      </c>
      <c r="P1533" s="361">
        <f t="shared" si="1568"/>
        <v>2.1473640655363986</v>
      </c>
      <c r="Q1533" s="361">
        <f t="shared" si="1568"/>
        <v>2.6327757125508806</v>
      </c>
      <c r="R1533" s="361">
        <f t="shared" si="1568"/>
        <v>3.2279146623729815</v>
      </c>
      <c r="S1533" s="361">
        <f t="shared" si="1568"/>
        <v>3.9575847718023627</v>
      </c>
      <c r="T1533" s="361">
        <f t="shared" si="1568"/>
        <v>4.8521968094682482</v>
      </c>
      <c r="U1533" s="361">
        <f t="shared" si="1568"/>
        <v>5.949035898248499</v>
      </c>
      <c r="V1533" s="362">
        <f t="shared" si="1568"/>
        <v>7.2938154630475145</v>
      </c>
      <c r="X1533" s="351"/>
    </row>
    <row r="1534" spans="3:24" ht="24.75" customHeight="1" x14ac:dyDescent="0.3">
      <c r="C1534" s="353">
        <f>ABS(E1534-Dashboard!$F$14)</f>
        <v>12.690735504873388</v>
      </c>
      <c r="D1534" s="350">
        <f t="shared" si="1521"/>
        <v>0.22614999999999033</v>
      </c>
      <c r="E1534" s="359" cm="1">
        <f t="array" ref="E1534">1000*SUM('DRE + DCF'!$L$36/M1534,'DRE + DCF'!$N$36:$V$36/N1534:V1534,F1534/V1534)/Dashboard!$F$11</f>
        <v>84.299264495126607</v>
      </c>
      <c r="F1534" s="359">
        <f t="shared" si="1519"/>
        <v>12229166.789684879</v>
      </c>
      <c r="G1534" s="359">
        <f>'DRE + DCF'!$W$31</f>
        <v>2791623.3540418856</v>
      </c>
      <c r="H1534" s="359">
        <f>'DRE + DCF'!$W$32</f>
        <v>81081.931703745853</v>
      </c>
      <c r="I1534" s="359">
        <f>-H1534*('DRE + DCF'!$V$33+K1534)/'DRE + DCF'!$V$33</f>
        <v>-90858.801614444121</v>
      </c>
      <c r="J1534" s="359">
        <f>-'DRE + DCF'!$V$56*L1534</f>
        <v>-1188924.4255577971</v>
      </c>
      <c r="K1534" s="360">
        <f>(1+L1534)/(1+Ke!$O$12)-1</f>
        <v>2.0000000000000018E-2</v>
      </c>
      <c r="L1534" s="360">
        <f>'DRE + DCF'!$Y$31</f>
        <v>7.3550000000000004E-2</v>
      </c>
      <c r="M1534" s="361">
        <f>(1+D1534)^((5-Dashboard!$F$9)*3/12)</f>
        <v>1.1652193870460061</v>
      </c>
      <c r="N1534" s="361">
        <f t="shared" ref="N1534:V1534" si="1569">M1534*(1+$D1534)</f>
        <v>1.4287337514264491</v>
      </c>
      <c r="O1534" s="361">
        <f t="shared" si="1569"/>
        <v>1.7518418893115266</v>
      </c>
      <c r="P1534" s="361">
        <f t="shared" si="1569"/>
        <v>2.1480209325793114</v>
      </c>
      <c r="Q1534" s="361">
        <f t="shared" si="1569"/>
        <v>2.6337958664821017</v>
      </c>
      <c r="R1534" s="361">
        <f t="shared" si="1569"/>
        <v>3.2294288016870034</v>
      </c>
      <c r="S1534" s="361">
        <f t="shared" si="1569"/>
        <v>3.9597641251884879</v>
      </c>
      <c r="T1534" s="361">
        <f t="shared" si="1569"/>
        <v>4.8552647820998258</v>
      </c>
      <c r="U1534" s="361">
        <f t="shared" si="1569"/>
        <v>5.9532829125716544</v>
      </c>
      <c r="V1534" s="362">
        <f t="shared" si="1569"/>
        <v>7.2996178432496768</v>
      </c>
      <c r="X1534" s="351"/>
    </row>
    <row r="1535" spans="3:24" ht="24.75" customHeight="1" x14ac:dyDescent="0.3">
      <c r="C1535" s="353">
        <f>ABS(E1535-Dashboard!$F$14)</f>
        <v>12.751962731444976</v>
      </c>
      <c r="D1535" s="350">
        <f t="shared" si="1521"/>
        <v>0.22624999999999032</v>
      </c>
      <c r="E1535" s="359" cm="1">
        <f t="array" ref="E1535">1000*SUM('DRE + DCF'!$L$36/M1535,'DRE + DCF'!$N$36:$V$36/N1535:V1535,F1535/V1535)/Dashboard!$F$11</f>
        <v>84.238037268555018</v>
      </c>
      <c r="F1535" s="359">
        <f t="shared" si="1519"/>
        <v>12222568.778998658</v>
      </c>
      <c r="G1535" s="359">
        <f>'DRE + DCF'!$W$31</f>
        <v>2791623.3540418856</v>
      </c>
      <c r="H1535" s="359">
        <f>'DRE + DCF'!$W$32</f>
        <v>81081.931703745853</v>
      </c>
      <c r="I1535" s="359">
        <f>-H1535*('DRE + DCF'!$V$33+K1535)/'DRE + DCF'!$V$33</f>
        <v>-90858.801614444121</v>
      </c>
      <c r="J1535" s="359">
        <f>-'DRE + DCF'!$V$56*L1535</f>
        <v>-1188924.4255577971</v>
      </c>
      <c r="K1535" s="360">
        <f>(1+L1535)/(1+Ke!$O$12)-1</f>
        <v>2.0000000000000018E-2</v>
      </c>
      <c r="L1535" s="360">
        <f>'DRE + DCF'!$Y$31</f>
        <v>7.3550000000000004E-2</v>
      </c>
      <c r="M1535" s="361">
        <f>(1+D1535)^((5-Dashboard!$F$9)*3/12)</f>
        <v>1.1652906593725123</v>
      </c>
      <c r="N1535" s="361">
        <f t="shared" ref="N1535:V1535" si="1570">M1535*(1+$D1535)</f>
        <v>1.4289376710555319</v>
      </c>
      <c r="O1535" s="361">
        <f t="shared" si="1570"/>
        <v>1.7522348191318322</v>
      </c>
      <c r="P1535" s="361">
        <f t="shared" si="1570"/>
        <v>2.148677946960392</v>
      </c>
      <c r="Q1535" s="361">
        <f t="shared" si="1570"/>
        <v>2.6348163324601597</v>
      </c>
      <c r="R1535" s="361">
        <f t="shared" si="1570"/>
        <v>3.2309435276792451</v>
      </c>
      <c r="S1535" s="361">
        <f t="shared" si="1570"/>
        <v>3.9619445008166427</v>
      </c>
      <c r="T1535" s="361">
        <f t="shared" si="1570"/>
        <v>4.8583344441263696</v>
      </c>
      <c r="U1535" s="361">
        <f t="shared" si="1570"/>
        <v>5.9575326121099135</v>
      </c>
      <c r="V1535" s="362">
        <f t="shared" si="1570"/>
        <v>7.3054243655997233</v>
      </c>
      <c r="X1535" s="351"/>
    </row>
    <row r="1536" spans="3:24" ht="24.75" customHeight="1" x14ac:dyDescent="0.3">
      <c r="C1536" s="353">
        <f>ABS(E1536-Dashboard!$F$14)</f>
        <v>12.813112700837522</v>
      </c>
      <c r="D1536" s="350">
        <f t="shared" si="1521"/>
        <v>0.22634999999999031</v>
      </c>
      <c r="E1536" s="359" cm="1">
        <f t="array" ref="E1536">1000*SUM('DRE + DCF'!$L$36/M1536,'DRE + DCF'!$N$36:$V$36/N1536:V1536,F1536/V1536)/Dashboard!$F$11</f>
        <v>84.176887299162473</v>
      </c>
      <c r="F1536" s="359">
        <f t="shared" si="1519"/>
        <v>12215978.158868875</v>
      </c>
      <c r="G1536" s="359">
        <f>'DRE + DCF'!$W$31</f>
        <v>2791623.3540418856</v>
      </c>
      <c r="H1536" s="359">
        <f>'DRE + DCF'!$W$32</f>
        <v>81081.931703745853</v>
      </c>
      <c r="I1536" s="359">
        <f>-H1536*('DRE + DCF'!$V$33+K1536)/'DRE + DCF'!$V$33</f>
        <v>-90858.801614444121</v>
      </c>
      <c r="J1536" s="359">
        <f>-'DRE + DCF'!$V$56*L1536</f>
        <v>-1188924.4255577971</v>
      </c>
      <c r="K1536" s="360">
        <f>(1+L1536)/(1+Ke!$O$12)-1</f>
        <v>2.0000000000000018E-2</v>
      </c>
      <c r="L1536" s="360">
        <f>'DRE + DCF'!$Y$31</f>
        <v>7.3550000000000004E-2</v>
      </c>
      <c r="M1536" s="361">
        <f>(1+D1536)^((5-Dashboard!$F$9)*3/12)</f>
        <v>1.1653619302459788</v>
      </c>
      <c r="N1536" s="361">
        <f t="shared" ref="N1536:V1536" si="1571">M1536*(1+$D1536)</f>
        <v>1.4291416031571447</v>
      </c>
      <c r="O1536" s="361">
        <f t="shared" si="1571"/>
        <v>1.7526278050317505</v>
      </c>
      <c r="P1536" s="361">
        <f t="shared" si="1571"/>
        <v>2.14933510870067</v>
      </c>
      <c r="Q1536" s="361">
        <f t="shared" si="1571"/>
        <v>2.635837110555046</v>
      </c>
      <c r="R1536" s="361">
        <f t="shared" si="1571"/>
        <v>3.232458840529155</v>
      </c>
      <c r="S1536" s="361">
        <f t="shared" si="1571"/>
        <v>3.964125899082898</v>
      </c>
      <c r="T1536" s="361">
        <f t="shared" si="1571"/>
        <v>4.8614057963402733</v>
      </c>
      <c r="U1536" s="361">
        <f t="shared" si="1571"/>
        <v>5.9617849983418472</v>
      </c>
      <c r="V1536" s="362">
        <f t="shared" si="1571"/>
        <v>7.3112350327164659</v>
      </c>
      <c r="X1536" s="351"/>
    </row>
    <row r="1537" spans="3:24" ht="24.75" customHeight="1" x14ac:dyDescent="0.3">
      <c r="C1537" s="353">
        <f>ABS(E1537-Dashboard!$F$14)</f>
        <v>12.874185550507605</v>
      </c>
      <c r="D1537" s="350">
        <f t="shared" si="1521"/>
        <v>0.2264499999999903</v>
      </c>
      <c r="E1537" s="359" cm="1">
        <f t="array" ref="E1537">1000*SUM('DRE + DCF'!$L$36/M1537,'DRE + DCF'!$N$36:$V$36/N1537:V1537,F1537/V1537)/Dashboard!$F$11</f>
        <v>84.11581444949239</v>
      </c>
      <c r="F1537" s="359">
        <f t="shared" si="1519"/>
        <v>12209394.916443832</v>
      </c>
      <c r="G1537" s="359">
        <f>'DRE + DCF'!$W$31</f>
        <v>2791623.3540418856</v>
      </c>
      <c r="H1537" s="359">
        <f>'DRE + DCF'!$W$32</f>
        <v>81081.931703745853</v>
      </c>
      <c r="I1537" s="359">
        <f>-H1537*('DRE + DCF'!$V$33+K1537)/'DRE + DCF'!$V$33</f>
        <v>-90858.801614444121</v>
      </c>
      <c r="J1537" s="359">
        <f>-'DRE + DCF'!$V$56*L1537</f>
        <v>-1188924.4255577971</v>
      </c>
      <c r="K1537" s="360">
        <f>(1+L1537)/(1+Ke!$O$12)-1</f>
        <v>2.0000000000000018E-2</v>
      </c>
      <c r="L1537" s="360">
        <f>'DRE + DCF'!$Y$31</f>
        <v>7.3550000000000004E-2</v>
      </c>
      <c r="M1537" s="361">
        <f>(1+D1537)^((5-Dashboard!$F$9)*3/12)</f>
        <v>1.1654331996665535</v>
      </c>
      <c r="N1537" s="361">
        <f t="shared" ref="N1537:V1537" si="1572">M1537*(1+$D1537)</f>
        <v>1.4293455477310331</v>
      </c>
      <c r="O1537" s="361">
        <f t="shared" si="1572"/>
        <v>1.7530208470147115</v>
      </c>
      <c r="P1537" s="361">
        <f t="shared" si="1572"/>
        <v>2.149992417821176</v>
      </c>
      <c r="Q1537" s="361">
        <f t="shared" si="1572"/>
        <v>2.6368582008367603</v>
      </c>
      <c r="R1537" s="361">
        <f t="shared" si="1572"/>
        <v>3.2339747404162189</v>
      </c>
      <c r="S1537" s="361">
        <f t="shared" si="1572"/>
        <v>3.9663083203834404</v>
      </c>
      <c r="T1537" s="361">
        <f t="shared" si="1572"/>
        <v>4.8644788395342315</v>
      </c>
      <c r="U1537" s="361">
        <f t="shared" si="1572"/>
        <v>5.9660400727467113</v>
      </c>
      <c r="V1537" s="362">
        <f t="shared" si="1572"/>
        <v>7.3170498472201464</v>
      </c>
      <c r="X1537" s="351"/>
    </row>
    <row r="1538" spans="3:24" ht="24.75" customHeight="1" x14ac:dyDescent="0.3">
      <c r="C1538" s="353">
        <f>ABS(E1538-Dashboard!$F$14)</f>
        <v>12.935181417590201</v>
      </c>
      <c r="D1538" s="350">
        <f t="shared" si="1521"/>
        <v>0.22654999999999029</v>
      </c>
      <c r="E1538" s="359" cm="1">
        <f t="array" ref="E1538">1000*SUM('DRE + DCF'!$L$36/M1538,'DRE + DCF'!$N$36:$V$36/N1538:V1538,F1538/V1538)/Dashboard!$F$11</f>
        <v>84.054818582409794</v>
      </c>
      <c r="F1538" s="359">
        <f t="shared" si="1519"/>
        <v>12202819.038902514</v>
      </c>
      <c r="G1538" s="359">
        <f>'DRE + DCF'!$W$31</f>
        <v>2791623.3540418856</v>
      </c>
      <c r="H1538" s="359">
        <f>'DRE + DCF'!$W$32</f>
        <v>81081.931703745853</v>
      </c>
      <c r="I1538" s="359">
        <f>-H1538*('DRE + DCF'!$V$33+K1538)/'DRE + DCF'!$V$33</f>
        <v>-90858.801614444121</v>
      </c>
      <c r="J1538" s="359">
        <f>-'DRE + DCF'!$V$56*L1538</f>
        <v>-1188924.4255577971</v>
      </c>
      <c r="K1538" s="360">
        <f>(1+L1538)/(1+Ke!$O$12)-1</f>
        <v>2.0000000000000018E-2</v>
      </c>
      <c r="L1538" s="360">
        <f>'DRE + DCF'!$Y$31</f>
        <v>7.3550000000000004E-2</v>
      </c>
      <c r="M1538" s="361">
        <f>(1+D1538)^((5-Dashboard!$F$9)*3/12)</f>
        <v>1.1655044676343846</v>
      </c>
      <c r="N1538" s="361">
        <f t="shared" ref="N1538:V1538" si="1573">M1538*(1+$D1538)</f>
        <v>1.4295495047769431</v>
      </c>
      <c r="O1538" s="361">
        <f t="shared" si="1573"/>
        <v>1.7534139450841457</v>
      </c>
      <c r="P1538" s="361">
        <f t="shared" si="1573"/>
        <v>2.1506498743429416</v>
      </c>
      <c r="Q1538" s="361">
        <f t="shared" si="1573"/>
        <v>2.637879603375314</v>
      </c>
      <c r="R1538" s="361">
        <f t="shared" si="1573"/>
        <v>3.2354912275199657</v>
      </c>
      <c r="S1538" s="361">
        <f t="shared" si="1573"/>
        <v>3.9684917651145826</v>
      </c>
      <c r="T1538" s="361">
        <f t="shared" si="1573"/>
        <v>4.8675535745012528</v>
      </c>
      <c r="U1538" s="361">
        <f t="shared" si="1573"/>
        <v>5.9702978368044644</v>
      </c>
      <c r="V1538" s="362">
        <f t="shared" si="1573"/>
        <v>7.3228688117324578</v>
      </c>
      <c r="X1538" s="351"/>
    </row>
    <row r="1539" spans="3:24" ht="24.75" customHeight="1" x14ac:dyDescent="0.3">
      <c r="C1539" s="353">
        <f>ABS(E1539-Dashboard!$F$14)</f>
        <v>12.996100438899546</v>
      </c>
      <c r="D1539" s="350">
        <f t="shared" si="1521"/>
        <v>0.22664999999999028</v>
      </c>
      <c r="E1539" s="359" cm="1">
        <f t="array" ref="E1539">1000*SUM('DRE + DCF'!$L$36/M1539,'DRE + DCF'!$N$36:$V$36/N1539:V1539,F1539/V1539)/Dashboard!$F$11</f>
        <v>83.993899561100449</v>
      </c>
      <c r="F1539" s="359">
        <f t="shared" si="1519"/>
        <v>12196250.51345451</v>
      </c>
      <c r="G1539" s="359">
        <f>'DRE + DCF'!$W$31</f>
        <v>2791623.3540418856</v>
      </c>
      <c r="H1539" s="359">
        <f>'DRE + DCF'!$W$32</f>
        <v>81081.931703745853</v>
      </c>
      <c r="I1539" s="359">
        <f>-H1539*('DRE + DCF'!$V$33+K1539)/'DRE + DCF'!$V$33</f>
        <v>-90858.801614444121</v>
      </c>
      <c r="J1539" s="359">
        <f>-'DRE + DCF'!$V$56*L1539</f>
        <v>-1188924.4255577971</v>
      </c>
      <c r="K1539" s="360">
        <f>(1+L1539)/(1+Ke!$O$12)-1</f>
        <v>2.0000000000000018E-2</v>
      </c>
      <c r="L1539" s="360">
        <f>'DRE + DCF'!$Y$31</f>
        <v>7.3550000000000004E-2</v>
      </c>
      <c r="M1539" s="361">
        <f>(1+D1539)^((5-Dashboard!$F$9)*3/12)</f>
        <v>1.1655757341496202</v>
      </c>
      <c r="N1539" s="361">
        <f t="shared" ref="N1539:V1539" si="1574">M1539*(1+$D1539)</f>
        <v>1.4297534742946203</v>
      </c>
      <c r="O1539" s="361">
        <f t="shared" si="1574"/>
        <v>1.753807099243482</v>
      </c>
      <c r="P1539" s="361">
        <f t="shared" si="1574"/>
        <v>2.1513074782869999</v>
      </c>
      <c r="Q1539" s="361">
        <f t="shared" si="1574"/>
        <v>2.6389013182407273</v>
      </c>
      <c r="R1539" s="361">
        <f t="shared" si="1574"/>
        <v>3.2370083020199623</v>
      </c>
      <c r="S1539" s="361">
        <f t="shared" si="1574"/>
        <v>3.970676233672755</v>
      </c>
      <c r="T1539" s="361">
        <f t="shared" si="1574"/>
        <v>4.8706300020346465</v>
      </c>
      <c r="U1539" s="361">
        <f t="shared" si="1574"/>
        <v>5.9745582919957512</v>
      </c>
      <c r="V1539" s="362">
        <f t="shared" si="1574"/>
        <v>7.3286919288765295</v>
      </c>
      <c r="X1539" s="351"/>
    </row>
    <row r="1540" spans="3:24" ht="24.75" customHeight="1" x14ac:dyDescent="0.3">
      <c r="C1540" s="353">
        <f>ABS(E1540-Dashboard!$F$14)</f>
        <v>13.056942750930233</v>
      </c>
      <c r="D1540" s="350">
        <f t="shared" si="1521"/>
        <v>0.22674999999999026</v>
      </c>
      <c r="E1540" s="359" cm="1">
        <f t="array" ref="E1540">1000*SUM('DRE + DCF'!$L$36/M1540,'DRE + DCF'!$N$36:$V$36/N1540:V1540,F1540/V1540)/Dashboard!$F$11</f>
        <v>83.933057249069762</v>
      </c>
      <c r="F1540" s="359">
        <f t="shared" si="1519"/>
        <v>12189689.327339899</v>
      </c>
      <c r="G1540" s="359">
        <f>'DRE + DCF'!$W$31</f>
        <v>2791623.3540418856</v>
      </c>
      <c r="H1540" s="359">
        <f>'DRE + DCF'!$W$32</f>
        <v>81081.931703745853</v>
      </c>
      <c r="I1540" s="359">
        <f>-H1540*('DRE + DCF'!$V$33+K1540)/'DRE + DCF'!$V$33</f>
        <v>-90858.801614444121</v>
      </c>
      <c r="J1540" s="359">
        <f>-'DRE + DCF'!$V$56*L1540</f>
        <v>-1188924.4255577971</v>
      </c>
      <c r="K1540" s="360">
        <f>(1+L1540)/(1+Ke!$O$12)-1</f>
        <v>2.0000000000000018E-2</v>
      </c>
      <c r="L1540" s="360">
        <f>'DRE + DCF'!$Y$31</f>
        <v>7.3550000000000004E-2</v>
      </c>
      <c r="M1540" s="361">
        <f>(1+D1540)^((5-Dashboard!$F$9)*3/12)</f>
        <v>1.1656469992124086</v>
      </c>
      <c r="N1540" s="361">
        <f t="shared" ref="N1540:V1540" si="1575">M1540*(1+$D1540)</f>
        <v>1.4299574562838109</v>
      </c>
      <c r="O1540" s="361">
        <f t="shared" si="1575"/>
        <v>1.7542003094961511</v>
      </c>
      <c r="P1540" s="361">
        <f t="shared" si="1575"/>
        <v>2.1519652296743863</v>
      </c>
      <c r="Q1540" s="361">
        <f t="shared" si="1575"/>
        <v>2.6399233455030324</v>
      </c>
      <c r="R1540" s="361">
        <f t="shared" si="1575"/>
        <v>3.2385259640958193</v>
      </c>
      <c r="S1540" s="361">
        <f t="shared" si="1575"/>
        <v>3.9728617264545147</v>
      </c>
      <c r="T1540" s="361">
        <f t="shared" si="1575"/>
        <v>4.8737081229280372</v>
      </c>
      <c r="U1540" s="361">
        <f t="shared" si="1575"/>
        <v>5.9788214398019219</v>
      </c>
      <c r="V1540" s="362">
        <f t="shared" si="1575"/>
        <v>7.3345192012769491</v>
      </c>
      <c r="X1540" s="351"/>
    </row>
    <row r="1541" spans="3:24" ht="24.75" customHeight="1" x14ac:dyDescent="0.3">
      <c r="C1541" s="353">
        <f>ABS(E1541-Dashboard!$F$14)</f>
        <v>13.117708489857861</v>
      </c>
      <c r="D1541" s="350">
        <f t="shared" si="1521"/>
        <v>0.22684999999999025</v>
      </c>
      <c r="E1541" s="359" cm="1">
        <f t="array" ref="E1541">1000*SUM('DRE + DCF'!$L$36/M1541,'DRE + DCF'!$N$36:$V$36/N1541:V1541,F1541/V1541)/Dashboard!$F$11</f>
        <v>83.872291510142134</v>
      </c>
      <c r="F1541" s="359">
        <f t="shared" si="1519"/>
        <v>12183135.467829186</v>
      </c>
      <c r="G1541" s="359">
        <f>'DRE + DCF'!$W$31</f>
        <v>2791623.3540418856</v>
      </c>
      <c r="H1541" s="359">
        <f>'DRE + DCF'!$W$32</f>
        <v>81081.931703745853</v>
      </c>
      <c r="I1541" s="359">
        <f>-H1541*('DRE + DCF'!$V$33+K1541)/'DRE + DCF'!$V$33</f>
        <v>-90858.801614444121</v>
      </c>
      <c r="J1541" s="359">
        <f>-'DRE + DCF'!$V$56*L1541</f>
        <v>-1188924.4255577971</v>
      </c>
      <c r="K1541" s="360">
        <f>(1+L1541)/(1+Ke!$O$12)-1</f>
        <v>2.0000000000000018E-2</v>
      </c>
      <c r="L1541" s="360">
        <f>'DRE + DCF'!$Y$31</f>
        <v>7.3550000000000004E-2</v>
      </c>
      <c r="M1541" s="361">
        <f>(1+D1541)^((5-Dashboard!$F$9)*3/12)</f>
        <v>1.1657182628228973</v>
      </c>
      <c r="N1541" s="361">
        <f t="shared" ref="N1541:V1541" si="1576">M1541*(1+$D1541)</f>
        <v>1.4301614507442602</v>
      </c>
      <c r="O1541" s="361">
        <f t="shared" si="1576"/>
        <v>1.7545935758455815</v>
      </c>
      <c r="P1541" s="361">
        <f t="shared" si="1576"/>
        <v>2.1526231285261344</v>
      </c>
      <c r="Q1541" s="361">
        <f t="shared" si="1576"/>
        <v>2.6409456852322668</v>
      </c>
      <c r="R1541" s="361">
        <f t="shared" si="1576"/>
        <v>3.2400442139271806</v>
      </c>
      <c r="S1541" s="361">
        <f t="shared" si="1576"/>
        <v>3.9750482438565298</v>
      </c>
      <c r="T1541" s="361">
        <f t="shared" si="1576"/>
        <v>4.8767879379753447</v>
      </c>
      <c r="U1541" s="361">
        <f t="shared" si="1576"/>
        <v>5.9830872817050036</v>
      </c>
      <c r="V1541" s="362">
        <f t="shared" si="1576"/>
        <v>7.3403506315597253</v>
      </c>
      <c r="X1541" s="351"/>
    </row>
    <row r="1542" spans="3:24" ht="24.75" customHeight="1" x14ac:dyDescent="0.3">
      <c r="C1542" s="353">
        <f>ABS(E1542-Dashboard!$F$14)</f>
        <v>13.178397791540363</v>
      </c>
      <c r="D1542" s="350">
        <f t="shared" si="1521"/>
        <v>0.22694999999999024</v>
      </c>
      <c r="E1542" s="359" cm="1">
        <f t="array" ref="E1542">1000*SUM('DRE + DCF'!$L$36/M1542,'DRE + DCF'!$N$36:$V$36/N1542:V1542,F1542/V1542)/Dashboard!$F$11</f>
        <v>83.811602208459632</v>
      </c>
      <c r="F1542" s="359">
        <f t="shared" si="1519"/>
        <v>12176588.922223177</v>
      </c>
      <c r="G1542" s="359">
        <f>'DRE + DCF'!$W$31</f>
        <v>2791623.3540418856</v>
      </c>
      <c r="H1542" s="359">
        <f>'DRE + DCF'!$W$32</f>
        <v>81081.931703745853</v>
      </c>
      <c r="I1542" s="359">
        <f>-H1542*('DRE + DCF'!$V$33+K1542)/'DRE + DCF'!$V$33</f>
        <v>-90858.801614444121</v>
      </c>
      <c r="J1542" s="359">
        <f>-'DRE + DCF'!$V$56*L1542</f>
        <v>-1188924.4255577971</v>
      </c>
      <c r="K1542" s="360">
        <f>(1+L1542)/(1+Ke!$O$12)-1</f>
        <v>2.0000000000000018E-2</v>
      </c>
      <c r="L1542" s="360">
        <f>'DRE + DCF'!$Y$31</f>
        <v>7.3550000000000004E-2</v>
      </c>
      <c r="M1542" s="361">
        <f>(1+D1542)^((5-Dashboard!$F$9)*3/12)</f>
        <v>1.1657895249812342</v>
      </c>
      <c r="N1542" s="361">
        <f t="shared" ref="N1542:V1542" si="1577">M1542*(1+$D1542)</f>
        <v>1.4303654576757139</v>
      </c>
      <c r="O1542" s="361">
        <f t="shared" si="1577"/>
        <v>1.754986898295203</v>
      </c>
      <c r="P1542" s="361">
        <f t="shared" si="1577"/>
        <v>2.1532811748632823</v>
      </c>
      <c r="Q1542" s="361">
        <f t="shared" si="1577"/>
        <v>2.6419683374984833</v>
      </c>
      <c r="R1542" s="361">
        <f t="shared" si="1577"/>
        <v>3.2415630516937384</v>
      </c>
      <c r="S1542" s="361">
        <f t="shared" si="1577"/>
        <v>3.9772357862756005</v>
      </c>
      <c r="T1542" s="361">
        <f t="shared" si="1577"/>
        <v>4.8798694479708091</v>
      </c>
      <c r="U1542" s="361">
        <f t="shared" si="1577"/>
        <v>5.9873558191877363</v>
      </c>
      <c r="V1542" s="362">
        <f t="shared" si="1577"/>
        <v>7.3461862223523342</v>
      </c>
      <c r="X1542" s="351"/>
    </row>
    <row r="1543" spans="3:24" ht="24.75" customHeight="1" x14ac:dyDescent="0.3">
      <c r="C1543" s="353">
        <f>ABS(E1543-Dashboard!$F$14)</f>
        <v>13.239010791518609</v>
      </c>
      <c r="D1543" s="350">
        <f t="shared" si="1521"/>
        <v>0.22704999999999023</v>
      </c>
      <c r="E1543" s="359" cm="1">
        <f t="array" ref="E1543">1000*SUM('DRE + DCF'!$L$36/M1543,'DRE + DCF'!$N$36:$V$36/N1543:V1543,F1543/V1543)/Dashboard!$F$11</f>
        <v>83.750989208481386</v>
      </c>
      <c r="F1543" s="359">
        <f t="shared" si="1519"/>
        <v>12170049.677852908</v>
      </c>
      <c r="G1543" s="359">
        <f>'DRE + DCF'!$W$31</f>
        <v>2791623.3540418856</v>
      </c>
      <c r="H1543" s="359">
        <f>'DRE + DCF'!$W$32</f>
        <v>81081.931703745853</v>
      </c>
      <c r="I1543" s="359">
        <f>-H1543*('DRE + DCF'!$V$33+K1543)/'DRE + DCF'!$V$33</f>
        <v>-90858.801614444121</v>
      </c>
      <c r="J1543" s="359">
        <f>-'DRE + DCF'!$V$56*L1543</f>
        <v>-1188924.4255577971</v>
      </c>
      <c r="K1543" s="360">
        <f>(1+L1543)/(1+Ke!$O$12)-1</f>
        <v>2.0000000000000018E-2</v>
      </c>
      <c r="L1543" s="360">
        <f>'DRE + DCF'!$Y$31</f>
        <v>7.3550000000000004E-2</v>
      </c>
      <c r="M1543" s="361">
        <f>(1+D1543)^((5-Dashboard!$F$9)*3/12)</f>
        <v>1.1658607856875678</v>
      </c>
      <c r="N1543" s="361">
        <f t="shared" ref="N1543:V1543" si="1578">M1543*(1+$D1543)</f>
        <v>1.4305694770779187</v>
      </c>
      <c r="O1543" s="361">
        <f t="shared" si="1578"/>
        <v>1.7553802768484461</v>
      </c>
      <c r="P1543" s="361">
        <f t="shared" si="1578"/>
        <v>2.1539393687068684</v>
      </c>
      <c r="Q1543" s="361">
        <f t="shared" si="1578"/>
        <v>2.6429913023717417</v>
      </c>
      <c r="R1543" s="361">
        <f t="shared" si="1578"/>
        <v>3.2430824775752196</v>
      </c>
      <c r="S1543" s="361">
        <f t="shared" si="1578"/>
        <v>3.9794243541086414</v>
      </c>
      <c r="T1543" s="361">
        <f t="shared" si="1578"/>
        <v>4.8829526537089691</v>
      </c>
      <c r="U1543" s="361">
        <f t="shared" si="1578"/>
        <v>5.9916270537335423</v>
      </c>
      <c r="V1543" s="362">
        <f t="shared" si="1578"/>
        <v>7.3520259762836844</v>
      </c>
      <c r="X1543" s="351"/>
    </row>
    <row r="1544" spans="3:24" ht="24.75" customHeight="1" x14ac:dyDescent="0.3">
      <c r="C1544" s="353">
        <f>ABS(E1544-Dashboard!$F$14)</f>
        <v>13.29954762501751</v>
      </c>
      <c r="D1544" s="350">
        <f t="shared" si="1521"/>
        <v>0.22714999999999022</v>
      </c>
      <c r="E1544" s="359" cm="1">
        <f t="array" ref="E1544">1000*SUM('DRE + DCF'!$L$36/M1544,'DRE + DCF'!$N$36:$V$36/N1544:V1544,F1544/V1544)/Dashboard!$F$11</f>
        <v>83.690452374982485</v>
      </c>
      <c r="F1544" s="359">
        <f t="shared" si="1519"/>
        <v>12163517.722079553</v>
      </c>
      <c r="G1544" s="359">
        <f>'DRE + DCF'!$W$31</f>
        <v>2791623.3540418856</v>
      </c>
      <c r="H1544" s="359">
        <f>'DRE + DCF'!$W$32</f>
        <v>81081.931703745853</v>
      </c>
      <c r="I1544" s="359">
        <f>-H1544*('DRE + DCF'!$V$33+K1544)/'DRE + DCF'!$V$33</f>
        <v>-90858.801614444121</v>
      </c>
      <c r="J1544" s="359">
        <f>-'DRE + DCF'!$V$56*L1544</f>
        <v>-1188924.4255577971</v>
      </c>
      <c r="K1544" s="360">
        <f>(1+L1544)/(1+Ke!$O$12)-1</f>
        <v>2.0000000000000018E-2</v>
      </c>
      <c r="L1544" s="360">
        <f>'DRE + DCF'!$Y$31</f>
        <v>7.3550000000000004E-2</v>
      </c>
      <c r="M1544" s="361">
        <f>(1+D1544)^((5-Dashboard!$F$9)*3/12)</f>
        <v>1.1659320449420456</v>
      </c>
      <c r="N1544" s="361">
        <f t="shared" ref="N1544:V1544" si="1579">M1544*(1+$D1544)</f>
        <v>1.4307735089506199</v>
      </c>
      <c r="O1544" s="361">
        <f t="shared" si="1579"/>
        <v>1.7557737115087393</v>
      </c>
      <c r="P1544" s="361">
        <f t="shared" si="1579"/>
        <v>2.1545977100779323</v>
      </c>
      <c r="Q1544" s="361">
        <f t="shared" si="1579"/>
        <v>2.6440145799221133</v>
      </c>
      <c r="R1544" s="361">
        <f t="shared" si="1579"/>
        <v>3.2446024917513956</v>
      </c>
      <c r="S1544" s="361">
        <f t="shared" si="1579"/>
        <v>3.9816139477526931</v>
      </c>
      <c r="T1544" s="361">
        <f t="shared" si="1579"/>
        <v>4.8860375559846778</v>
      </c>
      <c r="U1544" s="361">
        <f t="shared" si="1579"/>
        <v>5.9959009868265492</v>
      </c>
      <c r="V1544" s="362">
        <f t="shared" si="1579"/>
        <v>7.3578698959841411</v>
      </c>
      <c r="X1544" s="351"/>
    </row>
    <row r="1545" spans="3:24" ht="24.75" customHeight="1" x14ac:dyDescent="0.3">
      <c r="C1545" s="353">
        <f>ABS(E1545-Dashboard!$F$14)</f>
        <v>13.360008426946976</v>
      </c>
      <c r="D1545" s="350">
        <f t="shared" si="1521"/>
        <v>0.22724999999999021</v>
      </c>
      <c r="E1545" s="359" cm="1">
        <f t="array" ref="E1545">1000*SUM('DRE + DCF'!$L$36/M1545,'DRE + DCF'!$N$36:$V$36/N1545:V1545,F1545/V1545)/Dashboard!$F$11</f>
        <v>83.629991573053019</v>
      </c>
      <c r="F1545" s="359">
        <f t="shared" si="1519"/>
        <v>12156993.042294316</v>
      </c>
      <c r="G1545" s="359">
        <f>'DRE + DCF'!$W$31</f>
        <v>2791623.3540418856</v>
      </c>
      <c r="H1545" s="359">
        <f>'DRE + DCF'!$W$32</f>
        <v>81081.931703745853</v>
      </c>
      <c r="I1545" s="359">
        <f>-H1545*('DRE + DCF'!$V$33+K1545)/'DRE + DCF'!$V$33</f>
        <v>-90858.801614444121</v>
      </c>
      <c r="J1545" s="359">
        <f>-'DRE + DCF'!$V$56*L1545</f>
        <v>-1188924.4255577971</v>
      </c>
      <c r="K1545" s="360">
        <f>(1+L1545)/(1+Ke!$O$12)-1</f>
        <v>2.0000000000000018E-2</v>
      </c>
      <c r="L1545" s="360">
        <f>'DRE + DCF'!$Y$31</f>
        <v>7.3550000000000004E-2</v>
      </c>
      <c r="M1545" s="361">
        <f>(1+D1545)^((5-Dashboard!$F$9)*3/12)</f>
        <v>1.1660033027448158</v>
      </c>
      <c r="N1545" s="361">
        <f t="shared" ref="N1545:V1545" si="1580">M1545*(1+$D1545)</f>
        <v>1.4309775532935638</v>
      </c>
      <c r="O1545" s="361">
        <f t="shared" si="1580"/>
        <v>1.7561672022795121</v>
      </c>
      <c r="P1545" s="361">
        <f t="shared" si="1580"/>
        <v>2.1552561989975141</v>
      </c>
      <c r="Q1545" s="361">
        <f t="shared" si="1580"/>
        <v>2.6450381702196779</v>
      </c>
      <c r="R1545" s="361">
        <f t="shared" si="1580"/>
        <v>3.2461230944020736</v>
      </c>
      <c r="S1545" s="361">
        <f t="shared" si="1580"/>
        <v>3.983804567604913</v>
      </c>
      <c r="T1545" s="361">
        <f t="shared" si="1580"/>
        <v>4.8891241555930902</v>
      </c>
      <c r="U1545" s="361">
        <f t="shared" si="1580"/>
        <v>6.0001776199515717</v>
      </c>
      <c r="V1545" s="362">
        <f t="shared" si="1580"/>
        <v>7.3637179840855076</v>
      </c>
      <c r="X1545" s="351"/>
    </row>
    <row r="1546" spans="3:24" ht="24.75" customHeight="1" x14ac:dyDescent="0.3">
      <c r="C1546" s="353">
        <f>ABS(E1546-Dashboard!$F$14)</f>
        <v>13.420393331902645</v>
      </c>
      <c r="D1546" s="350">
        <f t="shared" si="1521"/>
        <v>0.2273499999999902</v>
      </c>
      <c r="E1546" s="359" cm="1">
        <f t="array" ref="E1546">1000*SUM('DRE + DCF'!$L$36/M1546,'DRE + DCF'!$N$36:$V$36/N1546:V1546,F1546/V1546)/Dashboard!$F$11</f>
        <v>83.56960666809735</v>
      </c>
      <c r="F1546" s="359">
        <f t="shared" si="1519"/>
        <v>12150475.625918353</v>
      </c>
      <c r="G1546" s="359">
        <f>'DRE + DCF'!$W$31</f>
        <v>2791623.3540418856</v>
      </c>
      <c r="H1546" s="359">
        <f>'DRE + DCF'!$W$32</f>
        <v>81081.931703745853</v>
      </c>
      <c r="I1546" s="359">
        <f>-H1546*('DRE + DCF'!$V$33+K1546)/'DRE + DCF'!$V$33</f>
        <v>-90858.801614444121</v>
      </c>
      <c r="J1546" s="359">
        <f>-'DRE + DCF'!$V$56*L1546</f>
        <v>-1188924.4255577971</v>
      </c>
      <c r="K1546" s="360">
        <f>(1+L1546)/(1+Ke!$O$12)-1</f>
        <v>2.0000000000000018E-2</v>
      </c>
      <c r="L1546" s="360">
        <f>'DRE + DCF'!$Y$31</f>
        <v>7.3550000000000004E-2</v>
      </c>
      <c r="M1546" s="361">
        <f>(1+D1546)^((5-Dashboard!$F$9)*3/12)</f>
        <v>1.166074559096026</v>
      </c>
      <c r="N1546" s="361">
        <f t="shared" ref="N1546:V1546" si="1581">M1546*(1+$D1546)</f>
        <v>1.431181610106496</v>
      </c>
      <c r="O1546" s="361">
        <f t="shared" si="1581"/>
        <v>1.7565607491641939</v>
      </c>
      <c r="P1546" s="361">
        <f t="shared" si="1581"/>
        <v>2.155914835486656</v>
      </c>
      <c r="Q1546" s="361">
        <f t="shared" si="1581"/>
        <v>2.6460620733345261</v>
      </c>
      <c r="R1546" s="361">
        <f t="shared" si="1581"/>
        <v>3.2476442857071048</v>
      </c>
      <c r="S1546" s="361">
        <f t="shared" si="1581"/>
        <v>3.9859962140625833</v>
      </c>
      <c r="T1546" s="361">
        <f t="shared" si="1581"/>
        <v>4.8922124533296723</v>
      </c>
      <c r="U1546" s="361">
        <f t="shared" si="1581"/>
        <v>6.0044569545941249</v>
      </c>
      <c r="V1546" s="362">
        <f t="shared" si="1581"/>
        <v>7.3695702432210402</v>
      </c>
      <c r="X1546" s="351"/>
    </row>
    <row r="1547" spans="3:24" ht="24.75" customHeight="1" x14ac:dyDescent="0.3">
      <c r="C1547" s="353">
        <f>ABS(E1547-Dashboard!$F$14)</f>
        <v>13.48070247416706</v>
      </c>
      <c r="D1547" s="350">
        <f t="shared" si="1521"/>
        <v>0.22744999999999019</v>
      </c>
      <c r="E1547" s="359" cm="1">
        <f t="array" ref="E1547">1000*SUM('DRE + DCF'!$L$36/M1547,'DRE + DCF'!$N$36:$V$36/N1547:V1547,F1547/V1547)/Dashboard!$F$11</f>
        <v>83.509297525832935</v>
      </c>
      <c r="F1547" s="359">
        <f t="shared" si="1519"/>
        <v>12143965.460402682</v>
      </c>
      <c r="G1547" s="359">
        <f>'DRE + DCF'!$W$31</f>
        <v>2791623.3540418856</v>
      </c>
      <c r="H1547" s="359">
        <f>'DRE + DCF'!$W$32</f>
        <v>81081.931703745853</v>
      </c>
      <c r="I1547" s="359">
        <f>-H1547*('DRE + DCF'!$V$33+K1547)/'DRE + DCF'!$V$33</f>
        <v>-90858.801614444121</v>
      </c>
      <c r="J1547" s="359">
        <f>-'DRE + DCF'!$V$56*L1547</f>
        <v>-1188924.4255577971</v>
      </c>
      <c r="K1547" s="360">
        <f>(1+L1547)/(1+Ke!$O$12)-1</f>
        <v>2.0000000000000018E-2</v>
      </c>
      <c r="L1547" s="360">
        <f>'DRE + DCF'!$Y$31</f>
        <v>7.3550000000000004E-2</v>
      </c>
      <c r="M1547" s="361">
        <f>(1+D1547)^((5-Dashboard!$F$9)*3/12)</f>
        <v>1.1661458139958238</v>
      </c>
      <c r="N1547" s="361">
        <f t="shared" ref="N1547:V1547" si="1582">M1547*(1+$D1547)</f>
        <v>1.4313856793891624</v>
      </c>
      <c r="O1547" s="361">
        <f t="shared" si="1582"/>
        <v>1.7569543521662132</v>
      </c>
      <c r="P1547" s="361">
        <f t="shared" si="1582"/>
        <v>2.1565736195664011</v>
      </c>
      <c r="Q1547" s="361">
        <f t="shared" si="1582"/>
        <v>2.6470862893367579</v>
      </c>
      <c r="R1547" s="361">
        <f t="shared" si="1582"/>
        <v>3.2491660658463775</v>
      </c>
      <c r="S1547" s="361">
        <f t="shared" si="1582"/>
        <v>3.988188887523104</v>
      </c>
      <c r="T1547" s="361">
        <f t="shared" si="1582"/>
        <v>4.8953024499901945</v>
      </c>
      <c r="U1547" s="361">
        <f t="shared" si="1582"/>
        <v>6.0087389922404162</v>
      </c>
      <c r="V1547" s="362">
        <f t="shared" si="1582"/>
        <v>7.3754266760254401</v>
      </c>
      <c r="X1547" s="351"/>
    </row>
    <row r="1548" spans="3:24" ht="24.75" customHeight="1" x14ac:dyDescent="0.3">
      <c r="C1548" s="353">
        <f>ABS(E1548-Dashboard!$F$14)</f>
        <v>13.540935987710498</v>
      </c>
      <c r="D1548" s="350">
        <f t="shared" si="1521"/>
        <v>0.22754999999999018</v>
      </c>
      <c r="E1548" s="359" cm="1">
        <f t="array" ref="E1548">1000*SUM('DRE + DCF'!$L$36/M1548,'DRE + DCF'!$N$36:$V$36/N1548:V1548,F1548/V1548)/Dashboard!$F$11</f>
        <v>83.449064012289497</v>
      </c>
      <c r="F1548" s="359">
        <f t="shared" si="1519"/>
        <v>12137462.533228081</v>
      </c>
      <c r="G1548" s="359">
        <f>'DRE + DCF'!$W$31</f>
        <v>2791623.3540418856</v>
      </c>
      <c r="H1548" s="359">
        <f>'DRE + DCF'!$W$32</f>
        <v>81081.931703745853</v>
      </c>
      <c r="I1548" s="359">
        <f>-H1548*('DRE + DCF'!$V$33+K1548)/'DRE + DCF'!$V$33</f>
        <v>-90858.801614444121</v>
      </c>
      <c r="J1548" s="359">
        <f>-'DRE + DCF'!$V$56*L1548</f>
        <v>-1188924.4255577971</v>
      </c>
      <c r="K1548" s="360">
        <f>(1+L1548)/(1+Ke!$O$12)-1</f>
        <v>2.0000000000000018E-2</v>
      </c>
      <c r="L1548" s="360">
        <f>'DRE + DCF'!$Y$31</f>
        <v>7.3550000000000004E-2</v>
      </c>
      <c r="M1548" s="361">
        <f>(1+D1548)^((5-Dashboard!$F$9)*3/12)</f>
        <v>1.1662170674443577</v>
      </c>
      <c r="N1548" s="361">
        <f t="shared" ref="N1548:V1548" si="1583">M1548*(1+$D1548)</f>
        <v>1.4315897611413098</v>
      </c>
      <c r="O1548" s="361">
        <f t="shared" si="1583"/>
        <v>1.7573480112890008</v>
      </c>
      <c r="P1548" s="361">
        <f t="shared" si="1583"/>
        <v>2.1572325512577954</v>
      </c>
      <c r="Q1548" s="361">
        <f t="shared" si="1583"/>
        <v>2.6481108182964856</v>
      </c>
      <c r="R1548" s="361">
        <f t="shared" si="1583"/>
        <v>3.2506884349998248</v>
      </c>
      <c r="S1548" s="361">
        <f t="shared" si="1583"/>
        <v>3.9903825883840032</v>
      </c>
      <c r="T1548" s="361">
        <f t="shared" si="1583"/>
        <v>4.8983941463707437</v>
      </c>
      <c r="U1548" s="361">
        <f t="shared" si="1583"/>
        <v>6.0130237343773585</v>
      </c>
      <c r="V1548" s="362">
        <f t="shared" si="1583"/>
        <v>7.3812872851348672</v>
      </c>
      <c r="X1548" s="351"/>
    </row>
    <row r="1549" spans="3:24" ht="24.75" customHeight="1" x14ac:dyDescent="0.3">
      <c r="C1549" s="353">
        <f>ABS(E1549-Dashboard!$F$14)</f>
        <v>13.601094006191673</v>
      </c>
      <c r="D1549" s="350">
        <f t="shared" si="1521"/>
        <v>0.22764999999999017</v>
      </c>
      <c r="E1549" s="359" cm="1">
        <f t="array" ref="E1549">1000*SUM('DRE + DCF'!$L$36/M1549,'DRE + DCF'!$N$36:$V$36/N1549:V1549,F1549/V1549)/Dashboard!$F$11</f>
        <v>83.388905993808322</v>
      </c>
      <c r="F1549" s="359">
        <f t="shared" si="1519"/>
        <v>12130966.831905009</v>
      </c>
      <c r="G1549" s="359">
        <f>'DRE + DCF'!$W$31</f>
        <v>2791623.3540418856</v>
      </c>
      <c r="H1549" s="359">
        <f>'DRE + DCF'!$W$32</f>
        <v>81081.931703745853</v>
      </c>
      <c r="I1549" s="359">
        <f>-H1549*('DRE + DCF'!$V$33+K1549)/'DRE + DCF'!$V$33</f>
        <v>-90858.801614444121</v>
      </c>
      <c r="J1549" s="359">
        <f>-'DRE + DCF'!$V$56*L1549</f>
        <v>-1188924.4255577971</v>
      </c>
      <c r="K1549" s="360">
        <f>(1+L1549)/(1+Ke!$O$12)-1</f>
        <v>2.0000000000000018E-2</v>
      </c>
      <c r="L1549" s="360">
        <f>'DRE + DCF'!$Y$31</f>
        <v>7.3550000000000004E-2</v>
      </c>
      <c r="M1549" s="361">
        <f>(1+D1549)^((5-Dashboard!$F$9)*3/12)</f>
        <v>1.1662883194417748</v>
      </c>
      <c r="N1549" s="361">
        <f t="shared" ref="N1549:V1549" si="1584">M1549*(1+$D1549)</f>
        <v>1.4317938553626834</v>
      </c>
      <c r="O1549" s="361">
        <f t="shared" si="1584"/>
        <v>1.7577417265359843</v>
      </c>
      <c r="P1549" s="361">
        <f t="shared" si="1584"/>
        <v>2.1578916305818838</v>
      </c>
      <c r="Q1549" s="361">
        <f t="shared" si="1584"/>
        <v>2.6491356602838283</v>
      </c>
      <c r="R1549" s="361">
        <f t="shared" si="1584"/>
        <v>3.2522113933474155</v>
      </c>
      <c r="S1549" s="361">
        <f t="shared" si="1584"/>
        <v>3.9925773170429224</v>
      </c>
      <c r="T1549" s="361">
        <f t="shared" si="1584"/>
        <v>4.9014875432677041</v>
      </c>
      <c r="U1549" s="361">
        <f t="shared" si="1584"/>
        <v>6.0173111824925485</v>
      </c>
      <c r="V1549" s="362">
        <f t="shared" si="1584"/>
        <v>7.3871520731869182</v>
      </c>
      <c r="X1549" s="351"/>
    </row>
    <row r="1550" spans="3:24" ht="24.75" customHeight="1" x14ac:dyDescent="0.3">
      <c r="C1550" s="353">
        <f>ABS(E1550-Dashboard!$F$14)</f>
        <v>13.661176662959051</v>
      </c>
      <c r="D1550" s="350">
        <f t="shared" si="1521"/>
        <v>0.22774999999999015</v>
      </c>
      <c r="E1550" s="359" cm="1">
        <f t="array" ref="E1550">1000*SUM('DRE + DCF'!$L$36/M1550,'DRE + DCF'!$N$36:$V$36/N1550:V1550,F1550/V1550)/Dashboard!$F$11</f>
        <v>83.328823337040944</v>
      </c>
      <c r="F1550" s="359">
        <f t="shared" ref="F1550:F1613" si="1585">AVERAGE(SUM(G1550:J1550)*(1+L1550)/(D1550-L1550),G1550*(1+L1550)*(1-L1550/D1550)/(D1550-L1550))</f>
        <v>12124478.343973514</v>
      </c>
      <c r="G1550" s="359">
        <f>'DRE + DCF'!$W$31</f>
        <v>2791623.3540418856</v>
      </c>
      <c r="H1550" s="359">
        <f>'DRE + DCF'!$W$32</f>
        <v>81081.931703745853</v>
      </c>
      <c r="I1550" s="359">
        <f>-H1550*('DRE + DCF'!$V$33+K1550)/'DRE + DCF'!$V$33</f>
        <v>-90858.801614444121</v>
      </c>
      <c r="J1550" s="359">
        <f>-'DRE + DCF'!$V$56*L1550</f>
        <v>-1188924.4255577971</v>
      </c>
      <c r="K1550" s="360">
        <f>(1+L1550)/(1+Ke!$O$12)-1</f>
        <v>2.0000000000000018E-2</v>
      </c>
      <c r="L1550" s="360">
        <f>'DRE + DCF'!$Y$31</f>
        <v>7.3550000000000004E-2</v>
      </c>
      <c r="M1550" s="361">
        <f>(1+D1550)^((5-Dashboard!$F$9)*3/12)</f>
        <v>1.1663595699882234</v>
      </c>
      <c r="N1550" s="361">
        <f t="shared" ref="N1550:V1550" si="1586">M1550*(1+$D1550)</f>
        <v>1.4319979620530299</v>
      </c>
      <c r="O1550" s="361">
        <f t="shared" si="1586"/>
        <v>1.7581354979105932</v>
      </c>
      <c r="P1550" s="361">
        <f t="shared" si="1586"/>
        <v>2.1585508575597134</v>
      </c>
      <c r="Q1550" s="361">
        <f t="shared" si="1586"/>
        <v>2.6501608153689169</v>
      </c>
      <c r="R1550" s="361">
        <f t="shared" si="1586"/>
        <v>3.2537349410691614</v>
      </c>
      <c r="S1550" s="361">
        <f t="shared" si="1586"/>
        <v>3.9947730738976306</v>
      </c>
      <c r="T1550" s="361">
        <f t="shared" si="1586"/>
        <v>4.9045826414777762</v>
      </c>
      <c r="U1550" s="361">
        <f t="shared" si="1586"/>
        <v>6.0216013380742917</v>
      </c>
      <c r="V1550" s="362">
        <f t="shared" si="1586"/>
        <v>7.393021042820652</v>
      </c>
      <c r="X1550" s="351"/>
    </row>
    <row r="1551" spans="3:24" ht="24.75" customHeight="1" x14ac:dyDescent="0.3">
      <c r="C1551" s="353">
        <f>ABS(E1551-Dashboard!$F$14)</f>
        <v>13.72118409105147</v>
      </c>
      <c r="D1551" s="350">
        <f t="shared" ref="D1551:D1614" si="1587">D1550+0.0001</f>
        <v>0.22784999999999014</v>
      </c>
      <c r="E1551" s="359" cm="1">
        <f t="array" ref="E1551">1000*SUM('DRE + DCF'!$L$36/M1551,'DRE + DCF'!$N$36:$V$36/N1551:V1551,F1551/V1551)/Dashboard!$F$11</f>
        <v>83.268815908948525</v>
      </c>
      <c r="F1551" s="359">
        <f t="shared" si="1585"/>
        <v>12117997.057003133</v>
      </c>
      <c r="G1551" s="359">
        <f>'DRE + DCF'!$W$31</f>
        <v>2791623.3540418856</v>
      </c>
      <c r="H1551" s="359">
        <f>'DRE + DCF'!$W$32</f>
        <v>81081.931703745853</v>
      </c>
      <c r="I1551" s="359">
        <f>-H1551*('DRE + DCF'!$V$33+K1551)/'DRE + DCF'!$V$33</f>
        <v>-90858.801614444121</v>
      </c>
      <c r="J1551" s="359">
        <f>-'DRE + DCF'!$V$56*L1551</f>
        <v>-1188924.4255577971</v>
      </c>
      <c r="K1551" s="360">
        <f>(1+L1551)/(1+Ke!$O$12)-1</f>
        <v>2.0000000000000018E-2</v>
      </c>
      <c r="L1551" s="360">
        <f>'DRE + DCF'!$Y$31</f>
        <v>7.3550000000000004E-2</v>
      </c>
      <c r="M1551" s="361">
        <f>(1+D1551)^((5-Dashboard!$F$9)*3/12)</f>
        <v>1.1664308190838508</v>
      </c>
      <c r="N1551" s="361">
        <f t="shared" ref="N1551:V1551" si="1588">M1551*(1+$D1551)</f>
        <v>1.4322020812120948</v>
      </c>
      <c r="O1551" s="361">
        <f t="shared" si="1588"/>
        <v>1.7585293254162564</v>
      </c>
      <c r="P1551" s="361">
        <f t="shared" si="1588"/>
        <v>2.1592102322123332</v>
      </c>
      <c r="Q1551" s="361">
        <f t="shared" si="1588"/>
        <v>2.6511862836218918</v>
      </c>
      <c r="R1551" s="361">
        <f t="shared" si="1588"/>
        <v>3.2552590783451136</v>
      </c>
      <c r="S1551" s="361">
        <f t="shared" si="1588"/>
        <v>3.9969698593460157</v>
      </c>
      <c r="T1551" s="361">
        <f t="shared" si="1588"/>
        <v>4.9076794417979661</v>
      </c>
      <c r="U1551" s="361">
        <f t="shared" si="1588"/>
        <v>6.0258942026115845</v>
      </c>
      <c r="V1551" s="362">
        <f t="shared" si="1588"/>
        <v>7.3988941966765749</v>
      </c>
      <c r="X1551" s="351"/>
    </row>
    <row r="1552" spans="3:24" ht="24.75" customHeight="1" x14ac:dyDescent="0.3">
      <c r="C1552" s="353">
        <f>ABS(E1552-Dashboard!$F$14)</f>
        <v>13.781116423198966</v>
      </c>
      <c r="D1552" s="350">
        <f t="shared" si="1587"/>
        <v>0.22794999999999013</v>
      </c>
      <c r="E1552" s="359" cm="1">
        <f t="array" ref="E1552">1000*SUM('DRE + DCF'!$L$36/M1552,'DRE + DCF'!$N$36:$V$36/N1552:V1552,F1552/V1552)/Dashboard!$F$11</f>
        <v>83.208883576801028</v>
      </c>
      <c r="F1552" s="359">
        <f t="shared" si="1585"/>
        <v>12111522.958592817</v>
      </c>
      <c r="G1552" s="359">
        <f>'DRE + DCF'!$W$31</f>
        <v>2791623.3540418856</v>
      </c>
      <c r="H1552" s="359">
        <f>'DRE + DCF'!$W$32</f>
        <v>81081.931703745853</v>
      </c>
      <c r="I1552" s="359">
        <f>-H1552*('DRE + DCF'!$V$33+K1552)/'DRE + DCF'!$V$33</f>
        <v>-90858.801614444121</v>
      </c>
      <c r="J1552" s="359">
        <f>-'DRE + DCF'!$V$56*L1552</f>
        <v>-1188924.4255577971</v>
      </c>
      <c r="K1552" s="360">
        <f>(1+L1552)/(1+Ke!$O$12)-1</f>
        <v>2.0000000000000018E-2</v>
      </c>
      <c r="L1552" s="360">
        <f>'DRE + DCF'!$Y$31</f>
        <v>7.3550000000000004E-2</v>
      </c>
      <c r="M1552" s="361">
        <f>(1+D1552)^((5-Dashboard!$F$9)*3/12)</f>
        <v>1.1665020667288049</v>
      </c>
      <c r="N1552" s="361">
        <f t="shared" ref="N1552:V1552" si="1589">M1552*(1+$D1552)</f>
        <v>1.4324062128396244</v>
      </c>
      <c r="O1552" s="361">
        <f t="shared" si="1589"/>
        <v>1.7589232090564026</v>
      </c>
      <c r="P1552" s="361">
        <f t="shared" si="1589"/>
        <v>2.1598697545607921</v>
      </c>
      <c r="Q1552" s="361">
        <f t="shared" si="1589"/>
        <v>2.6522120651129031</v>
      </c>
      <c r="R1552" s="361">
        <f t="shared" si="1589"/>
        <v>3.2567838053553633</v>
      </c>
      <c r="S1552" s="361">
        <f t="shared" si="1589"/>
        <v>3.999167673786086</v>
      </c>
      <c r="T1552" s="361">
        <f t="shared" si="1589"/>
        <v>4.9107779450255844</v>
      </c>
      <c r="U1552" s="361">
        <f t="shared" si="1589"/>
        <v>6.030189777594118</v>
      </c>
      <c r="V1552" s="362">
        <f t="shared" si="1589"/>
        <v>7.4047715373966376</v>
      </c>
      <c r="X1552" s="351"/>
    </row>
    <row r="1553" spans="3:24" ht="24.75" customHeight="1" x14ac:dyDescent="0.3">
      <c r="C1553" s="353">
        <f>ABS(E1553-Dashboard!$F$14)</f>
        <v>13.840973791824112</v>
      </c>
      <c r="D1553" s="350">
        <f t="shared" si="1587"/>
        <v>0.22804999999999012</v>
      </c>
      <c r="E1553" s="359" cm="1">
        <f t="array" ref="E1553">1000*SUM('DRE + DCF'!$L$36/M1553,'DRE + DCF'!$N$36:$V$36/N1553:V1553,F1553/V1553)/Dashboard!$F$11</f>
        <v>83.149026208175883</v>
      </c>
      <c r="F1553" s="359">
        <f t="shared" si="1585"/>
        <v>12105056.036370836</v>
      </c>
      <c r="G1553" s="359">
        <f>'DRE + DCF'!$W$31</f>
        <v>2791623.3540418856</v>
      </c>
      <c r="H1553" s="359">
        <f>'DRE + DCF'!$W$32</f>
        <v>81081.931703745853</v>
      </c>
      <c r="I1553" s="359">
        <f>-H1553*('DRE + DCF'!$V$33+K1553)/'DRE + DCF'!$V$33</f>
        <v>-90858.801614444121</v>
      </c>
      <c r="J1553" s="359">
        <f>-'DRE + DCF'!$V$56*L1553</f>
        <v>-1188924.4255577971</v>
      </c>
      <c r="K1553" s="360">
        <f>(1+L1553)/(1+Ke!$O$12)-1</f>
        <v>2.0000000000000018E-2</v>
      </c>
      <c r="L1553" s="360">
        <f>'DRE + DCF'!$Y$31</f>
        <v>7.3550000000000004E-2</v>
      </c>
      <c r="M1553" s="361">
        <f>(1+D1553)^((5-Dashboard!$F$9)*3/12)</f>
        <v>1.1665733129232332</v>
      </c>
      <c r="N1553" s="361">
        <f t="shared" ref="N1553:V1553" si="1590">M1553*(1+$D1553)</f>
        <v>1.432610356935365</v>
      </c>
      <c r="O1553" s="361">
        <f t="shared" si="1590"/>
        <v>1.7593171488344608</v>
      </c>
      <c r="P1553" s="361">
        <f t="shared" si="1590"/>
        <v>2.1605294246261422</v>
      </c>
      <c r="Q1553" s="361">
        <f t="shared" si="1590"/>
        <v>2.6532381599121124</v>
      </c>
      <c r="R1553" s="361">
        <f t="shared" si="1590"/>
        <v>3.2583091222800435</v>
      </c>
      <c r="S1553" s="361">
        <f t="shared" si="1590"/>
        <v>4.0013665176159749</v>
      </c>
      <c r="T1553" s="361">
        <f t="shared" si="1590"/>
        <v>4.9138781519582588</v>
      </c>
      <c r="U1553" s="361">
        <f t="shared" si="1590"/>
        <v>6.0344880645122911</v>
      </c>
      <c r="V1553" s="362">
        <f t="shared" si="1590"/>
        <v>7.410653067624259</v>
      </c>
      <c r="X1553" s="351"/>
    </row>
    <row r="1554" spans="3:24" ht="24.75" customHeight="1" x14ac:dyDescent="0.3">
      <c r="C1554" s="353">
        <f>ABS(E1554-Dashboard!$F$14)</f>
        <v>13.90075632904248</v>
      </c>
      <c r="D1554" s="350">
        <f t="shared" si="1587"/>
        <v>0.22814999999999011</v>
      </c>
      <c r="E1554" s="359" cm="1">
        <f t="array" ref="E1554">1000*SUM('DRE + DCF'!$L$36/M1554,'DRE + DCF'!$N$36:$V$36/N1554:V1554,F1554/V1554)/Dashboard!$F$11</f>
        <v>83.089243670957515</v>
      </c>
      <c r="F1554" s="359">
        <f t="shared" si="1585"/>
        <v>12098596.277994685</v>
      </c>
      <c r="G1554" s="359">
        <f>'DRE + DCF'!$W$31</f>
        <v>2791623.3540418856</v>
      </c>
      <c r="H1554" s="359">
        <f>'DRE + DCF'!$W$32</f>
        <v>81081.931703745853</v>
      </c>
      <c r="I1554" s="359">
        <f>-H1554*('DRE + DCF'!$V$33+K1554)/'DRE + DCF'!$V$33</f>
        <v>-90858.801614444121</v>
      </c>
      <c r="J1554" s="359">
        <f>-'DRE + DCF'!$V$56*L1554</f>
        <v>-1188924.4255577971</v>
      </c>
      <c r="K1554" s="360">
        <f>(1+L1554)/(1+Ke!$O$12)-1</f>
        <v>2.0000000000000018E-2</v>
      </c>
      <c r="L1554" s="360">
        <f>'DRE + DCF'!$Y$31</f>
        <v>7.3550000000000004E-2</v>
      </c>
      <c r="M1554" s="361">
        <f>(1+D1554)^((5-Dashboard!$F$9)*3/12)</f>
        <v>1.1666445576672837</v>
      </c>
      <c r="N1554" s="361">
        <f t="shared" ref="N1554:V1554" si="1591">M1554*(1+$D1554)</f>
        <v>1.4328145134990629</v>
      </c>
      <c r="O1554" s="361">
        <f t="shared" si="1591"/>
        <v>1.7597111447538598</v>
      </c>
      <c r="P1554" s="361">
        <f t="shared" si="1591"/>
        <v>2.1611892424294354</v>
      </c>
      <c r="Q1554" s="361">
        <f t="shared" si="1591"/>
        <v>2.6542645680896899</v>
      </c>
      <c r="R1554" s="361">
        <f t="shared" si="1591"/>
        <v>3.2598350292993263</v>
      </c>
      <c r="S1554" s="361">
        <f t="shared" si="1591"/>
        <v>4.0035663912339352</v>
      </c>
      <c r="T1554" s="361">
        <f t="shared" si="1591"/>
        <v>4.9169800633939182</v>
      </c>
      <c r="U1554" s="361">
        <f t="shared" si="1591"/>
        <v>6.038789064857192</v>
      </c>
      <c r="V1554" s="362">
        <f t="shared" si="1591"/>
        <v>7.4165387900043003</v>
      </c>
      <c r="X1554" s="351"/>
    </row>
    <row r="1555" spans="3:24" ht="24.75" customHeight="1" x14ac:dyDescent="0.3">
      <c r="C1555" s="353">
        <f>ABS(E1555-Dashboard!$F$14)</f>
        <v>13.960464166663655</v>
      </c>
      <c r="D1555" s="350">
        <f t="shared" si="1587"/>
        <v>0.2282499999999901</v>
      </c>
      <c r="E1555" s="359" cm="1">
        <f t="array" ref="E1555">1000*SUM('DRE + DCF'!$L$36/M1555,'DRE + DCF'!$N$36:$V$36/N1555:V1555,F1555/V1555)/Dashboard!$F$11</f>
        <v>83.02953583333634</v>
      </c>
      <c r="F1555" s="359">
        <f t="shared" si="1585"/>
        <v>12092143.671151001</v>
      </c>
      <c r="G1555" s="359">
        <f>'DRE + DCF'!$W$31</f>
        <v>2791623.3540418856</v>
      </c>
      <c r="H1555" s="359">
        <f>'DRE + DCF'!$W$32</f>
        <v>81081.931703745853</v>
      </c>
      <c r="I1555" s="359">
        <f>-H1555*('DRE + DCF'!$V$33+K1555)/'DRE + DCF'!$V$33</f>
        <v>-90858.801614444121</v>
      </c>
      <c r="J1555" s="359">
        <f>-'DRE + DCF'!$V$56*L1555</f>
        <v>-1188924.4255577971</v>
      </c>
      <c r="K1555" s="360">
        <f>(1+L1555)/(1+Ke!$O$12)-1</f>
        <v>2.0000000000000018E-2</v>
      </c>
      <c r="L1555" s="360">
        <f>'DRE + DCF'!$Y$31</f>
        <v>7.3550000000000004E-2</v>
      </c>
      <c r="M1555" s="361">
        <f>(1+D1555)^((5-Dashboard!$F$9)*3/12)</f>
        <v>1.1667158009611036</v>
      </c>
      <c r="N1555" s="361">
        <f t="shared" ref="N1555:V1555" si="1592">M1555*(1+$D1555)</f>
        <v>1.4330186825304638</v>
      </c>
      <c r="O1555" s="361">
        <f t="shared" si="1592"/>
        <v>1.7601051968180279</v>
      </c>
      <c r="P1555" s="361">
        <f t="shared" si="1592"/>
        <v>2.1618492079917253</v>
      </c>
      <c r="Q1555" s="361">
        <f t="shared" si="1592"/>
        <v>2.655291289715815</v>
      </c>
      <c r="R1555" s="361">
        <f t="shared" si="1592"/>
        <v>3.2613615265934235</v>
      </c>
      <c r="S1555" s="361">
        <f t="shared" si="1592"/>
        <v>4.0057672950383401</v>
      </c>
      <c r="T1555" s="361">
        <f t="shared" si="1592"/>
        <v>4.9200836801308014</v>
      </c>
      <c r="U1555" s="361">
        <f t="shared" si="1592"/>
        <v>6.0430927801206078</v>
      </c>
      <c r="V1555" s="362">
        <f t="shared" si="1592"/>
        <v>7.4224287071830766</v>
      </c>
      <c r="X1555" s="351"/>
    </row>
    <row r="1556" spans="3:24" ht="24.75" customHeight="1" x14ac:dyDescent="0.3">
      <c r="C1556" s="353">
        <f>ABS(E1556-Dashboard!$F$14)</f>
        <v>14.020097436192387</v>
      </c>
      <c r="D1556" s="350">
        <f t="shared" si="1587"/>
        <v>0.22834999999999009</v>
      </c>
      <c r="E1556" s="359" cm="1">
        <f t="array" ref="E1556">1000*SUM('DRE + DCF'!$L$36/M1556,'DRE + DCF'!$N$36:$V$36/N1556:V1556,F1556/V1556)/Dashboard!$F$11</f>
        <v>82.969902563807608</v>
      </c>
      <c r="F1556" s="359">
        <f t="shared" si="1585"/>
        <v>12085698.203555476</v>
      </c>
      <c r="G1556" s="359">
        <f>'DRE + DCF'!$W$31</f>
        <v>2791623.3540418856</v>
      </c>
      <c r="H1556" s="359">
        <f>'DRE + DCF'!$W$32</f>
        <v>81081.931703745853</v>
      </c>
      <c r="I1556" s="359">
        <f>-H1556*('DRE + DCF'!$V$33+K1556)/'DRE + DCF'!$V$33</f>
        <v>-90858.801614444121</v>
      </c>
      <c r="J1556" s="359">
        <f>-'DRE + DCF'!$V$56*L1556</f>
        <v>-1188924.4255577971</v>
      </c>
      <c r="K1556" s="360">
        <f>(1+L1556)/(1+Ke!$O$12)-1</f>
        <v>2.0000000000000018E-2</v>
      </c>
      <c r="L1556" s="360">
        <f>'DRE + DCF'!$Y$31</f>
        <v>7.3550000000000004E-2</v>
      </c>
      <c r="M1556" s="361">
        <f>(1+D1556)^((5-Dashboard!$F$9)*3/12)</f>
        <v>1.1667870428048408</v>
      </c>
      <c r="N1556" s="361">
        <f t="shared" ref="N1556:V1556" si="1593">M1556*(1+$D1556)</f>
        <v>1.4332228640293145</v>
      </c>
      <c r="O1556" s="361">
        <f t="shared" si="1593"/>
        <v>1.7604993050303943</v>
      </c>
      <c r="P1556" s="361">
        <f t="shared" si="1593"/>
        <v>2.1625093213340674</v>
      </c>
      <c r="Q1556" s="361">
        <f t="shared" si="1593"/>
        <v>2.6563183248606803</v>
      </c>
      <c r="R1556" s="361">
        <f t="shared" si="1593"/>
        <v>3.2628886143425904</v>
      </c>
      <c r="S1556" s="361">
        <f t="shared" si="1593"/>
        <v>4.0079692294276885</v>
      </c>
      <c r="T1556" s="361">
        <f t="shared" si="1593"/>
        <v>4.9231890029674616</v>
      </c>
      <c r="U1556" s="361">
        <f t="shared" si="1593"/>
        <v>6.0473992117950326</v>
      </c>
      <c r="V1556" s="362">
        <f t="shared" si="1593"/>
        <v>7.4283228218083686</v>
      </c>
      <c r="X1556" s="351"/>
    </row>
    <row r="1557" spans="3:24" ht="24.75" customHeight="1" x14ac:dyDescent="0.3">
      <c r="C1557" s="353">
        <f>ABS(E1557-Dashboard!$F$14)</f>
        <v>14.07965626882897</v>
      </c>
      <c r="D1557" s="350">
        <f t="shared" si="1587"/>
        <v>0.22844999999999008</v>
      </c>
      <c r="E1557" s="359" cm="1">
        <f t="array" ref="E1557">1000*SUM('DRE + DCF'!$L$36/M1557,'DRE + DCF'!$N$36:$V$36/N1557:V1557,F1557/V1557)/Dashboard!$F$11</f>
        <v>82.910343731171025</v>
      </c>
      <c r="F1557" s="359">
        <f t="shared" si="1585"/>
        <v>12079259.862952773</v>
      </c>
      <c r="G1557" s="359">
        <f>'DRE + DCF'!$W$31</f>
        <v>2791623.3540418856</v>
      </c>
      <c r="H1557" s="359">
        <f>'DRE + DCF'!$W$32</f>
        <v>81081.931703745853</v>
      </c>
      <c r="I1557" s="359">
        <f>-H1557*('DRE + DCF'!$V$33+K1557)/'DRE + DCF'!$V$33</f>
        <v>-90858.801614444121</v>
      </c>
      <c r="J1557" s="359">
        <f>-'DRE + DCF'!$V$56*L1557</f>
        <v>-1188924.4255577971</v>
      </c>
      <c r="K1557" s="360">
        <f>(1+L1557)/(1+Ke!$O$12)-1</f>
        <v>2.0000000000000018E-2</v>
      </c>
      <c r="L1557" s="360">
        <f>'DRE + DCF'!$Y$31</f>
        <v>7.3550000000000004E-2</v>
      </c>
      <c r="M1557" s="361">
        <f>(1+D1557)^((5-Dashboard!$F$9)*3/12)</f>
        <v>1.1668582831986427</v>
      </c>
      <c r="N1557" s="361">
        <f t="shared" ref="N1557:V1557" si="1594">M1557*(1+$D1557)</f>
        <v>1.433427057995361</v>
      </c>
      <c r="O1557" s="361">
        <f t="shared" si="1594"/>
        <v>1.760893469394387</v>
      </c>
      <c r="P1557" s="361">
        <f t="shared" si="1594"/>
        <v>2.1631695824775172</v>
      </c>
      <c r="Q1557" s="361">
        <f t="shared" si="1594"/>
        <v>2.6573456735944845</v>
      </c>
      <c r="R1557" s="361">
        <f t="shared" si="1594"/>
        <v>3.2644162927271179</v>
      </c>
      <c r="S1557" s="361">
        <f t="shared" si="1594"/>
        <v>4.0101721948005951</v>
      </c>
      <c r="T1557" s="361">
        <f t="shared" si="1594"/>
        <v>4.9262960327027514</v>
      </c>
      <c r="U1557" s="361">
        <f t="shared" si="1594"/>
        <v>6.0517083613736462</v>
      </c>
      <c r="V1557" s="362">
        <f t="shared" si="1594"/>
        <v>7.4342211365293958</v>
      </c>
      <c r="X1557" s="351"/>
    </row>
    <row r="1558" spans="3:24" ht="24.75" customHeight="1" x14ac:dyDescent="0.3">
      <c r="C1558" s="353">
        <f>ABS(E1558-Dashboard!$F$14)</f>
        <v>14.139140795470695</v>
      </c>
      <c r="D1558" s="350">
        <f t="shared" si="1587"/>
        <v>0.22854999999999007</v>
      </c>
      <c r="E1558" s="359" cm="1">
        <f t="array" ref="E1558">1000*SUM('DRE + DCF'!$L$36/M1558,'DRE + DCF'!$N$36:$V$36/N1558:V1558,F1558/V1558)/Dashboard!$F$11</f>
        <v>82.8508592045293</v>
      </c>
      <c r="F1558" s="359">
        <f t="shared" si="1585"/>
        <v>12072828.637116421</v>
      </c>
      <c r="G1558" s="359">
        <f>'DRE + DCF'!$W$31</f>
        <v>2791623.3540418856</v>
      </c>
      <c r="H1558" s="359">
        <f>'DRE + DCF'!$W$32</f>
        <v>81081.931703745853</v>
      </c>
      <c r="I1558" s="359">
        <f>-H1558*('DRE + DCF'!$V$33+K1558)/'DRE + DCF'!$V$33</f>
        <v>-90858.801614444121</v>
      </c>
      <c r="J1558" s="359">
        <f>-'DRE + DCF'!$V$56*L1558</f>
        <v>-1188924.4255577971</v>
      </c>
      <c r="K1558" s="360">
        <f>(1+L1558)/(1+Ke!$O$12)-1</f>
        <v>2.0000000000000018E-2</v>
      </c>
      <c r="L1558" s="360">
        <f>'DRE + DCF'!$Y$31</f>
        <v>7.3550000000000004E-2</v>
      </c>
      <c r="M1558" s="361">
        <f>(1+D1558)^((5-Dashboard!$F$9)*3/12)</f>
        <v>1.166929522142657</v>
      </c>
      <c r="N1558" s="361">
        <f t="shared" ref="N1558:V1558" si="1595">M1558*(1+$D1558)</f>
        <v>1.4336312644283495</v>
      </c>
      <c r="O1558" s="361">
        <f t="shared" si="1595"/>
        <v>1.7612876899134347</v>
      </c>
      <c r="P1558" s="361">
        <f t="shared" si="1595"/>
        <v>2.1638299914431327</v>
      </c>
      <c r="Q1558" s="361">
        <f t="shared" si="1595"/>
        <v>2.6583733359874393</v>
      </c>
      <c r="R1558" s="361">
        <f t="shared" si="1595"/>
        <v>3.2659445619273422</v>
      </c>
      <c r="S1558" s="361">
        <f t="shared" si="1595"/>
        <v>4.0123761915558038</v>
      </c>
      <c r="T1558" s="361">
        <f t="shared" si="1595"/>
        <v>4.929404770135843</v>
      </c>
      <c r="U1558" s="361">
        <f t="shared" si="1595"/>
        <v>6.0560202303503408</v>
      </c>
      <c r="V1558" s="362">
        <f t="shared" si="1595"/>
        <v>7.4401236539968512</v>
      </c>
      <c r="X1558" s="351"/>
    </row>
    <row r="1559" spans="3:24" ht="24.75" customHeight="1" x14ac:dyDescent="0.3">
      <c r="C1559" s="353">
        <f>ABS(E1559-Dashboard!$F$14)</f>
        <v>14.198551146712234</v>
      </c>
      <c r="D1559" s="350">
        <f t="shared" si="1587"/>
        <v>0.22864999999999006</v>
      </c>
      <c r="E1559" s="359" cm="1">
        <f t="array" ref="E1559">1000*SUM('DRE + DCF'!$L$36/M1559,'DRE + DCF'!$N$36:$V$36/N1559:V1559,F1559/V1559)/Dashboard!$F$11</f>
        <v>82.791448853287761</v>
      </c>
      <c r="F1559" s="359">
        <f t="shared" si="1585"/>
        <v>12066404.513848748</v>
      </c>
      <c r="G1559" s="359">
        <f>'DRE + DCF'!$W$31</f>
        <v>2791623.3540418856</v>
      </c>
      <c r="H1559" s="359">
        <f>'DRE + DCF'!$W$32</f>
        <v>81081.931703745853</v>
      </c>
      <c r="I1559" s="359">
        <f>-H1559*('DRE + DCF'!$V$33+K1559)/'DRE + DCF'!$V$33</f>
        <v>-90858.801614444121</v>
      </c>
      <c r="J1559" s="359">
        <f>-'DRE + DCF'!$V$56*L1559</f>
        <v>-1188924.4255577971</v>
      </c>
      <c r="K1559" s="360">
        <f>(1+L1559)/(1+Ke!$O$12)-1</f>
        <v>2.0000000000000018E-2</v>
      </c>
      <c r="L1559" s="360">
        <f>'DRE + DCF'!$Y$31</f>
        <v>7.3550000000000004E-2</v>
      </c>
      <c r="M1559" s="361">
        <f>(1+D1559)^((5-Dashboard!$F$9)*3/12)</f>
        <v>1.1670007596370309</v>
      </c>
      <c r="N1559" s="361">
        <f t="shared" ref="N1559:V1559" si="1596">M1559*(1+$D1559)</f>
        <v>1.4338354833280262</v>
      </c>
      <c r="O1559" s="361">
        <f t="shared" si="1596"/>
        <v>1.7616819665909651</v>
      </c>
      <c r="P1559" s="361">
        <f t="shared" si="1596"/>
        <v>2.1644905482519716</v>
      </c>
      <c r="Q1559" s="361">
        <f t="shared" si="1596"/>
        <v>2.6594013121097633</v>
      </c>
      <c r="R1559" s="361">
        <f t="shared" si="1596"/>
        <v>3.2674734221236341</v>
      </c>
      <c r="S1559" s="361">
        <f t="shared" si="1596"/>
        <v>4.0145812200921709</v>
      </c>
      <c r="T1559" s="361">
        <f t="shared" si="1596"/>
        <v>4.9325152160662054</v>
      </c>
      <c r="U1559" s="361">
        <f t="shared" si="1596"/>
        <v>6.0603348202196941</v>
      </c>
      <c r="V1559" s="362">
        <f t="shared" si="1596"/>
        <v>7.4460303768628666</v>
      </c>
      <c r="X1559" s="351"/>
    </row>
    <row r="1560" spans="3:24" ht="24.75" customHeight="1" x14ac:dyDescent="0.3">
      <c r="C1560" s="353">
        <f>ABS(E1560-Dashboard!$F$14)</f>
        <v>14.257887452847058</v>
      </c>
      <c r="D1560" s="350">
        <f t="shared" si="1587"/>
        <v>0.22874999999999004</v>
      </c>
      <c r="E1560" s="359" cm="1">
        <f t="array" ref="E1560">1000*SUM('DRE + DCF'!$L$36/M1560,'DRE + DCF'!$N$36:$V$36/N1560:V1560,F1560/V1560)/Dashboard!$F$11</f>
        <v>82.732112547152937</v>
      </c>
      <c r="F1560" s="359">
        <f t="shared" si="1585"/>
        <v>12059987.480980784</v>
      </c>
      <c r="G1560" s="359">
        <f>'DRE + DCF'!$W$31</f>
        <v>2791623.3540418856</v>
      </c>
      <c r="H1560" s="359">
        <f>'DRE + DCF'!$W$32</f>
        <v>81081.931703745853</v>
      </c>
      <c r="I1560" s="359">
        <f>-H1560*('DRE + DCF'!$V$33+K1560)/'DRE + DCF'!$V$33</f>
        <v>-90858.801614444121</v>
      </c>
      <c r="J1560" s="359">
        <f>-'DRE + DCF'!$V$56*L1560</f>
        <v>-1188924.4255577971</v>
      </c>
      <c r="K1560" s="360">
        <f>(1+L1560)/(1+Ke!$O$12)-1</f>
        <v>2.0000000000000018E-2</v>
      </c>
      <c r="L1560" s="360">
        <f>'DRE + DCF'!$Y$31</f>
        <v>7.3550000000000004E-2</v>
      </c>
      <c r="M1560" s="361">
        <f>(1+D1560)^((5-Dashboard!$F$9)*3/12)</f>
        <v>1.1670719956819122</v>
      </c>
      <c r="N1560" s="361">
        <f t="shared" ref="N1560:V1560" si="1597">M1560*(1+$D1560)</f>
        <v>1.4340397146941379</v>
      </c>
      <c r="O1560" s="361">
        <f t="shared" si="1597"/>
        <v>1.7620762994304078</v>
      </c>
      <c r="P1560" s="361">
        <f t="shared" si="1597"/>
        <v>2.1651512529250958</v>
      </c>
      <c r="Q1560" s="361">
        <f t="shared" si="1597"/>
        <v>2.66042960203169</v>
      </c>
      <c r="R1560" s="361">
        <f t="shared" si="1597"/>
        <v>3.2690028734964125</v>
      </c>
      <c r="S1560" s="361">
        <f t="shared" si="1597"/>
        <v>4.0167872808086846</v>
      </c>
      <c r="T1560" s="361">
        <f t="shared" si="1597"/>
        <v>4.9356273712936307</v>
      </c>
      <c r="U1560" s="361">
        <f t="shared" si="1597"/>
        <v>6.0646521324769997</v>
      </c>
      <c r="V1560" s="362">
        <f t="shared" si="1597"/>
        <v>7.4519413077810528</v>
      </c>
      <c r="X1560" s="351"/>
    </row>
    <row r="1561" spans="3:24" ht="24.75" customHeight="1" x14ac:dyDescent="0.3">
      <c r="C1561" s="353">
        <f>ABS(E1561-Dashboard!$F$14)</f>
        <v>14.317149843867696</v>
      </c>
      <c r="D1561" s="350">
        <f t="shared" si="1587"/>
        <v>0.22884999999999003</v>
      </c>
      <c r="E1561" s="359" cm="1">
        <f t="array" ref="E1561">1000*SUM('DRE + DCF'!$L$36/M1561,'DRE + DCF'!$N$36:$V$36/N1561:V1561,F1561/V1561)/Dashboard!$F$11</f>
        <v>82.672850156132299</v>
      </c>
      <c r="F1561" s="359">
        <f t="shared" si="1585"/>
        <v>12053577.526372179</v>
      </c>
      <c r="G1561" s="359">
        <f>'DRE + DCF'!$W$31</f>
        <v>2791623.3540418856</v>
      </c>
      <c r="H1561" s="359">
        <f>'DRE + DCF'!$W$32</f>
        <v>81081.931703745853</v>
      </c>
      <c r="I1561" s="359">
        <f>-H1561*('DRE + DCF'!$V$33+K1561)/'DRE + DCF'!$V$33</f>
        <v>-90858.801614444121</v>
      </c>
      <c r="J1561" s="359">
        <f>-'DRE + DCF'!$V$56*L1561</f>
        <v>-1188924.4255577971</v>
      </c>
      <c r="K1561" s="360">
        <f>(1+L1561)/(1+Ke!$O$12)-1</f>
        <v>2.0000000000000018E-2</v>
      </c>
      <c r="L1561" s="360">
        <f>'DRE + DCF'!$Y$31</f>
        <v>7.3550000000000004E-2</v>
      </c>
      <c r="M1561" s="361">
        <f>(1+D1561)^((5-Dashboard!$F$9)*3/12)</f>
        <v>1.167143230277448</v>
      </c>
      <c r="N1561" s="361">
        <f t="shared" ref="N1561:V1561" si="1598">M1561*(1+$D1561)</f>
        <v>1.4342439585264304</v>
      </c>
      <c r="O1561" s="361">
        <f t="shared" si="1598"/>
        <v>1.7624706884351897</v>
      </c>
      <c r="P1561" s="361">
        <f t="shared" si="1598"/>
        <v>2.1658121054835653</v>
      </c>
      <c r="Q1561" s="361">
        <f t="shared" si="1598"/>
        <v>2.6614582058234575</v>
      </c>
      <c r="R1561" s="361">
        <f t="shared" si="1598"/>
        <v>3.270532916226129</v>
      </c>
      <c r="S1561" s="361">
        <f t="shared" si="1598"/>
        <v>4.0189943741044463</v>
      </c>
      <c r="T1561" s="361">
        <f t="shared" si="1598"/>
        <v>4.9387412366182089</v>
      </c>
      <c r="U1561" s="361">
        <f t="shared" si="1598"/>
        <v>6.0689721686182363</v>
      </c>
      <c r="V1561" s="362">
        <f t="shared" si="1598"/>
        <v>7.4578564494064592</v>
      </c>
      <c r="X1561" s="351"/>
    </row>
    <row r="1562" spans="3:24" ht="24.75" customHeight="1" x14ac:dyDescent="0.3">
      <c r="C1562" s="353">
        <f>ABS(E1562-Dashboard!$F$14)</f>
        <v>14.37633844946717</v>
      </c>
      <c r="D1562" s="350">
        <f t="shared" si="1587"/>
        <v>0.22894999999999002</v>
      </c>
      <c r="E1562" s="359" cm="1">
        <f t="array" ref="E1562">1000*SUM('DRE + DCF'!$L$36/M1562,'DRE + DCF'!$N$36:$V$36/N1562:V1562,F1562/V1562)/Dashboard!$F$11</f>
        <v>82.613661550532825</v>
      </c>
      <c r="F1562" s="359">
        <f t="shared" si="1585"/>
        <v>12047174.637911117</v>
      </c>
      <c r="G1562" s="359">
        <f>'DRE + DCF'!$W$31</f>
        <v>2791623.3540418856</v>
      </c>
      <c r="H1562" s="359">
        <f>'DRE + DCF'!$W$32</f>
        <v>81081.931703745853</v>
      </c>
      <c r="I1562" s="359">
        <f>-H1562*('DRE + DCF'!$V$33+K1562)/'DRE + DCF'!$V$33</f>
        <v>-90858.801614444121</v>
      </c>
      <c r="J1562" s="359">
        <f>-'DRE + DCF'!$V$56*L1562</f>
        <v>-1188924.4255577971</v>
      </c>
      <c r="K1562" s="360">
        <f>(1+L1562)/(1+Ke!$O$12)-1</f>
        <v>2.0000000000000018E-2</v>
      </c>
      <c r="L1562" s="360">
        <f>'DRE + DCF'!$Y$31</f>
        <v>7.3550000000000004E-2</v>
      </c>
      <c r="M1562" s="361">
        <f>(1+D1562)^((5-Dashboard!$F$9)*3/12)</f>
        <v>1.1672144634237862</v>
      </c>
      <c r="N1562" s="361">
        <f t="shared" ref="N1562:V1562" si="1599">M1562*(1+$D1562)</f>
        <v>1.4344482148246505</v>
      </c>
      <c r="O1562" s="361">
        <f t="shared" si="1599"/>
        <v>1.7628651336087398</v>
      </c>
      <c r="P1562" s="361">
        <f t="shared" si="1599"/>
        <v>2.1664731059484432</v>
      </c>
      <c r="Q1562" s="361">
        <f t="shared" si="1599"/>
        <v>2.6624871235553176</v>
      </c>
      <c r="R1562" s="361">
        <f t="shared" si="1599"/>
        <v>3.2720635504932809</v>
      </c>
      <c r="S1562" s="361">
        <f t="shared" si="1599"/>
        <v>4.0212025003786849</v>
      </c>
      <c r="T1562" s="361">
        <f t="shared" si="1599"/>
        <v>4.9418568128403448</v>
      </c>
      <c r="U1562" s="361">
        <f t="shared" si="1599"/>
        <v>6.0732949301400927</v>
      </c>
      <c r="V1562" s="362">
        <f t="shared" si="1599"/>
        <v>7.4637758043956062</v>
      </c>
      <c r="X1562" s="351"/>
    </row>
    <row r="1563" spans="3:24" ht="24.75" customHeight="1" x14ac:dyDescent="0.3">
      <c r="C1563" s="353">
        <f>ABS(E1563-Dashboard!$F$14)</f>
        <v>14.435453399039403</v>
      </c>
      <c r="D1563" s="350">
        <f t="shared" si="1587"/>
        <v>0.22904999999999001</v>
      </c>
      <c r="E1563" s="359" cm="1">
        <f t="array" ref="E1563">1000*SUM('DRE + DCF'!$L$36/M1563,'DRE + DCF'!$N$36:$V$36/N1563:V1563,F1563/V1563)/Dashboard!$F$11</f>
        <v>82.554546600960592</v>
      </c>
      <c r="F1563" s="359">
        <f t="shared" si="1585"/>
        <v>12040778.803514216</v>
      </c>
      <c r="G1563" s="359">
        <f>'DRE + DCF'!$W$31</f>
        <v>2791623.3540418856</v>
      </c>
      <c r="H1563" s="359">
        <f>'DRE + DCF'!$W$32</f>
        <v>81081.931703745853</v>
      </c>
      <c r="I1563" s="359">
        <f>-H1563*('DRE + DCF'!$V$33+K1563)/'DRE + DCF'!$V$33</f>
        <v>-90858.801614444121</v>
      </c>
      <c r="J1563" s="359">
        <f>-'DRE + DCF'!$V$56*L1563</f>
        <v>-1188924.4255577971</v>
      </c>
      <c r="K1563" s="360">
        <f>(1+L1563)/(1+Ke!$O$12)-1</f>
        <v>2.0000000000000018E-2</v>
      </c>
      <c r="L1563" s="360">
        <f>'DRE + DCF'!$Y$31</f>
        <v>7.3550000000000004E-2</v>
      </c>
      <c r="M1563" s="361">
        <f>(1+D1563)^((5-Dashboard!$F$9)*3/12)</f>
        <v>1.1672856951210739</v>
      </c>
      <c r="N1563" s="361">
        <f t="shared" ref="N1563:V1563" si="1600">M1563*(1+$D1563)</f>
        <v>1.4346524835885441</v>
      </c>
      <c r="O1563" s="361">
        <f t="shared" si="1600"/>
        <v>1.7632596349544858</v>
      </c>
      <c r="P1563" s="361">
        <f t="shared" si="1600"/>
        <v>2.1671342543407932</v>
      </c>
      <c r="Q1563" s="361">
        <f t="shared" si="1600"/>
        <v>2.6635163552975301</v>
      </c>
      <c r="R1563" s="361">
        <f t="shared" si="1600"/>
        <v>3.2735947764784026</v>
      </c>
      <c r="S1563" s="361">
        <f t="shared" si="1600"/>
        <v>4.0234116600307477</v>
      </c>
      <c r="T1563" s="361">
        <f t="shared" si="1600"/>
        <v>4.9449741007607502</v>
      </c>
      <c r="U1563" s="361">
        <f t="shared" si="1600"/>
        <v>6.0776204185399507</v>
      </c>
      <c r="V1563" s="362">
        <f t="shared" si="1600"/>
        <v>7.4696993754064653</v>
      </c>
      <c r="X1563" s="351"/>
    </row>
    <row r="1564" spans="3:24" ht="24.75" customHeight="1" x14ac:dyDescent="0.3">
      <c r="C1564" s="353">
        <f>ABS(E1564-Dashboard!$F$14)</f>
        <v>14.494494821680561</v>
      </c>
      <c r="D1564" s="350">
        <f t="shared" si="1587"/>
        <v>0.22914999999999</v>
      </c>
      <c r="E1564" s="359" cm="1">
        <f t="array" ref="E1564">1000*SUM('DRE + DCF'!$L$36/M1564,'DRE + DCF'!$N$36:$V$36/N1564:V1564,F1564/V1564)/Dashboard!$F$11</f>
        <v>82.495505178319434</v>
      </c>
      <c r="F1564" s="359">
        <f t="shared" si="1585"/>
        <v>12034390.01112647</v>
      </c>
      <c r="G1564" s="359">
        <f>'DRE + DCF'!$W$31</f>
        <v>2791623.3540418856</v>
      </c>
      <c r="H1564" s="359">
        <f>'DRE + DCF'!$W$32</f>
        <v>81081.931703745853</v>
      </c>
      <c r="I1564" s="359">
        <f>-H1564*('DRE + DCF'!$V$33+K1564)/'DRE + DCF'!$V$33</f>
        <v>-90858.801614444121</v>
      </c>
      <c r="J1564" s="359">
        <f>-'DRE + DCF'!$V$56*L1564</f>
        <v>-1188924.4255577971</v>
      </c>
      <c r="K1564" s="360">
        <f>(1+L1564)/(1+Ke!$O$12)-1</f>
        <v>2.0000000000000018E-2</v>
      </c>
      <c r="L1564" s="360">
        <f>'DRE + DCF'!$Y$31</f>
        <v>7.3550000000000004E-2</v>
      </c>
      <c r="M1564" s="361">
        <f>(1+D1564)^((5-Dashboard!$F$9)*3/12)</f>
        <v>1.1673569253694585</v>
      </c>
      <c r="N1564" s="361">
        <f t="shared" ref="N1564:V1564" si="1601">M1564*(1+$D1564)</f>
        <v>1.4348567648178581</v>
      </c>
      <c r="O1564" s="361">
        <f t="shared" si="1601"/>
        <v>1.7636541924758558</v>
      </c>
      <c r="P1564" s="361">
        <f t="shared" si="1601"/>
        <v>2.1677955506816806</v>
      </c>
      <c r="Q1564" s="361">
        <f t="shared" si="1601"/>
        <v>2.6645459011203658</v>
      </c>
      <c r="R1564" s="361">
        <f t="shared" si="1601"/>
        <v>3.2751265943620709</v>
      </c>
      <c r="S1564" s="361">
        <f t="shared" si="1601"/>
        <v>4.0256218534601063</v>
      </c>
      <c r="T1564" s="361">
        <f t="shared" si="1601"/>
        <v>4.948093101180449</v>
      </c>
      <c r="U1564" s="361">
        <f t="shared" si="1601"/>
        <v>6.0819486353158991</v>
      </c>
      <c r="V1564" s="362">
        <f t="shared" si="1601"/>
        <v>7.4756271650984765</v>
      </c>
      <c r="X1564" s="351"/>
    </row>
    <row r="1565" spans="3:24" ht="24.75" customHeight="1" x14ac:dyDescent="0.3">
      <c r="C1565" s="353">
        <f>ABS(E1565-Dashboard!$F$14)</f>
        <v>14.553462846189475</v>
      </c>
      <c r="D1565" s="350">
        <f t="shared" si="1587"/>
        <v>0.22924999999998999</v>
      </c>
      <c r="E1565" s="359" cm="1">
        <f t="array" ref="E1565">1000*SUM('DRE + DCF'!$L$36/M1565,'DRE + DCF'!$N$36:$V$36/N1565:V1565,F1565/V1565)/Dashboard!$F$11</f>
        <v>82.436537153810519</v>
      </c>
      <c r="F1565" s="359">
        <f t="shared" si="1585"/>
        <v>12028008.248721138</v>
      </c>
      <c r="G1565" s="359">
        <f>'DRE + DCF'!$W$31</f>
        <v>2791623.3540418856</v>
      </c>
      <c r="H1565" s="359">
        <f>'DRE + DCF'!$W$32</f>
        <v>81081.931703745853</v>
      </c>
      <c r="I1565" s="359">
        <f>-H1565*('DRE + DCF'!$V$33+K1565)/'DRE + DCF'!$V$33</f>
        <v>-90858.801614444121</v>
      </c>
      <c r="J1565" s="359">
        <f>-'DRE + DCF'!$V$56*L1565</f>
        <v>-1188924.4255577971</v>
      </c>
      <c r="K1565" s="360">
        <f>(1+L1565)/(1+Ke!$O$12)-1</f>
        <v>2.0000000000000018E-2</v>
      </c>
      <c r="L1565" s="360">
        <f>'DRE + DCF'!$Y$31</f>
        <v>7.3550000000000004E-2</v>
      </c>
      <c r="M1565" s="361">
        <f>(1+D1565)^((5-Dashboard!$F$9)*3/12)</f>
        <v>1.1674281541690874</v>
      </c>
      <c r="N1565" s="361">
        <f t="shared" ref="N1565:V1565" si="1602">M1565*(1+$D1565)</f>
        <v>1.4350610585123389</v>
      </c>
      <c r="O1565" s="361">
        <f t="shared" si="1602"/>
        <v>1.7640488061762782</v>
      </c>
      <c r="P1565" s="361">
        <f t="shared" si="1602"/>
        <v>2.1684569949921721</v>
      </c>
      <c r="Q1565" s="361">
        <f t="shared" si="1602"/>
        <v>2.665575761094106</v>
      </c>
      <c r="R1565" s="361">
        <f t="shared" si="1602"/>
        <v>3.2766590043249031</v>
      </c>
      <c r="S1565" s="361">
        <f t="shared" si="1602"/>
        <v>4.0278330810663538</v>
      </c>
      <c r="T1565" s="361">
        <f t="shared" si="1602"/>
        <v>4.9512138149007754</v>
      </c>
      <c r="U1565" s="361">
        <f t="shared" si="1602"/>
        <v>6.0862795819667284</v>
      </c>
      <c r="V1565" s="362">
        <f t="shared" si="1602"/>
        <v>7.4815591761325395</v>
      </c>
      <c r="X1565" s="351"/>
    </row>
    <row r="1566" spans="3:24" ht="24.75" customHeight="1" x14ac:dyDescent="0.3">
      <c r="C1566" s="353">
        <f>ABS(E1566-Dashboard!$F$14)</f>
        <v>14.612357601068794</v>
      </c>
      <c r="D1566" s="350">
        <f t="shared" si="1587"/>
        <v>0.22934999999998998</v>
      </c>
      <c r="E1566" s="359" cm="1">
        <f t="array" ref="E1566">1000*SUM('DRE + DCF'!$L$36/M1566,'DRE + DCF'!$N$36:$V$36/N1566:V1566,F1566/V1566)/Dashboard!$F$11</f>
        <v>82.377642398931201</v>
      </c>
      <c r="F1566" s="359">
        <f t="shared" si="1585"/>
        <v>12021633.504299669</v>
      </c>
      <c r="G1566" s="359">
        <f>'DRE + DCF'!$W$31</f>
        <v>2791623.3540418856</v>
      </c>
      <c r="H1566" s="359">
        <f>'DRE + DCF'!$W$32</f>
        <v>81081.931703745853</v>
      </c>
      <c r="I1566" s="359">
        <f>-H1566*('DRE + DCF'!$V$33+K1566)/'DRE + DCF'!$V$33</f>
        <v>-90858.801614444121</v>
      </c>
      <c r="J1566" s="359">
        <f>-'DRE + DCF'!$V$56*L1566</f>
        <v>-1188924.4255577971</v>
      </c>
      <c r="K1566" s="360">
        <f>(1+L1566)/(1+Ke!$O$12)-1</f>
        <v>2.0000000000000018E-2</v>
      </c>
      <c r="L1566" s="360">
        <f>'DRE + DCF'!$Y$31</f>
        <v>7.3550000000000004E-2</v>
      </c>
      <c r="M1566" s="361">
        <f>(1+D1566)^((5-Dashboard!$F$9)*3/12)</f>
        <v>1.1674993815201078</v>
      </c>
      <c r="N1566" s="361">
        <f t="shared" ref="N1566:V1566" si="1603">M1566*(1+$D1566)</f>
        <v>1.4352653646717328</v>
      </c>
      <c r="O1566" s="361">
        <f t="shared" si="1603"/>
        <v>1.7644434760591803</v>
      </c>
      <c r="P1566" s="361">
        <f t="shared" si="1603"/>
        <v>2.1691185872933354</v>
      </c>
      <c r="Q1566" s="361">
        <f t="shared" si="1603"/>
        <v>2.6666059352890401</v>
      </c>
      <c r="R1566" s="361">
        <f t="shared" si="1603"/>
        <v>3.2781920065475547</v>
      </c>
      <c r="S1566" s="361">
        <f t="shared" si="1603"/>
        <v>4.0300453432492036</v>
      </c>
      <c r="T1566" s="361">
        <f t="shared" si="1603"/>
        <v>4.9543362427233681</v>
      </c>
      <c r="U1566" s="361">
        <f t="shared" si="1603"/>
        <v>6.0906132599919225</v>
      </c>
      <c r="V1566" s="362">
        <f t="shared" si="1603"/>
        <v>7.4874954111710084</v>
      </c>
      <c r="X1566" s="351"/>
    </row>
    <row r="1567" spans="3:24" ht="24.75" customHeight="1" x14ac:dyDescent="0.3">
      <c r="C1567" s="353">
        <f>ABS(E1567-Dashboard!$F$14)</f>
        <v>14.671179214525694</v>
      </c>
      <c r="D1567" s="350">
        <f t="shared" si="1587"/>
        <v>0.22944999999998997</v>
      </c>
      <c r="E1567" s="359" cm="1">
        <f t="array" ref="E1567">1000*SUM('DRE + DCF'!$L$36/M1567,'DRE + DCF'!$N$36:$V$36/N1567:V1567,F1567/V1567)/Dashboard!$F$11</f>
        <v>82.318820785474301</v>
      </c>
      <c r="F1567" s="359">
        <f t="shared" si="1585"/>
        <v>12015265.765891623</v>
      </c>
      <c r="G1567" s="359">
        <f>'DRE + DCF'!$W$31</f>
        <v>2791623.3540418856</v>
      </c>
      <c r="H1567" s="359">
        <f>'DRE + DCF'!$W$32</f>
        <v>81081.931703745853</v>
      </c>
      <c r="I1567" s="359">
        <f>-H1567*('DRE + DCF'!$V$33+K1567)/'DRE + DCF'!$V$33</f>
        <v>-90858.801614444121</v>
      </c>
      <c r="J1567" s="359">
        <f>-'DRE + DCF'!$V$56*L1567</f>
        <v>-1188924.4255577971</v>
      </c>
      <c r="K1567" s="360">
        <f>(1+L1567)/(1+Ke!$O$12)-1</f>
        <v>2.0000000000000018E-2</v>
      </c>
      <c r="L1567" s="360">
        <f>'DRE + DCF'!$Y$31</f>
        <v>7.3550000000000004E-2</v>
      </c>
      <c r="M1567" s="361">
        <f>(1+D1567)^((5-Dashboard!$F$9)*3/12)</f>
        <v>1.1675706074226673</v>
      </c>
      <c r="N1567" s="361">
        <f t="shared" ref="N1567:V1567" si="1604">M1567*(1+$D1567)</f>
        <v>1.4354696832957865</v>
      </c>
      <c r="O1567" s="361">
        <f t="shared" si="1604"/>
        <v>1.7648382021279903</v>
      </c>
      <c r="P1567" s="361">
        <f t="shared" si="1604"/>
        <v>2.1697803276062397</v>
      </c>
      <c r="Q1567" s="361">
        <f t="shared" si="1604"/>
        <v>2.6676364237754697</v>
      </c>
      <c r="R1567" s="361">
        <f t="shared" si="1604"/>
        <v>3.2797256012107243</v>
      </c>
      <c r="S1567" s="361">
        <f t="shared" si="1604"/>
        <v>4.0322586404084921</v>
      </c>
      <c r="T1567" s="361">
        <f t="shared" si="1604"/>
        <v>4.9574603854501804</v>
      </c>
      <c r="U1567" s="361">
        <f t="shared" si="1604"/>
        <v>6.0949496708916744</v>
      </c>
      <c r="V1567" s="362">
        <f t="shared" si="1604"/>
        <v>7.4934358728777077</v>
      </c>
      <c r="X1567" s="351"/>
    </row>
    <row r="1568" spans="3:24" ht="24.75" customHeight="1" x14ac:dyDescent="0.3">
      <c r="C1568" s="353">
        <f>ABS(E1568-Dashboard!$F$14)</f>
        <v>14.729927814472831</v>
      </c>
      <c r="D1568" s="350">
        <f t="shared" si="1587"/>
        <v>0.22954999999998996</v>
      </c>
      <c r="E1568" s="359" cm="1">
        <f t="array" ref="E1568">1000*SUM('DRE + DCF'!$L$36/M1568,'DRE + DCF'!$N$36:$V$36/N1568:V1568,F1568/V1568)/Dashboard!$F$11</f>
        <v>82.260072185527164</v>
      </c>
      <c r="F1568" s="359">
        <f t="shared" si="1585"/>
        <v>12008905.021554582</v>
      </c>
      <c r="G1568" s="359">
        <f>'DRE + DCF'!$W$31</f>
        <v>2791623.3540418856</v>
      </c>
      <c r="H1568" s="359">
        <f>'DRE + DCF'!$W$32</f>
        <v>81081.931703745853</v>
      </c>
      <c r="I1568" s="359">
        <f>-H1568*('DRE + DCF'!$V$33+K1568)/'DRE + DCF'!$V$33</f>
        <v>-90858.801614444121</v>
      </c>
      <c r="J1568" s="359">
        <f>-'DRE + DCF'!$V$56*L1568</f>
        <v>-1188924.4255577971</v>
      </c>
      <c r="K1568" s="360">
        <f>(1+L1568)/(1+Ke!$O$12)-1</f>
        <v>2.0000000000000018E-2</v>
      </c>
      <c r="L1568" s="360">
        <f>'DRE + DCF'!$Y$31</f>
        <v>7.3550000000000004E-2</v>
      </c>
      <c r="M1568" s="361">
        <f>(1+D1568)^((5-Dashboard!$F$9)*3/12)</f>
        <v>1.1676418318769126</v>
      </c>
      <c r="N1568" s="361">
        <f t="shared" ref="N1568:V1568" si="1605">M1568*(1+$D1568)</f>
        <v>1.4356740143842461</v>
      </c>
      <c r="O1568" s="361">
        <f t="shared" si="1605"/>
        <v>1.7652329843861354</v>
      </c>
      <c r="P1568" s="361">
        <f t="shared" si="1605"/>
        <v>2.170442215951955</v>
      </c>
      <c r="Q1568" s="361">
        <f t="shared" si="1605"/>
        <v>2.6686672266237044</v>
      </c>
      <c r="R1568" s="361">
        <f t="shared" si="1605"/>
        <v>3.2812597884951487</v>
      </c>
      <c r="S1568" s="361">
        <f t="shared" si="1605"/>
        <v>4.0344729729441768</v>
      </c>
      <c r="T1568" s="361">
        <f t="shared" si="1605"/>
        <v>4.9605862438834718</v>
      </c>
      <c r="U1568" s="361">
        <f t="shared" si="1605"/>
        <v>6.0992888161668724</v>
      </c>
      <c r="V1568" s="362">
        <f t="shared" si="1605"/>
        <v>7.4993805639179163</v>
      </c>
      <c r="X1568" s="351"/>
    </row>
    <row r="1569" spans="3:24" ht="24.75" customHeight="1" x14ac:dyDescent="0.3">
      <c r="C1569" s="353">
        <f>ABS(E1569-Dashboard!$F$14)</f>
        <v>14.788603528529094</v>
      </c>
      <c r="D1569" s="350">
        <f t="shared" si="1587"/>
        <v>0.22964999999998995</v>
      </c>
      <c r="E1569" s="359" cm="1">
        <f t="array" ref="E1569">1000*SUM('DRE + DCF'!$L$36/M1569,'DRE + DCF'!$N$36:$V$36/N1569:V1569,F1569/V1569)/Dashboard!$F$11</f>
        <v>82.2013964714709</v>
      </c>
      <c r="F1569" s="359">
        <f t="shared" si="1585"/>
        <v>12002551.25937406</v>
      </c>
      <c r="G1569" s="359">
        <f>'DRE + DCF'!$W$31</f>
        <v>2791623.3540418856</v>
      </c>
      <c r="H1569" s="359">
        <f>'DRE + DCF'!$W$32</f>
        <v>81081.931703745853</v>
      </c>
      <c r="I1569" s="359">
        <f>-H1569*('DRE + DCF'!$V$33+K1569)/'DRE + DCF'!$V$33</f>
        <v>-90858.801614444121</v>
      </c>
      <c r="J1569" s="359">
        <f>-'DRE + DCF'!$V$56*L1569</f>
        <v>-1188924.4255577971</v>
      </c>
      <c r="K1569" s="360">
        <f>(1+L1569)/(1+Ke!$O$12)-1</f>
        <v>2.0000000000000018E-2</v>
      </c>
      <c r="L1569" s="360">
        <f>'DRE + DCF'!$Y$31</f>
        <v>7.3550000000000004E-2</v>
      </c>
      <c r="M1569" s="361">
        <f>(1+D1569)^((5-Dashboard!$F$9)*3/12)</f>
        <v>1.1677130548829915</v>
      </c>
      <c r="N1569" s="361">
        <f t="shared" ref="N1569:V1569" si="1606">M1569*(1+$D1569)</f>
        <v>1.4358783579368588</v>
      </c>
      <c r="O1569" s="361">
        <f t="shared" si="1606"/>
        <v>1.7656278228370439</v>
      </c>
      <c r="P1569" s="361">
        <f t="shared" si="1606"/>
        <v>2.1711042523515531</v>
      </c>
      <c r="Q1569" s="361">
        <f t="shared" si="1606"/>
        <v>2.6696983439040656</v>
      </c>
      <c r="R1569" s="361">
        <f t="shared" si="1606"/>
        <v>3.2827945685816071</v>
      </c>
      <c r="S1569" s="361">
        <f t="shared" si="1606"/>
        <v>4.0366883412563404</v>
      </c>
      <c r="T1569" s="361">
        <f t="shared" si="1606"/>
        <v>4.9637138188258181</v>
      </c>
      <c r="U1569" s="361">
        <f t="shared" si="1606"/>
        <v>6.103630697319117</v>
      </c>
      <c r="V1569" s="362">
        <f t="shared" si="1606"/>
        <v>7.5053294869583906</v>
      </c>
      <c r="X1569" s="351"/>
    </row>
    <row r="1570" spans="3:24" ht="24.75" customHeight="1" x14ac:dyDescent="0.3">
      <c r="C1570" s="353">
        <f>ABS(E1570-Dashboard!$F$14)</f>
        <v>14.847206484020631</v>
      </c>
      <c r="D1570" s="350">
        <f t="shared" si="1587"/>
        <v>0.22974999999998993</v>
      </c>
      <c r="E1570" s="359" cm="1">
        <f t="array" ref="E1570">1000*SUM('DRE + DCF'!$L$36/M1570,'DRE + DCF'!$N$36:$V$36/N1570:V1570,F1570/V1570)/Dashboard!$F$11</f>
        <v>82.142793515979363</v>
      </c>
      <c r="F1570" s="359">
        <f t="shared" si="1585"/>
        <v>11996204.467463426</v>
      </c>
      <c r="G1570" s="359">
        <f>'DRE + DCF'!$W$31</f>
        <v>2791623.3540418856</v>
      </c>
      <c r="H1570" s="359">
        <f>'DRE + DCF'!$W$32</f>
        <v>81081.931703745853</v>
      </c>
      <c r="I1570" s="359">
        <f>-H1570*('DRE + DCF'!$V$33+K1570)/'DRE + DCF'!$V$33</f>
        <v>-90858.801614444121</v>
      </c>
      <c r="J1570" s="359">
        <f>-'DRE + DCF'!$V$56*L1570</f>
        <v>-1188924.4255577971</v>
      </c>
      <c r="K1570" s="360">
        <f>(1+L1570)/(1+Ke!$O$12)-1</f>
        <v>2.0000000000000018E-2</v>
      </c>
      <c r="L1570" s="360">
        <f>'DRE + DCF'!$Y$31</f>
        <v>7.3550000000000004E-2</v>
      </c>
      <c r="M1570" s="361">
        <f>(1+D1570)^((5-Dashboard!$F$9)*3/12)</f>
        <v>1.1677842764410511</v>
      </c>
      <c r="N1570" s="361">
        <f t="shared" ref="N1570:V1570" si="1607">M1570*(1+$D1570)</f>
        <v>1.4360827139533707</v>
      </c>
      <c r="O1570" s="361">
        <f t="shared" si="1607"/>
        <v>1.7660227174841432</v>
      </c>
      <c r="P1570" s="361">
        <f t="shared" si="1607"/>
        <v>2.1717664368261071</v>
      </c>
      <c r="Q1570" s="361">
        <f t="shared" si="1607"/>
        <v>2.6707297756868833</v>
      </c>
      <c r="R1570" s="361">
        <f t="shared" si="1607"/>
        <v>3.2843299416509177</v>
      </c>
      <c r="S1570" s="361">
        <f t="shared" si="1607"/>
        <v>4.0389047457451825</v>
      </c>
      <c r="T1570" s="361">
        <f t="shared" si="1607"/>
        <v>4.9668431110800979</v>
      </c>
      <c r="U1570" s="361">
        <f t="shared" si="1607"/>
        <v>6.1079753158507</v>
      </c>
      <c r="V1570" s="362">
        <f t="shared" si="1607"/>
        <v>7.5112826446673369</v>
      </c>
      <c r="X1570" s="351"/>
    </row>
    <row r="1571" spans="3:24" ht="24.75" customHeight="1" x14ac:dyDescent="0.3">
      <c r="C1571" s="353">
        <f>ABS(E1571-Dashboard!$F$14)</f>
        <v>14.905736807981484</v>
      </c>
      <c r="D1571" s="350">
        <f t="shared" si="1587"/>
        <v>0.22984999999998992</v>
      </c>
      <c r="E1571" s="359" cm="1">
        <f t="array" ref="E1571">1000*SUM('DRE + DCF'!$L$36/M1571,'DRE + DCF'!$N$36:$V$36/N1571:V1571,F1571/V1571)/Dashboard!$F$11</f>
        <v>82.084263192018511</v>
      </c>
      <c r="F1571" s="359">
        <f t="shared" si="1585"/>
        <v>11989864.633963825</v>
      </c>
      <c r="G1571" s="359">
        <f>'DRE + DCF'!$W$31</f>
        <v>2791623.3540418856</v>
      </c>
      <c r="H1571" s="359">
        <f>'DRE + DCF'!$W$32</f>
        <v>81081.931703745853</v>
      </c>
      <c r="I1571" s="359">
        <f>-H1571*('DRE + DCF'!$V$33+K1571)/'DRE + DCF'!$V$33</f>
        <v>-90858.801614444121</v>
      </c>
      <c r="J1571" s="359">
        <f>-'DRE + DCF'!$V$56*L1571</f>
        <v>-1188924.4255577971</v>
      </c>
      <c r="K1571" s="360">
        <f>(1+L1571)/(1+Ke!$O$12)-1</f>
        <v>2.0000000000000018E-2</v>
      </c>
      <c r="L1571" s="360">
        <f>'DRE + DCF'!$Y$31</f>
        <v>7.3550000000000004E-2</v>
      </c>
      <c r="M1571" s="361">
        <f>(1+D1571)^((5-Dashboard!$F$9)*3/12)</f>
        <v>1.1678554965512384</v>
      </c>
      <c r="N1571" s="361">
        <f t="shared" ref="N1571:V1571" si="1608">M1571*(1+$D1571)</f>
        <v>1.4362870824335288</v>
      </c>
      <c r="O1571" s="361">
        <f t="shared" si="1608"/>
        <v>1.7664176683308608</v>
      </c>
      <c r="P1571" s="361">
        <f t="shared" si="1608"/>
        <v>2.1724287693966913</v>
      </c>
      <c r="Q1571" s="361">
        <f t="shared" si="1608"/>
        <v>2.6717615220424986</v>
      </c>
      <c r="R1571" s="361">
        <f t="shared" si="1608"/>
        <v>3.2858659078839398</v>
      </c>
      <c r="S1571" s="361">
        <f t="shared" si="1608"/>
        <v>4.0411221868110303</v>
      </c>
      <c r="T1571" s="361">
        <f t="shared" si="1608"/>
        <v>4.9699741214495043</v>
      </c>
      <c r="U1571" s="361">
        <f t="shared" si="1608"/>
        <v>6.1123226732646225</v>
      </c>
      <c r="V1571" s="362">
        <f t="shared" si="1608"/>
        <v>7.5172400397144346</v>
      </c>
      <c r="X1571" s="351"/>
    </row>
    <row r="1572" spans="3:24" ht="24.75" customHeight="1" x14ac:dyDescent="0.3">
      <c r="C1572" s="353">
        <f>ABS(E1572-Dashboard!$F$14)</f>
        <v>14.964194627154527</v>
      </c>
      <c r="D1572" s="350">
        <f t="shared" si="1587"/>
        <v>0.22994999999998991</v>
      </c>
      <c r="E1572" s="359" cm="1">
        <f t="array" ref="E1572">1000*SUM('DRE + DCF'!$L$36/M1572,'DRE + DCF'!$N$36:$V$36/N1572:V1572,F1572/V1572)/Dashboard!$F$11</f>
        <v>82.025805372845468</v>
      </c>
      <c r="F1572" s="359">
        <f t="shared" si="1585"/>
        <v>11983531.747044086</v>
      </c>
      <c r="G1572" s="359">
        <f>'DRE + DCF'!$W$31</f>
        <v>2791623.3540418856</v>
      </c>
      <c r="H1572" s="359">
        <f>'DRE + DCF'!$W$32</f>
        <v>81081.931703745853</v>
      </c>
      <c r="I1572" s="359">
        <f>-H1572*('DRE + DCF'!$V$33+K1572)/'DRE + DCF'!$V$33</f>
        <v>-90858.801614444121</v>
      </c>
      <c r="J1572" s="359">
        <f>-'DRE + DCF'!$V$56*L1572</f>
        <v>-1188924.4255577971</v>
      </c>
      <c r="K1572" s="360">
        <f>(1+L1572)/(1+Ke!$O$12)-1</f>
        <v>2.0000000000000018E-2</v>
      </c>
      <c r="L1572" s="360">
        <f>'DRE + DCF'!$Y$31</f>
        <v>7.3550000000000004E-2</v>
      </c>
      <c r="M1572" s="361">
        <f>(1+D1572)^((5-Dashboard!$F$9)*3/12)</f>
        <v>1.1679267152137005</v>
      </c>
      <c r="N1572" s="361">
        <f t="shared" ref="N1572:V1572" si="1609">M1572*(1+$D1572)</f>
        <v>1.4364914633770791</v>
      </c>
      <c r="O1572" s="361">
        <f t="shared" si="1609"/>
        <v>1.7668126753806239</v>
      </c>
      <c r="P1572" s="361">
        <f t="shared" si="1609"/>
        <v>2.1730912500843806</v>
      </c>
      <c r="Q1572" s="361">
        <f t="shared" si="1609"/>
        <v>2.6727935830412619</v>
      </c>
      <c r="R1572" s="361">
        <f t="shared" si="1609"/>
        <v>3.2874024674615732</v>
      </c>
      <c r="S1572" s="361">
        <f t="shared" si="1609"/>
        <v>4.0433406648543286</v>
      </c>
      <c r="T1572" s="361">
        <f t="shared" si="1609"/>
        <v>4.9731068507375404</v>
      </c>
      <c r="U1572" s="361">
        <f t="shared" si="1609"/>
        <v>6.1166727710645876</v>
      </c>
      <c r="V1572" s="362">
        <f t="shared" si="1609"/>
        <v>7.5232016747708279</v>
      </c>
      <c r="X1572" s="351"/>
    </row>
    <row r="1573" spans="3:24" ht="24.75" customHeight="1" x14ac:dyDescent="0.3">
      <c r="C1573" s="353">
        <f>ABS(E1573-Dashboard!$F$14)</f>
        <v>15.022580067992379</v>
      </c>
      <c r="D1573" s="350">
        <f t="shared" si="1587"/>
        <v>0.2300499999999899</v>
      </c>
      <c r="E1573" s="359" cm="1">
        <f t="array" ref="E1573">1000*SUM('DRE + DCF'!$L$36/M1573,'DRE + DCF'!$N$36:$V$36/N1573:V1573,F1573/V1573)/Dashboard!$F$11</f>
        <v>81.967419932007616</v>
      </c>
      <c r="F1573" s="359">
        <f t="shared" si="1585"/>
        <v>11977205.794900641</v>
      </c>
      <c r="G1573" s="359">
        <f>'DRE + DCF'!$W$31</f>
        <v>2791623.3540418856</v>
      </c>
      <c r="H1573" s="359">
        <f>'DRE + DCF'!$W$32</f>
        <v>81081.931703745853</v>
      </c>
      <c r="I1573" s="359">
        <f>-H1573*('DRE + DCF'!$V$33+K1573)/'DRE + DCF'!$V$33</f>
        <v>-90858.801614444121</v>
      </c>
      <c r="J1573" s="359">
        <f>-'DRE + DCF'!$V$56*L1573</f>
        <v>-1188924.4255577971</v>
      </c>
      <c r="K1573" s="360">
        <f>(1+L1573)/(1+Ke!$O$12)-1</f>
        <v>2.0000000000000018E-2</v>
      </c>
      <c r="L1573" s="360">
        <f>'DRE + DCF'!$Y$31</f>
        <v>7.3550000000000004E-2</v>
      </c>
      <c r="M1573" s="361">
        <f>(1+D1573)^((5-Dashboard!$F$9)*3/12)</f>
        <v>1.167997932428585</v>
      </c>
      <c r="N1573" s="361">
        <f t="shared" ref="N1573:V1573" si="1610">M1573*(1+$D1573)</f>
        <v>1.4366958567837691</v>
      </c>
      <c r="O1573" s="361">
        <f t="shared" si="1610"/>
        <v>1.7672077386368605</v>
      </c>
      <c r="P1573" s="361">
        <f t="shared" si="1610"/>
        <v>2.1737538789102526</v>
      </c>
      <c r="Q1573" s="361">
        <f t="shared" si="1610"/>
        <v>2.6738259587535342</v>
      </c>
      <c r="R1573" s="361">
        <f t="shared" si="1610"/>
        <v>3.2889396205647579</v>
      </c>
      <c r="S1573" s="361">
        <f t="shared" si="1610"/>
        <v>4.0455601802756469</v>
      </c>
      <c r="T1573" s="361">
        <f t="shared" si="1610"/>
        <v>4.9762412997480183</v>
      </c>
      <c r="U1573" s="361">
        <f t="shared" si="1610"/>
        <v>6.1210256107549998</v>
      </c>
      <c r="V1573" s="362">
        <f t="shared" si="1610"/>
        <v>7.5291675525091257</v>
      </c>
      <c r="X1573" s="351"/>
    </row>
    <row r="1574" spans="3:24" ht="24.75" customHeight="1" x14ac:dyDescent="0.3">
      <c r="C1574" s="353">
        <f>ABS(E1574-Dashboard!$F$14)</f>
        <v>15.080893256658072</v>
      </c>
      <c r="D1574" s="350">
        <f t="shared" si="1587"/>
        <v>0.23014999999998989</v>
      </c>
      <c r="E1574" s="359" cm="1">
        <f t="array" ref="E1574">1000*SUM('DRE + DCF'!$L$36/M1574,'DRE + DCF'!$N$36:$V$36/N1574:V1574,F1574/V1574)/Dashboard!$F$11</f>
        <v>81.909106743341923</v>
      </c>
      <c r="F1574" s="359">
        <f t="shared" si="1585"/>
        <v>11970886.765757447</v>
      </c>
      <c r="G1574" s="359">
        <f>'DRE + DCF'!$W$31</f>
        <v>2791623.3540418856</v>
      </c>
      <c r="H1574" s="359">
        <f>'DRE + DCF'!$W$32</f>
        <v>81081.931703745853</v>
      </c>
      <c r="I1574" s="359">
        <f>-H1574*('DRE + DCF'!$V$33+K1574)/'DRE + DCF'!$V$33</f>
        <v>-90858.801614444121</v>
      </c>
      <c r="J1574" s="359">
        <f>-'DRE + DCF'!$V$56*L1574</f>
        <v>-1188924.4255577971</v>
      </c>
      <c r="K1574" s="360">
        <f>(1+L1574)/(1+Ke!$O$12)-1</f>
        <v>2.0000000000000018E-2</v>
      </c>
      <c r="L1574" s="360">
        <f>'DRE + DCF'!$Y$31</f>
        <v>7.3550000000000004E-2</v>
      </c>
      <c r="M1574" s="361">
        <f>(1+D1574)^((5-Dashboard!$F$9)*3/12)</f>
        <v>1.1680691481960384</v>
      </c>
      <c r="N1574" s="361">
        <f t="shared" ref="N1574:V1574" si="1611">M1574*(1+$D1574)</f>
        <v>1.4369002626533447</v>
      </c>
      <c r="O1574" s="361">
        <f t="shared" si="1611"/>
        <v>1.7676028581029974</v>
      </c>
      <c r="P1574" s="361">
        <f t="shared" si="1611"/>
        <v>2.1744166558953846</v>
      </c>
      <c r="Q1574" s="361">
        <f t="shared" si="1611"/>
        <v>2.6748586492496851</v>
      </c>
      <c r="R1574" s="361">
        <f t="shared" si="1611"/>
        <v>3.2904773673744732</v>
      </c>
      <c r="S1574" s="361">
        <f t="shared" si="1611"/>
        <v>4.0477807334756752</v>
      </c>
      <c r="T1574" s="361">
        <f t="shared" si="1611"/>
        <v>4.979377469285061</v>
      </c>
      <c r="U1574" s="361">
        <f t="shared" si="1611"/>
        <v>6.1253811938409672</v>
      </c>
      <c r="V1574" s="362">
        <f t="shared" si="1611"/>
        <v>7.5351376756034041</v>
      </c>
      <c r="X1574" s="351"/>
    </row>
    <row r="1575" spans="3:24" ht="24.75" customHeight="1" x14ac:dyDescent="0.3">
      <c r="C1575" s="353">
        <f>ABS(E1575-Dashboard!$F$14)</f>
        <v>15.139134319026113</v>
      </c>
      <c r="D1575" s="350">
        <f t="shared" si="1587"/>
        <v>0.23024999999998988</v>
      </c>
      <c r="E1575" s="359" cm="1">
        <f t="array" ref="E1575">1000*SUM('DRE + DCF'!$L$36/M1575,'DRE + DCF'!$N$36:$V$36/N1575:V1575,F1575/V1575)/Dashboard!$F$11</f>
        <v>81.850865680973882</v>
      </c>
      <c r="F1575" s="359">
        <f t="shared" si="1585"/>
        <v>11964574.647865899</v>
      </c>
      <c r="G1575" s="359">
        <f>'DRE + DCF'!$W$31</f>
        <v>2791623.3540418856</v>
      </c>
      <c r="H1575" s="359">
        <f>'DRE + DCF'!$W$32</f>
        <v>81081.931703745853</v>
      </c>
      <c r="I1575" s="359">
        <f>-H1575*('DRE + DCF'!$V$33+K1575)/'DRE + DCF'!$V$33</f>
        <v>-90858.801614444121</v>
      </c>
      <c r="J1575" s="359">
        <f>-'DRE + DCF'!$V$56*L1575</f>
        <v>-1188924.4255577971</v>
      </c>
      <c r="K1575" s="360">
        <f>(1+L1575)/(1+Ke!$O$12)-1</f>
        <v>2.0000000000000018E-2</v>
      </c>
      <c r="L1575" s="360">
        <f>'DRE + DCF'!$Y$31</f>
        <v>7.3550000000000004E-2</v>
      </c>
      <c r="M1575" s="361">
        <f>(1+D1575)^((5-Dashboard!$F$9)*3/12)</f>
        <v>1.1681403625162081</v>
      </c>
      <c r="N1575" s="361">
        <f t="shared" ref="N1575:V1575" si="1612">M1575*(1+$D1575)</f>
        <v>1.4371046809855532</v>
      </c>
      <c r="O1575" s="361">
        <f t="shared" si="1612"/>
        <v>1.7679980337824623</v>
      </c>
      <c r="P1575" s="361">
        <f t="shared" si="1612"/>
        <v>2.1750795810608565</v>
      </c>
      <c r="Q1575" s="361">
        <f t="shared" si="1612"/>
        <v>2.6758916546000968</v>
      </c>
      <c r="R1575" s="361">
        <f t="shared" si="1612"/>
        <v>3.2920157080717418</v>
      </c>
      <c r="S1575" s="361">
        <f t="shared" si="1612"/>
        <v>4.0500023248552273</v>
      </c>
      <c r="T1575" s="361">
        <f t="shared" si="1612"/>
        <v>4.9825153601531023</v>
      </c>
      <c r="U1575" s="361">
        <f t="shared" si="1612"/>
        <v>6.1297395218283031</v>
      </c>
      <c r="V1575" s="362">
        <f t="shared" si="1612"/>
        <v>7.5411120467292072</v>
      </c>
      <c r="X1575" s="351"/>
    </row>
    <row r="1576" spans="3:24" ht="24.75" customHeight="1" x14ac:dyDescent="0.3">
      <c r="C1576" s="353">
        <f>ABS(E1576-Dashboard!$F$14)</f>
        <v>15.197303380683095</v>
      </c>
      <c r="D1576" s="350">
        <f t="shared" si="1587"/>
        <v>0.23034999999998987</v>
      </c>
      <c r="E1576" s="359" cm="1">
        <f t="array" ref="E1576">1000*SUM('DRE + DCF'!$L$36/M1576,'DRE + DCF'!$N$36:$V$36/N1576:V1576,F1576/V1576)/Dashboard!$F$11</f>
        <v>81.792696619316899</v>
      </c>
      <c r="F1576" s="359">
        <f t="shared" si="1585"/>
        <v>11958269.429504754</v>
      </c>
      <c r="G1576" s="359">
        <f>'DRE + DCF'!$W$31</f>
        <v>2791623.3540418856</v>
      </c>
      <c r="H1576" s="359">
        <f>'DRE + DCF'!$W$32</f>
        <v>81081.931703745853</v>
      </c>
      <c r="I1576" s="359">
        <f>-H1576*('DRE + DCF'!$V$33+K1576)/'DRE + DCF'!$V$33</f>
        <v>-90858.801614444121</v>
      </c>
      <c r="J1576" s="359">
        <f>-'DRE + DCF'!$V$56*L1576</f>
        <v>-1188924.4255577971</v>
      </c>
      <c r="K1576" s="360">
        <f>(1+L1576)/(1+Ke!$O$12)-1</f>
        <v>2.0000000000000018E-2</v>
      </c>
      <c r="L1576" s="360">
        <f>'DRE + DCF'!$Y$31</f>
        <v>7.3550000000000004E-2</v>
      </c>
      <c r="M1576" s="361">
        <f>(1+D1576)^((5-Dashboard!$F$9)*3/12)</f>
        <v>1.168211575389241</v>
      </c>
      <c r="N1576" s="361">
        <f t="shared" ref="N1576:V1576" si="1613">M1576*(1+$D1576)</f>
        <v>1.4373091117801409</v>
      </c>
      <c r="O1576" s="361">
        <f t="shared" si="1613"/>
        <v>1.7683932656786818</v>
      </c>
      <c r="P1576" s="361">
        <f t="shared" si="1613"/>
        <v>2.1757426544277481</v>
      </c>
      <c r="Q1576" s="361">
        <f t="shared" si="1613"/>
        <v>2.6769249748751576</v>
      </c>
      <c r="R1576" s="361">
        <f t="shared" si="1613"/>
        <v>3.293554642837623</v>
      </c>
      <c r="S1576" s="361">
        <f t="shared" si="1613"/>
        <v>4.0522249548152356</v>
      </c>
      <c r="T1576" s="361">
        <f t="shared" si="1613"/>
        <v>4.9856549731568842</v>
      </c>
      <c r="U1576" s="361">
        <f t="shared" si="1613"/>
        <v>6.1341005962235222</v>
      </c>
      <c r="V1576" s="362">
        <f t="shared" si="1613"/>
        <v>7.5470906685635484</v>
      </c>
      <c r="X1576" s="351"/>
    </row>
    <row r="1577" spans="3:24" ht="24.75" customHeight="1" x14ac:dyDescent="0.3">
      <c r="C1577" s="353">
        <f>ABS(E1577-Dashboard!$F$14)</f>
        <v>15.255400566928714</v>
      </c>
      <c r="D1577" s="350">
        <f t="shared" si="1587"/>
        <v>0.23044999999998986</v>
      </c>
      <c r="E1577" s="359" cm="1">
        <f t="array" ref="E1577">1000*SUM('DRE + DCF'!$L$36/M1577,'DRE + DCF'!$N$36:$V$36/N1577:V1577,F1577/V1577)/Dashboard!$F$11</f>
        <v>81.734599433071281</v>
      </c>
      <c r="F1577" s="359">
        <f t="shared" si="1585"/>
        <v>11951971.098980045</v>
      </c>
      <c r="G1577" s="359">
        <f>'DRE + DCF'!$W$31</f>
        <v>2791623.3540418856</v>
      </c>
      <c r="H1577" s="359">
        <f>'DRE + DCF'!$W$32</f>
        <v>81081.931703745853</v>
      </c>
      <c r="I1577" s="359">
        <f>-H1577*('DRE + DCF'!$V$33+K1577)/'DRE + DCF'!$V$33</f>
        <v>-90858.801614444121</v>
      </c>
      <c r="J1577" s="359">
        <f>-'DRE + DCF'!$V$56*L1577</f>
        <v>-1188924.4255577971</v>
      </c>
      <c r="K1577" s="360">
        <f>(1+L1577)/(1+Ke!$O$12)-1</f>
        <v>2.0000000000000018E-2</v>
      </c>
      <c r="L1577" s="360">
        <f>'DRE + DCF'!$Y$31</f>
        <v>7.3550000000000004E-2</v>
      </c>
      <c r="M1577" s="361">
        <f>(1+D1577)^((5-Dashboard!$F$9)*3/12)</f>
        <v>1.1682827868152845</v>
      </c>
      <c r="N1577" s="361">
        <f t="shared" ref="N1577:V1577" si="1614">M1577*(1+$D1577)</f>
        <v>1.437513555036855</v>
      </c>
      <c r="O1577" s="361">
        <f t="shared" si="1614"/>
        <v>1.7687885537950836</v>
      </c>
      <c r="P1577" s="361">
        <f t="shared" si="1614"/>
        <v>2.1764058760171427</v>
      </c>
      <c r="Q1577" s="361">
        <f t="shared" si="1614"/>
        <v>2.677958610145271</v>
      </c>
      <c r="R1577" s="361">
        <f t="shared" si="1614"/>
        <v>3.2950941718532216</v>
      </c>
      <c r="S1577" s="361">
        <f t="shared" si="1614"/>
        <v>4.0544486237567634</v>
      </c>
      <c r="T1577" s="361">
        <f t="shared" si="1614"/>
        <v>4.9887963091014687</v>
      </c>
      <c r="U1577" s="361">
        <f t="shared" si="1614"/>
        <v>6.1384644185338511</v>
      </c>
      <c r="V1577" s="362">
        <f t="shared" si="1614"/>
        <v>7.5530735437849144</v>
      </c>
      <c r="X1577" s="351"/>
    </row>
    <row r="1578" spans="3:24" ht="24.75" customHeight="1" x14ac:dyDescent="0.3">
      <c r="C1578" s="353">
        <f>ABS(E1578-Dashboard!$F$14)</f>
        <v>15.31342600277641</v>
      </c>
      <c r="D1578" s="350">
        <f t="shared" si="1587"/>
        <v>0.23054999999998985</v>
      </c>
      <c r="E1578" s="359" cm="1">
        <f t="array" ref="E1578">1000*SUM('DRE + DCF'!$L$36/M1578,'DRE + DCF'!$N$36:$V$36/N1578:V1578,F1578/V1578)/Dashboard!$F$11</f>
        <v>81.676573997223585</v>
      </c>
      <c r="F1578" s="359">
        <f t="shared" si="1585"/>
        <v>11945679.644624999</v>
      </c>
      <c r="G1578" s="359">
        <f>'DRE + DCF'!$W$31</f>
        <v>2791623.3540418856</v>
      </c>
      <c r="H1578" s="359">
        <f>'DRE + DCF'!$W$32</f>
        <v>81081.931703745853</v>
      </c>
      <c r="I1578" s="359">
        <f>-H1578*('DRE + DCF'!$V$33+K1578)/'DRE + DCF'!$V$33</f>
        <v>-90858.801614444121</v>
      </c>
      <c r="J1578" s="359">
        <f>-'DRE + DCF'!$V$56*L1578</f>
        <v>-1188924.4255577971</v>
      </c>
      <c r="K1578" s="360">
        <f>(1+L1578)/(1+Ke!$O$12)-1</f>
        <v>2.0000000000000018E-2</v>
      </c>
      <c r="L1578" s="360">
        <f>'DRE + DCF'!$Y$31</f>
        <v>7.3550000000000004E-2</v>
      </c>
      <c r="M1578" s="361">
        <f>(1+D1578)^((5-Dashboard!$F$9)*3/12)</f>
        <v>1.1683539967944852</v>
      </c>
      <c r="N1578" s="361">
        <f t="shared" ref="N1578:V1578" si="1615">M1578*(1+$D1578)</f>
        <v>1.4377180107554417</v>
      </c>
      <c r="O1578" s="361">
        <f t="shared" si="1615"/>
        <v>1.7691838981350942</v>
      </c>
      <c r="P1578" s="361">
        <f t="shared" si="1615"/>
        <v>2.1770692458501224</v>
      </c>
      <c r="Q1578" s="361">
        <f t="shared" si="1615"/>
        <v>2.6789925604808458</v>
      </c>
      <c r="R1578" s="361">
        <f t="shared" si="1615"/>
        <v>3.2966342952996777</v>
      </c>
      <c r="S1578" s="361">
        <f t="shared" si="1615"/>
        <v>4.0566733320809849</v>
      </c>
      <c r="T1578" s="361">
        <f t="shared" si="1615"/>
        <v>4.9919393687922149</v>
      </c>
      <c r="U1578" s="361">
        <f t="shared" si="1615"/>
        <v>6.1428309902672096</v>
      </c>
      <c r="V1578" s="362">
        <f t="shared" si="1615"/>
        <v>7.5590606750732521</v>
      </c>
      <c r="X1578" s="351"/>
    </row>
    <row r="1579" spans="3:24" ht="24.75" customHeight="1" x14ac:dyDescent="0.3">
      <c r="C1579" s="353">
        <f>ABS(E1579-Dashboard!$F$14)</f>
        <v>15.371379812954359</v>
      </c>
      <c r="D1579" s="350">
        <f t="shared" si="1587"/>
        <v>0.23064999999998984</v>
      </c>
      <c r="E1579" s="359" cm="1">
        <f t="array" ref="E1579">1000*SUM('DRE + DCF'!$L$36/M1579,'DRE + DCF'!$N$36:$V$36/N1579:V1579,F1579/V1579)/Dashboard!$F$11</f>
        <v>81.618620187045636</v>
      </c>
      <c r="F1579" s="359">
        <f t="shared" si="1585"/>
        <v>11939395.054799955</v>
      </c>
      <c r="G1579" s="359">
        <f>'DRE + DCF'!$W$31</f>
        <v>2791623.3540418856</v>
      </c>
      <c r="H1579" s="359">
        <f>'DRE + DCF'!$W$32</f>
        <v>81081.931703745853</v>
      </c>
      <c r="I1579" s="359">
        <f>-H1579*('DRE + DCF'!$V$33+K1579)/'DRE + DCF'!$V$33</f>
        <v>-90858.801614444121</v>
      </c>
      <c r="J1579" s="359">
        <f>-'DRE + DCF'!$V$56*L1579</f>
        <v>-1188924.4255577971</v>
      </c>
      <c r="K1579" s="360">
        <f>(1+L1579)/(1+Ke!$O$12)-1</f>
        <v>2.0000000000000018E-2</v>
      </c>
      <c r="L1579" s="360">
        <f>'DRE + DCF'!$Y$31</f>
        <v>7.3550000000000004E-2</v>
      </c>
      <c r="M1579" s="361">
        <f>(1+D1579)^((5-Dashboard!$F$9)*3/12)</f>
        <v>1.1684252053269901</v>
      </c>
      <c r="N1579" s="361">
        <f t="shared" ref="N1579:V1579" si="1616">M1579*(1+$D1579)</f>
        <v>1.4379224789356484</v>
      </c>
      <c r="O1579" s="361">
        <f t="shared" si="1616"/>
        <v>1.769579298702141</v>
      </c>
      <c r="P1579" s="361">
        <f t="shared" si="1616"/>
        <v>2.1777327639477719</v>
      </c>
      <c r="Q1579" s="361">
        <f t="shared" si="1616"/>
        <v>2.6800268259523032</v>
      </c>
      <c r="R1579" s="361">
        <f t="shared" si="1616"/>
        <v>3.2981750133581746</v>
      </c>
      <c r="S1579" s="361">
        <f t="shared" si="1616"/>
        <v>4.058899080189204</v>
      </c>
      <c r="T1579" s="361">
        <f t="shared" si="1616"/>
        <v>4.9950841530348029</v>
      </c>
      <c r="U1579" s="361">
        <f t="shared" si="1616"/>
        <v>6.1472003129322292</v>
      </c>
      <c r="V1579" s="362">
        <f t="shared" si="1616"/>
        <v>7.5650520651099855</v>
      </c>
      <c r="X1579" s="351"/>
    </row>
    <row r="1580" spans="3:24" ht="24.75" customHeight="1" x14ac:dyDescent="0.3">
      <c r="C1580" s="353">
        <f>ABS(E1580-Dashboard!$F$14)</f>
        <v>15.42926212190622</v>
      </c>
      <c r="D1580" s="350">
        <f t="shared" si="1587"/>
        <v>0.23074999999998982</v>
      </c>
      <c r="E1580" s="359" cm="1">
        <f t="array" ref="E1580">1000*SUM('DRE + DCF'!$L$36/M1580,'DRE + DCF'!$N$36:$V$36/N1580:V1580,F1580/V1580)/Dashboard!$F$11</f>
        <v>81.560737878093775</v>
      </c>
      <c r="F1580" s="359">
        <f t="shared" si="1585"/>
        <v>11933117.317892298</v>
      </c>
      <c r="G1580" s="359">
        <f>'DRE + DCF'!$W$31</f>
        <v>2791623.3540418856</v>
      </c>
      <c r="H1580" s="359">
        <f>'DRE + DCF'!$W$32</f>
        <v>81081.931703745853</v>
      </c>
      <c r="I1580" s="359">
        <f>-H1580*('DRE + DCF'!$V$33+K1580)/'DRE + DCF'!$V$33</f>
        <v>-90858.801614444121</v>
      </c>
      <c r="J1580" s="359">
        <f>-'DRE + DCF'!$V$56*L1580</f>
        <v>-1188924.4255577971</v>
      </c>
      <c r="K1580" s="360">
        <f>(1+L1580)/(1+Ke!$O$12)-1</f>
        <v>2.0000000000000018E-2</v>
      </c>
      <c r="L1580" s="360">
        <f>'DRE + DCF'!$Y$31</f>
        <v>7.3550000000000004E-2</v>
      </c>
      <c r="M1580" s="361">
        <f>(1+D1580)^((5-Dashboard!$F$9)*3/12)</f>
        <v>1.1684964124129464</v>
      </c>
      <c r="N1580" s="361">
        <f t="shared" ref="N1580:V1580" si="1617">M1580*(1+$D1580)</f>
        <v>1.4381269595772219</v>
      </c>
      <c r="O1580" s="361">
        <f t="shared" si="1617"/>
        <v>1.7699747554996512</v>
      </c>
      <c r="P1580" s="361">
        <f t="shared" si="1617"/>
        <v>2.1783964303311776</v>
      </c>
      <c r="Q1580" s="361">
        <f t="shared" si="1617"/>
        <v>2.6810614066300746</v>
      </c>
      <c r="R1580" s="361">
        <f t="shared" si="1617"/>
        <v>3.2997163262099369</v>
      </c>
      <c r="S1580" s="361">
        <f t="shared" si="1617"/>
        <v>4.0611258684828462</v>
      </c>
      <c r="T1580" s="361">
        <f t="shared" si="1617"/>
        <v>4.9982306626352218</v>
      </c>
      <c r="U1580" s="361">
        <f t="shared" si="1617"/>
        <v>6.1515723880382485</v>
      </c>
      <c r="V1580" s="362">
        <f t="shared" si="1617"/>
        <v>7.5710477165780112</v>
      </c>
      <c r="X1580" s="351"/>
    </row>
    <row r="1581" spans="3:24" ht="24.75" customHeight="1" x14ac:dyDescent="0.3">
      <c r="C1581" s="353">
        <f>ABS(E1581-Dashboard!$F$14)</f>
        <v>15.487073053791903</v>
      </c>
      <c r="D1581" s="350">
        <f t="shared" si="1587"/>
        <v>0.23084999999998981</v>
      </c>
      <c r="E1581" s="359" cm="1">
        <f t="array" ref="E1581">1000*SUM('DRE + DCF'!$L$36/M1581,'DRE + DCF'!$N$36:$V$36/N1581:V1581,F1581/V1581)/Dashboard!$F$11</f>
        <v>81.502926946208092</v>
      </c>
      <c r="F1581" s="359">
        <f t="shared" si="1585"/>
        <v>11926846.422316354</v>
      </c>
      <c r="G1581" s="359">
        <f>'DRE + DCF'!$W$31</f>
        <v>2791623.3540418856</v>
      </c>
      <c r="H1581" s="359">
        <f>'DRE + DCF'!$W$32</f>
        <v>81081.931703745853</v>
      </c>
      <c r="I1581" s="359">
        <f>-H1581*('DRE + DCF'!$V$33+K1581)/'DRE + DCF'!$V$33</f>
        <v>-90858.801614444121</v>
      </c>
      <c r="J1581" s="359">
        <f>-'DRE + DCF'!$V$56*L1581</f>
        <v>-1188924.4255577971</v>
      </c>
      <c r="K1581" s="360">
        <f>(1+L1581)/(1+Ke!$O$12)-1</f>
        <v>2.0000000000000018E-2</v>
      </c>
      <c r="L1581" s="360">
        <f>'DRE + DCF'!$Y$31</f>
        <v>7.3550000000000004E-2</v>
      </c>
      <c r="M1581" s="361">
        <f>(1+D1581)^((5-Dashboard!$F$9)*3/12)</f>
        <v>1.1685676180525009</v>
      </c>
      <c r="N1581" s="361">
        <f t="shared" ref="N1581:V1581" si="1618">M1581*(1+$D1581)</f>
        <v>1.4383314526799087</v>
      </c>
      <c r="O1581" s="361">
        <f t="shared" si="1618"/>
        <v>1.770370268531051</v>
      </c>
      <c r="P1581" s="361">
        <f t="shared" si="1618"/>
        <v>2.179060245021426</v>
      </c>
      <c r="Q1581" s="361">
        <f t="shared" si="1618"/>
        <v>2.6820963025846001</v>
      </c>
      <c r="R1581" s="361">
        <f t="shared" si="1618"/>
        <v>3.3012582340362275</v>
      </c>
      <c r="S1581" s="361">
        <f t="shared" si="1618"/>
        <v>4.063353697363457</v>
      </c>
      <c r="T1581" s="361">
        <f t="shared" si="1618"/>
        <v>5.0013788983997696</v>
      </c>
      <c r="U1581" s="361">
        <f t="shared" si="1618"/>
        <v>6.1559472170953056</v>
      </c>
      <c r="V1581" s="362">
        <f t="shared" si="1618"/>
        <v>7.577047632161694</v>
      </c>
      <c r="X1581" s="351"/>
    </row>
    <row r="1582" spans="3:24" ht="24.75" customHeight="1" x14ac:dyDescent="0.3">
      <c r="C1582" s="353">
        <f>ABS(E1582-Dashboard!$F$14)</f>
        <v>15.544812732488495</v>
      </c>
      <c r="D1582" s="350">
        <f t="shared" si="1587"/>
        <v>0.2309499999999898</v>
      </c>
      <c r="E1582" s="359" cm="1">
        <f t="array" ref="E1582">1000*SUM('DRE + DCF'!$L$36/M1582,'DRE + DCF'!$N$36:$V$36/N1582:V1582,F1582/V1582)/Dashboard!$F$11</f>
        <v>81.4451872675115</v>
      </c>
      <c r="F1582" s="359">
        <f t="shared" si="1585"/>
        <v>11920582.356513325</v>
      </c>
      <c r="G1582" s="359">
        <f>'DRE + DCF'!$W$31</f>
        <v>2791623.3540418856</v>
      </c>
      <c r="H1582" s="359">
        <f>'DRE + DCF'!$W$32</f>
        <v>81081.931703745853</v>
      </c>
      <c r="I1582" s="359">
        <f>-H1582*('DRE + DCF'!$V$33+K1582)/'DRE + DCF'!$V$33</f>
        <v>-90858.801614444121</v>
      </c>
      <c r="J1582" s="359">
        <f>-'DRE + DCF'!$V$56*L1582</f>
        <v>-1188924.4255577971</v>
      </c>
      <c r="K1582" s="360">
        <f>(1+L1582)/(1+Ke!$O$12)-1</f>
        <v>2.0000000000000018E-2</v>
      </c>
      <c r="L1582" s="360">
        <f>'DRE + DCF'!$Y$31</f>
        <v>7.3550000000000004E-2</v>
      </c>
      <c r="M1582" s="361">
        <f>(1+D1582)^((5-Dashboard!$F$9)*3/12)</f>
        <v>1.1686388222458002</v>
      </c>
      <c r="N1582" s="361">
        <f t="shared" ref="N1582:V1582" si="1619">M1582*(1+$D1582)</f>
        <v>1.4385359582434558</v>
      </c>
      <c r="O1582" s="361">
        <f t="shared" si="1619"/>
        <v>1.7707658377997673</v>
      </c>
      <c r="P1582" s="361">
        <f t="shared" si="1619"/>
        <v>2.1797242080396053</v>
      </c>
      <c r="Q1582" s="361">
        <f t="shared" si="1619"/>
        <v>2.6831315138863299</v>
      </c>
      <c r="R1582" s="361">
        <f t="shared" si="1619"/>
        <v>3.3028007370183503</v>
      </c>
      <c r="S1582" s="361">
        <f t="shared" si="1619"/>
        <v>4.0655825672327044</v>
      </c>
      <c r="T1582" s="361">
        <f t="shared" si="1619"/>
        <v>5.0045288611350562</v>
      </c>
      <c r="U1582" s="361">
        <f t="shared" si="1619"/>
        <v>6.1603248016141459</v>
      </c>
      <c r="V1582" s="362">
        <f t="shared" si="1619"/>
        <v>7.5830518145468702</v>
      </c>
      <c r="X1582" s="351"/>
    </row>
    <row r="1583" spans="3:24" ht="24.75" customHeight="1" x14ac:dyDescent="0.3">
      <c r="C1583" s="353">
        <f>ABS(E1583-Dashboard!$F$14)</f>
        <v>15.602481281591039</v>
      </c>
      <c r="D1583" s="350">
        <f t="shared" si="1587"/>
        <v>0.23104999999998979</v>
      </c>
      <c r="E1583" s="359" cm="1">
        <f t="array" ref="E1583">1000*SUM('DRE + DCF'!$L$36/M1583,'DRE + DCF'!$N$36:$V$36/N1583:V1583,F1583/V1583)/Dashboard!$F$11</f>
        <v>81.387518718408955</v>
      </c>
      <c r="F1583" s="359">
        <f t="shared" si="1585"/>
        <v>11914325.108951211</v>
      </c>
      <c r="G1583" s="359">
        <f>'DRE + DCF'!$W$31</f>
        <v>2791623.3540418856</v>
      </c>
      <c r="H1583" s="359">
        <f>'DRE + DCF'!$W$32</f>
        <v>81081.931703745853</v>
      </c>
      <c r="I1583" s="359">
        <f>-H1583*('DRE + DCF'!$V$33+K1583)/'DRE + DCF'!$V$33</f>
        <v>-90858.801614444121</v>
      </c>
      <c r="J1583" s="359">
        <f>-'DRE + DCF'!$V$56*L1583</f>
        <v>-1188924.4255577971</v>
      </c>
      <c r="K1583" s="360">
        <f>(1+L1583)/(1+Ke!$O$12)-1</f>
        <v>2.0000000000000018E-2</v>
      </c>
      <c r="L1583" s="360">
        <f>'DRE + DCF'!$Y$31</f>
        <v>7.3550000000000004E-2</v>
      </c>
      <c r="M1583" s="361">
        <f>(1+D1583)^((5-Dashboard!$F$9)*3/12)</f>
        <v>1.1687100249929916</v>
      </c>
      <c r="N1583" s="361">
        <f t="shared" ref="N1583:V1583" si="1620">M1583*(1+$D1583)</f>
        <v>1.4387404762676104</v>
      </c>
      <c r="O1583" s="361">
        <f t="shared" si="1620"/>
        <v>1.771161463309227</v>
      </c>
      <c r="P1583" s="361">
        <f t="shared" si="1620"/>
        <v>2.1803883194068057</v>
      </c>
      <c r="Q1583" s="361">
        <f t="shared" si="1620"/>
        <v>2.6841670406057259</v>
      </c>
      <c r="R1583" s="361">
        <f t="shared" si="1620"/>
        <v>3.3043438353376513</v>
      </c>
      <c r="S1583" s="361">
        <f t="shared" si="1620"/>
        <v>4.0678124784923817</v>
      </c>
      <c r="T1583" s="361">
        <f t="shared" si="1620"/>
        <v>5.0076805516480052</v>
      </c>
      <c r="U1583" s="361">
        <f t="shared" si="1620"/>
        <v>6.1647051431062252</v>
      </c>
      <c r="V1583" s="362">
        <f t="shared" si="1620"/>
        <v>7.5890602664208551</v>
      </c>
      <c r="X1583" s="351"/>
    </row>
    <row r="1584" spans="3:24" ht="24.75" customHeight="1" x14ac:dyDescent="0.3">
      <c r="C1584" s="353">
        <f>ABS(E1584-Dashboard!$F$14)</f>
        <v>15.660078824413191</v>
      </c>
      <c r="D1584" s="350">
        <f t="shared" si="1587"/>
        <v>0.23114999999998978</v>
      </c>
      <c r="E1584" s="359" cm="1">
        <f t="array" ref="E1584">1000*SUM('DRE + DCF'!$L$36/M1584,'DRE + DCF'!$N$36:$V$36/N1584:V1584,F1584/V1584)/Dashboard!$F$11</f>
        <v>81.329921175586804</v>
      </c>
      <c r="F1584" s="359">
        <f t="shared" si="1585"/>
        <v>11908074.66812473</v>
      </c>
      <c r="G1584" s="359">
        <f>'DRE + DCF'!$W$31</f>
        <v>2791623.3540418856</v>
      </c>
      <c r="H1584" s="359">
        <f>'DRE + DCF'!$W$32</f>
        <v>81081.931703745853</v>
      </c>
      <c r="I1584" s="359">
        <f>-H1584*('DRE + DCF'!$V$33+K1584)/'DRE + DCF'!$V$33</f>
        <v>-90858.801614444121</v>
      </c>
      <c r="J1584" s="359">
        <f>-'DRE + DCF'!$V$56*L1584</f>
        <v>-1188924.4255577971</v>
      </c>
      <c r="K1584" s="360">
        <f>(1+L1584)/(1+Ke!$O$12)-1</f>
        <v>2.0000000000000018E-2</v>
      </c>
      <c r="L1584" s="360">
        <f>'DRE + DCF'!$Y$31</f>
        <v>7.3550000000000004E-2</v>
      </c>
      <c r="M1584" s="361">
        <f>(1+D1584)^((5-Dashboard!$F$9)*3/12)</f>
        <v>1.1687812262942217</v>
      </c>
      <c r="N1584" s="361">
        <f t="shared" ref="N1584:V1584" si="1621">M1584*(1+$D1584)</f>
        <v>1.438945006752119</v>
      </c>
      <c r="O1584" s="361">
        <f t="shared" si="1621"/>
        <v>1.7715571450628567</v>
      </c>
      <c r="P1584" s="361">
        <f t="shared" si="1621"/>
        <v>2.1810525791441178</v>
      </c>
      <c r="Q1584" s="361">
        <f t="shared" si="1621"/>
        <v>2.6852028828132584</v>
      </c>
      <c r="R1584" s="361">
        <f t="shared" si="1621"/>
        <v>3.3058875291755156</v>
      </c>
      <c r="S1584" s="361">
        <f t="shared" si="1621"/>
        <v>4.0700434315444021</v>
      </c>
      <c r="T1584" s="361">
        <f t="shared" si="1621"/>
        <v>5.0108339707458489</v>
      </c>
      <c r="U1584" s="361">
        <f t="shared" si="1621"/>
        <v>6.1690882430837002</v>
      </c>
      <c r="V1584" s="362">
        <f t="shared" si="1621"/>
        <v>7.5950729904724339</v>
      </c>
      <c r="X1584" s="351"/>
    </row>
    <row r="1585" spans="3:24" ht="24.75" customHeight="1" x14ac:dyDescent="0.3">
      <c r="C1585" s="353">
        <f>ABS(E1585-Dashboard!$F$14)</f>
        <v>15.717605483988351</v>
      </c>
      <c r="D1585" s="350">
        <f t="shared" si="1587"/>
        <v>0.23124999999998977</v>
      </c>
      <c r="E1585" s="359" cm="1">
        <f t="array" ref="E1585">1000*SUM('DRE + DCF'!$L$36/M1585,'DRE + DCF'!$N$36:$V$36/N1585:V1585,F1585/V1585)/Dashboard!$F$11</f>
        <v>81.272394516011644</v>
      </c>
      <c r="F1585" s="359">
        <f t="shared" si="1585"/>
        <v>11901831.022555226</v>
      </c>
      <c r="G1585" s="359">
        <f>'DRE + DCF'!$W$31</f>
        <v>2791623.3540418856</v>
      </c>
      <c r="H1585" s="359">
        <f>'DRE + DCF'!$W$32</f>
        <v>81081.931703745853</v>
      </c>
      <c r="I1585" s="359">
        <f>-H1585*('DRE + DCF'!$V$33+K1585)/'DRE + DCF'!$V$33</f>
        <v>-90858.801614444121</v>
      </c>
      <c r="J1585" s="359">
        <f>-'DRE + DCF'!$V$56*L1585</f>
        <v>-1188924.4255577971</v>
      </c>
      <c r="K1585" s="360">
        <f>(1+L1585)/(1+Ke!$O$12)-1</f>
        <v>2.0000000000000018E-2</v>
      </c>
      <c r="L1585" s="360">
        <f>'DRE + DCF'!$Y$31</f>
        <v>7.3550000000000004E-2</v>
      </c>
      <c r="M1585" s="361">
        <f>(1+D1585)^((5-Dashboard!$F$9)*3/12)</f>
        <v>1.1688524261496374</v>
      </c>
      <c r="N1585" s="361">
        <f t="shared" ref="N1585:V1585" si="1622">M1585*(1+$D1585)</f>
        <v>1.439149549696729</v>
      </c>
      <c r="O1585" s="361">
        <f t="shared" si="1622"/>
        <v>1.7719528830640829</v>
      </c>
      <c r="P1585" s="361">
        <f t="shared" si="1622"/>
        <v>2.1817169872726341</v>
      </c>
      <c r="Q1585" s="361">
        <f t="shared" si="1622"/>
        <v>2.6862390405794083</v>
      </c>
      <c r="R1585" s="361">
        <f t="shared" si="1622"/>
        <v>3.3074318187133689</v>
      </c>
      <c r="S1585" s="361">
        <f t="shared" si="1622"/>
        <v>4.0722754267908012</v>
      </c>
      <c r="T1585" s="361">
        <f t="shared" si="1622"/>
        <v>5.0139891192361326</v>
      </c>
      <c r="U1585" s="361">
        <f t="shared" si="1622"/>
        <v>6.1734741030594371</v>
      </c>
      <c r="V1585" s="362">
        <f t="shared" si="1622"/>
        <v>7.6010899893918689</v>
      </c>
      <c r="X1585" s="351"/>
    </row>
    <row r="1586" spans="3:24" ht="24.75" customHeight="1" x14ac:dyDescent="0.3">
      <c r="C1586" s="353">
        <f>ABS(E1586-Dashboard!$F$14)</f>
        <v>15.775061383070096</v>
      </c>
      <c r="D1586" s="350">
        <f t="shared" si="1587"/>
        <v>0.23134999999998976</v>
      </c>
      <c r="E1586" s="359" cm="1">
        <f t="array" ref="E1586">1000*SUM('DRE + DCF'!$L$36/M1586,'DRE + DCF'!$N$36:$V$36/N1586:V1586,F1586/V1586)/Dashboard!$F$11</f>
        <v>81.214938616929899</v>
      </c>
      <c r="F1586" s="359">
        <f t="shared" si="1585"/>
        <v>11895594.160790607</v>
      </c>
      <c r="G1586" s="359">
        <f>'DRE + DCF'!$W$31</f>
        <v>2791623.3540418856</v>
      </c>
      <c r="H1586" s="359">
        <f>'DRE + DCF'!$W$32</f>
        <v>81081.931703745853</v>
      </c>
      <c r="I1586" s="359">
        <f>-H1586*('DRE + DCF'!$V$33+K1586)/'DRE + DCF'!$V$33</f>
        <v>-90858.801614444121</v>
      </c>
      <c r="J1586" s="359">
        <f>-'DRE + DCF'!$V$56*L1586</f>
        <v>-1188924.4255577971</v>
      </c>
      <c r="K1586" s="360">
        <f>(1+L1586)/(1+Ke!$O$12)-1</f>
        <v>2.0000000000000018E-2</v>
      </c>
      <c r="L1586" s="360">
        <f>'DRE + DCF'!$Y$31</f>
        <v>7.3550000000000004E-2</v>
      </c>
      <c r="M1586" s="361">
        <f>(1+D1586)^((5-Dashboard!$F$9)*3/12)</f>
        <v>1.1689236245593853</v>
      </c>
      <c r="N1586" s="361">
        <f t="shared" ref="N1586:V1586" si="1623">M1586*(1+$D1586)</f>
        <v>1.4393541051011871</v>
      </c>
      <c r="O1586" s="361">
        <f t="shared" si="1623"/>
        <v>1.7723486773163319</v>
      </c>
      <c r="P1586" s="361">
        <f t="shared" si="1623"/>
        <v>2.1823815438134471</v>
      </c>
      <c r="Q1586" s="361">
        <f t="shared" si="1623"/>
        <v>2.6872755139746656</v>
      </c>
      <c r="R1586" s="361">
        <f t="shared" si="1623"/>
        <v>3.308976704132677</v>
      </c>
      <c r="S1586" s="361">
        <f t="shared" si="1623"/>
        <v>4.0745084646337375</v>
      </c>
      <c r="T1586" s="361">
        <f t="shared" si="1623"/>
        <v>5.0171459979267112</v>
      </c>
      <c r="U1586" s="361">
        <f t="shared" si="1623"/>
        <v>6.1778627245470039</v>
      </c>
      <c r="V1586" s="362">
        <f t="shared" si="1623"/>
        <v>7.6071112658708895</v>
      </c>
      <c r="X1586" s="351"/>
    </row>
    <row r="1587" spans="3:24" ht="24.75" customHeight="1" x14ac:dyDescent="0.3">
      <c r="C1587" s="353">
        <f>ABS(E1587-Dashboard!$F$14)</f>
        <v>15.83244664413327</v>
      </c>
      <c r="D1587" s="350">
        <f t="shared" si="1587"/>
        <v>0.23144999999998975</v>
      </c>
      <c r="E1587" s="359" cm="1">
        <f t="array" ref="E1587">1000*SUM('DRE + DCF'!$L$36/M1587,'DRE + DCF'!$N$36:$V$36/N1587:V1587,F1587/V1587)/Dashboard!$F$11</f>
        <v>81.157553355866725</v>
      </c>
      <c r="F1587" s="359">
        <f t="shared" si="1585"/>
        <v>11889364.071405254</v>
      </c>
      <c r="G1587" s="359">
        <f>'DRE + DCF'!$W$31</f>
        <v>2791623.3540418856</v>
      </c>
      <c r="H1587" s="359">
        <f>'DRE + DCF'!$W$32</f>
        <v>81081.931703745853</v>
      </c>
      <c r="I1587" s="359">
        <f>-H1587*('DRE + DCF'!$V$33+K1587)/'DRE + DCF'!$V$33</f>
        <v>-90858.801614444121</v>
      </c>
      <c r="J1587" s="359">
        <f>-'DRE + DCF'!$V$56*L1587</f>
        <v>-1188924.4255577971</v>
      </c>
      <c r="K1587" s="360">
        <f>(1+L1587)/(1+Ke!$O$12)-1</f>
        <v>2.0000000000000018E-2</v>
      </c>
      <c r="L1587" s="360">
        <f>'DRE + DCF'!$Y$31</f>
        <v>7.3550000000000004E-2</v>
      </c>
      <c r="M1587" s="361">
        <f>(1+D1587)^((5-Dashboard!$F$9)*3/12)</f>
        <v>1.1689948215236123</v>
      </c>
      <c r="N1587" s="361">
        <f t="shared" ref="N1587:V1587" si="1624">M1587*(1+$D1587)</f>
        <v>1.4395586729652403</v>
      </c>
      <c r="O1587" s="361">
        <f t="shared" si="1624"/>
        <v>1.7727445278230305</v>
      </c>
      <c r="P1587" s="361">
        <f t="shared" si="1624"/>
        <v>2.1830462487876527</v>
      </c>
      <c r="Q1587" s="361">
        <f t="shared" si="1624"/>
        <v>2.6883123030695324</v>
      </c>
      <c r="R1587" s="361">
        <f t="shared" si="1624"/>
        <v>3.310522185614948</v>
      </c>
      <c r="S1587" s="361">
        <f t="shared" si="1624"/>
        <v>4.0767425454754935</v>
      </c>
      <c r="T1587" s="361">
        <f t="shared" si="1624"/>
        <v>5.0203046076257545</v>
      </c>
      <c r="U1587" s="361">
        <f t="shared" si="1624"/>
        <v>6.1822541090606835</v>
      </c>
      <c r="V1587" s="362">
        <f t="shared" si="1624"/>
        <v>7.6131368226027147</v>
      </c>
      <c r="X1587" s="351"/>
    </row>
    <row r="1588" spans="3:24" ht="24.75" customHeight="1" x14ac:dyDescent="0.3">
      <c r="C1588" s="353">
        <f>ABS(E1588-Dashboard!$F$14)</f>
        <v>15.889761389374613</v>
      </c>
      <c r="D1588" s="350">
        <f t="shared" si="1587"/>
        <v>0.23154999999998974</v>
      </c>
      <c r="E1588" s="359" cm="1">
        <f t="array" ref="E1588">1000*SUM('DRE + DCF'!$L$36/M1588,'DRE + DCF'!$N$36:$V$36/N1588:V1588,F1588/V1588)/Dashboard!$F$11</f>
        <v>81.100238610625382</v>
      </c>
      <c r="F1588" s="359">
        <f t="shared" si="1585"/>
        <v>11883140.74299995</v>
      </c>
      <c r="G1588" s="359">
        <f>'DRE + DCF'!$W$31</f>
        <v>2791623.3540418856</v>
      </c>
      <c r="H1588" s="359">
        <f>'DRE + DCF'!$W$32</f>
        <v>81081.931703745853</v>
      </c>
      <c r="I1588" s="359">
        <f>-H1588*('DRE + DCF'!$V$33+K1588)/'DRE + DCF'!$V$33</f>
        <v>-90858.801614444121</v>
      </c>
      <c r="J1588" s="359">
        <f>-'DRE + DCF'!$V$56*L1588</f>
        <v>-1188924.4255577971</v>
      </c>
      <c r="K1588" s="360">
        <f>(1+L1588)/(1+Ke!$O$12)-1</f>
        <v>2.0000000000000018E-2</v>
      </c>
      <c r="L1588" s="360">
        <f>'DRE + DCF'!$Y$31</f>
        <v>7.3550000000000004E-2</v>
      </c>
      <c r="M1588" s="361">
        <f>(1+D1588)^((5-Dashboard!$F$9)*3/12)</f>
        <v>1.1690660170424652</v>
      </c>
      <c r="N1588" s="361">
        <f t="shared" ref="N1588:V1588" si="1625">M1588*(1+$D1588)</f>
        <v>1.439763253288636</v>
      </c>
      <c r="O1588" s="361">
        <f t="shared" si="1625"/>
        <v>1.7731404345876047</v>
      </c>
      <c r="P1588" s="361">
        <f t="shared" si="1625"/>
        <v>2.1837111022163462</v>
      </c>
      <c r="Q1588" s="361">
        <f t="shared" si="1625"/>
        <v>2.6893494079345186</v>
      </c>
      <c r="R1588" s="361">
        <f t="shared" si="1625"/>
        <v>3.3120682633417289</v>
      </c>
      <c r="S1588" s="361">
        <f t="shared" si="1625"/>
        <v>4.0789776697184719</v>
      </c>
      <c r="T1588" s="361">
        <f t="shared" si="1625"/>
        <v>5.0234649491417418</v>
      </c>
      <c r="U1588" s="361">
        <f t="shared" si="1625"/>
        <v>6.1866482581154605</v>
      </c>
      <c r="V1588" s="362">
        <f t="shared" si="1625"/>
        <v>7.6191666622820318</v>
      </c>
      <c r="X1588" s="351"/>
    </row>
    <row r="1589" spans="3:24" ht="24.75" customHeight="1" x14ac:dyDescent="0.3">
      <c r="C1589" s="353">
        <f>ABS(E1589-Dashboard!$F$14)</f>
        <v>15.947005740713664</v>
      </c>
      <c r="D1589" s="350">
        <f t="shared" si="1587"/>
        <v>0.23164999999998973</v>
      </c>
      <c r="E1589" s="359" cm="1">
        <f t="array" ref="E1589">1000*SUM('DRE + DCF'!$L$36/M1589,'DRE + DCF'!$N$36:$V$36/N1589:V1589,F1589/V1589)/Dashboard!$F$11</f>
        <v>81.042994259286331</v>
      </c>
      <c r="F1589" s="359">
        <f t="shared" si="1585"/>
        <v>11876924.1642018</v>
      </c>
      <c r="G1589" s="359">
        <f>'DRE + DCF'!$W$31</f>
        <v>2791623.3540418856</v>
      </c>
      <c r="H1589" s="359">
        <f>'DRE + DCF'!$W$32</f>
        <v>81081.931703745853</v>
      </c>
      <c r="I1589" s="359">
        <f>-H1589*('DRE + DCF'!$V$33+K1589)/'DRE + DCF'!$V$33</f>
        <v>-90858.801614444121</v>
      </c>
      <c r="J1589" s="359">
        <f>-'DRE + DCF'!$V$56*L1589</f>
        <v>-1188924.4255577971</v>
      </c>
      <c r="K1589" s="360">
        <f>(1+L1589)/(1+Ke!$O$12)-1</f>
        <v>2.0000000000000018E-2</v>
      </c>
      <c r="L1589" s="360">
        <f>'DRE + DCF'!$Y$31</f>
        <v>7.3550000000000004E-2</v>
      </c>
      <c r="M1589" s="361">
        <f>(1+D1589)^((5-Dashboard!$F$9)*3/12)</f>
        <v>1.1691372111160905</v>
      </c>
      <c r="N1589" s="361">
        <f t="shared" ref="N1589:V1589" si="1626">M1589*(1+$D1589)</f>
        <v>1.4399678460711207</v>
      </c>
      <c r="O1589" s="361">
        <f t="shared" si="1626"/>
        <v>1.773536397613481</v>
      </c>
      <c r="P1589" s="361">
        <f t="shared" si="1626"/>
        <v>2.1843761041206258</v>
      </c>
      <c r="Q1589" s="361">
        <f t="shared" si="1626"/>
        <v>2.6903868286401464</v>
      </c>
      <c r="R1589" s="361">
        <f t="shared" si="1626"/>
        <v>3.3136149374946084</v>
      </c>
      <c r="S1589" s="361">
        <f t="shared" si="1626"/>
        <v>4.0812138377652003</v>
      </c>
      <c r="T1589" s="361">
        <f t="shared" si="1626"/>
        <v>5.0266270232834671</v>
      </c>
      <c r="U1589" s="361">
        <f t="shared" si="1626"/>
        <v>6.1910451732270309</v>
      </c>
      <c r="V1589" s="362">
        <f t="shared" si="1626"/>
        <v>7.6252007876050092</v>
      </c>
      <c r="X1589" s="351"/>
    </row>
    <row r="1590" spans="3:24" ht="24.75" customHeight="1" x14ac:dyDescent="0.3">
      <c r="C1590" s="353">
        <f>ABS(E1590-Dashboard!$F$14)</f>
        <v>16.004179819793436</v>
      </c>
      <c r="D1590" s="350">
        <f t="shared" si="1587"/>
        <v>0.23174999999998971</v>
      </c>
      <c r="E1590" s="359" cm="1">
        <f t="array" ref="E1590">1000*SUM('DRE + DCF'!$L$36/M1590,'DRE + DCF'!$N$36:$V$36/N1590:V1590,F1590/V1590)/Dashboard!$F$11</f>
        <v>80.985820180206559</v>
      </c>
      <c r="F1590" s="359">
        <f t="shared" si="1585"/>
        <v>11870714.323664151</v>
      </c>
      <c r="G1590" s="359">
        <f>'DRE + DCF'!$W$31</f>
        <v>2791623.3540418856</v>
      </c>
      <c r="H1590" s="359">
        <f>'DRE + DCF'!$W$32</f>
        <v>81081.931703745853</v>
      </c>
      <c r="I1590" s="359">
        <f>-H1590*('DRE + DCF'!$V$33+K1590)/'DRE + DCF'!$V$33</f>
        <v>-90858.801614444121</v>
      </c>
      <c r="J1590" s="359">
        <f>-'DRE + DCF'!$V$56*L1590</f>
        <v>-1188924.4255577971</v>
      </c>
      <c r="K1590" s="360">
        <f>(1+L1590)/(1+Ke!$O$12)-1</f>
        <v>2.0000000000000018E-2</v>
      </c>
      <c r="L1590" s="360">
        <f>'DRE + DCF'!$Y$31</f>
        <v>7.3550000000000004E-2</v>
      </c>
      <c r="M1590" s="361">
        <f>(1+D1590)^((5-Dashboard!$F$9)*3/12)</f>
        <v>1.1692084037446351</v>
      </c>
      <c r="N1590" s="361">
        <f t="shared" ref="N1590:V1590" si="1627">M1590*(1+$D1590)</f>
        <v>1.4401724513124423</v>
      </c>
      <c r="O1590" s="361">
        <f t="shared" si="1627"/>
        <v>1.773932416904086</v>
      </c>
      <c r="P1590" s="361">
        <f t="shared" si="1627"/>
        <v>2.1850412545215896</v>
      </c>
      <c r="Q1590" s="361">
        <f t="shared" si="1627"/>
        <v>2.6914245652569453</v>
      </c>
      <c r="R1590" s="361">
        <f t="shared" si="1627"/>
        <v>3.3151622082552148</v>
      </c>
      <c r="S1590" s="361">
        <f t="shared" si="1627"/>
        <v>4.0834510500183265</v>
      </c>
      <c r="T1590" s="361">
        <f t="shared" si="1627"/>
        <v>5.0297908308600316</v>
      </c>
      <c r="U1590" s="361">
        <f t="shared" si="1627"/>
        <v>6.1954448559117923</v>
      </c>
      <c r="V1590" s="362">
        <f t="shared" si="1627"/>
        <v>7.6312392012692865</v>
      </c>
      <c r="X1590" s="351"/>
    </row>
    <row r="1591" spans="3:24" ht="24.75" customHeight="1" x14ac:dyDescent="0.3">
      <c r="C1591" s="353">
        <f>ABS(E1591-Dashboard!$F$14)</f>
        <v>16.061283747981349</v>
      </c>
      <c r="D1591" s="350">
        <f t="shared" si="1587"/>
        <v>0.2318499999999897</v>
      </c>
      <c r="E1591" s="359" cm="1">
        <f t="array" ref="E1591">1000*SUM('DRE + DCF'!$L$36/M1591,'DRE + DCF'!$N$36:$V$36/N1591:V1591,F1591/V1591)/Dashboard!$F$11</f>
        <v>80.928716252018646</v>
      </c>
      <c r="F1591" s="359">
        <f t="shared" si="1585"/>
        <v>11864511.21006652</v>
      </c>
      <c r="G1591" s="359">
        <f>'DRE + DCF'!$W$31</f>
        <v>2791623.3540418856</v>
      </c>
      <c r="H1591" s="359">
        <f>'DRE + DCF'!$W$32</f>
        <v>81081.931703745853</v>
      </c>
      <c r="I1591" s="359">
        <f>-H1591*('DRE + DCF'!$V$33+K1591)/'DRE + DCF'!$V$33</f>
        <v>-90858.801614444121</v>
      </c>
      <c r="J1591" s="359">
        <f>-'DRE + DCF'!$V$56*L1591</f>
        <v>-1188924.4255577971</v>
      </c>
      <c r="K1591" s="360">
        <f>(1+L1591)/(1+Ke!$O$12)-1</f>
        <v>2.0000000000000018E-2</v>
      </c>
      <c r="L1591" s="360">
        <f>'DRE + DCF'!$Y$31</f>
        <v>7.3550000000000004E-2</v>
      </c>
      <c r="M1591" s="361">
        <f>(1+D1591)^((5-Dashboard!$F$9)*3/12)</f>
        <v>1.1692795949282455</v>
      </c>
      <c r="N1591" s="361">
        <f t="shared" ref="N1591:V1591" si="1628">M1591*(1+$D1591)</f>
        <v>1.4403770690123472</v>
      </c>
      <c r="O1591" s="361">
        <f t="shared" si="1628"/>
        <v>1.7743284924628451</v>
      </c>
      <c r="P1591" s="361">
        <f t="shared" si="1628"/>
        <v>2.1857065534403373</v>
      </c>
      <c r="Q1591" s="361">
        <f t="shared" si="1628"/>
        <v>2.6924626178554569</v>
      </c>
      <c r="R1591" s="361">
        <f t="shared" si="1628"/>
        <v>3.3167100758052168</v>
      </c>
      <c r="S1591" s="361">
        <f t="shared" si="1628"/>
        <v>4.0856893068806217</v>
      </c>
      <c r="T1591" s="361">
        <f t="shared" si="1628"/>
        <v>5.0329563726808519</v>
      </c>
      <c r="U1591" s="361">
        <f t="shared" si="1628"/>
        <v>6.1998473076868557</v>
      </c>
      <c r="V1591" s="362">
        <f t="shared" si="1628"/>
        <v>7.6372819059739889</v>
      </c>
      <c r="X1591" s="351"/>
    </row>
    <row r="1592" spans="3:24" ht="24.75" customHeight="1" x14ac:dyDescent="0.3">
      <c r="C1592" s="353">
        <f>ABS(E1592-Dashboard!$F$14)</f>
        <v>16.118317646369889</v>
      </c>
      <c r="D1592" s="350">
        <f t="shared" si="1587"/>
        <v>0.23194999999998969</v>
      </c>
      <c r="E1592" s="359" cm="1">
        <f t="array" ref="E1592">1000*SUM('DRE + DCF'!$L$36/M1592,'DRE + DCF'!$N$36:$V$36/N1592:V1592,F1592/V1592)/Dashboard!$F$11</f>
        <v>80.871682353630106</v>
      </c>
      <c r="F1592" s="359">
        <f t="shared" si="1585"/>
        <v>11858314.812114507</v>
      </c>
      <c r="G1592" s="359">
        <f>'DRE + DCF'!$W$31</f>
        <v>2791623.3540418856</v>
      </c>
      <c r="H1592" s="359">
        <f>'DRE + DCF'!$W$32</f>
        <v>81081.931703745853</v>
      </c>
      <c r="I1592" s="359">
        <f>-H1592*('DRE + DCF'!$V$33+K1592)/'DRE + DCF'!$V$33</f>
        <v>-90858.801614444121</v>
      </c>
      <c r="J1592" s="359">
        <f>-'DRE + DCF'!$V$56*L1592</f>
        <v>-1188924.4255577971</v>
      </c>
      <c r="K1592" s="360">
        <f>(1+L1592)/(1+Ke!$O$12)-1</f>
        <v>2.0000000000000018E-2</v>
      </c>
      <c r="L1592" s="360">
        <f>'DRE + DCF'!$Y$31</f>
        <v>7.3550000000000004E-2</v>
      </c>
      <c r="M1592" s="361">
        <f>(1+D1592)^((5-Dashboard!$F$9)*3/12)</f>
        <v>1.1693507846670683</v>
      </c>
      <c r="N1592" s="361">
        <f t="shared" ref="N1592:V1592" si="1629">M1592*(1+$D1592)</f>
        <v>1.4405816991705827</v>
      </c>
      <c r="O1592" s="361">
        <f t="shared" si="1629"/>
        <v>1.7747246242931844</v>
      </c>
      <c r="P1592" s="361">
        <f t="shared" si="1629"/>
        <v>2.1863720008979701</v>
      </c>
      <c r="Q1592" s="361">
        <f t="shared" si="1629"/>
        <v>2.6935009865062316</v>
      </c>
      <c r="R1592" s="361">
        <f t="shared" si="1629"/>
        <v>3.3182585403263243</v>
      </c>
      <c r="S1592" s="361">
        <f t="shared" si="1629"/>
        <v>4.0879286087549813</v>
      </c>
      <c r="T1592" s="361">
        <f t="shared" si="1629"/>
        <v>5.0361236495556572</v>
      </c>
      <c r="U1592" s="361">
        <f t="shared" si="1629"/>
        <v>6.2042525300700397</v>
      </c>
      <c r="V1592" s="362">
        <f t="shared" si="1629"/>
        <v>7.6433289044197217</v>
      </c>
      <c r="X1592" s="351"/>
    </row>
    <row r="1593" spans="3:24" ht="24.75" customHeight="1" x14ac:dyDescent="0.3">
      <c r="C1593" s="353">
        <f>ABS(E1593-Dashboard!$F$14)</f>
        <v>16.17528163577748</v>
      </c>
      <c r="D1593" s="350">
        <f t="shared" si="1587"/>
        <v>0.23204999999998968</v>
      </c>
      <c r="E1593" s="359" cm="1">
        <f t="array" ref="E1593">1000*SUM('DRE + DCF'!$L$36/M1593,'DRE + DCF'!$N$36:$V$36/N1593:V1593,F1593/V1593)/Dashboard!$F$11</f>
        <v>80.814718364222514</v>
      </c>
      <c r="F1593" s="359">
        <f t="shared" si="1585"/>
        <v>11852125.118539726</v>
      </c>
      <c r="G1593" s="359">
        <f>'DRE + DCF'!$W$31</f>
        <v>2791623.3540418856</v>
      </c>
      <c r="H1593" s="359">
        <f>'DRE + DCF'!$W$32</f>
        <v>81081.931703745853</v>
      </c>
      <c r="I1593" s="359">
        <f>-H1593*('DRE + DCF'!$V$33+K1593)/'DRE + DCF'!$V$33</f>
        <v>-90858.801614444121</v>
      </c>
      <c r="J1593" s="359">
        <f>-'DRE + DCF'!$V$56*L1593</f>
        <v>-1188924.4255577971</v>
      </c>
      <c r="K1593" s="360">
        <f>(1+L1593)/(1+Ke!$O$12)-1</f>
        <v>2.0000000000000018E-2</v>
      </c>
      <c r="L1593" s="360">
        <f>'DRE + DCF'!$Y$31</f>
        <v>7.3550000000000004E-2</v>
      </c>
      <c r="M1593" s="361">
        <f>(1+D1593)^((5-Dashboard!$F$9)*3/12)</f>
        <v>1.1694219729612503</v>
      </c>
      <c r="N1593" s="361">
        <f t="shared" ref="N1593:V1593" si="1630">M1593*(1+$D1593)</f>
        <v>1.4407863417868962</v>
      </c>
      <c r="O1593" s="361">
        <f t="shared" si="1630"/>
        <v>1.7751208123985307</v>
      </c>
      <c r="P1593" s="361">
        <f t="shared" si="1630"/>
        <v>2.1870375969155913</v>
      </c>
      <c r="Q1593" s="361">
        <f t="shared" si="1630"/>
        <v>2.6945396712798315</v>
      </c>
      <c r="R1593" s="361">
        <f t="shared" si="1630"/>
        <v>3.3198076020002887</v>
      </c>
      <c r="S1593" s="361">
        <f t="shared" si="1630"/>
        <v>4.0901689560444217</v>
      </c>
      <c r="T1593" s="361">
        <f t="shared" si="1630"/>
        <v>5.0392926622944874</v>
      </c>
      <c r="U1593" s="361">
        <f t="shared" si="1630"/>
        <v>6.2086605245798712</v>
      </c>
      <c r="V1593" s="362">
        <f t="shared" si="1630"/>
        <v>7.6493801993085659</v>
      </c>
      <c r="X1593" s="351"/>
    </row>
    <row r="1594" spans="3:24" ht="24.75" customHeight="1" x14ac:dyDescent="0.3">
      <c r="C1594" s="353">
        <f>ABS(E1594-Dashboard!$F$14)</f>
        <v>16.232175836749221</v>
      </c>
      <c r="D1594" s="350">
        <f t="shared" si="1587"/>
        <v>0.23214999999998967</v>
      </c>
      <c r="E1594" s="359" cm="1">
        <f t="array" ref="E1594">1000*SUM('DRE + DCF'!$L$36/M1594,'DRE + DCF'!$N$36:$V$36/N1594:V1594,F1594/V1594)/Dashboard!$F$11</f>
        <v>80.757824163250774</v>
      </c>
      <c r="F1594" s="359">
        <f t="shared" si="1585"/>
        <v>11845942.118099734</v>
      </c>
      <c r="G1594" s="359">
        <f>'DRE + DCF'!$W$31</f>
        <v>2791623.3540418856</v>
      </c>
      <c r="H1594" s="359">
        <f>'DRE + DCF'!$W$32</f>
        <v>81081.931703745853</v>
      </c>
      <c r="I1594" s="359">
        <f>-H1594*('DRE + DCF'!$V$33+K1594)/'DRE + DCF'!$V$33</f>
        <v>-90858.801614444121</v>
      </c>
      <c r="J1594" s="359">
        <f>-'DRE + DCF'!$V$56*L1594</f>
        <v>-1188924.4255577971</v>
      </c>
      <c r="K1594" s="360">
        <f>(1+L1594)/(1+Ke!$O$12)-1</f>
        <v>2.0000000000000018E-2</v>
      </c>
      <c r="L1594" s="360">
        <f>'DRE + DCF'!$Y$31</f>
        <v>7.3550000000000004E-2</v>
      </c>
      <c r="M1594" s="361">
        <f>(1+D1594)^((5-Dashboard!$F$9)*3/12)</f>
        <v>1.1694931598109377</v>
      </c>
      <c r="N1594" s="361">
        <f t="shared" ref="N1594:V1594" si="1631">M1594*(1+$D1594)</f>
        <v>1.4409909968610348</v>
      </c>
      <c r="O1594" s="361">
        <f t="shared" si="1631"/>
        <v>1.7755170567823091</v>
      </c>
      <c r="P1594" s="361">
        <f t="shared" si="1631"/>
        <v>2.1877033415143039</v>
      </c>
      <c r="Q1594" s="361">
        <f t="shared" si="1631"/>
        <v>2.6955786722468269</v>
      </c>
      <c r="R1594" s="361">
        <f t="shared" si="1631"/>
        <v>3.3213572610088997</v>
      </c>
      <c r="S1594" s="361">
        <f t="shared" si="1631"/>
        <v>4.0924103491520816</v>
      </c>
      <c r="T1594" s="361">
        <f t="shared" si="1631"/>
        <v>5.0424634117076952</v>
      </c>
      <c r="U1594" s="361">
        <f t="shared" si="1631"/>
        <v>6.2130712927355844</v>
      </c>
      <c r="V1594" s="362">
        <f t="shared" si="1631"/>
        <v>7.6554357933440862</v>
      </c>
      <c r="X1594" s="351"/>
    </row>
    <row r="1595" spans="3:24" ht="24.75" customHeight="1" x14ac:dyDescent="0.3">
      <c r="C1595" s="353">
        <f>ABS(E1595-Dashboard!$F$14)</f>
        <v>16.289000369557684</v>
      </c>
      <c r="D1595" s="350">
        <f t="shared" si="1587"/>
        <v>0.23224999999998966</v>
      </c>
      <c r="E1595" s="359" cm="1">
        <f t="array" ref="E1595">1000*SUM('DRE + DCF'!$L$36/M1595,'DRE + DCF'!$N$36:$V$36/N1595:V1595,F1595/V1595)/Dashboard!$F$11</f>
        <v>80.700999630442311</v>
      </c>
      <c r="F1595" s="359">
        <f t="shared" si="1585"/>
        <v>11839765.79957794</v>
      </c>
      <c r="G1595" s="359">
        <f>'DRE + DCF'!$W$31</f>
        <v>2791623.3540418856</v>
      </c>
      <c r="H1595" s="359">
        <f>'DRE + DCF'!$W$32</f>
        <v>81081.931703745853</v>
      </c>
      <c r="I1595" s="359">
        <f>-H1595*('DRE + DCF'!$V$33+K1595)/'DRE + DCF'!$V$33</f>
        <v>-90858.801614444121</v>
      </c>
      <c r="J1595" s="359">
        <f>-'DRE + DCF'!$V$56*L1595</f>
        <v>-1188924.4255577971</v>
      </c>
      <c r="K1595" s="360">
        <f>(1+L1595)/(1+Ke!$O$12)-1</f>
        <v>2.0000000000000018E-2</v>
      </c>
      <c r="L1595" s="360">
        <f>'DRE + DCF'!$Y$31</f>
        <v>7.3550000000000004E-2</v>
      </c>
      <c r="M1595" s="361">
        <f>(1+D1595)^((5-Dashboard!$F$9)*3/12)</f>
        <v>1.1695643452162774</v>
      </c>
      <c r="N1595" s="361">
        <f t="shared" ref="N1595:V1595" si="1632">M1595*(1+$D1595)</f>
        <v>1.4411956643927457</v>
      </c>
      <c r="O1595" s="361">
        <f t="shared" si="1632"/>
        <v>1.775913357447946</v>
      </c>
      <c r="P1595" s="361">
        <f t="shared" si="1632"/>
        <v>2.1883692347152128</v>
      </c>
      <c r="Q1595" s="361">
        <f t="shared" si="1632"/>
        <v>2.6966179894777982</v>
      </c>
      <c r="R1595" s="361">
        <f t="shared" si="1632"/>
        <v>3.3229075175339888</v>
      </c>
      <c r="S1595" s="361">
        <f t="shared" si="1632"/>
        <v>4.0946527884812234</v>
      </c>
      <c r="T1595" s="361">
        <f t="shared" si="1632"/>
        <v>5.0456358986059451</v>
      </c>
      <c r="U1595" s="361">
        <f t="shared" si="1632"/>
        <v>6.2174848360571238</v>
      </c>
      <c r="V1595" s="362">
        <f t="shared" si="1632"/>
        <v>7.6614956892313266</v>
      </c>
      <c r="X1595" s="351"/>
    </row>
    <row r="1596" spans="3:24" ht="24.75" customHeight="1" x14ac:dyDescent="0.3">
      <c r="C1596" s="353">
        <f>ABS(E1596-Dashboard!$F$14)</f>
        <v>16.345755354203618</v>
      </c>
      <c r="D1596" s="350">
        <f t="shared" si="1587"/>
        <v>0.23234999999998965</v>
      </c>
      <c r="E1596" s="359" cm="1">
        <f t="array" ref="E1596">1000*SUM('DRE + DCF'!$L$36/M1596,'DRE + DCF'!$N$36:$V$36/N1596:V1596,F1596/V1596)/Dashboard!$F$11</f>
        <v>80.644244645796377</v>
      </c>
      <c r="F1596" s="359">
        <f t="shared" si="1585"/>
        <v>11833596.151783533</v>
      </c>
      <c r="G1596" s="359">
        <f>'DRE + DCF'!$W$31</f>
        <v>2791623.3540418856</v>
      </c>
      <c r="H1596" s="359">
        <f>'DRE + DCF'!$W$32</f>
        <v>81081.931703745853</v>
      </c>
      <c r="I1596" s="359">
        <f>-H1596*('DRE + DCF'!$V$33+K1596)/'DRE + DCF'!$V$33</f>
        <v>-90858.801614444121</v>
      </c>
      <c r="J1596" s="359">
        <f>-'DRE + DCF'!$V$56*L1596</f>
        <v>-1188924.4255577971</v>
      </c>
      <c r="K1596" s="360">
        <f>(1+L1596)/(1+Ke!$O$12)-1</f>
        <v>2.0000000000000018E-2</v>
      </c>
      <c r="L1596" s="360">
        <f>'DRE + DCF'!$Y$31</f>
        <v>7.3550000000000004E-2</v>
      </c>
      <c r="M1596" s="361">
        <f>(1+D1596)^((5-Dashboard!$F$9)*3/12)</f>
        <v>1.1696355291774159</v>
      </c>
      <c r="N1596" s="361">
        <f t="shared" ref="N1596:V1596" si="1633">M1596*(1+$D1596)</f>
        <v>1.4414003443817762</v>
      </c>
      <c r="O1596" s="361">
        <f t="shared" si="1633"/>
        <v>1.7763097143988669</v>
      </c>
      <c r="P1596" s="361">
        <f t="shared" si="1633"/>
        <v>2.1890352765394252</v>
      </c>
      <c r="Q1596" s="361">
        <f t="shared" si="1633"/>
        <v>2.6976576230433378</v>
      </c>
      <c r="R1596" s="361">
        <f t="shared" si="1633"/>
        <v>3.3244583717574292</v>
      </c>
      <c r="S1596" s="361">
        <f t="shared" si="1633"/>
        <v>4.0968962744352337</v>
      </c>
      <c r="T1596" s="361">
        <f t="shared" si="1633"/>
        <v>5.0488101238002177</v>
      </c>
      <c r="U1596" s="361">
        <f t="shared" si="1633"/>
        <v>6.2219011560651456</v>
      </c>
      <c r="V1596" s="362">
        <f t="shared" si="1633"/>
        <v>7.6675598896768173</v>
      </c>
      <c r="X1596" s="351"/>
    </row>
    <row r="1597" spans="3:24" ht="24.75" customHeight="1" x14ac:dyDescent="0.3">
      <c r="C1597" s="353">
        <f>ABS(E1597-Dashboard!$F$14)</f>
        <v>16.402440910416928</v>
      </c>
      <c r="D1597" s="350">
        <f t="shared" si="1587"/>
        <v>0.23244999999998964</v>
      </c>
      <c r="E1597" s="359" cm="1">
        <f t="array" ref="E1597">1000*SUM('DRE + DCF'!$L$36/M1597,'DRE + DCF'!$N$36:$V$36/N1597:V1597,F1597/V1597)/Dashboard!$F$11</f>
        <v>80.587559089583067</v>
      </c>
      <c r="F1597" s="359">
        <f t="shared" si="1585"/>
        <v>11827433.163551416</v>
      </c>
      <c r="G1597" s="359">
        <f>'DRE + DCF'!$W$31</f>
        <v>2791623.3540418856</v>
      </c>
      <c r="H1597" s="359">
        <f>'DRE + DCF'!$W$32</f>
        <v>81081.931703745853</v>
      </c>
      <c r="I1597" s="359">
        <f>-H1597*('DRE + DCF'!$V$33+K1597)/'DRE + DCF'!$V$33</f>
        <v>-90858.801614444121</v>
      </c>
      <c r="J1597" s="359">
        <f>-'DRE + DCF'!$V$56*L1597</f>
        <v>-1188924.4255577971</v>
      </c>
      <c r="K1597" s="360">
        <f>(1+L1597)/(1+Ke!$O$12)-1</f>
        <v>2.0000000000000018E-2</v>
      </c>
      <c r="L1597" s="360">
        <f>'DRE + DCF'!$Y$31</f>
        <v>7.3550000000000004E-2</v>
      </c>
      <c r="M1597" s="361">
        <f>(1+D1597)^((5-Dashboard!$F$9)*3/12)</f>
        <v>1.1697067116944995</v>
      </c>
      <c r="N1597" s="361">
        <f t="shared" ref="N1597:V1597" si="1634">M1597*(1+$D1597)</f>
        <v>1.4416050368278737</v>
      </c>
      <c r="O1597" s="361">
        <f t="shared" si="1634"/>
        <v>1.7767061276384979</v>
      </c>
      <c r="P1597" s="361">
        <f t="shared" si="1634"/>
        <v>2.1897014670080481</v>
      </c>
      <c r="Q1597" s="361">
        <f t="shared" si="1634"/>
        <v>2.6986975730140461</v>
      </c>
      <c r="R1597" s="361">
        <f t="shared" si="1634"/>
        <v>3.3260098238611331</v>
      </c>
      <c r="S1597" s="361">
        <f t="shared" si="1634"/>
        <v>4.0991408074176192</v>
      </c>
      <c r="T1597" s="361">
        <f t="shared" si="1634"/>
        <v>5.0519860881018026</v>
      </c>
      <c r="U1597" s="361">
        <f t="shared" si="1634"/>
        <v>6.2263202542810143</v>
      </c>
      <c r="V1597" s="362">
        <f t="shared" si="1634"/>
        <v>7.6736283973885717</v>
      </c>
      <c r="X1597" s="351"/>
    </row>
    <row r="1598" spans="3:24" ht="24.75" customHeight="1" x14ac:dyDescent="0.3">
      <c r="C1598" s="353">
        <f>ABS(E1598-Dashboard!$F$14)</f>
        <v>16.459057157657185</v>
      </c>
      <c r="D1598" s="350">
        <f t="shared" si="1587"/>
        <v>0.23254999999998963</v>
      </c>
      <c r="E1598" s="359" cm="1">
        <f t="array" ref="E1598">1000*SUM('DRE + DCF'!$L$36/M1598,'DRE + DCF'!$N$36:$V$36/N1598:V1598,F1598/V1598)/Dashboard!$F$11</f>
        <v>80.53094284234281</v>
      </c>
      <c r="F1598" s="359">
        <f t="shared" si="1585"/>
        <v>11821276.823742125</v>
      </c>
      <c r="G1598" s="359">
        <f>'DRE + DCF'!$W$31</f>
        <v>2791623.3540418856</v>
      </c>
      <c r="H1598" s="359">
        <f>'DRE + DCF'!$W$32</f>
        <v>81081.931703745853</v>
      </c>
      <c r="I1598" s="359">
        <f>-H1598*('DRE + DCF'!$V$33+K1598)/'DRE + DCF'!$V$33</f>
        <v>-90858.801614444121</v>
      </c>
      <c r="J1598" s="359">
        <f>-'DRE + DCF'!$V$56*L1598</f>
        <v>-1188924.4255577971</v>
      </c>
      <c r="K1598" s="360">
        <f>(1+L1598)/(1+Ke!$O$12)-1</f>
        <v>2.0000000000000018E-2</v>
      </c>
      <c r="L1598" s="360">
        <f>'DRE + DCF'!$Y$31</f>
        <v>7.3550000000000004E-2</v>
      </c>
      <c r="M1598" s="361">
        <f>(1+D1598)^((5-Dashboard!$F$9)*3/12)</f>
        <v>1.1697778927676745</v>
      </c>
      <c r="N1598" s="361">
        <f t="shared" ref="N1598:V1598" si="1635">M1598*(1+$D1598)</f>
        <v>1.4418097417307851</v>
      </c>
      <c r="O1598" s="361">
        <f t="shared" si="1635"/>
        <v>1.7771025971702643</v>
      </c>
      <c r="P1598" s="361">
        <f t="shared" si="1635"/>
        <v>2.190367806142191</v>
      </c>
      <c r="Q1598" s="361">
        <f t="shared" si="1635"/>
        <v>2.6997378394605347</v>
      </c>
      <c r="R1598" s="361">
        <f t="shared" si="1635"/>
        <v>3.3275618740270541</v>
      </c>
      <c r="S1598" s="361">
        <f t="shared" si="1635"/>
        <v>4.1013863878320107</v>
      </c>
      <c r="T1598" s="361">
        <f t="shared" si="1635"/>
        <v>5.0551637923223023</v>
      </c>
      <c r="U1598" s="361">
        <f t="shared" si="1635"/>
        <v>6.2307421322268013</v>
      </c>
      <c r="V1598" s="362">
        <f t="shared" si="1635"/>
        <v>7.6797012150760793</v>
      </c>
      <c r="X1598" s="351"/>
    </row>
    <row r="1599" spans="3:24" ht="24.75" customHeight="1" x14ac:dyDescent="0.3">
      <c r="C1599" s="353">
        <f>ABS(E1599-Dashboard!$F$14)</f>
        <v>16.515604215114536</v>
      </c>
      <c r="D1599" s="350">
        <f t="shared" si="1587"/>
        <v>0.23264999999998962</v>
      </c>
      <c r="E1599" s="359" cm="1">
        <f t="array" ref="E1599">1000*SUM('DRE + DCF'!$L$36/M1599,'DRE + DCF'!$N$36:$V$36/N1599:V1599,F1599/V1599)/Dashboard!$F$11</f>
        <v>80.474395784885459</v>
      </c>
      <c r="F1599" s="359">
        <f t="shared" si="1585"/>
        <v>11815127.121241741</v>
      </c>
      <c r="G1599" s="359">
        <f>'DRE + DCF'!$W$31</f>
        <v>2791623.3540418856</v>
      </c>
      <c r="H1599" s="359">
        <f>'DRE + DCF'!$W$32</f>
        <v>81081.931703745853</v>
      </c>
      <c r="I1599" s="359">
        <f>-H1599*('DRE + DCF'!$V$33+K1599)/'DRE + DCF'!$V$33</f>
        <v>-90858.801614444121</v>
      </c>
      <c r="J1599" s="359">
        <f>-'DRE + DCF'!$V$56*L1599</f>
        <v>-1188924.4255577971</v>
      </c>
      <c r="K1599" s="360">
        <f>(1+L1599)/(1+Ke!$O$12)-1</f>
        <v>2.0000000000000018E-2</v>
      </c>
      <c r="L1599" s="360">
        <f>'DRE + DCF'!$Y$31</f>
        <v>7.3550000000000004E-2</v>
      </c>
      <c r="M1599" s="361">
        <f>(1+D1599)^((5-Dashboard!$F$9)*3/12)</f>
        <v>1.1698490723970878</v>
      </c>
      <c r="N1599" s="361">
        <f t="shared" ref="N1599:V1599" si="1636">M1599*(1+$D1599)</f>
        <v>1.4420144590902582</v>
      </c>
      <c r="O1599" s="361">
        <f t="shared" si="1636"/>
        <v>1.7774991229975916</v>
      </c>
      <c r="P1599" s="361">
        <f t="shared" si="1636"/>
        <v>2.1910342939629626</v>
      </c>
      <c r="Q1599" s="361">
        <f t="shared" si="1636"/>
        <v>2.700778422453423</v>
      </c>
      <c r="R1599" s="361">
        <f t="shared" si="1636"/>
        <v>3.3291145224371839</v>
      </c>
      <c r="S1599" s="361">
        <f t="shared" si="1636"/>
        <v>4.1036330160821599</v>
      </c>
      <c r="T1599" s="361">
        <f t="shared" si="1636"/>
        <v>5.0583432372736317</v>
      </c>
      <c r="U1599" s="361">
        <f t="shared" si="1636"/>
        <v>6.2351667914252893</v>
      </c>
      <c r="V1599" s="362">
        <f t="shared" si="1636"/>
        <v>7.6857783454503181</v>
      </c>
      <c r="X1599" s="351"/>
    </row>
    <row r="1600" spans="3:24" ht="24.75" customHeight="1" x14ac:dyDescent="0.3">
      <c r="C1600" s="353">
        <f>ABS(E1600-Dashboard!$F$14)</f>
        <v>16.572082201710487</v>
      </c>
      <c r="D1600" s="350">
        <f t="shared" si="1587"/>
        <v>0.2327499999999896</v>
      </c>
      <c r="E1600" s="359" cm="1">
        <f t="array" ref="E1600">1000*SUM('DRE + DCF'!$L$36/M1600,'DRE + DCF'!$N$36:$V$36/N1600:V1600,F1600/V1600)/Dashboard!$F$11</f>
        <v>80.417917798289508</v>
      </c>
      <c r="F1600" s="359">
        <f t="shared" si="1585"/>
        <v>11808984.04496184</v>
      </c>
      <c r="G1600" s="359">
        <f>'DRE + DCF'!$W$31</f>
        <v>2791623.3540418856</v>
      </c>
      <c r="H1600" s="359">
        <f>'DRE + DCF'!$W$32</f>
        <v>81081.931703745853</v>
      </c>
      <c r="I1600" s="359">
        <f>-H1600*('DRE + DCF'!$V$33+K1600)/'DRE + DCF'!$V$33</f>
        <v>-90858.801614444121</v>
      </c>
      <c r="J1600" s="359">
        <f>-'DRE + DCF'!$V$56*L1600</f>
        <v>-1188924.4255577971</v>
      </c>
      <c r="K1600" s="360">
        <f>(1+L1600)/(1+Ke!$O$12)-1</f>
        <v>2.0000000000000018E-2</v>
      </c>
      <c r="L1600" s="360">
        <f>'DRE + DCF'!$Y$31</f>
        <v>7.3550000000000004E-2</v>
      </c>
      <c r="M1600" s="361">
        <f>(1+D1600)^((5-Dashboard!$F$9)*3/12)</f>
        <v>1.1699202505828854</v>
      </c>
      <c r="N1600" s="361">
        <f t="shared" ref="N1600:V1600" si="1637">M1600*(1+$D1600)</f>
        <v>1.4422191889060398</v>
      </c>
      <c r="O1600" s="361">
        <f t="shared" si="1637"/>
        <v>1.7778957051239055</v>
      </c>
      <c r="P1600" s="361">
        <f t="shared" si="1637"/>
        <v>2.1917009304914759</v>
      </c>
      <c r="Q1600" s="361">
        <f t="shared" si="1637"/>
        <v>2.701819322063344</v>
      </c>
      <c r="R1600" s="361">
        <f t="shared" si="1637"/>
        <v>3.3306677692735591</v>
      </c>
      <c r="S1600" s="361">
        <f t="shared" si="1637"/>
        <v>4.1058806925719455</v>
      </c>
      <c r="T1600" s="361">
        <f t="shared" si="1637"/>
        <v>5.0615244237680228</v>
      </c>
      <c r="U1600" s="361">
        <f t="shared" si="1637"/>
        <v>6.239594233399977</v>
      </c>
      <c r="V1600" s="362">
        <f t="shared" si="1637"/>
        <v>7.6918597912237567</v>
      </c>
      <c r="X1600" s="351"/>
    </row>
    <row r="1601" spans="3:24" ht="24.75" customHeight="1" x14ac:dyDescent="0.3">
      <c r="C1601" s="353">
        <f>ABS(E1601-Dashboard!$F$14)</f>
        <v>16.628491236098597</v>
      </c>
      <c r="D1601" s="350">
        <f t="shared" si="1587"/>
        <v>0.23284999999998959</v>
      </c>
      <c r="E1601" s="359" cm="1">
        <f t="array" ref="E1601">1000*SUM('DRE + DCF'!$L$36/M1601,'DRE + DCF'!$N$36:$V$36/N1601:V1601,F1601/V1601)/Dashboard!$F$11</f>
        <v>80.361508763901398</v>
      </c>
      <c r="F1601" s="359">
        <f t="shared" si="1585"/>
        <v>11802847.583839398</v>
      </c>
      <c r="G1601" s="359">
        <f>'DRE + DCF'!$W$31</f>
        <v>2791623.3540418856</v>
      </c>
      <c r="H1601" s="359">
        <f>'DRE + DCF'!$W$32</f>
        <v>81081.931703745853</v>
      </c>
      <c r="I1601" s="359">
        <f>-H1601*('DRE + DCF'!$V$33+K1601)/'DRE + DCF'!$V$33</f>
        <v>-90858.801614444121</v>
      </c>
      <c r="J1601" s="359">
        <f>-'DRE + DCF'!$V$56*L1601</f>
        <v>-1188924.4255577971</v>
      </c>
      <c r="K1601" s="360">
        <f>(1+L1601)/(1+Ke!$O$12)-1</f>
        <v>2.0000000000000018E-2</v>
      </c>
      <c r="L1601" s="360">
        <f>'DRE + DCF'!$Y$31</f>
        <v>7.3550000000000004E-2</v>
      </c>
      <c r="M1601" s="361">
        <f>(1+D1601)^((5-Dashboard!$F$9)*3/12)</f>
        <v>1.1699914273252139</v>
      </c>
      <c r="N1601" s="361">
        <f t="shared" ref="N1601:V1601" si="1638">M1601*(1+$D1601)</f>
        <v>1.4424239311778777</v>
      </c>
      <c r="O1601" s="361">
        <f t="shared" si="1638"/>
        <v>1.7782923435526314</v>
      </c>
      <c r="P1601" s="361">
        <f t="shared" si="1638"/>
        <v>2.1923677157488433</v>
      </c>
      <c r="Q1601" s="361">
        <f t="shared" si="1638"/>
        <v>2.7028605383609388</v>
      </c>
      <c r="R1601" s="361">
        <f t="shared" si="1638"/>
        <v>3.3322216147182551</v>
      </c>
      <c r="S1601" s="361">
        <f t="shared" si="1638"/>
        <v>4.1081294177053662</v>
      </c>
      <c r="T1601" s="361">
        <f t="shared" si="1638"/>
        <v>5.0647073526180177</v>
      </c>
      <c r="U1601" s="361">
        <f t="shared" si="1638"/>
        <v>6.24402445967507</v>
      </c>
      <c r="V1601" s="362">
        <f t="shared" si="1638"/>
        <v>7.6979455551103451</v>
      </c>
      <c r="X1601" s="351"/>
    </row>
    <row r="1602" spans="3:24" ht="24.75" customHeight="1" x14ac:dyDescent="0.3">
      <c r="C1602" s="353">
        <f>ABS(E1602-Dashboard!$F$14)</f>
        <v>16.684831436665291</v>
      </c>
      <c r="D1602" s="350">
        <f t="shared" si="1587"/>
        <v>0.23294999999998958</v>
      </c>
      <c r="E1602" s="359" cm="1">
        <f t="array" ref="E1602">1000*SUM('DRE + DCF'!$L$36/M1602,'DRE + DCF'!$N$36:$V$36/N1602:V1602,F1602/V1602)/Dashboard!$F$11</f>
        <v>80.305168563334703</v>
      </c>
      <c r="F1602" s="359">
        <f t="shared" si="1585"/>
        <v>11796717.726836722</v>
      </c>
      <c r="G1602" s="359">
        <f>'DRE + DCF'!$W$31</f>
        <v>2791623.3540418856</v>
      </c>
      <c r="H1602" s="359">
        <f>'DRE + DCF'!$W$32</f>
        <v>81081.931703745853</v>
      </c>
      <c r="I1602" s="359">
        <f>-H1602*('DRE + DCF'!$V$33+K1602)/'DRE + DCF'!$V$33</f>
        <v>-90858.801614444121</v>
      </c>
      <c r="J1602" s="359">
        <f>-'DRE + DCF'!$V$56*L1602</f>
        <v>-1188924.4255577971</v>
      </c>
      <c r="K1602" s="360">
        <f>(1+L1602)/(1+Ke!$O$12)-1</f>
        <v>2.0000000000000018E-2</v>
      </c>
      <c r="L1602" s="360">
        <f>'DRE + DCF'!$Y$31</f>
        <v>7.3550000000000004E-2</v>
      </c>
      <c r="M1602" s="361">
        <f>(1+D1602)^((5-Dashboard!$F$9)*3/12)</f>
        <v>1.1700626026242196</v>
      </c>
      <c r="N1602" s="361">
        <f t="shared" ref="N1602:V1602" si="1639">M1602*(1+$D1602)</f>
        <v>1.4426286859055193</v>
      </c>
      <c r="O1602" s="361">
        <f t="shared" si="1639"/>
        <v>1.7786890382871949</v>
      </c>
      <c r="P1602" s="361">
        <f t="shared" si="1639"/>
        <v>2.1930346497561786</v>
      </c>
      <c r="Q1602" s="361">
        <f t="shared" si="1639"/>
        <v>2.7039020714168576</v>
      </c>
      <c r="R1602" s="361">
        <f t="shared" si="1639"/>
        <v>3.3337760589533865</v>
      </c>
      <c r="S1602" s="361">
        <f t="shared" si="1639"/>
        <v>4.1103791918865431</v>
      </c>
      <c r="T1602" s="361">
        <f t="shared" si="1639"/>
        <v>5.0678920246364703</v>
      </c>
      <c r="U1602" s="361">
        <f t="shared" si="1639"/>
        <v>6.2484574717754828</v>
      </c>
      <c r="V1602" s="362">
        <f t="shared" si="1639"/>
        <v>7.7040356398255163</v>
      </c>
      <c r="X1602" s="351"/>
    </row>
    <row r="1603" spans="3:24" ht="24.75" customHeight="1" x14ac:dyDescent="0.3">
      <c r="C1603" s="353">
        <f>ABS(E1603-Dashboard!$F$14)</f>
        <v>16.741102921530555</v>
      </c>
      <c r="D1603" s="350">
        <f t="shared" si="1587"/>
        <v>0.23304999999998957</v>
      </c>
      <c r="E1603" s="359" cm="1">
        <f t="array" ref="E1603">1000*SUM('DRE + DCF'!$L$36/M1603,'DRE + DCF'!$N$36:$V$36/N1603:V1603,F1603/V1603)/Dashboard!$F$11</f>
        <v>80.24889707846944</v>
      </c>
      <c r="F1603" s="359">
        <f t="shared" si="1585"/>
        <v>11790594.462941384</v>
      </c>
      <c r="G1603" s="359">
        <f>'DRE + DCF'!$W$31</f>
        <v>2791623.3540418856</v>
      </c>
      <c r="H1603" s="359">
        <f>'DRE + DCF'!$W$32</f>
        <v>81081.931703745853</v>
      </c>
      <c r="I1603" s="359">
        <f>-H1603*('DRE + DCF'!$V$33+K1603)/'DRE + DCF'!$V$33</f>
        <v>-90858.801614444121</v>
      </c>
      <c r="J1603" s="359">
        <f>-'DRE + DCF'!$V$56*L1603</f>
        <v>-1188924.4255577971</v>
      </c>
      <c r="K1603" s="360">
        <f>(1+L1603)/(1+Ke!$O$12)-1</f>
        <v>2.0000000000000018E-2</v>
      </c>
      <c r="L1603" s="360">
        <f>'DRE + DCF'!$Y$31</f>
        <v>7.3550000000000004E-2</v>
      </c>
      <c r="M1603" s="361">
        <f>(1+D1603)^((5-Dashboard!$F$9)*3/12)</f>
        <v>1.1701337764800488</v>
      </c>
      <c r="N1603" s="361">
        <f t="shared" ref="N1603:V1603" si="1640">M1603*(1+$D1603)</f>
        <v>1.4428334530887119</v>
      </c>
      <c r="O1603" s="361">
        <f t="shared" si="1640"/>
        <v>1.7790857893310212</v>
      </c>
      <c r="P1603" s="361">
        <f t="shared" si="1640"/>
        <v>2.1937017325345973</v>
      </c>
      <c r="Q1603" s="361">
        <f t="shared" si="1640"/>
        <v>2.7049439213017621</v>
      </c>
      <c r="R1603" s="361">
        <f t="shared" si="1640"/>
        <v>3.3353311021611094</v>
      </c>
      <c r="S1603" s="361">
        <f t="shared" si="1640"/>
        <v>4.1126300155197208</v>
      </c>
      <c r="T1603" s="361">
        <f t="shared" si="1640"/>
        <v>5.0710784406365486</v>
      </c>
      <c r="U1603" s="361">
        <f t="shared" si="1640"/>
        <v>6.252893271226843</v>
      </c>
      <c r="V1603" s="362">
        <f t="shared" si="1640"/>
        <v>7.7101300480861932</v>
      </c>
      <c r="X1603" s="351"/>
    </row>
    <row r="1604" spans="3:24" ht="24.75" customHeight="1" x14ac:dyDescent="0.3">
      <c r="C1604" s="353">
        <f>ABS(E1604-Dashboard!$F$14)</f>
        <v>16.797305808548785</v>
      </c>
      <c r="D1604" s="350">
        <f t="shared" si="1587"/>
        <v>0.23314999999998956</v>
      </c>
      <c r="E1604" s="359" cm="1">
        <f t="array" ref="E1604">1000*SUM('DRE + DCF'!$L$36/M1604,'DRE + DCF'!$N$36:$V$36/N1604:V1604,F1604/V1604)/Dashboard!$F$11</f>
        <v>80.19269419145121</v>
      </c>
      <c r="F1604" s="359">
        <f t="shared" si="1585"/>
        <v>11784477.781166131</v>
      </c>
      <c r="G1604" s="359">
        <f>'DRE + DCF'!$W$31</f>
        <v>2791623.3540418856</v>
      </c>
      <c r="H1604" s="359">
        <f>'DRE + DCF'!$W$32</f>
        <v>81081.931703745853</v>
      </c>
      <c r="I1604" s="359">
        <f>-H1604*('DRE + DCF'!$V$33+K1604)/'DRE + DCF'!$V$33</f>
        <v>-90858.801614444121</v>
      </c>
      <c r="J1604" s="359">
        <f>-'DRE + DCF'!$V$56*L1604</f>
        <v>-1188924.4255577971</v>
      </c>
      <c r="K1604" s="360">
        <f>(1+L1604)/(1+Ke!$O$12)-1</f>
        <v>2.0000000000000018E-2</v>
      </c>
      <c r="L1604" s="360">
        <f>'DRE + DCF'!$Y$31</f>
        <v>7.3550000000000004E-2</v>
      </c>
      <c r="M1604" s="361">
        <f>(1+D1604)^((5-Dashboard!$F$9)*3/12)</f>
        <v>1.1702049488928479</v>
      </c>
      <c r="N1604" s="361">
        <f t="shared" ref="N1604:V1604" si="1641">M1604*(1+$D1604)</f>
        <v>1.4430382327272031</v>
      </c>
      <c r="O1604" s="361">
        <f t="shared" si="1641"/>
        <v>1.7794825966875354</v>
      </c>
      <c r="P1604" s="361">
        <f t="shared" si="1641"/>
        <v>2.1943689641052155</v>
      </c>
      <c r="Q1604" s="361">
        <f t="shared" si="1641"/>
        <v>2.7059860880863233</v>
      </c>
      <c r="R1604" s="361">
        <f t="shared" si="1641"/>
        <v>3.3368867445236212</v>
      </c>
      <c r="S1604" s="361">
        <f t="shared" si="1641"/>
        <v>4.1148818890092684</v>
      </c>
      <c r="T1604" s="361">
        <f t="shared" si="1641"/>
        <v>5.0742666014317361</v>
      </c>
      <c r="U1604" s="361">
        <f t="shared" si="1641"/>
        <v>6.2573318595554923</v>
      </c>
      <c r="V1604" s="362">
        <f t="shared" si="1641"/>
        <v>7.7162287826107896</v>
      </c>
      <c r="X1604" s="351"/>
    </row>
    <row r="1605" spans="3:24" ht="24.75" customHeight="1" x14ac:dyDescent="0.3">
      <c r="C1605" s="353">
        <f>ABS(E1605-Dashboard!$F$14)</f>
        <v>16.85344021530949</v>
      </c>
      <c r="D1605" s="350">
        <f t="shared" si="1587"/>
        <v>0.23324999999998955</v>
      </c>
      <c r="E1605" s="359" cm="1">
        <f t="array" ref="E1605">1000*SUM('DRE + DCF'!$L$36/M1605,'DRE + DCF'!$N$36:$V$36/N1605:V1605,F1605/V1605)/Dashboard!$F$11</f>
        <v>80.136559784690505</v>
      </c>
      <c r="F1605" s="359">
        <f t="shared" si="1585"/>
        <v>11778367.670548823</v>
      </c>
      <c r="G1605" s="359">
        <f>'DRE + DCF'!$W$31</f>
        <v>2791623.3540418856</v>
      </c>
      <c r="H1605" s="359">
        <f>'DRE + DCF'!$W$32</f>
        <v>81081.931703745853</v>
      </c>
      <c r="I1605" s="359">
        <f>-H1605*('DRE + DCF'!$V$33+K1605)/'DRE + DCF'!$V$33</f>
        <v>-90858.801614444121</v>
      </c>
      <c r="J1605" s="359">
        <f>-'DRE + DCF'!$V$56*L1605</f>
        <v>-1188924.4255577971</v>
      </c>
      <c r="K1605" s="360">
        <f>(1+L1605)/(1+Ke!$O$12)-1</f>
        <v>2.0000000000000018E-2</v>
      </c>
      <c r="L1605" s="360">
        <f>'DRE + DCF'!$Y$31</f>
        <v>7.3550000000000004E-2</v>
      </c>
      <c r="M1605" s="361">
        <f>(1+D1605)^((5-Dashboard!$F$9)*3/12)</f>
        <v>1.1702761198627631</v>
      </c>
      <c r="N1605" s="361">
        <f t="shared" ref="N1605:V1605" si="1642">M1605*(1+$D1605)</f>
        <v>1.4432430248207404</v>
      </c>
      <c r="O1605" s="361">
        <f t="shared" si="1642"/>
        <v>1.7798794603601631</v>
      </c>
      <c r="P1605" s="361">
        <f t="shared" si="1642"/>
        <v>2.1950363444891523</v>
      </c>
      <c r="Q1605" s="361">
        <f t="shared" si="1642"/>
        <v>2.7070285718412239</v>
      </c>
      <c r="R1605" s="361">
        <f t="shared" si="1642"/>
        <v>3.338442986223161</v>
      </c>
      <c r="S1605" s="361">
        <f t="shared" si="1642"/>
        <v>4.1171348127596783</v>
      </c>
      <c r="T1605" s="361">
        <f t="shared" si="1642"/>
        <v>5.07745650783583</v>
      </c>
      <c r="U1605" s="361">
        <f t="shared" si="1642"/>
        <v>6.2617732382884839</v>
      </c>
      <c r="V1605" s="362">
        <f t="shared" si="1642"/>
        <v>7.7223318461192072</v>
      </c>
      <c r="X1605" s="351"/>
    </row>
    <row r="1606" spans="3:24" ht="24.75" customHeight="1" x14ac:dyDescent="0.3">
      <c r="C1606" s="353">
        <f>ABS(E1606-Dashboard!$F$14)</f>
        <v>16.909506259137942</v>
      </c>
      <c r="D1606" s="350">
        <f t="shared" si="1587"/>
        <v>0.23334999999998954</v>
      </c>
      <c r="E1606" s="359" cm="1">
        <f t="array" ref="E1606">1000*SUM('DRE + DCF'!$L$36/M1606,'DRE + DCF'!$N$36:$V$36/N1606:V1606,F1606/V1606)/Dashboard!$F$11</f>
        <v>80.080493740862053</v>
      </c>
      <c r="F1606" s="359">
        <f t="shared" si="1585"/>
        <v>11772264.120152365</v>
      </c>
      <c r="G1606" s="359">
        <f>'DRE + DCF'!$W$31</f>
        <v>2791623.3540418856</v>
      </c>
      <c r="H1606" s="359">
        <f>'DRE + DCF'!$W$32</f>
        <v>81081.931703745853</v>
      </c>
      <c r="I1606" s="359">
        <f>-H1606*('DRE + DCF'!$V$33+K1606)/'DRE + DCF'!$V$33</f>
        <v>-90858.801614444121</v>
      </c>
      <c r="J1606" s="359">
        <f>-'DRE + DCF'!$V$56*L1606</f>
        <v>-1188924.4255577971</v>
      </c>
      <c r="K1606" s="360">
        <f>(1+L1606)/(1+Ke!$O$12)-1</f>
        <v>2.0000000000000018E-2</v>
      </c>
      <c r="L1606" s="360">
        <f>'DRE + DCF'!$Y$31</f>
        <v>7.3550000000000004E-2</v>
      </c>
      <c r="M1606" s="361">
        <f>(1+D1606)^((5-Dashboard!$F$9)*3/12)</f>
        <v>1.1703472893899405</v>
      </c>
      <c r="N1606" s="361">
        <f t="shared" ref="N1606:V1606" si="1643">M1606*(1+$D1606)</f>
        <v>1.4434478293690709</v>
      </c>
      <c r="O1606" s="361">
        <f t="shared" si="1643"/>
        <v>1.7802763803523285</v>
      </c>
      <c r="P1606" s="361">
        <f t="shared" si="1643"/>
        <v>2.1957038737075258</v>
      </c>
      <c r="Q1606" s="361">
        <f t="shared" si="1643"/>
        <v>2.7080713726371539</v>
      </c>
      <c r="R1606" s="361">
        <f t="shared" si="1643"/>
        <v>3.3399998274420053</v>
      </c>
      <c r="S1606" s="361">
        <f t="shared" si="1643"/>
        <v>4.1193887871755619</v>
      </c>
      <c r="T1606" s="361">
        <f t="shared" si="1643"/>
        <v>5.0806481606629363</v>
      </c>
      <c r="U1606" s="361">
        <f t="shared" si="1643"/>
        <v>6.2662174089535796</v>
      </c>
      <c r="V1606" s="362">
        <f t="shared" si="1643"/>
        <v>7.7284392413328318</v>
      </c>
      <c r="X1606" s="351"/>
    </row>
    <row r="1607" spans="3:24" ht="24.75" customHeight="1" x14ac:dyDescent="0.3">
      <c r="C1607" s="353">
        <f>ABS(E1607-Dashboard!$F$14)</f>
        <v>16.965504057096169</v>
      </c>
      <c r="D1607" s="350">
        <f t="shared" si="1587"/>
        <v>0.23344999999998953</v>
      </c>
      <c r="E1607" s="359" cm="1">
        <f t="array" ref="E1607">1000*SUM('DRE + DCF'!$L$36/M1607,'DRE + DCF'!$N$36:$V$36/N1607:V1607,F1607/V1607)/Dashboard!$F$11</f>
        <v>80.024495942903826</v>
      </c>
      <c r="F1607" s="359">
        <f t="shared" si="1585"/>
        <v>11766167.119064612</v>
      </c>
      <c r="G1607" s="359">
        <f>'DRE + DCF'!$W$31</f>
        <v>2791623.3540418856</v>
      </c>
      <c r="H1607" s="359">
        <f>'DRE + DCF'!$W$32</f>
        <v>81081.931703745853</v>
      </c>
      <c r="I1607" s="359">
        <f>-H1607*('DRE + DCF'!$V$33+K1607)/'DRE + DCF'!$V$33</f>
        <v>-90858.801614444121</v>
      </c>
      <c r="J1607" s="359">
        <f>-'DRE + DCF'!$V$56*L1607</f>
        <v>-1188924.4255577971</v>
      </c>
      <c r="K1607" s="360">
        <f>(1+L1607)/(1+Ke!$O$12)-1</f>
        <v>2.0000000000000018E-2</v>
      </c>
      <c r="L1607" s="360">
        <f>'DRE + DCF'!$Y$31</f>
        <v>7.3550000000000004E-2</v>
      </c>
      <c r="M1607" s="361">
        <f>(1+D1607)^((5-Dashboard!$F$9)*3/12)</f>
        <v>1.1704184574745267</v>
      </c>
      <c r="N1607" s="361">
        <f t="shared" ref="N1607:V1607" si="1644">M1607*(1+$D1607)</f>
        <v>1.4436526463719426</v>
      </c>
      <c r="O1607" s="361">
        <f t="shared" si="1644"/>
        <v>1.7806733566674573</v>
      </c>
      <c r="P1607" s="361">
        <f t="shared" si="1644"/>
        <v>2.1963715517814566</v>
      </c>
      <c r="Q1607" s="361">
        <f t="shared" si="1644"/>
        <v>2.7091144905448146</v>
      </c>
      <c r="R1607" s="361">
        <f t="shared" si="1644"/>
        <v>3.341557268362473</v>
      </c>
      <c r="S1607" s="361">
        <f t="shared" si="1644"/>
        <v>4.1216438126616577</v>
      </c>
      <c r="T1607" s="361">
        <f t="shared" si="1644"/>
        <v>5.0838415607274783</v>
      </c>
      <c r="U1607" s="361">
        <f t="shared" si="1644"/>
        <v>6.2706643730792546</v>
      </c>
      <c r="V1607" s="362">
        <f t="shared" si="1644"/>
        <v>7.7345509709745404</v>
      </c>
      <c r="X1607" s="351"/>
    </row>
    <row r="1608" spans="3:24" ht="24.75" customHeight="1" x14ac:dyDescent="0.3">
      <c r="C1608" s="353">
        <f>ABS(E1608-Dashboard!$F$14)</f>
        <v>17.021433725983385</v>
      </c>
      <c r="D1608" s="350">
        <f t="shared" si="1587"/>
        <v>0.23354999999998952</v>
      </c>
      <c r="E1608" s="359" cm="1">
        <f t="array" ref="E1608">1000*SUM('DRE + DCF'!$L$36/M1608,'DRE + DCF'!$N$36:$V$36/N1608:V1608,F1608/V1608)/Dashboard!$F$11</f>
        <v>79.968566274016609</v>
      </c>
      <c r="F1608" s="359">
        <f t="shared" si="1585"/>
        <v>11760076.656398322</v>
      </c>
      <c r="G1608" s="359">
        <f>'DRE + DCF'!$W$31</f>
        <v>2791623.3540418856</v>
      </c>
      <c r="H1608" s="359">
        <f>'DRE + DCF'!$W$32</f>
        <v>81081.931703745853</v>
      </c>
      <c r="I1608" s="359">
        <f>-H1608*('DRE + DCF'!$V$33+K1608)/'DRE + DCF'!$V$33</f>
        <v>-90858.801614444121</v>
      </c>
      <c r="J1608" s="359">
        <f>-'DRE + DCF'!$V$56*L1608</f>
        <v>-1188924.4255577971</v>
      </c>
      <c r="K1608" s="360">
        <f>(1+L1608)/(1+Ke!$O$12)-1</f>
        <v>2.0000000000000018E-2</v>
      </c>
      <c r="L1608" s="360">
        <f>'DRE + DCF'!$Y$31</f>
        <v>7.3550000000000004E-2</v>
      </c>
      <c r="M1608" s="361">
        <f>(1+D1608)^((5-Dashboard!$F$9)*3/12)</f>
        <v>1.1704896241166673</v>
      </c>
      <c r="N1608" s="361">
        <f t="shared" ref="N1608:V1608" si="1645">M1608*(1+$D1608)</f>
        <v>1.4438574758291027</v>
      </c>
      <c r="O1608" s="361">
        <f t="shared" si="1645"/>
        <v>1.7810703893089745</v>
      </c>
      <c r="P1608" s="361">
        <f t="shared" si="1645"/>
        <v>2.1970393787320668</v>
      </c>
      <c r="Q1608" s="361">
        <f t="shared" si="1645"/>
        <v>2.7101579256349178</v>
      </c>
      <c r="R1608" s="361">
        <f t="shared" si="1645"/>
        <v>3.3431153091669241</v>
      </c>
      <c r="S1608" s="361">
        <f t="shared" si="1645"/>
        <v>4.1238998896228241</v>
      </c>
      <c r="T1608" s="361">
        <f t="shared" si="1645"/>
        <v>5.0870367088441917</v>
      </c>
      <c r="U1608" s="361">
        <f t="shared" si="1645"/>
        <v>6.275114132194699</v>
      </c>
      <c r="V1608" s="362">
        <f t="shared" si="1645"/>
        <v>7.7406670377687048</v>
      </c>
      <c r="X1608" s="351"/>
    </row>
    <row r="1609" spans="3:24" ht="24.75" customHeight="1" x14ac:dyDescent="0.3">
      <c r="C1609" s="353">
        <f>ABS(E1609-Dashboard!$F$14)</f>
        <v>17.077295382337113</v>
      </c>
      <c r="D1609" s="350">
        <f t="shared" si="1587"/>
        <v>0.2336499999999895</v>
      </c>
      <c r="E1609" s="359" cm="1">
        <f t="array" ref="E1609">1000*SUM('DRE + DCF'!$L$36/M1609,'DRE + DCF'!$N$36:$V$36/N1609:V1609,F1609/V1609)/Dashboard!$F$11</f>
        <v>79.912704617662882</v>
      </c>
      <c r="F1609" s="359">
        <f t="shared" si="1585"/>
        <v>11753992.721291065</v>
      </c>
      <c r="G1609" s="359">
        <f>'DRE + DCF'!$W$31</f>
        <v>2791623.3540418856</v>
      </c>
      <c r="H1609" s="359">
        <f>'DRE + DCF'!$W$32</f>
        <v>81081.931703745853</v>
      </c>
      <c r="I1609" s="359">
        <f>-H1609*('DRE + DCF'!$V$33+K1609)/'DRE + DCF'!$V$33</f>
        <v>-90858.801614444121</v>
      </c>
      <c r="J1609" s="359">
        <f>-'DRE + DCF'!$V$56*L1609</f>
        <v>-1188924.4255577971</v>
      </c>
      <c r="K1609" s="360">
        <f>(1+L1609)/(1+Ke!$O$12)-1</f>
        <v>2.0000000000000018E-2</v>
      </c>
      <c r="L1609" s="360">
        <f>'DRE + DCF'!$Y$31</f>
        <v>7.3550000000000004E-2</v>
      </c>
      <c r="M1609" s="361">
        <f>(1+D1609)^((5-Dashboard!$F$9)*3/12)</f>
        <v>1.1705607893165091</v>
      </c>
      <c r="N1609" s="361">
        <f t="shared" ref="N1609:V1609" si="1646">M1609*(1+$D1609)</f>
        <v>1.4440623177402991</v>
      </c>
      <c r="O1609" s="361">
        <f t="shared" si="1646"/>
        <v>1.7814674782803048</v>
      </c>
      <c r="P1609" s="361">
        <f t="shared" si="1646"/>
        <v>2.1977073545804795</v>
      </c>
      <c r="Q1609" s="361">
        <f t="shared" si="1646"/>
        <v>2.7112016779781856</v>
      </c>
      <c r="R1609" s="361">
        <f t="shared" si="1646"/>
        <v>3.3446739500377602</v>
      </c>
      <c r="S1609" s="361">
        <f t="shared" si="1646"/>
        <v>4.1261570184640481</v>
      </c>
      <c r="T1609" s="361">
        <f t="shared" si="1646"/>
        <v>5.0902336058281294</v>
      </c>
      <c r="U1609" s="361">
        <f t="shared" si="1646"/>
        <v>6.279566687829818</v>
      </c>
      <c r="V1609" s="362">
        <f t="shared" si="1646"/>
        <v>7.7467874444411891</v>
      </c>
      <c r="X1609" s="351"/>
    </row>
    <row r="1610" spans="3:24" ht="24.75" customHeight="1" x14ac:dyDescent="0.3">
      <c r="C1610" s="353">
        <f>ABS(E1610-Dashboard!$F$14)</f>
        <v>17.13308914243342</v>
      </c>
      <c r="D1610" s="350">
        <f t="shared" si="1587"/>
        <v>0.23374999999998949</v>
      </c>
      <c r="E1610" s="359" cm="1">
        <f t="array" ref="E1610">1000*SUM('DRE + DCF'!$L$36/M1610,'DRE + DCF'!$N$36:$V$36/N1610:V1610,F1610/V1610)/Dashboard!$F$11</f>
        <v>79.856910857566575</v>
      </c>
      <c r="F1610" s="359">
        <f t="shared" si="1585"/>
        <v>11747915.302905161</v>
      </c>
      <c r="G1610" s="359">
        <f>'DRE + DCF'!$W$31</f>
        <v>2791623.3540418856</v>
      </c>
      <c r="H1610" s="359">
        <f>'DRE + DCF'!$W$32</f>
        <v>81081.931703745853</v>
      </c>
      <c r="I1610" s="359">
        <f>-H1610*('DRE + DCF'!$V$33+K1610)/'DRE + DCF'!$V$33</f>
        <v>-90858.801614444121</v>
      </c>
      <c r="J1610" s="359">
        <f>-'DRE + DCF'!$V$56*L1610</f>
        <v>-1188924.4255577971</v>
      </c>
      <c r="K1610" s="360">
        <f>(1+L1610)/(1+Ke!$O$12)-1</f>
        <v>2.0000000000000018E-2</v>
      </c>
      <c r="L1610" s="360">
        <f>'DRE + DCF'!$Y$31</f>
        <v>7.3550000000000004E-2</v>
      </c>
      <c r="M1610" s="361">
        <f>(1+D1610)^((5-Dashboard!$F$9)*3/12)</f>
        <v>1.170631953074198</v>
      </c>
      <c r="N1610" s="361">
        <f t="shared" ref="N1610:V1610" si="1647">M1610*(1+$D1610)</f>
        <v>1.4442671721052793</v>
      </c>
      <c r="O1610" s="361">
        <f t="shared" si="1647"/>
        <v>1.7818646235848732</v>
      </c>
      <c r="P1610" s="361">
        <f t="shared" si="1647"/>
        <v>2.1983754793478187</v>
      </c>
      <c r="Q1610" s="361">
        <f t="shared" si="1647"/>
        <v>2.7122457476453481</v>
      </c>
      <c r="R1610" s="361">
        <f t="shared" si="1647"/>
        <v>3.3462331911574195</v>
      </c>
      <c r="S1610" s="361">
        <f t="shared" si="1647"/>
        <v>4.1284151995904308</v>
      </c>
      <c r="T1610" s="361">
        <f t="shared" si="1647"/>
        <v>5.0934322524946509</v>
      </c>
      <c r="U1610" s="361">
        <f t="shared" si="1647"/>
        <v>6.2840220415152217</v>
      </c>
      <c r="V1610" s="362">
        <f t="shared" si="1647"/>
        <v>7.7529121937193386</v>
      </c>
      <c r="X1610" s="351"/>
    </row>
    <row r="1611" spans="3:24" ht="24.75" customHeight="1" x14ac:dyDescent="0.3">
      <c r="C1611" s="353">
        <f>ABS(E1611-Dashboard!$F$14)</f>
        <v>17.188815122288219</v>
      </c>
      <c r="D1611" s="350">
        <f t="shared" si="1587"/>
        <v>0.23384999999998948</v>
      </c>
      <c r="E1611" s="359" cm="1">
        <f t="array" ref="E1611">1000*SUM('DRE + DCF'!$L$36/M1611,'DRE + DCF'!$N$36:$V$36/N1611:V1611,F1611/V1611)/Dashboard!$F$11</f>
        <v>79.801184877711776</v>
      </c>
      <c r="F1611" s="359">
        <f t="shared" si="1585"/>
        <v>11741844.390427601</v>
      </c>
      <c r="G1611" s="359">
        <f>'DRE + DCF'!$W$31</f>
        <v>2791623.3540418856</v>
      </c>
      <c r="H1611" s="359">
        <f>'DRE + DCF'!$W$32</f>
        <v>81081.931703745853</v>
      </c>
      <c r="I1611" s="359">
        <f>-H1611*('DRE + DCF'!$V$33+K1611)/'DRE + DCF'!$V$33</f>
        <v>-90858.801614444121</v>
      </c>
      <c r="J1611" s="359">
        <f>-'DRE + DCF'!$V$56*L1611</f>
        <v>-1188924.4255577971</v>
      </c>
      <c r="K1611" s="360">
        <f>(1+L1611)/(1+Ke!$O$12)-1</f>
        <v>2.0000000000000018E-2</v>
      </c>
      <c r="L1611" s="360">
        <f>'DRE + DCF'!$Y$31</f>
        <v>7.3550000000000004E-2</v>
      </c>
      <c r="M1611" s="361">
        <f>(1+D1611)^((5-Dashboard!$F$9)*3/12)</f>
        <v>1.1707031153898799</v>
      </c>
      <c r="N1611" s="361">
        <f t="shared" ref="N1611:V1611" si="1648">M1611*(1+$D1611)</f>
        <v>1.4444720389237911</v>
      </c>
      <c r="O1611" s="361">
        <f t="shared" si="1648"/>
        <v>1.7822618252261044</v>
      </c>
      <c r="P1611" s="361">
        <f t="shared" si="1648"/>
        <v>2.1990437530552103</v>
      </c>
      <c r="Q1611" s="361">
        <f t="shared" si="1648"/>
        <v>2.7132901347071479</v>
      </c>
      <c r="R1611" s="361">
        <f t="shared" si="1648"/>
        <v>3.3477930327083856</v>
      </c>
      <c r="S1611" s="361">
        <f t="shared" si="1648"/>
        <v>4.1306744334072061</v>
      </c>
      <c r="T1611" s="361">
        <f t="shared" si="1648"/>
        <v>5.0966326496594379</v>
      </c>
      <c r="U1611" s="361">
        <f t="shared" si="1648"/>
        <v>6.2884801947822435</v>
      </c>
      <c r="V1611" s="362">
        <f t="shared" si="1648"/>
        <v>7.7590412883320052</v>
      </c>
      <c r="X1611" s="351"/>
    </row>
    <row r="1612" spans="3:24" ht="24.75" customHeight="1" x14ac:dyDescent="0.3">
      <c r="C1612" s="353">
        <f>ABS(E1612-Dashboard!$F$14)</f>
        <v>17.244473437657589</v>
      </c>
      <c r="D1612" s="350">
        <f t="shared" si="1587"/>
        <v>0.23394999999998947</v>
      </c>
      <c r="E1612" s="359" cm="1">
        <f t="array" ref="E1612">1000*SUM('DRE + DCF'!$L$36/M1612,'DRE + DCF'!$N$36:$V$36/N1612:V1612,F1612/V1612)/Dashboard!$F$11</f>
        <v>79.745526562342405</v>
      </c>
      <c r="F1612" s="359">
        <f t="shared" si="1585"/>
        <v>11735779.973069977</v>
      </c>
      <c r="G1612" s="359">
        <f>'DRE + DCF'!$W$31</f>
        <v>2791623.3540418856</v>
      </c>
      <c r="H1612" s="359">
        <f>'DRE + DCF'!$W$32</f>
        <v>81081.931703745853</v>
      </c>
      <c r="I1612" s="359">
        <f>-H1612*('DRE + DCF'!$V$33+K1612)/'DRE + DCF'!$V$33</f>
        <v>-90858.801614444121</v>
      </c>
      <c r="J1612" s="359">
        <f>-'DRE + DCF'!$V$56*L1612</f>
        <v>-1188924.4255577971</v>
      </c>
      <c r="K1612" s="360">
        <f>(1+L1612)/(1+Ke!$O$12)-1</f>
        <v>2.0000000000000018E-2</v>
      </c>
      <c r="L1612" s="360">
        <f>'DRE + DCF'!$Y$31</f>
        <v>7.3550000000000004E-2</v>
      </c>
      <c r="M1612" s="361">
        <f>(1+D1612)^((5-Dashboard!$F$9)*3/12)</f>
        <v>1.1707742762637012</v>
      </c>
      <c r="N1612" s="361">
        <f t="shared" ref="N1612:V1612" si="1649">M1612*(1+$D1612)</f>
        <v>1.4446769181955819</v>
      </c>
      <c r="O1612" s="361">
        <f t="shared" si="1649"/>
        <v>1.7826590832074229</v>
      </c>
      <c r="P1612" s="361">
        <f t="shared" si="1649"/>
        <v>2.1997121757237807</v>
      </c>
      <c r="Q1612" s="361">
        <f t="shared" si="1649"/>
        <v>2.7143348392343358</v>
      </c>
      <c r="R1612" s="361">
        <f t="shared" si="1649"/>
        <v>3.3493534748731801</v>
      </c>
      <c r="S1612" s="361">
        <f t="shared" si="1649"/>
        <v>4.1329347203197253</v>
      </c>
      <c r="T1612" s="361">
        <f t="shared" si="1649"/>
        <v>5.0998347981384811</v>
      </c>
      <c r="U1612" s="361">
        <f t="shared" si="1649"/>
        <v>6.2929411491629246</v>
      </c>
      <c r="V1612" s="362">
        <f t="shared" si="1649"/>
        <v>7.765174731009524</v>
      </c>
      <c r="X1612" s="351"/>
    </row>
    <row r="1613" spans="3:24" ht="24.75" customHeight="1" x14ac:dyDescent="0.3">
      <c r="C1613" s="353">
        <f>ABS(E1613-Dashboard!$F$14)</f>
        <v>17.300064204038677</v>
      </c>
      <c r="D1613" s="350">
        <f t="shared" si="1587"/>
        <v>0.23404999999998946</v>
      </c>
      <c r="E1613" s="359" cm="1">
        <f t="array" ref="E1613">1000*SUM('DRE + DCF'!$L$36/M1613,'DRE + DCF'!$N$36:$V$36/N1613:V1613,F1613/V1613)/Dashboard!$F$11</f>
        <v>79.689935795961318</v>
      </c>
      <c r="F1613" s="359">
        <f t="shared" si="1585"/>
        <v>11729722.040068412</v>
      </c>
      <c r="G1613" s="359">
        <f>'DRE + DCF'!$W$31</f>
        <v>2791623.3540418856</v>
      </c>
      <c r="H1613" s="359">
        <f>'DRE + DCF'!$W$32</f>
        <v>81081.931703745853</v>
      </c>
      <c r="I1613" s="359">
        <f>-H1613*('DRE + DCF'!$V$33+K1613)/'DRE + DCF'!$V$33</f>
        <v>-90858.801614444121</v>
      </c>
      <c r="J1613" s="359">
        <f>-'DRE + DCF'!$V$56*L1613</f>
        <v>-1188924.4255577971</v>
      </c>
      <c r="K1613" s="360">
        <f>(1+L1613)/(1+Ke!$O$12)-1</f>
        <v>2.0000000000000018E-2</v>
      </c>
      <c r="L1613" s="360">
        <f>'DRE + DCF'!$Y$31</f>
        <v>7.3550000000000004E-2</v>
      </c>
      <c r="M1613" s="361">
        <f>(1+D1613)^((5-Dashboard!$F$9)*3/12)</f>
        <v>1.1708454356958078</v>
      </c>
      <c r="N1613" s="361">
        <f t="shared" ref="N1613:V1613" si="1650">M1613*(1+$D1613)</f>
        <v>1.4448818099203993</v>
      </c>
      <c r="O1613" s="361">
        <f t="shared" si="1650"/>
        <v>1.7830563975322535</v>
      </c>
      <c r="P1613" s="361">
        <f t="shared" si="1650"/>
        <v>2.2003807473746586</v>
      </c>
      <c r="Q1613" s="361">
        <f t="shared" si="1650"/>
        <v>2.7153798612976741</v>
      </c>
      <c r="R1613" s="361">
        <f t="shared" si="1650"/>
        <v>3.350914517834366</v>
      </c>
      <c r="S1613" s="361">
        <f t="shared" si="1650"/>
        <v>4.1351960607334641</v>
      </c>
      <c r="T1613" s="361">
        <f t="shared" si="1650"/>
        <v>5.1030386987480876</v>
      </c>
      <c r="U1613" s="361">
        <f t="shared" si="1650"/>
        <v>6.2974049061900237</v>
      </c>
      <c r="V1613" s="362">
        <f t="shared" si="1650"/>
        <v>7.771312524483732</v>
      </c>
      <c r="X1613" s="351"/>
    </row>
    <row r="1614" spans="3:24" ht="24.75" customHeight="1" x14ac:dyDescent="0.3">
      <c r="C1614" s="353">
        <f>ABS(E1614-Dashboard!$F$14)</f>
        <v>17.35558753667037</v>
      </c>
      <c r="D1614" s="350">
        <f t="shared" si="1587"/>
        <v>0.23414999999998945</v>
      </c>
      <c r="E1614" s="359" cm="1">
        <f t="array" ref="E1614">1000*SUM('DRE + DCF'!$L$36/M1614,'DRE + DCF'!$N$36:$V$36/N1614:V1614,F1614/V1614)/Dashboard!$F$11</f>
        <v>79.634412463329625</v>
      </c>
      <c r="F1614" s="359">
        <f t="shared" ref="F1614:F1677" si="1651">AVERAGE(SUM(G1614:J1614)*(1+L1614)/(D1614-L1614),G1614*(1+L1614)*(1-L1614/D1614)/(D1614-L1614))</f>
        <v>11723670.580683492</v>
      </c>
      <c r="G1614" s="359">
        <f>'DRE + DCF'!$W$31</f>
        <v>2791623.3540418856</v>
      </c>
      <c r="H1614" s="359">
        <f>'DRE + DCF'!$W$32</f>
        <v>81081.931703745853</v>
      </c>
      <c r="I1614" s="359">
        <f>-H1614*('DRE + DCF'!$V$33+K1614)/'DRE + DCF'!$V$33</f>
        <v>-90858.801614444121</v>
      </c>
      <c r="J1614" s="359">
        <f>-'DRE + DCF'!$V$56*L1614</f>
        <v>-1188924.4255577971</v>
      </c>
      <c r="K1614" s="360">
        <f>(1+L1614)/(1+Ke!$O$12)-1</f>
        <v>2.0000000000000018E-2</v>
      </c>
      <c r="L1614" s="360">
        <f>'DRE + DCF'!$Y$31</f>
        <v>7.3550000000000004E-2</v>
      </c>
      <c r="M1614" s="361">
        <f>(1+D1614)^((5-Dashboard!$F$9)*3/12)</f>
        <v>1.1709165936863457</v>
      </c>
      <c r="N1614" s="361">
        <f t="shared" ref="N1614:V1614" si="1652">M1614*(1+$D1614)</f>
        <v>1.4450867140979913</v>
      </c>
      <c r="O1614" s="361">
        <f t="shared" si="1652"/>
        <v>1.7834537682040206</v>
      </c>
      <c r="P1614" s="361">
        <f t="shared" si="1652"/>
        <v>2.2010494680289732</v>
      </c>
      <c r="Q1614" s="361">
        <f t="shared" si="1652"/>
        <v>2.7164252009679339</v>
      </c>
      <c r="R1614" s="361">
        <f t="shared" si="1652"/>
        <v>3.3524761617745469</v>
      </c>
      <c r="S1614" s="361">
        <f t="shared" si="1652"/>
        <v>4.1374584550540217</v>
      </c>
      <c r="T1614" s="361">
        <f t="shared" si="1652"/>
        <v>5.1062443523048771</v>
      </c>
      <c r="U1614" s="361">
        <f t="shared" si="1652"/>
        <v>6.3018714673970102</v>
      </c>
      <c r="V1614" s="362">
        <f t="shared" si="1652"/>
        <v>7.7774546714879538</v>
      </c>
      <c r="X1614" s="351"/>
    </row>
    <row r="1615" spans="3:24" ht="24.75" customHeight="1" x14ac:dyDescent="0.3">
      <c r="C1615" s="353">
        <f>ABS(E1615-Dashboard!$F$14)</f>
        <v>17.411043550534046</v>
      </c>
      <c r="D1615" s="350">
        <f t="shared" ref="D1615:D1678" si="1653">D1614+0.0001</f>
        <v>0.23424999999998944</v>
      </c>
      <c r="E1615" s="359" cm="1">
        <f t="array" ref="E1615">1000*SUM('DRE + DCF'!$L$36/M1615,'DRE + DCF'!$N$36:$V$36/N1615:V1615,F1615/V1615)/Dashboard!$F$11</f>
        <v>79.578956449465949</v>
      </c>
      <c r="F1615" s="359">
        <f t="shared" si="1651"/>
        <v>11717625.584200189</v>
      </c>
      <c r="G1615" s="359">
        <f>'DRE + DCF'!$W$31</f>
        <v>2791623.3540418856</v>
      </c>
      <c r="H1615" s="359">
        <f>'DRE + DCF'!$W$32</f>
        <v>81081.931703745853</v>
      </c>
      <c r="I1615" s="359">
        <f>-H1615*('DRE + DCF'!$V$33+K1615)/'DRE + DCF'!$V$33</f>
        <v>-90858.801614444121</v>
      </c>
      <c r="J1615" s="359">
        <f>-'DRE + DCF'!$V$56*L1615</f>
        <v>-1188924.4255577971</v>
      </c>
      <c r="K1615" s="360">
        <f>(1+L1615)/(1+Ke!$O$12)-1</f>
        <v>2.0000000000000018E-2</v>
      </c>
      <c r="L1615" s="360">
        <f>'DRE + DCF'!$Y$31</f>
        <v>7.3550000000000004E-2</v>
      </c>
      <c r="M1615" s="361">
        <f>(1+D1615)^((5-Dashboard!$F$9)*3/12)</f>
        <v>1.1709877502354609</v>
      </c>
      <c r="N1615" s="361">
        <f t="shared" ref="N1615:V1615" si="1654">M1615*(1+$D1615)</f>
        <v>1.4452916307281052</v>
      </c>
      <c r="O1615" s="361">
        <f t="shared" si="1654"/>
        <v>1.7838511952261484</v>
      </c>
      <c r="P1615" s="361">
        <f t="shared" si="1654"/>
        <v>2.2017183377078546</v>
      </c>
      <c r="Q1615" s="361">
        <f t="shared" si="1654"/>
        <v>2.7174708583158962</v>
      </c>
      <c r="R1615" s="361">
        <f t="shared" si="1654"/>
        <v>3.354038406876366</v>
      </c>
      <c r="S1615" s="361">
        <f t="shared" si="1654"/>
        <v>4.1397219036871196</v>
      </c>
      <c r="T1615" s="361">
        <f t="shared" si="1654"/>
        <v>5.1094517596257836</v>
      </c>
      <c r="U1615" s="361">
        <f t="shared" si="1654"/>
        <v>6.3063408343180694</v>
      </c>
      <c r="V1615" s="362">
        <f t="shared" si="1654"/>
        <v>7.7836011747570106</v>
      </c>
      <c r="X1615" s="351"/>
    </row>
    <row r="1616" spans="3:24" ht="24.75" customHeight="1" x14ac:dyDescent="0.3">
      <c r="C1616" s="353">
        <f>ABS(E1616-Dashboard!$F$14)</f>
        <v>17.466432360354389</v>
      </c>
      <c r="D1616" s="350">
        <f t="shared" si="1653"/>
        <v>0.23434999999998943</v>
      </c>
      <c r="E1616" s="359" cm="1">
        <f t="array" ref="E1616">1000*SUM('DRE + DCF'!$L$36/M1616,'DRE + DCF'!$N$36:$V$36/N1616:V1616,F1616/V1616)/Dashboard!$F$11</f>
        <v>79.523567639645606</v>
      </c>
      <c r="F1616" s="359">
        <f t="shared" si="1651"/>
        <v>11711587.039927786</v>
      </c>
      <c r="G1616" s="359">
        <f>'DRE + DCF'!$W$31</f>
        <v>2791623.3540418856</v>
      </c>
      <c r="H1616" s="359">
        <f>'DRE + DCF'!$W$32</f>
        <v>81081.931703745853</v>
      </c>
      <c r="I1616" s="359">
        <f>-H1616*('DRE + DCF'!$V$33+K1616)/'DRE + DCF'!$V$33</f>
        <v>-90858.801614444121</v>
      </c>
      <c r="J1616" s="359">
        <f>-'DRE + DCF'!$V$56*L1616</f>
        <v>-1188924.4255577971</v>
      </c>
      <c r="K1616" s="360">
        <f>(1+L1616)/(1+Ke!$O$12)-1</f>
        <v>2.0000000000000018E-2</v>
      </c>
      <c r="L1616" s="360">
        <f>'DRE + DCF'!$Y$31</f>
        <v>7.3550000000000004E-2</v>
      </c>
      <c r="M1616" s="361">
        <f>(1+D1616)^((5-Dashboard!$F$9)*3/12)</f>
        <v>1.1710589053432996</v>
      </c>
      <c r="N1616" s="361">
        <f t="shared" ref="N1616:V1616" si="1655">M1616*(1+$D1616)</f>
        <v>1.4454965598104894</v>
      </c>
      <c r="O1616" s="361">
        <f t="shared" si="1655"/>
        <v>1.7842486786020624</v>
      </c>
      <c r="P1616" s="361">
        <f t="shared" si="1655"/>
        <v>2.2023873564324368</v>
      </c>
      <c r="Q1616" s="361">
        <f t="shared" si="1655"/>
        <v>2.7185168334123548</v>
      </c>
      <c r="R1616" s="361">
        <f t="shared" si="1655"/>
        <v>3.3556012533225115</v>
      </c>
      <c r="S1616" s="361">
        <f t="shared" si="1655"/>
        <v>4.1419864070386065</v>
      </c>
      <c r="T1616" s="361">
        <f t="shared" si="1655"/>
        <v>5.1126609215280601</v>
      </c>
      <c r="U1616" s="361">
        <f t="shared" si="1655"/>
        <v>6.3108130084881067</v>
      </c>
      <c r="V1616" s="362">
        <f t="shared" si="1655"/>
        <v>7.7897520370272275</v>
      </c>
      <c r="X1616" s="351"/>
    </row>
    <row r="1617" spans="3:24" ht="24.75" customHeight="1" x14ac:dyDescent="0.3">
      <c r="C1617" s="353">
        <f>ABS(E1617-Dashboard!$F$14)</f>
        <v>17.521754080599905</v>
      </c>
      <c r="D1617" s="350">
        <f t="shared" si="1653"/>
        <v>0.23444999999998942</v>
      </c>
      <c r="E1617" s="359" cm="1">
        <f t="array" ref="E1617">1000*SUM('DRE + DCF'!$L$36/M1617,'DRE + DCF'!$N$36:$V$36/N1617:V1617,F1617/V1617)/Dashboard!$F$11</f>
        <v>79.46824591940009</v>
      </c>
      <c r="F1617" s="359">
        <f t="shared" si="1651"/>
        <v>11705554.937199824</v>
      </c>
      <c r="G1617" s="359">
        <f>'DRE + DCF'!$W$31</f>
        <v>2791623.3540418856</v>
      </c>
      <c r="H1617" s="359">
        <f>'DRE + DCF'!$W$32</f>
        <v>81081.931703745853</v>
      </c>
      <c r="I1617" s="359">
        <f>-H1617*('DRE + DCF'!$V$33+K1617)/'DRE + DCF'!$V$33</f>
        <v>-90858.801614444121</v>
      </c>
      <c r="J1617" s="359">
        <f>-'DRE + DCF'!$V$56*L1617</f>
        <v>-1188924.4255577971</v>
      </c>
      <c r="K1617" s="360">
        <f>(1+L1617)/(1+Ke!$O$12)-1</f>
        <v>2.0000000000000018E-2</v>
      </c>
      <c r="L1617" s="360">
        <f>'DRE + DCF'!$Y$31</f>
        <v>7.3550000000000004E-2</v>
      </c>
      <c r="M1617" s="361">
        <f>(1+D1617)^((5-Dashboard!$F$9)*3/12)</f>
        <v>1.1711300590100076</v>
      </c>
      <c r="N1617" s="361">
        <f t="shared" ref="N1617:V1617" si="1656">M1617*(1+$D1617)</f>
        <v>1.4457015013448915</v>
      </c>
      <c r="O1617" s="361">
        <f t="shared" si="1656"/>
        <v>1.7846462183351859</v>
      </c>
      <c r="P1617" s="361">
        <f t="shared" si="1656"/>
        <v>2.2030565242238511</v>
      </c>
      <c r="Q1617" s="361">
        <f t="shared" si="1656"/>
        <v>2.7195631263281097</v>
      </c>
      <c r="R1617" s="361">
        <f t="shared" si="1656"/>
        <v>3.357164701295706</v>
      </c>
      <c r="S1617" s="361">
        <f t="shared" si="1656"/>
        <v>4.1442519655144485</v>
      </c>
      <c r="T1617" s="361">
        <f t="shared" si="1656"/>
        <v>5.1158718388292668</v>
      </c>
      <c r="U1617" s="361">
        <f t="shared" si="1656"/>
        <v>6.3152879914427338</v>
      </c>
      <c r="V1617" s="362">
        <f t="shared" si="1656"/>
        <v>7.7959072610364153</v>
      </c>
      <c r="X1617" s="351"/>
    </row>
    <row r="1618" spans="3:24" ht="24.75" customHeight="1" x14ac:dyDescent="0.3">
      <c r="C1618" s="353">
        <f>ABS(E1618-Dashboard!$F$14)</f>
        <v>17.577008825483844</v>
      </c>
      <c r="D1618" s="350">
        <f t="shared" si="1653"/>
        <v>0.23454999999998941</v>
      </c>
      <c r="E1618" s="359" cm="1">
        <f t="array" ref="E1618">1000*SUM('DRE + DCF'!$L$36/M1618,'DRE + DCF'!$N$36:$V$36/N1618:V1618,F1618/V1618)/Dashboard!$F$11</f>
        <v>79.412991174516151</v>
      </c>
      <c r="F1618" s="359">
        <f t="shared" si="1651"/>
        <v>11699529.265374009</v>
      </c>
      <c r="G1618" s="359">
        <f>'DRE + DCF'!$W$31</f>
        <v>2791623.3540418856</v>
      </c>
      <c r="H1618" s="359">
        <f>'DRE + DCF'!$W$32</f>
        <v>81081.931703745853</v>
      </c>
      <c r="I1618" s="359">
        <f>-H1618*('DRE + DCF'!$V$33+K1618)/'DRE + DCF'!$V$33</f>
        <v>-90858.801614444121</v>
      </c>
      <c r="J1618" s="359">
        <f>-'DRE + DCF'!$V$56*L1618</f>
        <v>-1188924.4255577971</v>
      </c>
      <c r="K1618" s="360">
        <f>(1+L1618)/(1+Ke!$O$12)-1</f>
        <v>2.0000000000000018E-2</v>
      </c>
      <c r="L1618" s="360">
        <f>'DRE + DCF'!$Y$31</f>
        <v>7.3550000000000004E-2</v>
      </c>
      <c r="M1618" s="361">
        <f>(1+D1618)^((5-Dashboard!$F$9)*3/12)</f>
        <v>1.1712012112357306</v>
      </c>
      <c r="N1618" s="361">
        <f t="shared" ref="N1618:V1618" si="1657">M1618*(1+$D1618)</f>
        <v>1.4459064553310588</v>
      </c>
      <c r="O1618" s="361">
        <f t="shared" si="1657"/>
        <v>1.7850438144289433</v>
      </c>
      <c r="P1618" s="361">
        <f t="shared" si="1657"/>
        <v>2.2037258411032332</v>
      </c>
      <c r="Q1618" s="361">
        <f t="shared" si="1657"/>
        <v>2.720609737133973</v>
      </c>
      <c r="R1618" s="361">
        <f t="shared" si="1657"/>
        <v>3.3587287509787176</v>
      </c>
      <c r="S1618" s="361">
        <f t="shared" si="1657"/>
        <v>4.1465185795207402</v>
      </c>
      <c r="T1618" s="361">
        <f t="shared" si="1657"/>
        <v>5.1190845123472855</v>
      </c>
      <c r="U1618" s="361">
        <f t="shared" si="1657"/>
        <v>6.3197657847182871</v>
      </c>
      <c r="V1618" s="362">
        <f t="shared" si="1657"/>
        <v>7.8020668495238938</v>
      </c>
      <c r="X1618" s="351"/>
    </row>
    <row r="1619" spans="3:24" ht="24.75" customHeight="1" x14ac:dyDescent="0.3">
      <c r="C1619" s="353">
        <f>ABS(E1619-Dashboard!$F$14)</f>
        <v>17.63219670896477</v>
      </c>
      <c r="D1619" s="350">
        <f t="shared" si="1653"/>
        <v>0.23464999999998939</v>
      </c>
      <c r="E1619" s="359" cm="1">
        <f t="array" ref="E1619">1000*SUM('DRE + DCF'!$L$36/M1619,'DRE + DCF'!$N$36:$V$36/N1619:V1619,F1619/V1619)/Dashboard!$F$11</f>
        <v>79.357803291035225</v>
      </c>
      <c r="F1619" s="359">
        <f t="shared" si="1651"/>
        <v>11693510.013832163</v>
      </c>
      <c r="G1619" s="359">
        <f>'DRE + DCF'!$W$31</f>
        <v>2791623.3540418856</v>
      </c>
      <c r="H1619" s="359">
        <f>'DRE + DCF'!$W$32</f>
        <v>81081.931703745853</v>
      </c>
      <c r="I1619" s="359">
        <f>-H1619*('DRE + DCF'!$V$33+K1619)/'DRE + DCF'!$V$33</f>
        <v>-90858.801614444121</v>
      </c>
      <c r="J1619" s="359">
        <f>-'DRE + DCF'!$V$56*L1619</f>
        <v>-1188924.4255577971</v>
      </c>
      <c r="K1619" s="360">
        <f>(1+L1619)/(1+Ke!$O$12)-1</f>
        <v>2.0000000000000018E-2</v>
      </c>
      <c r="L1619" s="360">
        <f>'DRE + DCF'!$Y$31</f>
        <v>7.3550000000000004E-2</v>
      </c>
      <c r="M1619" s="361">
        <f>(1+D1619)^((5-Dashboard!$F$9)*3/12)</f>
        <v>1.1712723620206149</v>
      </c>
      <c r="N1619" s="361">
        <f t="shared" ref="N1619:V1619" si="1658">M1619*(1+$D1619)</f>
        <v>1.4461114217687396</v>
      </c>
      <c r="O1619" s="361">
        <f t="shared" si="1658"/>
        <v>1.7854414668867591</v>
      </c>
      <c r="P1619" s="361">
        <f t="shared" si="1658"/>
        <v>2.2043953070917182</v>
      </c>
      <c r="Q1619" s="361">
        <f t="shared" si="1658"/>
        <v>2.7216566659007664</v>
      </c>
      <c r="R1619" s="361">
        <f t="shared" si="1658"/>
        <v>3.3602934025543525</v>
      </c>
      <c r="S1619" s="361">
        <f t="shared" si="1658"/>
        <v>4.1487862494636953</v>
      </c>
      <c r="T1619" s="361">
        <f t="shared" si="1658"/>
        <v>5.122298942900307</v>
      </c>
      <c r="U1619" s="361">
        <f t="shared" si="1658"/>
        <v>6.3242463898518091</v>
      </c>
      <c r="V1619" s="362">
        <f t="shared" si="1658"/>
        <v>7.808230805230469</v>
      </c>
      <c r="X1619" s="351"/>
    </row>
    <row r="1620" spans="3:24" ht="24.75" customHeight="1" x14ac:dyDescent="0.3">
      <c r="C1620" s="353">
        <f>ABS(E1620-Dashboard!$F$14)</f>
        <v>17.687317844747383</v>
      </c>
      <c r="D1620" s="350">
        <f t="shared" si="1653"/>
        <v>0.23474999999998938</v>
      </c>
      <c r="E1620" s="359" cm="1">
        <f t="array" ref="E1620">1000*SUM('DRE + DCF'!$L$36/M1620,'DRE + DCF'!$N$36:$V$36/N1620:V1620,F1620/V1620)/Dashboard!$F$11</f>
        <v>79.302682155252612</v>
      </c>
      <c r="F1620" s="359">
        <f t="shared" si="1651"/>
        <v>11687497.171980135</v>
      </c>
      <c r="G1620" s="359">
        <f>'DRE + DCF'!$W$31</f>
        <v>2791623.3540418856</v>
      </c>
      <c r="H1620" s="359">
        <f>'DRE + DCF'!$W$32</f>
        <v>81081.931703745853</v>
      </c>
      <c r="I1620" s="359">
        <f>-H1620*('DRE + DCF'!$V$33+K1620)/'DRE + DCF'!$V$33</f>
        <v>-90858.801614444121</v>
      </c>
      <c r="J1620" s="359">
        <f>-'DRE + DCF'!$V$56*L1620</f>
        <v>-1188924.4255577971</v>
      </c>
      <c r="K1620" s="360">
        <f>(1+L1620)/(1+Ke!$O$12)-1</f>
        <v>2.0000000000000018E-2</v>
      </c>
      <c r="L1620" s="360">
        <f>'DRE + DCF'!$Y$31</f>
        <v>7.3550000000000004E-2</v>
      </c>
      <c r="M1620" s="361">
        <f>(1+D1620)^((5-Dashboard!$F$9)*3/12)</f>
        <v>1.1713435113648063</v>
      </c>
      <c r="N1620" s="361">
        <f t="shared" ref="N1620:V1620" si="1659">M1620*(1+$D1620)</f>
        <v>1.4463164006576821</v>
      </c>
      <c r="O1620" s="361">
        <f t="shared" si="1659"/>
        <v>1.7858391757120575</v>
      </c>
      <c r="P1620" s="361">
        <f t="shared" si="1659"/>
        <v>2.2050649222104441</v>
      </c>
      <c r="Q1620" s="361">
        <f t="shared" si="1659"/>
        <v>2.7227039126993224</v>
      </c>
      <c r="R1620" s="361">
        <f t="shared" si="1659"/>
        <v>3.3618586562054595</v>
      </c>
      <c r="S1620" s="361">
        <f t="shared" si="1659"/>
        <v>4.1510549757496555</v>
      </c>
      <c r="T1620" s="361">
        <f t="shared" si="1659"/>
        <v>5.1255151313068428</v>
      </c>
      <c r="U1620" s="361">
        <f t="shared" si="1659"/>
        <v>6.3287298083810697</v>
      </c>
      <c r="V1620" s="362">
        <f t="shared" si="1659"/>
        <v>7.8143991308984582</v>
      </c>
      <c r="X1620" s="351"/>
    </row>
    <row r="1621" spans="3:24" ht="24.75" customHeight="1" x14ac:dyDescent="0.3">
      <c r="C1621" s="353">
        <f>ABS(E1621-Dashboard!$F$14)</f>
        <v>17.742372346283148</v>
      </c>
      <c r="D1621" s="350">
        <f t="shared" si="1653"/>
        <v>0.23484999999998937</v>
      </c>
      <c r="E1621" s="359" cm="1">
        <f t="array" ref="E1621">1000*SUM('DRE + DCF'!$L$36/M1621,'DRE + DCF'!$N$36:$V$36/N1621:V1621,F1621/V1621)/Dashboard!$F$11</f>
        <v>79.247627653716847</v>
      </c>
      <c r="F1621" s="359">
        <f t="shared" si="1651"/>
        <v>11681490.729247749</v>
      </c>
      <c r="G1621" s="359">
        <f>'DRE + DCF'!$W$31</f>
        <v>2791623.3540418856</v>
      </c>
      <c r="H1621" s="359">
        <f>'DRE + DCF'!$W$32</f>
        <v>81081.931703745853</v>
      </c>
      <c r="I1621" s="359">
        <f>-H1621*('DRE + DCF'!$V$33+K1621)/'DRE + DCF'!$V$33</f>
        <v>-90858.801614444121</v>
      </c>
      <c r="J1621" s="359">
        <f>-'DRE + DCF'!$V$56*L1621</f>
        <v>-1188924.4255577971</v>
      </c>
      <c r="K1621" s="360">
        <f>(1+L1621)/(1+Ke!$O$12)-1</f>
        <v>2.0000000000000018E-2</v>
      </c>
      <c r="L1621" s="360">
        <f>'DRE + DCF'!$Y$31</f>
        <v>7.3550000000000004E-2</v>
      </c>
      <c r="M1621" s="361">
        <f>(1+D1621)^((5-Dashboard!$F$9)*3/12)</f>
        <v>1.1714146592684502</v>
      </c>
      <c r="N1621" s="361">
        <f t="shared" ref="N1621:V1621" si="1660">M1621*(1+$D1621)</f>
        <v>1.4465213919976332</v>
      </c>
      <c r="O1621" s="361">
        <f t="shared" si="1660"/>
        <v>1.7862369409082619</v>
      </c>
      <c r="P1621" s="361">
        <f t="shared" si="1660"/>
        <v>2.205734686480548</v>
      </c>
      <c r="Q1621" s="361">
        <f t="shared" si="1660"/>
        <v>2.7237514776004814</v>
      </c>
      <c r="R1621" s="361">
        <f t="shared" si="1660"/>
        <v>3.3634245121149253</v>
      </c>
      <c r="S1621" s="361">
        <f t="shared" si="1660"/>
        <v>4.1533247587850797</v>
      </c>
      <c r="T1621" s="361">
        <f t="shared" si="1660"/>
        <v>5.1287330783857117</v>
      </c>
      <c r="U1621" s="361">
        <f t="shared" si="1660"/>
        <v>6.3332160418445413</v>
      </c>
      <c r="V1621" s="362">
        <f t="shared" si="1660"/>
        <v>7.8205718292716648</v>
      </c>
      <c r="X1621" s="351"/>
    </row>
    <row r="1622" spans="3:24" ht="24.75" customHeight="1" x14ac:dyDescent="0.3">
      <c r="C1622" s="353">
        <f>ABS(E1622-Dashboard!$F$14)</f>
        <v>17.797360326771155</v>
      </c>
      <c r="D1622" s="350">
        <f t="shared" si="1653"/>
        <v>0.23494999999998936</v>
      </c>
      <c r="E1622" s="359" cm="1">
        <f t="array" ref="E1622">1000*SUM('DRE + DCF'!$L$36/M1622,'DRE + DCF'!$N$36:$V$36/N1622:V1622,F1622/V1622)/Dashboard!$F$11</f>
        <v>79.19263967322884</v>
      </c>
      <c r="F1622" s="359">
        <f t="shared" si="1651"/>
        <v>11675490.675088717</v>
      </c>
      <c r="G1622" s="359">
        <f>'DRE + DCF'!$W$31</f>
        <v>2791623.3540418856</v>
      </c>
      <c r="H1622" s="359">
        <f>'DRE + DCF'!$W$32</f>
        <v>81081.931703745853</v>
      </c>
      <c r="I1622" s="359">
        <f>-H1622*('DRE + DCF'!$V$33+K1622)/'DRE + DCF'!$V$33</f>
        <v>-90858.801614444121</v>
      </c>
      <c r="J1622" s="359">
        <f>-'DRE + DCF'!$V$56*L1622</f>
        <v>-1188924.4255577971</v>
      </c>
      <c r="K1622" s="360">
        <f>(1+L1622)/(1+Ke!$O$12)-1</f>
        <v>2.0000000000000018E-2</v>
      </c>
      <c r="L1622" s="360">
        <f>'DRE + DCF'!$Y$31</f>
        <v>7.3550000000000004E-2</v>
      </c>
      <c r="M1622" s="361">
        <f>(1+D1622)^((5-Dashboard!$F$9)*3/12)</f>
        <v>1.171485805731693</v>
      </c>
      <c r="N1622" s="361">
        <f t="shared" ref="N1622:V1622" si="1661">M1622*(1+$D1622)</f>
        <v>1.4467263957883418</v>
      </c>
      <c r="O1622" s="361">
        <f t="shared" si="1661"/>
        <v>1.7866347624787973</v>
      </c>
      <c r="P1622" s="361">
        <f t="shared" si="1661"/>
        <v>2.2064045999231716</v>
      </c>
      <c r="Q1622" s="361">
        <f t="shared" si="1661"/>
        <v>2.7247993606750973</v>
      </c>
      <c r="R1622" s="361">
        <f t="shared" si="1661"/>
        <v>3.3649909704656822</v>
      </c>
      <c r="S1622" s="361">
        <f t="shared" si="1661"/>
        <v>4.1555955989765581</v>
      </c>
      <c r="T1622" s="361">
        <f t="shared" si="1661"/>
        <v>5.1319527849560558</v>
      </c>
      <c r="U1622" s="361">
        <f t="shared" si="1661"/>
        <v>6.3377050917814266</v>
      </c>
      <c r="V1622" s="362">
        <f t="shared" si="1661"/>
        <v>7.8267489030954049</v>
      </c>
      <c r="X1622" s="351"/>
    </row>
    <row r="1623" spans="3:24" ht="24.75" customHeight="1" x14ac:dyDescent="0.3">
      <c r="C1623" s="353">
        <f>ABS(E1623-Dashboard!$F$14)</f>
        <v>17.852281899158541</v>
      </c>
      <c r="D1623" s="350">
        <f t="shared" si="1653"/>
        <v>0.23504999999998935</v>
      </c>
      <c r="E1623" s="359" cm="1">
        <f t="array" ref="E1623">1000*SUM('DRE + DCF'!$L$36/M1623,'DRE + DCF'!$N$36:$V$36/N1623:V1623,F1623/V1623)/Dashboard!$F$11</f>
        <v>79.137718100841454</v>
      </c>
      <c r="F1623" s="359">
        <f t="shared" si="1651"/>
        <v>11669496.998980593</v>
      </c>
      <c r="G1623" s="359">
        <f>'DRE + DCF'!$W$31</f>
        <v>2791623.3540418856</v>
      </c>
      <c r="H1623" s="359">
        <f>'DRE + DCF'!$W$32</f>
        <v>81081.931703745853</v>
      </c>
      <c r="I1623" s="359">
        <f>-H1623*('DRE + DCF'!$V$33+K1623)/'DRE + DCF'!$V$33</f>
        <v>-90858.801614444121</v>
      </c>
      <c r="J1623" s="359">
        <f>-'DRE + DCF'!$V$56*L1623</f>
        <v>-1188924.4255577971</v>
      </c>
      <c r="K1623" s="360">
        <f>(1+L1623)/(1+Ke!$O$12)-1</f>
        <v>2.0000000000000018E-2</v>
      </c>
      <c r="L1623" s="360">
        <f>'DRE + DCF'!$Y$31</f>
        <v>7.3550000000000004E-2</v>
      </c>
      <c r="M1623" s="361">
        <f>(1+D1623)^((5-Dashboard!$F$9)*3/12)</f>
        <v>1.1715569507546804</v>
      </c>
      <c r="N1623" s="361">
        <f t="shared" ref="N1623:V1623" si="1662">M1623*(1+$D1623)</f>
        <v>1.4469314120295556</v>
      </c>
      <c r="O1623" s="361">
        <f t="shared" si="1662"/>
        <v>1.7870326404270871</v>
      </c>
      <c r="P1623" s="361">
        <f t="shared" si="1662"/>
        <v>2.2070746625594548</v>
      </c>
      <c r="Q1623" s="361">
        <f t="shared" si="1662"/>
        <v>2.7258475619940312</v>
      </c>
      <c r="R1623" s="361">
        <f t="shared" si="1662"/>
        <v>3.3665580314406993</v>
      </c>
      <c r="S1623" s="361">
        <f t="shared" si="1662"/>
        <v>4.1578674967308</v>
      </c>
      <c r="T1623" s="361">
        <f t="shared" si="1662"/>
        <v>5.1351742518373298</v>
      </c>
      <c r="U1623" s="361">
        <f t="shared" si="1662"/>
        <v>6.3421969597316394</v>
      </c>
      <c r="V1623" s="362">
        <f t="shared" si="1662"/>
        <v>7.8329303551164937</v>
      </c>
      <c r="X1623" s="351"/>
    </row>
    <row r="1624" spans="3:24" ht="24.75" customHeight="1" x14ac:dyDescent="0.3">
      <c r="C1624" s="353">
        <f>ABS(E1624-Dashboard!$F$14)</f>
        <v>17.907137176141433</v>
      </c>
      <c r="D1624" s="350">
        <f t="shared" si="1653"/>
        <v>0.23514999999998934</v>
      </c>
      <c r="E1624" s="359" cm="1">
        <f t="array" ref="E1624">1000*SUM('DRE + DCF'!$L$36/M1624,'DRE + DCF'!$N$36:$V$36/N1624:V1624,F1624/V1624)/Dashboard!$F$11</f>
        <v>79.082862823858562</v>
      </c>
      <c r="F1624" s="359">
        <f t="shared" si="1651"/>
        <v>11663509.690424677</v>
      </c>
      <c r="G1624" s="359">
        <f>'DRE + DCF'!$W$31</f>
        <v>2791623.3540418856</v>
      </c>
      <c r="H1624" s="359">
        <f>'DRE + DCF'!$W$32</f>
        <v>81081.931703745853</v>
      </c>
      <c r="I1624" s="359">
        <f>-H1624*('DRE + DCF'!$V$33+K1624)/'DRE + DCF'!$V$33</f>
        <v>-90858.801614444121</v>
      </c>
      <c r="J1624" s="359">
        <f>-'DRE + DCF'!$V$56*L1624</f>
        <v>-1188924.4255577971</v>
      </c>
      <c r="K1624" s="360">
        <f>(1+L1624)/(1+Ke!$O$12)-1</f>
        <v>2.0000000000000018E-2</v>
      </c>
      <c r="L1624" s="360">
        <f>'DRE + DCF'!$Y$31</f>
        <v>7.3550000000000004E-2</v>
      </c>
      <c r="M1624" s="361">
        <f>(1+D1624)^((5-Dashboard!$F$9)*3/12)</f>
        <v>1.1716280943375579</v>
      </c>
      <c r="N1624" s="361">
        <f t="shared" ref="N1624:V1624" si="1663">M1624*(1+$D1624)</f>
        <v>1.4471364407210221</v>
      </c>
      <c r="O1624" s="361">
        <f t="shared" si="1663"/>
        <v>1.7874305747565549</v>
      </c>
      <c r="P1624" s="361">
        <f t="shared" si="1663"/>
        <v>2.2077448744105395</v>
      </c>
      <c r="Q1624" s="361">
        <f t="shared" si="1663"/>
        <v>2.726896081628154</v>
      </c>
      <c r="R1624" s="361">
        <f t="shared" si="1663"/>
        <v>3.3681256952229854</v>
      </c>
      <c r="S1624" s="361">
        <f t="shared" si="1663"/>
        <v>4.1601404524546348</v>
      </c>
      <c r="T1624" s="361">
        <f t="shared" si="1663"/>
        <v>5.1383974798492975</v>
      </c>
      <c r="U1624" s="361">
        <f t="shared" si="1663"/>
        <v>6.3466916472358053</v>
      </c>
      <c r="V1624" s="362">
        <f t="shared" si="1663"/>
        <v>7.8391161880832367</v>
      </c>
      <c r="X1624" s="351"/>
    </row>
    <row r="1625" spans="3:24" ht="24.75" customHeight="1" x14ac:dyDescent="0.3">
      <c r="C1625" s="353">
        <f>ABS(E1625-Dashboard!$F$14)</f>
        <v>17.961926270165705</v>
      </c>
      <c r="D1625" s="350">
        <f t="shared" si="1653"/>
        <v>0.23524999999998933</v>
      </c>
      <c r="E1625" s="359" cm="1">
        <f t="array" ref="E1625">1000*SUM('DRE + DCF'!$L$36/M1625,'DRE + DCF'!$N$36:$V$36/N1625:V1625,F1625/V1625)/Dashboard!$F$11</f>
        <v>79.02807372983429</v>
      </c>
      <c r="F1625" s="359">
        <f t="shared" si="1651"/>
        <v>11657528.738945965</v>
      </c>
      <c r="G1625" s="359">
        <f>'DRE + DCF'!$W$31</f>
        <v>2791623.3540418856</v>
      </c>
      <c r="H1625" s="359">
        <f>'DRE + DCF'!$W$32</f>
        <v>81081.931703745853</v>
      </c>
      <c r="I1625" s="359">
        <f>-H1625*('DRE + DCF'!$V$33+K1625)/'DRE + DCF'!$V$33</f>
        <v>-90858.801614444121</v>
      </c>
      <c r="J1625" s="359">
        <f>-'DRE + DCF'!$V$56*L1625</f>
        <v>-1188924.4255577971</v>
      </c>
      <c r="K1625" s="360">
        <f>(1+L1625)/(1+Ke!$O$12)-1</f>
        <v>2.0000000000000018E-2</v>
      </c>
      <c r="L1625" s="360">
        <f>'DRE + DCF'!$Y$31</f>
        <v>7.3550000000000004E-2</v>
      </c>
      <c r="M1625" s="361">
        <f>(1+D1625)^((5-Dashboard!$F$9)*3/12)</f>
        <v>1.1716992364804713</v>
      </c>
      <c r="N1625" s="361">
        <f t="shared" ref="N1625:V1625" si="1664">M1625*(1+$D1625)</f>
        <v>1.4473414818624897</v>
      </c>
      <c r="O1625" s="361">
        <f t="shared" si="1664"/>
        <v>1.787828565470625</v>
      </c>
      <c r="P1625" s="361">
        <f t="shared" si="1664"/>
        <v>2.2084152354975704</v>
      </c>
      <c r="Q1625" s="361">
        <f t="shared" si="1664"/>
        <v>2.7279449196483503</v>
      </c>
      <c r="R1625" s="361">
        <f t="shared" si="1664"/>
        <v>3.3696939619955955</v>
      </c>
      <c r="S1625" s="361">
        <f t="shared" si="1664"/>
        <v>4.1624144665550231</v>
      </c>
      <c r="T1625" s="361">
        <f t="shared" si="1664"/>
        <v>5.1416224698120478</v>
      </c>
      <c r="U1625" s="361">
        <f t="shared" si="1664"/>
        <v>6.3511891558352769</v>
      </c>
      <c r="V1625" s="362">
        <f t="shared" si="1664"/>
        <v>7.8453064047454575</v>
      </c>
      <c r="X1625" s="351"/>
    </row>
    <row r="1626" spans="3:24" ht="24.75" customHeight="1" x14ac:dyDescent="0.3">
      <c r="C1626" s="353">
        <f>ABS(E1626-Dashboard!$F$14)</f>
        <v>18.016649293427378</v>
      </c>
      <c r="D1626" s="350">
        <f t="shared" si="1653"/>
        <v>0.23534999999998932</v>
      </c>
      <c r="E1626" s="359" cm="1">
        <f t="array" ref="E1626">1000*SUM('DRE + DCF'!$L$36/M1626,'DRE + DCF'!$N$36:$V$36/N1626:V1626,F1626/V1626)/Dashboard!$F$11</f>
        <v>78.973350706572617</v>
      </c>
      <c r="F1626" s="359">
        <f t="shared" si="1651"/>
        <v>11651554.134093076</v>
      </c>
      <c r="G1626" s="359">
        <f>'DRE + DCF'!$W$31</f>
        <v>2791623.3540418856</v>
      </c>
      <c r="H1626" s="359">
        <f>'DRE + DCF'!$W$32</f>
        <v>81081.931703745853</v>
      </c>
      <c r="I1626" s="359">
        <f>-H1626*('DRE + DCF'!$V$33+K1626)/'DRE + DCF'!$V$33</f>
        <v>-90858.801614444121</v>
      </c>
      <c r="J1626" s="359">
        <f>-'DRE + DCF'!$V$56*L1626</f>
        <v>-1188924.4255577971</v>
      </c>
      <c r="K1626" s="360">
        <f>(1+L1626)/(1+Ke!$O$12)-1</f>
        <v>2.0000000000000018E-2</v>
      </c>
      <c r="L1626" s="360">
        <f>'DRE + DCF'!$Y$31</f>
        <v>7.3550000000000004E-2</v>
      </c>
      <c r="M1626" s="361">
        <f>(1+D1626)^((5-Dashboard!$F$9)*3/12)</f>
        <v>1.1717703771835664</v>
      </c>
      <c r="N1626" s="361">
        <f t="shared" ref="N1626:V1626" si="1665">M1626*(1+$D1626)</f>
        <v>1.447546535453706</v>
      </c>
      <c r="O1626" s="361">
        <f t="shared" si="1665"/>
        <v>1.7882266125727202</v>
      </c>
      <c r="P1626" s="361">
        <f t="shared" si="1665"/>
        <v>2.2090857458416906</v>
      </c>
      <c r="Q1626" s="361">
        <f t="shared" si="1665"/>
        <v>2.7289940761255087</v>
      </c>
      <c r="R1626" s="361">
        <f t="shared" si="1665"/>
        <v>3.371262831941618</v>
      </c>
      <c r="S1626" s="361">
        <f t="shared" si="1665"/>
        <v>4.164689539439042</v>
      </c>
      <c r="T1626" s="361">
        <f t="shared" si="1665"/>
        <v>5.1448492225459761</v>
      </c>
      <c r="U1626" s="361">
        <f t="shared" si="1665"/>
        <v>6.3556894870721168</v>
      </c>
      <c r="V1626" s="362">
        <f t="shared" si="1665"/>
        <v>7.8515010078544716</v>
      </c>
      <c r="X1626" s="351"/>
    </row>
    <row r="1627" spans="3:24" ht="24.75" customHeight="1" x14ac:dyDescent="0.3">
      <c r="C1627" s="353">
        <f>ABS(E1627-Dashboard!$F$14)</f>
        <v>18.071306357873596</v>
      </c>
      <c r="D1627" s="350">
        <f t="shared" si="1653"/>
        <v>0.23544999999998931</v>
      </c>
      <c r="E1627" s="359" cm="1">
        <f t="array" ref="E1627">1000*SUM('DRE + DCF'!$L$36/M1627,'DRE + DCF'!$N$36:$V$36/N1627:V1627,F1627/V1627)/Dashboard!$F$11</f>
        <v>78.918693642126399</v>
      </c>
      <c r="F1627" s="359">
        <f t="shared" si="1651"/>
        <v>11645585.865438186</v>
      </c>
      <c r="G1627" s="359">
        <f>'DRE + DCF'!$W$31</f>
        <v>2791623.3540418856</v>
      </c>
      <c r="H1627" s="359">
        <f>'DRE + DCF'!$W$32</f>
        <v>81081.931703745853</v>
      </c>
      <c r="I1627" s="359">
        <f>-H1627*('DRE + DCF'!$V$33+K1627)/'DRE + DCF'!$V$33</f>
        <v>-90858.801614444121</v>
      </c>
      <c r="J1627" s="359">
        <f>-'DRE + DCF'!$V$56*L1627</f>
        <v>-1188924.4255577971</v>
      </c>
      <c r="K1627" s="360">
        <f>(1+L1627)/(1+Ke!$O$12)-1</f>
        <v>2.0000000000000018E-2</v>
      </c>
      <c r="L1627" s="360">
        <f>'DRE + DCF'!$Y$31</f>
        <v>7.3550000000000004E-2</v>
      </c>
      <c r="M1627" s="361">
        <f>(1+D1627)^((5-Dashboard!$F$9)*3/12)</f>
        <v>1.1718415164469889</v>
      </c>
      <c r="N1627" s="361">
        <f t="shared" ref="N1627:V1627" si="1666">M1627*(1+$D1627)</f>
        <v>1.4477516014944198</v>
      </c>
      <c r="O1627" s="361">
        <f t="shared" si="1666"/>
        <v>1.7886247160662654</v>
      </c>
      <c r="P1627" s="361">
        <f t="shared" si="1666"/>
        <v>2.2097564054640486</v>
      </c>
      <c r="Q1627" s="361">
        <f t="shared" si="1666"/>
        <v>2.7300435511305352</v>
      </c>
      <c r="R1627" s="361">
        <f t="shared" si="1666"/>
        <v>3.3728323052441906</v>
      </c>
      <c r="S1627" s="361">
        <f t="shared" si="1666"/>
        <v>4.166965671513899</v>
      </c>
      <c r="T1627" s="361">
        <f t="shared" si="1666"/>
        <v>5.1480777388718018</v>
      </c>
      <c r="U1627" s="361">
        <f t="shared" si="1666"/>
        <v>6.3601926424891122</v>
      </c>
      <c r="V1627" s="362">
        <f t="shared" si="1666"/>
        <v>7.8577000001631054</v>
      </c>
      <c r="X1627" s="351"/>
    </row>
    <row r="1628" spans="3:24" ht="24.75" customHeight="1" x14ac:dyDescent="0.3">
      <c r="C1628" s="353">
        <f>ABS(E1628-Dashboard!$F$14)</f>
        <v>18.125897575203183</v>
      </c>
      <c r="D1628" s="350">
        <f t="shared" si="1653"/>
        <v>0.2355499999999893</v>
      </c>
      <c r="E1628" s="359" cm="1">
        <f t="array" ref="E1628">1000*SUM('DRE + DCF'!$L$36/M1628,'DRE + DCF'!$N$36:$V$36/N1628:V1628,F1628/V1628)/Dashboard!$F$11</f>
        <v>78.864102424796812</v>
      </c>
      <c r="F1628" s="359">
        <f t="shared" si="1651"/>
        <v>11639623.922576951</v>
      </c>
      <c r="G1628" s="359">
        <f>'DRE + DCF'!$W$31</f>
        <v>2791623.3540418856</v>
      </c>
      <c r="H1628" s="359">
        <f>'DRE + DCF'!$W$32</f>
        <v>81081.931703745853</v>
      </c>
      <c r="I1628" s="359">
        <f>-H1628*('DRE + DCF'!$V$33+K1628)/'DRE + DCF'!$V$33</f>
        <v>-90858.801614444121</v>
      </c>
      <c r="J1628" s="359">
        <f>-'DRE + DCF'!$V$56*L1628</f>
        <v>-1188924.4255577971</v>
      </c>
      <c r="K1628" s="360">
        <f>(1+L1628)/(1+Ke!$O$12)-1</f>
        <v>2.0000000000000018E-2</v>
      </c>
      <c r="L1628" s="360">
        <f>'DRE + DCF'!$Y$31</f>
        <v>7.3550000000000004E-2</v>
      </c>
      <c r="M1628" s="361">
        <f>(1+D1628)^((5-Dashboard!$F$9)*3/12)</f>
        <v>1.1719126542708842</v>
      </c>
      <c r="N1628" s="361">
        <f t="shared" ref="N1628:V1628" si="1667">M1628*(1+$D1628)</f>
        <v>1.4479566799843784</v>
      </c>
      <c r="O1628" s="361">
        <f t="shared" si="1667"/>
        <v>1.7890228759546831</v>
      </c>
      <c r="P1628" s="361">
        <f t="shared" si="1667"/>
        <v>2.2104272143857897</v>
      </c>
      <c r="Q1628" s="361">
        <f t="shared" si="1667"/>
        <v>2.7310933447343388</v>
      </c>
      <c r="R1628" s="361">
        <f t="shared" si="1667"/>
        <v>3.3744023820864832</v>
      </c>
      <c r="S1628" s="361">
        <f t="shared" si="1667"/>
        <v>4.1692428631869181</v>
      </c>
      <c r="T1628" s="361">
        <f t="shared" si="1667"/>
        <v>5.1513080196105516</v>
      </c>
      <c r="U1628" s="361">
        <f t="shared" si="1667"/>
        <v>6.3646986236297618</v>
      </c>
      <c r="V1628" s="362">
        <f t="shared" si="1667"/>
        <v>7.8639033844256838</v>
      </c>
      <c r="X1628" s="351"/>
    </row>
    <row r="1629" spans="3:24" ht="24.75" customHeight="1" x14ac:dyDescent="0.3">
      <c r="C1629" s="353">
        <f>ABS(E1629-Dashboard!$F$14)</f>
        <v>18.18042305686744</v>
      </c>
      <c r="D1629" s="350">
        <f t="shared" si="1653"/>
        <v>0.23564999999998928</v>
      </c>
      <c r="E1629" s="359" cm="1">
        <f t="array" ref="E1629">1000*SUM('DRE + DCF'!$L$36/M1629,'DRE + DCF'!$N$36:$V$36/N1629:V1629,F1629/V1629)/Dashboard!$F$11</f>
        <v>78.809576943132555</v>
      </c>
      <c r="F1629" s="359">
        <f t="shared" si="1651"/>
        <v>11633668.29512845</v>
      </c>
      <c r="G1629" s="359">
        <f>'DRE + DCF'!$W$31</f>
        <v>2791623.3540418856</v>
      </c>
      <c r="H1629" s="359">
        <f>'DRE + DCF'!$W$32</f>
        <v>81081.931703745853</v>
      </c>
      <c r="I1629" s="359">
        <f>-H1629*('DRE + DCF'!$V$33+K1629)/'DRE + DCF'!$V$33</f>
        <v>-90858.801614444121</v>
      </c>
      <c r="J1629" s="359">
        <f>-'DRE + DCF'!$V$56*L1629</f>
        <v>-1188924.4255577971</v>
      </c>
      <c r="K1629" s="360">
        <f>(1+L1629)/(1+Ke!$O$12)-1</f>
        <v>2.0000000000000018E-2</v>
      </c>
      <c r="L1629" s="360">
        <f>'DRE + DCF'!$Y$31</f>
        <v>7.3550000000000004E-2</v>
      </c>
      <c r="M1629" s="361">
        <f>(1+D1629)^((5-Dashboard!$F$9)*3/12)</f>
        <v>1.1719837906553985</v>
      </c>
      <c r="N1629" s="361">
        <f t="shared" ref="N1629:V1629" si="1668">M1629*(1+$D1629)</f>
        <v>1.4481617709233305</v>
      </c>
      <c r="O1629" s="361">
        <f t="shared" si="1668"/>
        <v>1.7894210922413978</v>
      </c>
      <c r="P1629" s="361">
        <f t="shared" si="1668"/>
        <v>2.2110981726280641</v>
      </c>
      <c r="Q1629" s="361">
        <f t="shared" si="1668"/>
        <v>2.7321434570078438</v>
      </c>
      <c r="R1629" s="361">
        <f t="shared" si="1668"/>
        <v>3.3759730626517128</v>
      </c>
      <c r="S1629" s="361">
        <f t="shared" si="1668"/>
        <v>4.1715211148655529</v>
      </c>
      <c r="T1629" s="361">
        <f t="shared" si="1668"/>
        <v>5.1545400655835758</v>
      </c>
      <c r="U1629" s="361">
        <f t="shared" si="1668"/>
        <v>6.3692074320382899</v>
      </c>
      <c r="V1629" s="362">
        <f t="shared" si="1668"/>
        <v>7.8701111633980441</v>
      </c>
      <c r="X1629" s="351"/>
    </row>
    <row r="1630" spans="3:24" ht="24.75" customHeight="1" x14ac:dyDescent="0.3">
      <c r="C1630" s="353">
        <f>ABS(E1630-Dashboard!$F$14)</f>
        <v>18.234882914070681</v>
      </c>
      <c r="D1630" s="350">
        <f t="shared" si="1653"/>
        <v>0.23574999999998927</v>
      </c>
      <c r="E1630" s="359" cm="1">
        <f t="array" ref="E1630">1000*SUM('DRE + DCF'!$L$36/M1630,'DRE + DCF'!$N$36:$V$36/N1630:V1630,F1630/V1630)/Dashboard!$F$11</f>
        <v>78.755117085929314</v>
      </c>
      <c r="F1630" s="359">
        <f t="shared" si="1651"/>
        <v>11627718.972735111</v>
      </c>
      <c r="G1630" s="359">
        <f>'DRE + DCF'!$W$31</f>
        <v>2791623.3540418856</v>
      </c>
      <c r="H1630" s="359">
        <f>'DRE + DCF'!$W$32</f>
        <v>81081.931703745853</v>
      </c>
      <c r="I1630" s="359">
        <f>-H1630*('DRE + DCF'!$V$33+K1630)/'DRE + DCF'!$V$33</f>
        <v>-90858.801614444121</v>
      </c>
      <c r="J1630" s="359">
        <f>-'DRE + DCF'!$V$56*L1630</f>
        <v>-1188924.4255577971</v>
      </c>
      <c r="K1630" s="360">
        <f>(1+L1630)/(1+Ke!$O$12)-1</f>
        <v>2.0000000000000018E-2</v>
      </c>
      <c r="L1630" s="360">
        <f>'DRE + DCF'!$Y$31</f>
        <v>7.3550000000000004E-2</v>
      </c>
      <c r="M1630" s="361">
        <f>(1+D1630)^((5-Dashboard!$F$9)*3/12)</f>
        <v>1.1720549256006769</v>
      </c>
      <c r="N1630" s="361">
        <f t="shared" ref="N1630:V1630" si="1669">M1630*(1+$D1630)</f>
        <v>1.4483668743110238</v>
      </c>
      <c r="O1630" s="361">
        <f t="shared" si="1669"/>
        <v>1.7898193649298322</v>
      </c>
      <c r="P1630" s="361">
        <f t="shared" si="1669"/>
        <v>2.211769280212021</v>
      </c>
      <c r="Q1630" s="361">
        <f t="shared" si="1669"/>
        <v>2.7331938880219813</v>
      </c>
      <c r="R1630" s="361">
        <f t="shared" si="1669"/>
        <v>3.3775443471231341</v>
      </c>
      <c r="S1630" s="361">
        <f t="shared" si="1669"/>
        <v>4.173800426957377</v>
      </c>
      <c r="T1630" s="361">
        <f t="shared" si="1669"/>
        <v>5.1577738776125335</v>
      </c>
      <c r="U1630" s="361">
        <f t="shared" si="1669"/>
        <v>6.3737190692596331</v>
      </c>
      <c r="V1630" s="362">
        <f t="shared" si="1669"/>
        <v>7.8763233398375228</v>
      </c>
      <c r="X1630" s="351"/>
    </row>
    <row r="1631" spans="3:24" ht="24.75" customHeight="1" x14ac:dyDescent="0.3">
      <c r="C1631" s="353">
        <f>ABS(E1631-Dashboard!$F$14)</f>
        <v>18.289277257771133</v>
      </c>
      <c r="D1631" s="350">
        <f t="shared" si="1653"/>
        <v>0.23584999999998926</v>
      </c>
      <c r="E1631" s="359" cm="1">
        <f t="array" ref="E1631">1000*SUM('DRE + DCF'!$L$36/M1631,'DRE + DCF'!$N$36:$V$36/N1631:V1631,F1631/V1631)/Dashboard!$F$11</f>
        <v>78.700722742228862</v>
      </c>
      <c r="F1631" s="359">
        <f t="shared" si="1651"/>
        <v>11621775.945062652</v>
      </c>
      <c r="G1631" s="359">
        <f>'DRE + DCF'!$W$31</f>
        <v>2791623.3540418856</v>
      </c>
      <c r="H1631" s="359">
        <f>'DRE + DCF'!$W$32</f>
        <v>81081.931703745853</v>
      </c>
      <c r="I1631" s="359">
        <f>-H1631*('DRE + DCF'!$V$33+K1631)/'DRE + DCF'!$V$33</f>
        <v>-90858.801614444121</v>
      </c>
      <c r="J1631" s="359">
        <f>-'DRE + DCF'!$V$56*L1631</f>
        <v>-1188924.4255577971</v>
      </c>
      <c r="K1631" s="360">
        <f>(1+L1631)/(1+Ke!$O$12)-1</f>
        <v>2.0000000000000018E-2</v>
      </c>
      <c r="L1631" s="360">
        <f>'DRE + DCF'!$Y$31</f>
        <v>7.3550000000000004E-2</v>
      </c>
      <c r="M1631" s="361">
        <f>(1+D1631)^((5-Dashboard!$F$9)*3/12)</f>
        <v>1.1721260591068652</v>
      </c>
      <c r="N1631" s="361">
        <f t="shared" ref="N1631:V1631" si="1670">M1631*(1+$D1631)</f>
        <v>1.4485719901472067</v>
      </c>
      <c r="O1631" s="361">
        <f t="shared" si="1670"/>
        <v>1.7902176940234098</v>
      </c>
      <c r="P1631" s="361">
        <f t="shared" si="1670"/>
        <v>2.2124405371588116</v>
      </c>
      <c r="Q1631" s="361">
        <f t="shared" si="1670"/>
        <v>2.7342446378476937</v>
      </c>
      <c r="R1631" s="361">
        <f t="shared" si="1670"/>
        <v>3.3791162356840427</v>
      </c>
      <c r="S1631" s="361">
        <f t="shared" si="1670"/>
        <v>4.1760807998700882</v>
      </c>
      <c r="T1631" s="361">
        <f t="shared" si="1670"/>
        <v>5.1610094565194036</v>
      </c>
      <c r="U1631" s="361">
        <f t="shared" si="1670"/>
        <v>6.3782335368394492</v>
      </c>
      <c r="V1631" s="362">
        <f t="shared" si="1670"/>
        <v>7.8825399165029646</v>
      </c>
      <c r="X1631" s="351"/>
    </row>
    <row r="1632" spans="3:24" ht="24.75" customHeight="1" x14ac:dyDescent="0.3">
      <c r="C1632" s="353">
        <f>ABS(E1632-Dashboard!$F$14)</f>
        <v>18.343606198681357</v>
      </c>
      <c r="D1632" s="350">
        <f t="shared" si="1653"/>
        <v>0.23594999999998925</v>
      </c>
      <c r="E1632" s="359" cm="1">
        <f t="array" ref="E1632">1000*SUM('DRE + DCF'!$L$36/M1632,'DRE + DCF'!$N$36:$V$36/N1632:V1632,F1632/V1632)/Dashboard!$F$11</f>
        <v>78.646393801318638</v>
      </c>
      <c r="F1632" s="359">
        <f t="shared" si="1651"/>
        <v>11615839.201799998</v>
      </c>
      <c r="G1632" s="359">
        <f>'DRE + DCF'!$W$31</f>
        <v>2791623.3540418856</v>
      </c>
      <c r="H1632" s="359">
        <f>'DRE + DCF'!$W$32</f>
        <v>81081.931703745853</v>
      </c>
      <c r="I1632" s="359">
        <f>-H1632*('DRE + DCF'!$V$33+K1632)/'DRE + DCF'!$V$33</f>
        <v>-90858.801614444121</v>
      </c>
      <c r="J1632" s="359">
        <f>-'DRE + DCF'!$V$56*L1632</f>
        <v>-1188924.4255577971</v>
      </c>
      <c r="K1632" s="360">
        <f>(1+L1632)/(1+Ke!$O$12)-1</f>
        <v>2.0000000000000018E-2</v>
      </c>
      <c r="L1632" s="360">
        <f>'DRE + DCF'!$Y$31</f>
        <v>7.3550000000000004E-2</v>
      </c>
      <c r="M1632" s="361">
        <f>(1+D1632)^((5-Dashboard!$F$9)*3/12)</f>
        <v>1.1721971911741089</v>
      </c>
      <c r="N1632" s="361">
        <f t="shared" ref="N1632:V1632" si="1671">M1632*(1+$D1632)</f>
        <v>1.4487771184316274</v>
      </c>
      <c r="O1632" s="361">
        <f t="shared" si="1671"/>
        <v>1.7906160795255543</v>
      </c>
      <c r="P1632" s="361">
        <f t="shared" si="1671"/>
        <v>2.2131119434895896</v>
      </c>
      <c r="Q1632" s="361">
        <f t="shared" si="1671"/>
        <v>2.7352957065559345</v>
      </c>
      <c r="R1632" s="361">
        <f t="shared" si="1671"/>
        <v>3.3806887285177778</v>
      </c>
      <c r="S1632" s="361">
        <f t="shared" si="1671"/>
        <v>4.1783622340115114</v>
      </c>
      <c r="T1632" s="361">
        <f t="shared" si="1671"/>
        <v>5.1642468031264821</v>
      </c>
      <c r="U1632" s="361">
        <f t="shared" si="1671"/>
        <v>6.3827508363241199</v>
      </c>
      <c r="V1632" s="362">
        <f t="shared" si="1671"/>
        <v>7.8887608961547269</v>
      </c>
      <c r="X1632" s="351"/>
    </row>
    <row r="1633" spans="3:24" ht="24.75" customHeight="1" x14ac:dyDescent="0.3">
      <c r="C1633" s="353">
        <f>ABS(E1633-Dashboard!$F$14)</f>
        <v>18.397869847269206</v>
      </c>
      <c r="D1633" s="350">
        <f t="shared" si="1653"/>
        <v>0.23604999999998924</v>
      </c>
      <c r="E1633" s="359" cm="1">
        <f t="array" ref="E1633">1000*SUM('DRE + DCF'!$L$36/M1633,'DRE + DCF'!$N$36:$V$36/N1633:V1633,F1633/V1633)/Dashboard!$F$11</f>
        <v>78.592130152730789</v>
      </c>
      <c r="F1633" s="359">
        <f t="shared" si="1651"/>
        <v>11609908.732659236</v>
      </c>
      <c r="G1633" s="359">
        <f>'DRE + DCF'!$W$31</f>
        <v>2791623.3540418856</v>
      </c>
      <c r="H1633" s="359">
        <f>'DRE + DCF'!$W$32</f>
        <v>81081.931703745853</v>
      </c>
      <c r="I1633" s="359">
        <f>-H1633*('DRE + DCF'!$V$33+K1633)/'DRE + DCF'!$V$33</f>
        <v>-90858.801614444121</v>
      </c>
      <c r="J1633" s="359">
        <f>-'DRE + DCF'!$V$56*L1633</f>
        <v>-1188924.4255577971</v>
      </c>
      <c r="K1633" s="360">
        <f>(1+L1633)/(1+Ke!$O$12)-1</f>
        <v>2.0000000000000018E-2</v>
      </c>
      <c r="L1633" s="360">
        <f>'DRE + DCF'!$Y$31</f>
        <v>7.3550000000000004E-2</v>
      </c>
      <c r="M1633" s="361">
        <f>(1+D1633)^((5-Dashboard!$F$9)*3/12)</f>
        <v>1.1722683218025536</v>
      </c>
      <c r="N1633" s="361">
        <f t="shared" ref="N1633:V1633" si="1672">M1633*(1+$D1633)</f>
        <v>1.4489822591640338</v>
      </c>
      <c r="O1633" s="361">
        <f t="shared" si="1672"/>
        <v>1.7910145214396884</v>
      </c>
      <c r="P1633" s="361">
        <f t="shared" si="1672"/>
        <v>2.2137834992255074</v>
      </c>
      <c r="Q1633" s="361">
        <f t="shared" si="1672"/>
        <v>2.7363470942176646</v>
      </c>
      <c r="R1633" s="361">
        <f t="shared" si="1672"/>
        <v>3.3822618258077148</v>
      </c>
      <c r="S1633" s="361">
        <f t="shared" si="1672"/>
        <v>4.1806447297895897</v>
      </c>
      <c r="T1633" s="361">
        <f t="shared" si="1672"/>
        <v>5.1674859182563768</v>
      </c>
      <c r="U1633" s="361">
        <f t="shared" si="1672"/>
        <v>6.3872709692607392</v>
      </c>
      <c r="V1633" s="362">
        <f t="shared" si="1672"/>
        <v>7.8949862815546679</v>
      </c>
      <c r="X1633" s="351"/>
    </row>
    <row r="1634" spans="3:24" ht="24.75" customHeight="1" x14ac:dyDescent="0.3">
      <c r="C1634" s="353">
        <f>ABS(E1634-Dashboard!$F$14)</f>
        <v>18.452068313758247</v>
      </c>
      <c r="D1634" s="350">
        <f t="shared" si="1653"/>
        <v>0.23614999999998923</v>
      </c>
      <c r="E1634" s="359" cm="1">
        <f t="array" ref="E1634">1000*SUM('DRE + DCF'!$L$36/M1634,'DRE + DCF'!$N$36:$V$36/N1634:V1634,F1634/V1634)/Dashboard!$F$11</f>
        <v>78.537931686241748</v>
      </c>
      <c r="F1634" s="359">
        <f t="shared" si="1651"/>
        <v>11603984.527375527</v>
      </c>
      <c r="G1634" s="359">
        <f>'DRE + DCF'!$W$31</f>
        <v>2791623.3540418856</v>
      </c>
      <c r="H1634" s="359">
        <f>'DRE + DCF'!$W$32</f>
        <v>81081.931703745853</v>
      </c>
      <c r="I1634" s="359">
        <f>-H1634*('DRE + DCF'!$V$33+K1634)/'DRE + DCF'!$V$33</f>
        <v>-90858.801614444121</v>
      </c>
      <c r="J1634" s="359">
        <f>-'DRE + DCF'!$V$56*L1634</f>
        <v>-1188924.4255577971</v>
      </c>
      <c r="K1634" s="360">
        <f>(1+L1634)/(1+Ke!$O$12)-1</f>
        <v>2.0000000000000018E-2</v>
      </c>
      <c r="L1634" s="360">
        <f>'DRE + DCF'!$Y$31</f>
        <v>7.3550000000000004E-2</v>
      </c>
      <c r="M1634" s="361">
        <f>(1+D1634)^((5-Dashboard!$F$9)*3/12)</f>
        <v>1.1723394509923446</v>
      </c>
      <c r="N1634" s="361">
        <f t="shared" ref="N1634:V1634" si="1673">M1634*(1+$D1634)</f>
        <v>1.4491874123441741</v>
      </c>
      <c r="O1634" s="361">
        <f t="shared" si="1673"/>
        <v>1.7914130197692353</v>
      </c>
      <c r="P1634" s="361">
        <f t="shared" si="1673"/>
        <v>2.214455204387721</v>
      </c>
      <c r="Q1634" s="361">
        <f t="shared" si="1673"/>
        <v>2.7373988009038572</v>
      </c>
      <c r="R1634" s="361">
        <f t="shared" si="1673"/>
        <v>3.3838355277372734</v>
      </c>
      <c r="S1634" s="361">
        <f t="shared" si="1673"/>
        <v>4.1829282876123939</v>
      </c>
      <c r="T1634" s="361">
        <f t="shared" si="1673"/>
        <v>5.1707268027320152</v>
      </c>
      <c r="U1634" s="361">
        <f t="shared" si="1673"/>
        <v>6.3917939371971251</v>
      </c>
      <c r="V1634" s="362">
        <f t="shared" si="1673"/>
        <v>7.9012160754661576</v>
      </c>
      <c r="X1634" s="351"/>
    </row>
    <row r="1635" spans="3:24" ht="24.75" customHeight="1" x14ac:dyDescent="0.3">
      <c r="C1635" s="353">
        <f>ABS(E1635-Dashboard!$F$14)</f>
        <v>18.506201708128671</v>
      </c>
      <c r="D1635" s="350">
        <f t="shared" si="1653"/>
        <v>0.23624999999998922</v>
      </c>
      <c r="E1635" s="359" cm="1">
        <f t="array" ref="E1635">1000*SUM('DRE + DCF'!$L$36/M1635,'DRE + DCF'!$N$36:$V$36/N1635:V1635,F1635/V1635)/Dashboard!$F$11</f>
        <v>78.483798291871324</v>
      </c>
      <c r="F1635" s="359">
        <f t="shared" si="1651"/>
        <v>11598066.575707056</v>
      </c>
      <c r="G1635" s="359">
        <f>'DRE + DCF'!$W$31</f>
        <v>2791623.3540418856</v>
      </c>
      <c r="H1635" s="359">
        <f>'DRE + DCF'!$W$32</f>
        <v>81081.931703745853</v>
      </c>
      <c r="I1635" s="359">
        <f>-H1635*('DRE + DCF'!$V$33+K1635)/'DRE + DCF'!$V$33</f>
        <v>-90858.801614444121</v>
      </c>
      <c r="J1635" s="359">
        <f>-'DRE + DCF'!$V$56*L1635</f>
        <v>-1188924.4255577971</v>
      </c>
      <c r="K1635" s="360">
        <f>(1+L1635)/(1+Ke!$O$12)-1</f>
        <v>2.0000000000000018E-2</v>
      </c>
      <c r="L1635" s="360">
        <f>'DRE + DCF'!$Y$31</f>
        <v>7.3550000000000004E-2</v>
      </c>
      <c r="M1635" s="361">
        <f>(1+D1635)^((5-Dashboard!$F$9)*3/12)</f>
        <v>1.1724105787436276</v>
      </c>
      <c r="N1635" s="361">
        <f t="shared" ref="N1635:V1635" si="1674">M1635*(1+$D1635)</f>
        <v>1.4493925779717971</v>
      </c>
      <c r="O1635" s="361">
        <f t="shared" si="1674"/>
        <v>1.7918115745176184</v>
      </c>
      <c r="P1635" s="361">
        <f t="shared" si="1674"/>
        <v>2.2151270589973864</v>
      </c>
      <c r="Q1635" s="361">
        <f t="shared" si="1674"/>
        <v>2.738450826685495</v>
      </c>
      <c r="R1635" s="361">
        <f t="shared" si="1674"/>
        <v>3.3854098344899137</v>
      </c>
      <c r="S1635" s="361">
        <f t="shared" si="1674"/>
        <v>4.1852129078881193</v>
      </c>
      <c r="T1635" s="361">
        <f t="shared" si="1674"/>
        <v>5.1739694573766419</v>
      </c>
      <c r="U1635" s="361">
        <f t="shared" si="1674"/>
        <v>6.3963197416818174</v>
      </c>
      <c r="V1635" s="362">
        <f t="shared" si="1674"/>
        <v>7.9074502806540776</v>
      </c>
      <c r="X1635" s="351"/>
    </row>
    <row r="1636" spans="3:24" ht="24.75" customHeight="1" x14ac:dyDescent="0.3">
      <c r="C1636" s="353">
        <f>ABS(E1636-Dashboard!$F$14)</f>
        <v>18.560270140117879</v>
      </c>
      <c r="D1636" s="350">
        <f t="shared" si="1653"/>
        <v>0.23634999999998921</v>
      </c>
      <c r="E1636" s="359" cm="1">
        <f t="array" ref="E1636">1000*SUM('DRE + DCF'!$L$36/M1636,'DRE + DCF'!$N$36:$V$36/N1636:V1636,F1636/V1636)/Dashboard!$F$11</f>
        <v>78.429729859882116</v>
      </c>
      <c r="F1636" s="359">
        <f t="shared" si="1651"/>
        <v>11592154.86743496</v>
      </c>
      <c r="G1636" s="359">
        <f>'DRE + DCF'!$W$31</f>
        <v>2791623.3540418856</v>
      </c>
      <c r="H1636" s="359">
        <f>'DRE + DCF'!$W$32</f>
        <v>81081.931703745853</v>
      </c>
      <c r="I1636" s="359">
        <f>-H1636*('DRE + DCF'!$V$33+K1636)/'DRE + DCF'!$V$33</f>
        <v>-90858.801614444121</v>
      </c>
      <c r="J1636" s="359">
        <f>-'DRE + DCF'!$V$56*L1636</f>
        <v>-1188924.4255577971</v>
      </c>
      <c r="K1636" s="360">
        <f>(1+L1636)/(1+Ke!$O$12)-1</f>
        <v>2.0000000000000018E-2</v>
      </c>
      <c r="L1636" s="360">
        <f>'DRE + DCF'!$Y$31</f>
        <v>7.3550000000000004E-2</v>
      </c>
      <c r="M1636" s="361">
        <f>(1+D1636)^((5-Dashboard!$F$9)*3/12)</f>
        <v>1.1724817050565481</v>
      </c>
      <c r="N1636" s="361">
        <f t="shared" ref="N1636:V1636" si="1675">M1636*(1+$D1636)</f>
        <v>1.4495977560466506</v>
      </c>
      <c r="O1636" s="361">
        <f t="shared" si="1675"/>
        <v>1.7922101856882608</v>
      </c>
      <c r="P1636" s="361">
        <f t="shared" si="1675"/>
        <v>2.2157990630756621</v>
      </c>
      <c r="Q1636" s="361">
        <f t="shared" si="1675"/>
        <v>2.7395031716335709</v>
      </c>
      <c r="R1636" s="361">
        <f t="shared" si="1675"/>
        <v>3.3869847462491358</v>
      </c>
      <c r="S1636" s="361">
        <f t="shared" si="1675"/>
        <v>4.1874985910250828</v>
      </c>
      <c r="T1636" s="361">
        <f t="shared" si="1675"/>
        <v>5.1772138830138159</v>
      </c>
      <c r="U1636" s="361">
        <f t="shared" si="1675"/>
        <v>6.4008483842640755</v>
      </c>
      <c r="V1636" s="362">
        <f t="shared" si="1675"/>
        <v>7.9136888998848205</v>
      </c>
      <c r="X1636" s="351"/>
    </row>
    <row r="1637" spans="3:24" ht="24.75" customHeight="1" x14ac:dyDescent="0.3">
      <c r="C1637" s="353">
        <f>ABS(E1637-Dashboard!$F$14)</f>
        <v>18.614273719221032</v>
      </c>
      <c r="D1637" s="350">
        <f t="shared" si="1653"/>
        <v>0.2364499999999892</v>
      </c>
      <c r="E1637" s="359" cm="1">
        <f t="array" ref="E1637">1000*SUM('DRE + DCF'!$L$36/M1637,'DRE + DCF'!$N$36:$V$36/N1637:V1637,F1637/V1637)/Dashboard!$F$11</f>
        <v>78.375726280778963</v>
      </c>
      <c r="F1637" s="359">
        <f t="shared" si="1651"/>
        <v>11586249.392363258</v>
      </c>
      <c r="G1637" s="359">
        <f>'DRE + DCF'!$W$31</f>
        <v>2791623.3540418856</v>
      </c>
      <c r="H1637" s="359">
        <f>'DRE + DCF'!$W$32</f>
        <v>81081.931703745853</v>
      </c>
      <c r="I1637" s="359">
        <f>-H1637*('DRE + DCF'!$V$33+K1637)/'DRE + DCF'!$V$33</f>
        <v>-90858.801614444121</v>
      </c>
      <c r="J1637" s="359">
        <f>-'DRE + DCF'!$V$56*L1637</f>
        <v>-1188924.4255577971</v>
      </c>
      <c r="K1637" s="360">
        <f>(1+L1637)/(1+Ke!$O$12)-1</f>
        <v>2.0000000000000018E-2</v>
      </c>
      <c r="L1637" s="360">
        <f>'DRE + DCF'!$Y$31</f>
        <v>7.3550000000000004E-2</v>
      </c>
      <c r="M1637" s="361">
        <f>(1+D1637)^((5-Dashboard!$F$9)*3/12)</f>
        <v>1.1725528299312513</v>
      </c>
      <c r="N1637" s="361">
        <f t="shared" ref="N1637:V1637" si="1676">M1637*(1+$D1637)</f>
        <v>1.449802946568483</v>
      </c>
      <c r="O1637" s="361">
        <f t="shared" si="1676"/>
        <v>1.792608853284585</v>
      </c>
      <c r="P1637" s="361">
        <f t="shared" si="1676"/>
        <v>2.2164712166437055</v>
      </c>
      <c r="Q1637" s="361">
        <f t="shared" si="1676"/>
        <v>2.7405558358190856</v>
      </c>
      <c r="R1637" s="361">
        <f t="shared" si="1676"/>
        <v>3.3885602631984786</v>
      </c>
      <c r="S1637" s="361">
        <f t="shared" si="1676"/>
        <v>4.1897853374317222</v>
      </c>
      <c r="T1637" s="361">
        <f t="shared" si="1676"/>
        <v>5.1804600804674079</v>
      </c>
      <c r="U1637" s="361">
        <f t="shared" si="1676"/>
        <v>6.4053798664938704</v>
      </c>
      <c r="V1637" s="362">
        <f t="shared" si="1676"/>
        <v>7.919931935926277</v>
      </c>
      <c r="X1637" s="351"/>
    </row>
    <row r="1638" spans="3:24" ht="24.75" customHeight="1" x14ac:dyDescent="0.3">
      <c r="C1638" s="353">
        <f>ABS(E1638-Dashboard!$F$14)</f>
        <v>18.668212554691905</v>
      </c>
      <c r="D1638" s="350">
        <f t="shared" si="1653"/>
        <v>0.23654999999998919</v>
      </c>
      <c r="E1638" s="359" cm="1">
        <f t="array" ref="E1638">1000*SUM('DRE + DCF'!$L$36/M1638,'DRE + DCF'!$N$36:$V$36/N1638:V1638,F1638/V1638)/Dashboard!$F$11</f>
        <v>78.32178744530809</v>
      </c>
      <c r="F1638" s="359">
        <f t="shared" si="1651"/>
        <v>11580350.140318792</v>
      </c>
      <c r="G1638" s="359">
        <f>'DRE + DCF'!$W$31</f>
        <v>2791623.3540418856</v>
      </c>
      <c r="H1638" s="359">
        <f>'DRE + DCF'!$W$32</f>
        <v>81081.931703745853</v>
      </c>
      <c r="I1638" s="359">
        <f>-H1638*('DRE + DCF'!$V$33+K1638)/'DRE + DCF'!$V$33</f>
        <v>-90858.801614444121</v>
      </c>
      <c r="J1638" s="359">
        <f>-'DRE + DCF'!$V$56*L1638</f>
        <v>-1188924.4255577971</v>
      </c>
      <c r="K1638" s="360">
        <f>(1+L1638)/(1+Ke!$O$12)-1</f>
        <v>2.0000000000000018E-2</v>
      </c>
      <c r="L1638" s="360">
        <f>'DRE + DCF'!$Y$31</f>
        <v>7.3550000000000004E-2</v>
      </c>
      <c r="M1638" s="361">
        <f>(1+D1638)^((5-Dashboard!$F$9)*3/12)</f>
        <v>1.1726239533678826</v>
      </c>
      <c r="N1638" s="361">
        <f t="shared" ref="N1638:V1638" si="1677">M1638*(1+$D1638)</f>
        <v>1.4500081495370425</v>
      </c>
      <c r="O1638" s="361">
        <f t="shared" si="1677"/>
        <v>1.7930075773100143</v>
      </c>
      <c r="P1638" s="361">
        <f t="shared" si="1677"/>
        <v>2.2171435197226788</v>
      </c>
      <c r="Q1638" s="361">
        <f t="shared" si="1677"/>
        <v>2.7416088193130546</v>
      </c>
      <c r="R1638" s="361">
        <f t="shared" si="1677"/>
        <v>3.3901363855215281</v>
      </c>
      <c r="S1638" s="361">
        <f t="shared" si="1677"/>
        <v>4.1920731475166084</v>
      </c>
      <c r="T1638" s="361">
        <f t="shared" si="1677"/>
        <v>5.1837080505616164</v>
      </c>
      <c r="U1638" s="361">
        <f t="shared" si="1677"/>
        <v>6.4099141899219108</v>
      </c>
      <c r="V1638" s="362">
        <f t="shared" si="1677"/>
        <v>7.9261793915478691</v>
      </c>
      <c r="X1638" s="351"/>
    </row>
    <row r="1639" spans="3:24" ht="24.75" customHeight="1" x14ac:dyDescent="0.3">
      <c r="C1639" s="353">
        <f>ABS(E1639-Dashboard!$F$14)</f>
        <v>18.722086755543501</v>
      </c>
      <c r="D1639" s="350">
        <f t="shared" si="1653"/>
        <v>0.23664999999998917</v>
      </c>
      <c r="E1639" s="359" cm="1">
        <f t="array" ref="E1639">1000*SUM('DRE + DCF'!$L$36/M1639,'DRE + DCF'!$N$36:$V$36/N1639:V1639,F1639/V1639)/Dashboard!$F$11</f>
        <v>78.267913244456494</v>
      </c>
      <c r="F1639" s="359">
        <f t="shared" si="1651"/>
        <v>11574457.101151163</v>
      </c>
      <c r="G1639" s="359">
        <f>'DRE + DCF'!$W$31</f>
        <v>2791623.3540418856</v>
      </c>
      <c r="H1639" s="359">
        <f>'DRE + DCF'!$W$32</f>
        <v>81081.931703745853</v>
      </c>
      <c r="I1639" s="359">
        <f>-H1639*('DRE + DCF'!$V$33+K1639)/'DRE + DCF'!$V$33</f>
        <v>-90858.801614444121</v>
      </c>
      <c r="J1639" s="359">
        <f>-'DRE + DCF'!$V$56*L1639</f>
        <v>-1188924.4255577971</v>
      </c>
      <c r="K1639" s="360">
        <f>(1+L1639)/(1+Ke!$O$12)-1</f>
        <v>2.0000000000000018E-2</v>
      </c>
      <c r="L1639" s="360">
        <f>'DRE + DCF'!$Y$31</f>
        <v>7.3550000000000004E-2</v>
      </c>
      <c r="M1639" s="361">
        <f>(1+D1639)^((5-Dashboard!$F$9)*3/12)</f>
        <v>1.1726950753665875</v>
      </c>
      <c r="N1639" s="361">
        <f t="shared" ref="N1639:V1639" si="1678">M1639*(1+$D1639)</f>
        <v>1.4502133649520776</v>
      </c>
      <c r="O1639" s="361">
        <f t="shared" si="1678"/>
        <v>1.7934063577679711</v>
      </c>
      <c r="P1639" s="361">
        <f t="shared" si="1678"/>
        <v>2.2178159723337418</v>
      </c>
      <c r="Q1639" s="361">
        <f t="shared" si="1678"/>
        <v>2.742662122186498</v>
      </c>
      <c r="R1639" s="361">
        <f t="shared" si="1678"/>
        <v>3.3917131134019027</v>
      </c>
      <c r="S1639" s="361">
        <f t="shared" si="1678"/>
        <v>4.1943620216884261</v>
      </c>
      <c r="T1639" s="361">
        <f t="shared" si="1678"/>
        <v>5.1869577941209464</v>
      </c>
      <c r="U1639" s="361">
        <f t="shared" si="1678"/>
        <v>6.4144513560996117</v>
      </c>
      <c r="V1639" s="362">
        <f t="shared" si="1678"/>
        <v>7.9324312695205155</v>
      </c>
      <c r="X1639" s="351"/>
    </row>
    <row r="1640" spans="3:24" ht="24.75" customHeight="1" x14ac:dyDescent="0.3">
      <c r="C1640" s="353">
        <f>ABS(E1640-Dashboard!$F$14)</f>
        <v>18.775896430548713</v>
      </c>
      <c r="D1640" s="350">
        <f t="shared" si="1653"/>
        <v>0.23674999999998916</v>
      </c>
      <c r="E1640" s="359" cm="1">
        <f t="array" ref="E1640">1000*SUM('DRE + DCF'!$L$36/M1640,'DRE + DCF'!$N$36:$V$36/N1640:V1640,F1640/V1640)/Dashboard!$F$11</f>
        <v>78.214103569451282</v>
      </c>
      <c r="F1640" s="359">
        <f t="shared" si="1651"/>
        <v>11568570.264732651</v>
      </c>
      <c r="G1640" s="359">
        <f>'DRE + DCF'!$W$31</f>
        <v>2791623.3540418856</v>
      </c>
      <c r="H1640" s="359">
        <f>'DRE + DCF'!$W$32</f>
        <v>81081.931703745853</v>
      </c>
      <c r="I1640" s="359">
        <f>-H1640*('DRE + DCF'!$V$33+K1640)/'DRE + DCF'!$V$33</f>
        <v>-90858.801614444121</v>
      </c>
      <c r="J1640" s="359">
        <f>-'DRE + DCF'!$V$56*L1640</f>
        <v>-1188924.4255577971</v>
      </c>
      <c r="K1640" s="360">
        <f>(1+L1640)/(1+Ke!$O$12)-1</f>
        <v>2.0000000000000018E-2</v>
      </c>
      <c r="L1640" s="360">
        <f>'DRE + DCF'!$Y$31</f>
        <v>7.3550000000000004E-2</v>
      </c>
      <c r="M1640" s="361">
        <f>(1+D1640)^((5-Dashboard!$F$9)*3/12)</f>
        <v>1.1727661959275113</v>
      </c>
      <c r="N1640" s="361">
        <f t="shared" ref="N1640:V1640" si="1679">M1640*(1+$D1640)</f>
        <v>1.4504185928133368</v>
      </c>
      <c r="O1640" s="361">
        <f t="shared" si="1679"/>
        <v>1.7938051946618785</v>
      </c>
      <c r="P1640" s="361">
        <f t="shared" si="1679"/>
        <v>2.2184885744980587</v>
      </c>
      <c r="Q1640" s="361">
        <f t="shared" si="1679"/>
        <v>2.7437157445104501</v>
      </c>
      <c r="R1640" s="361">
        <f t="shared" si="1679"/>
        <v>3.3932904470232694</v>
      </c>
      <c r="S1640" s="361">
        <f t="shared" si="1679"/>
        <v>4.1966519603559913</v>
      </c>
      <c r="T1640" s="361">
        <f t="shared" si="1679"/>
        <v>5.1902093119702268</v>
      </c>
      <c r="U1640" s="361">
        <f t="shared" si="1679"/>
        <v>6.4189913665791218</v>
      </c>
      <c r="V1640" s="362">
        <f t="shared" si="1679"/>
        <v>7.9386875726166588</v>
      </c>
      <c r="X1640" s="351"/>
    </row>
    <row r="1641" spans="3:24" ht="24.75" customHeight="1" x14ac:dyDescent="0.3">
      <c r="C1641" s="353">
        <f>ABS(E1641-Dashboard!$F$14)</f>
        <v>18.829641688240912</v>
      </c>
      <c r="D1641" s="350">
        <f t="shared" si="1653"/>
        <v>0.23684999999998915</v>
      </c>
      <c r="E1641" s="359" cm="1">
        <f t="array" ref="E1641">1000*SUM('DRE + DCF'!$L$36/M1641,'DRE + DCF'!$N$36:$V$36/N1641:V1641,F1641/V1641)/Dashboard!$F$11</f>
        <v>78.160358311759083</v>
      </c>
      <c r="F1641" s="359">
        <f t="shared" si="1651"/>
        <v>11562689.620958174</v>
      </c>
      <c r="G1641" s="359">
        <f>'DRE + DCF'!$W$31</f>
        <v>2791623.3540418856</v>
      </c>
      <c r="H1641" s="359">
        <f>'DRE + DCF'!$W$32</f>
        <v>81081.931703745853</v>
      </c>
      <c r="I1641" s="359">
        <f>-H1641*('DRE + DCF'!$V$33+K1641)/'DRE + DCF'!$V$33</f>
        <v>-90858.801614444121</v>
      </c>
      <c r="J1641" s="359">
        <f>-'DRE + DCF'!$V$56*L1641</f>
        <v>-1188924.4255577971</v>
      </c>
      <c r="K1641" s="360">
        <f>(1+L1641)/(1+Ke!$O$12)-1</f>
        <v>2.0000000000000018E-2</v>
      </c>
      <c r="L1641" s="360">
        <f>'DRE + DCF'!$Y$31</f>
        <v>7.3550000000000004E-2</v>
      </c>
      <c r="M1641" s="361">
        <f>(1+D1641)^((5-Dashboard!$F$9)*3/12)</f>
        <v>1.1728373150507994</v>
      </c>
      <c r="N1641" s="361">
        <f t="shared" ref="N1641:V1641" si="1680">M1641*(1+$D1641)</f>
        <v>1.4506238331205685</v>
      </c>
      <c r="O1641" s="361">
        <f t="shared" si="1680"/>
        <v>1.7942040879951595</v>
      </c>
      <c r="P1641" s="361">
        <f t="shared" si="1680"/>
        <v>2.2191613262367937</v>
      </c>
      <c r="Q1641" s="361">
        <f t="shared" si="1680"/>
        <v>2.7447696863559541</v>
      </c>
      <c r="R1641" s="361">
        <f t="shared" si="1680"/>
        <v>3.3948683865693319</v>
      </c>
      <c r="S1641" s="361">
        <f t="shared" si="1680"/>
        <v>4.198942963928241</v>
      </c>
      <c r="T1641" s="361">
        <f t="shared" si="1680"/>
        <v>5.1934626049345995</v>
      </c>
      <c r="U1641" s="361">
        <f t="shared" si="1680"/>
        <v>6.423534222913303</v>
      </c>
      <c r="V1641" s="362">
        <f t="shared" si="1680"/>
        <v>7.9449483036102491</v>
      </c>
      <c r="X1641" s="351"/>
    </row>
    <row r="1642" spans="3:24" ht="24.75" customHeight="1" x14ac:dyDescent="0.3">
      <c r="C1642" s="353">
        <f>ABS(E1642-Dashboard!$F$14)</f>
        <v>18.883322636914727</v>
      </c>
      <c r="D1642" s="350">
        <f t="shared" si="1653"/>
        <v>0.23694999999998914</v>
      </c>
      <c r="E1642" s="359" cm="1">
        <f t="array" ref="E1642">1000*SUM('DRE + DCF'!$L$36/M1642,'DRE + DCF'!$N$36:$V$36/N1642:V1642,F1642/V1642)/Dashboard!$F$11</f>
        <v>78.106677363085268</v>
      </c>
      <c r="F1642" s="359">
        <f t="shared" si="1651"/>
        <v>11556815.159745201</v>
      </c>
      <c r="G1642" s="359">
        <f>'DRE + DCF'!$W$31</f>
        <v>2791623.3540418856</v>
      </c>
      <c r="H1642" s="359">
        <f>'DRE + DCF'!$W$32</f>
        <v>81081.931703745853</v>
      </c>
      <c r="I1642" s="359">
        <f>-H1642*('DRE + DCF'!$V$33+K1642)/'DRE + DCF'!$V$33</f>
        <v>-90858.801614444121</v>
      </c>
      <c r="J1642" s="359">
        <f>-'DRE + DCF'!$V$56*L1642</f>
        <v>-1188924.4255577971</v>
      </c>
      <c r="K1642" s="360">
        <f>(1+L1642)/(1+Ke!$O$12)-1</f>
        <v>2.0000000000000018E-2</v>
      </c>
      <c r="L1642" s="360">
        <f>'DRE + DCF'!$Y$31</f>
        <v>7.3550000000000004E-2</v>
      </c>
      <c r="M1642" s="361">
        <f>(1+D1642)^((5-Dashboard!$F$9)*3/12)</f>
        <v>1.1729084327365968</v>
      </c>
      <c r="N1642" s="361">
        <f t="shared" ref="N1642:V1642" si="1681">M1642*(1+$D1642)</f>
        <v>1.4508290858735207</v>
      </c>
      <c r="O1642" s="361">
        <f t="shared" si="1681"/>
        <v>1.7946030377712356</v>
      </c>
      <c r="P1642" s="361">
        <f t="shared" si="1681"/>
        <v>2.2198342275711105</v>
      </c>
      <c r="Q1642" s="361">
        <f t="shared" si="1681"/>
        <v>2.7458239477940611</v>
      </c>
      <c r="R1642" s="361">
        <f t="shared" si="1681"/>
        <v>3.3964469322238342</v>
      </c>
      <c r="S1642" s="361">
        <f t="shared" si="1681"/>
        <v>4.2012350328142345</v>
      </c>
      <c r="T1642" s="361">
        <f t="shared" si="1681"/>
        <v>5.1967176738395215</v>
      </c>
      <c r="U1642" s="361">
        <f t="shared" si="1681"/>
        <v>6.42807992665574</v>
      </c>
      <c r="V1642" s="362">
        <f t="shared" si="1681"/>
        <v>7.9512134652767479</v>
      </c>
      <c r="X1642" s="351"/>
    </row>
    <row r="1643" spans="3:24" ht="24.75" customHeight="1" x14ac:dyDescent="0.3">
      <c r="C1643" s="353">
        <f>ABS(E1643-Dashboard!$F$14)</f>
        <v>18.936939384626669</v>
      </c>
      <c r="D1643" s="350">
        <f t="shared" si="1653"/>
        <v>0.23704999999998913</v>
      </c>
      <c r="E1643" s="359" cm="1">
        <f t="array" ref="E1643">1000*SUM('DRE + DCF'!$L$36/M1643,'DRE + DCF'!$N$36:$V$36/N1643:V1643,F1643/V1643)/Dashboard!$F$11</f>
        <v>78.053060615373326</v>
      </c>
      <c r="F1643" s="359">
        <f t="shared" si="1651"/>
        <v>11550946.871033706</v>
      </c>
      <c r="G1643" s="359">
        <f>'DRE + DCF'!$W$31</f>
        <v>2791623.3540418856</v>
      </c>
      <c r="H1643" s="359">
        <f>'DRE + DCF'!$W$32</f>
        <v>81081.931703745853</v>
      </c>
      <c r="I1643" s="359">
        <f>-H1643*('DRE + DCF'!$V$33+K1643)/'DRE + DCF'!$V$33</f>
        <v>-90858.801614444121</v>
      </c>
      <c r="J1643" s="359">
        <f>-'DRE + DCF'!$V$56*L1643</f>
        <v>-1188924.4255577971</v>
      </c>
      <c r="K1643" s="360">
        <f>(1+L1643)/(1+Ke!$O$12)-1</f>
        <v>2.0000000000000018E-2</v>
      </c>
      <c r="L1643" s="360">
        <f>'DRE + DCF'!$Y$31</f>
        <v>7.3550000000000004E-2</v>
      </c>
      <c r="M1643" s="361">
        <f>(1+D1643)^((5-Dashboard!$F$9)*3/12)</f>
        <v>1.1729795489850492</v>
      </c>
      <c r="N1643" s="361">
        <f t="shared" ref="N1643:V1643" si="1682">M1643*(1+$D1643)</f>
        <v>1.4510343510719423</v>
      </c>
      <c r="O1643" s="361">
        <f t="shared" si="1682"/>
        <v>1.7950020439935304</v>
      </c>
      <c r="P1643" s="361">
        <f t="shared" si="1682"/>
        <v>2.2205072785221773</v>
      </c>
      <c r="Q1643" s="361">
        <f t="shared" si="1682"/>
        <v>2.7468785288958353</v>
      </c>
      <c r="R1643" s="361">
        <f t="shared" si="1682"/>
        <v>3.3980260841705632</v>
      </c>
      <c r="S1643" s="361">
        <f t="shared" si="1682"/>
        <v>4.2035281674231584</v>
      </c>
      <c r="T1643" s="361">
        <f t="shared" si="1682"/>
        <v>5.1999745195107723</v>
      </c>
      <c r="U1643" s="361">
        <f t="shared" si="1682"/>
        <v>6.4326284793607442</v>
      </c>
      <c r="V1643" s="362">
        <f t="shared" si="1682"/>
        <v>7.9574830603931384</v>
      </c>
      <c r="X1643" s="351"/>
    </row>
    <row r="1644" spans="3:24" ht="24.75" customHeight="1" x14ac:dyDescent="0.3">
      <c r="C1644" s="353">
        <f>ABS(E1644-Dashboard!$F$14)</f>
        <v>18.990492039195701</v>
      </c>
      <c r="D1644" s="350">
        <f t="shared" si="1653"/>
        <v>0.23714999999998912</v>
      </c>
      <c r="E1644" s="359" cm="1">
        <f t="array" ref="E1644">1000*SUM('DRE + DCF'!$L$36/M1644,'DRE + DCF'!$N$36:$V$36/N1644:V1644,F1644/V1644)/Dashboard!$F$11</f>
        <v>77.999507960804294</v>
      </c>
      <c r="F1644" s="359">
        <f t="shared" si="1651"/>
        <v>11545084.744786087</v>
      </c>
      <c r="G1644" s="359">
        <f>'DRE + DCF'!$W$31</f>
        <v>2791623.3540418856</v>
      </c>
      <c r="H1644" s="359">
        <f>'DRE + DCF'!$W$32</f>
        <v>81081.931703745853</v>
      </c>
      <c r="I1644" s="359">
        <f>-H1644*('DRE + DCF'!$V$33+K1644)/'DRE + DCF'!$V$33</f>
        <v>-90858.801614444121</v>
      </c>
      <c r="J1644" s="359">
        <f>-'DRE + DCF'!$V$56*L1644</f>
        <v>-1188924.4255577971</v>
      </c>
      <c r="K1644" s="360">
        <f>(1+L1644)/(1+Ke!$O$12)-1</f>
        <v>2.0000000000000018E-2</v>
      </c>
      <c r="L1644" s="360">
        <f>'DRE + DCF'!$Y$31</f>
        <v>7.3550000000000004E-2</v>
      </c>
      <c r="M1644" s="361">
        <f>(1+D1644)^((5-Dashboard!$F$9)*3/12)</f>
        <v>1.1730506637963016</v>
      </c>
      <c r="N1644" s="361">
        <f t="shared" ref="N1644:V1644" si="1683">M1644*(1+$D1644)</f>
        <v>1.4512396287155818</v>
      </c>
      <c r="O1644" s="361">
        <f t="shared" si="1683"/>
        <v>1.795401106665466</v>
      </c>
      <c r="P1644" s="361">
        <f t="shared" si="1683"/>
        <v>2.2211804791111618</v>
      </c>
      <c r="Q1644" s="361">
        <f t="shared" si="1683"/>
        <v>2.7479334297323494</v>
      </c>
      <c r="R1644" s="361">
        <f t="shared" si="1683"/>
        <v>3.399605842593346</v>
      </c>
      <c r="S1644" s="361">
        <f t="shared" si="1683"/>
        <v>4.2058223681643208</v>
      </c>
      <c r="T1644" s="361">
        <f t="shared" si="1683"/>
        <v>5.2032331427744438</v>
      </c>
      <c r="U1644" s="361">
        <f t="shared" si="1683"/>
        <v>6.4371798825833464</v>
      </c>
      <c r="V1644" s="362">
        <f t="shared" si="1683"/>
        <v>7.963757091737917</v>
      </c>
      <c r="X1644" s="351"/>
    </row>
    <row r="1645" spans="3:24" ht="24.75" customHeight="1" x14ac:dyDescent="0.3">
      <c r="C1645" s="353">
        <f>ABS(E1645-Dashboard!$F$14)</f>
        <v>19.043980708204089</v>
      </c>
      <c r="D1645" s="350">
        <f t="shared" si="1653"/>
        <v>0.23724999999998911</v>
      </c>
      <c r="E1645" s="359" cm="1">
        <f t="array" ref="E1645">1000*SUM('DRE + DCF'!$L$36/M1645,'DRE + DCF'!$N$36:$V$36/N1645:V1645,F1645/V1645)/Dashboard!$F$11</f>
        <v>77.946019291795906</v>
      </c>
      <c r="F1645" s="359">
        <f t="shared" si="1651"/>
        <v>11539228.770987116</v>
      </c>
      <c r="G1645" s="359">
        <f>'DRE + DCF'!$W$31</f>
        <v>2791623.3540418856</v>
      </c>
      <c r="H1645" s="359">
        <f>'DRE + DCF'!$W$32</f>
        <v>81081.931703745853</v>
      </c>
      <c r="I1645" s="359">
        <f>-H1645*('DRE + DCF'!$V$33+K1645)/'DRE + DCF'!$V$33</f>
        <v>-90858.801614444121</v>
      </c>
      <c r="J1645" s="359">
        <f>-'DRE + DCF'!$V$56*L1645</f>
        <v>-1188924.4255577971</v>
      </c>
      <c r="K1645" s="360">
        <f>(1+L1645)/(1+Ke!$O$12)-1</f>
        <v>2.0000000000000018E-2</v>
      </c>
      <c r="L1645" s="360">
        <f>'DRE + DCF'!$Y$31</f>
        <v>7.3550000000000004E-2</v>
      </c>
      <c r="M1645" s="361">
        <f>(1+D1645)^((5-Dashboard!$F$9)*3/12)</f>
        <v>1.1731217771704991</v>
      </c>
      <c r="N1645" s="361">
        <f t="shared" ref="N1645:V1645" si="1684">M1645*(1+$D1645)</f>
        <v>1.4514449188041874</v>
      </c>
      <c r="O1645" s="361">
        <f t="shared" si="1684"/>
        <v>1.7958002257904651</v>
      </c>
      <c r="P1645" s="361">
        <f t="shared" si="1684"/>
        <v>2.2218538293592331</v>
      </c>
      <c r="Q1645" s="361">
        <f t="shared" si="1684"/>
        <v>2.7489886503746868</v>
      </c>
      <c r="R1645" s="361">
        <f t="shared" si="1684"/>
        <v>3.4011862076760511</v>
      </c>
      <c r="S1645" s="361">
        <f t="shared" si="1684"/>
        <v>4.2081176354471568</v>
      </c>
      <c r="T1645" s="361">
        <f t="shared" si="1684"/>
        <v>5.2064935444569489</v>
      </c>
      <c r="U1645" s="361">
        <f t="shared" si="1684"/>
        <v>6.4417341378793029</v>
      </c>
      <c r="V1645" s="362">
        <f t="shared" si="1684"/>
        <v>7.9700355620910974</v>
      </c>
      <c r="X1645" s="351"/>
    </row>
    <row r="1646" spans="3:24" ht="24.75" customHeight="1" x14ac:dyDescent="0.3">
      <c r="C1646" s="353">
        <f>ABS(E1646-Dashboard!$F$14)</f>
        <v>19.097405498997887</v>
      </c>
      <c r="D1646" s="350">
        <f t="shared" si="1653"/>
        <v>0.2373499999999891</v>
      </c>
      <c r="E1646" s="359" cm="1">
        <f t="array" ref="E1646">1000*SUM('DRE + DCF'!$L$36/M1646,'DRE + DCF'!$N$36:$V$36/N1646:V1646,F1646/V1646)/Dashboard!$F$11</f>
        <v>77.892594501002108</v>
      </c>
      <c r="F1646" s="359">
        <f t="shared" si="1651"/>
        <v>11533378.939643864</v>
      </c>
      <c r="G1646" s="359">
        <f>'DRE + DCF'!$W$31</f>
        <v>2791623.3540418856</v>
      </c>
      <c r="H1646" s="359">
        <f>'DRE + DCF'!$W$32</f>
        <v>81081.931703745853</v>
      </c>
      <c r="I1646" s="359">
        <f>-H1646*('DRE + DCF'!$V$33+K1646)/'DRE + DCF'!$V$33</f>
        <v>-90858.801614444121</v>
      </c>
      <c r="J1646" s="359">
        <f>-'DRE + DCF'!$V$56*L1646</f>
        <v>-1188924.4255577971</v>
      </c>
      <c r="K1646" s="360">
        <f>(1+L1646)/(1+Ke!$O$12)-1</f>
        <v>2.0000000000000018E-2</v>
      </c>
      <c r="L1646" s="360">
        <f>'DRE + DCF'!$Y$31</f>
        <v>7.3550000000000004E-2</v>
      </c>
      <c r="M1646" s="361">
        <f>(1+D1646)^((5-Dashboard!$F$9)*3/12)</f>
        <v>1.173192889107787</v>
      </c>
      <c r="N1646" s="361">
        <f t="shared" ref="N1646:V1646" si="1685">M1646*(1+$D1646)</f>
        <v>1.4516502213375073</v>
      </c>
      <c r="O1646" s="361">
        <f t="shared" si="1685"/>
        <v>1.7961994013719489</v>
      </c>
      <c r="P1646" s="361">
        <f t="shared" si="1685"/>
        <v>2.2225273292875611</v>
      </c>
      <c r="Q1646" s="361">
        <f t="shared" si="1685"/>
        <v>2.7500441908939397</v>
      </c>
      <c r="R1646" s="361">
        <f t="shared" si="1685"/>
        <v>3.402767179602586</v>
      </c>
      <c r="S1646" s="361">
        <f t="shared" si="1685"/>
        <v>4.2104139696812224</v>
      </c>
      <c r="T1646" s="361">
        <f t="shared" si="1685"/>
        <v>5.2097557253850146</v>
      </c>
      <c r="U1646" s="361">
        <f t="shared" si="1685"/>
        <v>6.4462912468050906</v>
      </c>
      <c r="V1646" s="362">
        <f t="shared" si="1685"/>
        <v>7.9763184742342084</v>
      </c>
      <c r="X1646" s="351"/>
    </row>
    <row r="1647" spans="3:24" ht="24.75" customHeight="1" x14ac:dyDescent="0.3">
      <c r="C1647" s="353">
        <f>ABS(E1647-Dashboard!$F$14)</f>
        <v>19.150766518687561</v>
      </c>
      <c r="D1647" s="350">
        <f t="shared" si="1653"/>
        <v>0.23744999999998909</v>
      </c>
      <c r="E1647" s="359" cm="1">
        <f t="array" ref="E1647">1000*SUM('DRE + DCF'!$L$36/M1647,'DRE + DCF'!$N$36:$V$36/N1647:V1647,F1647/V1647)/Dashboard!$F$11</f>
        <v>77.839233481312434</v>
      </c>
      <c r="F1647" s="359">
        <f t="shared" si="1651"/>
        <v>11527535.240785647</v>
      </c>
      <c r="G1647" s="359">
        <f>'DRE + DCF'!$W$31</f>
        <v>2791623.3540418856</v>
      </c>
      <c r="H1647" s="359">
        <f>'DRE + DCF'!$W$32</f>
        <v>81081.931703745853</v>
      </c>
      <c r="I1647" s="359">
        <f>-H1647*('DRE + DCF'!$V$33+K1647)/'DRE + DCF'!$V$33</f>
        <v>-90858.801614444121</v>
      </c>
      <c r="J1647" s="359">
        <f>-'DRE + DCF'!$V$56*L1647</f>
        <v>-1188924.4255577971</v>
      </c>
      <c r="K1647" s="360">
        <f>(1+L1647)/(1+Ke!$O$12)-1</f>
        <v>2.0000000000000018E-2</v>
      </c>
      <c r="L1647" s="360">
        <f>'DRE + DCF'!$Y$31</f>
        <v>7.3550000000000004E-2</v>
      </c>
      <c r="M1647" s="361">
        <f>(1+D1647)^((5-Dashboard!$F$9)*3/12)</f>
        <v>1.1732639996083105</v>
      </c>
      <c r="N1647" s="361">
        <f t="shared" ref="N1647:V1647" si="1686">M1647*(1+$D1647)</f>
        <v>1.451855536315291</v>
      </c>
      <c r="O1647" s="361">
        <f t="shared" si="1686"/>
        <v>1.7965986334133408</v>
      </c>
      <c r="P1647" s="361">
        <f t="shared" si="1686"/>
        <v>2.223200978917319</v>
      </c>
      <c r="Q1647" s="361">
        <f t="shared" si="1686"/>
        <v>2.7511000513612123</v>
      </c>
      <c r="R1647" s="361">
        <f t="shared" si="1686"/>
        <v>3.4043487585569019</v>
      </c>
      <c r="S1647" s="361">
        <f t="shared" si="1686"/>
        <v>4.2127113712762014</v>
      </c>
      <c r="T1647" s="361">
        <f t="shared" si="1686"/>
        <v>5.2130196863856897</v>
      </c>
      <c r="U1647" s="361">
        <f t="shared" si="1686"/>
        <v>6.4508512109179144</v>
      </c>
      <c r="V1647" s="362">
        <f t="shared" si="1686"/>
        <v>7.9826058309503027</v>
      </c>
      <c r="X1647" s="351"/>
    </row>
    <row r="1648" spans="3:24" ht="24.75" customHeight="1" x14ac:dyDescent="0.3">
      <c r="C1648" s="353">
        <f>ABS(E1648-Dashboard!$F$14)</f>
        <v>19.204063874148844</v>
      </c>
      <c r="D1648" s="350">
        <f t="shared" si="1653"/>
        <v>0.23754999999998908</v>
      </c>
      <c r="E1648" s="359" cm="1">
        <f t="array" ref="E1648">1000*SUM('DRE + DCF'!$L$36/M1648,'DRE + DCF'!$N$36:$V$36/N1648:V1648,F1648/V1648)/Dashboard!$F$11</f>
        <v>77.785936125851151</v>
      </c>
      <c r="F1648" s="359">
        <f t="shared" si="1651"/>
        <v>11521697.664463958</v>
      </c>
      <c r="G1648" s="359">
        <f>'DRE + DCF'!$W$31</f>
        <v>2791623.3540418856</v>
      </c>
      <c r="H1648" s="359">
        <f>'DRE + DCF'!$W$32</f>
        <v>81081.931703745853</v>
      </c>
      <c r="I1648" s="359">
        <f>-H1648*('DRE + DCF'!$V$33+K1648)/'DRE + DCF'!$V$33</f>
        <v>-90858.801614444121</v>
      </c>
      <c r="J1648" s="359">
        <f>-'DRE + DCF'!$V$56*L1648</f>
        <v>-1188924.4255577971</v>
      </c>
      <c r="K1648" s="360">
        <f>(1+L1648)/(1+Ke!$O$12)-1</f>
        <v>2.0000000000000018E-2</v>
      </c>
      <c r="L1648" s="360">
        <f>'DRE + DCF'!$Y$31</f>
        <v>7.3550000000000004E-2</v>
      </c>
      <c r="M1648" s="361">
        <f>(1+D1648)^((5-Dashboard!$F$9)*3/12)</f>
        <v>1.1733351086722148</v>
      </c>
      <c r="N1648" s="361">
        <f t="shared" ref="N1648:V1648" si="1687">M1648*(1+$D1648)</f>
        <v>1.4520608637372865</v>
      </c>
      <c r="O1648" s="361">
        <f t="shared" si="1687"/>
        <v>1.796997921918063</v>
      </c>
      <c r="P1648" s="361">
        <f t="shared" si="1687"/>
        <v>2.2238747782696793</v>
      </c>
      <c r="Q1648" s="361">
        <f t="shared" si="1687"/>
        <v>2.7521562318476174</v>
      </c>
      <c r="R1648" s="361">
        <f t="shared" si="1687"/>
        <v>3.4059309447229889</v>
      </c>
      <c r="S1648" s="361">
        <f t="shared" si="1687"/>
        <v>4.2150098406418977</v>
      </c>
      <c r="T1648" s="361">
        <f t="shared" si="1687"/>
        <v>5.2162854282863345</v>
      </c>
      <c r="U1648" s="361">
        <f t="shared" si="1687"/>
        <v>6.4554140317756961</v>
      </c>
      <c r="V1648" s="362">
        <f t="shared" si="1687"/>
        <v>7.9888976350239416</v>
      </c>
      <c r="X1648" s="351"/>
    </row>
    <row r="1649" spans="3:24" ht="24.75" customHeight="1" x14ac:dyDescent="0.3">
      <c r="C1649" s="353">
        <f>ABS(E1649-Dashboard!$F$14)</f>
        <v>19.257297672023171</v>
      </c>
      <c r="D1649" s="350">
        <f t="shared" si="1653"/>
        <v>0.23764999999998906</v>
      </c>
      <c r="E1649" s="359" cm="1">
        <f t="array" ref="E1649">1000*SUM('DRE + DCF'!$L$36/M1649,'DRE + DCF'!$N$36:$V$36/N1649:V1649,F1649/V1649)/Dashboard!$F$11</f>
        <v>77.732702327976824</v>
      </c>
      <c r="F1649" s="359">
        <f t="shared" si="1651"/>
        <v>11515866.200752402</v>
      </c>
      <c r="G1649" s="359">
        <f>'DRE + DCF'!$W$31</f>
        <v>2791623.3540418856</v>
      </c>
      <c r="H1649" s="359">
        <f>'DRE + DCF'!$W$32</f>
        <v>81081.931703745853</v>
      </c>
      <c r="I1649" s="359">
        <f>-H1649*('DRE + DCF'!$V$33+K1649)/'DRE + DCF'!$V$33</f>
        <v>-90858.801614444121</v>
      </c>
      <c r="J1649" s="359">
        <f>-'DRE + DCF'!$V$56*L1649</f>
        <v>-1188924.4255577971</v>
      </c>
      <c r="K1649" s="360">
        <f>(1+L1649)/(1+Ke!$O$12)-1</f>
        <v>2.0000000000000018E-2</v>
      </c>
      <c r="L1649" s="360">
        <f>'DRE + DCF'!$Y$31</f>
        <v>7.3550000000000004E-2</v>
      </c>
      <c r="M1649" s="361">
        <f>(1+D1649)^((5-Dashboard!$F$9)*3/12)</f>
        <v>1.1734062162996448</v>
      </c>
      <c r="N1649" s="361">
        <f t="shared" ref="N1649:V1649" si="1688">M1649*(1+$D1649)</f>
        <v>1.4522662036032425</v>
      </c>
      <c r="O1649" s="361">
        <f t="shared" si="1688"/>
        <v>1.7973972668895373</v>
      </c>
      <c r="P1649" s="361">
        <f t="shared" si="1688"/>
        <v>2.224548727365816</v>
      </c>
      <c r="Q1649" s="361">
        <f t="shared" si="1688"/>
        <v>2.7532127324242777</v>
      </c>
      <c r="R1649" s="361">
        <f t="shared" si="1688"/>
        <v>3.407513738284877</v>
      </c>
      <c r="S1649" s="361">
        <f t="shared" si="1688"/>
        <v>4.2173093781882409</v>
      </c>
      <c r="T1649" s="361">
        <f t="shared" si="1688"/>
        <v>5.21955295191463</v>
      </c>
      <c r="U1649" s="361">
        <f t="shared" si="1688"/>
        <v>6.4599797109370849</v>
      </c>
      <c r="V1649" s="362">
        <f t="shared" si="1688"/>
        <v>7.9951938892412127</v>
      </c>
      <c r="X1649" s="351"/>
    </row>
    <row r="1650" spans="3:24" ht="24.75" customHeight="1" x14ac:dyDescent="0.3">
      <c r="C1650" s="353">
        <f>ABS(E1650-Dashboard!$F$14)</f>
        <v>19.310468018718453</v>
      </c>
      <c r="D1650" s="350">
        <f t="shared" si="1653"/>
        <v>0.23774999999998905</v>
      </c>
      <c r="E1650" s="359" cm="1">
        <f t="array" ref="E1650">1000*SUM('DRE + DCF'!$L$36/M1650,'DRE + DCF'!$N$36:$V$36/N1650:V1650,F1650/V1650)/Dashboard!$F$11</f>
        <v>77.679531981281542</v>
      </c>
      <c r="F1650" s="359">
        <f t="shared" si="1651"/>
        <v>11510040.839746639</v>
      </c>
      <c r="G1650" s="359">
        <f>'DRE + DCF'!$W$31</f>
        <v>2791623.3540418856</v>
      </c>
      <c r="H1650" s="359">
        <f>'DRE + DCF'!$W$32</f>
        <v>81081.931703745853</v>
      </c>
      <c r="I1650" s="359">
        <f>-H1650*('DRE + DCF'!$V$33+K1650)/'DRE + DCF'!$V$33</f>
        <v>-90858.801614444121</v>
      </c>
      <c r="J1650" s="359">
        <f>-'DRE + DCF'!$V$56*L1650</f>
        <v>-1188924.4255577971</v>
      </c>
      <c r="K1650" s="360">
        <f>(1+L1650)/(1+Ke!$O$12)-1</f>
        <v>2.0000000000000018E-2</v>
      </c>
      <c r="L1650" s="360">
        <f>'DRE + DCF'!$Y$31</f>
        <v>7.3550000000000004E-2</v>
      </c>
      <c r="M1650" s="361">
        <f>(1+D1650)^((5-Dashboard!$F$9)*3/12)</f>
        <v>1.1734773224907458</v>
      </c>
      <c r="N1650" s="361">
        <f t="shared" ref="N1650:V1650" si="1689">M1650*(1+$D1650)</f>
        <v>1.4524715559129078</v>
      </c>
      <c r="O1650" s="361">
        <f t="shared" si="1689"/>
        <v>1.7977966683311857</v>
      </c>
      <c r="P1650" s="361">
        <f t="shared" si="1689"/>
        <v>2.2252228262269051</v>
      </c>
      <c r="Q1650" s="361">
        <f t="shared" si="1689"/>
        <v>2.7542695531623274</v>
      </c>
      <c r="R1650" s="361">
        <f t="shared" si="1689"/>
        <v>3.4090971394266405</v>
      </c>
      <c r="S1650" s="361">
        <f t="shared" si="1689"/>
        <v>4.2196099843252872</v>
      </c>
      <c r="T1650" s="361">
        <f t="shared" si="1689"/>
        <v>5.2228222580985779</v>
      </c>
      <c r="U1650" s="361">
        <f t="shared" si="1689"/>
        <v>6.4645482499614575</v>
      </c>
      <c r="V1650" s="362">
        <f t="shared" si="1689"/>
        <v>8.0014945963897226</v>
      </c>
      <c r="X1650" s="351"/>
    </row>
    <row r="1651" spans="3:24" ht="24.75" customHeight="1" x14ac:dyDescent="0.3">
      <c r="C1651" s="353">
        <f>ABS(E1651-Dashboard!$F$14)</f>
        <v>19.363575020409613</v>
      </c>
      <c r="D1651" s="350">
        <f t="shared" si="1653"/>
        <v>0.23784999999998904</v>
      </c>
      <c r="E1651" s="359" cm="1">
        <f t="array" ref="E1651">1000*SUM('DRE + DCF'!$L$36/M1651,'DRE + DCF'!$N$36:$V$36/N1651:V1651,F1651/V1651)/Dashboard!$F$11</f>
        <v>77.626424979590382</v>
      </c>
      <c r="F1651" s="359">
        <f t="shared" si="1651"/>
        <v>11504221.571564313</v>
      </c>
      <c r="G1651" s="359">
        <f>'DRE + DCF'!$W$31</f>
        <v>2791623.3540418856</v>
      </c>
      <c r="H1651" s="359">
        <f>'DRE + DCF'!$W$32</f>
        <v>81081.931703745853</v>
      </c>
      <c r="I1651" s="359">
        <f>-H1651*('DRE + DCF'!$V$33+K1651)/'DRE + DCF'!$V$33</f>
        <v>-90858.801614444121</v>
      </c>
      <c r="J1651" s="359">
        <f>-'DRE + DCF'!$V$56*L1651</f>
        <v>-1188924.4255577971</v>
      </c>
      <c r="K1651" s="360">
        <f>(1+L1651)/(1+Ke!$O$12)-1</f>
        <v>2.0000000000000018E-2</v>
      </c>
      <c r="L1651" s="360">
        <f>'DRE + DCF'!$Y$31</f>
        <v>7.3550000000000004E-2</v>
      </c>
      <c r="M1651" s="361">
        <f>(1+D1651)^((5-Dashboard!$F$9)*3/12)</f>
        <v>1.1735484272456624</v>
      </c>
      <c r="N1651" s="361">
        <f t="shared" ref="N1651:V1651" si="1690">M1651*(1+$D1651)</f>
        <v>1.4526769206660304</v>
      </c>
      <c r="O1651" s="361">
        <f t="shared" si="1690"/>
        <v>1.7981961262464297</v>
      </c>
      <c r="P1651" s="361">
        <f t="shared" si="1690"/>
        <v>2.2258970748741231</v>
      </c>
      <c r="Q1651" s="361">
        <f t="shared" si="1690"/>
        <v>2.7553266941329091</v>
      </c>
      <c r="R1651" s="361">
        <f t="shared" si="1690"/>
        <v>3.4106811483323911</v>
      </c>
      <c r="S1651" s="361">
        <f t="shared" si="1690"/>
        <v>4.2219116594632125</v>
      </c>
      <c r="T1651" s="361">
        <f t="shared" si="1690"/>
        <v>5.2260933476664908</v>
      </c>
      <c r="U1651" s="361">
        <f t="shared" si="1690"/>
        <v>6.4691196504089081</v>
      </c>
      <c r="V1651" s="362">
        <f t="shared" si="1690"/>
        <v>8.0077997592585959</v>
      </c>
      <c r="X1651" s="351"/>
    </row>
    <row r="1652" spans="3:24" ht="24.75" customHeight="1" x14ac:dyDescent="0.3">
      <c r="C1652" s="353">
        <f>ABS(E1652-Dashboard!$F$14)</f>
        <v>19.416618783039425</v>
      </c>
      <c r="D1652" s="350">
        <f t="shared" si="1653"/>
        <v>0.23794999999998903</v>
      </c>
      <c r="E1652" s="359" cm="1">
        <f t="array" ref="E1652">1000*SUM('DRE + DCF'!$L$36/M1652,'DRE + DCF'!$N$36:$V$36/N1652:V1652,F1652/V1652)/Dashboard!$F$11</f>
        <v>77.57338121696057</v>
      </c>
      <c r="F1652" s="359">
        <f t="shared" si="1651"/>
        <v>11498408.386345003</v>
      </c>
      <c r="G1652" s="359">
        <f>'DRE + DCF'!$W$31</f>
        <v>2791623.3540418856</v>
      </c>
      <c r="H1652" s="359">
        <f>'DRE + DCF'!$W$32</f>
        <v>81081.931703745853</v>
      </c>
      <c r="I1652" s="359">
        <f>-H1652*('DRE + DCF'!$V$33+K1652)/'DRE + DCF'!$V$33</f>
        <v>-90858.801614444121</v>
      </c>
      <c r="J1652" s="359">
        <f>-'DRE + DCF'!$V$56*L1652</f>
        <v>-1188924.4255577971</v>
      </c>
      <c r="K1652" s="360">
        <f>(1+L1652)/(1+Ke!$O$12)-1</f>
        <v>2.0000000000000018E-2</v>
      </c>
      <c r="L1652" s="360">
        <f>'DRE + DCF'!$Y$31</f>
        <v>7.3550000000000004E-2</v>
      </c>
      <c r="M1652" s="361">
        <f>(1+D1652)^((5-Dashboard!$F$9)*3/12)</f>
        <v>1.1736195305645403</v>
      </c>
      <c r="N1652" s="361">
        <f t="shared" ref="N1652:V1652" si="1691">M1652*(1+$D1652)</f>
        <v>1.4528822978623597</v>
      </c>
      <c r="O1652" s="361">
        <f t="shared" si="1691"/>
        <v>1.7985956406386923</v>
      </c>
      <c r="P1652" s="361">
        <f t="shared" si="1691"/>
        <v>2.2265714733286495</v>
      </c>
      <c r="Q1652" s="361">
        <f t="shared" si="1691"/>
        <v>2.7563841554071771</v>
      </c>
      <c r="R1652" s="361">
        <f t="shared" si="1691"/>
        <v>3.4122657651862847</v>
      </c>
      <c r="S1652" s="361">
        <f t="shared" si="1691"/>
        <v>4.224214404012324</v>
      </c>
      <c r="T1652" s="361">
        <f t="shared" si="1691"/>
        <v>5.2293662214470098</v>
      </c>
      <c r="U1652" s="361">
        <f t="shared" si="1691"/>
        <v>6.4736939138402683</v>
      </c>
      <c r="V1652" s="362">
        <f t="shared" si="1691"/>
        <v>8.0141093806384891</v>
      </c>
      <c r="X1652" s="351"/>
    </row>
    <row r="1653" spans="3:24" ht="24.75" customHeight="1" x14ac:dyDescent="0.3">
      <c r="C1653" s="353">
        <f>ABS(E1653-Dashboard!$F$14)</f>
        <v>19.469599412318871</v>
      </c>
      <c r="D1653" s="350">
        <f t="shared" si="1653"/>
        <v>0.23804999999998902</v>
      </c>
      <c r="E1653" s="359" cm="1">
        <f t="array" ref="E1653">1000*SUM('DRE + DCF'!$L$36/M1653,'DRE + DCF'!$N$36:$V$36/N1653:V1653,F1653/V1653)/Dashboard!$F$11</f>
        <v>77.520400587681124</v>
      </c>
      <c r="F1653" s="359">
        <f t="shared" si="1651"/>
        <v>11492601.274250146</v>
      </c>
      <c r="G1653" s="359">
        <f>'DRE + DCF'!$W$31</f>
        <v>2791623.3540418856</v>
      </c>
      <c r="H1653" s="359">
        <f>'DRE + DCF'!$W$32</f>
        <v>81081.931703745853</v>
      </c>
      <c r="I1653" s="359">
        <f>-H1653*('DRE + DCF'!$V$33+K1653)/'DRE + DCF'!$V$33</f>
        <v>-90858.801614444121</v>
      </c>
      <c r="J1653" s="359">
        <f>-'DRE + DCF'!$V$56*L1653</f>
        <v>-1188924.4255577971</v>
      </c>
      <c r="K1653" s="360">
        <f>(1+L1653)/(1+Ke!$O$12)-1</f>
        <v>2.0000000000000018E-2</v>
      </c>
      <c r="L1653" s="360">
        <f>'DRE + DCF'!$Y$31</f>
        <v>7.3550000000000004E-2</v>
      </c>
      <c r="M1653" s="361">
        <f>(1+D1653)^((5-Dashboard!$F$9)*3/12)</f>
        <v>1.173690632447524</v>
      </c>
      <c r="N1653" s="361">
        <f t="shared" ref="N1653:V1653" si="1692">M1653*(1+$D1653)</f>
        <v>1.4530876875016443</v>
      </c>
      <c r="O1653" s="361">
        <f t="shared" si="1692"/>
        <v>1.7989952115113947</v>
      </c>
      <c r="P1653" s="361">
        <f t="shared" si="1692"/>
        <v>2.2272460216116623</v>
      </c>
      <c r="Q1653" s="361">
        <f t="shared" si="1692"/>
        <v>2.7574419370562939</v>
      </c>
      <c r="R1653" s="361">
        <f t="shared" si="1692"/>
        <v>3.4138509901725143</v>
      </c>
      <c r="S1653" s="361">
        <f t="shared" si="1692"/>
        <v>4.2265182183830436</v>
      </c>
      <c r="T1653" s="361">
        <f t="shared" si="1692"/>
        <v>5.2326408802690807</v>
      </c>
      <c r="U1653" s="361">
        <f t="shared" si="1692"/>
        <v>6.4782710418170781</v>
      </c>
      <c r="V1653" s="362">
        <f t="shared" si="1692"/>
        <v>8.0204234633215616</v>
      </c>
      <c r="X1653" s="351"/>
    </row>
    <row r="1654" spans="3:24" ht="24.75" customHeight="1" x14ac:dyDescent="0.3">
      <c r="C1654" s="353">
        <f>ABS(E1654-Dashboard!$F$14)</f>
        <v>19.522517013727992</v>
      </c>
      <c r="D1654" s="350">
        <f t="shared" si="1653"/>
        <v>0.23814999999998901</v>
      </c>
      <c r="E1654" s="359" cm="1">
        <f t="array" ref="E1654">1000*SUM('DRE + DCF'!$L$36/M1654,'DRE + DCF'!$N$36:$V$36/N1654:V1654,F1654/V1654)/Dashboard!$F$11</f>
        <v>77.467482986272003</v>
      </c>
      <c r="F1654" s="359">
        <f t="shared" si="1651"/>
        <v>11486800.225462981</v>
      </c>
      <c r="G1654" s="359">
        <f>'DRE + DCF'!$W$31</f>
        <v>2791623.3540418856</v>
      </c>
      <c r="H1654" s="359">
        <f>'DRE + DCF'!$W$32</f>
        <v>81081.931703745853</v>
      </c>
      <c r="I1654" s="359">
        <f>-H1654*('DRE + DCF'!$V$33+K1654)/'DRE + DCF'!$V$33</f>
        <v>-90858.801614444121</v>
      </c>
      <c r="J1654" s="359">
        <f>-'DRE + DCF'!$V$56*L1654</f>
        <v>-1188924.4255577971</v>
      </c>
      <c r="K1654" s="360">
        <f>(1+L1654)/(1+Ke!$O$12)-1</f>
        <v>2.0000000000000018E-2</v>
      </c>
      <c r="L1654" s="360">
        <f>'DRE + DCF'!$Y$31</f>
        <v>7.3550000000000004E-2</v>
      </c>
      <c r="M1654" s="361">
        <f>(1+D1654)^((5-Dashboard!$F$9)*3/12)</f>
        <v>1.1737617328947587</v>
      </c>
      <c r="N1654" s="361">
        <f t="shared" ref="N1654:V1654" si="1693">M1654*(1+$D1654)</f>
        <v>1.4532930895836325</v>
      </c>
      <c r="O1654" s="361">
        <f t="shared" si="1693"/>
        <v>1.7993948388679586</v>
      </c>
      <c r="P1654" s="361">
        <f t="shared" si="1693"/>
        <v>2.2279207197443429</v>
      </c>
      <c r="Q1654" s="361">
        <f t="shared" si="1693"/>
        <v>2.7585000391514338</v>
      </c>
      <c r="R1654" s="361">
        <f t="shared" si="1693"/>
        <v>3.4154368234753174</v>
      </c>
      <c r="S1654" s="361">
        <f t="shared" si="1693"/>
        <v>4.2288231029859267</v>
      </c>
      <c r="T1654" s="361">
        <f t="shared" si="1693"/>
        <v>5.2359173249619788</v>
      </c>
      <c r="U1654" s="361">
        <f t="shared" si="1693"/>
        <v>6.482851035901616</v>
      </c>
      <c r="V1654" s="362">
        <f t="shared" si="1693"/>
        <v>8.0267420101015148</v>
      </c>
      <c r="X1654" s="351"/>
    </row>
    <row r="1655" spans="3:24" ht="24.75" customHeight="1" x14ac:dyDescent="0.3">
      <c r="C1655" s="353">
        <f>ABS(E1655-Dashboard!$F$14)</f>
        <v>19.57537169251647</v>
      </c>
      <c r="D1655" s="350">
        <f t="shared" si="1653"/>
        <v>0.238249999999989</v>
      </c>
      <c r="E1655" s="359" cm="1">
        <f t="array" ref="E1655">1000*SUM('DRE + DCF'!$L$36/M1655,'DRE + DCF'!$N$36:$V$36/N1655:V1655,F1655/V1655)/Dashboard!$F$11</f>
        <v>77.414628307483525</v>
      </c>
      <c r="F1655" s="359">
        <f t="shared" si="1651"/>
        <v>11481005.230188489</v>
      </c>
      <c r="G1655" s="359">
        <f>'DRE + DCF'!$W$31</f>
        <v>2791623.3540418856</v>
      </c>
      <c r="H1655" s="359">
        <f>'DRE + DCF'!$W$32</f>
        <v>81081.931703745853</v>
      </c>
      <c r="I1655" s="359">
        <f>-H1655*('DRE + DCF'!$V$33+K1655)/'DRE + DCF'!$V$33</f>
        <v>-90858.801614444121</v>
      </c>
      <c r="J1655" s="359">
        <f>-'DRE + DCF'!$V$56*L1655</f>
        <v>-1188924.4255577971</v>
      </c>
      <c r="K1655" s="360">
        <f>(1+L1655)/(1+Ke!$O$12)-1</f>
        <v>2.0000000000000018E-2</v>
      </c>
      <c r="L1655" s="360">
        <f>'DRE + DCF'!$Y$31</f>
        <v>7.3550000000000004E-2</v>
      </c>
      <c r="M1655" s="361">
        <f>(1+D1655)^((5-Dashboard!$F$9)*3/12)</f>
        <v>1.1738328319063893</v>
      </c>
      <c r="N1655" s="361">
        <f t="shared" ref="N1655:V1655" si="1694">M1655*(1+$D1655)</f>
        <v>1.4534985041080737</v>
      </c>
      <c r="O1655" s="361">
        <f t="shared" si="1694"/>
        <v>1.7997945227118062</v>
      </c>
      <c r="P1655" s="361">
        <f t="shared" si="1694"/>
        <v>2.2285955677478739</v>
      </c>
      <c r="Q1655" s="361">
        <f t="shared" si="1694"/>
        <v>2.7595584617637803</v>
      </c>
      <c r="R1655" s="361">
        <f t="shared" si="1694"/>
        <v>3.4170232652789707</v>
      </c>
      <c r="S1655" s="361">
        <f t="shared" si="1694"/>
        <v>4.2311290582316481</v>
      </c>
      <c r="T1655" s="361">
        <f t="shared" si="1694"/>
        <v>5.2391955563552912</v>
      </c>
      <c r="U1655" s="361">
        <f t="shared" si="1694"/>
        <v>6.4874338976568815</v>
      </c>
      <c r="V1655" s="362">
        <f t="shared" si="1694"/>
        <v>8.0330650237735615</v>
      </c>
      <c r="X1655" s="351"/>
    </row>
    <row r="1656" spans="3:24" ht="24.75" customHeight="1" x14ac:dyDescent="0.3">
      <c r="C1656" s="353">
        <f>ABS(E1656-Dashboard!$F$14)</f>
        <v>19.628163553704226</v>
      </c>
      <c r="D1656" s="350">
        <f t="shared" si="1653"/>
        <v>0.23834999999998899</v>
      </c>
      <c r="E1656" s="359" cm="1">
        <f t="array" ref="E1656">1000*SUM('DRE + DCF'!$L$36/M1656,'DRE + DCF'!$N$36:$V$36/N1656:V1656,F1656/V1656)/Dashboard!$F$11</f>
        <v>77.361836446295769</v>
      </c>
      <c r="F1656" s="359">
        <f t="shared" si="1651"/>
        <v>11475216.278653331</v>
      </c>
      <c r="G1656" s="359">
        <f>'DRE + DCF'!$W$31</f>
        <v>2791623.3540418856</v>
      </c>
      <c r="H1656" s="359">
        <f>'DRE + DCF'!$W$32</f>
        <v>81081.931703745853</v>
      </c>
      <c r="I1656" s="359">
        <f>-H1656*('DRE + DCF'!$V$33+K1656)/'DRE + DCF'!$V$33</f>
        <v>-90858.801614444121</v>
      </c>
      <c r="J1656" s="359">
        <f>-'DRE + DCF'!$V$56*L1656</f>
        <v>-1188924.4255577971</v>
      </c>
      <c r="K1656" s="360">
        <f>(1+L1656)/(1+Ke!$O$12)-1</f>
        <v>2.0000000000000018E-2</v>
      </c>
      <c r="L1656" s="360">
        <f>'DRE + DCF'!$Y$31</f>
        <v>7.3550000000000004E-2</v>
      </c>
      <c r="M1656" s="361">
        <f>(1+D1656)^((5-Dashboard!$F$9)*3/12)</f>
        <v>1.1739039294825606</v>
      </c>
      <c r="N1656" s="361">
        <f t="shared" ref="N1656:V1656" si="1695">M1656*(1+$D1656)</f>
        <v>1.453703931074716</v>
      </c>
      <c r="O1656" s="361">
        <f t="shared" si="1695"/>
        <v>1.8001942630463585</v>
      </c>
      <c r="P1656" s="361">
        <f t="shared" si="1695"/>
        <v>2.2292705656434384</v>
      </c>
      <c r="Q1656" s="361">
        <f t="shared" si="1695"/>
        <v>2.7606172049645274</v>
      </c>
      <c r="R1656" s="361">
        <f t="shared" si="1695"/>
        <v>3.4186103157677921</v>
      </c>
      <c r="S1656" s="361">
        <f t="shared" si="1695"/>
        <v>4.2334360845310073</v>
      </c>
      <c r="T1656" s="361">
        <f t="shared" si="1695"/>
        <v>5.2424755752789265</v>
      </c>
      <c r="U1656" s="361">
        <f t="shared" si="1695"/>
        <v>6.4920196286466005</v>
      </c>
      <c r="V1656" s="362">
        <f t="shared" si="1695"/>
        <v>8.0393925071344459</v>
      </c>
      <c r="X1656" s="351"/>
    </row>
    <row r="1657" spans="3:24" ht="24.75" customHeight="1" x14ac:dyDescent="0.3">
      <c r="C1657" s="353">
        <f>ABS(E1657-Dashboard!$F$14)</f>
        <v>19.680892702082076</v>
      </c>
      <c r="D1657" s="350">
        <f t="shared" si="1653"/>
        <v>0.23844999999998898</v>
      </c>
      <c r="E1657" s="359" cm="1">
        <f t="array" ref="E1657">1000*SUM('DRE + DCF'!$L$36/M1657,'DRE + DCF'!$N$36:$V$36/N1657:V1657,F1657/V1657)/Dashboard!$F$11</f>
        <v>77.309107297917919</v>
      </c>
      <c r="F1657" s="359">
        <f t="shared" si="1651"/>
        <v>11469433.361105788</v>
      </c>
      <c r="G1657" s="359">
        <f>'DRE + DCF'!$W$31</f>
        <v>2791623.3540418856</v>
      </c>
      <c r="H1657" s="359">
        <f>'DRE + DCF'!$W$32</f>
        <v>81081.931703745853</v>
      </c>
      <c r="I1657" s="359">
        <f>-H1657*('DRE + DCF'!$V$33+K1657)/'DRE + DCF'!$V$33</f>
        <v>-90858.801614444121</v>
      </c>
      <c r="J1657" s="359">
        <f>-'DRE + DCF'!$V$56*L1657</f>
        <v>-1188924.4255577971</v>
      </c>
      <c r="K1657" s="360">
        <f>(1+L1657)/(1+Ke!$O$12)-1</f>
        <v>2.0000000000000018E-2</v>
      </c>
      <c r="L1657" s="360">
        <f>'DRE + DCF'!$Y$31</f>
        <v>7.3550000000000004E-2</v>
      </c>
      <c r="M1657" s="361">
        <f>(1+D1657)^((5-Dashboard!$F$9)*3/12)</f>
        <v>1.1739750256234178</v>
      </c>
      <c r="N1657" s="361">
        <f t="shared" ref="N1657:V1657" si="1696">M1657*(1+$D1657)</f>
        <v>1.4539093704833088</v>
      </c>
      <c r="O1657" s="361">
        <f t="shared" si="1696"/>
        <v>1.8005940598750378</v>
      </c>
      <c r="P1657" s="361">
        <f t="shared" si="1696"/>
        <v>2.2299457134522207</v>
      </c>
      <c r="Q1657" s="361">
        <f t="shared" si="1696"/>
        <v>2.7616762688248779</v>
      </c>
      <c r="R1657" s="361">
        <f t="shared" si="1696"/>
        <v>3.4201979751261398</v>
      </c>
      <c r="S1657" s="361">
        <f t="shared" si="1696"/>
        <v>4.2357441822949298</v>
      </c>
      <c r="T1657" s="361">
        <f t="shared" si="1696"/>
        <v>5.2457573825631085</v>
      </c>
      <c r="U1657" s="361">
        <f t="shared" si="1696"/>
        <v>6.496608230435224</v>
      </c>
      <c r="V1657" s="362">
        <f t="shared" si="1696"/>
        <v>8.0457244629824309</v>
      </c>
      <c r="X1657" s="351"/>
    </row>
    <row r="1658" spans="3:24" ht="24.75" customHeight="1" x14ac:dyDescent="0.3">
      <c r="C1658" s="353">
        <f>ABS(E1658-Dashboard!$F$14)</f>
        <v>19.733559242212365</v>
      </c>
      <c r="D1658" s="350">
        <f t="shared" si="1653"/>
        <v>0.23854999999998897</v>
      </c>
      <c r="E1658" s="359" cm="1">
        <f t="array" ref="E1658">1000*SUM('DRE + DCF'!$L$36/M1658,'DRE + DCF'!$N$36:$V$36/N1658:V1658,F1658/V1658)/Dashboard!$F$11</f>
        <v>77.25644075778763</v>
      </c>
      <c r="F1658" s="359">
        <f t="shared" si="1651"/>
        <v>11463656.467815693</v>
      </c>
      <c r="G1658" s="359">
        <f>'DRE + DCF'!$W$31</f>
        <v>2791623.3540418856</v>
      </c>
      <c r="H1658" s="359">
        <f>'DRE + DCF'!$W$32</f>
        <v>81081.931703745853</v>
      </c>
      <c r="I1658" s="359">
        <f>-H1658*('DRE + DCF'!$V$33+K1658)/'DRE + DCF'!$V$33</f>
        <v>-90858.801614444121</v>
      </c>
      <c r="J1658" s="359">
        <f>-'DRE + DCF'!$V$56*L1658</f>
        <v>-1188924.4255577971</v>
      </c>
      <c r="K1658" s="360">
        <f>(1+L1658)/(1+Ke!$O$12)-1</f>
        <v>2.0000000000000018E-2</v>
      </c>
      <c r="L1658" s="360">
        <f>'DRE + DCF'!$Y$31</f>
        <v>7.3550000000000004E-2</v>
      </c>
      <c r="M1658" s="361">
        <f>(1+D1658)^((5-Dashboard!$F$9)*3/12)</f>
        <v>1.1740461203291055</v>
      </c>
      <c r="N1658" s="361">
        <f t="shared" ref="N1658:V1658" si="1697">M1658*(1+$D1658)</f>
        <v>1.4541148223336007</v>
      </c>
      <c r="O1658" s="361">
        <f t="shared" si="1697"/>
        <v>1.8009939132012651</v>
      </c>
      <c r="P1658" s="361">
        <f t="shared" si="1697"/>
        <v>2.230621011195407</v>
      </c>
      <c r="Q1658" s="361">
        <f t="shared" si="1697"/>
        <v>2.7627356534160468</v>
      </c>
      <c r="R1658" s="361">
        <f t="shared" si="1697"/>
        <v>3.4217862435384143</v>
      </c>
      <c r="S1658" s="361">
        <f t="shared" si="1697"/>
        <v>4.2380533519344654</v>
      </c>
      <c r="T1658" s="361">
        <f t="shared" si="1697"/>
        <v>5.2490409790383854</v>
      </c>
      <c r="U1658" s="361">
        <f t="shared" si="1697"/>
        <v>6.5011997045879344</v>
      </c>
      <c r="V1658" s="362">
        <f t="shared" si="1697"/>
        <v>8.0520608941173144</v>
      </c>
      <c r="X1658" s="351"/>
    </row>
    <row r="1659" spans="3:24" ht="24.75" customHeight="1" x14ac:dyDescent="0.3">
      <c r="C1659" s="353">
        <f>ABS(E1659-Dashboard!$F$14)</f>
        <v>19.786163278429484</v>
      </c>
      <c r="D1659" s="350">
        <f t="shared" si="1653"/>
        <v>0.23864999999998895</v>
      </c>
      <c r="E1659" s="359" cm="1">
        <f t="array" ref="E1659">1000*SUM('DRE + DCF'!$L$36/M1659,'DRE + DCF'!$N$36:$V$36/N1659:V1659,F1659/V1659)/Dashboard!$F$11</f>
        <v>77.203836721570511</v>
      </c>
      <c r="F1659" s="359">
        <f t="shared" si="1651"/>
        <v>11457885.589074377</v>
      </c>
      <c r="G1659" s="359">
        <f>'DRE + DCF'!$W$31</f>
        <v>2791623.3540418856</v>
      </c>
      <c r="H1659" s="359">
        <f>'DRE + DCF'!$W$32</f>
        <v>81081.931703745853</v>
      </c>
      <c r="I1659" s="359">
        <f>-H1659*('DRE + DCF'!$V$33+K1659)/'DRE + DCF'!$V$33</f>
        <v>-90858.801614444121</v>
      </c>
      <c r="J1659" s="359">
        <f>-'DRE + DCF'!$V$56*L1659</f>
        <v>-1188924.4255577971</v>
      </c>
      <c r="K1659" s="360">
        <f>(1+L1659)/(1+Ke!$O$12)-1</f>
        <v>2.0000000000000018E-2</v>
      </c>
      <c r="L1659" s="360">
        <f>'DRE + DCF'!$Y$31</f>
        <v>7.3550000000000004E-2</v>
      </c>
      <c r="M1659" s="361">
        <f>(1+D1659)^((5-Dashboard!$F$9)*3/12)</f>
        <v>1.1741172135997684</v>
      </c>
      <c r="N1659" s="361">
        <f t="shared" ref="N1659:V1659" si="1698">M1659*(1+$D1659)</f>
        <v>1.4543202866253402</v>
      </c>
      <c r="O1659" s="361">
        <f t="shared" si="1698"/>
        <v>1.8013938230284616</v>
      </c>
      <c r="P1659" s="361">
        <f t="shared" si="1698"/>
        <v>2.2312964588941839</v>
      </c>
      <c r="Q1659" s="361">
        <f t="shared" si="1698"/>
        <v>2.7637953588092561</v>
      </c>
      <c r="R1659" s="361">
        <f t="shared" si="1698"/>
        <v>3.4233751211890544</v>
      </c>
      <c r="S1659" s="361">
        <f t="shared" si="1698"/>
        <v>4.240363593860784</v>
      </c>
      <c r="T1659" s="361">
        <f t="shared" si="1698"/>
        <v>5.2523263655356134</v>
      </c>
      <c r="U1659" s="361">
        <f t="shared" si="1698"/>
        <v>6.5057940526706295</v>
      </c>
      <c r="V1659" s="362">
        <f t="shared" si="1698"/>
        <v>8.0584018033404039</v>
      </c>
      <c r="X1659" s="351"/>
    </row>
    <row r="1660" spans="3:24" ht="24.75" customHeight="1" x14ac:dyDescent="0.3">
      <c r="C1660" s="353">
        <f>ABS(E1660-Dashboard!$F$14)</f>
        <v>19.838704914840761</v>
      </c>
      <c r="D1660" s="350">
        <f t="shared" si="1653"/>
        <v>0.23874999999998894</v>
      </c>
      <c r="E1660" s="359" cm="1">
        <f t="array" ref="E1660">1000*SUM('DRE + DCF'!$L$36/M1660,'DRE + DCF'!$N$36:$V$36/N1660:V1660,F1660/V1660)/Dashboard!$F$11</f>
        <v>77.151295085159234</v>
      </c>
      <c r="F1660" s="359">
        <f t="shared" si="1651"/>
        <v>11452120.715194602</v>
      </c>
      <c r="G1660" s="359">
        <f>'DRE + DCF'!$W$31</f>
        <v>2791623.3540418856</v>
      </c>
      <c r="H1660" s="359">
        <f>'DRE + DCF'!$W$32</f>
        <v>81081.931703745853</v>
      </c>
      <c r="I1660" s="359">
        <f>-H1660*('DRE + DCF'!$V$33+K1660)/'DRE + DCF'!$V$33</f>
        <v>-90858.801614444121</v>
      </c>
      <c r="J1660" s="359">
        <f>-'DRE + DCF'!$V$56*L1660</f>
        <v>-1188924.4255577971</v>
      </c>
      <c r="K1660" s="360">
        <f>(1+L1660)/(1+Ke!$O$12)-1</f>
        <v>2.0000000000000018E-2</v>
      </c>
      <c r="L1660" s="360">
        <f>'DRE + DCF'!$Y$31</f>
        <v>7.3550000000000004E-2</v>
      </c>
      <c r="M1660" s="361">
        <f>(1+D1660)^((5-Dashboard!$F$9)*3/12)</f>
        <v>1.1741883054355517</v>
      </c>
      <c r="N1660" s="361">
        <f t="shared" ref="N1660:V1660" si="1699">M1660*(1+$D1660)</f>
        <v>1.4545257633582767</v>
      </c>
      <c r="O1660" s="361">
        <f t="shared" si="1699"/>
        <v>1.8017937893600491</v>
      </c>
      <c r="P1660" s="361">
        <f t="shared" si="1699"/>
        <v>2.2319720565697407</v>
      </c>
      <c r="Q1660" s="361">
        <f t="shared" si="1699"/>
        <v>2.7648553850757418</v>
      </c>
      <c r="R1660" s="361">
        <f t="shared" si="1699"/>
        <v>3.4249646082625445</v>
      </c>
      <c r="S1660" s="361">
        <f t="shared" si="1699"/>
        <v>4.2426749084851894</v>
      </c>
      <c r="T1660" s="361">
        <f t="shared" si="1699"/>
        <v>5.2556135428859809</v>
      </c>
      <c r="U1660" s="361">
        <f t="shared" si="1699"/>
        <v>6.5103912762499503</v>
      </c>
      <c r="V1660" s="362">
        <f t="shared" si="1699"/>
        <v>8.0647471934545543</v>
      </c>
      <c r="X1660" s="351"/>
    </row>
    <row r="1661" spans="3:24" ht="24.75" customHeight="1" x14ac:dyDescent="0.3">
      <c r="C1661" s="353">
        <f>ABS(E1661-Dashboard!$F$14)</f>
        <v>19.89118425532682</v>
      </c>
      <c r="D1661" s="350">
        <f t="shared" si="1653"/>
        <v>0.23884999999998893</v>
      </c>
      <c r="E1661" s="359" cm="1">
        <f t="array" ref="E1661">1000*SUM('DRE + DCF'!$L$36/M1661,'DRE + DCF'!$N$36:$V$36/N1661:V1661,F1661/V1661)/Dashboard!$F$11</f>
        <v>77.098815744673175</v>
      </c>
      <c r="F1661" s="359">
        <f t="shared" si="1651"/>
        <v>11446361.836510513</v>
      </c>
      <c r="G1661" s="359">
        <f>'DRE + DCF'!$W$31</f>
        <v>2791623.3540418856</v>
      </c>
      <c r="H1661" s="359">
        <f>'DRE + DCF'!$W$32</f>
        <v>81081.931703745853</v>
      </c>
      <c r="I1661" s="359">
        <f>-H1661*('DRE + DCF'!$V$33+K1661)/'DRE + DCF'!$V$33</f>
        <v>-90858.801614444121</v>
      </c>
      <c r="J1661" s="359">
        <f>-'DRE + DCF'!$V$56*L1661</f>
        <v>-1188924.4255577971</v>
      </c>
      <c r="K1661" s="360">
        <f>(1+L1661)/(1+Ke!$O$12)-1</f>
        <v>2.0000000000000018E-2</v>
      </c>
      <c r="L1661" s="360">
        <f>'DRE + DCF'!$Y$31</f>
        <v>7.3550000000000004E-2</v>
      </c>
      <c r="M1661" s="361">
        <f>(1+D1661)^((5-Dashboard!$F$9)*3/12)</f>
        <v>1.1742593958366001</v>
      </c>
      <c r="N1661" s="361">
        <f t="shared" ref="N1661:V1661" si="1700">M1661*(1+$D1661)</f>
        <v>1.454731252532159</v>
      </c>
      <c r="O1661" s="361">
        <f t="shared" si="1700"/>
        <v>1.802193812199449</v>
      </c>
      <c r="P1661" s="361">
        <f t="shared" si="1700"/>
        <v>2.2326478042432671</v>
      </c>
      <c r="Q1661" s="361">
        <f t="shared" si="1700"/>
        <v>2.7659157322867469</v>
      </c>
      <c r="R1661" s="361">
        <f t="shared" si="1700"/>
        <v>3.4265547049434057</v>
      </c>
      <c r="S1661" s="361">
        <f t="shared" si="1700"/>
        <v>4.2449872962191</v>
      </c>
      <c r="T1661" s="361">
        <f t="shared" si="1700"/>
        <v>5.2589025119209847</v>
      </c>
      <c r="U1661" s="361">
        <f t="shared" si="1700"/>
        <v>6.5149913768932537</v>
      </c>
      <c r="V1661" s="362">
        <f t="shared" si="1700"/>
        <v>8.0710970672641356</v>
      </c>
      <c r="X1661" s="351"/>
    </row>
    <row r="1662" spans="3:24" ht="24.75" customHeight="1" x14ac:dyDescent="0.3">
      <c r="C1662" s="353">
        <f>ABS(E1662-Dashboard!$F$14)</f>
        <v>19.943601403542289</v>
      </c>
      <c r="D1662" s="350">
        <f t="shared" si="1653"/>
        <v>0.23894999999998892</v>
      </c>
      <c r="E1662" s="359" cm="1">
        <f t="array" ref="E1662">1000*SUM('DRE + DCF'!$L$36/M1662,'DRE + DCF'!$N$36:$V$36/N1662:V1662,F1662/V1662)/Dashboard!$F$11</f>
        <v>77.046398596457706</v>
      </c>
      <c r="F1662" s="359">
        <f t="shared" si="1651"/>
        <v>11440608.94337756</v>
      </c>
      <c r="G1662" s="359">
        <f>'DRE + DCF'!$W$31</f>
        <v>2791623.3540418856</v>
      </c>
      <c r="H1662" s="359">
        <f>'DRE + DCF'!$W$32</f>
        <v>81081.931703745853</v>
      </c>
      <c r="I1662" s="359">
        <f>-H1662*('DRE + DCF'!$V$33+K1662)/'DRE + DCF'!$V$33</f>
        <v>-90858.801614444121</v>
      </c>
      <c r="J1662" s="359">
        <f>-'DRE + DCF'!$V$56*L1662</f>
        <v>-1188924.4255577971</v>
      </c>
      <c r="K1662" s="360">
        <f>(1+L1662)/(1+Ke!$O$12)-1</f>
        <v>2.0000000000000018E-2</v>
      </c>
      <c r="L1662" s="360">
        <f>'DRE + DCF'!$Y$31</f>
        <v>7.3550000000000004E-2</v>
      </c>
      <c r="M1662" s="361">
        <f>(1+D1662)^((5-Dashboard!$F$9)*3/12)</f>
        <v>1.174330484803058</v>
      </c>
      <c r="N1662" s="361">
        <f t="shared" ref="N1662:V1662" si="1701">M1662*(1+$D1662)</f>
        <v>1.4549367541467357</v>
      </c>
      <c r="O1662" s="361">
        <f t="shared" si="1701"/>
        <v>1.8025938915500821</v>
      </c>
      <c r="P1662" s="361">
        <f t="shared" si="1701"/>
        <v>2.2333237019359542</v>
      </c>
      <c r="Q1662" s="361">
        <f t="shared" si="1701"/>
        <v>2.7669764005135256</v>
      </c>
      <c r="R1662" s="361">
        <f t="shared" si="1701"/>
        <v>3.4281454114162018</v>
      </c>
      <c r="S1662" s="361">
        <f t="shared" si="1701"/>
        <v>4.2473007574740649</v>
      </c>
      <c r="T1662" s="361">
        <f t="shared" si="1701"/>
        <v>5.2621932734724455</v>
      </c>
      <c r="U1662" s="361">
        <f t="shared" si="1701"/>
        <v>6.5195943561686276</v>
      </c>
      <c r="V1662" s="362">
        <f t="shared" si="1701"/>
        <v>8.0774514275750491</v>
      </c>
      <c r="X1662" s="351"/>
    </row>
    <row r="1663" spans="3:24" ht="24.75" customHeight="1" x14ac:dyDescent="0.3">
      <c r="C1663" s="353">
        <f>ABS(E1663-Dashboard!$F$14)</f>
        <v>19.995956462916425</v>
      </c>
      <c r="D1663" s="350">
        <f t="shared" si="1653"/>
        <v>0.23904999999998891</v>
      </c>
      <c r="E1663" s="359" cm="1">
        <f t="array" ref="E1663">1000*SUM('DRE + DCF'!$L$36/M1663,'DRE + DCF'!$N$36:$V$36/N1663:V1663,F1663/V1663)/Dashboard!$F$11</f>
        <v>76.99404353708357</v>
      </c>
      <c r="F1663" s="359">
        <f t="shared" si="1651"/>
        <v>11434862.026172455</v>
      </c>
      <c r="G1663" s="359">
        <f>'DRE + DCF'!$W$31</f>
        <v>2791623.3540418856</v>
      </c>
      <c r="H1663" s="359">
        <f>'DRE + DCF'!$W$32</f>
        <v>81081.931703745853</v>
      </c>
      <c r="I1663" s="359">
        <f>-H1663*('DRE + DCF'!$V$33+K1663)/'DRE + DCF'!$V$33</f>
        <v>-90858.801614444121</v>
      </c>
      <c r="J1663" s="359">
        <f>-'DRE + DCF'!$V$56*L1663</f>
        <v>-1188924.4255577971</v>
      </c>
      <c r="K1663" s="360">
        <f>(1+L1663)/(1+Ke!$O$12)-1</f>
        <v>2.0000000000000018E-2</v>
      </c>
      <c r="L1663" s="360">
        <f>'DRE + DCF'!$Y$31</f>
        <v>7.3550000000000004E-2</v>
      </c>
      <c r="M1663" s="361">
        <f>(1+D1663)^((5-Dashboard!$F$9)*3/12)</f>
        <v>1.1744015723350707</v>
      </c>
      <c r="N1663" s="361">
        <f t="shared" ref="N1663:V1663" si="1702">M1663*(1+$D1663)</f>
        <v>1.4551422682017563</v>
      </c>
      <c r="O1663" s="361">
        <f t="shared" si="1702"/>
        <v>1.80299402741537</v>
      </c>
      <c r="P1663" s="361">
        <f t="shared" si="1702"/>
        <v>2.2339997496689943</v>
      </c>
      <c r="Q1663" s="361">
        <f t="shared" si="1702"/>
        <v>2.7680373898273425</v>
      </c>
      <c r="R1663" s="361">
        <f t="shared" si="1702"/>
        <v>3.4297367278655377</v>
      </c>
      <c r="S1663" s="361">
        <f t="shared" si="1702"/>
        <v>4.2496152926617565</v>
      </c>
      <c r="T1663" s="361">
        <f t="shared" si="1702"/>
        <v>5.2654858283725021</v>
      </c>
      <c r="U1663" s="361">
        <f t="shared" si="1702"/>
        <v>6.5242002156448899</v>
      </c>
      <c r="V1663" s="362">
        <f t="shared" si="1702"/>
        <v>8.0838102771947291</v>
      </c>
      <c r="X1663" s="351"/>
    </row>
    <row r="1664" spans="3:24" ht="24.75" customHeight="1" x14ac:dyDescent="0.3">
      <c r="C1664" s="353">
        <f>ABS(E1664-Dashboard!$F$14)</f>
        <v>20.048249536653771</v>
      </c>
      <c r="D1664" s="350">
        <f t="shared" si="1653"/>
        <v>0.2391499999999889</v>
      </c>
      <c r="E1664" s="359" cm="1">
        <f t="array" ref="E1664">1000*SUM('DRE + DCF'!$L$36/M1664,'DRE + DCF'!$N$36:$V$36/N1664:V1664,F1664/V1664)/Dashboard!$F$11</f>
        <v>76.941750463346224</v>
      </c>
      <c r="F1664" s="359">
        <f t="shared" si="1651"/>
        <v>11429121.075293098</v>
      </c>
      <c r="G1664" s="359">
        <f>'DRE + DCF'!$W$31</f>
        <v>2791623.3540418856</v>
      </c>
      <c r="H1664" s="359">
        <f>'DRE + DCF'!$W$32</f>
        <v>81081.931703745853</v>
      </c>
      <c r="I1664" s="359">
        <f>-H1664*('DRE + DCF'!$V$33+K1664)/'DRE + DCF'!$V$33</f>
        <v>-90858.801614444121</v>
      </c>
      <c r="J1664" s="359">
        <f>-'DRE + DCF'!$V$56*L1664</f>
        <v>-1188924.4255577971</v>
      </c>
      <c r="K1664" s="360">
        <f>(1+L1664)/(1+Ke!$O$12)-1</f>
        <v>2.0000000000000018E-2</v>
      </c>
      <c r="L1664" s="360">
        <f>'DRE + DCF'!$Y$31</f>
        <v>7.3550000000000004E-2</v>
      </c>
      <c r="M1664" s="361">
        <f>(1+D1664)^((5-Dashboard!$F$9)*3/12)</f>
        <v>1.1744726584327825</v>
      </c>
      <c r="N1664" s="361">
        <f t="shared" ref="N1664:V1664" si="1703">M1664*(1+$D1664)</f>
        <v>1.4553477946969693</v>
      </c>
      <c r="O1664" s="361">
        <f t="shared" si="1703"/>
        <v>1.8033942197987334</v>
      </c>
      <c r="P1664" s="361">
        <f t="shared" si="1703"/>
        <v>2.2346759474635802</v>
      </c>
      <c r="Q1664" s="361">
        <f t="shared" si="1703"/>
        <v>2.7690987002994705</v>
      </c>
      <c r="R1664" s="361">
        <f t="shared" si="1703"/>
        <v>3.4313286544760579</v>
      </c>
      <c r="S1664" s="361">
        <f t="shared" si="1703"/>
        <v>4.2519309021939691</v>
      </c>
      <c r="T1664" s="361">
        <f t="shared" si="1703"/>
        <v>5.2687801774536096</v>
      </c>
      <c r="U1664" s="361">
        <f t="shared" si="1703"/>
        <v>6.5288089568915817</v>
      </c>
      <c r="V1664" s="362">
        <f t="shared" si="1703"/>
        <v>8.0901736189321305</v>
      </c>
      <c r="X1664" s="351"/>
    </row>
    <row r="1665" spans="3:24" ht="24.75" customHeight="1" x14ac:dyDescent="0.3">
      <c r="C1665" s="353">
        <f>ABS(E1665-Dashboard!$F$14)</f>
        <v>20.100480727734649</v>
      </c>
      <c r="D1665" s="350">
        <f t="shared" si="1653"/>
        <v>0.23924999999998889</v>
      </c>
      <c r="E1665" s="359" cm="1">
        <f t="array" ref="E1665">1000*SUM('DRE + DCF'!$L$36/M1665,'DRE + DCF'!$N$36:$V$36/N1665:V1665,F1665/V1665)/Dashboard!$F$11</f>
        <v>76.889519272265346</v>
      </c>
      <c r="F1665" s="359">
        <f t="shared" si="1651"/>
        <v>11423386.081158528</v>
      </c>
      <c r="G1665" s="359">
        <f>'DRE + DCF'!$W$31</f>
        <v>2791623.3540418856</v>
      </c>
      <c r="H1665" s="359">
        <f>'DRE + DCF'!$W$32</f>
        <v>81081.931703745853</v>
      </c>
      <c r="I1665" s="359">
        <f>-H1665*('DRE + DCF'!$V$33+K1665)/'DRE + DCF'!$V$33</f>
        <v>-90858.801614444121</v>
      </c>
      <c r="J1665" s="359">
        <f>-'DRE + DCF'!$V$56*L1665</f>
        <v>-1188924.4255577971</v>
      </c>
      <c r="K1665" s="360">
        <f>(1+L1665)/(1+Ke!$O$12)-1</f>
        <v>2.0000000000000018E-2</v>
      </c>
      <c r="L1665" s="360">
        <f>'DRE + DCF'!$Y$31</f>
        <v>7.3550000000000004E-2</v>
      </c>
      <c r="M1665" s="361">
        <f>(1+D1665)^((5-Dashboard!$F$9)*3/12)</f>
        <v>1.1745437430963381</v>
      </c>
      <c r="N1665" s="361">
        <f t="shared" ref="N1665:V1665" si="1704">M1665*(1+$D1665)</f>
        <v>1.455553333632124</v>
      </c>
      <c r="O1665" s="361">
        <f t="shared" si="1704"/>
        <v>1.8037944687035934</v>
      </c>
      <c r="P1665" s="361">
        <f t="shared" si="1704"/>
        <v>2.235352295340908</v>
      </c>
      <c r="Q1665" s="361">
        <f t="shared" si="1704"/>
        <v>2.7701603320011952</v>
      </c>
      <c r="R1665" s="361">
        <f t="shared" si="1704"/>
        <v>3.4329211914324502</v>
      </c>
      <c r="S1665" s="361">
        <f t="shared" si="1704"/>
        <v>4.2542475864826255</v>
      </c>
      <c r="T1665" s="361">
        <f t="shared" si="1704"/>
        <v>5.2720763215485462</v>
      </c>
      <c r="U1665" s="361">
        <f t="shared" si="1704"/>
        <v>6.5334205814789774</v>
      </c>
      <c r="V1665" s="362">
        <f t="shared" si="1704"/>
        <v>8.09654145559775</v>
      </c>
      <c r="X1665" s="351"/>
    </row>
    <row r="1666" spans="3:24" ht="24.75" customHeight="1" x14ac:dyDescent="0.3">
      <c r="C1666" s="353">
        <f>ABS(E1666-Dashboard!$F$14)</f>
        <v>20.152650138915973</v>
      </c>
      <c r="D1666" s="350">
        <f t="shared" si="1653"/>
        <v>0.23934999999998888</v>
      </c>
      <c r="E1666" s="359" cm="1">
        <f t="array" ref="E1666">1000*SUM('DRE + DCF'!$L$36/M1666,'DRE + DCF'!$N$36:$V$36/N1666:V1666,F1666/V1666)/Dashboard!$F$11</f>
        <v>76.837349861084022</v>
      </c>
      <c r="F1666" s="359">
        <f t="shared" si="1651"/>
        <v>11417657.034208853</v>
      </c>
      <c r="G1666" s="359">
        <f>'DRE + DCF'!$W$31</f>
        <v>2791623.3540418856</v>
      </c>
      <c r="H1666" s="359">
        <f>'DRE + DCF'!$W$32</f>
        <v>81081.931703745853</v>
      </c>
      <c r="I1666" s="359">
        <f>-H1666*('DRE + DCF'!$V$33+K1666)/'DRE + DCF'!$V$33</f>
        <v>-90858.801614444121</v>
      </c>
      <c r="J1666" s="359">
        <f>-'DRE + DCF'!$V$56*L1666</f>
        <v>-1188924.4255577971</v>
      </c>
      <c r="K1666" s="360">
        <f>(1+L1666)/(1+Ke!$O$12)-1</f>
        <v>2.0000000000000018E-2</v>
      </c>
      <c r="L1666" s="360">
        <f>'DRE + DCF'!$Y$31</f>
        <v>7.3550000000000004E-2</v>
      </c>
      <c r="M1666" s="361">
        <f>(1+D1666)^((5-Dashboard!$F$9)*3/12)</f>
        <v>1.1746148263258824</v>
      </c>
      <c r="N1666" s="361">
        <f t="shared" ref="N1666:V1666" si="1705">M1666*(1+$D1666)</f>
        <v>1.4557588850069694</v>
      </c>
      <c r="O1666" s="361">
        <f t="shared" si="1705"/>
        <v>1.8041947741333713</v>
      </c>
      <c r="P1666" s="361">
        <f t="shared" si="1705"/>
        <v>2.2360287933221734</v>
      </c>
      <c r="Q1666" s="361">
        <f t="shared" si="1705"/>
        <v>2.7712222850038106</v>
      </c>
      <c r="R1666" s="361">
        <f t="shared" si="1705"/>
        <v>3.4345143389194419</v>
      </c>
      <c r="S1666" s="361">
        <f t="shared" si="1705"/>
        <v>4.2565653459397721</v>
      </c>
      <c r="T1666" s="361">
        <f t="shared" si="1705"/>
        <v>5.2753742614904091</v>
      </c>
      <c r="U1666" s="361">
        <f t="shared" si="1705"/>
        <v>6.53803509097808</v>
      </c>
      <c r="V1666" s="362">
        <f t="shared" si="1705"/>
        <v>8.1029137900036101</v>
      </c>
      <c r="X1666" s="351"/>
    </row>
    <row r="1667" spans="3:24" ht="24.75" customHeight="1" x14ac:dyDescent="0.3">
      <c r="C1667" s="353">
        <f>ABS(E1667-Dashboard!$F$14)</f>
        <v>20.204757872731619</v>
      </c>
      <c r="D1667" s="350">
        <f t="shared" si="1653"/>
        <v>0.23944999999998887</v>
      </c>
      <c r="E1667" s="359" cm="1">
        <f t="array" ref="E1667">1000*SUM('DRE + DCF'!$L$36/M1667,'DRE + DCF'!$N$36:$V$36/N1667:V1667,F1667/V1667)/Dashboard!$F$11</f>
        <v>76.785242127268376</v>
      </c>
      <c r="F1667" s="359">
        <f t="shared" si="1651"/>
        <v>11411933.924905207</v>
      </c>
      <c r="G1667" s="359">
        <f>'DRE + DCF'!$W$31</f>
        <v>2791623.3540418856</v>
      </c>
      <c r="H1667" s="359">
        <f>'DRE + DCF'!$W$32</f>
        <v>81081.931703745853</v>
      </c>
      <c r="I1667" s="359">
        <f>-H1667*('DRE + DCF'!$V$33+K1667)/'DRE + DCF'!$V$33</f>
        <v>-90858.801614444121</v>
      </c>
      <c r="J1667" s="359">
        <f>-'DRE + DCF'!$V$56*L1667</f>
        <v>-1188924.4255577971</v>
      </c>
      <c r="K1667" s="360">
        <f>(1+L1667)/(1+Ke!$O$12)-1</f>
        <v>2.0000000000000018E-2</v>
      </c>
      <c r="L1667" s="360">
        <f>'DRE + DCF'!$Y$31</f>
        <v>7.3550000000000004E-2</v>
      </c>
      <c r="M1667" s="361">
        <f>(1+D1667)^((5-Dashboard!$F$9)*3/12)</f>
        <v>1.1746859081215599</v>
      </c>
      <c r="N1667" s="361">
        <f t="shared" ref="N1667:V1667" si="1706">M1667*(1+$D1667)</f>
        <v>1.4559644488212544</v>
      </c>
      <c r="O1667" s="361">
        <f t="shared" si="1706"/>
        <v>1.8045951360914876</v>
      </c>
      <c r="P1667" s="361">
        <f t="shared" si="1706"/>
        <v>2.2367054414285743</v>
      </c>
      <c r="Q1667" s="361">
        <f t="shared" si="1706"/>
        <v>2.7722845593786216</v>
      </c>
      <c r="R1667" s="361">
        <f t="shared" si="1706"/>
        <v>3.4361080971218017</v>
      </c>
      <c r="S1667" s="361">
        <f t="shared" si="1706"/>
        <v>4.2588841809775788</v>
      </c>
      <c r="T1667" s="361">
        <f t="shared" si="1706"/>
        <v>5.2786739981126125</v>
      </c>
      <c r="U1667" s="361">
        <f t="shared" si="1706"/>
        <v>6.5426524869606189</v>
      </c>
      <c r="V1667" s="362">
        <f t="shared" si="1706"/>
        <v>8.1092906249632666</v>
      </c>
      <c r="X1667" s="351"/>
    </row>
    <row r="1668" spans="3:24" ht="24.75" customHeight="1" x14ac:dyDescent="0.3">
      <c r="C1668" s="353">
        <f>ABS(E1668-Dashboard!$F$14)</f>
        <v>20.256804031493147</v>
      </c>
      <c r="D1668" s="350">
        <f t="shared" si="1653"/>
        <v>0.23954999999998886</v>
      </c>
      <c r="E1668" s="359" cm="1">
        <f t="array" ref="E1668">1000*SUM('DRE + DCF'!$L$36/M1668,'DRE + DCF'!$N$36:$V$36/N1668:V1668,F1668/V1668)/Dashboard!$F$11</f>
        <v>76.733195968506848</v>
      </c>
      <c r="F1668" s="359">
        <f t="shared" si="1651"/>
        <v>11406216.743729668</v>
      </c>
      <c r="G1668" s="359">
        <f>'DRE + DCF'!$W$31</f>
        <v>2791623.3540418856</v>
      </c>
      <c r="H1668" s="359">
        <f>'DRE + DCF'!$W$32</f>
        <v>81081.931703745853</v>
      </c>
      <c r="I1668" s="359">
        <f>-H1668*('DRE + DCF'!$V$33+K1668)/'DRE + DCF'!$V$33</f>
        <v>-90858.801614444121</v>
      </c>
      <c r="J1668" s="359">
        <f>-'DRE + DCF'!$V$56*L1668</f>
        <v>-1188924.4255577971</v>
      </c>
      <c r="K1668" s="360">
        <f>(1+L1668)/(1+Ke!$O$12)-1</f>
        <v>2.0000000000000018E-2</v>
      </c>
      <c r="L1668" s="360">
        <f>'DRE + DCF'!$Y$31</f>
        <v>7.3550000000000004E-2</v>
      </c>
      <c r="M1668" s="361">
        <f>(1+D1668)^((5-Dashboard!$F$9)*3/12)</f>
        <v>1.1747569884835152</v>
      </c>
      <c r="N1668" s="361">
        <f t="shared" ref="N1668:V1668" si="1707">M1668*(1+$D1668)</f>
        <v>1.456170025074728</v>
      </c>
      <c r="O1668" s="361">
        <f t="shared" si="1707"/>
        <v>1.804995554581363</v>
      </c>
      <c r="P1668" s="361">
        <f t="shared" si="1707"/>
        <v>2.2373822396813083</v>
      </c>
      <c r="Q1668" s="361">
        <f t="shared" si="1707"/>
        <v>2.7733471551969409</v>
      </c>
      <c r="R1668" s="361">
        <f t="shared" si="1707"/>
        <v>3.4377024662243372</v>
      </c>
      <c r="S1668" s="361">
        <f t="shared" si="1707"/>
        <v>4.2612040920083389</v>
      </c>
      <c r="T1668" s="361">
        <f t="shared" si="1707"/>
        <v>5.2819755322488886</v>
      </c>
      <c r="U1668" s="361">
        <f t="shared" si="1707"/>
        <v>6.5472727709990508</v>
      </c>
      <c r="V1668" s="362">
        <f t="shared" si="1707"/>
        <v>8.1156719632918009</v>
      </c>
      <c r="X1668" s="351"/>
    </row>
    <row r="1669" spans="3:24" ht="24.75" customHeight="1" x14ac:dyDescent="0.3">
      <c r="C1669" s="353">
        <f>ABS(E1669-Dashboard!$F$14)</f>
        <v>20.308788717290511</v>
      </c>
      <c r="D1669" s="350">
        <f t="shared" si="1653"/>
        <v>0.23964999999998884</v>
      </c>
      <c r="E1669" s="359" cm="1">
        <f t="array" ref="E1669">1000*SUM('DRE + DCF'!$L$36/M1669,'DRE + DCF'!$N$36:$V$36/N1669:V1669,F1669/V1669)/Dashboard!$F$11</f>
        <v>76.681211282709484</v>
      </c>
      <c r="F1669" s="359">
        <f t="shared" si="1651"/>
        <v>11400505.481185224</v>
      </c>
      <c r="G1669" s="359">
        <f>'DRE + DCF'!$W$31</f>
        <v>2791623.3540418856</v>
      </c>
      <c r="H1669" s="359">
        <f>'DRE + DCF'!$W$32</f>
        <v>81081.931703745853</v>
      </c>
      <c r="I1669" s="359">
        <f>-H1669*('DRE + DCF'!$V$33+K1669)/'DRE + DCF'!$V$33</f>
        <v>-90858.801614444121</v>
      </c>
      <c r="J1669" s="359">
        <f>-'DRE + DCF'!$V$56*L1669</f>
        <v>-1188924.4255577971</v>
      </c>
      <c r="K1669" s="360">
        <f>(1+L1669)/(1+Ke!$O$12)-1</f>
        <v>2.0000000000000018E-2</v>
      </c>
      <c r="L1669" s="360">
        <f>'DRE + DCF'!$Y$31</f>
        <v>7.3550000000000004E-2</v>
      </c>
      <c r="M1669" s="361">
        <f>(1+D1669)^((5-Dashboard!$F$9)*3/12)</f>
        <v>1.1748280674118929</v>
      </c>
      <c r="N1669" s="361">
        <f t="shared" ref="N1669:V1669" si="1708">M1669*(1+$D1669)</f>
        <v>1.45637561376714</v>
      </c>
      <c r="O1669" s="361">
        <f t="shared" si="1708"/>
        <v>1.8053960296064189</v>
      </c>
      <c r="P1669" s="361">
        <f t="shared" si="1708"/>
        <v>2.2380591881015768</v>
      </c>
      <c r="Q1669" s="361">
        <f t="shared" si="1708"/>
        <v>2.7744100725300944</v>
      </c>
      <c r="R1669" s="361">
        <f t="shared" si="1708"/>
        <v>3.4392974464119006</v>
      </c>
      <c r="S1669" s="361">
        <f t="shared" si="1708"/>
        <v>4.2635250794444746</v>
      </c>
      <c r="T1669" s="361">
        <f t="shared" si="1708"/>
        <v>5.2852788647332956</v>
      </c>
      <c r="U1669" s="361">
        <f t="shared" si="1708"/>
        <v>6.5518959446665708</v>
      </c>
      <c r="V1669" s="362">
        <f t="shared" si="1708"/>
        <v>8.1220578078058416</v>
      </c>
      <c r="X1669" s="351"/>
    </row>
    <row r="1670" spans="3:24" ht="24.75" customHeight="1" x14ac:dyDescent="0.3">
      <c r="C1670" s="353">
        <f>ABS(E1670-Dashboard!$F$14)</f>
        <v>20.360712031992477</v>
      </c>
      <c r="D1670" s="350">
        <f t="shared" si="1653"/>
        <v>0.23974999999998883</v>
      </c>
      <c r="E1670" s="359" cm="1">
        <f t="array" ref="E1670">1000*SUM('DRE + DCF'!$L$36/M1670,'DRE + DCF'!$N$36:$V$36/N1670:V1670,F1670/V1670)/Dashboard!$F$11</f>
        <v>76.629287968007517</v>
      </c>
      <c r="F1670" s="359">
        <f t="shared" si="1651"/>
        <v>11394800.127795694</v>
      </c>
      <c r="G1670" s="359">
        <f>'DRE + DCF'!$W$31</f>
        <v>2791623.3540418856</v>
      </c>
      <c r="H1670" s="359">
        <f>'DRE + DCF'!$W$32</f>
        <v>81081.931703745853</v>
      </c>
      <c r="I1670" s="359">
        <f>-H1670*('DRE + DCF'!$V$33+K1670)/'DRE + DCF'!$V$33</f>
        <v>-90858.801614444121</v>
      </c>
      <c r="J1670" s="359">
        <f>-'DRE + DCF'!$V$56*L1670</f>
        <v>-1188924.4255577971</v>
      </c>
      <c r="K1670" s="360">
        <f>(1+L1670)/(1+Ke!$O$12)-1</f>
        <v>2.0000000000000018E-2</v>
      </c>
      <c r="L1670" s="360">
        <f>'DRE + DCF'!$Y$31</f>
        <v>7.3550000000000004E-2</v>
      </c>
      <c r="M1670" s="361">
        <f>(1+D1670)^((5-Dashboard!$F$9)*3/12)</f>
        <v>1.1748991449068376</v>
      </c>
      <c r="N1670" s="361">
        <f t="shared" ref="N1670:V1670" si="1709">M1670*(1+$D1670)</f>
        <v>1.4565812148982387</v>
      </c>
      <c r="O1670" s="361">
        <f t="shared" si="1709"/>
        <v>1.805796561170075</v>
      </c>
      <c r="P1670" s="361">
        <f t="shared" si="1709"/>
        <v>2.2387362867105804</v>
      </c>
      <c r="Q1670" s="361">
        <f t="shared" si="1709"/>
        <v>2.7754733114494172</v>
      </c>
      <c r="R1670" s="361">
        <f t="shared" si="1709"/>
        <v>3.4408930378693841</v>
      </c>
      <c r="S1670" s="361">
        <f t="shared" si="1709"/>
        <v>4.2658471436985304</v>
      </c>
      <c r="T1670" s="361">
        <f t="shared" si="1709"/>
        <v>5.288583996400205</v>
      </c>
      <c r="U1670" s="361">
        <f t="shared" si="1709"/>
        <v>6.5565220095370949</v>
      </c>
      <c r="V1670" s="362">
        <f t="shared" si="1709"/>
        <v>8.12844816132354</v>
      </c>
      <c r="X1670" s="351"/>
    </row>
    <row r="1671" spans="3:24" ht="24.75" customHeight="1" x14ac:dyDescent="0.3">
      <c r="C1671" s="353">
        <f>ABS(E1671-Dashboard!$F$14)</f>
        <v>20.412574077247328</v>
      </c>
      <c r="D1671" s="350">
        <f t="shared" si="1653"/>
        <v>0.23984999999998882</v>
      </c>
      <c r="E1671" s="359" cm="1">
        <f t="array" ref="E1671">1000*SUM('DRE + DCF'!$L$36/M1671,'DRE + DCF'!$N$36:$V$36/N1671:V1671,F1671/V1671)/Dashboard!$F$11</f>
        <v>76.577425922752667</v>
      </c>
      <c r="F1671" s="359">
        <f t="shared" si="1651"/>
        <v>11389100.674105681</v>
      </c>
      <c r="G1671" s="359">
        <f>'DRE + DCF'!$W$31</f>
        <v>2791623.3540418856</v>
      </c>
      <c r="H1671" s="359">
        <f>'DRE + DCF'!$W$32</f>
        <v>81081.931703745853</v>
      </c>
      <c r="I1671" s="359">
        <f>-H1671*('DRE + DCF'!$V$33+K1671)/'DRE + DCF'!$V$33</f>
        <v>-90858.801614444121</v>
      </c>
      <c r="J1671" s="359">
        <f>-'DRE + DCF'!$V$56*L1671</f>
        <v>-1188924.4255577971</v>
      </c>
      <c r="K1671" s="360">
        <f>(1+L1671)/(1+Ke!$O$12)-1</f>
        <v>2.0000000000000018E-2</v>
      </c>
      <c r="L1671" s="360">
        <f>'DRE + DCF'!$Y$31</f>
        <v>7.3550000000000004E-2</v>
      </c>
      <c r="M1671" s="361">
        <f>(1+D1671)^((5-Dashboard!$F$9)*3/12)</f>
        <v>1.1749702209684936</v>
      </c>
      <c r="N1671" s="361">
        <f t="shared" ref="N1671:V1671" si="1710">M1671*(1+$D1671)</f>
        <v>1.4567868284677736</v>
      </c>
      <c r="O1671" s="361">
        <f t="shared" si="1710"/>
        <v>1.8061971492757529</v>
      </c>
      <c r="P1671" s="361">
        <f t="shared" si="1710"/>
        <v>2.2394135355295219</v>
      </c>
      <c r="Q1671" s="361">
        <f t="shared" si="1710"/>
        <v>2.7765368720262527</v>
      </c>
      <c r="R1671" s="361">
        <f t="shared" si="1710"/>
        <v>3.4424892407817183</v>
      </c>
      <c r="S1671" s="361">
        <f t="shared" si="1710"/>
        <v>4.2681702851831744</v>
      </c>
      <c r="T1671" s="361">
        <f t="shared" si="1710"/>
        <v>5.2918909280843112</v>
      </c>
      <c r="U1671" s="361">
        <f t="shared" si="1710"/>
        <v>6.5611509671852737</v>
      </c>
      <c r="V1671" s="362">
        <f t="shared" si="1710"/>
        <v>8.1348430266645888</v>
      </c>
      <c r="X1671" s="351"/>
    </row>
    <row r="1672" spans="3:24" ht="24.75" customHeight="1" x14ac:dyDescent="0.3">
      <c r="C1672" s="353">
        <f>ABS(E1672-Dashboard!$F$14)</f>
        <v>20.464374954483461</v>
      </c>
      <c r="D1672" s="350">
        <f t="shared" si="1653"/>
        <v>0.23994999999998881</v>
      </c>
      <c r="E1672" s="359" cm="1">
        <f t="array" ref="E1672">1000*SUM('DRE + DCF'!$L$36/M1672,'DRE + DCF'!$N$36:$V$36/N1672:V1672,F1672/V1672)/Dashboard!$F$11</f>
        <v>76.525625045516534</v>
      </c>
      <c r="F1672" s="359">
        <f t="shared" si="1651"/>
        <v>11383407.110680513</v>
      </c>
      <c r="G1672" s="359">
        <f>'DRE + DCF'!$W$31</f>
        <v>2791623.3540418856</v>
      </c>
      <c r="H1672" s="359">
        <f>'DRE + DCF'!$W$32</f>
        <v>81081.931703745853</v>
      </c>
      <c r="I1672" s="359">
        <f>-H1672*('DRE + DCF'!$V$33+K1672)/'DRE + DCF'!$V$33</f>
        <v>-90858.801614444121</v>
      </c>
      <c r="J1672" s="359">
        <f>-'DRE + DCF'!$V$56*L1672</f>
        <v>-1188924.4255577971</v>
      </c>
      <c r="K1672" s="360">
        <f>(1+L1672)/(1+Ke!$O$12)-1</f>
        <v>2.0000000000000018E-2</v>
      </c>
      <c r="L1672" s="360">
        <f>'DRE + DCF'!$Y$31</f>
        <v>7.3550000000000004E-2</v>
      </c>
      <c r="M1672" s="361">
        <f>(1+D1672)^((5-Dashboard!$F$9)*3/12)</f>
        <v>1.1750412955970058</v>
      </c>
      <c r="N1672" s="361">
        <f t="shared" ref="N1672:V1672" si="1711">M1672*(1+$D1672)</f>
        <v>1.4569924544754942</v>
      </c>
      <c r="O1672" s="361">
        <f t="shared" si="1711"/>
        <v>1.8065977939268727</v>
      </c>
      <c r="P1672" s="361">
        <f t="shared" si="1711"/>
        <v>2.2400909345796056</v>
      </c>
      <c r="Q1672" s="361">
        <f t="shared" si="1711"/>
        <v>2.777600754331957</v>
      </c>
      <c r="R1672" s="361">
        <f t="shared" si="1711"/>
        <v>3.4440860553338788</v>
      </c>
      <c r="S1672" s="361">
        <f t="shared" si="1711"/>
        <v>4.2704945043112046</v>
      </c>
      <c r="T1672" s="361">
        <f t="shared" si="1711"/>
        <v>5.2951996606206304</v>
      </c>
      <c r="U1672" s="361">
        <f t="shared" si="1711"/>
        <v>6.5657828191864915</v>
      </c>
      <c r="V1672" s="362">
        <f t="shared" si="1711"/>
        <v>8.1412424066502158</v>
      </c>
      <c r="X1672" s="351"/>
    </row>
    <row r="1673" spans="3:24" ht="24.75" customHeight="1" x14ac:dyDescent="0.3">
      <c r="C1673" s="353">
        <f>ABS(E1673-Dashboard!$F$14)</f>
        <v>20.516114764909901</v>
      </c>
      <c r="D1673" s="350">
        <f t="shared" si="1653"/>
        <v>0.2400499999999888</v>
      </c>
      <c r="E1673" s="359" cm="1">
        <f t="array" ref="E1673">1000*SUM('DRE + DCF'!$L$36/M1673,'DRE + DCF'!$N$36:$V$36/N1673:V1673,F1673/V1673)/Dashboard!$F$11</f>
        <v>76.473885235090094</v>
      </c>
      <c r="F1673" s="359">
        <f t="shared" si="1651"/>
        <v>11377719.428106176</v>
      </c>
      <c r="G1673" s="359">
        <f>'DRE + DCF'!$W$31</f>
        <v>2791623.3540418856</v>
      </c>
      <c r="H1673" s="359">
        <f>'DRE + DCF'!$W$32</f>
        <v>81081.931703745853</v>
      </c>
      <c r="I1673" s="359">
        <f>-H1673*('DRE + DCF'!$V$33+K1673)/'DRE + DCF'!$V$33</f>
        <v>-90858.801614444121</v>
      </c>
      <c r="J1673" s="359">
        <f>-'DRE + DCF'!$V$56*L1673</f>
        <v>-1188924.4255577971</v>
      </c>
      <c r="K1673" s="360">
        <f>(1+L1673)/(1+Ke!$O$12)-1</f>
        <v>2.0000000000000018E-2</v>
      </c>
      <c r="L1673" s="360">
        <f>'DRE + DCF'!$Y$31</f>
        <v>7.3550000000000004E-2</v>
      </c>
      <c r="M1673" s="361">
        <f>(1+D1673)^((5-Dashboard!$F$9)*3/12)</f>
        <v>1.1751123687925182</v>
      </c>
      <c r="N1673" s="361">
        <f t="shared" ref="N1673:V1673" si="1712">M1673*(1+$D1673)</f>
        <v>1.457198092921149</v>
      </c>
      <c r="O1673" s="361">
        <f t="shared" si="1712"/>
        <v>1.8069984951268545</v>
      </c>
      <c r="P1673" s="361">
        <f t="shared" si="1712"/>
        <v>2.2407684838820359</v>
      </c>
      <c r="Q1673" s="361">
        <f t="shared" si="1712"/>
        <v>2.7786649584378935</v>
      </c>
      <c r="R1673" s="361">
        <f t="shared" si="1712"/>
        <v>3.4456834817108786</v>
      </c>
      <c r="S1673" s="361">
        <f t="shared" si="1712"/>
        <v>4.2728198014955359</v>
      </c>
      <c r="T1673" s="361">
        <f t="shared" si="1712"/>
        <v>5.298510194844491</v>
      </c>
      <c r="U1673" s="361">
        <f t="shared" si="1712"/>
        <v>6.5704175671168512</v>
      </c>
      <c r="V1673" s="362">
        <f t="shared" si="1712"/>
        <v>8.1476463041031781</v>
      </c>
      <c r="X1673" s="351"/>
    </row>
    <row r="1674" spans="3:24" ht="24.75" customHeight="1" x14ac:dyDescent="0.3">
      <c r="C1674" s="353">
        <f>ABS(E1674-Dashboard!$F$14)</f>
        <v>20.567793609517025</v>
      </c>
      <c r="D1674" s="350">
        <f t="shared" si="1653"/>
        <v>0.24014999999998879</v>
      </c>
      <c r="E1674" s="359" cm="1">
        <f t="array" ref="E1674">1000*SUM('DRE + DCF'!$L$36/M1674,'DRE + DCF'!$N$36:$V$36/N1674:V1674,F1674/V1674)/Dashboard!$F$11</f>
        <v>76.42220639048297</v>
      </c>
      <c r="F1674" s="359">
        <f t="shared" si="1651"/>
        <v>11372037.61698927</v>
      </c>
      <c r="G1674" s="359">
        <f>'DRE + DCF'!$W$31</f>
        <v>2791623.3540418856</v>
      </c>
      <c r="H1674" s="359">
        <f>'DRE + DCF'!$W$32</f>
        <v>81081.931703745853</v>
      </c>
      <c r="I1674" s="359">
        <f>-H1674*('DRE + DCF'!$V$33+K1674)/'DRE + DCF'!$V$33</f>
        <v>-90858.801614444121</v>
      </c>
      <c r="J1674" s="359">
        <f>-'DRE + DCF'!$V$56*L1674</f>
        <v>-1188924.4255577971</v>
      </c>
      <c r="K1674" s="360">
        <f>(1+L1674)/(1+Ke!$O$12)-1</f>
        <v>2.0000000000000018E-2</v>
      </c>
      <c r="L1674" s="360">
        <f>'DRE + DCF'!$Y$31</f>
        <v>7.3550000000000004E-2</v>
      </c>
      <c r="M1674" s="361">
        <f>(1+D1674)^((5-Dashboard!$F$9)*3/12)</f>
        <v>1.1751834405551755</v>
      </c>
      <c r="N1674" s="361">
        <f t="shared" ref="N1674:V1674" si="1713">M1674*(1+$D1674)</f>
        <v>1.4574037438044878</v>
      </c>
      <c r="O1674" s="361">
        <f t="shared" si="1713"/>
        <v>1.8073992528791192</v>
      </c>
      <c r="P1674" s="361">
        <f t="shared" si="1713"/>
        <v>2.2414461834580193</v>
      </c>
      <c r="Q1674" s="361">
        <f t="shared" si="1713"/>
        <v>2.7797294844154372</v>
      </c>
      <c r="R1674" s="361">
        <f t="shared" si="1713"/>
        <v>3.4472815200977731</v>
      </c>
      <c r="S1674" s="361">
        <f t="shared" si="1713"/>
        <v>4.2751461771492147</v>
      </c>
      <c r="T1674" s="361">
        <f t="shared" si="1713"/>
        <v>5.3018225315915508</v>
      </c>
      <c r="U1674" s="361">
        <f t="shared" si="1713"/>
        <v>6.5750552125532025</v>
      </c>
      <c r="V1674" s="362">
        <f t="shared" si="1713"/>
        <v>8.1540547218477801</v>
      </c>
      <c r="X1674" s="351"/>
    </row>
    <row r="1675" spans="3:24" ht="24.75" customHeight="1" x14ac:dyDescent="0.3">
      <c r="C1675" s="353">
        <f>ABS(E1675-Dashboard!$F$14)</f>
        <v>20.619411589077131</v>
      </c>
      <c r="D1675" s="350">
        <f t="shared" si="1653"/>
        <v>0.24024999999998878</v>
      </c>
      <c r="E1675" s="359" cm="1">
        <f t="array" ref="E1675">1000*SUM('DRE + DCF'!$L$36/M1675,'DRE + DCF'!$N$36:$V$36/N1675:V1675,F1675/V1675)/Dashboard!$F$11</f>
        <v>76.370588410922863</v>
      </c>
      <c r="F1675" s="359">
        <f t="shared" si="1651"/>
        <v>11366361.667956933</v>
      </c>
      <c r="G1675" s="359">
        <f>'DRE + DCF'!$W$31</f>
        <v>2791623.3540418856</v>
      </c>
      <c r="H1675" s="359">
        <f>'DRE + DCF'!$W$32</f>
        <v>81081.931703745853</v>
      </c>
      <c r="I1675" s="359">
        <f>-H1675*('DRE + DCF'!$V$33+K1675)/'DRE + DCF'!$V$33</f>
        <v>-90858.801614444121</v>
      </c>
      <c r="J1675" s="359">
        <f>-'DRE + DCF'!$V$56*L1675</f>
        <v>-1188924.4255577971</v>
      </c>
      <c r="K1675" s="360">
        <f>(1+L1675)/(1+Ke!$O$12)-1</f>
        <v>2.0000000000000018E-2</v>
      </c>
      <c r="L1675" s="360">
        <f>'DRE + DCF'!$Y$31</f>
        <v>7.3550000000000004E-2</v>
      </c>
      <c r="M1675" s="361">
        <f>(1+D1675)^((5-Dashboard!$F$9)*3/12)</f>
        <v>1.1752545108851222</v>
      </c>
      <c r="N1675" s="361">
        <f t="shared" ref="N1675:V1675" si="1714">M1675*(1+$D1675)</f>
        <v>1.4576094071252597</v>
      </c>
      <c r="O1675" s="361">
        <f t="shared" si="1714"/>
        <v>1.8078000671870869</v>
      </c>
      <c r="P1675" s="361">
        <f t="shared" si="1714"/>
        <v>2.2421240333287642</v>
      </c>
      <c r="Q1675" s="361">
        <f t="shared" si="1714"/>
        <v>2.7807943323359745</v>
      </c>
      <c r="R1675" s="361">
        <f t="shared" si="1714"/>
        <v>3.448880170679661</v>
      </c>
      <c r="S1675" s="361">
        <f t="shared" si="1714"/>
        <v>4.2774736316854112</v>
      </c>
      <c r="T1675" s="361">
        <f t="shared" si="1714"/>
        <v>5.3051366716977828</v>
      </c>
      <c r="U1675" s="361">
        <f t="shared" si="1714"/>
        <v>6.5796957570731154</v>
      </c>
      <c r="V1675" s="362">
        <f t="shared" si="1714"/>
        <v>8.1604676627098574</v>
      </c>
      <c r="X1675" s="351"/>
    </row>
    <row r="1676" spans="3:24" ht="24.75" customHeight="1" x14ac:dyDescent="0.3">
      <c r="C1676" s="353">
        <f>ABS(E1676-Dashboard!$F$14)</f>
        <v>20.670968804144891</v>
      </c>
      <c r="D1676" s="350">
        <f t="shared" si="1653"/>
        <v>0.24034999999998877</v>
      </c>
      <c r="E1676" s="359" cm="1">
        <f t="array" ref="E1676">1000*SUM('DRE + DCF'!$L$36/M1676,'DRE + DCF'!$N$36:$V$36/N1676:V1676,F1676/V1676)/Dashboard!$F$11</f>
        <v>76.319031195855104</v>
      </c>
      <c r="F1676" s="359">
        <f t="shared" si="1651"/>
        <v>11360691.571656812</v>
      </c>
      <c r="G1676" s="359">
        <f>'DRE + DCF'!$W$31</f>
        <v>2791623.3540418856</v>
      </c>
      <c r="H1676" s="359">
        <f>'DRE + DCF'!$W$32</f>
        <v>81081.931703745853</v>
      </c>
      <c r="I1676" s="359">
        <f>-H1676*('DRE + DCF'!$V$33+K1676)/'DRE + DCF'!$V$33</f>
        <v>-90858.801614444121</v>
      </c>
      <c r="J1676" s="359">
        <f>-'DRE + DCF'!$V$56*L1676</f>
        <v>-1188924.4255577971</v>
      </c>
      <c r="K1676" s="360">
        <f>(1+L1676)/(1+Ke!$O$12)-1</f>
        <v>2.0000000000000018E-2</v>
      </c>
      <c r="L1676" s="360">
        <f>'DRE + DCF'!$Y$31</f>
        <v>7.3550000000000004E-2</v>
      </c>
      <c r="M1676" s="361">
        <f>(1+D1676)^((5-Dashboard!$F$9)*3/12)</f>
        <v>1.1753255797825026</v>
      </c>
      <c r="N1676" s="361">
        <f t="shared" ref="N1676:V1676" si="1715">M1676*(1+$D1676)</f>
        <v>1.4578150828832139</v>
      </c>
      <c r="O1676" s="361">
        <f t="shared" si="1715"/>
        <v>1.8082009380541779</v>
      </c>
      <c r="P1676" s="361">
        <f t="shared" si="1715"/>
        <v>2.242802033515479</v>
      </c>
      <c r="Q1676" s="361">
        <f t="shared" si="1715"/>
        <v>2.781859502270899</v>
      </c>
      <c r="R1676" s="361">
        <f t="shared" si="1715"/>
        <v>3.4504794336416782</v>
      </c>
      <c r="S1676" s="361">
        <f t="shared" si="1715"/>
        <v>4.2798021655174168</v>
      </c>
      <c r="T1676" s="361">
        <f t="shared" si="1715"/>
        <v>5.3084526159994798</v>
      </c>
      <c r="U1676" s="361">
        <f t="shared" si="1715"/>
        <v>6.5843392022548954</v>
      </c>
      <c r="V1676" s="362">
        <f t="shared" si="1715"/>
        <v>8.1668851295167855</v>
      </c>
      <c r="X1676" s="351"/>
    </row>
    <row r="1677" spans="3:24" ht="24.75" customHeight="1" x14ac:dyDescent="0.3">
      <c r="C1677" s="353">
        <f>ABS(E1677-Dashboard!$F$14)</f>
        <v>20.722465355058091</v>
      </c>
      <c r="D1677" s="350">
        <f t="shared" si="1653"/>
        <v>0.24044999999998876</v>
      </c>
      <c r="E1677" s="359" cm="1">
        <f t="array" ref="E1677">1000*SUM('DRE + DCF'!$L$36/M1677,'DRE + DCF'!$N$36:$V$36/N1677:V1677,F1677/V1677)/Dashboard!$F$11</f>
        <v>76.267534644941904</v>
      </c>
      <c r="F1677" s="359">
        <f t="shared" si="1651"/>
        <v>11355027.318756972</v>
      </c>
      <c r="G1677" s="359">
        <f>'DRE + DCF'!$W$31</f>
        <v>2791623.3540418856</v>
      </c>
      <c r="H1677" s="359">
        <f>'DRE + DCF'!$W$32</f>
        <v>81081.931703745853</v>
      </c>
      <c r="I1677" s="359">
        <f>-H1677*('DRE + DCF'!$V$33+K1677)/'DRE + DCF'!$V$33</f>
        <v>-90858.801614444121</v>
      </c>
      <c r="J1677" s="359">
        <f>-'DRE + DCF'!$V$56*L1677</f>
        <v>-1188924.4255577971</v>
      </c>
      <c r="K1677" s="360">
        <f>(1+L1677)/(1+Ke!$O$12)-1</f>
        <v>2.0000000000000018E-2</v>
      </c>
      <c r="L1677" s="360">
        <f>'DRE + DCF'!$Y$31</f>
        <v>7.3550000000000004E-2</v>
      </c>
      <c r="M1677" s="361">
        <f>(1+D1677)^((5-Dashboard!$F$9)*3/12)</f>
        <v>1.1753966472474613</v>
      </c>
      <c r="N1677" s="361">
        <f t="shared" ref="N1677:V1677" si="1716">M1677*(1+$D1677)</f>
        <v>1.4580207710781001</v>
      </c>
      <c r="O1677" s="361">
        <f t="shared" si="1716"/>
        <v>1.808601865483813</v>
      </c>
      <c r="P1677" s="361">
        <f t="shared" si="1716"/>
        <v>2.2434801840393752</v>
      </c>
      <c r="Q1677" s="361">
        <f t="shared" si="1716"/>
        <v>2.7829249942916179</v>
      </c>
      <c r="R1677" s="361">
        <f t="shared" si="1716"/>
        <v>3.4520793091690058</v>
      </c>
      <c r="S1677" s="361">
        <f t="shared" si="1716"/>
        <v>4.2821317790586546</v>
      </c>
      <c r="T1677" s="361">
        <f t="shared" si="1716"/>
        <v>5.3117703653332597</v>
      </c>
      <c r="U1677" s="361">
        <f t="shared" si="1716"/>
        <v>6.5889855496775818</v>
      </c>
      <c r="V1677" s="362">
        <f t="shared" si="1716"/>
        <v>8.173307125097482</v>
      </c>
      <c r="X1677" s="351"/>
    </row>
    <row r="1678" spans="3:24" ht="24.75" customHeight="1" x14ac:dyDescent="0.3">
      <c r="C1678" s="353">
        <f>ABS(E1678-Dashboard!$F$14)</f>
        <v>20.773901341938142</v>
      </c>
      <c r="D1678" s="350">
        <f t="shared" si="1653"/>
        <v>0.24054999999998875</v>
      </c>
      <c r="E1678" s="359" cm="1">
        <f t="array" ref="E1678">1000*SUM('DRE + DCF'!$L$36/M1678,'DRE + DCF'!$N$36:$V$36/N1678:V1678,F1678/V1678)/Dashboard!$F$11</f>
        <v>76.216098658061853</v>
      </c>
      <c r="F1678" s="359">
        <f t="shared" ref="F1678:F1741" si="1717">AVERAGE(SUM(G1678:J1678)*(1+L1678)/(D1678-L1678),G1678*(1+L1678)*(1-L1678/D1678)/(D1678-L1678))</f>
        <v>11349368.899945863</v>
      </c>
      <c r="G1678" s="359">
        <f>'DRE + DCF'!$W$31</f>
        <v>2791623.3540418856</v>
      </c>
      <c r="H1678" s="359">
        <f>'DRE + DCF'!$W$32</f>
        <v>81081.931703745853</v>
      </c>
      <c r="I1678" s="359">
        <f>-H1678*('DRE + DCF'!$V$33+K1678)/'DRE + DCF'!$V$33</f>
        <v>-90858.801614444121</v>
      </c>
      <c r="J1678" s="359">
        <f>-'DRE + DCF'!$V$56*L1678</f>
        <v>-1188924.4255577971</v>
      </c>
      <c r="K1678" s="360">
        <f>(1+L1678)/(1+Ke!$O$12)-1</f>
        <v>2.0000000000000018E-2</v>
      </c>
      <c r="L1678" s="360">
        <f>'DRE + DCF'!$Y$31</f>
        <v>7.3550000000000004E-2</v>
      </c>
      <c r="M1678" s="361">
        <f>(1+D1678)^((5-Dashboard!$F$9)*3/12)</f>
        <v>1.1754677132801421</v>
      </c>
      <c r="N1678" s="361">
        <f t="shared" ref="N1678:V1678" si="1718">M1678*(1+$D1678)</f>
        <v>1.4582264717096671</v>
      </c>
      <c r="O1678" s="361">
        <f t="shared" si="1718"/>
        <v>1.809002849479411</v>
      </c>
      <c r="P1678" s="361">
        <f t="shared" si="1718"/>
        <v>2.2441584849216629</v>
      </c>
      <c r="Q1678" s="361">
        <f t="shared" si="1718"/>
        <v>2.7839908084695435</v>
      </c>
      <c r="R1678" s="361">
        <f t="shared" si="1718"/>
        <v>3.4536797974468607</v>
      </c>
      <c r="S1678" s="361">
        <f t="shared" si="1718"/>
        <v>4.2844624727226641</v>
      </c>
      <c r="T1678" s="361">
        <f t="shared" si="1718"/>
        <v>5.3150899205360522</v>
      </c>
      <c r="U1678" s="361">
        <f t="shared" si="1718"/>
        <v>6.59363480092094</v>
      </c>
      <c r="V1678" s="362">
        <f t="shared" si="1718"/>
        <v>8.1797336522823976</v>
      </c>
      <c r="X1678" s="351"/>
    </row>
    <row r="1679" spans="3:24" ht="24.75" customHeight="1" x14ac:dyDescent="0.3">
      <c r="C1679" s="353">
        <f>ABS(E1679-Dashboard!$F$14)</f>
        <v>20.825276864690736</v>
      </c>
      <c r="D1679" s="350">
        <f t="shared" ref="D1679:D1742" si="1719">D1678+0.0001</f>
        <v>0.24064999999998873</v>
      </c>
      <c r="E1679" s="359" cm="1">
        <f t="array" ref="E1679">1000*SUM('DRE + DCF'!$L$36/M1679,'DRE + DCF'!$N$36:$V$36/N1679:V1679,F1679/V1679)/Dashboard!$F$11</f>
        <v>76.164723135309259</v>
      </c>
      <c r="F1679" s="359">
        <f t="shared" si="1717"/>
        <v>11343716.30593225</v>
      </c>
      <c r="G1679" s="359">
        <f>'DRE + DCF'!$W$31</f>
        <v>2791623.3540418856</v>
      </c>
      <c r="H1679" s="359">
        <f>'DRE + DCF'!$W$32</f>
        <v>81081.931703745853</v>
      </c>
      <c r="I1679" s="359">
        <f>-H1679*('DRE + DCF'!$V$33+K1679)/'DRE + DCF'!$V$33</f>
        <v>-90858.801614444121</v>
      </c>
      <c r="J1679" s="359">
        <f>-'DRE + DCF'!$V$56*L1679</f>
        <v>-1188924.4255577971</v>
      </c>
      <c r="K1679" s="360">
        <f>(1+L1679)/(1+Ke!$O$12)-1</f>
        <v>2.0000000000000018E-2</v>
      </c>
      <c r="L1679" s="360">
        <f>'DRE + DCF'!$Y$31</f>
        <v>7.3550000000000004E-2</v>
      </c>
      <c r="M1679" s="361">
        <f>(1+D1679)^((5-Dashboard!$F$9)*3/12)</f>
        <v>1.1755387778806898</v>
      </c>
      <c r="N1679" s="361">
        <f t="shared" ref="N1679:V1679" si="1720">M1679*(1+$D1679)</f>
        <v>1.4584321847776647</v>
      </c>
      <c r="O1679" s="361">
        <f t="shared" si="1720"/>
        <v>1.8094038900443932</v>
      </c>
      <c r="P1679" s="361">
        <f t="shared" si="1720"/>
        <v>2.2448369361835558</v>
      </c>
      <c r="Q1679" s="361">
        <f t="shared" si="1720"/>
        <v>2.7850569448761031</v>
      </c>
      <c r="R1679" s="361">
        <f t="shared" si="1720"/>
        <v>3.4552808986605057</v>
      </c>
      <c r="S1679" s="361">
        <f t="shared" si="1720"/>
        <v>4.2867942469231171</v>
      </c>
      <c r="T1679" s="361">
        <f t="shared" si="1720"/>
        <v>5.3184112824451164</v>
      </c>
      <c r="U1679" s="361">
        <f t="shared" si="1720"/>
        <v>6.5982869575654739</v>
      </c>
      <c r="V1679" s="362">
        <f t="shared" si="1720"/>
        <v>8.1861647139035298</v>
      </c>
      <c r="X1679" s="351"/>
    </row>
    <row r="1680" spans="3:24" ht="24.75" customHeight="1" x14ac:dyDescent="0.3">
      <c r="C1680" s="353">
        <f>ABS(E1680-Dashboard!$F$14)</f>
        <v>20.876592023006381</v>
      </c>
      <c r="D1680" s="350">
        <f t="shared" si="1719"/>
        <v>0.24074999999998872</v>
      </c>
      <c r="E1680" s="359" cm="1">
        <f t="array" ref="E1680">1000*SUM('DRE + DCF'!$L$36/M1680,'DRE + DCF'!$N$36:$V$36/N1680:V1680,F1680/V1680)/Dashboard!$F$11</f>
        <v>76.113407976993614</v>
      </c>
      <c r="F1680" s="359">
        <f t="shared" si="1717"/>
        <v>11338069.527445173</v>
      </c>
      <c r="G1680" s="359">
        <f>'DRE + DCF'!$W$31</f>
        <v>2791623.3540418856</v>
      </c>
      <c r="H1680" s="359">
        <f>'DRE + DCF'!$W$32</f>
        <v>81081.931703745853</v>
      </c>
      <c r="I1680" s="359">
        <f>-H1680*('DRE + DCF'!$V$33+K1680)/'DRE + DCF'!$V$33</f>
        <v>-90858.801614444121</v>
      </c>
      <c r="J1680" s="359">
        <f>-'DRE + DCF'!$V$56*L1680</f>
        <v>-1188924.4255577971</v>
      </c>
      <c r="K1680" s="360">
        <f>(1+L1680)/(1+Ke!$O$12)-1</f>
        <v>2.0000000000000018E-2</v>
      </c>
      <c r="L1680" s="360">
        <f>'DRE + DCF'!$Y$31</f>
        <v>7.3550000000000004E-2</v>
      </c>
      <c r="M1680" s="361">
        <f>(1+D1680)^((5-Dashboard!$F$9)*3/12)</f>
        <v>1.1756098410492484</v>
      </c>
      <c r="N1680" s="361">
        <f t="shared" ref="N1680:V1680" si="1721">M1680*(1+$D1680)</f>
        <v>1.4586379102818416</v>
      </c>
      <c r="O1680" s="361">
        <f t="shared" si="1721"/>
        <v>1.8098049871821786</v>
      </c>
      <c r="P1680" s="361">
        <f t="shared" si="1721"/>
        <v>2.2455155378462677</v>
      </c>
      <c r="Q1680" s="361">
        <f t="shared" si="1721"/>
        <v>2.7861234035827311</v>
      </c>
      <c r="R1680" s="361">
        <f t="shared" si="1721"/>
        <v>3.4568826129952424</v>
      </c>
      <c r="S1680" s="361">
        <f t="shared" si="1721"/>
        <v>4.2891271020738078</v>
      </c>
      <c r="T1680" s="361">
        <f t="shared" si="1721"/>
        <v>5.3217344518980285</v>
      </c>
      <c r="U1680" s="361">
        <f t="shared" si="1721"/>
        <v>6.602942021192419</v>
      </c>
      <c r="V1680" s="362">
        <f t="shared" si="1721"/>
        <v>8.1926003127944185</v>
      </c>
      <c r="X1680" s="351"/>
    </row>
    <row r="1681" spans="3:24" ht="24.75" customHeight="1" x14ac:dyDescent="0.3">
      <c r="C1681" s="353">
        <f>ABS(E1681-Dashboard!$F$14)</f>
        <v>20.92784691636092</v>
      </c>
      <c r="D1681" s="350">
        <f t="shared" si="1719"/>
        <v>0.24084999999998871</v>
      </c>
      <c r="E1681" s="359" cm="1">
        <f t="array" ref="E1681">1000*SUM('DRE + DCF'!$L$36/M1681,'DRE + DCF'!$N$36:$V$36/N1681:V1681,F1681/V1681)/Dashboard!$F$11</f>
        <v>76.062153083639075</v>
      </c>
      <c r="F1681" s="359">
        <f t="shared" si="1717"/>
        <v>11332428.555233866</v>
      </c>
      <c r="G1681" s="359">
        <f>'DRE + DCF'!$W$31</f>
        <v>2791623.3540418856</v>
      </c>
      <c r="H1681" s="359">
        <f>'DRE + DCF'!$W$32</f>
        <v>81081.931703745853</v>
      </c>
      <c r="I1681" s="359">
        <f>-H1681*('DRE + DCF'!$V$33+K1681)/'DRE + DCF'!$V$33</f>
        <v>-90858.801614444121</v>
      </c>
      <c r="J1681" s="359">
        <f>-'DRE + DCF'!$V$56*L1681</f>
        <v>-1188924.4255577971</v>
      </c>
      <c r="K1681" s="360">
        <f>(1+L1681)/(1+Ke!$O$12)-1</f>
        <v>2.0000000000000018E-2</v>
      </c>
      <c r="L1681" s="360">
        <f>'DRE + DCF'!$Y$31</f>
        <v>7.3550000000000004E-2</v>
      </c>
      <c r="M1681" s="361">
        <f>(1+D1681)^((5-Dashboard!$F$9)*3/12)</f>
        <v>1.1756809027859623</v>
      </c>
      <c r="N1681" s="361">
        <f t="shared" ref="N1681:V1681" si="1722">M1681*(1+$D1681)</f>
        <v>1.458843648221948</v>
      </c>
      <c r="O1681" s="361">
        <f t="shared" si="1722"/>
        <v>1.8102061408961876</v>
      </c>
      <c r="P1681" s="361">
        <f t="shared" si="1722"/>
        <v>2.2461942899310139</v>
      </c>
      <c r="Q1681" s="361">
        <f t="shared" si="1722"/>
        <v>2.7871901846608731</v>
      </c>
      <c r="R1681" s="361">
        <f t="shared" si="1722"/>
        <v>3.4584849406364127</v>
      </c>
      <c r="S1681" s="361">
        <f t="shared" si="1722"/>
        <v>4.2914610385886531</v>
      </c>
      <c r="T1681" s="361">
        <f t="shared" si="1722"/>
        <v>5.3250594297326819</v>
      </c>
      <c r="U1681" s="361">
        <f t="shared" si="1722"/>
        <v>6.6075999933837384</v>
      </c>
      <c r="V1681" s="362">
        <f t="shared" si="1722"/>
        <v>8.1990404517901379</v>
      </c>
      <c r="X1681" s="351"/>
    </row>
    <row r="1682" spans="3:24" ht="24.75" customHeight="1" x14ac:dyDescent="0.3">
      <c r="C1682" s="353">
        <f>ABS(E1682-Dashboard!$F$14)</f>
        <v>20.979041644016277</v>
      </c>
      <c r="D1682" s="350">
        <f t="shared" si="1719"/>
        <v>0.2409499999999887</v>
      </c>
      <c r="E1682" s="359" cm="1">
        <f t="array" ref="E1682">1000*SUM('DRE + DCF'!$L$36/M1682,'DRE + DCF'!$N$36:$V$36/N1682:V1682,F1682/V1682)/Dashboard!$F$11</f>
        <v>76.010958355983718</v>
      </c>
      <c r="F1682" s="359">
        <f t="shared" si="1717"/>
        <v>11326793.380067721</v>
      </c>
      <c r="G1682" s="359">
        <f>'DRE + DCF'!$W$31</f>
        <v>2791623.3540418856</v>
      </c>
      <c r="H1682" s="359">
        <f>'DRE + DCF'!$W$32</f>
        <v>81081.931703745853</v>
      </c>
      <c r="I1682" s="359">
        <f>-H1682*('DRE + DCF'!$V$33+K1682)/'DRE + DCF'!$V$33</f>
        <v>-90858.801614444121</v>
      </c>
      <c r="J1682" s="359">
        <f>-'DRE + DCF'!$V$56*L1682</f>
        <v>-1188924.4255577971</v>
      </c>
      <c r="K1682" s="360">
        <f>(1+L1682)/(1+Ke!$O$12)-1</f>
        <v>2.0000000000000018E-2</v>
      </c>
      <c r="L1682" s="360">
        <f>'DRE + DCF'!$Y$31</f>
        <v>7.3550000000000004E-2</v>
      </c>
      <c r="M1682" s="361">
        <f>(1+D1682)^((5-Dashboard!$F$9)*3/12)</f>
        <v>1.1757519630909758</v>
      </c>
      <c r="N1682" s="361">
        <f t="shared" ref="N1682:V1682" si="1723">M1682*(1+$D1682)</f>
        <v>1.4590493985977331</v>
      </c>
      <c r="O1682" s="361">
        <f t="shared" si="1723"/>
        <v>1.8106073511898404</v>
      </c>
      <c r="P1682" s="361">
        <f t="shared" si="1723"/>
        <v>2.2468731924590117</v>
      </c>
      <c r="Q1682" s="361">
        <f t="shared" si="1723"/>
        <v>2.7882572881819851</v>
      </c>
      <c r="R1682" s="361">
        <f t="shared" si="1723"/>
        <v>3.460087881769403</v>
      </c>
      <c r="S1682" s="361">
        <f t="shared" si="1723"/>
        <v>4.2937960568817015</v>
      </c>
      <c r="T1682" s="361">
        <f t="shared" si="1723"/>
        <v>5.3283862167872993</v>
      </c>
      <c r="U1682" s="361">
        <f t="shared" si="1723"/>
        <v>6.6122608757221384</v>
      </c>
      <c r="V1682" s="362">
        <f t="shared" si="1723"/>
        <v>8.2054851337273131</v>
      </c>
      <c r="X1682" s="351"/>
    </row>
    <row r="1683" spans="3:24" ht="24.75" customHeight="1" x14ac:dyDescent="0.3">
      <c r="C1683" s="353">
        <f>ABS(E1683-Dashboard!$F$14)</f>
        <v>21.030176305020859</v>
      </c>
      <c r="D1683" s="350">
        <f t="shared" si="1719"/>
        <v>0.24104999999998869</v>
      </c>
      <c r="E1683" s="359" cm="1">
        <f t="array" ref="E1683">1000*SUM('DRE + DCF'!$L$36/M1683,'DRE + DCF'!$N$36:$V$36/N1683:V1683,F1683/V1683)/Dashboard!$F$11</f>
        <v>75.959823694979136</v>
      </c>
      <c r="F1683" s="359">
        <f t="shared" si="1717"/>
        <v>11321163.99273622</v>
      </c>
      <c r="G1683" s="359">
        <f>'DRE + DCF'!$W$31</f>
        <v>2791623.3540418856</v>
      </c>
      <c r="H1683" s="359">
        <f>'DRE + DCF'!$W$32</f>
        <v>81081.931703745853</v>
      </c>
      <c r="I1683" s="359">
        <f>-H1683*('DRE + DCF'!$V$33+K1683)/'DRE + DCF'!$V$33</f>
        <v>-90858.801614444121</v>
      </c>
      <c r="J1683" s="359">
        <f>-'DRE + DCF'!$V$56*L1683</f>
        <v>-1188924.4255577971</v>
      </c>
      <c r="K1683" s="360">
        <f>(1+L1683)/(1+Ke!$O$12)-1</f>
        <v>2.0000000000000018E-2</v>
      </c>
      <c r="L1683" s="360">
        <f>'DRE + DCF'!$Y$31</f>
        <v>7.3550000000000004E-2</v>
      </c>
      <c r="M1683" s="361">
        <f>(1+D1683)^((5-Dashboard!$F$9)*3/12)</f>
        <v>1.1758230219644332</v>
      </c>
      <c r="N1683" s="361">
        <f t="shared" ref="N1683:V1683" si="1724">M1683*(1+$D1683)</f>
        <v>1.4592551614089466</v>
      </c>
      <c r="O1683" s="361">
        <f t="shared" si="1724"/>
        <v>1.8110086180665566</v>
      </c>
      <c r="P1683" s="361">
        <f t="shared" si="1724"/>
        <v>2.2475522454514794</v>
      </c>
      <c r="Q1683" s="361">
        <f t="shared" si="1724"/>
        <v>2.7893247142175328</v>
      </c>
      <c r="R1683" s="361">
        <f t="shared" si="1724"/>
        <v>3.4616914365796374</v>
      </c>
      <c r="S1683" s="361">
        <f t="shared" si="1724"/>
        <v>4.2961321573671194</v>
      </c>
      <c r="T1683" s="361">
        <f t="shared" si="1724"/>
        <v>5.3317148139004145</v>
      </c>
      <c r="U1683" s="361">
        <f t="shared" si="1724"/>
        <v>6.6169246697910493</v>
      </c>
      <c r="V1683" s="362">
        <f t="shared" si="1724"/>
        <v>8.211934361444106</v>
      </c>
      <c r="X1683" s="351"/>
    </row>
    <row r="1684" spans="3:24" ht="24.75" customHeight="1" x14ac:dyDescent="0.3">
      <c r="C1684" s="353">
        <f>ABS(E1684-Dashboard!$F$14)</f>
        <v>21.081250998210237</v>
      </c>
      <c r="D1684" s="350">
        <f t="shared" si="1719"/>
        <v>0.24114999999998868</v>
      </c>
      <c r="E1684" s="359" cm="1">
        <f t="array" ref="E1684">1000*SUM('DRE + DCF'!$L$36/M1684,'DRE + DCF'!$N$36:$V$36/N1684:V1684,F1684/V1684)/Dashboard!$F$11</f>
        <v>75.908749001789758</v>
      </c>
      <c r="F1684" s="359">
        <f t="shared" si="1717"/>
        <v>11315540.384048894</v>
      </c>
      <c r="G1684" s="359">
        <f>'DRE + DCF'!$W$31</f>
        <v>2791623.3540418856</v>
      </c>
      <c r="H1684" s="359">
        <f>'DRE + DCF'!$W$32</f>
        <v>81081.931703745853</v>
      </c>
      <c r="I1684" s="359">
        <f>-H1684*('DRE + DCF'!$V$33+K1684)/'DRE + DCF'!$V$33</f>
        <v>-90858.801614444121</v>
      </c>
      <c r="J1684" s="359">
        <f>-'DRE + DCF'!$V$56*L1684</f>
        <v>-1188924.4255577971</v>
      </c>
      <c r="K1684" s="360">
        <f>(1+L1684)/(1+Ke!$O$12)-1</f>
        <v>2.0000000000000018E-2</v>
      </c>
      <c r="L1684" s="360">
        <f>'DRE + DCF'!$Y$31</f>
        <v>7.3550000000000004E-2</v>
      </c>
      <c r="M1684" s="361">
        <f>(1+D1684)^((5-Dashboard!$F$9)*3/12)</f>
        <v>1.1758940794064783</v>
      </c>
      <c r="N1684" s="361">
        <f t="shared" ref="N1684:V1684" si="1725">M1684*(1+$D1684)</f>
        <v>1.4594609366553373</v>
      </c>
      <c r="O1684" s="361">
        <f t="shared" si="1725"/>
        <v>1.8114099415297553</v>
      </c>
      <c r="P1684" s="361">
        <f t="shared" si="1725"/>
        <v>2.2482314489296353</v>
      </c>
      <c r="Q1684" s="361">
        <f t="shared" si="1725"/>
        <v>2.7903924628389913</v>
      </c>
      <c r="R1684" s="361">
        <f t="shared" si="1725"/>
        <v>3.4632956052525823</v>
      </c>
      <c r="S1684" s="361">
        <f t="shared" si="1725"/>
        <v>4.2984693404592029</v>
      </c>
      <c r="T1684" s="361">
        <f t="shared" si="1725"/>
        <v>5.3350452219108906</v>
      </c>
      <c r="U1684" s="361">
        <f t="shared" si="1725"/>
        <v>6.6215913771746413</v>
      </c>
      <c r="V1684" s="362">
        <f t="shared" si="1725"/>
        <v>8.2183881377802308</v>
      </c>
      <c r="X1684" s="351"/>
    </row>
    <row r="1685" spans="3:24" ht="24.75" customHeight="1" x14ac:dyDescent="0.3">
      <c r="C1685" s="353">
        <f>ABS(E1685-Dashboard!$F$14)</f>
        <v>21.132265822207714</v>
      </c>
      <c r="D1685" s="350">
        <f t="shared" si="1719"/>
        <v>0.24124999999998867</v>
      </c>
      <c r="E1685" s="359" cm="1">
        <f t="array" ref="E1685">1000*SUM('DRE + DCF'!$L$36/M1685,'DRE + DCF'!$N$36:$V$36/N1685:V1685,F1685/V1685)/Dashboard!$F$11</f>
        <v>75.857734177792281</v>
      </c>
      <c r="F1685" s="359">
        <f t="shared" si="1717"/>
        <v>11309922.544835243</v>
      </c>
      <c r="G1685" s="359">
        <f>'DRE + DCF'!$W$31</f>
        <v>2791623.3540418856</v>
      </c>
      <c r="H1685" s="359">
        <f>'DRE + DCF'!$W$32</f>
        <v>81081.931703745853</v>
      </c>
      <c r="I1685" s="359">
        <f>-H1685*('DRE + DCF'!$V$33+K1685)/'DRE + DCF'!$V$33</f>
        <v>-90858.801614444121</v>
      </c>
      <c r="J1685" s="359">
        <f>-'DRE + DCF'!$V$56*L1685</f>
        <v>-1188924.4255577971</v>
      </c>
      <c r="K1685" s="360">
        <f>(1+L1685)/(1+Ke!$O$12)-1</f>
        <v>2.0000000000000018E-2</v>
      </c>
      <c r="L1685" s="360">
        <f>'DRE + DCF'!$Y$31</f>
        <v>7.3550000000000004E-2</v>
      </c>
      <c r="M1685" s="361">
        <f>(1+D1685)^((5-Dashboard!$F$9)*3/12)</f>
        <v>1.1759651354172556</v>
      </c>
      <c r="N1685" s="361">
        <f t="shared" ref="N1685:V1685" si="1726">M1685*(1+$D1685)</f>
        <v>1.459666724336655</v>
      </c>
      <c r="O1685" s="361">
        <f t="shared" si="1726"/>
        <v>1.8118113215828564</v>
      </c>
      <c r="P1685" s="361">
        <f t="shared" si="1726"/>
        <v>2.2489108029147</v>
      </c>
      <c r="Q1685" s="361">
        <f t="shared" si="1726"/>
        <v>2.7914605341178458</v>
      </c>
      <c r="R1685" s="361">
        <f t="shared" si="1726"/>
        <v>3.4649003879737443</v>
      </c>
      <c r="S1685" s="361">
        <f t="shared" si="1726"/>
        <v>4.3008076065723708</v>
      </c>
      <c r="T1685" s="361">
        <f t="shared" si="1726"/>
        <v>5.3383774416579062</v>
      </c>
      <c r="U1685" s="361">
        <f t="shared" si="1726"/>
        <v>6.6262609994578154</v>
      </c>
      <c r="V1685" s="362">
        <f t="shared" si="1726"/>
        <v>8.2248464655769382</v>
      </c>
      <c r="X1685" s="351"/>
    </row>
    <row r="1686" spans="3:24" ht="24.75" customHeight="1" x14ac:dyDescent="0.3">
      <c r="C1686" s="353">
        <f>ABS(E1686-Dashboard!$F$14)</f>
        <v>21.183220875424865</v>
      </c>
      <c r="D1686" s="350">
        <f t="shared" si="1719"/>
        <v>0.24134999999998866</v>
      </c>
      <c r="E1686" s="359" cm="1">
        <f t="array" ref="E1686">1000*SUM('DRE + DCF'!$L$36/M1686,'DRE + DCF'!$N$36:$V$36/N1686:V1686,F1686/V1686)/Dashboard!$F$11</f>
        <v>75.806779124575129</v>
      </c>
      <c r="F1686" s="359">
        <f t="shared" si="1717"/>
        <v>11304310.465944704</v>
      </c>
      <c r="G1686" s="359">
        <f>'DRE + DCF'!$W$31</f>
        <v>2791623.3540418856</v>
      </c>
      <c r="H1686" s="359">
        <f>'DRE + DCF'!$W$32</f>
        <v>81081.931703745853</v>
      </c>
      <c r="I1686" s="359">
        <f>-H1686*('DRE + DCF'!$V$33+K1686)/'DRE + DCF'!$V$33</f>
        <v>-90858.801614444121</v>
      </c>
      <c r="J1686" s="359">
        <f>-'DRE + DCF'!$V$56*L1686</f>
        <v>-1188924.4255577971</v>
      </c>
      <c r="K1686" s="360">
        <f>(1+L1686)/(1+Ke!$O$12)-1</f>
        <v>2.0000000000000018E-2</v>
      </c>
      <c r="L1686" s="360">
        <f>'DRE + DCF'!$Y$31</f>
        <v>7.3550000000000004E-2</v>
      </c>
      <c r="M1686" s="361">
        <f>(1+D1686)^((5-Dashboard!$F$9)*3/12)</f>
        <v>1.1760361899969092</v>
      </c>
      <c r="N1686" s="361">
        <f t="shared" ref="N1686:V1686" si="1727">M1686*(1+$D1686)</f>
        <v>1.4598725244526498</v>
      </c>
      <c r="O1686" s="361">
        <f t="shared" si="1727"/>
        <v>1.8122127582292802</v>
      </c>
      <c r="P1686" s="361">
        <f t="shared" si="1727"/>
        <v>2.2495903074278965</v>
      </c>
      <c r="Q1686" s="361">
        <f t="shared" si="1727"/>
        <v>2.7925289281255936</v>
      </c>
      <c r="R1686" s="361">
        <f t="shared" si="1727"/>
        <v>3.4665057849286738</v>
      </c>
      <c r="S1686" s="361">
        <f t="shared" si="1727"/>
        <v>4.3031469561211697</v>
      </c>
      <c r="T1686" s="361">
        <f t="shared" si="1727"/>
        <v>5.3417114739809648</v>
      </c>
      <c r="U1686" s="361">
        <f t="shared" si="1727"/>
        <v>6.63093353822621</v>
      </c>
      <c r="V1686" s="362">
        <f t="shared" si="1727"/>
        <v>8.2313093476770298</v>
      </c>
      <c r="X1686" s="351"/>
    </row>
    <row r="1687" spans="3:24" ht="24.75" customHeight="1" x14ac:dyDescent="0.3">
      <c r="C1687" s="353">
        <f>ABS(E1687-Dashboard!$F$14)</f>
        <v>21.234116256062066</v>
      </c>
      <c r="D1687" s="350">
        <f t="shared" si="1719"/>
        <v>0.24144999999998865</v>
      </c>
      <c r="E1687" s="359" cm="1">
        <f t="array" ref="E1687">1000*SUM('DRE + DCF'!$L$36/M1687,'DRE + DCF'!$N$36:$V$36/N1687:V1687,F1687/V1687)/Dashboard!$F$11</f>
        <v>75.755883743937929</v>
      </c>
      <c r="F1687" s="359">
        <f t="shared" si="1717"/>
        <v>11298704.138246587</v>
      </c>
      <c r="G1687" s="359">
        <f>'DRE + DCF'!$W$31</f>
        <v>2791623.3540418856</v>
      </c>
      <c r="H1687" s="359">
        <f>'DRE + DCF'!$W$32</f>
        <v>81081.931703745853</v>
      </c>
      <c r="I1687" s="359">
        <f>-H1687*('DRE + DCF'!$V$33+K1687)/'DRE + DCF'!$V$33</f>
        <v>-90858.801614444121</v>
      </c>
      <c r="J1687" s="359">
        <f>-'DRE + DCF'!$V$56*L1687</f>
        <v>-1188924.4255577971</v>
      </c>
      <c r="K1687" s="360">
        <f>(1+L1687)/(1+Ke!$O$12)-1</f>
        <v>2.0000000000000018E-2</v>
      </c>
      <c r="L1687" s="360">
        <f>'DRE + DCF'!$Y$31</f>
        <v>7.3550000000000004E-2</v>
      </c>
      <c r="M1687" s="361">
        <f>(1+D1687)^((5-Dashboard!$F$9)*3/12)</f>
        <v>1.176107243145583</v>
      </c>
      <c r="N1687" s="361">
        <f t="shared" ref="N1687:V1687" si="1728">M1687*(1+$D1687)</f>
        <v>1.4600783370030705</v>
      </c>
      <c r="O1687" s="361">
        <f t="shared" si="1728"/>
        <v>1.8126142514724453</v>
      </c>
      <c r="P1687" s="361">
        <f t="shared" si="1728"/>
        <v>2.2502699624904468</v>
      </c>
      <c r="Q1687" s="361">
        <f t="shared" si="1728"/>
        <v>2.7935976449337394</v>
      </c>
      <c r="R1687" s="361">
        <f t="shared" si="1728"/>
        <v>3.4681117963029591</v>
      </c>
      <c r="S1687" s="361">
        <f t="shared" si="1728"/>
        <v>4.3054873895202688</v>
      </c>
      <c r="T1687" s="361">
        <f t="shared" si="1728"/>
        <v>5.3450473197198889</v>
      </c>
      <c r="U1687" s="361">
        <f t="shared" si="1728"/>
        <v>6.6356089950661952</v>
      </c>
      <c r="V1687" s="362">
        <f t="shared" si="1728"/>
        <v>8.2377767869248526</v>
      </c>
      <c r="X1687" s="351"/>
    </row>
    <row r="1688" spans="3:24" ht="24.75" customHeight="1" x14ac:dyDescent="0.3">
      <c r="C1688" s="353">
        <f>ABS(E1688-Dashboard!$F$14)</f>
        <v>21.284952062109241</v>
      </c>
      <c r="D1688" s="350">
        <f t="shared" si="1719"/>
        <v>0.24154999999998863</v>
      </c>
      <c r="E1688" s="359" cm="1">
        <f t="array" ref="E1688">1000*SUM('DRE + DCF'!$L$36/M1688,'DRE + DCF'!$N$36:$V$36/N1688:V1688,F1688/V1688)/Dashboard!$F$11</f>
        <v>75.705047937890754</v>
      </c>
      <c r="F1688" s="359">
        <f t="shared" si="1717"/>
        <v>11293103.552630015</v>
      </c>
      <c r="G1688" s="359">
        <f>'DRE + DCF'!$W$31</f>
        <v>2791623.3540418856</v>
      </c>
      <c r="H1688" s="359">
        <f>'DRE + DCF'!$W$32</f>
        <v>81081.931703745853</v>
      </c>
      <c r="I1688" s="359">
        <f>-H1688*('DRE + DCF'!$V$33+K1688)/'DRE + DCF'!$V$33</f>
        <v>-90858.801614444121</v>
      </c>
      <c r="J1688" s="359">
        <f>-'DRE + DCF'!$V$56*L1688</f>
        <v>-1188924.4255577971</v>
      </c>
      <c r="K1688" s="360">
        <f>(1+L1688)/(1+Ke!$O$12)-1</f>
        <v>2.0000000000000018E-2</v>
      </c>
      <c r="L1688" s="360">
        <f>'DRE + DCF'!$Y$31</f>
        <v>7.3550000000000004E-2</v>
      </c>
      <c r="M1688" s="361">
        <f>(1+D1688)^((5-Dashboard!$F$9)*3/12)</f>
        <v>1.1761782948634212</v>
      </c>
      <c r="N1688" s="361">
        <f t="shared" ref="N1688:V1688" si="1729">M1688*(1+$D1688)</f>
        <v>1.4602841619876672</v>
      </c>
      <c r="O1688" s="361">
        <f t="shared" si="1729"/>
        <v>1.8130158013157716</v>
      </c>
      <c r="P1688" s="361">
        <f t="shared" si="1729"/>
        <v>2.2509497681235757</v>
      </c>
      <c r="Q1688" s="361">
        <f t="shared" si="1729"/>
        <v>2.7946666846137997</v>
      </c>
      <c r="R1688" s="361">
        <f t="shared" si="1729"/>
        <v>3.4697184222822313</v>
      </c>
      <c r="S1688" s="361">
        <f t="shared" si="1729"/>
        <v>4.3078289071844651</v>
      </c>
      <c r="T1688" s="361">
        <f t="shared" si="1729"/>
        <v>5.3483849797148233</v>
      </c>
      <c r="U1688" s="361">
        <f t="shared" si="1729"/>
        <v>6.6402873715648782</v>
      </c>
      <c r="V1688" s="362">
        <f t="shared" si="1729"/>
        <v>8.244248786166299</v>
      </c>
      <c r="X1688" s="351"/>
    </row>
    <row r="1689" spans="3:24" ht="24.75" customHeight="1" x14ac:dyDescent="0.3">
      <c r="C1689" s="353">
        <f>ABS(E1689-Dashboard!$F$14)</f>
        <v>21.335728391346123</v>
      </c>
      <c r="D1689" s="350">
        <f t="shared" si="1719"/>
        <v>0.24164999999998862</v>
      </c>
      <c r="E1689" s="359" cm="1">
        <f t="array" ref="E1689">1000*SUM('DRE + DCF'!$L$36/M1689,'DRE + DCF'!$N$36:$V$36/N1689:V1689,F1689/V1689)/Dashboard!$F$11</f>
        <v>75.654271608653872</v>
      </c>
      <c r="F1689" s="359">
        <f t="shared" si="1717"/>
        <v>11287508.70000387</v>
      </c>
      <c r="G1689" s="359">
        <f>'DRE + DCF'!$W$31</f>
        <v>2791623.3540418856</v>
      </c>
      <c r="H1689" s="359">
        <f>'DRE + DCF'!$W$32</f>
        <v>81081.931703745853</v>
      </c>
      <c r="I1689" s="359">
        <f>-H1689*('DRE + DCF'!$V$33+K1689)/'DRE + DCF'!$V$33</f>
        <v>-90858.801614444121</v>
      </c>
      <c r="J1689" s="359">
        <f>-'DRE + DCF'!$V$56*L1689</f>
        <v>-1188924.4255577971</v>
      </c>
      <c r="K1689" s="360">
        <f>(1+L1689)/(1+Ke!$O$12)-1</f>
        <v>2.0000000000000018E-2</v>
      </c>
      <c r="L1689" s="360">
        <f>'DRE + DCF'!$Y$31</f>
        <v>7.3550000000000004E-2</v>
      </c>
      <c r="M1689" s="361">
        <f>(1+D1689)^((5-Dashboard!$F$9)*3/12)</f>
        <v>1.176249345150568</v>
      </c>
      <c r="N1689" s="361">
        <f t="shared" ref="N1689:V1689" si="1730">M1689*(1+$D1689)</f>
        <v>1.4604899994061893</v>
      </c>
      <c r="O1689" s="361">
        <f t="shared" si="1730"/>
        <v>1.8134174077626783</v>
      </c>
      <c r="P1689" s="361">
        <f t="shared" si="1730"/>
        <v>2.2516297243485091</v>
      </c>
      <c r="Q1689" s="361">
        <f t="shared" si="1730"/>
        <v>2.7957360472373005</v>
      </c>
      <c r="R1689" s="361">
        <f t="shared" si="1730"/>
        <v>3.4713256630521623</v>
      </c>
      <c r="S1689" s="361">
        <f t="shared" si="1730"/>
        <v>4.3101715095286774</v>
      </c>
      <c r="T1689" s="361">
        <f t="shared" si="1730"/>
        <v>5.3517244548062335</v>
      </c>
      <c r="U1689" s="361">
        <f t="shared" si="1730"/>
        <v>6.6449686693100984</v>
      </c>
      <c r="V1689" s="362">
        <f t="shared" si="1730"/>
        <v>8.2507253482488085</v>
      </c>
      <c r="X1689" s="351"/>
    </row>
    <row r="1690" spans="3:24" ht="24.75" customHeight="1" x14ac:dyDescent="0.3">
      <c r="C1690" s="353">
        <f>ABS(E1690-Dashboard!$F$14)</f>
        <v>21.386445341343162</v>
      </c>
      <c r="D1690" s="350">
        <f t="shared" si="1719"/>
        <v>0.24174999999998861</v>
      </c>
      <c r="E1690" s="359" cm="1">
        <f t="array" ref="E1690">1000*SUM('DRE + DCF'!$L$36/M1690,'DRE + DCF'!$N$36:$V$36/N1690:V1690,F1690/V1690)/Dashboard!$F$11</f>
        <v>75.603554658656833</v>
      </c>
      <c r="F1690" s="359">
        <f t="shared" si="1717"/>
        <v>11281919.571296748</v>
      </c>
      <c r="G1690" s="359">
        <f>'DRE + DCF'!$W$31</f>
        <v>2791623.3540418856</v>
      </c>
      <c r="H1690" s="359">
        <f>'DRE + DCF'!$W$32</f>
        <v>81081.931703745853</v>
      </c>
      <c r="I1690" s="359">
        <f>-H1690*('DRE + DCF'!$V$33+K1690)/'DRE + DCF'!$V$33</f>
        <v>-90858.801614444121</v>
      </c>
      <c r="J1690" s="359">
        <f>-'DRE + DCF'!$V$56*L1690</f>
        <v>-1188924.4255577971</v>
      </c>
      <c r="K1690" s="360">
        <f>(1+L1690)/(1+Ke!$O$12)-1</f>
        <v>2.0000000000000018E-2</v>
      </c>
      <c r="L1690" s="360">
        <f>'DRE + DCF'!$Y$31</f>
        <v>7.3550000000000004E-2</v>
      </c>
      <c r="M1690" s="361">
        <f>(1+D1690)^((5-Dashboard!$F$9)*3/12)</f>
        <v>1.1763203940071671</v>
      </c>
      <c r="N1690" s="361">
        <f t="shared" ref="N1690:V1690" si="1731">M1690*(1+$D1690)</f>
        <v>1.4606958492583864</v>
      </c>
      <c r="O1690" s="361">
        <f t="shared" si="1731"/>
        <v>1.8138190708165847</v>
      </c>
      <c r="P1690" s="361">
        <f t="shared" si="1731"/>
        <v>2.2523098311864733</v>
      </c>
      <c r="Q1690" s="361">
        <f t="shared" si="1731"/>
        <v>2.7968057328757774</v>
      </c>
      <c r="R1690" s="361">
        <f t="shared" si="1731"/>
        <v>3.4729335187984645</v>
      </c>
      <c r="S1690" s="361">
        <f t="shared" si="1731"/>
        <v>4.3125151969679534</v>
      </c>
      <c r="T1690" s="361">
        <f t="shared" si="1731"/>
        <v>5.3550657458349065</v>
      </c>
      <c r="U1690" s="361">
        <f t="shared" si="1731"/>
        <v>6.6496528898904339</v>
      </c>
      <c r="V1690" s="362">
        <f t="shared" si="1731"/>
        <v>8.2572064760213699</v>
      </c>
      <c r="X1690" s="351"/>
    </row>
    <row r="1691" spans="3:24" ht="24.75" customHeight="1" x14ac:dyDescent="0.3">
      <c r="C1691" s="353">
        <f>ABS(E1691-Dashboard!$F$14)</f>
        <v>21.437103009461865</v>
      </c>
      <c r="D1691" s="350">
        <f t="shared" si="1719"/>
        <v>0.2418499999999886</v>
      </c>
      <c r="E1691" s="359" cm="1">
        <f t="array" ref="E1691">1000*SUM('DRE + DCF'!$L$36/M1691,'DRE + DCF'!$N$36:$V$36/N1691:V1691,F1691/V1691)/Dashboard!$F$11</f>
        <v>75.55289699053813</v>
      </c>
      <c r="F1691" s="359">
        <f t="shared" si="1717"/>
        <v>11276336.157456897</v>
      </c>
      <c r="G1691" s="359">
        <f>'DRE + DCF'!$W$31</f>
        <v>2791623.3540418856</v>
      </c>
      <c r="H1691" s="359">
        <f>'DRE + DCF'!$W$32</f>
        <v>81081.931703745853</v>
      </c>
      <c r="I1691" s="359">
        <f>-H1691*('DRE + DCF'!$V$33+K1691)/'DRE + DCF'!$V$33</f>
        <v>-90858.801614444121</v>
      </c>
      <c r="J1691" s="359">
        <f>-'DRE + DCF'!$V$56*L1691</f>
        <v>-1188924.4255577971</v>
      </c>
      <c r="K1691" s="360">
        <f>(1+L1691)/(1+Ke!$O$12)-1</f>
        <v>2.0000000000000018E-2</v>
      </c>
      <c r="L1691" s="360">
        <f>'DRE + DCF'!$Y$31</f>
        <v>7.3550000000000004E-2</v>
      </c>
      <c r="M1691" s="361">
        <f>(1+D1691)^((5-Dashboard!$F$9)*3/12)</f>
        <v>1.1763914414333629</v>
      </c>
      <c r="N1691" s="361">
        <f t="shared" ref="N1691:V1691" si="1732">M1691*(1+$D1691)</f>
        <v>1.4609017115440084</v>
      </c>
      <c r="O1691" s="361">
        <f t="shared" si="1732"/>
        <v>1.8142207904809102</v>
      </c>
      <c r="P1691" s="361">
        <f t="shared" si="1732"/>
        <v>2.2529900886586978</v>
      </c>
      <c r="Q1691" s="361">
        <f t="shared" si="1732"/>
        <v>2.797875741600778</v>
      </c>
      <c r="R1691" s="361">
        <f t="shared" si="1732"/>
        <v>3.4745419897068941</v>
      </c>
      <c r="S1691" s="361">
        <f t="shared" si="1732"/>
        <v>4.3148599699174666</v>
      </c>
      <c r="T1691" s="361">
        <f t="shared" si="1732"/>
        <v>5.358408853641957</v>
      </c>
      <c r="U1691" s="361">
        <f t="shared" si="1732"/>
        <v>6.6543400348952026</v>
      </c>
      <c r="V1691" s="362">
        <f t="shared" si="1732"/>
        <v>8.2636921723345313</v>
      </c>
      <c r="X1691" s="351"/>
    </row>
    <row r="1692" spans="3:24" ht="24.75" customHeight="1" x14ac:dyDescent="0.3">
      <c r="C1692" s="353">
        <f>ABS(E1692-Dashboard!$F$14)</f>
        <v>21.487701492855393</v>
      </c>
      <c r="D1692" s="350">
        <f t="shared" si="1719"/>
        <v>0.24194999999998859</v>
      </c>
      <c r="E1692" s="359" cm="1">
        <f t="array" ref="E1692">1000*SUM('DRE + DCF'!$L$36/M1692,'DRE + DCF'!$N$36:$V$36/N1692:V1692,F1692/V1692)/Dashboard!$F$11</f>
        <v>75.502298507144602</v>
      </c>
      <c r="F1692" s="359">
        <f t="shared" si="1717"/>
        <v>11270758.449452162</v>
      </c>
      <c r="G1692" s="359">
        <f>'DRE + DCF'!$W$31</f>
        <v>2791623.3540418856</v>
      </c>
      <c r="H1692" s="359">
        <f>'DRE + DCF'!$W$32</f>
        <v>81081.931703745853</v>
      </c>
      <c r="I1692" s="359">
        <f>-H1692*('DRE + DCF'!$V$33+K1692)/'DRE + DCF'!$V$33</f>
        <v>-90858.801614444121</v>
      </c>
      <c r="J1692" s="359">
        <f>-'DRE + DCF'!$V$56*L1692</f>
        <v>-1188924.4255577971</v>
      </c>
      <c r="K1692" s="360">
        <f>(1+L1692)/(1+Ke!$O$12)-1</f>
        <v>2.0000000000000018E-2</v>
      </c>
      <c r="L1692" s="360">
        <f>'DRE + DCF'!$Y$31</f>
        <v>7.3550000000000004E-2</v>
      </c>
      <c r="M1692" s="361">
        <f>(1+D1692)^((5-Dashboard!$F$9)*3/12)</f>
        <v>1.176462487429299</v>
      </c>
      <c r="N1692" s="361">
        <f t="shared" ref="N1692:V1692" si="1733">M1692*(1+$D1692)</f>
        <v>1.4611075862628045</v>
      </c>
      <c r="O1692" s="361">
        <f t="shared" si="1733"/>
        <v>1.8146225667590732</v>
      </c>
      <c r="P1692" s="361">
        <f t="shared" si="1733"/>
        <v>2.2536704967864103</v>
      </c>
      <c r="Q1692" s="361">
        <f t="shared" si="1733"/>
        <v>2.7989460734838563</v>
      </c>
      <c r="R1692" s="361">
        <f t="shared" si="1733"/>
        <v>3.4761510759632435</v>
      </c>
      <c r="S1692" s="361">
        <f t="shared" si="1733"/>
        <v>4.3172058287925106</v>
      </c>
      <c r="T1692" s="361">
        <f t="shared" si="1733"/>
        <v>5.3617537790688088</v>
      </c>
      <c r="U1692" s="361">
        <f t="shared" si="1733"/>
        <v>6.6590301059144457</v>
      </c>
      <c r="V1692" s="362">
        <f t="shared" si="1733"/>
        <v>8.2701824400403705</v>
      </c>
      <c r="X1692" s="351"/>
    </row>
    <row r="1693" spans="3:24" ht="24.75" customHeight="1" x14ac:dyDescent="0.3">
      <c r="C1693" s="353">
        <f>ABS(E1693-Dashboard!$F$14)</f>
        <v>21.538240888469204</v>
      </c>
      <c r="D1693" s="350">
        <f t="shared" si="1719"/>
        <v>0.24204999999998858</v>
      </c>
      <c r="E1693" s="359" cm="1">
        <f t="array" ref="E1693">1000*SUM('DRE + DCF'!$L$36/M1693,'DRE + DCF'!$N$36:$V$36/N1693:V1693,F1693/V1693)/Dashboard!$F$11</f>
        <v>75.451759111530791</v>
      </c>
      <c r="F1693" s="359">
        <f t="shared" si="1717"/>
        <v>11265186.438269932</v>
      </c>
      <c r="G1693" s="359">
        <f>'DRE + DCF'!$W$31</f>
        <v>2791623.3540418856</v>
      </c>
      <c r="H1693" s="359">
        <f>'DRE + DCF'!$W$32</f>
        <v>81081.931703745853</v>
      </c>
      <c r="I1693" s="359">
        <f>-H1693*('DRE + DCF'!$V$33+K1693)/'DRE + DCF'!$V$33</f>
        <v>-90858.801614444121</v>
      </c>
      <c r="J1693" s="359">
        <f>-'DRE + DCF'!$V$56*L1693</f>
        <v>-1188924.4255577971</v>
      </c>
      <c r="K1693" s="360">
        <f>(1+L1693)/(1+Ke!$O$12)-1</f>
        <v>2.0000000000000018E-2</v>
      </c>
      <c r="L1693" s="360">
        <f>'DRE + DCF'!$Y$31</f>
        <v>7.3550000000000004E-2</v>
      </c>
      <c r="M1693" s="361">
        <f>(1+D1693)^((5-Dashboard!$F$9)*3/12)</f>
        <v>1.1765335319951198</v>
      </c>
      <c r="N1693" s="361">
        <f t="shared" ref="N1693:V1693" si="1734">M1693*(1+$D1693)</f>
        <v>1.461313473414525</v>
      </c>
      <c r="O1693" s="361">
        <f t="shared" si="1734"/>
        <v>1.8150243996544941</v>
      </c>
      <c r="P1693" s="361">
        <f t="shared" si="1734"/>
        <v>2.2543510555908437</v>
      </c>
      <c r="Q1693" s="361">
        <f t="shared" si="1734"/>
        <v>2.8000167285965816</v>
      </c>
      <c r="R1693" s="361">
        <f t="shared" si="1734"/>
        <v>3.4777607777533519</v>
      </c>
      <c r="S1693" s="361">
        <f t="shared" si="1734"/>
        <v>4.3195527740085113</v>
      </c>
      <c r="T1693" s="361">
        <f t="shared" si="1734"/>
        <v>5.3651005229572224</v>
      </c>
      <c r="U1693" s="361">
        <f t="shared" si="1734"/>
        <v>6.6637231045389562</v>
      </c>
      <c r="V1693" s="362">
        <f t="shared" si="1734"/>
        <v>8.2766772819925336</v>
      </c>
      <c r="X1693" s="351"/>
    </row>
    <row r="1694" spans="3:24" ht="24.75" customHeight="1" x14ac:dyDescent="0.3">
      <c r="C1694" s="353">
        <f>ABS(E1694-Dashboard!$F$14)</f>
        <v>21.588721293041502</v>
      </c>
      <c r="D1694" s="350">
        <f t="shared" si="1719"/>
        <v>0.24214999999998857</v>
      </c>
      <c r="E1694" s="359" cm="1">
        <f t="array" ref="E1694">1000*SUM('DRE + DCF'!$L$36/M1694,'DRE + DCF'!$N$36:$V$36/N1694:V1694,F1694/V1694)/Dashboard!$F$11</f>
        <v>75.401278706958493</v>
      </c>
      <c r="F1694" s="359">
        <f t="shared" si="1717"/>
        <v>11259620.114917081</v>
      </c>
      <c r="G1694" s="359">
        <f>'DRE + DCF'!$W$31</f>
        <v>2791623.3540418856</v>
      </c>
      <c r="H1694" s="359">
        <f>'DRE + DCF'!$W$32</f>
        <v>81081.931703745853</v>
      </c>
      <c r="I1694" s="359">
        <f>-H1694*('DRE + DCF'!$V$33+K1694)/'DRE + DCF'!$V$33</f>
        <v>-90858.801614444121</v>
      </c>
      <c r="J1694" s="359">
        <f>-'DRE + DCF'!$V$56*L1694</f>
        <v>-1188924.4255577971</v>
      </c>
      <c r="K1694" s="360">
        <f>(1+L1694)/(1+Ke!$O$12)-1</f>
        <v>2.0000000000000018E-2</v>
      </c>
      <c r="L1694" s="360">
        <f>'DRE + DCF'!$Y$31</f>
        <v>7.3550000000000004E-2</v>
      </c>
      <c r="M1694" s="361">
        <f>(1+D1694)^((5-Dashboard!$F$9)*3/12)</f>
        <v>1.1766045751309688</v>
      </c>
      <c r="N1694" s="361">
        <f t="shared" ref="N1694:V1694" si="1735">M1694*(1+$D1694)</f>
        <v>1.4615193729989195</v>
      </c>
      <c r="O1694" s="361">
        <f t="shared" si="1735"/>
        <v>1.8154262891705912</v>
      </c>
      <c r="P1694" s="361">
        <f t="shared" si="1735"/>
        <v>2.255031765093229</v>
      </c>
      <c r="Q1694" s="361">
        <f t="shared" si="1735"/>
        <v>2.8010877070105287</v>
      </c>
      <c r="R1694" s="361">
        <f t="shared" si="1735"/>
        <v>3.4793710952630961</v>
      </c>
      <c r="S1694" s="361">
        <f t="shared" si="1735"/>
        <v>4.3219008059810147</v>
      </c>
      <c r="T1694" s="361">
        <f t="shared" si="1735"/>
        <v>5.3684490861492682</v>
      </c>
      <c r="U1694" s="361">
        <f t="shared" si="1735"/>
        <v>6.6684190323602524</v>
      </c>
      <c r="V1694" s="362">
        <f t="shared" si="1735"/>
        <v>8.2831767010462105</v>
      </c>
      <c r="X1694" s="351"/>
    </row>
    <row r="1695" spans="3:24" ht="24.75" customHeight="1" x14ac:dyDescent="0.3">
      <c r="C1695" s="353">
        <f>ABS(E1695-Dashboard!$F$14)</f>
        <v>21.639142803103852</v>
      </c>
      <c r="D1695" s="350">
        <f t="shared" si="1719"/>
        <v>0.24224999999998856</v>
      </c>
      <c r="E1695" s="359" cm="1">
        <f t="array" ref="E1695">1000*SUM('DRE + DCF'!$L$36/M1695,'DRE + DCF'!$N$36:$V$36/N1695:V1695,F1695/V1695)/Dashboard!$F$11</f>
        <v>75.350857196896143</v>
      </c>
      <c r="F1695" s="359">
        <f t="shared" si="1717"/>
        <v>11254059.470419928</v>
      </c>
      <c r="G1695" s="359">
        <f>'DRE + DCF'!$W$31</f>
        <v>2791623.3540418856</v>
      </c>
      <c r="H1695" s="359">
        <f>'DRE + DCF'!$W$32</f>
        <v>81081.931703745853</v>
      </c>
      <c r="I1695" s="359">
        <f>-H1695*('DRE + DCF'!$V$33+K1695)/'DRE + DCF'!$V$33</f>
        <v>-90858.801614444121</v>
      </c>
      <c r="J1695" s="359">
        <f>-'DRE + DCF'!$V$56*L1695</f>
        <v>-1188924.4255577971</v>
      </c>
      <c r="K1695" s="360">
        <f>(1+L1695)/(1+Ke!$O$12)-1</f>
        <v>2.0000000000000018E-2</v>
      </c>
      <c r="L1695" s="360">
        <f>'DRE + DCF'!$Y$31</f>
        <v>7.3550000000000004E-2</v>
      </c>
      <c r="M1695" s="361">
        <f>(1+D1695)^((5-Dashboard!$F$9)*3/12)</f>
        <v>1.1766756168369901</v>
      </c>
      <c r="N1695" s="361">
        <f t="shared" ref="N1695:V1695" si="1736">M1695*(1+$D1695)</f>
        <v>1.4617252850157374</v>
      </c>
      <c r="O1695" s="361">
        <f t="shared" si="1736"/>
        <v>1.8158282353107831</v>
      </c>
      <c r="P1695" s="361">
        <f t="shared" si="1736"/>
        <v>2.2557126253147994</v>
      </c>
      <c r="Q1695" s="361">
        <f t="shared" si="1736"/>
        <v>2.8021590087972839</v>
      </c>
      <c r="R1695" s="361">
        <f t="shared" si="1736"/>
        <v>3.4809820286783939</v>
      </c>
      <c r="S1695" s="361">
        <f t="shared" si="1736"/>
        <v>4.3242499251256952</v>
      </c>
      <c r="T1695" s="361">
        <f t="shared" si="1736"/>
        <v>5.3717994694873452</v>
      </c>
      <c r="U1695" s="361">
        <f t="shared" si="1736"/>
        <v>6.6731178909705928</v>
      </c>
      <c r="V1695" s="362">
        <f t="shared" si="1736"/>
        <v>8.2896807000581418</v>
      </c>
      <c r="X1695" s="351"/>
    </row>
    <row r="1696" spans="3:24" ht="24.75" customHeight="1" x14ac:dyDescent="0.3">
      <c r="C1696" s="353">
        <f>ABS(E1696-Dashboard!$F$14)</f>
        <v>21.68950551498169</v>
      </c>
      <c r="D1696" s="350">
        <f t="shared" si="1719"/>
        <v>0.24234999999998855</v>
      </c>
      <c r="E1696" s="359" cm="1">
        <f t="array" ref="E1696">1000*SUM('DRE + DCF'!$L$36/M1696,'DRE + DCF'!$N$36:$V$36/N1696:V1696,F1696/V1696)/Dashboard!$F$11</f>
        <v>75.300494485018305</v>
      </c>
      <c r="F1696" s="359">
        <f t="shared" si="1717"/>
        <v>11248504.495824173</v>
      </c>
      <c r="G1696" s="359">
        <f>'DRE + DCF'!$W$31</f>
        <v>2791623.3540418856</v>
      </c>
      <c r="H1696" s="359">
        <f>'DRE + DCF'!$W$32</f>
        <v>81081.931703745853</v>
      </c>
      <c r="I1696" s="359">
        <f>-H1696*('DRE + DCF'!$V$33+K1696)/'DRE + DCF'!$V$33</f>
        <v>-90858.801614444121</v>
      </c>
      <c r="J1696" s="359">
        <f>-'DRE + DCF'!$V$56*L1696</f>
        <v>-1188924.4255577971</v>
      </c>
      <c r="K1696" s="360">
        <f>(1+L1696)/(1+Ke!$O$12)-1</f>
        <v>2.0000000000000018E-2</v>
      </c>
      <c r="L1696" s="360">
        <f>'DRE + DCF'!$Y$31</f>
        <v>7.3550000000000004E-2</v>
      </c>
      <c r="M1696" s="361">
        <f>(1+D1696)^((5-Dashboard!$F$9)*3/12)</f>
        <v>1.1767466571133274</v>
      </c>
      <c r="N1696" s="361">
        <f t="shared" ref="N1696:V1696" si="1737">M1696*(1+$D1696)</f>
        <v>1.4619312094647288</v>
      </c>
      <c r="O1696" s="361">
        <f t="shared" si="1737"/>
        <v>1.8162302380784889</v>
      </c>
      <c r="P1696" s="361">
        <f t="shared" si="1737"/>
        <v>2.25639363627679</v>
      </c>
      <c r="Q1696" s="361">
        <f t="shared" si="1737"/>
        <v>2.8032306340284441</v>
      </c>
      <c r="R1696" s="361">
        <f t="shared" si="1737"/>
        <v>3.4825935781852051</v>
      </c>
      <c r="S1696" s="361">
        <f t="shared" si="1737"/>
        <v>4.3266001318583491</v>
      </c>
      <c r="T1696" s="361">
        <f t="shared" si="1737"/>
        <v>5.3751516738141705</v>
      </c>
      <c r="U1696" s="361">
        <f t="shared" si="1737"/>
        <v>6.6778196819629727</v>
      </c>
      <c r="V1696" s="362">
        <f t="shared" si="1737"/>
        <v>8.2961892818866225</v>
      </c>
      <c r="X1696" s="351"/>
    </row>
    <row r="1697" spans="3:24" ht="24.75" customHeight="1" x14ac:dyDescent="0.3">
      <c r="C1697" s="353">
        <f>ABS(E1697-Dashboard!$F$14)</f>
        <v>21.739809524795035</v>
      </c>
      <c r="D1697" s="350">
        <f t="shared" si="1719"/>
        <v>0.24244999999998854</v>
      </c>
      <c r="E1697" s="359" cm="1">
        <f t="array" ref="E1697">1000*SUM('DRE + DCF'!$L$36/M1697,'DRE + DCF'!$N$36:$V$36/N1697:V1697,F1697/V1697)/Dashboard!$F$11</f>
        <v>75.25019047520496</v>
      </c>
      <c r="F1697" s="359">
        <f t="shared" si="1717"/>
        <v>11242955.18219484</v>
      </c>
      <c r="G1697" s="359">
        <f>'DRE + DCF'!$W$31</f>
        <v>2791623.3540418856</v>
      </c>
      <c r="H1697" s="359">
        <f>'DRE + DCF'!$W$32</f>
        <v>81081.931703745853</v>
      </c>
      <c r="I1697" s="359">
        <f>-H1697*('DRE + DCF'!$V$33+K1697)/'DRE + DCF'!$V$33</f>
        <v>-90858.801614444121</v>
      </c>
      <c r="J1697" s="359">
        <f>-'DRE + DCF'!$V$56*L1697</f>
        <v>-1188924.4255577971</v>
      </c>
      <c r="K1697" s="360">
        <f>(1+L1697)/(1+Ke!$O$12)-1</f>
        <v>2.0000000000000018E-2</v>
      </c>
      <c r="L1697" s="360">
        <f>'DRE + DCF'!$Y$31</f>
        <v>7.3550000000000004E-2</v>
      </c>
      <c r="M1697" s="361">
        <f>(1+D1697)^((5-Dashboard!$F$9)*3/12)</f>
        <v>1.1768176959601249</v>
      </c>
      <c r="N1697" s="361">
        <f t="shared" ref="N1697:V1697" si="1738">M1697*(1+$D1697)</f>
        <v>1.4621371463456436</v>
      </c>
      <c r="O1697" s="361">
        <f t="shared" si="1738"/>
        <v>1.8166322974771281</v>
      </c>
      <c r="P1697" s="361">
        <f t="shared" si="1738"/>
        <v>2.2570747980004371</v>
      </c>
      <c r="Q1697" s="361">
        <f t="shared" si="1738"/>
        <v>2.8043025827756169</v>
      </c>
      <c r="R1697" s="361">
        <f t="shared" si="1738"/>
        <v>3.4842057439695329</v>
      </c>
      <c r="S1697" s="361">
        <f t="shared" si="1738"/>
        <v>4.3289514265949061</v>
      </c>
      <c r="T1697" s="361">
        <f t="shared" si="1738"/>
        <v>5.3785056999727914</v>
      </c>
      <c r="U1697" s="361">
        <f t="shared" si="1738"/>
        <v>6.6825244069311331</v>
      </c>
      <c r="V1697" s="362">
        <f t="shared" si="1738"/>
        <v>8.3027024493915089</v>
      </c>
      <c r="X1697" s="351"/>
    </row>
    <row r="1698" spans="3:24" ht="24.75" customHeight="1" x14ac:dyDescent="0.3">
      <c r="C1698" s="353">
        <f>ABS(E1698-Dashboard!$F$14)</f>
        <v>21.790054928458773</v>
      </c>
      <c r="D1698" s="350">
        <f t="shared" si="1719"/>
        <v>0.24254999999998852</v>
      </c>
      <c r="E1698" s="359" cm="1">
        <f t="array" ref="E1698">1000*SUM('DRE + DCF'!$L$36/M1698,'DRE + DCF'!$N$36:$V$36/N1698:V1698,F1698/V1698)/Dashboard!$F$11</f>
        <v>75.199945071541222</v>
      </c>
      <c r="F1698" s="359">
        <f t="shared" si="1717"/>
        <v>11237411.520616228</v>
      </c>
      <c r="G1698" s="359">
        <f>'DRE + DCF'!$W$31</f>
        <v>2791623.3540418856</v>
      </c>
      <c r="H1698" s="359">
        <f>'DRE + DCF'!$W$32</f>
        <v>81081.931703745853</v>
      </c>
      <c r="I1698" s="359">
        <f>-H1698*('DRE + DCF'!$V$33+K1698)/'DRE + DCF'!$V$33</f>
        <v>-90858.801614444121</v>
      </c>
      <c r="J1698" s="359">
        <f>-'DRE + DCF'!$V$56*L1698</f>
        <v>-1188924.4255577971</v>
      </c>
      <c r="K1698" s="360">
        <f>(1+L1698)/(1+Ke!$O$12)-1</f>
        <v>2.0000000000000018E-2</v>
      </c>
      <c r="L1698" s="360">
        <f>'DRE + DCF'!$Y$31</f>
        <v>7.3550000000000004E-2</v>
      </c>
      <c r="M1698" s="361">
        <f>(1+D1698)^((5-Dashboard!$F$9)*3/12)</f>
        <v>1.1768887333775262</v>
      </c>
      <c r="N1698" s="361">
        <f t="shared" ref="N1698:V1698" si="1739">M1698*(1+$D1698)</f>
        <v>1.4623430956582317</v>
      </c>
      <c r="O1698" s="361">
        <f t="shared" si="1739"/>
        <v>1.8170344135101191</v>
      </c>
      <c r="P1698" s="361">
        <f t="shared" si="1739"/>
        <v>2.2577561105069774</v>
      </c>
      <c r="Q1698" s="361">
        <f t="shared" si="1739"/>
        <v>2.805374855110419</v>
      </c>
      <c r="R1698" s="361">
        <f t="shared" si="1739"/>
        <v>3.4858185262174186</v>
      </c>
      <c r="S1698" s="361">
        <f t="shared" si="1739"/>
        <v>4.3313038097514136</v>
      </c>
      <c r="T1698" s="361">
        <f t="shared" si="1739"/>
        <v>5.3818615488065689</v>
      </c>
      <c r="U1698" s="361">
        <f t="shared" si="1739"/>
        <v>6.68723206746954</v>
      </c>
      <c r="V1698" s="362">
        <f t="shared" si="1739"/>
        <v>8.3092202054341993</v>
      </c>
      <c r="X1698" s="351"/>
    </row>
    <row r="1699" spans="3:24" ht="24.75" customHeight="1" x14ac:dyDescent="0.3">
      <c r="C1699" s="353">
        <f>ABS(E1699-Dashboard!$F$14)</f>
        <v>21.840241821683435</v>
      </c>
      <c r="D1699" s="350">
        <f t="shared" si="1719"/>
        <v>0.24264999999998851</v>
      </c>
      <c r="E1699" s="359" cm="1">
        <f t="array" ref="E1699">1000*SUM('DRE + DCF'!$L$36/M1699,'DRE + DCF'!$N$36:$V$36/N1699:V1699,F1699/V1699)/Dashboard!$F$11</f>
        <v>75.14975817831656</v>
      </c>
      <c r="F1699" s="359">
        <f t="shared" si="1717"/>
        <v>11231873.502191868</v>
      </c>
      <c r="G1699" s="359">
        <f>'DRE + DCF'!$W$31</f>
        <v>2791623.3540418856</v>
      </c>
      <c r="H1699" s="359">
        <f>'DRE + DCF'!$W$32</f>
        <v>81081.931703745853</v>
      </c>
      <c r="I1699" s="359">
        <f>-H1699*('DRE + DCF'!$V$33+K1699)/'DRE + DCF'!$V$33</f>
        <v>-90858.801614444121</v>
      </c>
      <c r="J1699" s="359">
        <f>-'DRE + DCF'!$V$56*L1699</f>
        <v>-1188924.4255577971</v>
      </c>
      <c r="K1699" s="360">
        <f>(1+L1699)/(1+Ke!$O$12)-1</f>
        <v>2.0000000000000018E-2</v>
      </c>
      <c r="L1699" s="360">
        <f>'DRE + DCF'!$Y$31</f>
        <v>7.3550000000000004E-2</v>
      </c>
      <c r="M1699" s="361">
        <f>(1+D1699)^((5-Dashboard!$F$9)*3/12)</f>
        <v>1.176959769365675</v>
      </c>
      <c r="N1699" s="361">
        <f t="shared" ref="N1699:V1699" si="1740">M1699*(1+$D1699)</f>
        <v>1.4625490574022426</v>
      </c>
      <c r="O1699" s="361">
        <f t="shared" si="1740"/>
        <v>1.8174365861808799</v>
      </c>
      <c r="P1699" s="361">
        <f t="shared" si="1740"/>
        <v>2.2584375738176496</v>
      </c>
      <c r="Q1699" s="361">
        <f t="shared" si="1740"/>
        <v>2.8064474511044764</v>
      </c>
      <c r="R1699" s="361">
        <f t="shared" si="1740"/>
        <v>3.487431925114945</v>
      </c>
      <c r="S1699" s="361">
        <f t="shared" si="1740"/>
        <v>4.3336572817440464</v>
      </c>
      <c r="T1699" s="361">
        <f t="shared" si="1740"/>
        <v>5.3852192211591889</v>
      </c>
      <c r="U1699" s="361">
        <f t="shared" si="1740"/>
        <v>6.6919426651734044</v>
      </c>
      <c r="V1699" s="362">
        <f t="shared" si="1740"/>
        <v>8.3157425528776532</v>
      </c>
      <c r="X1699" s="351"/>
    </row>
    <row r="1700" spans="3:24" ht="24.75" customHeight="1" x14ac:dyDescent="0.3">
      <c r="C1700" s="353">
        <f>ABS(E1700-Dashboard!$F$14)</f>
        <v>21.890370299975572</v>
      </c>
      <c r="D1700" s="350">
        <f t="shared" si="1719"/>
        <v>0.2427499999999885</v>
      </c>
      <c r="E1700" s="359" cm="1">
        <f t="array" ref="E1700">1000*SUM('DRE + DCF'!$L$36/M1700,'DRE + DCF'!$N$36:$V$36/N1700:V1700,F1700/V1700)/Dashboard!$F$11</f>
        <v>75.099629700024423</v>
      </c>
      <c r="F1700" s="359">
        <f t="shared" si="1717"/>
        <v>11226341.118044451</v>
      </c>
      <c r="G1700" s="359">
        <f>'DRE + DCF'!$W$31</f>
        <v>2791623.3540418856</v>
      </c>
      <c r="H1700" s="359">
        <f>'DRE + DCF'!$W$32</f>
        <v>81081.931703745853</v>
      </c>
      <c r="I1700" s="359">
        <f>-H1700*('DRE + DCF'!$V$33+K1700)/'DRE + DCF'!$V$33</f>
        <v>-90858.801614444121</v>
      </c>
      <c r="J1700" s="359">
        <f>-'DRE + DCF'!$V$56*L1700</f>
        <v>-1188924.4255577971</v>
      </c>
      <c r="K1700" s="360">
        <f>(1+L1700)/(1+Ke!$O$12)-1</f>
        <v>2.0000000000000018E-2</v>
      </c>
      <c r="L1700" s="360">
        <f>'DRE + DCF'!$Y$31</f>
        <v>7.3550000000000004E-2</v>
      </c>
      <c r="M1700" s="361">
        <f>(1+D1700)^((5-Dashboard!$F$9)*3/12)</f>
        <v>1.177030803924715</v>
      </c>
      <c r="N1700" s="361">
        <f t="shared" ref="N1700:V1700" si="1741">M1700*(1+$D1700)</f>
        <v>1.462755031577426</v>
      </c>
      <c r="O1700" s="361">
        <f t="shared" si="1741"/>
        <v>1.8178388154928293</v>
      </c>
      <c r="P1700" s="361">
        <f t="shared" si="1741"/>
        <v>2.2591191879536927</v>
      </c>
      <c r="Q1700" s="361">
        <f t="shared" si="1741"/>
        <v>2.8075203708294256</v>
      </c>
      <c r="R1700" s="361">
        <f t="shared" si="1741"/>
        <v>3.4890459408482362</v>
      </c>
      <c r="S1700" s="361">
        <f t="shared" si="1741"/>
        <v>4.3360118429891052</v>
      </c>
      <c r="T1700" s="361">
        <f t="shared" si="1741"/>
        <v>5.3885787178746609</v>
      </c>
      <c r="U1700" s="361">
        <f t="shared" si="1741"/>
        <v>6.6966562016386728</v>
      </c>
      <c r="V1700" s="362">
        <f t="shared" si="1741"/>
        <v>8.3222694945863829</v>
      </c>
      <c r="X1700" s="351"/>
    </row>
    <row r="1701" spans="3:24" ht="24.75" customHeight="1" x14ac:dyDescent="0.3">
      <c r="C1701" s="353">
        <f>ABS(E1701-Dashboard!$F$14)</f>
        <v>21.940440458638491</v>
      </c>
      <c r="D1701" s="350">
        <f t="shared" si="1719"/>
        <v>0.24284999999998849</v>
      </c>
      <c r="E1701" s="359" cm="1">
        <f t="array" ref="E1701">1000*SUM('DRE + DCF'!$L$36/M1701,'DRE + DCF'!$N$36:$V$36/N1701:V1701,F1701/V1701)/Dashboard!$F$11</f>
        <v>75.049559541361504</v>
      </c>
      <c r="F1701" s="359">
        <f t="shared" si="1717"/>
        <v>11220814.35931579</v>
      </c>
      <c r="G1701" s="359">
        <f>'DRE + DCF'!$W$31</f>
        <v>2791623.3540418856</v>
      </c>
      <c r="H1701" s="359">
        <f>'DRE + DCF'!$W$32</f>
        <v>81081.931703745853</v>
      </c>
      <c r="I1701" s="359">
        <f>-H1701*('DRE + DCF'!$V$33+K1701)/'DRE + DCF'!$V$33</f>
        <v>-90858.801614444121</v>
      </c>
      <c r="J1701" s="359">
        <f>-'DRE + DCF'!$V$56*L1701</f>
        <v>-1188924.4255577971</v>
      </c>
      <c r="K1701" s="360">
        <f>(1+L1701)/(1+Ke!$O$12)-1</f>
        <v>2.0000000000000018E-2</v>
      </c>
      <c r="L1701" s="360">
        <f>'DRE + DCF'!$Y$31</f>
        <v>7.3550000000000004E-2</v>
      </c>
      <c r="M1701" s="361">
        <f>(1+D1701)^((5-Dashboard!$F$9)*3/12)</f>
        <v>1.1771018370547903</v>
      </c>
      <c r="N1701" s="361">
        <f t="shared" ref="N1701:V1701" si="1742">M1701*(1+$D1701)</f>
        <v>1.4629610181835326</v>
      </c>
      <c r="O1701" s="361">
        <f t="shared" si="1742"/>
        <v>1.8182411014493867</v>
      </c>
      <c r="P1701" s="361">
        <f t="shared" si="1742"/>
        <v>2.2598009529363492</v>
      </c>
      <c r="Q1701" s="361">
        <f t="shared" si="1742"/>
        <v>2.8085936143569157</v>
      </c>
      <c r="R1701" s="361">
        <f t="shared" si="1742"/>
        <v>3.4906605736034604</v>
      </c>
      <c r="S1701" s="361">
        <f t="shared" si="1742"/>
        <v>4.3383674939030206</v>
      </c>
      <c r="T1701" s="361">
        <f t="shared" si="1742"/>
        <v>5.3919400397973192</v>
      </c>
      <c r="U1701" s="361">
        <f t="shared" si="1742"/>
        <v>6.701372678462036</v>
      </c>
      <c r="V1701" s="362">
        <f t="shared" si="1742"/>
        <v>8.3288010334264637</v>
      </c>
      <c r="X1701" s="351"/>
    </row>
    <row r="1702" spans="3:24" ht="24.75" customHeight="1" x14ac:dyDescent="0.3">
      <c r="C1702" s="353">
        <f>ABS(E1702-Dashboard!$F$14)</f>
        <v>21.990452392772582</v>
      </c>
      <c r="D1702" s="350">
        <f t="shared" si="1719"/>
        <v>0.24294999999998848</v>
      </c>
      <c r="E1702" s="359" cm="1">
        <f t="array" ref="E1702">1000*SUM('DRE + DCF'!$L$36/M1702,'DRE + DCF'!$N$36:$V$36/N1702:V1702,F1702/V1702)/Dashboard!$F$11</f>
        <v>74.999547607227413</v>
      </c>
      <c r="F1702" s="359">
        <f t="shared" si="1717"/>
        <v>11215293.217166759</v>
      </c>
      <c r="G1702" s="359">
        <f>'DRE + DCF'!$W$31</f>
        <v>2791623.3540418856</v>
      </c>
      <c r="H1702" s="359">
        <f>'DRE + DCF'!$W$32</f>
        <v>81081.931703745853</v>
      </c>
      <c r="I1702" s="359">
        <f>-H1702*('DRE + DCF'!$V$33+K1702)/'DRE + DCF'!$V$33</f>
        <v>-90858.801614444121</v>
      </c>
      <c r="J1702" s="359">
        <f>-'DRE + DCF'!$V$56*L1702</f>
        <v>-1188924.4255577971</v>
      </c>
      <c r="K1702" s="360">
        <f>(1+L1702)/(1+Ke!$O$12)-1</f>
        <v>2.0000000000000018E-2</v>
      </c>
      <c r="L1702" s="360">
        <f>'DRE + DCF'!$Y$31</f>
        <v>7.3550000000000004E-2</v>
      </c>
      <c r="M1702" s="361">
        <f>(1+D1702)^((5-Dashboard!$F$9)*3/12)</f>
        <v>1.1771728687560445</v>
      </c>
      <c r="N1702" s="361">
        <f t="shared" ref="N1702:V1702" si="1743">M1702*(1+$D1702)</f>
        <v>1.4631670172203119</v>
      </c>
      <c r="O1702" s="361">
        <f t="shared" si="1743"/>
        <v>1.8186434440539698</v>
      </c>
      <c r="P1702" s="361">
        <f t="shared" si="1743"/>
        <v>2.2604828687868608</v>
      </c>
      <c r="Q1702" s="361">
        <f t="shared" si="1743"/>
        <v>2.8096671817586025</v>
      </c>
      <c r="R1702" s="361">
        <f t="shared" si="1743"/>
        <v>3.4922758235668225</v>
      </c>
      <c r="S1702" s="361">
        <f t="shared" si="1743"/>
        <v>4.3407242349023418</v>
      </c>
      <c r="T1702" s="361">
        <f t="shared" si="1743"/>
        <v>5.3953031877718161</v>
      </c>
      <c r="U1702" s="361">
        <f t="shared" si="1743"/>
        <v>6.7060920972409166</v>
      </c>
      <c r="V1702" s="362">
        <f t="shared" si="1743"/>
        <v>8.3353371722655201</v>
      </c>
      <c r="X1702" s="351"/>
    </row>
    <row r="1703" spans="3:24" ht="24.75" customHeight="1" x14ac:dyDescent="0.3">
      <c r="C1703" s="353">
        <f>ABS(E1703-Dashboard!$F$14)</f>
        <v>22.04040619727607</v>
      </c>
      <c r="D1703" s="350">
        <f t="shared" si="1719"/>
        <v>0.24304999999998847</v>
      </c>
      <c r="E1703" s="359" cm="1">
        <f t="array" ref="E1703">1000*SUM('DRE + DCF'!$L$36/M1703,'DRE + DCF'!$N$36:$V$36/N1703:V1703,F1703/V1703)/Dashboard!$F$11</f>
        <v>74.949593802723925</v>
      </c>
      <c r="F1703" s="359">
        <f t="shared" si="1717"/>
        <v>11209777.682777248</v>
      </c>
      <c r="G1703" s="359">
        <f>'DRE + DCF'!$W$31</f>
        <v>2791623.3540418856</v>
      </c>
      <c r="H1703" s="359">
        <f>'DRE + DCF'!$W$32</f>
        <v>81081.931703745853</v>
      </c>
      <c r="I1703" s="359">
        <f>-H1703*('DRE + DCF'!$V$33+K1703)/'DRE + DCF'!$V$33</f>
        <v>-90858.801614444121</v>
      </c>
      <c r="J1703" s="359">
        <f>-'DRE + DCF'!$V$56*L1703</f>
        <v>-1188924.4255577971</v>
      </c>
      <c r="K1703" s="360">
        <f>(1+L1703)/(1+Ke!$O$12)-1</f>
        <v>2.0000000000000018E-2</v>
      </c>
      <c r="L1703" s="360">
        <f>'DRE + DCF'!$Y$31</f>
        <v>7.3550000000000004E-2</v>
      </c>
      <c r="M1703" s="361">
        <f>(1+D1703)^((5-Dashboard!$F$9)*3/12)</f>
        <v>1.1772438990286211</v>
      </c>
      <c r="N1703" s="361">
        <f t="shared" ref="N1703:V1703" si="1744">M1703*(1+$D1703)</f>
        <v>1.463373028687514</v>
      </c>
      <c r="O1703" s="361">
        <f t="shared" si="1744"/>
        <v>1.8190458433099974</v>
      </c>
      <c r="P1703" s="361">
        <f t="shared" si="1744"/>
        <v>2.2611649355264714</v>
      </c>
      <c r="Q1703" s="361">
        <f t="shared" si="1744"/>
        <v>2.8107410731061542</v>
      </c>
      <c r="R1703" s="361">
        <f t="shared" si="1744"/>
        <v>3.4938916909245723</v>
      </c>
      <c r="S1703" s="361">
        <f t="shared" si="1744"/>
        <v>4.3430820664037491</v>
      </c>
      <c r="T1703" s="361">
        <f t="shared" si="1744"/>
        <v>5.3986681626431299</v>
      </c>
      <c r="U1703" s="361">
        <f t="shared" si="1744"/>
        <v>6.7108144595734798</v>
      </c>
      <c r="V1703" s="362">
        <f t="shared" si="1744"/>
        <v>8.3418779139727359</v>
      </c>
      <c r="X1703" s="351"/>
    </row>
    <row r="1704" spans="3:24" ht="24.75" customHeight="1" x14ac:dyDescent="0.3">
      <c r="C1704" s="353">
        <f>ABS(E1704-Dashboard!$F$14)</f>
        <v>22.090301966845388</v>
      </c>
      <c r="D1704" s="350">
        <f t="shared" si="1719"/>
        <v>0.24314999999998846</v>
      </c>
      <c r="E1704" s="359" cm="1">
        <f t="array" ref="E1704">1000*SUM('DRE + DCF'!$L$36/M1704,'DRE + DCF'!$N$36:$V$36/N1704:V1704,F1704/V1704)/Dashboard!$F$11</f>
        <v>74.899698033154607</v>
      </c>
      <c r="F1704" s="359">
        <f t="shared" si="1717"/>
        <v>11204267.747346099</v>
      </c>
      <c r="G1704" s="359">
        <f>'DRE + DCF'!$W$31</f>
        <v>2791623.3540418856</v>
      </c>
      <c r="H1704" s="359">
        <f>'DRE + DCF'!$W$32</f>
        <v>81081.931703745853</v>
      </c>
      <c r="I1704" s="359">
        <f>-H1704*('DRE + DCF'!$V$33+K1704)/'DRE + DCF'!$V$33</f>
        <v>-90858.801614444121</v>
      </c>
      <c r="J1704" s="359">
        <f>-'DRE + DCF'!$V$56*L1704</f>
        <v>-1188924.4255577971</v>
      </c>
      <c r="K1704" s="360">
        <f>(1+L1704)/(1+Ke!$O$12)-1</f>
        <v>2.0000000000000018E-2</v>
      </c>
      <c r="L1704" s="360">
        <f>'DRE + DCF'!$Y$31</f>
        <v>7.3550000000000004E-2</v>
      </c>
      <c r="M1704" s="361">
        <f>(1+D1704)^((5-Dashboard!$F$9)*3/12)</f>
        <v>1.177314927872664</v>
      </c>
      <c r="N1704" s="361">
        <f t="shared" ref="N1704:V1704" si="1745">M1704*(1+$D1704)</f>
        <v>1.4635790525848886</v>
      </c>
      <c r="O1704" s="361">
        <f t="shared" si="1745"/>
        <v>1.8194482992208874</v>
      </c>
      <c r="P1704" s="361">
        <f t="shared" si="1745"/>
        <v>2.2618471531764253</v>
      </c>
      <c r="Q1704" s="361">
        <f t="shared" si="1745"/>
        <v>2.8118152884712471</v>
      </c>
      <c r="R1704" s="361">
        <f t="shared" si="1745"/>
        <v>3.4955081758629984</v>
      </c>
      <c r="S1704" s="361">
        <f t="shared" si="1745"/>
        <v>4.3454409888240457</v>
      </c>
      <c r="T1704" s="361">
        <f t="shared" si="1745"/>
        <v>5.4020349652565622</v>
      </c>
      <c r="U1704" s="361">
        <f t="shared" si="1745"/>
        <v>6.7155397670586332</v>
      </c>
      <c r="V1704" s="362">
        <f t="shared" si="1745"/>
        <v>8.348423261418862</v>
      </c>
      <c r="X1704" s="351"/>
    </row>
    <row r="1705" spans="3:24" ht="24.75" customHeight="1" x14ac:dyDescent="0.3">
      <c r="C1705" s="353">
        <f>ABS(E1705-Dashboard!$F$14)</f>
        <v>22.140139795975713</v>
      </c>
      <c r="D1705" s="350">
        <f t="shared" si="1719"/>
        <v>0.24324999999998845</v>
      </c>
      <c r="E1705" s="359" cm="1">
        <f t="array" ref="E1705">1000*SUM('DRE + DCF'!$L$36/M1705,'DRE + DCF'!$N$36:$V$36/N1705:V1705,F1705/V1705)/Dashboard!$F$11</f>
        <v>74.849860204024282</v>
      </c>
      <c r="F1705" s="359">
        <f t="shared" si="1717"/>
        <v>11198763.402091075</v>
      </c>
      <c r="G1705" s="359">
        <f>'DRE + DCF'!$W$31</f>
        <v>2791623.3540418856</v>
      </c>
      <c r="H1705" s="359">
        <f>'DRE + DCF'!$W$32</f>
        <v>81081.931703745853</v>
      </c>
      <c r="I1705" s="359">
        <f>-H1705*('DRE + DCF'!$V$33+K1705)/'DRE + DCF'!$V$33</f>
        <v>-90858.801614444121</v>
      </c>
      <c r="J1705" s="359">
        <f>-'DRE + DCF'!$V$56*L1705</f>
        <v>-1188924.4255577971</v>
      </c>
      <c r="K1705" s="360">
        <f>(1+L1705)/(1+Ke!$O$12)-1</f>
        <v>2.0000000000000018E-2</v>
      </c>
      <c r="L1705" s="360">
        <f>'DRE + DCF'!$Y$31</f>
        <v>7.3550000000000004E-2</v>
      </c>
      <c r="M1705" s="361">
        <f>(1+D1705)^((5-Dashboard!$F$9)*3/12)</f>
        <v>1.1773859552883166</v>
      </c>
      <c r="N1705" s="361">
        <f t="shared" ref="N1705:V1705" si="1746">M1705*(1+$D1705)</f>
        <v>1.4637850889121859</v>
      </c>
      <c r="O1705" s="361">
        <f t="shared" si="1746"/>
        <v>1.8198508117900583</v>
      </c>
      <c r="P1705" s="361">
        <f t="shared" si="1746"/>
        <v>2.2625295217579691</v>
      </c>
      <c r="Q1705" s="361">
        <f t="shared" si="1746"/>
        <v>2.8128898279255687</v>
      </c>
      <c r="R1705" s="361">
        <f t="shared" si="1746"/>
        <v>3.4971252785684306</v>
      </c>
      <c r="S1705" s="361">
        <f t="shared" si="1746"/>
        <v>4.3478010025801606</v>
      </c>
      <c r="T1705" s="361">
        <f t="shared" si="1746"/>
        <v>5.4054035964577345</v>
      </c>
      <c r="U1705" s="361">
        <f t="shared" si="1746"/>
        <v>6.7202680212960155</v>
      </c>
      <c r="V1705" s="362">
        <f t="shared" si="1746"/>
        <v>8.3549732174761928</v>
      </c>
      <c r="X1705" s="351"/>
    </row>
    <row r="1706" spans="3:24" ht="24.75" customHeight="1" x14ac:dyDescent="0.3">
      <c r="C1706" s="353">
        <f>ABS(E1706-Dashboard!$F$14)</f>
        <v>22.189919778961723</v>
      </c>
      <c r="D1706" s="350">
        <f t="shared" si="1719"/>
        <v>0.24334999999998844</v>
      </c>
      <c r="E1706" s="359" cm="1">
        <f t="array" ref="E1706">1000*SUM('DRE + DCF'!$L$36/M1706,'DRE + DCF'!$N$36:$V$36/N1706:V1706,F1706/V1706)/Dashboard!$F$11</f>
        <v>74.800080221038272</v>
      </c>
      <c r="F1706" s="359">
        <f t="shared" si="1717"/>
        <v>11193264.638248777</v>
      </c>
      <c r="G1706" s="359">
        <f>'DRE + DCF'!$W$31</f>
        <v>2791623.3540418856</v>
      </c>
      <c r="H1706" s="359">
        <f>'DRE + DCF'!$W$32</f>
        <v>81081.931703745853</v>
      </c>
      <c r="I1706" s="359">
        <f>-H1706*('DRE + DCF'!$V$33+K1706)/'DRE + DCF'!$V$33</f>
        <v>-90858.801614444121</v>
      </c>
      <c r="J1706" s="359">
        <f>-'DRE + DCF'!$V$56*L1706</f>
        <v>-1188924.4255577971</v>
      </c>
      <c r="K1706" s="360">
        <f>(1+L1706)/(1+Ke!$O$12)-1</f>
        <v>2.0000000000000018E-2</v>
      </c>
      <c r="L1706" s="360">
        <f>'DRE + DCF'!$Y$31</f>
        <v>7.3550000000000004E-2</v>
      </c>
      <c r="M1706" s="361">
        <f>(1+D1706)^((5-Dashboard!$F$9)*3/12)</f>
        <v>1.1774569812757225</v>
      </c>
      <c r="N1706" s="361">
        <f t="shared" ref="N1706:V1706" si="1747">M1706*(1+$D1706)</f>
        <v>1.4639911376691559</v>
      </c>
      <c r="O1706" s="361">
        <f t="shared" si="1747"/>
        <v>1.820253381020928</v>
      </c>
      <c r="P1706" s="361">
        <f t="shared" si="1747"/>
        <v>2.2632120412923498</v>
      </c>
      <c r="Q1706" s="361">
        <f t="shared" si="1747"/>
        <v>2.813964691540817</v>
      </c>
      <c r="R1706" s="361">
        <f t="shared" si="1747"/>
        <v>3.4987429992272423</v>
      </c>
      <c r="S1706" s="361">
        <f t="shared" si="1747"/>
        <v>4.350162108089151</v>
      </c>
      <c r="T1706" s="361">
        <f t="shared" si="1747"/>
        <v>5.4087740570925957</v>
      </c>
      <c r="U1706" s="361">
        <f t="shared" si="1747"/>
        <v>6.7249992238860159</v>
      </c>
      <c r="V1706" s="362">
        <f t="shared" si="1747"/>
        <v>8.3615277850186001</v>
      </c>
      <c r="X1706" s="351"/>
    </row>
    <row r="1707" spans="3:24" ht="24.75" customHeight="1" x14ac:dyDescent="0.3">
      <c r="C1707" s="353">
        <f>ABS(E1707-Dashboard!$F$14)</f>
        <v>22.239642009897906</v>
      </c>
      <c r="D1707" s="350">
        <f t="shared" si="1719"/>
        <v>0.24344999999998843</v>
      </c>
      <c r="E1707" s="359" cm="1">
        <f t="array" ref="E1707">1000*SUM('DRE + DCF'!$L$36/M1707,'DRE + DCF'!$N$36:$V$36/N1707:V1707,F1707/V1707)/Dashboard!$F$11</f>
        <v>74.750357990102088</v>
      </c>
      <c r="F1707" s="359">
        <f t="shared" si="1717"/>
        <v>11187771.447074626</v>
      </c>
      <c r="G1707" s="359">
        <f>'DRE + DCF'!$W$31</f>
        <v>2791623.3540418856</v>
      </c>
      <c r="H1707" s="359">
        <f>'DRE + DCF'!$W$32</f>
        <v>81081.931703745853</v>
      </c>
      <c r="I1707" s="359">
        <f>-H1707*('DRE + DCF'!$V$33+K1707)/'DRE + DCF'!$V$33</f>
        <v>-90858.801614444121</v>
      </c>
      <c r="J1707" s="359">
        <f>-'DRE + DCF'!$V$56*L1707</f>
        <v>-1188924.4255577971</v>
      </c>
      <c r="K1707" s="360">
        <f>(1+L1707)/(1+Ke!$O$12)-1</f>
        <v>2.0000000000000018E-2</v>
      </c>
      <c r="L1707" s="360">
        <f>'DRE + DCF'!$Y$31</f>
        <v>7.3550000000000004E-2</v>
      </c>
      <c r="M1707" s="361">
        <f>(1+D1707)^((5-Dashboard!$F$9)*3/12)</f>
        <v>1.1775280058350257</v>
      </c>
      <c r="N1707" s="361">
        <f t="shared" ref="N1707:V1707" si="1748">M1707*(1+$D1707)</f>
        <v>1.4641971988555491</v>
      </c>
      <c r="O1707" s="361">
        <f t="shared" si="1748"/>
        <v>1.8206560069169155</v>
      </c>
      <c r="P1707" s="361">
        <f t="shared" si="1748"/>
        <v>2.2638947118008175</v>
      </c>
      <c r="Q1707" s="361">
        <f t="shared" si="1748"/>
        <v>2.8150398793887002</v>
      </c>
      <c r="R1707" s="361">
        <f t="shared" si="1748"/>
        <v>3.5003613380258467</v>
      </c>
      <c r="S1707" s="361">
        <f t="shared" si="1748"/>
        <v>4.3525243057681982</v>
      </c>
      <c r="T1707" s="361">
        <f t="shared" si="1748"/>
        <v>5.4121463480074157</v>
      </c>
      <c r="U1707" s="361">
        <f t="shared" si="1748"/>
        <v>6.729733376429758</v>
      </c>
      <c r="V1707" s="362">
        <f t="shared" si="1748"/>
        <v>8.3680869669215046</v>
      </c>
      <c r="X1707" s="351"/>
    </row>
    <row r="1708" spans="3:24" ht="24.75" customHeight="1" x14ac:dyDescent="0.3">
      <c r="C1708" s="353">
        <f>ABS(E1708-Dashboard!$F$14)</f>
        <v>22.289306582679131</v>
      </c>
      <c r="D1708" s="350">
        <f t="shared" si="1719"/>
        <v>0.24354999999998841</v>
      </c>
      <c r="E1708" s="359" cm="1">
        <f t="array" ref="E1708">1000*SUM('DRE + DCF'!$L$36/M1708,'DRE + DCF'!$N$36:$V$36/N1708:V1708,F1708/V1708)/Dashboard!$F$11</f>
        <v>74.700693417320863</v>
      </c>
      <c r="F1708" s="359">
        <f t="shared" si="1717"/>
        <v>11182283.819842782</v>
      </c>
      <c r="G1708" s="359">
        <f>'DRE + DCF'!$W$31</f>
        <v>2791623.3540418856</v>
      </c>
      <c r="H1708" s="359">
        <f>'DRE + DCF'!$W$32</f>
        <v>81081.931703745853</v>
      </c>
      <c r="I1708" s="359">
        <f>-H1708*('DRE + DCF'!$V$33+K1708)/'DRE + DCF'!$V$33</f>
        <v>-90858.801614444121</v>
      </c>
      <c r="J1708" s="359">
        <f>-'DRE + DCF'!$V$56*L1708</f>
        <v>-1188924.4255577971</v>
      </c>
      <c r="K1708" s="360">
        <f>(1+L1708)/(1+Ke!$O$12)-1</f>
        <v>2.0000000000000018E-2</v>
      </c>
      <c r="L1708" s="360">
        <f>'DRE + DCF'!$Y$31</f>
        <v>7.3550000000000004E-2</v>
      </c>
      <c r="M1708" s="361">
        <f>(1+D1708)^((5-Dashboard!$F$9)*3/12)</f>
        <v>1.1775990289663694</v>
      </c>
      <c r="N1708" s="361">
        <f t="shared" ref="N1708:V1708" si="1749">M1708*(1+$D1708)</f>
        <v>1.4644032724711149</v>
      </c>
      <c r="O1708" s="361">
        <f t="shared" si="1749"/>
        <v>1.821058689481438</v>
      </c>
      <c r="P1708" s="361">
        <f t="shared" si="1749"/>
        <v>2.264577533304621</v>
      </c>
      <c r="Q1708" s="361">
        <f t="shared" si="1749"/>
        <v>2.8161153915409352</v>
      </c>
      <c r="R1708" s="361">
        <f t="shared" si="1749"/>
        <v>3.5019802951506973</v>
      </c>
      <c r="S1708" s="361">
        <f t="shared" si="1749"/>
        <v>4.354887596034609</v>
      </c>
      <c r="T1708" s="361">
        <f t="shared" si="1749"/>
        <v>5.4155204700487873</v>
      </c>
      <c r="U1708" s="361">
        <f t="shared" si="1749"/>
        <v>6.7344704805291062</v>
      </c>
      <c r="V1708" s="362">
        <f t="shared" si="1749"/>
        <v>8.3746507660618921</v>
      </c>
      <c r="X1708" s="351"/>
    </row>
    <row r="1709" spans="3:24" ht="24.75" customHeight="1" x14ac:dyDescent="0.3">
      <c r="C1709" s="353">
        <f>ABS(E1709-Dashboard!$F$14)</f>
        <v>22.338913591001244</v>
      </c>
      <c r="D1709" s="350">
        <f t="shared" si="1719"/>
        <v>0.2436499999999884</v>
      </c>
      <c r="E1709" s="359" cm="1">
        <f t="array" ref="E1709">1000*SUM('DRE + DCF'!$L$36/M1709,'DRE + DCF'!$N$36:$V$36/N1709:V1709,F1709/V1709)/Dashboard!$F$11</f>
        <v>74.651086408998751</v>
      </c>
      <c r="F1709" s="359">
        <f t="shared" si="1717"/>
        <v>11176801.747846115</v>
      </c>
      <c r="G1709" s="359">
        <f>'DRE + DCF'!$W$31</f>
        <v>2791623.3540418856</v>
      </c>
      <c r="H1709" s="359">
        <f>'DRE + DCF'!$W$32</f>
        <v>81081.931703745853</v>
      </c>
      <c r="I1709" s="359">
        <f>-H1709*('DRE + DCF'!$V$33+K1709)/'DRE + DCF'!$V$33</f>
        <v>-90858.801614444121</v>
      </c>
      <c r="J1709" s="359">
        <f>-'DRE + DCF'!$V$56*L1709</f>
        <v>-1188924.4255577971</v>
      </c>
      <c r="K1709" s="360">
        <f>(1+L1709)/(1+Ke!$O$12)-1</f>
        <v>2.0000000000000018E-2</v>
      </c>
      <c r="L1709" s="360">
        <f>'DRE + DCF'!$Y$31</f>
        <v>7.3550000000000004E-2</v>
      </c>
      <c r="M1709" s="361">
        <f>(1+D1709)^((5-Dashboard!$F$9)*3/12)</f>
        <v>1.1776700506698972</v>
      </c>
      <c r="N1709" s="361">
        <f t="shared" ref="N1709:V1709" si="1750">M1709*(1+$D1709)</f>
        <v>1.4646093585156039</v>
      </c>
      <c r="O1709" s="361">
        <f t="shared" si="1750"/>
        <v>1.8214614287179138</v>
      </c>
      <c r="P1709" s="361">
        <f t="shared" si="1750"/>
        <v>2.2652605058250121</v>
      </c>
      <c r="Q1709" s="361">
        <f t="shared" si="1750"/>
        <v>2.8171912280692499</v>
      </c>
      <c r="R1709" s="361">
        <f t="shared" si="1750"/>
        <v>3.5035998707882898</v>
      </c>
      <c r="S1709" s="361">
        <f t="shared" si="1750"/>
        <v>4.3572519793058158</v>
      </c>
      <c r="T1709" s="361">
        <f t="shared" si="1750"/>
        <v>5.418896424063627</v>
      </c>
      <c r="U1709" s="361">
        <f t="shared" si="1750"/>
        <v>6.7392105377866667</v>
      </c>
      <c r="V1709" s="362">
        <f t="shared" si="1750"/>
        <v>8.3812191853183098</v>
      </c>
      <c r="X1709" s="351"/>
    </row>
    <row r="1710" spans="3:24" ht="24.75" customHeight="1" x14ac:dyDescent="0.3">
      <c r="C1710" s="353">
        <f>ABS(E1710-Dashboard!$F$14)</f>
        <v>22.388463128361551</v>
      </c>
      <c r="D1710" s="350">
        <f t="shared" si="1719"/>
        <v>0.24374999999998839</v>
      </c>
      <c r="E1710" s="359" cm="1">
        <f t="array" ref="E1710">1000*SUM('DRE + DCF'!$L$36/M1710,'DRE + DCF'!$N$36:$V$36/N1710:V1710,F1710/V1710)/Dashboard!$F$11</f>
        <v>74.601536871638444</v>
      </c>
      <c r="F1710" s="359">
        <f t="shared" si="1717"/>
        <v>11171325.222396143</v>
      </c>
      <c r="G1710" s="359">
        <f>'DRE + DCF'!$W$31</f>
        <v>2791623.3540418856</v>
      </c>
      <c r="H1710" s="359">
        <f>'DRE + DCF'!$W$32</f>
        <v>81081.931703745853</v>
      </c>
      <c r="I1710" s="359">
        <f>-H1710*('DRE + DCF'!$V$33+K1710)/'DRE + DCF'!$V$33</f>
        <v>-90858.801614444121</v>
      </c>
      <c r="J1710" s="359">
        <f>-'DRE + DCF'!$V$56*L1710</f>
        <v>-1188924.4255577971</v>
      </c>
      <c r="K1710" s="360">
        <f>(1+L1710)/(1+Ke!$O$12)-1</f>
        <v>2.0000000000000018E-2</v>
      </c>
      <c r="L1710" s="360">
        <f>'DRE + DCF'!$Y$31</f>
        <v>7.3550000000000004E-2</v>
      </c>
      <c r="M1710" s="361">
        <f>(1+D1710)^((5-Dashboard!$F$9)*3/12)</f>
        <v>1.1777410709457525</v>
      </c>
      <c r="N1710" s="361">
        <f t="shared" ref="N1710:V1710" si="1751">M1710*(1+$D1710)</f>
        <v>1.4648154569887659</v>
      </c>
      <c r="O1710" s="361">
        <f t="shared" si="1751"/>
        <v>1.8218642246297605</v>
      </c>
      <c r="P1710" s="361">
        <f t="shared" si="1751"/>
        <v>2.2659436293832433</v>
      </c>
      <c r="Q1710" s="361">
        <f t="shared" si="1751"/>
        <v>2.8182673890453827</v>
      </c>
      <c r="R1710" s="361">
        <f t="shared" si="1751"/>
        <v>3.5052200651251617</v>
      </c>
      <c r="S1710" s="361">
        <f t="shared" si="1751"/>
        <v>4.3596174559993788</v>
      </c>
      <c r="T1710" s="361">
        <f t="shared" si="1751"/>
        <v>5.422274210899177</v>
      </c>
      <c r="U1710" s="361">
        <f t="shared" si="1751"/>
        <v>6.7439535498057888</v>
      </c>
      <c r="V1710" s="362">
        <f t="shared" si="1751"/>
        <v>8.3877922275708716</v>
      </c>
      <c r="X1710" s="351"/>
    </row>
    <row r="1711" spans="3:24" ht="24.75" customHeight="1" x14ac:dyDescent="0.3">
      <c r="C1711" s="353">
        <f>ABS(E1711-Dashboard!$F$14)</f>
        <v>22.437955288059371</v>
      </c>
      <c r="D1711" s="350">
        <f t="shared" si="1719"/>
        <v>0.24384999999998838</v>
      </c>
      <c r="E1711" s="359" cm="1">
        <f t="array" ref="E1711">1000*SUM('DRE + DCF'!$L$36/M1711,'DRE + DCF'!$N$36:$V$36/N1711:V1711,F1711/V1711)/Dashboard!$F$11</f>
        <v>74.552044711940624</v>
      </c>
      <c r="F1711" s="359">
        <f t="shared" si="1717"/>
        <v>11165854.234822977</v>
      </c>
      <c r="G1711" s="359">
        <f>'DRE + DCF'!$W$31</f>
        <v>2791623.3540418856</v>
      </c>
      <c r="H1711" s="359">
        <f>'DRE + DCF'!$W$32</f>
        <v>81081.931703745853</v>
      </c>
      <c r="I1711" s="359">
        <f>-H1711*('DRE + DCF'!$V$33+K1711)/'DRE + DCF'!$V$33</f>
        <v>-90858.801614444121</v>
      </c>
      <c r="J1711" s="359">
        <f>-'DRE + DCF'!$V$56*L1711</f>
        <v>-1188924.4255577971</v>
      </c>
      <c r="K1711" s="360">
        <f>(1+L1711)/(1+Ke!$O$12)-1</f>
        <v>2.0000000000000018E-2</v>
      </c>
      <c r="L1711" s="360">
        <f>'DRE + DCF'!$Y$31</f>
        <v>7.3550000000000004E-2</v>
      </c>
      <c r="M1711" s="361">
        <f>(1+D1711)^((5-Dashboard!$F$9)*3/12)</f>
        <v>1.1778120897940791</v>
      </c>
      <c r="N1711" s="361">
        <f t="shared" ref="N1711:V1711" si="1752">M1711*(1+$D1711)</f>
        <v>1.4650215678903515</v>
      </c>
      <c r="O1711" s="361">
        <f t="shared" si="1752"/>
        <v>1.8222670772203966</v>
      </c>
      <c r="P1711" s="361">
        <f t="shared" si="1752"/>
        <v>2.2666269040005691</v>
      </c>
      <c r="Q1711" s="361">
        <f t="shared" si="1752"/>
        <v>2.8193438745410813</v>
      </c>
      <c r="R1711" s="361">
        <f t="shared" si="1752"/>
        <v>3.5068408783478913</v>
      </c>
      <c r="S1711" s="361">
        <f t="shared" si="1752"/>
        <v>4.3619840265329834</v>
      </c>
      <c r="T1711" s="361">
        <f t="shared" si="1752"/>
        <v>5.4256538314030003</v>
      </c>
      <c r="U1711" s="361">
        <f t="shared" si="1752"/>
        <v>6.7486995181905591</v>
      </c>
      <c r="V1711" s="362">
        <f t="shared" si="1752"/>
        <v>8.3943698957012476</v>
      </c>
      <c r="X1711" s="351"/>
    </row>
    <row r="1712" spans="3:24" ht="24.75" customHeight="1" x14ac:dyDescent="0.3">
      <c r="C1712" s="353">
        <f>ABS(E1712-Dashboard!$F$14)</f>
        <v>22.487390163196579</v>
      </c>
      <c r="D1712" s="350">
        <f t="shared" si="1719"/>
        <v>0.24394999999998837</v>
      </c>
      <c r="E1712" s="359" cm="1">
        <f t="array" ref="E1712">1000*SUM('DRE + DCF'!$L$36/M1712,'DRE + DCF'!$N$36:$V$36/N1712:V1712,F1712/V1712)/Dashboard!$F$11</f>
        <v>74.502609836803416</v>
      </c>
      <c r="F1712" s="359">
        <f t="shared" si="1717"/>
        <v>11160388.776475288</v>
      </c>
      <c r="G1712" s="359">
        <f>'DRE + DCF'!$W$31</f>
        <v>2791623.3540418856</v>
      </c>
      <c r="H1712" s="359">
        <f>'DRE + DCF'!$W$32</f>
        <v>81081.931703745853</v>
      </c>
      <c r="I1712" s="359">
        <f>-H1712*('DRE + DCF'!$V$33+K1712)/'DRE + DCF'!$V$33</f>
        <v>-90858.801614444121</v>
      </c>
      <c r="J1712" s="359">
        <f>-'DRE + DCF'!$V$56*L1712</f>
        <v>-1188924.4255577971</v>
      </c>
      <c r="K1712" s="360">
        <f>(1+L1712)/(1+Ke!$O$12)-1</f>
        <v>2.0000000000000018E-2</v>
      </c>
      <c r="L1712" s="360">
        <f>'DRE + DCF'!$Y$31</f>
        <v>7.3550000000000004E-2</v>
      </c>
      <c r="M1712" s="361">
        <f>(1+D1712)^((5-Dashboard!$F$9)*3/12)</f>
        <v>1.1778831072150202</v>
      </c>
      <c r="N1712" s="361">
        <f t="shared" ref="N1712:V1712" si="1753">M1712*(1+$D1712)</f>
        <v>1.4652276912201108</v>
      </c>
      <c r="O1712" s="361">
        <f t="shared" si="1753"/>
        <v>1.8226699864932396</v>
      </c>
      <c r="P1712" s="361">
        <f t="shared" si="1753"/>
        <v>2.267310329698244</v>
      </c>
      <c r="Q1712" s="361">
        <f t="shared" si="1753"/>
        <v>2.8204206846281044</v>
      </c>
      <c r="R1712" s="361">
        <f t="shared" si="1753"/>
        <v>3.5084623106430977</v>
      </c>
      <c r="S1712" s="361">
        <f t="shared" si="1753"/>
        <v>4.3643516913244405</v>
      </c>
      <c r="T1712" s="361">
        <f t="shared" si="1753"/>
        <v>5.4290352864229865</v>
      </c>
      <c r="U1712" s="361">
        <f t="shared" si="1753"/>
        <v>6.7534484445458105</v>
      </c>
      <c r="V1712" s="362">
        <f t="shared" si="1753"/>
        <v>8.4009521925926816</v>
      </c>
      <c r="X1712" s="351"/>
    </row>
    <row r="1713" spans="3:24" ht="24.75" customHeight="1" x14ac:dyDescent="0.3">
      <c r="C1713" s="353">
        <f>ABS(E1713-Dashboard!$F$14)</f>
        <v>22.536767846678032</v>
      </c>
      <c r="D1713" s="350">
        <f t="shared" si="1719"/>
        <v>0.24404999999998836</v>
      </c>
      <c r="E1713" s="359" cm="1">
        <f t="array" ref="E1713">1000*SUM('DRE + DCF'!$L$36/M1713,'DRE + DCF'!$N$36:$V$36/N1713:V1713,F1713/V1713)/Dashboard!$F$11</f>
        <v>74.453232153321963</v>
      </c>
      <c r="F1713" s="359">
        <f t="shared" si="1717"/>
        <v>11154928.838720229</v>
      </c>
      <c r="G1713" s="359">
        <f>'DRE + DCF'!$W$31</f>
        <v>2791623.3540418856</v>
      </c>
      <c r="H1713" s="359">
        <f>'DRE + DCF'!$W$32</f>
        <v>81081.931703745853</v>
      </c>
      <c r="I1713" s="359">
        <f>-H1713*('DRE + DCF'!$V$33+K1713)/'DRE + DCF'!$V$33</f>
        <v>-90858.801614444121</v>
      </c>
      <c r="J1713" s="359">
        <f>-'DRE + DCF'!$V$56*L1713</f>
        <v>-1188924.4255577971</v>
      </c>
      <c r="K1713" s="360">
        <f>(1+L1713)/(1+Ke!$O$12)-1</f>
        <v>2.0000000000000018E-2</v>
      </c>
      <c r="L1713" s="360">
        <f>'DRE + DCF'!$Y$31</f>
        <v>7.3550000000000004E-2</v>
      </c>
      <c r="M1713" s="361">
        <f>(1+D1713)^((5-Dashboard!$F$9)*3/12)</f>
        <v>1.1779541232087194</v>
      </c>
      <c r="N1713" s="361">
        <f t="shared" ref="N1713:V1713" si="1754">M1713*(1+$D1713)</f>
        <v>1.4654338269777936</v>
      </c>
      <c r="O1713" s="361">
        <f t="shared" si="1754"/>
        <v>1.8230729524517071</v>
      </c>
      <c r="P1713" s="361">
        <f t="shared" si="1754"/>
        <v>2.2679939064975247</v>
      </c>
      <c r="Q1713" s="361">
        <f t="shared" si="1754"/>
        <v>2.8214978193782194</v>
      </c>
      <c r="R1713" s="361">
        <f t="shared" si="1754"/>
        <v>3.5100843621974409</v>
      </c>
      <c r="S1713" s="361">
        <f t="shared" si="1754"/>
        <v>4.3667204507916857</v>
      </c>
      <c r="T1713" s="361">
        <f t="shared" si="1754"/>
        <v>5.4324185768073461</v>
      </c>
      <c r="U1713" s="361">
        <f t="shared" si="1754"/>
        <v>6.7582003304771154</v>
      </c>
      <c r="V1713" s="362">
        <f t="shared" si="1754"/>
        <v>8.407539121129977</v>
      </c>
      <c r="X1713" s="351"/>
    </row>
    <row r="1714" spans="3:24" ht="24.75" customHeight="1" x14ac:dyDescent="0.3">
      <c r="C1714" s="353">
        <f>ABS(E1714-Dashboard!$F$14)</f>
        <v>22.58608843121219</v>
      </c>
      <c r="D1714" s="350">
        <f t="shared" si="1719"/>
        <v>0.24414999999998835</v>
      </c>
      <c r="E1714" s="359" cm="1">
        <f t="array" ref="E1714">1000*SUM('DRE + DCF'!$L$36/M1714,'DRE + DCF'!$N$36:$V$36/N1714:V1714,F1714/V1714)/Dashboard!$F$11</f>
        <v>74.403911568787805</v>
      </c>
      <c r="F1714" s="359">
        <f t="shared" si="1717"/>
        <v>11149474.412943408</v>
      </c>
      <c r="G1714" s="359">
        <f>'DRE + DCF'!$W$31</f>
        <v>2791623.3540418856</v>
      </c>
      <c r="H1714" s="359">
        <f>'DRE + DCF'!$W$32</f>
        <v>81081.931703745853</v>
      </c>
      <c r="I1714" s="359">
        <f>-H1714*('DRE + DCF'!$V$33+K1714)/'DRE + DCF'!$V$33</f>
        <v>-90858.801614444121</v>
      </c>
      <c r="J1714" s="359">
        <f>-'DRE + DCF'!$V$56*L1714</f>
        <v>-1188924.4255577971</v>
      </c>
      <c r="K1714" s="360">
        <f>(1+L1714)/(1+Ke!$O$12)-1</f>
        <v>2.0000000000000018E-2</v>
      </c>
      <c r="L1714" s="360">
        <f>'DRE + DCF'!$Y$31</f>
        <v>7.3550000000000004E-2</v>
      </c>
      <c r="M1714" s="361">
        <f>(1+D1714)^((5-Dashboard!$F$9)*3/12)</f>
        <v>1.1780251377753199</v>
      </c>
      <c r="N1714" s="361">
        <f t="shared" ref="N1714:V1714" si="1755">M1714*(1+$D1714)</f>
        <v>1.4656399751631506</v>
      </c>
      <c r="O1714" s="361">
        <f t="shared" si="1755"/>
        <v>1.8234759750992167</v>
      </c>
      <c r="P1714" s="361">
        <f t="shared" si="1755"/>
        <v>2.2686776344196691</v>
      </c>
      <c r="Q1714" s="361">
        <f t="shared" si="1755"/>
        <v>2.8225752788632046</v>
      </c>
      <c r="R1714" s="361">
        <f t="shared" si="1755"/>
        <v>3.5117070331976232</v>
      </c>
      <c r="S1714" s="361">
        <f t="shared" si="1755"/>
        <v>4.3690903053527821</v>
      </c>
      <c r="T1714" s="361">
        <f t="shared" si="1755"/>
        <v>5.4358037034046127</v>
      </c>
      <c r="U1714" s="361">
        <f t="shared" si="1755"/>
        <v>6.7629551775907855</v>
      </c>
      <c r="V1714" s="362">
        <f t="shared" si="1755"/>
        <v>8.4141306841994972</v>
      </c>
      <c r="X1714" s="351"/>
    </row>
    <row r="1715" spans="3:24" ht="24.75" customHeight="1" x14ac:dyDescent="0.3">
      <c r="C1715" s="353">
        <f>ABS(E1715-Dashboard!$F$14)</f>
        <v>22.635352009311617</v>
      </c>
      <c r="D1715" s="350">
        <f t="shared" si="1719"/>
        <v>0.24424999999998834</v>
      </c>
      <c r="E1715" s="359" cm="1">
        <f t="array" ref="E1715">1000*SUM('DRE + DCF'!$L$36/M1715,'DRE + DCF'!$N$36:$V$36/N1715:V1715,F1715/V1715)/Dashboard!$F$11</f>
        <v>74.354647990688377</v>
      </c>
      <c r="F1715" s="359">
        <f t="shared" si="1717"/>
        <v>11144025.49054883</v>
      </c>
      <c r="G1715" s="359">
        <f>'DRE + DCF'!$W$31</f>
        <v>2791623.3540418856</v>
      </c>
      <c r="H1715" s="359">
        <f>'DRE + DCF'!$W$32</f>
        <v>81081.931703745853</v>
      </c>
      <c r="I1715" s="359">
        <f>-H1715*('DRE + DCF'!$V$33+K1715)/'DRE + DCF'!$V$33</f>
        <v>-90858.801614444121</v>
      </c>
      <c r="J1715" s="359">
        <f>-'DRE + DCF'!$V$56*L1715</f>
        <v>-1188924.4255577971</v>
      </c>
      <c r="K1715" s="360">
        <f>(1+L1715)/(1+Ke!$O$12)-1</f>
        <v>2.0000000000000018E-2</v>
      </c>
      <c r="L1715" s="360">
        <f>'DRE + DCF'!$Y$31</f>
        <v>7.3550000000000004E-2</v>
      </c>
      <c r="M1715" s="361">
        <f>(1+D1715)^((5-Dashboard!$F$9)*3/12)</f>
        <v>1.1780961509149652</v>
      </c>
      <c r="N1715" s="361">
        <f t="shared" ref="N1715:V1715" si="1756">M1715*(1+$D1715)</f>
        <v>1.4658461357759318</v>
      </c>
      <c r="O1715" s="361">
        <f t="shared" si="1756"/>
        <v>1.8238790544391861</v>
      </c>
      <c r="P1715" s="361">
        <f t="shared" si="1756"/>
        <v>2.269361513485936</v>
      </c>
      <c r="Q1715" s="361">
        <f t="shared" si="1756"/>
        <v>2.8236530631548491</v>
      </c>
      <c r="R1715" s="361">
        <f t="shared" si="1756"/>
        <v>3.5133303238303881</v>
      </c>
      <c r="S1715" s="361">
        <f t="shared" si="1756"/>
        <v>4.3714612554259196</v>
      </c>
      <c r="T1715" s="361">
        <f t="shared" si="1756"/>
        <v>5.4391906670636496</v>
      </c>
      <c r="U1715" s="361">
        <f t="shared" si="1756"/>
        <v>6.7677129874938826</v>
      </c>
      <c r="V1715" s="362">
        <f t="shared" si="1756"/>
        <v>8.4207268846891843</v>
      </c>
      <c r="X1715" s="351"/>
    </row>
    <row r="1716" spans="3:24" ht="24.75" customHeight="1" x14ac:dyDescent="0.3">
      <c r="C1716" s="353">
        <f>ABS(E1716-Dashboard!$F$14)</f>
        <v>22.684558673293466</v>
      </c>
      <c r="D1716" s="350">
        <f t="shared" si="1719"/>
        <v>0.24434999999998833</v>
      </c>
      <c r="E1716" s="359" cm="1">
        <f t="array" ref="E1716">1000*SUM('DRE + DCF'!$L$36/M1716,'DRE + DCF'!$N$36:$V$36/N1716:V1716,F1716/V1716)/Dashboard!$F$11</f>
        <v>74.305441326706529</v>
      </c>
      <c r="F1716" s="359">
        <f t="shared" si="1717"/>
        <v>11138582.062958844</v>
      </c>
      <c r="G1716" s="359">
        <f>'DRE + DCF'!$W$31</f>
        <v>2791623.3540418856</v>
      </c>
      <c r="H1716" s="359">
        <f>'DRE + DCF'!$W$32</f>
        <v>81081.931703745853</v>
      </c>
      <c r="I1716" s="359">
        <f>-H1716*('DRE + DCF'!$V$33+K1716)/'DRE + DCF'!$V$33</f>
        <v>-90858.801614444121</v>
      </c>
      <c r="J1716" s="359">
        <f>-'DRE + DCF'!$V$56*L1716</f>
        <v>-1188924.4255577971</v>
      </c>
      <c r="K1716" s="360">
        <f>(1+L1716)/(1+Ke!$O$12)-1</f>
        <v>2.0000000000000018E-2</v>
      </c>
      <c r="L1716" s="360">
        <f>'DRE + DCF'!$Y$31</f>
        <v>7.3550000000000004E-2</v>
      </c>
      <c r="M1716" s="361">
        <f>(1+D1716)^((5-Dashboard!$F$9)*3/12)</f>
        <v>1.1781671626277985</v>
      </c>
      <c r="N1716" s="361">
        <f t="shared" ref="N1716:V1716" si="1757">M1716*(1+$D1716)</f>
        <v>1.4660523088158872</v>
      </c>
      <c r="O1716" s="361">
        <f t="shared" si="1757"/>
        <v>1.8242821904750322</v>
      </c>
      <c r="P1716" s="361">
        <f t="shared" si="1757"/>
        <v>2.2700455437175848</v>
      </c>
      <c r="Q1716" s="361">
        <f t="shared" si="1757"/>
        <v>2.8247311723249502</v>
      </c>
      <c r="R1716" s="361">
        <f t="shared" si="1757"/>
        <v>3.5149542342825186</v>
      </c>
      <c r="S1716" s="361">
        <f t="shared" si="1757"/>
        <v>4.3738333014294106</v>
      </c>
      <c r="T1716" s="361">
        <f t="shared" si="1757"/>
        <v>5.4425794686336362</v>
      </c>
      <c r="U1716" s="361">
        <f t="shared" si="1757"/>
        <v>6.7724737617942017</v>
      </c>
      <c r="V1716" s="362">
        <f t="shared" si="1757"/>
        <v>8.427327725488535</v>
      </c>
      <c r="X1716" s="351"/>
    </row>
    <row r="1717" spans="3:24" ht="24.75" customHeight="1" x14ac:dyDescent="0.3">
      <c r="C1717" s="353">
        <f>ABS(E1717-Dashboard!$F$14)</f>
        <v>22.7337085152801</v>
      </c>
      <c r="D1717" s="350">
        <f t="shared" si="1719"/>
        <v>0.24444999999998832</v>
      </c>
      <c r="E1717" s="359" cm="1">
        <f t="array" ref="E1717">1000*SUM('DRE + DCF'!$L$36/M1717,'DRE + DCF'!$N$36:$V$36/N1717:V1717,F1717/V1717)/Dashboard!$F$11</f>
        <v>74.256291484719895</v>
      </c>
      <c r="F1717" s="359">
        <f t="shared" si="1717"/>
        <v>11133144.121614093</v>
      </c>
      <c r="G1717" s="359">
        <f>'DRE + DCF'!$W$31</f>
        <v>2791623.3540418856</v>
      </c>
      <c r="H1717" s="359">
        <f>'DRE + DCF'!$W$32</f>
        <v>81081.931703745853</v>
      </c>
      <c r="I1717" s="359">
        <f>-H1717*('DRE + DCF'!$V$33+K1717)/'DRE + DCF'!$V$33</f>
        <v>-90858.801614444121</v>
      </c>
      <c r="J1717" s="359">
        <f>-'DRE + DCF'!$V$56*L1717</f>
        <v>-1188924.4255577971</v>
      </c>
      <c r="K1717" s="360">
        <f>(1+L1717)/(1+Ke!$O$12)-1</f>
        <v>2.0000000000000018E-2</v>
      </c>
      <c r="L1717" s="360">
        <f>'DRE + DCF'!$Y$31</f>
        <v>7.3550000000000004E-2</v>
      </c>
      <c r="M1717" s="361">
        <f>(1+D1717)^((5-Dashboard!$F$9)*3/12)</f>
        <v>1.1782381729139635</v>
      </c>
      <c r="N1717" s="361">
        <f t="shared" ref="N1717:V1717" si="1758">M1717*(1+$D1717)</f>
        <v>1.4662584942827681</v>
      </c>
      <c r="O1717" s="361">
        <f t="shared" si="1758"/>
        <v>1.8246853832101737</v>
      </c>
      <c r="P1717" s="361">
        <f t="shared" si="1758"/>
        <v>2.2707297251358791</v>
      </c>
      <c r="Q1717" s="361">
        <f t="shared" si="1758"/>
        <v>2.825809606445318</v>
      </c>
      <c r="R1717" s="361">
        <f t="shared" si="1758"/>
        <v>3.5165787647408431</v>
      </c>
      <c r="S1717" s="361">
        <f t="shared" si="1758"/>
        <v>4.376206443781701</v>
      </c>
      <c r="T1717" s="361">
        <f t="shared" si="1758"/>
        <v>5.4459701089640866</v>
      </c>
      <c r="U1717" s="361">
        <f t="shared" si="1758"/>
        <v>6.7772375021002942</v>
      </c>
      <c r="V1717" s="362">
        <f t="shared" si="1758"/>
        <v>8.4339332094886323</v>
      </c>
      <c r="X1717" s="351"/>
    </row>
    <row r="1718" spans="3:24" ht="24.75" customHeight="1" x14ac:dyDescent="0.3">
      <c r="C1718" s="353">
        <f>ABS(E1718-Dashboard!$F$14)</f>
        <v>22.782801627199447</v>
      </c>
      <c r="D1718" s="350">
        <f t="shared" si="1719"/>
        <v>0.2445499999999883</v>
      </c>
      <c r="E1718" s="359" cm="1">
        <f t="array" ref="E1718">1000*SUM('DRE + DCF'!$L$36/M1718,'DRE + DCF'!$N$36:$V$36/N1718:V1718,F1718/V1718)/Dashboard!$F$11</f>
        <v>74.207198372800548</v>
      </c>
      <c r="F1718" s="359">
        <f t="shared" si="1717"/>
        <v>11127711.657973468</v>
      </c>
      <c r="G1718" s="359">
        <f>'DRE + DCF'!$W$31</f>
        <v>2791623.3540418856</v>
      </c>
      <c r="H1718" s="359">
        <f>'DRE + DCF'!$W$32</f>
        <v>81081.931703745853</v>
      </c>
      <c r="I1718" s="359">
        <f>-H1718*('DRE + DCF'!$V$33+K1718)/'DRE + DCF'!$V$33</f>
        <v>-90858.801614444121</v>
      </c>
      <c r="J1718" s="359">
        <f>-'DRE + DCF'!$V$56*L1718</f>
        <v>-1188924.4255577971</v>
      </c>
      <c r="K1718" s="360">
        <f>(1+L1718)/(1+Ke!$O$12)-1</f>
        <v>2.0000000000000018E-2</v>
      </c>
      <c r="L1718" s="360">
        <f>'DRE + DCF'!$Y$31</f>
        <v>7.3550000000000004E-2</v>
      </c>
      <c r="M1718" s="361">
        <f>(1+D1718)^((5-Dashboard!$F$9)*3/12)</f>
        <v>1.1783091817736033</v>
      </c>
      <c r="N1718" s="361">
        <f t="shared" ref="N1718:V1718" si="1759">M1718*(1+$D1718)</f>
        <v>1.4664646921763242</v>
      </c>
      <c r="O1718" s="361">
        <f t="shared" si="1759"/>
        <v>1.8250886326480271</v>
      </c>
      <c r="P1718" s="361">
        <f t="shared" si="1759"/>
        <v>2.2714140577620809</v>
      </c>
      <c r="Q1718" s="361">
        <f t="shared" si="1759"/>
        <v>2.826888365587771</v>
      </c>
      <c r="R1718" s="361">
        <f t="shared" si="1759"/>
        <v>3.5182039153922271</v>
      </c>
      <c r="S1718" s="361">
        <f t="shared" si="1759"/>
        <v>4.3785806829013554</v>
      </c>
      <c r="T1718" s="361">
        <f t="shared" si="1759"/>
        <v>5.4493625889048305</v>
      </c>
      <c r="U1718" s="361">
        <f t="shared" si="1759"/>
        <v>6.7820042100214426</v>
      </c>
      <c r="V1718" s="362">
        <f t="shared" si="1759"/>
        <v>8.4405433395821063</v>
      </c>
      <c r="X1718" s="351"/>
    </row>
    <row r="1719" spans="3:24" ht="24.75" customHeight="1" x14ac:dyDescent="0.3">
      <c r="C1719" s="353">
        <f>ABS(E1719-Dashboard!$F$14)</f>
        <v>22.831838100785589</v>
      </c>
      <c r="D1719" s="350">
        <f t="shared" si="1719"/>
        <v>0.24464999999998829</v>
      </c>
      <c r="E1719" s="359" cm="1">
        <f t="array" ref="E1719">1000*SUM('DRE + DCF'!$L$36/M1719,'DRE + DCF'!$N$36:$V$36/N1719:V1719,F1719/V1719)/Dashboard!$F$11</f>
        <v>74.158161899214406</v>
      </c>
      <c r="F1719" s="359">
        <f t="shared" si="1717"/>
        <v>11122284.663514059</v>
      </c>
      <c r="G1719" s="359">
        <f>'DRE + DCF'!$W$31</f>
        <v>2791623.3540418856</v>
      </c>
      <c r="H1719" s="359">
        <f>'DRE + DCF'!$W$32</f>
        <v>81081.931703745853</v>
      </c>
      <c r="I1719" s="359">
        <f>-H1719*('DRE + DCF'!$V$33+K1719)/'DRE + DCF'!$V$33</f>
        <v>-90858.801614444121</v>
      </c>
      <c r="J1719" s="359">
        <f>-'DRE + DCF'!$V$56*L1719</f>
        <v>-1188924.4255577971</v>
      </c>
      <c r="K1719" s="360">
        <f>(1+L1719)/(1+Ke!$O$12)-1</f>
        <v>2.0000000000000018E-2</v>
      </c>
      <c r="L1719" s="360">
        <f>'DRE + DCF'!$Y$31</f>
        <v>7.3550000000000004E-2</v>
      </c>
      <c r="M1719" s="361">
        <f>(1+D1719)^((5-Dashboard!$F$9)*3/12)</f>
        <v>1.1783801892068611</v>
      </c>
      <c r="N1719" s="361">
        <f t="shared" ref="N1719:V1719" si="1760">M1719*(1+$D1719)</f>
        <v>1.4666709024963058</v>
      </c>
      <c r="O1719" s="361">
        <f t="shared" si="1760"/>
        <v>1.8254919387920099</v>
      </c>
      <c r="P1719" s="361">
        <f t="shared" si="1760"/>
        <v>2.2720985416174537</v>
      </c>
      <c r="Q1719" s="361">
        <f t="shared" si="1760"/>
        <v>2.8279674498241372</v>
      </c>
      <c r="R1719" s="361">
        <f t="shared" si="1760"/>
        <v>3.519829686423579</v>
      </c>
      <c r="S1719" s="361">
        <f t="shared" si="1760"/>
        <v>4.3809560192070665</v>
      </c>
      <c r="T1719" s="361">
        <f t="shared" si="1760"/>
        <v>5.4527569093060242</v>
      </c>
      <c r="U1719" s="361">
        <f t="shared" si="1760"/>
        <v>6.786773887167679</v>
      </c>
      <c r="V1719" s="362">
        <f t="shared" si="1760"/>
        <v>8.4471581186631717</v>
      </c>
      <c r="X1719" s="351"/>
    </row>
    <row r="1720" spans="3:24" ht="24.75" customHeight="1" x14ac:dyDescent="0.3">
      <c r="C1720" s="353">
        <f>ABS(E1720-Dashboard!$F$14)</f>
        <v>22.880818027579295</v>
      </c>
      <c r="D1720" s="350">
        <f t="shared" si="1719"/>
        <v>0.24474999999998828</v>
      </c>
      <c r="E1720" s="359" cm="1">
        <f t="array" ref="E1720">1000*SUM('DRE + DCF'!$L$36/M1720,'DRE + DCF'!$N$36:$V$36/N1720:V1720,F1720/V1720)/Dashboard!$F$11</f>
        <v>74.1091819724207</v>
      </c>
      <c r="F1720" s="359">
        <f t="shared" si="1717"/>
        <v>11116863.1297311</v>
      </c>
      <c r="G1720" s="359">
        <f>'DRE + DCF'!$W$31</f>
        <v>2791623.3540418856</v>
      </c>
      <c r="H1720" s="359">
        <f>'DRE + DCF'!$W$32</f>
        <v>81081.931703745853</v>
      </c>
      <c r="I1720" s="359">
        <f>-H1720*('DRE + DCF'!$V$33+K1720)/'DRE + DCF'!$V$33</f>
        <v>-90858.801614444121</v>
      </c>
      <c r="J1720" s="359">
        <f>-'DRE + DCF'!$V$56*L1720</f>
        <v>-1188924.4255577971</v>
      </c>
      <c r="K1720" s="360">
        <f>(1+L1720)/(1+Ke!$O$12)-1</f>
        <v>2.0000000000000018E-2</v>
      </c>
      <c r="L1720" s="360">
        <f>'DRE + DCF'!$Y$31</f>
        <v>7.3550000000000004E-2</v>
      </c>
      <c r="M1720" s="361">
        <f>(1+D1720)^((5-Dashboard!$F$9)*3/12)</f>
        <v>1.1784511952138799</v>
      </c>
      <c r="N1720" s="361">
        <f t="shared" ref="N1720:V1720" si="1761">M1720*(1+$D1720)</f>
        <v>1.4668771252424631</v>
      </c>
      <c r="O1720" s="361">
        <f t="shared" si="1761"/>
        <v>1.8258953016455386</v>
      </c>
      <c r="P1720" s="361">
        <f t="shared" si="1761"/>
        <v>2.2727831767232627</v>
      </c>
      <c r="Q1720" s="361">
        <f t="shared" si="1761"/>
        <v>2.8290468592262545</v>
      </c>
      <c r="R1720" s="361">
        <f t="shared" si="1761"/>
        <v>3.5214560780218469</v>
      </c>
      <c r="S1720" s="361">
        <f t="shared" si="1761"/>
        <v>4.383332453117653</v>
      </c>
      <c r="T1720" s="361">
        <f t="shared" si="1761"/>
        <v>5.4561530710181474</v>
      </c>
      <c r="U1720" s="361">
        <f t="shared" si="1761"/>
        <v>6.7915465351497746</v>
      </c>
      <c r="V1720" s="362">
        <f t="shared" si="1761"/>
        <v>8.4537775496276026</v>
      </c>
      <c r="X1720" s="351"/>
    </row>
    <row r="1721" spans="3:24" ht="24.75" customHeight="1" x14ac:dyDescent="0.3">
      <c r="C1721" s="353">
        <f>ABS(E1721-Dashboard!$F$14)</f>
        <v>22.929741498928578</v>
      </c>
      <c r="D1721" s="350">
        <f t="shared" si="1719"/>
        <v>0.24484999999998827</v>
      </c>
      <c r="E1721" s="359" cm="1">
        <f t="array" ref="E1721">1000*SUM('DRE + DCF'!$L$36/M1721,'DRE + DCF'!$N$36:$V$36/N1721:V1721,F1721/V1721)/Dashboard!$F$11</f>
        <v>74.060258501071417</v>
      </c>
      <c r="F1721" s="359">
        <f t="shared" si="1717"/>
        <v>11111447.048137922</v>
      </c>
      <c r="G1721" s="359">
        <f>'DRE + DCF'!$W$31</f>
        <v>2791623.3540418856</v>
      </c>
      <c r="H1721" s="359">
        <f>'DRE + DCF'!$W$32</f>
        <v>81081.931703745853</v>
      </c>
      <c r="I1721" s="359">
        <f>-H1721*('DRE + DCF'!$V$33+K1721)/'DRE + DCF'!$V$33</f>
        <v>-90858.801614444121</v>
      </c>
      <c r="J1721" s="359">
        <f>-'DRE + DCF'!$V$56*L1721</f>
        <v>-1188924.4255577971</v>
      </c>
      <c r="K1721" s="360">
        <f>(1+L1721)/(1+Ke!$O$12)-1</f>
        <v>2.0000000000000018E-2</v>
      </c>
      <c r="L1721" s="360">
        <f>'DRE + DCF'!$Y$31</f>
        <v>7.3550000000000004E-2</v>
      </c>
      <c r="M1721" s="361">
        <f>(1+D1721)^((5-Dashboard!$F$9)*3/12)</f>
        <v>1.1785221997948034</v>
      </c>
      <c r="N1721" s="361">
        <f t="shared" ref="N1721:V1721" si="1762">M1721*(1+$D1721)</f>
        <v>1.4670833604145472</v>
      </c>
      <c r="O1721" s="361">
        <f t="shared" si="1762"/>
        <v>1.8262987212120319</v>
      </c>
      <c r="P1721" s="361">
        <f t="shared" si="1762"/>
        <v>2.2734679631007766</v>
      </c>
      <c r="Q1721" s="361">
        <f t="shared" si="1762"/>
        <v>2.830126593865975</v>
      </c>
      <c r="R1721" s="361">
        <f t="shared" si="1762"/>
        <v>3.5230830903740258</v>
      </c>
      <c r="S1721" s="361">
        <f t="shared" si="1762"/>
        <v>4.3857099850520642</v>
      </c>
      <c r="T1721" s="361">
        <f t="shared" si="1762"/>
        <v>5.4595510748920102</v>
      </c>
      <c r="U1721" s="361">
        <f t="shared" si="1762"/>
        <v>6.7963221555792543</v>
      </c>
      <c r="V1721" s="362">
        <f t="shared" si="1762"/>
        <v>8.4604016353727545</v>
      </c>
      <c r="X1721" s="351"/>
    </row>
    <row r="1722" spans="3:24" ht="24.75" customHeight="1" x14ac:dyDescent="0.3">
      <c r="C1722" s="353">
        <f>ABS(E1722-Dashboard!$F$14)</f>
        <v>22.978608605989081</v>
      </c>
      <c r="D1722" s="350">
        <f t="shared" si="1719"/>
        <v>0.24494999999998826</v>
      </c>
      <c r="E1722" s="359" cm="1">
        <f t="array" ref="E1722">1000*SUM('DRE + DCF'!$L$36/M1722,'DRE + DCF'!$N$36:$V$36/N1722:V1722,F1722/V1722)/Dashboard!$F$11</f>
        <v>74.011391394010914</v>
      </c>
      <c r="F1722" s="359">
        <f t="shared" si="1717"/>
        <v>11106036.410265904</v>
      </c>
      <c r="G1722" s="359">
        <f>'DRE + DCF'!$W$31</f>
        <v>2791623.3540418856</v>
      </c>
      <c r="H1722" s="359">
        <f>'DRE + DCF'!$W$32</f>
        <v>81081.931703745853</v>
      </c>
      <c r="I1722" s="359">
        <f>-H1722*('DRE + DCF'!$V$33+K1722)/'DRE + DCF'!$V$33</f>
        <v>-90858.801614444121</v>
      </c>
      <c r="J1722" s="359">
        <f>-'DRE + DCF'!$V$56*L1722</f>
        <v>-1188924.4255577971</v>
      </c>
      <c r="K1722" s="360">
        <f>(1+L1722)/(1+Ke!$O$12)-1</f>
        <v>2.0000000000000018E-2</v>
      </c>
      <c r="L1722" s="360">
        <f>'DRE + DCF'!$Y$31</f>
        <v>7.3550000000000004E-2</v>
      </c>
      <c r="M1722" s="361">
        <f>(1+D1722)^((5-Dashboard!$F$9)*3/12)</f>
        <v>1.1785932029497748</v>
      </c>
      <c r="N1722" s="361">
        <f t="shared" ref="N1722:V1722" si="1763">M1722*(1+$D1722)</f>
        <v>1.4672896080123081</v>
      </c>
      <c r="O1722" s="361">
        <f t="shared" si="1763"/>
        <v>1.8267021974949058</v>
      </c>
      <c r="P1722" s="361">
        <f t="shared" si="1763"/>
        <v>2.2741529007712615</v>
      </c>
      <c r="Q1722" s="361">
        <f t="shared" si="1763"/>
        <v>2.8312066538151552</v>
      </c>
      <c r="R1722" s="361">
        <f t="shared" si="1763"/>
        <v>3.5247107236671442</v>
      </c>
      <c r="S1722" s="361">
        <f t="shared" si="1763"/>
        <v>4.3880886154293695</v>
      </c>
      <c r="T1722" s="361">
        <f t="shared" si="1763"/>
        <v>5.4629509217787415</v>
      </c>
      <c r="U1722" s="361">
        <f t="shared" si="1763"/>
        <v>6.8011007500683798</v>
      </c>
      <c r="V1722" s="362">
        <f t="shared" si="1763"/>
        <v>8.4670303787975492</v>
      </c>
      <c r="X1722" s="351"/>
    </row>
    <row r="1723" spans="3:24" ht="24.75" customHeight="1" x14ac:dyDescent="0.3">
      <c r="C1723" s="353">
        <f>ABS(E1723-Dashboard!$F$14)</f>
        <v>23.027419439724653</v>
      </c>
      <c r="D1723" s="350">
        <f t="shared" si="1719"/>
        <v>0.24504999999998825</v>
      </c>
      <c r="E1723" s="359" cm="1">
        <f t="array" ref="E1723">1000*SUM('DRE + DCF'!$L$36/M1723,'DRE + DCF'!$N$36:$V$36/N1723:V1723,F1723/V1723)/Dashboard!$F$11</f>
        <v>73.962580560275342</v>
      </c>
      <c r="F1723" s="359">
        <f t="shared" si="1717"/>
        <v>11100631.207664428</v>
      </c>
      <c r="G1723" s="359">
        <f>'DRE + DCF'!$W$31</f>
        <v>2791623.3540418856</v>
      </c>
      <c r="H1723" s="359">
        <f>'DRE + DCF'!$W$32</f>
        <v>81081.931703745853</v>
      </c>
      <c r="I1723" s="359">
        <f>-H1723*('DRE + DCF'!$V$33+K1723)/'DRE + DCF'!$V$33</f>
        <v>-90858.801614444121</v>
      </c>
      <c r="J1723" s="359">
        <f>-'DRE + DCF'!$V$56*L1723</f>
        <v>-1188924.4255577971</v>
      </c>
      <c r="K1723" s="360">
        <f>(1+L1723)/(1+Ke!$O$12)-1</f>
        <v>2.0000000000000018E-2</v>
      </c>
      <c r="L1723" s="360">
        <f>'DRE + DCF'!$Y$31</f>
        <v>7.3550000000000004E-2</v>
      </c>
      <c r="M1723" s="361">
        <f>(1+D1723)^((5-Dashboard!$F$9)*3/12)</f>
        <v>1.1786642046789368</v>
      </c>
      <c r="N1723" s="361">
        <f t="shared" ref="N1723:V1723" si="1764">M1723*(1+$D1723)</f>
        <v>1.4674958680354964</v>
      </c>
      <c r="O1723" s="361">
        <f t="shared" si="1764"/>
        <v>1.8271057304975775</v>
      </c>
      <c r="P1723" s="361">
        <f t="shared" si="1764"/>
        <v>2.2748379897559872</v>
      </c>
      <c r="Q1723" s="361">
        <f t="shared" si="1764"/>
        <v>2.8322870391456649</v>
      </c>
      <c r="R1723" s="361">
        <f t="shared" si="1764"/>
        <v>3.5263389780882766</v>
      </c>
      <c r="S1723" s="361">
        <f t="shared" si="1764"/>
        <v>4.3904683446687676</v>
      </c>
      <c r="T1723" s="361">
        <f t="shared" si="1764"/>
        <v>5.4663526125297972</v>
      </c>
      <c r="U1723" s="361">
        <f t="shared" si="1764"/>
        <v>6.8058823202301593</v>
      </c>
      <c r="V1723" s="362">
        <f t="shared" si="1764"/>
        <v>8.473663782802479</v>
      </c>
      <c r="X1723" s="351"/>
    </row>
    <row r="1724" spans="3:24" ht="24.75" customHeight="1" x14ac:dyDescent="0.3">
      <c r="C1724" s="353">
        <f>ABS(E1724-Dashboard!$F$14)</f>
        <v>23.07617409090787</v>
      </c>
      <c r="D1724" s="350">
        <f t="shared" si="1719"/>
        <v>0.24514999999998824</v>
      </c>
      <c r="E1724" s="359" cm="1">
        <f t="array" ref="E1724">1000*SUM('DRE + DCF'!$L$36/M1724,'DRE + DCF'!$N$36:$V$36/N1724:V1724,F1724/V1724)/Dashboard!$F$11</f>
        <v>73.913825909092125</v>
      </c>
      <c r="F1724" s="359">
        <f t="shared" si="1717"/>
        <v>11095231.431900822</v>
      </c>
      <c r="G1724" s="359">
        <f>'DRE + DCF'!$W$31</f>
        <v>2791623.3540418856</v>
      </c>
      <c r="H1724" s="359">
        <f>'DRE + DCF'!$W$32</f>
        <v>81081.931703745853</v>
      </c>
      <c r="I1724" s="359">
        <f>-H1724*('DRE + DCF'!$V$33+K1724)/'DRE + DCF'!$V$33</f>
        <v>-90858.801614444121</v>
      </c>
      <c r="J1724" s="359">
        <f>-'DRE + DCF'!$V$56*L1724</f>
        <v>-1188924.4255577971</v>
      </c>
      <c r="K1724" s="360">
        <f>(1+L1724)/(1+Ke!$O$12)-1</f>
        <v>2.0000000000000018E-2</v>
      </c>
      <c r="L1724" s="360">
        <f>'DRE + DCF'!$Y$31</f>
        <v>7.3550000000000004E-2</v>
      </c>
      <c r="M1724" s="361">
        <f>(1+D1724)^((5-Dashboard!$F$9)*3/12)</f>
        <v>1.1787352049824331</v>
      </c>
      <c r="N1724" s="361">
        <f t="shared" ref="N1724:V1724" si="1765">M1724*(1+$D1724)</f>
        <v>1.4677021404838626</v>
      </c>
      <c r="O1724" s="361">
        <f t="shared" si="1765"/>
        <v>1.8275093202234642</v>
      </c>
      <c r="P1724" s="361">
        <f t="shared" si="1765"/>
        <v>2.2755232300762249</v>
      </c>
      <c r="Q1724" s="361">
        <f t="shared" si="1765"/>
        <v>2.8333677499293848</v>
      </c>
      <c r="R1724" s="361">
        <f t="shared" si="1765"/>
        <v>3.5279678538245403</v>
      </c>
      <c r="S1724" s="361">
        <f t="shared" si="1765"/>
        <v>4.3928491731895845</v>
      </c>
      <c r="T1724" s="361">
        <f t="shared" si="1765"/>
        <v>5.469756147996959</v>
      </c>
      <c r="U1724" s="361">
        <f t="shared" si="1765"/>
        <v>6.8106668676783491</v>
      </c>
      <c r="V1724" s="362">
        <f t="shared" si="1765"/>
        <v>8.4803018502896155</v>
      </c>
      <c r="X1724" s="351"/>
    </row>
    <row r="1725" spans="3:24" ht="24.75" customHeight="1" x14ac:dyDescent="0.3">
      <c r="C1725" s="353">
        <f>ABS(E1725-Dashboard!$F$14)</f>
        <v>23.124872650120494</v>
      </c>
      <c r="D1725" s="350">
        <f t="shared" si="1719"/>
        <v>0.24524999999998823</v>
      </c>
      <c r="E1725" s="359" cm="1">
        <f t="array" ref="E1725">1000*SUM('DRE + DCF'!$L$36/M1725,'DRE + DCF'!$N$36:$V$36/N1725:V1725,F1725/V1725)/Dashboard!$F$11</f>
        <v>73.865127349879501</v>
      </c>
      <c r="F1725" s="359">
        <f t="shared" si="1717"/>
        <v>11089837.074560318</v>
      </c>
      <c r="G1725" s="359">
        <f>'DRE + DCF'!$W$31</f>
        <v>2791623.3540418856</v>
      </c>
      <c r="H1725" s="359">
        <f>'DRE + DCF'!$W$32</f>
        <v>81081.931703745853</v>
      </c>
      <c r="I1725" s="359">
        <f>-H1725*('DRE + DCF'!$V$33+K1725)/'DRE + DCF'!$V$33</f>
        <v>-90858.801614444121</v>
      </c>
      <c r="J1725" s="359">
        <f>-'DRE + DCF'!$V$56*L1725</f>
        <v>-1188924.4255577971</v>
      </c>
      <c r="K1725" s="360">
        <f>(1+L1725)/(1+Ke!$O$12)-1</f>
        <v>2.0000000000000018E-2</v>
      </c>
      <c r="L1725" s="360">
        <f>'DRE + DCF'!$Y$31</f>
        <v>7.3550000000000004E-2</v>
      </c>
      <c r="M1725" s="361">
        <f>(1+D1725)^((5-Dashboard!$F$9)*3/12)</f>
        <v>1.1788062038604064</v>
      </c>
      <c r="N1725" s="361">
        <f t="shared" ref="N1725:V1725" si="1766">M1725*(1+$D1725)</f>
        <v>1.467908425357157</v>
      </c>
      <c r="O1725" s="361">
        <f t="shared" si="1766"/>
        <v>1.8279129666759826</v>
      </c>
      <c r="P1725" s="361">
        <f t="shared" si="1766"/>
        <v>2.2762086217532458</v>
      </c>
      <c r="Q1725" s="361">
        <f t="shared" si="1766"/>
        <v>2.8344487862382026</v>
      </c>
      <c r="R1725" s="361">
        <f t="shared" si="1766"/>
        <v>3.5295973510630883</v>
      </c>
      <c r="S1725" s="361">
        <f t="shared" si="1766"/>
        <v>4.3952311014112686</v>
      </c>
      <c r="T1725" s="361">
        <f t="shared" si="1766"/>
        <v>5.4731615290323301</v>
      </c>
      <c r="U1725" s="361">
        <f t="shared" si="1766"/>
        <v>6.8154543940274444</v>
      </c>
      <c r="V1725" s="362">
        <f t="shared" si="1766"/>
        <v>8.486944584162595</v>
      </c>
      <c r="X1725" s="351"/>
    </row>
    <row r="1726" spans="3:24" ht="24.75" customHeight="1" x14ac:dyDescent="0.3">
      <c r="C1726" s="353">
        <f>ABS(E1726-Dashboard!$F$14)</f>
        <v>23.173515207753994</v>
      </c>
      <c r="D1726" s="350">
        <f t="shared" si="1719"/>
        <v>0.24534999999998822</v>
      </c>
      <c r="E1726" s="359" cm="1">
        <f t="array" ref="E1726">1000*SUM('DRE + DCF'!$L$36/M1726,'DRE + DCF'!$N$36:$V$36/N1726:V1726,F1726/V1726)/Dashboard!$F$11</f>
        <v>73.816484792246001</v>
      </c>
      <c r="F1726" s="359">
        <f t="shared" si="1717"/>
        <v>11084448.127246004</v>
      </c>
      <c r="G1726" s="359">
        <f>'DRE + DCF'!$W$31</f>
        <v>2791623.3540418856</v>
      </c>
      <c r="H1726" s="359">
        <f>'DRE + DCF'!$W$32</f>
        <v>81081.931703745853</v>
      </c>
      <c r="I1726" s="359">
        <f>-H1726*('DRE + DCF'!$V$33+K1726)/'DRE + DCF'!$V$33</f>
        <v>-90858.801614444121</v>
      </c>
      <c r="J1726" s="359">
        <f>-'DRE + DCF'!$V$56*L1726</f>
        <v>-1188924.4255577971</v>
      </c>
      <c r="K1726" s="360">
        <f>(1+L1726)/(1+Ke!$O$12)-1</f>
        <v>2.0000000000000018E-2</v>
      </c>
      <c r="L1726" s="360">
        <f>'DRE + DCF'!$Y$31</f>
        <v>7.3550000000000004E-2</v>
      </c>
      <c r="M1726" s="361">
        <f>(1+D1726)^((5-Dashboard!$F$9)*3/12)</f>
        <v>1.178877201313</v>
      </c>
      <c r="N1726" s="361">
        <f t="shared" ref="N1726:V1726" si="1767">M1726*(1+$D1726)</f>
        <v>1.4681147226551305</v>
      </c>
      <c r="O1726" s="361">
        <f t="shared" si="1767"/>
        <v>1.8283166698585496</v>
      </c>
      <c r="P1726" s="361">
        <f t="shared" si="1767"/>
        <v>2.276894164808323</v>
      </c>
      <c r="Q1726" s="361">
        <f t="shared" si="1767"/>
        <v>2.8355301481440183</v>
      </c>
      <c r="R1726" s="361">
        <f t="shared" si="1767"/>
        <v>3.5312274699911197</v>
      </c>
      <c r="S1726" s="361">
        <f t="shared" si="1767"/>
        <v>4.397614129753399</v>
      </c>
      <c r="T1726" s="361">
        <f t="shared" si="1767"/>
        <v>5.4765687564883434</v>
      </c>
      <c r="U1726" s="361">
        <f t="shared" si="1767"/>
        <v>6.8202449008926935</v>
      </c>
      <c r="V1726" s="362">
        <f t="shared" si="1767"/>
        <v>8.493591987326635</v>
      </c>
      <c r="X1726" s="351"/>
    </row>
    <row r="1727" spans="3:24" ht="24.75" customHeight="1" x14ac:dyDescent="0.3">
      <c r="C1727" s="353">
        <f>ABS(E1727-Dashboard!$F$14)</f>
        <v>23.222101854010106</v>
      </c>
      <c r="D1727" s="350">
        <f t="shared" si="1719"/>
        <v>0.24544999999998821</v>
      </c>
      <c r="E1727" s="359" cm="1">
        <f t="array" ref="E1727">1000*SUM('DRE + DCF'!$L$36/M1727,'DRE + DCF'!$N$36:$V$36/N1727:V1727,F1727/V1727)/Dashboard!$F$11</f>
        <v>73.767898145989889</v>
      </c>
      <c r="F1727" s="359">
        <f t="shared" si="1717"/>
        <v>11079064.581578765</v>
      </c>
      <c r="G1727" s="359">
        <f>'DRE + DCF'!$W$31</f>
        <v>2791623.3540418856</v>
      </c>
      <c r="H1727" s="359">
        <f>'DRE + DCF'!$W$32</f>
        <v>81081.931703745853</v>
      </c>
      <c r="I1727" s="359">
        <f>-H1727*('DRE + DCF'!$V$33+K1727)/'DRE + DCF'!$V$33</f>
        <v>-90858.801614444121</v>
      </c>
      <c r="J1727" s="359">
        <f>-'DRE + DCF'!$V$56*L1727</f>
        <v>-1188924.4255577971</v>
      </c>
      <c r="K1727" s="360">
        <f>(1+L1727)/(1+Ke!$O$12)-1</f>
        <v>2.0000000000000018E-2</v>
      </c>
      <c r="L1727" s="360">
        <f>'DRE + DCF'!$Y$31</f>
        <v>7.3550000000000004E-2</v>
      </c>
      <c r="M1727" s="361">
        <f>(1+D1727)^((5-Dashboard!$F$9)*3/12)</f>
        <v>1.1789481973403568</v>
      </c>
      <c r="N1727" s="361">
        <f t="shared" ref="N1727:V1727" si="1768">M1727*(1+$D1727)</f>
        <v>1.4683210323775335</v>
      </c>
      <c r="O1727" s="361">
        <f t="shared" si="1768"/>
        <v>1.8287204297745818</v>
      </c>
      <c r="P1727" s="361">
        <f t="shared" si="1768"/>
        <v>2.2775798592627314</v>
      </c>
      <c r="Q1727" s="361">
        <f t="shared" si="1768"/>
        <v>2.8366118357187418</v>
      </c>
      <c r="R1727" s="361">
        <f t="shared" si="1768"/>
        <v>3.5328582107958733</v>
      </c>
      <c r="S1727" s="361">
        <f t="shared" si="1768"/>
        <v>4.3999982586356783</v>
      </c>
      <c r="T1727" s="361">
        <f t="shared" si="1768"/>
        <v>5.4799778312177532</v>
      </c>
      <c r="U1727" s="361">
        <f t="shared" si="1768"/>
        <v>6.8250383898900857</v>
      </c>
      <c r="V1727" s="362">
        <f t="shared" si="1768"/>
        <v>8.5002440626885267</v>
      </c>
      <c r="X1727" s="351"/>
    </row>
    <row r="1728" spans="3:24" ht="24.75" customHeight="1" x14ac:dyDescent="0.3">
      <c r="C1728" s="353">
        <f>ABS(E1728-Dashboard!$F$14)</f>
        <v>23.270632678901208</v>
      </c>
      <c r="D1728" s="350">
        <f t="shared" si="1719"/>
        <v>0.24554999999998819</v>
      </c>
      <c r="E1728" s="359" cm="1">
        <f t="array" ref="E1728">1000*SUM('DRE + DCF'!$L$36/M1728,'DRE + DCF'!$N$36:$V$36/N1728:V1728,F1728/V1728)/Dashboard!$F$11</f>
        <v>73.719367321098787</v>
      </c>
      <c r="F1728" s="359">
        <f t="shared" si="1717"/>
        <v>11073686.429197252</v>
      </c>
      <c r="G1728" s="359">
        <f>'DRE + DCF'!$W$31</f>
        <v>2791623.3540418856</v>
      </c>
      <c r="H1728" s="359">
        <f>'DRE + DCF'!$W$32</f>
        <v>81081.931703745853</v>
      </c>
      <c r="I1728" s="359">
        <f>-H1728*('DRE + DCF'!$V$33+K1728)/'DRE + DCF'!$V$33</f>
        <v>-90858.801614444121</v>
      </c>
      <c r="J1728" s="359">
        <f>-'DRE + DCF'!$V$56*L1728</f>
        <v>-1188924.4255577971</v>
      </c>
      <c r="K1728" s="360">
        <f>(1+L1728)/(1+Ke!$O$12)-1</f>
        <v>2.0000000000000018E-2</v>
      </c>
      <c r="L1728" s="360">
        <f>'DRE + DCF'!$Y$31</f>
        <v>7.3550000000000004E-2</v>
      </c>
      <c r="M1728" s="361">
        <f>(1+D1728)^((5-Dashboard!$F$9)*3/12)</f>
        <v>1.1790191919426201</v>
      </c>
      <c r="N1728" s="361">
        <f t="shared" ref="N1728:V1728" si="1769">M1728*(1+$D1728)</f>
        <v>1.4685273545241164</v>
      </c>
      <c r="O1728" s="361">
        <f t="shared" si="1769"/>
        <v>1.8291242464274959</v>
      </c>
      <c r="P1728" s="361">
        <f t="shared" si="1769"/>
        <v>2.2782657051377457</v>
      </c>
      <c r="Q1728" s="361">
        <f t="shared" si="1769"/>
        <v>2.8376938490342924</v>
      </c>
      <c r="R1728" s="361">
        <f t="shared" si="1769"/>
        <v>3.5344895736646293</v>
      </c>
      <c r="S1728" s="361">
        <f t="shared" si="1769"/>
        <v>4.4023834884779376</v>
      </c>
      <c r="T1728" s="361">
        <f t="shared" si="1769"/>
        <v>5.4833887540736432</v>
      </c>
      <c r="U1728" s="361">
        <f t="shared" si="1769"/>
        <v>6.8298348626363614</v>
      </c>
      <c r="V1728" s="362">
        <f t="shared" si="1769"/>
        <v>8.5069008131566388</v>
      </c>
      <c r="X1728" s="351"/>
    </row>
    <row r="1729" spans="3:24" ht="24.75" customHeight="1" x14ac:dyDescent="0.3">
      <c r="C1729" s="353">
        <f>ABS(E1729-Dashboard!$F$14)</f>
        <v>23.319107772250959</v>
      </c>
      <c r="D1729" s="350">
        <f t="shared" si="1719"/>
        <v>0.24564999999998818</v>
      </c>
      <c r="E1729" s="359" cm="1">
        <f t="array" ref="E1729">1000*SUM('DRE + DCF'!$L$36/M1729,'DRE + DCF'!$N$36:$V$36/N1729:V1729,F1729/V1729)/Dashboard!$F$11</f>
        <v>73.670892227749036</v>
      </c>
      <c r="F1729" s="359">
        <f t="shared" si="1717"/>
        <v>11068313.661757816</v>
      </c>
      <c r="G1729" s="359">
        <f>'DRE + DCF'!$W$31</f>
        <v>2791623.3540418856</v>
      </c>
      <c r="H1729" s="359">
        <f>'DRE + DCF'!$W$32</f>
        <v>81081.931703745853</v>
      </c>
      <c r="I1729" s="359">
        <f>-H1729*('DRE + DCF'!$V$33+K1729)/'DRE + DCF'!$V$33</f>
        <v>-90858.801614444121</v>
      </c>
      <c r="J1729" s="359">
        <f>-'DRE + DCF'!$V$56*L1729</f>
        <v>-1188924.4255577971</v>
      </c>
      <c r="K1729" s="360">
        <f>(1+L1729)/(1+Ke!$O$12)-1</f>
        <v>2.0000000000000018E-2</v>
      </c>
      <c r="L1729" s="360">
        <f>'DRE + DCF'!$Y$31</f>
        <v>7.3550000000000004E-2</v>
      </c>
      <c r="M1729" s="361">
        <f>(1+D1729)^((5-Dashboard!$F$9)*3/12)</f>
        <v>1.1790901851199327</v>
      </c>
      <c r="N1729" s="361">
        <f t="shared" ref="N1729:V1729" si="1770">M1729*(1+$D1729)</f>
        <v>1.4687336890946301</v>
      </c>
      <c r="O1729" s="361">
        <f t="shared" si="1770"/>
        <v>1.8295281198207085</v>
      </c>
      <c r="P1729" s="361">
        <f t="shared" si="1770"/>
        <v>2.278951702454644</v>
      </c>
      <c r="Q1729" s="361">
        <f t="shared" si="1770"/>
        <v>2.8387761881626004</v>
      </c>
      <c r="R1729" s="361">
        <f t="shared" si="1770"/>
        <v>3.5361215587847097</v>
      </c>
      <c r="S1729" s="361">
        <f t="shared" si="1770"/>
        <v>4.4047698197001317</v>
      </c>
      <c r="T1729" s="361">
        <f t="shared" si="1770"/>
        <v>5.4868015259094172</v>
      </c>
      <c r="U1729" s="361">
        <f t="shared" si="1770"/>
        <v>6.8346343207490001</v>
      </c>
      <c r="V1729" s="362">
        <f t="shared" si="1770"/>
        <v>8.5135622416409102</v>
      </c>
      <c r="X1729" s="351"/>
    </row>
    <row r="1730" spans="3:24" ht="24.75" customHeight="1" x14ac:dyDescent="0.3">
      <c r="C1730" s="353">
        <f>ABS(E1730-Dashboard!$F$14)</f>
        <v>23.367527223694651</v>
      </c>
      <c r="D1730" s="350">
        <f t="shared" si="1719"/>
        <v>0.24574999999998817</v>
      </c>
      <c r="E1730" s="359" cm="1">
        <f t="array" ref="E1730">1000*SUM('DRE + DCF'!$L$36/M1730,'DRE + DCF'!$N$36:$V$36/N1730:V1730,F1730/V1730)/Dashboard!$F$11</f>
        <v>73.622472776305344</v>
      </c>
      <c r="F1730" s="359">
        <f t="shared" si="1717"/>
        <v>11062946.270934472</v>
      </c>
      <c r="G1730" s="359">
        <f>'DRE + DCF'!$W$31</f>
        <v>2791623.3540418856</v>
      </c>
      <c r="H1730" s="359">
        <f>'DRE + DCF'!$W$32</f>
        <v>81081.931703745853</v>
      </c>
      <c r="I1730" s="359">
        <f>-H1730*('DRE + DCF'!$V$33+K1730)/'DRE + DCF'!$V$33</f>
        <v>-90858.801614444121</v>
      </c>
      <c r="J1730" s="359">
        <f>-'DRE + DCF'!$V$56*L1730</f>
        <v>-1188924.4255577971</v>
      </c>
      <c r="K1730" s="360">
        <f>(1+L1730)/(1+Ke!$O$12)-1</f>
        <v>2.0000000000000018E-2</v>
      </c>
      <c r="L1730" s="360">
        <f>'DRE + DCF'!$Y$31</f>
        <v>7.3550000000000004E-2</v>
      </c>
      <c r="M1730" s="361">
        <f>(1+D1730)^((5-Dashboard!$F$9)*3/12)</f>
        <v>1.1791611768724377</v>
      </c>
      <c r="N1730" s="361">
        <f t="shared" ref="N1730:V1730" si="1771">M1730*(1+$D1730)</f>
        <v>1.4689400360888254</v>
      </c>
      <c r="O1730" s="361">
        <f t="shared" si="1771"/>
        <v>1.8299320499576368</v>
      </c>
      <c r="P1730" s="361">
        <f t="shared" si="1771"/>
        <v>2.2796378512347042</v>
      </c>
      <c r="Q1730" s="361">
        <f t="shared" si="1771"/>
        <v>2.8398588531756057</v>
      </c>
      <c r="R1730" s="361">
        <f t="shared" si="1771"/>
        <v>3.5377541663434773</v>
      </c>
      <c r="S1730" s="361">
        <f t="shared" si="1771"/>
        <v>4.407157252722345</v>
      </c>
      <c r="T1730" s="361">
        <f t="shared" si="1771"/>
        <v>5.4902161475788089</v>
      </c>
      <c r="U1730" s="361">
        <f t="shared" si="1771"/>
        <v>6.8394367658462363</v>
      </c>
      <c r="V1730" s="362">
        <f t="shared" si="1771"/>
        <v>8.520228351052868</v>
      </c>
      <c r="X1730" s="351"/>
    </row>
    <row r="1731" spans="3:24" ht="24.75" customHeight="1" x14ac:dyDescent="0.3">
      <c r="C1731" s="353">
        <f>ABS(E1731-Dashboard!$F$14)</f>
        <v>23.415891122679838</v>
      </c>
      <c r="D1731" s="350">
        <f t="shared" si="1719"/>
        <v>0.24584999999998816</v>
      </c>
      <c r="E1731" s="359" cm="1">
        <f t="array" ref="E1731">1000*SUM('DRE + DCF'!$L$36/M1731,'DRE + DCF'!$N$36:$V$36/N1731:V1731,F1731/V1731)/Dashboard!$F$11</f>
        <v>73.574108877320157</v>
      </c>
      <c r="F1731" s="359">
        <f t="shared" si="1717"/>
        <v>11057584.248418849</v>
      </c>
      <c r="G1731" s="359">
        <f>'DRE + DCF'!$W$31</f>
        <v>2791623.3540418856</v>
      </c>
      <c r="H1731" s="359">
        <f>'DRE + DCF'!$W$32</f>
        <v>81081.931703745853</v>
      </c>
      <c r="I1731" s="359">
        <f>-H1731*('DRE + DCF'!$V$33+K1731)/'DRE + DCF'!$V$33</f>
        <v>-90858.801614444121</v>
      </c>
      <c r="J1731" s="359">
        <f>-'DRE + DCF'!$V$56*L1731</f>
        <v>-1188924.4255577971</v>
      </c>
      <c r="K1731" s="360">
        <f>(1+L1731)/(1+Ke!$O$12)-1</f>
        <v>2.0000000000000018E-2</v>
      </c>
      <c r="L1731" s="360">
        <f>'DRE + DCF'!$Y$31</f>
        <v>7.3550000000000004E-2</v>
      </c>
      <c r="M1731" s="361">
        <f>(1+D1731)^((5-Dashboard!$F$9)*3/12)</f>
        <v>1.1792321672002781</v>
      </c>
      <c r="N1731" s="361">
        <f t="shared" ref="N1731:V1731" si="1772">M1731*(1+$D1731)</f>
        <v>1.4691463955064525</v>
      </c>
      <c r="O1731" s="361">
        <f t="shared" si="1772"/>
        <v>1.8303360368416965</v>
      </c>
      <c r="P1731" s="361">
        <f t="shared" si="1772"/>
        <v>2.2803241514992059</v>
      </c>
      <c r="Q1731" s="361">
        <f t="shared" si="1772"/>
        <v>2.8409418441452585</v>
      </c>
      <c r="R1731" s="361">
        <f t="shared" si="1772"/>
        <v>3.5393873965283364</v>
      </c>
      <c r="S1731" s="361">
        <f t="shared" si="1772"/>
        <v>4.4095457879647864</v>
      </c>
      <c r="T1731" s="361">
        <f t="shared" si="1772"/>
        <v>5.4936326199358767</v>
      </c>
      <c r="U1731" s="361">
        <f t="shared" si="1772"/>
        <v>6.8442421995470468</v>
      </c>
      <c r="V1731" s="362">
        <f t="shared" si="1772"/>
        <v>8.5268991443056077</v>
      </c>
      <c r="X1731" s="351"/>
    </row>
    <row r="1732" spans="3:24" ht="24.75" customHeight="1" x14ac:dyDescent="0.3">
      <c r="C1732" s="353">
        <f>ABS(E1732-Dashboard!$F$14)</f>
        <v>23.464199558466731</v>
      </c>
      <c r="D1732" s="350">
        <f t="shared" si="1719"/>
        <v>0.24594999999998815</v>
      </c>
      <c r="E1732" s="359" cm="1">
        <f t="array" ref="E1732">1000*SUM('DRE + DCF'!$L$36/M1732,'DRE + DCF'!$N$36:$V$36/N1732:V1732,F1732/V1732)/Dashboard!$F$11</f>
        <v>73.525800441533264</v>
      </c>
      <c r="F1732" s="359">
        <f t="shared" si="1717"/>
        <v>11052227.58592014</v>
      </c>
      <c r="G1732" s="359">
        <f>'DRE + DCF'!$W$31</f>
        <v>2791623.3540418856</v>
      </c>
      <c r="H1732" s="359">
        <f>'DRE + DCF'!$W$32</f>
        <v>81081.931703745853</v>
      </c>
      <c r="I1732" s="359">
        <f>-H1732*('DRE + DCF'!$V$33+K1732)/'DRE + DCF'!$V$33</f>
        <v>-90858.801614444121</v>
      </c>
      <c r="J1732" s="359">
        <f>-'DRE + DCF'!$V$56*L1732</f>
        <v>-1188924.4255577971</v>
      </c>
      <c r="K1732" s="360">
        <f>(1+L1732)/(1+Ke!$O$12)-1</f>
        <v>2.0000000000000018E-2</v>
      </c>
      <c r="L1732" s="360">
        <f>'DRE + DCF'!$Y$31</f>
        <v>7.3550000000000004E-2</v>
      </c>
      <c r="M1732" s="361">
        <f>(1+D1732)^((5-Dashboard!$F$9)*3/12)</f>
        <v>1.1793031561035967</v>
      </c>
      <c r="N1732" s="361">
        <f t="shared" ref="N1732:V1732" si="1773">M1732*(1+$D1732)</f>
        <v>1.4693527673472624</v>
      </c>
      <c r="O1732" s="361">
        <f t="shared" si="1773"/>
        <v>1.8307400804763041</v>
      </c>
      <c r="P1732" s="361">
        <f t="shared" si="1773"/>
        <v>2.2810106032694293</v>
      </c>
      <c r="Q1732" s="361">
        <f t="shared" si="1773"/>
        <v>2.8420251611435181</v>
      </c>
      <c r="R1732" s="361">
        <f t="shared" si="1773"/>
        <v>3.5410212495267328</v>
      </c>
      <c r="S1732" s="361">
        <f t="shared" si="1773"/>
        <v>4.4119354258477905</v>
      </c>
      <c r="T1732" s="361">
        <f t="shared" si="1773"/>
        <v>5.4970509438350019</v>
      </c>
      <c r="U1732" s="361">
        <f t="shared" si="1773"/>
        <v>6.8490506234711557</v>
      </c>
      <c r="V1732" s="362">
        <f t="shared" si="1773"/>
        <v>8.5335746243138058</v>
      </c>
      <c r="X1732" s="351"/>
    </row>
    <row r="1733" spans="3:24" ht="24.75" customHeight="1" x14ac:dyDescent="0.3">
      <c r="C1733" s="353">
        <f>ABS(E1733-Dashboard!$F$14)</f>
        <v>23.512452620128727</v>
      </c>
      <c r="D1733" s="350">
        <f t="shared" si="1719"/>
        <v>0.24604999999998814</v>
      </c>
      <c r="E1733" s="359" cm="1">
        <f t="array" ref="E1733">1000*SUM('DRE + DCF'!$L$36/M1733,'DRE + DCF'!$N$36:$V$36/N1733:V1733,F1733/V1733)/Dashboard!$F$11</f>
        <v>73.477547379871268</v>
      </c>
      <c r="F1733" s="359">
        <f t="shared" si="1717"/>
        <v>11046876.275165062</v>
      </c>
      <c r="G1733" s="359">
        <f>'DRE + DCF'!$W$31</f>
        <v>2791623.3540418856</v>
      </c>
      <c r="H1733" s="359">
        <f>'DRE + DCF'!$W$32</f>
        <v>81081.931703745853</v>
      </c>
      <c r="I1733" s="359">
        <f>-H1733*('DRE + DCF'!$V$33+K1733)/'DRE + DCF'!$V$33</f>
        <v>-90858.801614444121</v>
      </c>
      <c r="J1733" s="359">
        <f>-'DRE + DCF'!$V$56*L1733</f>
        <v>-1188924.4255577971</v>
      </c>
      <c r="K1733" s="360">
        <f>(1+L1733)/(1+Ke!$O$12)-1</f>
        <v>2.0000000000000018E-2</v>
      </c>
      <c r="L1733" s="360">
        <f>'DRE + DCF'!$Y$31</f>
        <v>7.3550000000000004E-2</v>
      </c>
      <c r="M1733" s="361">
        <f>(1+D1733)^((5-Dashboard!$F$9)*3/12)</f>
        <v>1.1793741435825364</v>
      </c>
      <c r="N1733" s="361">
        <f t="shared" ref="N1733:V1733" si="1774">M1733*(1+$D1733)</f>
        <v>1.4695591516110056</v>
      </c>
      <c r="O1733" s="361">
        <f t="shared" si="1774"/>
        <v>1.8311441808648761</v>
      </c>
      <c r="P1733" s="361">
        <f t="shared" si="1774"/>
        <v>2.281697206566657</v>
      </c>
      <c r="Q1733" s="361">
        <f t="shared" si="1774"/>
        <v>2.8431088042423558</v>
      </c>
      <c r="R1733" s="361">
        <f t="shared" si="1774"/>
        <v>3.5426557255261537</v>
      </c>
      <c r="S1733" s="361">
        <f t="shared" si="1774"/>
        <v>4.4143261667918221</v>
      </c>
      <c r="T1733" s="361">
        <f t="shared" si="1774"/>
        <v>5.5004711201308973</v>
      </c>
      <c r="U1733" s="361">
        <f t="shared" si="1774"/>
        <v>6.853862039239039</v>
      </c>
      <c r="V1733" s="362">
        <f t="shared" si="1774"/>
        <v>8.5402547939937232</v>
      </c>
      <c r="X1733" s="351"/>
    </row>
    <row r="1734" spans="3:24" ht="24.75" customHeight="1" x14ac:dyDescent="0.3">
      <c r="C1734" s="353">
        <f>ABS(E1734-Dashboard!$F$14)</f>
        <v>23.560650396552958</v>
      </c>
      <c r="D1734" s="350">
        <f t="shared" si="1719"/>
        <v>0.24614999999998813</v>
      </c>
      <c r="E1734" s="359" cm="1">
        <f t="array" ref="E1734">1000*SUM('DRE + DCF'!$L$36/M1734,'DRE + DCF'!$N$36:$V$36/N1734:V1734,F1734/V1734)/Dashboard!$F$11</f>
        <v>73.429349603447037</v>
      </c>
      <c r="F1734" s="359">
        <f t="shared" si="1717"/>
        <v>11041530.307897786</v>
      </c>
      <c r="G1734" s="359">
        <f>'DRE + DCF'!$W$31</f>
        <v>2791623.3540418856</v>
      </c>
      <c r="H1734" s="359">
        <f>'DRE + DCF'!$W$32</f>
        <v>81081.931703745853</v>
      </c>
      <c r="I1734" s="359">
        <f>-H1734*('DRE + DCF'!$V$33+K1734)/'DRE + DCF'!$V$33</f>
        <v>-90858.801614444121</v>
      </c>
      <c r="J1734" s="359">
        <f>-'DRE + DCF'!$V$56*L1734</f>
        <v>-1188924.4255577971</v>
      </c>
      <c r="K1734" s="360">
        <f>(1+L1734)/(1+Ke!$O$12)-1</f>
        <v>2.0000000000000018E-2</v>
      </c>
      <c r="L1734" s="360">
        <f>'DRE + DCF'!$Y$31</f>
        <v>7.3550000000000004E-2</v>
      </c>
      <c r="M1734" s="361">
        <f>(1+D1734)^((5-Dashboard!$F$9)*3/12)</f>
        <v>1.1794451296372404</v>
      </c>
      <c r="N1734" s="361">
        <f t="shared" ref="N1734:V1734" si="1775">M1734*(1+$D1734)</f>
        <v>1.469765548297433</v>
      </c>
      <c r="O1734" s="361">
        <f t="shared" si="1775"/>
        <v>1.8315483380108286</v>
      </c>
      <c r="P1734" s="361">
        <f t="shared" si="1775"/>
        <v>2.2823839614121724</v>
      </c>
      <c r="Q1734" s="361">
        <f t="shared" si="1775"/>
        <v>2.8441927735137513</v>
      </c>
      <c r="R1734" s="361">
        <f t="shared" si="1775"/>
        <v>3.5442908247141274</v>
      </c>
      <c r="S1734" s="361">
        <f t="shared" si="1775"/>
        <v>4.4167180112174673</v>
      </c>
      <c r="T1734" s="361">
        <f t="shared" si="1775"/>
        <v>5.5038931496785946</v>
      </c>
      <c r="U1734" s="361">
        <f t="shared" si="1775"/>
        <v>6.8586764484719147</v>
      </c>
      <c r="V1734" s="362">
        <f t="shared" si="1775"/>
        <v>8.546939656263195</v>
      </c>
      <c r="X1734" s="351"/>
    </row>
    <row r="1735" spans="3:24" ht="24.75" customHeight="1" x14ac:dyDescent="0.3">
      <c r="C1735" s="353">
        <f>ABS(E1735-Dashboard!$F$14)</f>
        <v>23.608792976440668</v>
      </c>
      <c r="D1735" s="350">
        <f t="shared" si="1719"/>
        <v>0.24624999999998812</v>
      </c>
      <c r="E1735" s="359" cm="1">
        <f t="array" ref="E1735">1000*SUM('DRE + DCF'!$L$36/M1735,'DRE + DCF'!$N$36:$V$36/N1735:V1735,F1735/V1735)/Dashboard!$F$11</f>
        <v>73.381207023559327</v>
      </c>
      <c r="F1735" s="359">
        <f t="shared" si="1717"/>
        <v>11036189.675879925</v>
      </c>
      <c r="G1735" s="359">
        <f>'DRE + DCF'!$W$31</f>
        <v>2791623.3540418856</v>
      </c>
      <c r="H1735" s="359">
        <f>'DRE + DCF'!$W$32</f>
        <v>81081.931703745853</v>
      </c>
      <c r="I1735" s="359">
        <f>-H1735*('DRE + DCF'!$V$33+K1735)/'DRE + DCF'!$V$33</f>
        <v>-90858.801614444121</v>
      </c>
      <c r="J1735" s="359">
        <f>-'DRE + DCF'!$V$56*L1735</f>
        <v>-1188924.4255577971</v>
      </c>
      <c r="K1735" s="360">
        <f>(1+L1735)/(1+Ke!$O$12)-1</f>
        <v>2.0000000000000018E-2</v>
      </c>
      <c r="L1735" s="360">
        <f>'DRE + DCF'!$Y$31</f>
        <v>7.3550000000000004E-2</v>
      </c>
      <c r="M1735" s="361">
        <f>(1+D1735)^((5-Dashboard!$F$9)*3/12)</f>
        <v>1.1795161142678512</v>
      </c>
      <c r="N1735" s="361">
        <f t="shared" ref="N1735:V1735" si="1776">M1735*(1+$D1735)</f>
        <v>1.4699719574062955</v>
      </c>
      <c r="O1735" s="361">
        <f t="shared" si="1776"/>
        <v>1.8319525519175783</v>
      </c>
      <c r="P1735" s="361">
        <f t="shared" si="1776"/>
        <v>2.2830708678272602</v>
      </c>
      <c r="Q1735" s="361">
        <f t="shared" si="1776"/>
        <v>2.845277069029696</v>
      </c>
      <c r="R1735" s="361">
        <f t="shared" si="1776"/>
        <v>3.5459265472782246</v>
      </c>
      <c r="S1735" s="361">
        <f t="shared" si="1776"/>
        <v>4.4191109595454456</v>
      </c>
      <c r="T1735" s="361">
        <f t="shared" si="1776"/>
        <v>5.5073170333334591</v>
      </c>
      <c r="U1735" s="361">
        <f t="shared" si="1776"/>
        <v>6.8634938527917582</v>
      </c>
      <c r="V1735" s="362">
        <f t="shared" si="1776"/>
        <v>8.5536292140416474</v>
      </c>
      <c r="X1735" s="351"/>
    </row>
    <row r="1736" spans="3:24" ht="24.75" customHeight="1" x14ac:dyDescent="0.3">
      <c r="C1736" s="353">
        <f>ABS(E1736-Dashboard!$F$14)</f>
        <v>23.656880448307703</v>
      </c>
      <c r="D1736" s="350">
        <f t="shared" si="1719"/>
        <v>0.24634999999998811</v>
      </c>
      <c r="E1736" s="359" cm="1">
        <f t="array" ref="E1736">1000*SUM('DRE + DCF'!$L$36/M1736,'DRE + DCF'!$N$36:$V$36/N1736:V1736,F1736/V1736)/Dashboard!$F$11</f>
        <v>73.333119551692292</v>
      </c>
      <c r="F1736" s="359">
        <f t="shared" si="1717"/>
        <v>11030854.370890457</v>
      </c>
      <c r="G1736" s="359">
        <f>'DRE + DCF'!$W$31</f>
        <v>2791623.3540418856</v>
      </c>
      <c r="H1736" s="359">
        <f>'DRE + DCF'!$W$32</f>
        <v>81081.931703745853</v>
      </c>
      <c r="I1736" s="359">
        <f>-H1736*('DRE + DCF'!$V$33+K1736)/'DRE + DCF'!$V$33</f>
        <v>-90858.801614444121</v>
      </c>
      <c r="J1736" s="359">
        <f>-'DRE + DCF'!$V$56*L1736</f>
        <v>-1188924.4255577971</v>
      </c>
      <c r="K1736" s="360">
        <f>(1+L1736)/(1+Ke!$O$12)-1</f>
        <v>2.0000000000000018E-2</v>
      </c>
      <c r="L1736" s="360">
        <f>'DRE + DCF'!$Y$31</f>
        <v>7.3550000000000004E-2</v>
      </c>
      <c r="M1736" s="361">
        <f>(1+D1736)^((5-Dashboard!$F$9)*3/12)</f>
        <v>1.1795870974745117</v>
      </c>
      <c r="N1736" s="361">
        <f t="shared" ref="N1736:V1736" si="1777">M1736*(1+$D1736)</f>
        <v>1.4701783789373437</v>
      </c>
      <c r="O1736" s="361">
        <f t="shared" si="1777"/>
        <v>1.8323568225885407</v>
      </c>
      <c r="P1736" s="361">
        <f t="shared" si="1777"/>
        <v>2.2837579258332057</v>
      </c>
      <c r="Q1736" s="361">
        <f t="shared" si="1777"/>
        <v>2.8463616908621887</v>
      </c>
      <c r="R1736" s="361">
        <f t="shared" si="1777"/>
        <v>3.547562893406055</v>
      </c>
      <c r="S1736" s="361">
        <f t="shared" si="1777"/>
        <v>4.4215050121965946</v>
      </c>
      <c r="T1736" s="361">
        <f t="shared" si="1777"/>
        <v>5.5107427719511728</v>
      </c>
      <c r="U1736" s="361">
        <f t="shared" si="1777"/>
        <v>6.8683142538212785</v>
      </c>
      <c r="V1736" s="362">
        <f t="shared" si="1777"/>
        <v>8.5603234702500686</v>
      </c>
      <c r="X1736" s="351"/>
    </row>
    <row r="1737" spans="3:24" ht="24.75" customHeight="1" x14ac:dyDescent="0.3">
      <c r="C1737" s="353">
        <f>ABS(E1737-Dashboard!$F$14)</f>
        <v>23.704912900485169</v>
      </c>
      <c r="D1737" s="350">
        <f t="shared" si="1719"/>
        <v>0.2464499999999881</v>
      </c>
      <c r="E1737" s="359" cm="1">
        <f t="array" ref="E1737">1000*SUM('DRE + DCF'!$L$36/M1737,'DRE + DCF'!$N$36:$V$36/N1737:V1737,F1737/V1737)/Dashboard!$F$11</f>
        <v>73.285087099514826</v>
      </c>
      <c r="F1737" s="359">
        <f t="shared" si="1717"/>
        <v>11025524.384725692</v>
      </c>
      <c r="G1737" s="359">
        <f>'DRE + DCF'!$W$31</f>
        <v>2791623.3540418856</v>
      </c>
      <c r="H1737" s="359">
        <f>'DRE + DCF'!$W$32</f>
        <v>81081.931703745853</v>
      </c>
      <c r="I1737" s="359">
        <f>-H1737*('DRE + DCF'!$V$33+K1737)/'DRE + DCF'!$V$33</f>
        <v>-90858.801614444121</v>
      </c>
      <c r="J1737" s="359">
        <f>-'DRE + DCF'!$V$56*L1737</f>
        <v>-1188924.4255577971</v>
      </c>
      <c r="K1737" s="360">
        <f>(1+L1737)/(1+Ke!$O$12)-1</f>
        <v>2.0000000000000018E-2</v>
      </c>
      <c r="L1737" s="360">
        <f>'DRE + DCF'!$Y$31</f>
        <v>7.3550000000000004E-2</v>
      </c>
      <c r="M1737" s="361">
        <f>(1+D1737)^((5-Dashboard!$F$9)*3/12)</f>
        <v>1.179658079257365</v>
      </c>
      <c r="N1737" s="361">
        <f t="shared" ref="N1737:V1737" si="1778">M1737*(1+$D1737)</f>
        <v>1.4703848128903285</v>
      </c>
      <c r="O1737" s="361">
        <f t="shared" si="1778"/>
        <v>1.8327611500271324</v>
      </c>
      <c r="P1737" s="361">
        <f t="shared" si="1778"/>
        <v>2.2844451354512971</v>
      </c>
      <c r="Q1737" s="361">
        <f t="shared" si="1778"/>
        <v>2.847446639083242</v>
      </c>
      <c r="R1737" s="361">
        <f t="shared" si="1778"/>
        <v>3.5491998632852733</v>
      </c>
      <c r="S1737" s="361">
        <f t="shared" si="1778"/>
        <v>4.4239001695918869</v>
      </c>
      <c r="T1737" s="361">
        <f t="shared" si="1778"/>
        <v>5.5141703663877548</v>
      </c>
      <c r="U1737" s="361">
        <f t="shared" si="1778"/>
        <v>6.8731376531839512</v>
      </c>
      <c r="V1737" s="362">
        <f t="shared" si="1778"/>
        <v>8.5670224278110538</v>
      </c>
      <c r="X1737" s="351"/>
    </row>
    <row r="1738" spans="3:24" ht="24.75" customHeight="1" x14ac:dyDescent="0.3">
      <c r="C1738" s="353">
        <f>ABS(E1738-Dashboard!$F$14)</f>
        <v>23.752890421119673</v>
      </c>
      <c r="D1738" s="350">
        <f t="shared" si="1719"/>
        <v>0.24654999999998808</v>
      </c>
      <c r="E1738" s="359" cm="1">
        <f t="array" ref="E1738">1000*SUM('DRE + DCF'!$L$36/M1738,'DRE + DCF'!$N$36:$V$36/N1738:V1738,F1738/V1738)/Dashboard!$F$11</f>
        <v>73.237109578880322</v>
      </c>
      <c r="F1738" s="359">
        <f t="shared" si="1717"/>
        <v>11020199.709199227</v>
      </c>
      <c r="G1738" s="359">
        <f>'DRE + DCF'!$W$31</f>
        <v>2791623.3540418856</v>
      </c>
      <c r="H1738" s="359">
        <f>'DRE + DCF'!$W$32</f>
        <v>81081.931703745853</v>
      </c>
      <c r="I1738" s="359">
        <f>-H1738*('DRE + DCF'!$V$33+K1738)/'DRE + DCF'!$V$33</f>
        <v>-90858.801614444121</v>
      </c>
      <c r="J1738" s="359">
        <f>-'DRE + DCF'!$V$56*L1738</f>
        <v>-1188924.4255577971</v>
      </c>
      <c r="K1738" s="360">
        <f>(1+L1738)/(1+Ke!$O$12)-1</f>
        <v>2.0000000000000018E-2</v>
      </c>
      <c r="L1738" s="360">
        <f>'DRE + DCF'!$Y$31</f>
        <v>7.3550000000000004E-2</v>
      </c>
      <c r="M1738" s="361">
        <f>(1+D1738)^((5-Dashboard!$F$9)*3/12)</f>
        <v>1.1797290596165535</v>
      </c>
      <c r="N1738" s="361">
        <f t="shared" ref="N1738:V1738" si="1779">M1738*(1+$D1738)</f>
        <v>1.4705912592650008</v>
      </c>
      <c r="O1738" s="361">
        <f t="shared" si="1779"/>
        <v>1.8331655342367692</v>
      </c>
      <c r="P1738" s="361">
        <f t="shared" si="1779"/>
        <v>2.2851324967028228</v>
      </c>
      <c r="Q1738" s="361">
        <f t="shared" si="1779"/>
        <v>2.8485319137648766</v>
      </c>
      <c r="R1738" s="361">
        <f t="shared" si="1779"/>
        <v>3.5508374571035728</v>
      </c>
      <c r="S1738" s="361">
        <f t="shared" si="1779"/>
        <v>4.4262964321524159</v>
      </c>
      <c r="T1738" s="361">
        <f t="shared" si="1779"/>
        <v>5.5175998174995415</v>
      </c>
      <c r="U1738" s="361">
        <f t="shared" si="1779"/>
        <v>6.8779640525039873</v>
      </c>
      <c r="V1738" s="362">
        <f t="shared" si="1779"/>
        <v>8.5737260896487637</v>
      </c>
      <c r="X1738" s="351"/>
    </row>
    <row r="1739" spans="3:24" ht="24.75" customHeight="1" x14ac:dyDescent="0.3">
      <c r="C1739" s="353">
        <f>ABS(E1739-Dashboard!$F$14)</f>
        <v>23.800813098173975</v>
      </c>
      <c r="D1739" s="350">
        <f t="shared" si="1719"/>
        <v>0.24664999999998807</v>
      </c>
      <c r="E1739" s="359" cm="1">
        <f t="array" ref="E1739">1000*SUM('DRE + DCF'!$L$36/M1739,'DRE + DCF'!$N$36:$V$36/N1739:V1739,F1739/V1739)/Dashboard!$F$11</f>
        <v>73.189186901826019</v>
      </c>
      <c r="F1739" s="359">
        <f t="shared" si="1717"/>
        <v>11014880.336141892</v>
      </c>
      <c r="G1739" s="359">
        <f>'DRE + DCF'!$W$31</f>
        <v>2791623.3540418856</v>
      </c>
      <c r="H1739" s="359">
        <f>'DRE + DCF'!$W$32</f>
        <v>81081.931703745853</v>
      </c>
      <c r="I1739" s="359">
        <f>-H1739*('DRE + DCF'!$V$33+K1739)/'DRE + DCF'!$V$33</f>
        <v>-90858.801614444121</v>
      </c>
      <c r="J1739" s="359">
        <f>-'DRE + DCF'!$V$56*L1739</f>
        <v>-1188924.4255577971</v>
      </c>
      <c r="K1739" s="360">
        <f>(1+L1739)/(1+Ke!$O$12)-1</f>
        <v>2.0000000000000018E-2</v>
      </c>
      <c r="L1739" s="360">
        <f>'DRE + DCF'!$Y$31</f>
        <v>7.3550000000000004E-2</v>
      </c>
      <c r="M1739" s="361">
        <f>(1+D1739)^((5-Dashboard!$F$9)*3/12)</f>
        <v>1.1798000385522203</v>
      </c>
      <c r="N1739" s="361">
        <f t="shared" ref="N1739:V1739" si="1780">M1739*(1+$D1739)</f>
        <v>1.4707977180611114</v>
      </c>
      <c r="O1739" s="361">
        <f t="shared" si="1780"/>
        <v>1.833569975220867</v>
      </c>
      <c r="P1739" s="361">
        <f t="shared" si="1780"/>
        <v>2.2858200096090719</v>
      </c>
      <c r="Q1739" s="361">
        <f t="shared" si="1780"/>
        <v>2.8496175149791223</v>
      </c>
      <c r="R1739" s="361">
        <f t="shared" si="1780"/>
        <v>3.5524756750486888</v>
      </c>
      <c r="S1739" s="361">
        <f t="shared" si="1780"/>
        <v>4.4286938002994054</v>
      </c>
      <c r="T1739" s="361">
        <f t="shared" si="1780"/>
        <v>5.5210311261432006</v>
      </c>
      <c r="U1739" s="361">
        <f t="shared" si="1780"/>
        <v>6.8827934534063546</v>
      </c>
      <c r="V1739" s="362">
        <f t="shared" si="1780"/>
        <v>8.5804344586889503</v>
      </c>
      <c r="X1739" s="351"/>
    </row>
    <row r="1740" spans="3:24" ht="24.75" customHeight="1" x14ac:dyDescent="0.3">
      <c r="C1740" s="353">
        <f>ABS(E1740-Dashboard!$F$14)</f>
        <v>23.848681019427431</v>
      </c>
      <c r="D1740" s="350">
        <f t="shared" si="1719"/>
        <v>0.24674999999998806</v>
      </c>
      <c r="E1740" s="359" cm="1">
        <f t="array" ref="E1740">1000*SUM('DRE + DCF'!$L$36/M1740,'DRE + DCF'!$N$36:$V$36/N1740:V1740,F1740/V1740)/Dashboard!$F$11</f>
        <v>73.141318980572564</v>
      </c>
      <c r="F1740" s="359">
        <f t="shared" si="1717"/>
        <v>11009566.257401705</v>
      </c>
      <c r="G1740" s="359">
        <f>'DRE + DCF'!$W$31</f>
        <v>2791623.3540418856</v>
      </c>
      <c r="H1740" s="359">
        <f>'DRE + DCF'!$W$32</f>
        <v>81081.931703745853</v>
      </c>
      <c r="I1740" s="359">
        <f>-H1740*('DRE + DCF'!$V$33+K1740)/'DRE + DCF'!$V$33</f>
        <v>-90858.801614444121</v>
      </c>
      <c r="J1740" s="359">
        <f>-'DRE + DCF'!$V$56*L1740</f>
        <v>-1188924.4255577971</v>
      </c>
      <c r="K1740" s="360">
        <f>(1+L1740)/(1+Ke!$O$12)-1</f>
        <v>2.0000000000000018E-2</v>
      </c>
      <c r="L1740" s="360">
        <f>'DRE + DCF'!$Y$31</f>
        <v>7.3550000000000004E-2</v>
      </c>
      <c r="M1740" s="361">
        <f>(1+D1740)^((5-Dashboard!$F$9)*3/12)</f>
        <v>1.1798710160645076</v>
      </c>
      <c r="N1740" s="361">
        <f t="shared" ref="N1740:V1740" si="1781">M1740*(1+$D1740)</f>
        <v>1.4710041892784107</v>
      </c>
      <c r="O1740" s="361">
        <f t="shared" si="1781"/>
        <v>1.8339744729828409</v>
      </c>
      <c r="P1740" s="361">
        <f t="shared" si="1781"/>
        <v>2.286507674191335</v>
      </c>
      <c r="Q1740" s="361">
        <f t="shared" si="1781"/>
        <v>2.8507034427980198</v>
      </c>
      <c r="R1740" s="361">
        <f t="shared" si="1781"/>
        <v>3.5541145173083972</v>
      </c>
      <c r="S1740" s="361">
        <f t="shared" si="1781"/>
        <v>4.4310922744542021</v>
      </c>
      <c r="T1740" s="361">
        <f t="shared" si="1781"/>
        <v>5.5244642931757237</v>
      </c>
      <c r="U1740" s="361">
        <f t="shared" si="1781"/>
        <v>6.8876258575167677</v>
      </c>
      <c r="V1740" s="362">
        <f t="shared" si="1781"/>
        <v>8.5871475378589484</v>
      </c>
      <c r="X1740" s="351"/>
    </row>
    <row r="1741" spans="3:24" ht="24.75" customHeight="1" x14ac:dyDescent="0.3">
      <c r="C1741" s="353">
        <f>ABS(E1741-Dashboard!$F$14)</f>
        <v>23.896494272476446</v>
      </c>
      <c r="D1741" s="350">
        <f t="shared" si="1719"/>
        <v>0.24684999999998805</v>
      </c>
      <c r="E1741" s="359" cm="1">
        <f t="array" ref="E1741">1000*SUM('DRE + DCF'!$L$36/M1741,'DRE + DCF'!$N$36:$V$36/N1741:V1741,F1741/V1741)/Dashboard!$F$11</f>
        <v>73.093505727523549</v>
      </c>
      <c r="F1741" s="359">
        <f t="shared" si="1717"/>
        <v>11004257.464843832</v>
      </c>
      <c r="G1741" s="359">
        <f>'DRE + DCF'!$W$31</f>
        <v>2791623.3540418856</v>
      </c>
      <c r="H1741" s="359">
        <f>'DRE + DCF'!$W$32</f>
        <v>81081.931703745853</v>
      </c>
      <c r="I1741" s="359">
        <f>-H1741*('DRE + DCF'!$V$33+K1741)/'DRE + DCF'!$V$33</f>
        <v>-90858.801614444121</v>
      </c>
      <c r="J1741" s="359">
        <f>-'DRE + DCF'!$V$56*L1741</f>
        <v>-1188924.4255577971</v>
      </c>
      <c r="K1741" s="360">
        <f>(1+L1741)/(1+Ke!$O$12)-1</f>
        <v>2.0000000000000018E-2</v>
      </c>
      <c r="L1741" s="360">
        <f>'DRE + DCF'!$Y$31</f>
        <v>7.3550000000000004E-2</v>
      </c>
      <c r="M1741" s="361">
        <f>(1+D1741)^((5-Dashboard!$F$9)*3/12)</f>
        <v>1.1799419921535588</v>
      </c>
      <c r="N1741" s="361">
        <f t="shared" ref="N1741:V1741" si="1782">M1741*(1+$D1741)</f>
        <v>1.4712106729166505</v>
      </c>
      <c r="O1741" s="361">
        <f t="shared" si="1782"/>
        <v>1.834379027526108</v>
      </c>
      <c r="P1741" s="361">
        <f t="shared" si="1782"/>
        <v>2.2871954904709058</v>
      </c>
      <c r="Q1741" s="361">
        <f t="shared" si="1782"/>
        <v>2.8517896972936216</v>
      </c>
      <c r="R1741" s="361">
        <f t="shared" si="1782"/>
        <v>3.5557539840705181</v>
      </c>
      <c r="S1741" s="361">
        <f t="shared" si="1782"/>
        <v>4.4334918550382829</v>
      </c>
      <c r="T1741" s="361">
        <f t="shared" si="1782"/>
        <v>5.5278993194544297</v>
      </c>
      <c r="U1741" s="361">
        <f t="shared" si="1782"/>
        <v>6.8924612664616891</v>
      </c>
      <c r="V1741" s="362">
        <f t="shared" si="1782"/>
        <v>8.5938653300876737</v>
      </c>
      <c r="X1741" s="351"/>
    </row>
    <row r="1742" spans="3:24" ht="24.75" customHeight="1" x14ac:dyDescent="0.3">
      <c r="C1742" s="353">
        <f>ABS(E1742-Dashboard!$F$14)</f>
        <v>23.94425294473497</v>
      </c>
      <c r="D1742" s="350">
        <f t="shared" si="1719"/>
        <v>0.24694999999998804</v>
      </c>
      <c r="E1742" s="359" cm="1">
        <f t="array" ref="E1742">1000*SUM('DRE + DCF'!$L$36/M1742,'DRE + DCF'!$N$36:$V$36/N1742:V1742,F1742/V1742)/Dashboard!$F$11</f>
        <v>73.045747055265025</v>
      </c>
      <c r="F1742" s="359">
        <f t="shared" ref="F1742:F1805" si="1783">AVERAGE(SUM(G1742:J1742)*(1+L1742)/(D1742-L1742),G1742*(1+L1742)*(1-L1742/D1742)/(D1742-L1742))</f>
        <v>10998953.950350534</v>
      </c>
      <c r="G1742" s="359">
        <f>'DRE + DCF'!$W$31</f>
        <v>2791623.3540418856</v>
      </c>
      <c r="H1742" s="359">
        <f>'DRE + DCF'!$W$32</f>
        <v>81081.931703745853</v>
      </c>
      <c r="I1742" s="359">
        <f>-H1742*('DRE + DCF'!$V$33+K1742)/'DRE + DCF'!$V$33</f>
        <v>-90858.801614444121</v>
      </c>
      <c r="J1742" s="359">
        <f>-'DRE + DCF'!$V$56*L1742</f>
        <v>-1188924.4255577971</v>
      </c>
      <c r="K1742" s="360">
        <f>(1+L1742)/(1+Ke!$O$12)-1</f>
        <v>2.0000000000000018E-2</v>
      </c>
      <c r="L1742" s="360">
        <f>'DRE + DCF'!$Y$31</f>
        <v>7.3550000000000004E-2</v>
      </c>
      <c r="M1742" s="361">
        <f>(1+D1742)^((5-Dashboard!$F$9)*3/12)</f>
        <v>1.1800129668195163</v>
      </c>
      <c r="N1742" s="361">
        <f t="shared" ref="N1742:V1742" si="1784">M1742*(1+$D1742)</f>
        <v>1.4714171689755817</v>
      </c>
      <c r="O1742" s="361">
        <f t="shared" si="1784"/>
        <v>1.8347836388540839</v>
      </c>
      <c r="P1742" s="361">
        <f t="shared" si="1784"/>
        <v>2.2878834584690781</v>
      </c>
      <c r="Q1742" s="361">
        <f t="shared" si="1784"/>
        <v>2.8528762785379898</v>
      </c>
      <c r="R1742" s="361">
        <f t="shared" si="1784"/>
        <v>3.5573940755229123</v>
      </c>
      <c r="S1742" s="361">
        <f t="shared" si="1784"/>
        <v>4.4358925424732529</v>
      </c>
      <c r="T1742" s="361">
        <f t="shared" si="1784"/>
        <v>5.5313362058369693</v>
      </c>
      <c r="U1742" s="361">
        <f t="shared" si="1784"/>
        <v>6.8972996818683425</v>
      </c>
      <c r="V1742" s="362">
        <f t="shared" si="1784"/>
        <v>8.6005878383056462</v>
      </c>
      <c r="X1742" s="351"/>
    </row>
    <row r="1743" spans="3:24" ht="24.75" customHeight="1" x14ac:dyDescent="0.3">
      <c r="C1743" s="353">
        <f>ABS(E1743-Dashboard!$F$14)</f>
        <v>23.991957123434915</v>
      </c>
      <c r="D1743" s="350">
        <f t="shared" ref="D1743:D1806" si="1785">D1742+0.0001</f>
        <v>0.24704999999998803</v>
      </c>
      <c r="E1743" s="359" cm="1">
        <f t="array" ref="E1743">1000*SUM('DRE + DCF'!$L$36/M1743,'DRE + DCF'!$N$36:$V$36/N1743:V1743,F1743/V1743)/Dashboard!$F$11</f>
        <v>72.99804287656508</v>
      </c>
      <c r="F1743" s="359">
        <f t="shared" si="1783"/>
        <v>10993655.705821127</v>
      </c>
      <c r="G1743" s="359">
        <f>'DRE + DCF'!$W$31</f>
        <v>2791623.3540418856</v>
      </c>
      <c r="H1743" s="359">
        <f>'DRE + DCF'!$W$32</f>
        <v>81081.931703745853</v>
      </c>
      <c r="I1743" s="359">
        <f>-H1743*('DRE + DCF'!$V$33+K1743)/'DRE + DCF'!$V$33</f>
        <v>-90858.801614444121</v>
      </c>
      <c r="J1743" s="359">
        <f>-'DRE + DCF'!$V$56*L1743</f>
        <v>-1188924.4255577971</v>
      </c>
      <c r="K1743" s="360">
        <f>(1+L1743)/(1+Ke!$O$12)-1</f>
        <v>2.0000000000000018E-2</v>
      </c>
      <c r="L1743" s="360">
        <f>'DRE + DCF'!$Y$31</f>
        <v>7.3550000000000004E-2</v>
      </c>
      <c r="M1743" s="361">
        <f>(1+D1743)^((5-Dashboard!$F$9)*3/12)</f>
        <v>1.1800839400625225</v>
      </c>
      <c r="N1743" s="361">
        <f t="shared" ref="N1743:V1743" si="1786">M1743*(1+$D1743)</f>
        <v>1.4716236774549545</v>
      </c>
      <c r="O1743" s="361">
        <f t="shared" si="1786"/>
        <v>1.8351883069701833</v>
      </c>
      <c r="P1743" s="361">
        <f t="shared" si="1786"/>
        <v>2.288571578207145</v>
      </c>
      <c r="Q1743" s="361">
        <f t="shared" si="1786"/>
        <v>2.8539631866031927</v>
      </c>
      <c r="R1743" s="361">
        <f t="shared" si="1786"/>
        <v>3.559034791853477</v>
      </c>
      <c r="S1743" s="361">
        <f t="shared" si="1786"/>
        <v>4.4382943371808361</v>
      </c>
      <c r="T1743" s="361">
        <f t="shared" si="1786"/>
        <v>5.5347749531813086</v>
      </c>
      <c r="U1743" s="361">
        <f t="shared" si="1786"/>
        <v>6.9021411053646844</v>
      </c>
      <c r="V1743" s="362">
        <f t="shared" si="1786"/>
        <v>8.6073150654449471</v>
      </c>
      <c r="X1743" s="351"/>
    </row>
    <row r="1744" spans="3:24" ht="24.75" customHeight="1" x14ac:dyDescent="0.3">
      <c r="C1744" s="353">
        <f>ABS(E1744-Dashboard!$F$14)</f>
        <v>24.039606895626761</v>
      </c>
      <c r="D1744" s="350">
        <f t="shared" si="1785"/>
        <v>0.24714999999998802</v>
      </c>
      <c r="E1744" s="359" cm="1">
        <f t="array" ref="E1744">1000*SUM('DRE + DCF'!$L$36/M1744,'DRE + DCF'!$N$36:$V$36/N1744:V1744,F1744/V1744)/Dashboard!$F$11</f>
        <v>72.950393104373234</v>
      </c>
      <c r="F1744" s="359">
        <f t="shared" si="1783"/>
        <v>10988362.723171927</v>
      </c>
      <c r="G1744" s="359">
        <f>'DRE + DCF'!$W$31</f>
        <v>2791623.3540418856</v>
      </c>
      <c r="H1744" s="359">
        <f>'DRE + DCF'!$W$32</f>
        <v>81081.931703745853</v>
      </c>
      <c r="I1744" s="359">
        <f>-H1744*('DRE + DCF'!$V$33+K1744)/'DRE + DCF'!$V$33</f>
        <v>-90858.801614444121</v>
      </c>
      <c r="J1744" s="359">
        <f>-'DRE + DCF'!$V$56*L1744</f>
        <v>-1188924.4255577971</v>
      </c>
      <c r="K1744" s="360">
        <f>(1+L1744)/(1+Ke!$O$12)-1</f>
        <v>2.0000000000000018E-2</v>
      </c>
      <c r="L1744" s="360">
        <f>'DRE + DCF'!$Y$31</f>
        <v>7.3550000000000004E-2</v>
      </c>
      <c r="M1744" s="361">
        <f>(1+D1744)^((5-Dashboard!$F$9)*3/12)</f>
        <v>1.1801549118827204</v>
      </c>
      <c r="N1744" s="361">
        <f t="shared" ref="N1744:V1744" si="1787">M1744*(1+$D1744)</f>
        <v>1.4718301983545206</v>
      </c>
      <c r="O1744" s="361">
        <f t="shared" si="1787"/>
        <v>1.8355930318778226</v>
      </c>
      <c r="P1744" s="361">
        <f t="shared" si="1787"/>
        <v>2.2892598497064043</v>
      </c>
      <c r="Q1744" s="361">
        <f t="shared" si="1787"/>
        <v>2.8550504215613146</v>
      </c>
      <c r="R1744" s="361">
        <f t="shared" si="1787"/>
        <v>3.5606761332501593</v>
      </c>
      <c r="S1744" s="361">
        <f t="shared" si="1787"/>
        <v>4.4406972395828932</v>
      </c>
      <c r="T1744" s="361">
        <f t="shared" si="1787"/>
        <v>5.5382155623457523</v>
      </c>
      <c r="U1744" s="361">
        <f t="shared" si="1787"/>
        <v>6.9069855385794385</v>
      </c>
      <c r="V1744" s="362">
        <f t="shared" si="1787"/>
        <v>8.6140470144392634</v>
      </c>
      <c r="X1744" s="351"/>
    </row>
    <row r="1745" spans="3:24" ht="24.75" customHeight="1" x14ac:dyDescent="0.3">
      <c r="C1745" s="353">
        <f>ABS(E1745-Dashboard!$F$14)</f>
        <v>24.087202348179915</v>
      </c>
      <c r="D1745" s="350">
        <f t="shared" si="1785"/>
        <v>0.24724999999998801</v>
      </c>
      <c r="E1745" s="359" cm="1">
        <f t="array" ref="E1745">1000*SUM('DRE + DCF'!$L$36/M1745,'DRE + DCF'!$N$36:$V$36/N1745:V1745,F1745/V1745)/Dashboard!$F$11</f>
        <v>72.90279765182008</v>
      </c>
      <c r="F1745" s="359">
        <f t="shared" si="1783"/>
        <v>10983074.994336221</v>
      </c>
      <c r="G1745" s="359">
        <f>'DRE + DCF'!$W$31</f>
        <v>2791623.3540418856</v>
      </c>
      <c r="H1745" s="359">
        <f>'DRE + DCF'!$W$32</f>
        <v>81081.931703745853</v>
      </c>
      <c r="I1745" s="359">
        <f>-H1745*('DRE + DCF'!$V$33+K1745)/'DRE + DCF'!$V$33</f>
        <v>-90858.801614444121</v>
      </c>
      <c r="J1745" s="359">
        <f>-'DRE + DCF'!$V$56*L1745</f>
        <v>-1188924.4255577971</v>
      </c>
      <c r="K1745" s="360">
        <f>(1+L1745)/(1+Ke!$O$12)-1</f>
        <v>2.0000000000000018E-2</v>
      </c>
      <c r="L1745" s="360">
        <f>'DRE + DCF'!$Y$31</f>
        <v>7.3550000000000004E-2</v>
      </c>
      <c r="M1745" s="361">
        <f>(1+D1745)^((5-Dashboard!$F$9)*3/12)</f>
        <v>1.1802258822802523</v>
      </c>
      <c r="N1745" s="361">
        <f t="shared" ref="N1745:V1745" si="1788">M1745*(1+$D1745)</f>
        <v>1.4720367316740304</v>
      </c>
      <c r="O1745" s="361">
        <f t="shared" si="1788"/>
        <v>1.8359978135804167</v>
      </c>
      <c r="P1745" s="361">
        <f t="shared" si="1788"/>
        <v>2.2899482729881528</v>
      </c>
      <c r="Q1745" s="361">
        <f t="shared" si="1788"/>
        <v>2.8561379834844463</v>
      </c>
      <c r="R1745" s="361">
        <f t="shared" si="1788"/>
        <v>3.5623180999009412</v>
      </c>
      <c r="S1745" s="361">
        <f t="shared" si="1788"/>
        <v>4.4431012501014058</v>
      </c>
      <c r="T1745" s="361">
        <f t="shared" si="1788"/>
        <v>5.5416580341889246</v>
      </c>
      <c r="U1745" s="361">
        <f t="shared" si="1788"/>
        <v>6.9118329831420695</v>
      </c>
      <c r="V1745" s="362">
        <f t="shared" si="1788"/>
        <v>8.6207836882238631</v>
      </c>
      <c r="X1745" s="351"/>
    </row>
    <row r="1746" spans="3:24" ht="24.75" customHeight="1" x14ac:dyDescent="0.3">
      <c r="C1746" s="353">
        <f>ABS(E1746-Dashboard!$F$14)</f>
        <v>24.13474356778319</v>
      </c>
      <c r="D1746" s="350">
        <f t="shared" si="1785"/>
        <v>0.247349999999988</v>
      </c>
      <c r="E1746" s="359" cm="1">
        <f t="array" ref="E1746">1000*SUM('DRE + DCF'!$L$36/M1746,'DRE + DCF'!$N$36:$V$36/N1746:V1746,F1746/V1746)/Dashboard!$F$11</f>
        <v>72.855256432216805</v>
      </c>
      <c r="F1746" s="359">
        <f t="shared" si="1783"/>
        <v>10977792.511264199</v>
      </c>
      <c r="G1746" s="359">
        <f>'DRE + DCF'!$W$31</f>
        <v>2791623.3540418856</v>
      </c>
      <c r="H1746" s="359">
        <f>'DRE + DCF'!$W$32</f>
        <v>81081.931703745853</v>
      </c>
      <c r="I1746" s="359">
        <f>-H1746*('DRE + DCF'!$V$33+K1746)/'DRE + DCF'!$V$33</f>
        <v>-90858.801614444121</v>
      </c>
      <c r="J1746" s="359">
        <f>-'DRE + DCF'!$V$56*L1746</f>
        <v>-1188924.4255577971</v>
      </c>
      <c r="K1746" s="360">
        <f>(1+L1746)/(1+Ke!$O$12)-1</f>
        <v>2.0000000000000018E-2</v>
      </c>
      <c r="L1746" s="360">
        <f>'DRE + DCF'!$Y$31</f>
        <v>7.3550000000000004E-2</v>
      </c>
      <c r="M1746" s="361">
        <f>(1+D1746)^((5-Dashboard!$F$9)*3/12)</f>
        <v>1.180296851255261</v>
      </c>
      <c r="N1746" s="361">
        <f t="shared" ref="N1746:V1746" si="1789">M1746*(1+$D1746)</f>
        <v>1.4722432774132355</v>
      </c>
      <c r="O1746" s="361">
        <f t="shared" si="1789"/>
        <v>1.8364026520813816</v>
      </c>
      <c r="P1746" s="361">
        <f t="shared" si="1789"/>
        <v>2.2906368480736892</v>
      </c>
      <c r="Q1746" s="361">
        <f t="shared" si="1789"/>
        <v>2.8572258724446886</v>
      </c>
      <c r="R1746" s="361">
        <f t="shared" si="1789"/>
        <v>3.5639606919938478</v>
      </c>
      <c r="S1746" s="361">
        <f t="shared" si="1789"/>
        <v>4.4455063691584833</v>
      </c>
      <c r="T1746" s="361">
        <f t="shared" si="1789"/>
        <v>5.545102369569781</v>
      </c>
      <c r="U1746" s="361">
        <f t="shared" si="1789"/>
        <v>6.9166834406827995</v>
      </c>
      <c r="V1746" s="362">
        <f t="shared" si="1789"/>
        <v>8.6275250897356059</v>
      </c>
      <c r="X1746" s="351"/>
    </row>
    <row r="1747" spans="3:24" ht="24.75" customHeight="1" x14ac:dyDescent="0.3">
      <c r="C1747" s="353">
        <f>ABS(E1747-Dashboard!$F$14)</f>
        <v>24.182230640945349</v>
      </c>
      <c r="D1747" s="350">
        <f t="shared" si="1785"/>
        <v>0.24744999999998799</v>
      </c>
      <c r="E1747" s="359" cm="1">
        <f t="array" ref="E1747">1000*SUM('DRE + DCF'!$L$36/M1747,'DRE + DCF'!$N$36:$V$36/N1747:V1747,F1747/V1747)/Dashboard!$F$11</f>
        <v>72.807769359054646</v>
      </c>
      <c r="F1747" s="359">
        <f t="shared" si="1783"/>
        <v>10972515.26592293</v>
      </c>
      <c r="G1747" s="359">
        <f>'DRE + DCF'!$W$31</f>
        <v>2791623.3540418856</v>
      </c>
      <c r="H1747" s="359">
        <f>'DRE + DCF'!$W$32</f>
        <v>81081.931703745853</v>
      </c>
      <c r="I1747" s="359">
        <f>-H1747*('DRE + DCF'!$V$33+K1747)/'DRE + DCF'!$V$33</f>
        <v>-90858.801614444121</v>
      </c>
      <c r="J1747" s="359">
        <f>-'DRE + DCF'!$V$56*L1747</f>
        <v>-1188924.4255577971</v>
      </c>
      <c r="K1747" s="360">
        <f>(1+L1747)/(1+Ke!$O$12)-1</f>
        <v>2.0000000000000018E-2</v>
      </c>
      <c r="L1747" s="360">
        <f>'DRE + DCF'!$Y$31</f>
        <v>7.3550000000000004E-2</v>
      </c>
      <c r="M1747" s="361">
        <f>(1+D1747)^((5-Dashboard!$F$9)*3/12)</f>
        <v>1.1803678188078888</v>
      </c>
      <c r="N1747" s="361">
        <f t="shared" ref="N1747:V1747" si="1790">M1747*(1+$D1747)</f>
        <v>1.4724498355718867</v>
      </c>
      <c r="O1747" s="361">
        <f t="shared" si="1790"/>
        <v>1.8368075473841323</v>
      </c>
      <c r="P1747" s="361">
        <f t="shared" si="1790"/>
        <v>2.2913255749843136</v>
      </c>
      <c r="Q1747" s="361">
        <f t="shared" si="1790"/>
        <v>2.8583140885141542</v>
      </c>
      <c r="R1747" s="361">
        <f t="shared" si="1790"/>
        <v>3.5656039097169474</v>
      </c>
      <c r="S1747" s="361">
        <f t="shared" si="1790"/>
        <v>4.4479125971763631</v>
      </c>
      <c r="T1747" s="361">
        <f t="shared" si="1790"/>
        <v>5.5485485693476004</v>
      </c>
      <c r="U1747" s="361">
        <f t="shared" si="1790"/>
        <v>6.9215369128325976</v>
      </c>
      <c r="V1747" s="362">
        <f t="shared" si="1790"/>
        <v>8.6342712219129414</v>
      </c>
      <c r="X1747" s="351"/>
    </row>
    <row r="1748" spans="3:24" ht="24.75" customHeight="1" x14ac:dyDescent="0.3">
      <c r="C1748" s="353">
        <f>ABS(E1748-Dashboard!$F$14)</f>
        <v>24.229663653995516</v>
      </c>
      <c r="D1748" s="350">
        <f t="shared" si="1785"/>
        <v>0.24754999999998797</v>
      </c>
      <c r="E1748" s="359" cm="1">
        <f t="array" ref="E1748">1000*SUM('DRE + DCF'!$L$36/M1748,'DRE + DCF'!$N$36:$V$36/N1748:V1748,F1748/V1748)/Dashboard!$F$11</f>
        <v>72.760336346004479</v>
      </c>
      <c r="F1748" s="359">
        <f t="shared" si="1783"/>
        <v>10967243.250296302</v>
      </c>
      <c r="G1748" s="359">
        <f>'DRE + DCF'!$W$31</f>
        <v>2791623.3540418856</v>
      </c>
      <c r="H1748" s="359">
        <f>'DRE + DCF'!$W$32</f>
        <v>81081.931703745853</v>
      </c>
      <c r="I1748" s="359">
        <f>-H1748*('DRE + DCF'!$V$33+K1748)/'DRE + DCF'!$V$33</f>
        <v>-90858.801614444121</v>
      </c>
      <c r="J1748" s="359">
        <f>-'DRE + DCF'!$V$56*L1748</f>
        <v>-1188924.4255577971</v>
      </c>
      <c r="K1748" s="360">
        <f>(1+L1748)/(1+Ke!$O$12)-1</f>
        <v>2.0000000000000018E-2</v>
      </c>
      <c r="L1748" s="360">
        <f>'DRE + DCF'!$Y$31</f>
        <v>7.3550000000000004E-2</v>
      </c>
      <c r="M1748" s="361">
        <f>(1+D1748)^((5-Dashboard!$F$9)*3/12)</f>
        <v>1.1804387849382785</v>
      </c>
      <c r="N1748" s="361">
        <f t="shared" ref="N1748:V1748" si="1791">M1748*(1+$D1748)</f>
        <v>1.4726564061497351</v>
      </c>
      <c r="O1748" s="361">
        <f t="shared" si="1791"/>
        <v>1.8372124994920844</v>
      </c>
      <c r="P1748" s="361">
        <f t="shared" si="1791"/>
        <v>2.2920144537413276</v>
      </c>
      <c r="Q1748" s="361">
        <f t="shared" si="1791"/>
        <v>2.8594026317649655</v>
      </c>
      <c r="R1748" s="361">
        <f t="shared" si="1791"/>
        <v>3.5672477532583482</v>
      </c>
      <c r="S1748" s="361">
        <f t="shared" si="1791"/>
        <v>4.4503199345774096</v>
      </c>
      <c r="T1748" s="361">
        <f t="shared" si="1791"/>
        <v>5.551996634381994</v>
      </c>
      <c r="U1748" s="361">
        <f t="shared" si="1791"/>
        <v>6.9263934012231898</v>
      </c>
      <c r="V1748" s="362">
        <f t="shared" si="1791"/>
        <v>8.641022087695907</v>
      </c>
      <c r="X1748" s="351"/>
    </row>
    <row r="1749" spans="3:24" ht="24.75" customHeight="1" x14ac:dyDescent="0.3">
      <c r="C1749" s="353">
        <f>ABS(E1749-Dashboard!$F$14)</f>
        <v>24.277042693083629</v>
      </c>
      <c r="D1749" s="350">
        <f t="shared" si="1785"/>
        <v>0.24764999999998796</v>
      </c>
      <c r="E1749" s="359" cm="1">
        <f t="array" ref="E1749">1000*SUM('DRE + DCF'!$L$36/M1749,'DRE + DCF'!$N$36:$V$36/N1749:V1749,F1749/V1749)/Dashboard!$F$11</f>
        <v>72.712957306916365</v>
      </c>
      <c r="F1749" s="359">
        <f t="shared" si="1783"/>
        <v>10961976.456384987</v>
      </c>
      <c r="G1749" s="359">
        <f>'DRE + DCF'!$W$31</f>
        <v>2791623.3540418856</v>
      </c>
      <c r="H1749" s="359">
        <f>'DRE + DCF'!$W$32</f>
        <v>81081.931703745853</v>
      </c>
      <c r="I1749" s="359">
        <f>-H1749*('DRE + DCF'!$V$33+K1749)/'DRE + DCF'!$V$33</f>
        <v>-90858.801614444121</v>
      </c>
      <c r="J1749" s="359">
        <f>-'DRE + DCF'!$V$56*L1749</f>
        <v>-1188924.4255577971</v>
      </c>
      <c r="K1749" s="360">
        <f>(1+L1749)/(1+Ke!$O$12)-1</f>
        <v>2.0000000000000018E-2</v>
      </c>
      <c r="L1749" s="360">
        <f>'DRE + DCF'!$Y$31</f>
        <v>7.3550000000000004E-2</v>
      </c>
      <c r="M1749" s="361">
        <f>(1+D1749)^((5-Dashboard!$F$9)*3/12)</f>
        <v>1.1805097496465726</v>
      </c>
      <c r="N1749" s="361">
        <f t="shared" ref="N1749:V1749" si="1792">M1749*(1+$D1749)</f>
        <v>1.4728629891465321</v>
      </c>
      <c r="O1749" s="361">
        <f t="shared" si="1792"/>
        <v>1.837617508408653</v>
      </c>
      <c r="P1749" s="361">
        <f t="shared" si="1792"/>
        <v>2.2927034843660339</v>
      </c>
      <c r="Q1749" s="361">
        <f t="shared" si="1792"/>
        <v>2.8604915022692543</v>
      </c>
      <c r="R1749" s="361">
        <f t="shared" si="1792"/>
        <v>3.5688922228062006</v>
      </c>
      <c r="S1749" s="361">
        <f t="shared" si="1792"/>
        <v>4.4527283817841132</v>
      </c>
      <c r="T1749" s="361">
        <f t="shared" si="1792"/>
        <v>5.5554465655328951</v>
      </c>
      <c r="U1749" s="361">
        <f t="shared" si="1792"/>
        <v>6.9312529074870497</v>
      </c>
      <c r="V1749" s="362">
        <f t="shared" si="1792"/>
        <v>8.6477776900261336</v>
      </c>
      <c r="X1749" s="351"/>
    </row>
    <row r="1750" spans="3:24" ht="24.75" customHeight="1" x14ac:dyDescent="0.3">
      <c r="C1750" s="353">
        <f>ABS(E1750-Dashboard!$F$14)</f>
        <v>24.324367844180955</v>
      </c>
      <c r="D1750" s="350">
        <f t="shared" si="1785"/>
        <v>0.24774999999998795</v>
      </c>
      <c r="E1750" s="359" cm="1">
        <f t="array" ref="E1750">1000*SUM('DRE + DCF'!$L$36/M1750,'DRE + DCF'!$N$36:$V$36/N1750:V1750,F1750/V1750)/Dashboard!$F$11</f>
        <v>72.66563215581904</v>
      </c>
      <c r="F1750" s="359">
        <f t="shared" si="1783"/>
        <v>10956714.876206391</v>
      </c>
      <c r="G1750" s="359">
        <f>'DRE + DCF'!$W$31</f>
        <v>2791623.3540418856</v>
      </c>
      <c r="H1750" s="359">
        <f>'DRE + DCF'!$W$32</f>
        <v>81081.931703745853</v>
      </c>
      <c r="I1750" s="359">
        <f>-H1750*('DRE + DCF'!$V$33+K1750)/'DRE + DCF'!$V$33</f>
        <v>-90858.801614444121</v>
      </c>
      <c r="J1750" s="359">
        <f>-'DRE + DCF'!$V$56*L1750</f>
        <v>-1188924.4255577971</v>
      </c>
      <c r="K1750" s="360">
        <f>(1+L1750)/(1+Ke!$O$12)-1</f>
        <v>2.0000000000000018E-2</v>
      </c>
      <c r="L1750" s="360">
        <f>'DRE + DCF'!$Y$31</f>
        <v>7.3550000000000004E-2</v>
      </c>
      <c r="M1750" s="361">
        <f>(1+D1750)^((5-Dashboard!$F$9)*3/12)</f>
        <v>1.1805807129329136</v>
      </c>
      <c r="N1750" s="361">
        <f t="shared" ref="N1750:V1750" si="1793">M1750*(1+$D1750)</f>
        <v>1.4730695845620287</v>
      </c>
      <c r="O1750" s="361">
        <f t="shared" si="1793"/>
        <v>1.8380225741372536</v>
      </c>
      <c r="P1750" s="361">
        <f t="shared" si="1793"/>
        <v>2.2933926668797358</v>
      </c>
      <c r="Q1750" s="361">
        <f t="shared" si="1793"/>
        <v>2.8615807000991627</v>
      </c>
      <c r="R1750" s="361">
        <f t="shared" si="1793"/>
        <v>3.5705373185486957</v>
      </c>
      <c r="S1750" s="361">
        <f t="shared" si="1793"/>
        <v>4.4551379392190924</v>
      </c>
      <c r="T1750" s="361">
        <f t="shared" si="1793"/>
        <v>5.5588983636605684</v>
      </c>
      <c r="U1750" s="361">
        <f t="shared" si="1793"/>
        <v>6.9361154332574069</v>
      </c>
      <c r="V1750" s="362">
        <f t="shared" si="1793"/>
        <v>8.6545380318468457</v>
      </c>
      <c r="X1750" s="351"/>
    </row>
    <row r="1751" spans="3:24" ht="24.75" customHeight="1" x14ac:dyDescent="0.3">
      <c r="C1751" s="353">
        <f>ABS(E1751-Dashboard!$F$14)</f>
        <v>24.371639193080526</v>
      </c>
      <c r="D1751" s="350">
        <f t="shared" si="1785"/>
        <v>0.24784999999998794</v>
      </c>
      <c r="E1751" s="359" cm="1">
        <f t="array" ref="E1751">1000*SUM('DRE + DCF'!$L$36/M1751,'DRE + DCF'!$N$36:$V$36/N1751:V1751,F1751/V1751)/Dashboard!$F$11</f>
        <v>72.618360806919469</v>
      </c>
      <c r="F1751" s="359">
        <f t="shared" si="1783"/>
        <v>10951458.501794606</v>
      </c>
      <c r="G1751" s="359">
        <f>'DRE + DCF'!$W$31</f>
        <v>2791623.3540418856</v>
      </c>
      <c r="H1751" s="359">
        <f>'DRE + DCF'!$W$32</f>
        <v>81081.931703745853</v>
      </c>
      <c r="I1751" s="359">
        <f>-H1751*('DRE + DCF'!$V$33+K1751)/'DRE + DCF'!$V$33</f>
        <v>-90858.801614444121</v>
      </c>
      <c r="J1751" s="359">
        <f>-'DRE + DCF'!$V$56*L1751</f>
        <v>-1188924.4255577971</v>
      </c>
      <c r="K1751" s="360">
        <f>(1+L1751)/(1+Ke!$O$12)-1</f>
        <v>2.0000000000000018E-2</v>
      </c>
      <c r="L1751" s="360">
        <f>'DRE + DCF'!$Y$31</f>
        <v>7.3550000000000004E-2</v>
      </c>
      <c r="M1751" s="361">
        <f>(1+D1751)^((5-Dashboard!$F$9)*3/12)</f>
        <v>1.1806516747974436</v>
      </c>
      <c r="N1751" s="361">
        <f t="shared" ref="N1751:V1751" si="1794">M1751*(1+$D1751)</f>
        <v>1.4732761923959756</v>
      </c>
      <c r="O1751" s="361">
        <f t="shared" si="1794"/>
        <v>1.8384276966813005</v>
      </c>
      <c r="P1751" s="361">
        <f t="shared" si="1794"/>
        <v>2.2940820013037384</v>
      </c>
      <c r="Q1751" s="361">
        <f t="shared" si="1794"/>
        <v>2.8626702253268421</v>
      </c>
      <c r="R1751" s="361">
        <f t="shared" si="1794"/>
        <v>3.5721830406740653</v>
      </c>
      <c r="S1751" s="361">
        <f t="shared" si="1794"/>
        <v>4.457548607305089</v>
      </c>
      <c r="T1751" s="361">
        <f t="shared" si="1794"/>
        <v>5.5623520296256013</v>
      </c>
      <c r="U1751" s="361">
        <f t="shared" si="1794"/>
        <v>6.9409809801682396</v>
      </c>
      <c r="V1751" s="362">
        <f t="shared" si="1794"/>
        <v>8.6613031161028537</v>
      </c>
      <c r="X1751" s="351"/>
    </row>
    <row r="1752" spans="3:24" ht="24.75" customHeight="1" x14ac:dyDescent="0.3">
      <c r="C1752" s="353">
        <f>ABS(E1752-Dashboard!$F$14)</f>
        <v>24.418856825397611</v>
      </c>
      <c r="D1752" s="350">
        <f t="shared" si="1785"/>
        <v>0.24794999999998793</v>
      </c>
      <c r="E1752" s="359" cm="1">
        <f t="array" ref="E1752">1000*SUM('DRE + DCF'!$L$36/M1752,'DRE + DCF'!$N$36:$V$36/N1752:V1752,F1752/V1752)/Dashboard!$F$11</f>
        <v>72.571143174602383</v>
      </c>
      <c r="F1752" s="359">
        <f t="shared" si="1783"/>
        <v>10946207.325200371</v>
      </c>
      <c r="G1752" s="359">
        <f>'DRE + DCF'!$W$31</f>
        <v>2791623.3540418856</v>
      </c>
      <c r="H1752" s="359">
        <f>'DRE + DCF'!$W$32</f>
        <v>81081.931703745853</v>
      </c>
      <c r="I1752" s="359">
        <f>-H1752*('DRE + DCF'!$V$33+K1752)/'DRE + DCF'!$V$33</f>
        <v>-90858.801614444121</v>
      </c>
      <c r="J1752" s="359">
        <f>-'DRE + DCF'!$V$56*L1752</f>
        <v>-1188924.4255577971</v>
      </c>
      <c r="K1752" s="360">
        <f>(1+L1752)/(1+Ke!$O$12)-1</f>
        <v>2.0000000000000018E-2</v>
      </c>
      <c r="L1752" s="360">
        <f>'DRE + DCF'!$Y$31</f>
        <v>7.3550000000000004E-2</v>
      </c>
      <c r="M1752" s="361">
        <f>(1+D1752)^((5-Dashboard!$F$9)*3/12)</f>
        <v>1.1807226352403053</v>
      </c>
      <c r="N1752" s="361">
        <f t="shared" ref="N1752:V1752" si="1795">M1752*(1+$D1752)</f>
        <v>1.4734828126481248</v>
      </c>
      <c r="O1752" s="361">
        <f t="shared" si="1795"/>
        <v>1.8388328760442094</v>
      </c>
      <c r="P1752" s="361">
        <f t="shared" si="1795"/>
        <v>2.2947714876593488</v>
      </c>
      <c r="Q1752" s="361">
        <f t="shared" si="1795"/>
        <v>2.8637600780244568</v>
      </c>
      <c r="R1752" s="361">
        <f t="shared" si="1795"/>
        <v>3.5738293893705864</v>
      </c>
      <c r="S1752" s="361">
        <f t="shared" si="1795"/>
        <v>4.4599603864649797</v>
      </c>
      <c r="T1752" s="361">
        <f t="shared" si="1795"/>
        <v>5.5658075642889173</v>
      </c>
      <c r="U1752" s="361">
        <f t="shared" si="1795"/>
        <v>6.9458495498542874</v>
      </c>
      <c r="V1752" s="362">
        <f t="shared" si="1795"/>
        <v>8.6680729457405743</v>
      </c>
      <c r="X1752" s="351"/>
    </row>
    <row r="1753" spans="3:24" ht="24.75" customHeight="1" x14ac:dyDescent="0.3">
      <c r="C1753" s="353">
        <f>ABS(E1753-Dashboard!$F$14)</f>
        <v>24.466020826570102</v>
      </c>
      <c r="D1753" s="350">
        <f t="shared" si="1785"/>
        <v>0.24804999999998792</v>
      </c>
      <c r="E1753" s="359" cm="1">
        <f t="array" ref="E1753">1000*SUM('DRE + DCF'!$L$36/M1753,'DRE + DCF'!$N$36:$V$36/N1753:V1753,F1753/V1753)/Dashboard!$F$11</f>
        <v>72.523979173429893</v>
      </c>
      <c r="F1753" s="359">
        <f t="shared" si="1783"/>
        <v>10940961.338491034</v>
      </c>
      <c r="G1753" s="359">
        <f>'DRE + DCF'!$W$31</f>
        <v>2791623.3540418856</v>
      </c>
      <c r="H1753" s="359">
        <f>'DRE + DCF'!$W$32</f>
        <v>81081.931703745853</v>
      </c>
      <c r="I1753" s="359">
        <f>-H1753*('DRE + DCF'!$V$33+K1753)/'DRE + DCF'!$V$33</f>
        <v>-90858.801614444121</v>
      </c>
      <c r="J1753" s="359">
        <f>-'DRE + DCF'!$V$56*L1753</f>
        <v>-1188924.4255577971</v>
      </c>
      <c r="K1753" s="360">
        <f>(1+L1753)/(1+Ke!$O$12)-1</f>
        <v>2.0000000000000018E-2</v>
      </c>
      <c r="L1753" s="360">
        <f>'DRE + DCF'!$Y$31</f>
        <v>7.3550000000000004E-2</v>
      </c>
      <c r="M1753" s="361">
        <f>(1+D1753)^((5-Dashboard!$F$9)*3/12)</f>
        <v>1.180793594261641</v>
      </c>
      <c r="N1753" s="361">
        <f t="shared" ref="N1753:V1753" si="1796">M1753*(1+$D1753)</f>
        <v>1.4736894453182268</v>
      </c>
      <c r="O1753" s="361">
        <f t="shared" si="1796"/>
        <v>1.839238112229395</v>
      </c>
      <c r="P1753" s="361">
        <f t="shared" si="1796"/>
        <v>2.2954611259678743</v>
      </c>
      <c r="Q1753" s="361">
        <f t="shared" si="1796"/>
        <v>2.8648502582641777</v>
      </c>
      <c r="R1753" s="361">
        <f t="shared" si="1796"/>
        <v>3.5754763648265722</v>
      </c>
      <c r="S1753" s="361">
        <f t="shared" si="1796"/>
        <v>4.4623732771217597</v>
      </c>
      <c r="T1753" s="361">
        <f t="shared" si="1796"/>
        <v>5.5692649685117583</v>
      </c>
      <c r="U1753" s="361">
        <f t="shared" si="1796"/>
        <v>6.9507211439510321</v>
      </c>
      <c r="V1753" s="362">
        <f t="shared" si="1796"/>
        <v>8.6748475237080012</v>
      </c>
      <c r="X1753" s="351"/>
    </row>
    <row r="1754" spans="3:24" ht="24.75" customHeight="1" x14ac:dyDescent="0.3">
      <c r="C1754" s="353">
        <f>ABS(E1754-Dashboard!$F$14)</f>
        <v>24.513131281859216</v>
      </c>
      <c r="D1754" s="350">
        <f t="shared" si="1785"/>
        <v>0.24814999999998791</v>
      </c>
      <c r="E1754" s="359" cm="1">
        <f t="array" ref="E1754">1000*SUM('DRE + DCF'!$L$36/M1754,'DRE + DCF'!$N$36:$V$36/N1754:V1754,F1754/V1754)/Dashboard!$F$11</f>
        <v>72.476868718140778</v>
      </c>
      <c r="F1754" s="359">
        <f t="shared" si="1783"/>
        <v>10935720.533750486</v>
      </c>
      <c r="G1754" s="359">
        <f>'DRE + DCF'!$W$31</f>
        <v>2791623.3540418856</v>
      </c>
      <c r="H1754" s="359">
        <f>'DRE + DCF'!$W$32</f>
        <v>81081.931703745853</v>
      </c>
      <c r="I1754" s="359">
        <f>-H1754*('DRE + DCF'!$V$33+K1754)/'DRE + DCF'!$V$33</f>
        <v>-90858.801614444121</v>
      </c>
      <c r="J1754" s="359">
        <f>-'DRE + DCF'!$V$56*L1754</f>
        <v>-1188924.4255577971</v>
      </c>
      <c r="K1754" s="360">
        <f>(1+L1754)/(1+Ke!$O$12)-1</f>
        <v>2.0000000000000018E-2</v>
      </c>
      <c r="L1754" s="360">
        <f>'DRE + DCF'!$Y$31</f>
        <v>7.3550000000000004E-2</v>
      </c>
      <c r="M1754" s="361">
        <f>(1+D1754)^((5-Dashboard!$F$9)*3/12)</f>
        <v>1.1808645518615932</v>
      </c>
      <c r="N1754" s="361">
        <f t="shared" ref="N1754:V1754" si="1797">M1754*(1+$D1754)</f>
        <v>1.4738960904060332</v>
      </c>
      <c r="O1754" s="361">
        <f t="shared" si="1797"/>
        <v>1.8396434052402724</v>
      </c>
      <c r="P1754" s="361">
        <f t="shared" si="1797"/>
        <v>2.2961509162506237</v>
      </c>
      <c r="Q1754" s="361">
        <f t="shared" si="1797"/>
        <v>2.8659407661181882</v>
      </c>
      <c r="R1754" s="361">
        <f t="shared" si="1797"/>
        <v>3.5771239672303818</v>
      </c>
      <c r="S1754" s="361">
        <f t="shared" si="1797"/>
        <v>4.4647872796985579</v>
      </c>
      <c r="T1754" s="361">
        <f t="shared" si="1797"/>
        <v>5.5727242431557009</v>
      </c>
      <c r="U1754" s="361">
        <f t="shared" si="1797"/>
        <v>6.9555957640947206</v>
      </c>
      <c r="V1754" s="362">
        <f t="shared" si="1797"/>
        <v>8.6816268529547411</v>
      </c>
      <c r="X1754" s="351"/>
    </row>
    <row r="1755" spans="3:24" ht="24.75" customHeight="1" x14ac:dyDescent="0.3">
      <c r="C1755" s="353">
        <f>ABS(E1755-Dashboard!$F$14)</f>
        <v>24.560188276349564</v>
      </c>
      <c r="D1755" s="350">
        <f t="shared" si="1785"/>
        <v>0.2482499999999879</v>
      </c>
      <c r="E1755" s="359" cm="1">
        <f t="array" ref="E1755">1000*SUM('DRE + DCF'!$L$36/M1755,'DRE + DCF'!$N$36:$V$36/N1755:V1755,F1755/V1755)/Dashboard!$F$11</f>
        <v>72.429811723650431</v>
      </c>
      <c r="F1755" s="359">
        <f t="shared" si="1783"/>
        <v>10930484.903079141</v>
      </c>
      <c r="G1755" s="359">
        <f>'DRE + DCF'!$W$31</f>
        <v>2791623.3540418856</v>
      </c>
      <c r="H1755" s="359">
        <f>'DRE + DCF'!$W$32</f>
        <v>81081.931703745853</v>
      </c>
      <c r="I1755" s="359">
        <f>-H1755*('DRE + DCF'!$V$33+K1755)/'DRE + DCF'!$V$33</f>
        <v>-90858.801614444121</v>
      </c>
      <c r="J1755" s="359">
        <f>-'DRE + DCF'!$V$56*L1755</f>
        <v>-1188924.4255577971</v>
      </c>
      <c r="K1755" s="360">
        <f>(1+L1755)/(1+Ke!$O$12)-1</f>
        <v>2.0000000000000018E-2</v>
      </c>
      <c r="L1755" s="360">
        <f>'DRE + DCF'!$Y$31</f>
        <v>7.3550000000000004E-2</v>
      </c>
      <c r="M1755" s="361">
        <f>(1+D1755)^((5-Dashboard!$F$9)*3/12)</f>
        <v>1.1809355080403041</v>
      </c>
      <c r="N1755" s="361">
        <f t="shared" ref="N1755:V1755" si="1798">M1755*(1+$D1755)</f>
        <v>1.4741027479112954</v>
      </c>
      <c r="O1755" s="361">
        <f t="shared" si="1798"/>
        <v>1.8400487550802564</v>
      </c>
      <c r="P1755" s="361">
        <f t="shared" si="1798"/>
        <v>2.296840858528908</v>
      </c>
      <c r="Q1755" s="361">
        <f t="shared" si="1798"/>
        <v>2.8670316016586814</v>
      </c>
      <c r="R1755" s="361">
        <f t="shared" si="1798"/>
        <v>3.5787721967704145</v>
      </c>
      <c r="S1755" s="361">
        <f t="shared" si="1798"/>
        <v>4.4672023946186261</v>
      </c>
      <c r="T1755" s="361">
        <f t="shared" si="1798"/>
        <v>5.5761853890826458</v>
      </c>
      <c r="U1755" s="361">
        <f t="shared" si="1798"/>
        <v>6.9604734119223446</v>
      </c>
      <c r="V1755" s="362">
        <f t="shared" si="1798"/>
        <v>8.6884109364319819</v>
      </c>
      <c r="X1755" s="351"/>
    </row>
    <row r="1756" spans="3:24" ht="24.75" customHeight="1" x14ac:dyDescent="0.3">
      <c r="C1756" s="353">
        <f>ABS(E1756-Dashboard!$F$14)</f>
        <v>24.607191894950006</v>
      </c>
      <c r="D1756" s="350">
        <f t="shared" si="1785"/>
        <v>0.24834999999998789</v>
      </c>
      <c r="E1756" s="359" cm="1">
        <f t="array" ref="E1756">1000*SUM('DRE + DCF'!$L$36/M1756,'DRE + DCF'!$N$36:$V$36/N1756:V1756,F1756/V1756)/Dashboard!$F$11</f>
        <v>72.382808105049989</v>
      </c>
      <c r="F1756" s="359">
        <f t="shared" si="1783"/>
        <v>10925254.438593879</v>
      </c>
      <c r="G1756" s="359">
        <f>'DRE + DCF'!$W$31</f>
        <v>2791623.3540418856</v>
      </c>
      <c r="H1756" s="359">
        <f>'DRE + DCF'!$W$32</f>
        <v>81081.931703745853</v>
      </c>
      <c r="I1756" s="359">
        <f>-H1756*('DRE + DCF'!$V$33+K1756)/'DRE + DCF'!$V$33</f>
        <v>-90858.801614444121</v>
      </c>
      <c r="J1756" s="359">
        <f>-'DRE + DCF'!$V$56*L1756</f>
        <v>-1188924.4255577971</v>
      </c>
      <c r="K1756" s="360">
        <f>(1+L1756)/(1+Ke!$O$12)-1</f>
        <v>2.0000000000000018E-2</v>
      </c>
      <c r="L1756" s="360">
        <f>'DRE + DCF'!$Y$31</f>
        <v>7.3550000000000004E-2</v>
      </c>
      <c r="M1756" s="361">
        <f>(1+D1756)^((5-Dashboard!$F$9)*3/12)</f>
        <v>1.1810064627979162</v>
      </c>
      <c r="N1756" s="361">
        <f t="shared" ref="N1756:V1756" si="1799">M1756*(1+$D1756)</f>
        <v>1.4743094178337643</v>
      </c>
      <c r="O1756" s="361">
        <f t="shared" si="1799"/>
        <v>1.8404541617527619</v>
      </c>
      <c r="P1756" s="361">
        <f t="shared" si="1799"/>
        <v>2.297530952824038</v>
      </c>
      <c r="Q1756" s="361">
        <f t="shared" si="1799"/>
        <v>2.8681227649578598</v>
      </c>
      <c r="R1756" s="361">
        <f t="shared" si="1799"/>
        <v>3.5804210536351095</v>
      </c>
      <c r="S1756" s="361">
        <f t="shared" si="1799"/>
        <v>4.4696186223053456</v>
      </c>
      <c r="T1756" s="361">
        <f t="shared" si="1799"/>
        <v>5.5796484071548242</v>
      </c>
      <c r="U1756" s="361">
        <f t="shared" si="1799"/>
        <v>6.9653540890716572</v>
      </c>
      <c r="V1756" s="362">
        <f t="shared" si="1799"/>
        <v>8.6951997770925189</v>
      </c>
      <c r="X1756" s="351"/>
    </row>
    <row r="1757" spans="3:24" ht="24.75" customHeight="1" x14ac:dyDescent="0.3">
      <c r="C1757" s="353">
        <f>ABS(E1757-Dashboard!$F$14)</f>
        <v>24.654142222393801</v>
      </c>
      <c r="D1757" s="350">
        <f t="shared" si="1785"/>
        <v>0.24844999999998787</v>
      </c>
      <c r="E1757" s="359" cm="1">
        <f t="array" ref="E1757">1000*SUM('DRE + DCF'!$L$36/M1757,'DRE + DCF'!$N$36:$V$36/N1757:V1757,F1757/V1757)/Dashboard!$F$11</f>
        <v>72.335857777606194</v>
      </c>
      <c r="F1757" s="359">
        <f t="shared" si="1783"/>
        <v>10920029.132428005</v>
      </c>
      <c r="G1757" s="359">
        <f>'DRE + DCF'!$W$31</f>
        <v>2791623.3540418856</v>
      </c>
      <c r="H1757" s="359">
        <f>'DRE + DCF'!$W$32</f>
        <v>81081.931703745853</v>
      </c>
      <c r="I1757" s="359">
        <f>-H1757*('DRE + DCF'!$V$33+K1757)/'DRE + DCF'!$V$33</f>
        <v>-90858.801614444121</v>
      </c>
      <c r="J1757" s="359">
        <f>-'DRE + DCF'!$V$56*L1757</f>
        <v>-1188924.4255577971</v>
      </c>
      <c r="K1757" s="360">
        <f>(1+L1757)/(1+Ke!$O$12)-1</f>
        <v>2.0000000000000018E-2</v>
      </c>
      <c r="L1757" s="360">
        <f>'DRE + DCF'!$Y$31</f>
        <v>7.3550000000000004E-2</v>
      </c>
      <c r="M1757" s="361">
        <f>(1+D1757)^((5-Dashboard!$F$9)*3/12)</f>
        <v>1.1810774161345718</v>
      </c>
      <c r="N1757" s="361">
        <f t="shared" ref="N1757:V1757" si="1800">M1757*(1+$D1757)</f>
        <v>1.4745161001731919</v>
      </c>
      <c r="O1757" s="361">
        <f t="shared" si="1800"/>
        <v>1.8408596252612035</v>
      </c>
      <c r="P1757" s="361">
        <f t="shared" si="1800"/>
        <v>2.2982211991573269</v>
      </c>
      <c r="Q1757" s="361">
        <f t="shared" si="1800"/>
        <v>2.869214256087937</v>
      </c>
      <c r="R1757" s="361">
        <f t="shared" si="1800"/>
        <v>3.5820705380129501</v>
      </c>
      <c r="S1757" s="361">
        <f t="shared" si="1800"/>
        <v>4.4720359631822237</v>
      </c>
      <c r="T1757" s="361">
        <f t="shared" si="1800"/>
        <v>5.5831132982347933</v>
      </c>
      <c r="U1757" s="361">
        <f t="shared" si="1800"/>
        <v>6.9702377971811602</v>
      </c>
      <c r="V1757" s="362">
        <f t="shared" si="1800"/>
        <v>8.7019933778907355</v>
      </c>
      <c r="X1757" s="351"/>
    </row>
    <row r="1758" spans="3:24" ht="24.75" customHeight="1" x14ac:dyDescent="0.3">
      <c r="C1758" s="353">
        <f>ABS(E1758-Dashboard!$F$14)</f>
        <v>24.701039343239216</v>
      </c>
      <c r="D1758" s="350">
        <f t="shared" si="1785"/>
        <v>0.24854999999998786</v>
      </c>
      <c r="E1758" s="359" cm="1">
        <f t="array" ref="E1758">1000*SUM('DRE + DCF'!$L$36/M1758,'DRE + DCF'!$N$36:$V$36/N1758:V1758,F1758/V1758)/Dashboard!$F$11</f>
        <v>72.288960656760779</v>
      </c>
      <c r="F1758" s="359">
        <f t="shared" si="1783"/>
        <v>10914808.976731203</v>
      </c>
      <c r="G1758" s="359">
        <f>'DRE + DCF'!$W$31</f>
        <v>2791623.3540418856</v>
      </c>
      <c r="H1758" s="359">
        <f>'DRE + DCF'!$W$32</f>
        <v>81081.931703745853</v>
      </c>
      <c r="I1758" s="359">
        <f>-H1758*('DRE + DCF'!$V$33+K1758)/'DRE + DCF'!$V$33</f>
        <v>-90858.801614444121</v>
      </c>
      <c r="J1758" s="359">
        <f>-'DRE + DCF'!$V$56*L1758</f>
        <v>-1188924.4255577971</v>
      </c>
      <c r="K1758" s="360">
        <f>(1+L1758)/(1+Ke!$O$12)-1</f>
        <v>2.0000000000000018E-2</v>
      </c>
      <c r="L1758" s="360">
        <f>'DRE + DCF'!$Y$31</f>
        <v>7.3550000000000004E-2</v>
      </c>
      <c r="M1758" s="361">
        <f>(1+D1758)^((5-Dashboard!$F$9)*3/12)</f>
        <v>1.1811483680504129</v>
      </c>
      <c r="N1758" s="361">
        <f t="shared" ref="N1758:V1758" si="1801">M1758*(1+$D1758)</f>
        <v>1.4747227949293287</v>
      </c>
      <c r="O1758" s="361">
        <f t="shared" si="1801"/>
        <v>1.8412651456089955</v>
      </c>
      <c r="P1758" s="361">
        <f t="shared" si="1801"/>
        <v>2.2989115975500889</v>
      </c>
      <c r="Q1758" s="361">
        <f t="shared" si="1801"/>
        <v>2.8703060751211353</v>
      </c>
      <c r="R1758" s="361">
        <f t="shared" si="1801"/>
        <v>3.5837206500924585</v>
      </c>
      <c r="S1758" s="361">
        <f t="shared" si="1801"/>
        <v>4.4744544176728951</v>
      </c>
      <c r="T1758" s="361">
        <f t="shared" si="1801"/>
        <v>5.5865800631854388</v>
      </c>
      <c r="U1758" s="361">
        <f t="shared" si="1801"/>
        <v>6.9751245378901112</v>
      </c>
      <c r="V1758" s="362">
        <f t="shared" si="1801"/>
        <v>8.7087917417826137</v>
      </c>
      <c r="X1758" s="351"/>
    </row>
    <row r="1759" spans="3:24" ht="24.75" customHeight="1" x14ac:dyDescent="0.3">
      <c r="C1759" s="353">
        <f>ABS(E1759-Dashboard!$F$14)</f>
        <v>24.747883341870008</v>
      </c>
      <c r="D1759" s="350">
        <f t="shared" si="1785"/>
        <v>0.24864999999998785</v>
      </c>
      <c r="E1759" s="359" cm="1">
        <f t="array" ref="E1759">1000*SUM('DRE + DCF'!$L$36/M1759,'DRE + DCF'!$N$36:$V$36/N1759:V1759,F1759/V1759)/Dashboard!$F$11</f>
        <v>72.242116658129987</v>
      </c>
      <c r="F1759" s="359">
        <f t="shared" si="1783"/>
        <v>10909593.963669501</v>
      </c>
      <c r="G1759" s="359">
        <f>'DRE + DCF'!$W$31</f>
        <v>2791623.3540418856</v>
      </c>
      <c r="H1759" s="359">
        <f>'DRE + DCF'!$W$32</f>
        <v>81081.931703745853</v>
      </c>
      <c r="I1759" s="359">
        <f>-H1759*('DRE + DCF'!$V$33+K1759)/'DRE + DCF'!$V$33</f>
        <v>-90858.801614444121</v>
      </c>
      <c r="J1759" s="359">
        <f>-'DRE + DCF'!$V$56*L1759</f>
        <v>-1188924.4255577971</v>
      </c>
      <c r="K1759" s="360">
        <f>(1+L1759)/(1+Ke!$O$12)-1</f>
        <v>2.0000000000000018E-2</v>
      </c>
      <c r="L1759" s="360">
        <f>'DRE + DCF'!$Y$31</f>
        <v>7.3550000000000004E-2</v>
      </c>
      <c r="M1759" s="361">
        <f>(1+D1759)^((5-Dashboard!$F$9)*3/12)</f>
        <v>1.1812193185455819</v>
      </c>
      <c r="N1759" s="361">
        <f t="shared" ref="N1759:V1759" si="1802">M1759*(1+$D1759)</f>
        <v>1.4749295021019264</v>
      </c>
      <c r="O1759" s="361">
        <f t="shared" si="1802"/>
        <v>1.8416707227995524</v>
      </c>
      <c r="P1759" s="361">
        <f t="shared" si="1802"/>
        <v>2.2996021480236388</v>
      </c>
      <c r="Q1759" s="361">
        <f t="shared" si="1802"/>
        <v>2.8713982221296885</v>
      </c>
      <c r="R1759" s="361">
        <f t="shared" si="1802"/>
        <v>3.5853713900622006</v>
      </c>
      <c r="S1759" s="361">
        <f t="shared" si="1802"/>
        <v>4.4768739862011229</v>
      </c>
      <c r="T1759" s="361">
        <f t="shared" si="1802"/>
        <v>5.5900487028699777</v>
      </c>
      <c r="U1759" s="361">
        <f t="shared" si="1802"/>
        <v>6.9800143128385299</v>
      </c>
      <c r="V1759" s="362">
        <f t="shared" si="1802"/>
        <v>8.7155948717257452</v>
      </c>
      <c r="X1759" s="351"/>
    </row>
    <row r="1760" spans="3:24" ht="24.75" customHeight="1" x14ac:dyDescent="0.3">
      <c r="C1760" s="353">
        <f>ABS(E1760-Dashboard!$F$14)</f>
        <v>24.79467430249575</v>
      </c>
      <c r="D1760" s="350">
        <f t="shared" si="1785"/>
        <v>0.24874999999998784</v>
      </c>
      <c r="E1760" s="359" cm="1">
        <f t="array" ref="E1760">1000*SUM('DRE + DCF'!$L$36/M1760,'DRE + DCF'!$N$36:$V$36/N1760:V1760,F1760/V1760)/Dashboard!$F$11</f>
        <v>72.195325697504245</v>
      </c>
      <c r="F1760" s="359">
        <f t="shared" si="1783"/>
        <v>10904384.085425209</v>
      </c>
      <c r="G1760" s="359">
        <f>'DRE + DCF'!$W$31</f>
        <v>2791623.3540418856</v>
      </c>
      <c r="H1760" s="359">
        <f>'DRE + DCF'!$W$32</f>
        <v>81081.931703745853</v>
      </c>
      <c r="I1760" s="359">
        <f>-H1760*('DRE + DCF'!$V$33+K1760)/'DRE + DCF'!$V$33</f>
        <v>-90858.801614444121</v>
      </c>
      <c r="J1760" s="359">
        <f>-'DRE + DCF'!$V$56*L1760</f>
        <v>-1188924.4255577971</v>
      </c>
      <c r="K1760" s="360">
        <f>(1+L1760)/(1+Ke!$O$12)-1</f>
        <v>2.0000000000000018E-2</v>
      </c>
      <c r="L1760" s="360">
        <f>'DRE + DCF'!$Y$31</f>
        <v>7.3550000000000004E-2</v>
      </c>
      <c r="M1760" s="361">
        <f>(1+D1760)^((5-Dashboard!$F$9)*3/12)</f>
        <v>1.181290267620221</v>
      </c>
      <c r="N1760" s="361">
        <f t="shared" ref="N1760:V1760" si="1803">M1760*(1+$D1760)</f>
        <v>1.4751362216907367</v>
      </c>
      <c r="O1760" s="361">
        <f t="shared" si="1803"/>
        <v>1.8420763568362895</v>
      </c>
      <c r="P1760" s="361">
        <f t="shared" si="1803"/>
        <v>2.3002928505992939</v>
      </c>
      <c r="Q1760" s="361">
        <f t="shared" si="1803"/>
        <v>2.8724906971858402</v>
      </c>
      <c r="R1760" s="361">
        <f t="shared" si="1803"/>
        <v>3.5870227581107827</v>
      </c>
      <c r="S1760" s="361">
        <f t="shared" si="1803"/>
        <v>4.4792946691907964</v>
      </c>
      <c r="T1760" s="361">
        <f t="shared" si="1803"/>
        <v>5.5935192181519522</v>
      </c>
      <c r="U1760" s="361">
        <f t="shared" si="1803"/>
        <v>6.984907123667182</v>
      </c>
      <c r="V1760" s="362">
        <f t="shared" si="1803"/>
        <v>8.7224027706793077</v>
      </c>
      <c r="X1760" s="351"/>
    </row>
    <row r="1761" spans="3:24" ht="24.75" customHeight="1" x14ac:dyDescent="0.3">
      <c r="C1761" s="353">
        <f>ABS(E1761-Dashboard!$F$14)</f>
        <v>24.841412309152361</v>
      </c>
      <c r="D1761" s="350">
        <f t="shared" si="1785"/>
        <v>0.24884999999998783</v>
      </c>
      <c r="E1761" s="359" cm="1">
        <f t="array" ref="E1761">1000*SUM('DRE + DCF'!$L$36/M1761,'DRE + DCF'!$N$36:$V$36/N1761:V1761,F1761/V1761)/Dashboard!$F$11</f>
        <v>72.148587690847634</v>
      </c>
      <c r="F1761" s="359">
        <f t="shared" si="1783"/>
        <v>10899179.334196899</v>
      </c>
      <c r="G1761" s="359">
        <f>'DRE + DCF'!$W$31</f>
        <v>2791623.3540418856</v>
      </c>
      <c r="H1761" s="359">
        <f>'DRE + DCF'!$W$32</f>
        <v>81081.931703745853</v>
      </c>
      <c r="I1761" s="359">
        <f>-H1761*('DRE + DCF'!$V$33+K1761)/'DRE + DCF'!$V$33</f>
        <v>-90858.801614444121</v>
      </c>
      <c r="J1761" s="359">
        <f>-'DRE + DCF'!$V$56*L1761</f>
        <v>-1188924.4255577971</v>
      </c>
      <c r="K1761" s="360">
        <f>(1+L1761)/(1+Ke!$O$12)-1</f>
        <v>2.0000000000000018E-2</v>
      </c>
      <c r="L1761" s="360">
        <f>'DRE + DCF'!$Y$31</f>
        <v>7.3550000000000004E-2</v>
      </c>
      <c r="M1761" s="361">
        <f>(1+D1761)^((5-Dashboard!$F$9)*3/12)</f>
        <v>1.1813612152744726</v>
      </c>
      <c r="N1761" s="361">
        <f t="shared" ref="N1761:V1761" si="1804">M1761*(1+$D1761)</f>
        <v>1.4753429536955107</v>
      </c>
      <c r="O1761" s="361">
        <f t="shared" si="1804"/>
        <v>1.8424820477226205</v>
      </c>
      <c r="P1761" s="361">
        <f t="shared" si="1804"/>
        <v>2.3009837052983722</v>
      </c>
      <c r="Q1761" s="361">
        <f t="shared" si="1804"/>
        <v>2.873583500361844</v>
      </c>
      <c r="R1761" s="361">
        <f t="shared" si="1804"/>
        <v>3.5886747544268536</v>
      </c>
      <c r="S1761" s="361">
        <f t="shared" si="1804"/>
        <v>4.4817164670659322</v>
      </c>
      <c r="T1761" s="361">
        <f t="shared" si="1804"/>
        <v>5.5969916098952348</v>
      </c>
      <c r="U1761" s="361">
        <f t="shared" si="1804"/>
        <v>6.9898029720175954</v>
      </c>
      <c r="V1761" s="362">
        <f t="shared" si="1804"/>
        <v>8.7292154416040884</v>
      </c>
      <c r="X1761" s="351"/>
    </row>
    <row r="1762" spans="3:24" ht="24.75" customHeight="1" x14ac:dyDescent="0.3">
      <c r="C1762" s="353">
        <f>ABS(E1762-Dashboard!$F$14)</f>
        <v>24.888097445702542</v>
      </c>
      <c r="D1762" s="350">
        <f t="shared" si="1785"/>
        <v>0.24894999999998782</v>
      </c>
      <c r="E1762" s="359" cm="1">
        <f t="array" ref="E1762">1000*SUM('DRE + DCF'!$L$36/M1762,'DRE + DCF'!$N$36:$V$36/N1762:V1762,F1762/V1762)/Dashboard!$F$11</f>
        <v>72.101902554297453</v>
      </c>
      <c r="F1762" s="359">
        <f t="shared" si="1783"/>
        <v>10893979.702199349</v>
      </c>
      <c r="G1762" s="359">
        <f>'DRE + DCF'!$W$31</f>
        <v>2791623.3540418856</v>
      </c>
      <c r="H1762" s="359">
        <f>'DRE + DCF'!$W$32</f>
        <v>81081.931703745853</v>
      </c>
      <c r="I1762" s="359">
        <f>-H1762*('DRE + DCF'!$V$33+K1762)/'DRE + DCF'!$V$33</f>
        <v>-90858.801614444121</v>
      </c>
      <c r="J1762" s="359">
        <f>-'DRE + DCF'!$V$56*L1762</f>
        <v>-1188924.4255577971</v>
      </c>
      <c r="K1762" s="360">
        <f>(1+L1762)/(1+Ke!$O$12)-1</f>
        <v>2.0000000000000018E-2</v>
      </c>
      <c r="L1762" s="360">
        <f>'DRE + DCF'!$Y$31</f>
        <v>7.3550000000000004E-2</v>
      </c>
      <c r="M1762" s="361">
        <f>(1+D1762)^((5-Dashboard!$F$9)*3/12)</f>
        <v>1.1814321615084784</v>
      </c>
      <c r="N1762" s="361">
        <f t="shared" ref="N1762:V1762" si="1805">M1762*(1+$D1762)</f>
        <v>1.4755496981159997</v>
      </c>
      <c r="O1762" s="361">
        <f t="shared" si="1805"/>
        <v>1.8428877954619598</v>
      </c>
      <c r="P1762" s="361">
        <f t="shared" si="1805"/>
        <v>2.3016747121421921</v>
      </c>
      <c r="Q1762" s="361">
        <f t="shared" si="1805"/>
        <v>2.8746766317299626</v>
      </c>
      <c r="R1762" s="361">
        <f t="shared" si="1805"/>
        <v>3.5903273791991017</v>
      </c>
      <c r="S1762" s="361">
        <f t="shared" si="1805"/>
        <v>4.4841393802506744</v>
      </c>
      <c r="T1762" s="361">
        <f t="shared" si="1805"/>
        <v>5.6004658789640249</v>
      </c>
      <c r="U1762" s="361">
        <f t="shared" si="1805"/>
        <v>6.9947018595320509</v>
      </c>
      <c r="V1762" s="362">
        <f t="shared" si="1805"/>
        <v>8.7360328874624695</v>
      </c>
      <c r="X1762" s="351"/>
    </row>
    <row r="1763" spans="3:24" ht="24.75" customHeight="1" x14ac:dyDescent="0.3">
      <c r="C1763" s="353">
        <f>ABS(E1763-Dashboard!$F$14)</f>
        <v>24.934729795836247</v>
      </c>
      <c r="D1763" s="350">
        <f t="shared" si="1785"/>
        <v>0.24904999999998781</v>
      </c>
      <c r="E1763" s="359" cm="1">
        <f t="array" ref="E1763">1000*SUM('DRE + DCF'!$L$36/M1763,'DRE + DCF'!$N$36:$V$36/N1763:V1763,F1763/V1763)/Dashboard!$F$11</f>
        <v>72.055270204163747</v>
      </c>
      <c r="F1763" s="359">
        <f t="shared" si="1783"/>
        <v>10888785.181663496</v>
      </c>
      <c r="G1763" s="359">
        <f>'DRE + DCF'!$W$31</f>
        <v>2791623.3540418856</v>
      </c>
      <c r="H1763" s="359">
        <f>'DRE + DCF'!$W$32</f>
        <v>81081.931703745853</v>
      </c>
      <c r="I1763" s="359">
        <f>-H1763*('DRE + DCF'!$V$33+K1763)/'DRE + DCF'!$V$33</f>
        <v>-90858.801614444121</v>
      </c>
      <c r="J1763" s="359">
        <f>-'DRE + DCF'!$V$56*L1763</f>
        <v>-1188924.4255577971</v>
      </c>
      <c r="K1763" s="360">
        <f>(1+L1763)/(1+Ke!$O$12)-1</f>
        <v>2.0000000000000018E-2</v>
      </c>
      <c r="L1763" s="360">
        <f>'DRE + DCF'!$Y$31</f>
        <v>7.3550000000000004E-2</v>
      </c>
      <c r="M1763" s="361">
        <f>(1+D1763)^((5-Dashboard!$F$9)*3/12)</f>
        <v>1.1815031063223811</v>
      </c>
      <c r="N1763" s="361">
        <f t="shared" ref="N1763:V1763" si="1806">M1763*(1+$D1763)</f>
        <v>1.4757564549519557</v>
      </c>
      <c r="O1763" s="361">
        <f t="shared" si="1806"/>
        <v>1.8432936000577222</v>
      </c>
      <c r="P1763" s="361">
        <f t="shared" si="1806"/>
        <v>2.3023658711520754</v>
      </c>
      <c r="Q1763" s="361">
        <f t="shared" si="1806"/>
        <v>2.8757700913624715</v>
      </c>
      <c r="R1763" s="361">
        <f t="shared" si="1806"/>
        <v>3.5919806326162598</v>
      </c>
      <c r="S1763" s="361">
        <f t="shared" si="1806"/>
        <v>4.4865634091692952</v>
      </c>
      <c r="T1763" s="361">
        <f t="shared" si="1806"/>
        <v>5.6039420262228532</v>
      </c>
      <c r="U1763" s="361">
        <f t="shared" si="1806"/>
        <v>6.9996037878535864</v>
      </c>
      <c r="V1763" s="362">
        <f t="shared" si="1806"/>
        <v>8.7428551112184358</v>
      </c>
      <c r="X1763" s="351"/>
    </row>
    <row r="1764" spans="3:24" ht="24.75" customHeight="1" x14ac:dyDescent="0.3">
      <c r="C1764" s="353">
        <f>ABS(E1764-Dashboard!$F$14)</f>
        <v>24.981309443071041</v>
      </c>
      <c r="D1764" s="350">
        <f t="shared" si="1785"/>
        <v>0.2491499999999878</v>
      </c>
      <c r="E1764" s="359" cm="1">
        <f t="array" ref="E1764">1000*SUM('DRE + DCF'!$L$36/M1764,'DRE + DCF'!$N$36:$V$36/N1764:V1764,F1764/V1764)/Dashboard!$F$11</f>
        <v>72.008690556928954</v>
      </c>
      <c r="F1764" s="359">
        <f t="shared" si="1783"/>
        <v>10883595.764836406</v>
      </c>
      <c r="G1764" s="359">
        <f>'DRE + DCF'!$W$31</f>
        <v>2791623.3540418856</v>
      </c>
      <c r="H1764" s="359">
        <f>'DRE + DCF'!$W$32</f>
        <v>81081.931703745853</v>
      </c>
      <c r="I1764" s="359">
        <f>-H1764*('DRE + DCF'!$V$33+K1764)/'DRE + DCF'!$V$33</f>
        <v>-90858.801614444121</v>
      </c>
      <c r="J1764" s="359">
        <f>-'DRE + DCF'!$V$56*L1764</f>
        <v>-1188924.4255577971</v>
      </c>
      <c r="K1764" s="360">
        <f>(1+L1764)/(1+Ke!$O$12)-1</f>
        <v>2.0000000000000018E-2</v>
      </c>
      <c r="L1764" s="360">
        <f>'DRE + DCF'!$Y$31</f>
        <v>7.3550000000000004E-2</v>
      </c>
      <c r="M1764" s="361">
        <f>(1+D1764)^((5-Dashboard!$F$9)*3/12)</f>
        <v>1.1815740497163225</v>
      </c>
      <c r="N1764" s="361">
        <f t="shared" ref="N1764:V1764" si="1807">M1764*(1+$D1764)</f>
        <v>1.4759632242031298</v>
      </c>
      <c r="O1764" s="361">
        <f t="shared" si="1807"/>
        <v>1.8436994615133215</v>
      </c>
      <c r="P1764" s="361">
        <f t="shared" si="1807"/>
        <v>2.3030571823493431</v>
      </c>
      <c r="Q1764" s="361">
        <f t="shared" si="1807"/>
        <v>2.8768638793316539</v>
      </c>
      <c r="R1764" s="361">
        <f t="shared" si="1807"/>
        <v>3.5936345148671003</v>
      </c>
      <c r="S1764" s="361">
        <f t="shared" si="1807"/>
        <v>4.4889885542461947</v>
      </c>
      <c r="T1764" s="361">
        <f t="shared" si="1807"/>
        <v>5.6074200525365789</v>
      </c>
      <c r="U1764" s="361">
        <f t="shared" si="1807"/>
        <v>7.0045087586259989</v>
      </c>
      <c r="V1764" s="362">
        <f t="shared" si="1807"/>
        <v>8.7496821158375813</v>
      </c>
      <c r="X1764" s="351"/>
    </row>
    <row r="1765" spans="3:24" ht="24.75" customHeight="1" x14ac:dyDescent="0.3">
      <c r="C1765" s="353">
        <f>ABS(E1765-Dashboard!$F$14)</f>
        <v>25.027836470752618</v>
      </c>
      <c r="D1765" s="350">
        <f t="shared" si="1785"/>
        <v>0.24924999999998779</v>
      </c>
      <c r="E1765" s="359" cm="1">
        <f t="array" ref="E1765">1000*SUM('DRE + DCF'!$L$36/M1765,'DRE + DCF'!$N$36:$V$36/N1765:V1765,F1765/V1765)/Dashboard!$F$11</f>
        <v>71.962163529247377</v>
      </c>
      <c r="F1765" s="359">
        <f t="shared" si="1783"/>
        <v>10878411.443981219</v>
      </c>
      <c r="G1765" s="359">
        <f>'DRE + DCF'!$W$31</f>
        <v>2791623.3540418856</v>
      </c>
      <c r="H1765" s="359">
        <f>'DRE + DCF'!$W$32</f>
        <v>81081.931703745853</v>
      </c>
      <c r="I1765" s="359">
        <f>-H1765*('DRE + DCF'!$V$33+K1765)/'DRE + DCF'!$V$33</f>
        <v>-90858.801614444121</v>
      </c>
      <c r="J1765" s="359">
        <f>-'DRE + DCF'!$V$56*L1765</f>
        <v>-1188924.4255577971</v>
      </c>
      <c r="K1765" s="360">
        <f>(1+L1765)/(1+Ke!$O$12)-1</f>
        <v>2.0000000000000018E-2</v>
      </c>
      <c r="L1765" s="360">
        <f>'DRE + DCF'!$Y$31</f>
        <v>7.3550000000000004E-2</v>
      </c>
      <c r="M1765" s="361">
        <f>(1+D1765)^((5-Dashboard!$F$9)*3/12)</f>
        <v>1.1816449916904446</v>
      </c>
      <c r="N1765" s="361">
        <f t="shared" ref="N1765:V1765" si="1808">M1765*(1+$D1765)</f>
        <v>1.4761700058692735</v>
      </c>
      <c r="O1765" s="361">
        <f t="shared" si="1808"/>
        <v>1.8441053798321718</v>
      </c>
      <c r="P1765" s="361">
        <f t="shared" si="1808"/>
        <v>2.3037486457553182</v>
      </c>
      <c r="Q1765" s="361">
        <f t="shared" si="1808"/>
        <v>2.8779579957098029</v>
      </c>
      <c r="R1765" s="361">
        <f t="shared" si="1808"/>
        <v>3.5952890261404362</v>
      </c>
      <c r="S1765" s="361">
        <f t="shared" si="1808"/>
        <v>4.4914148159058955</v>
      </c>
      <c r="T1765" s="361">
        <f t="shared" si="1808"/>
        <v>5.6108999587703847</v>
      </c>
      <c r="U1765" s="361">
        <f t="shared" si="1808"/>
        <v>7.0094167734938342</v>
      </c>
      <c r="V1765" s="362">
        <f t="shared" si="1808"/>
        <v>8.7565139042870861</v>
      </c>
      <c r="X1765" s="351"/>
    </row>
    <row r="1766" spans="3:24" ht="24.75" customHeight="1" x14ac:dyDescent="0.3">
      <c r="C1766" s="353">
        <f>ABS(E1766-Dashboard!$F$14)</f>
        <v>25.074310962055279</v>
      </c>
      <c r="D1766" s="350">
        <f t="shared" si="1785"/>
        <v>0.24934999999998778</v>
      </c>
      <c r="E1766" s="359" cm="1">
        <f t="array" ref="E1766">1000*SUM('DRE + DCF'!$L$36/M1766,'DRE + DCF'!$N$36:$V$36/N1766:V1766,F1766/V1766)/Dashboard!$F$11</f>
        <v>71.915689037944716</v>
      </c>
      <c r="F1766" s="359">
        <f t="shared" si="1783"/>
        <v>10873232.211377114</v>
      </c>
      <c r="G1766" s="359">
        <f>'DRE + DCF'!$W$31</f>
        <v>2791623.3540418856</v>
      </c>
      <c r="H1766" s="359">
        <f>'DRE + DCF'!$W$32</f>
        <v>81081.931703745853</v>
      </c>
      <c r="I1766" s="359">
        <f>-H1766*('DRE + DCF'!$V$33+K1766)/'DRE + DCF'!$V$33</f>
        <v>-90858.801614444121</v>
      </c>
      <c r="J1766" s="359">
        <f>-'DRE + DCF'!$V$56*L1766</f>
        <v>-1188924.4255577971</v>
      </c>
      <c r="K1766" s="360">
        <f>(1+L1766)/(1+Ke!$O$12)-1</f>
        <v>2.0000000000000018E-2</v>
      </c>
      <c r="L1766" s="360">
        <f>'DRE + DCF'!$Y$31</f>
        <v>7.3550000000000004E-2</v>
      </c>
      <c r="M1766" s="361">
        <f>(1+D1766)^((5-Dashboard!$F$9)*3/12)</f>
        <v>1.1817159322448898</v>
      </c>
      <c r="N1766" s="361">
        <f t="shared" ref="N1766:V1766" si="1809">M1766*(1+$D1766)</f>
        <v>1.4763767999501385</v>
      </c>
      <c r="O1766" s="361">
        <f t="shared" si="1809"/>
        <v>1.8445113550176875</v>
      </c>
      <c r="P1766" s="361">
        <f t="shared" si="1809"/>
        <v>2.3044402613913251</v>
      </c>
      <c r="Q1766" s="361">
        <f t="shared" si="1809"/>
        <v>2.8790524405692239</v>
      </c>
      <c r="R1766" s="361">
        <f t="shared" si="1809"/>
        <v>3.5969441666251245</v>
      </c>
      <c r="S1766" s="361">
        <f t="shared" si="1809"/>
        <v>4.4938421945730553</v>
      </c>
      <c r="T1766" s="361">
        <f t="shared" si="1809"/>
        <v>5.6143817457897915</v>
      </c>
      <c r="U1766" s="361">
        <f t="shared" si="1809"/>
        <v>7.0143278341024073</v>
      </c>
      <c r="V1766" s="362">
        <f t="shared" si="1809"/>
        <v>8.763350479535756</v>
      </c>
      <c r="X1766" s="351"/>
    </row>
    <row r="1767" spans="3:24" ht="24.75" customHeight="1" x14ac:dyDescent="0.3">
      <c r="C1767" s="353">
        <f>ABS(E1767-Dashboard!$F$14)</f>
        <v>25.120732999982266</v>
      </c>
      <c r="D1767" s="350">
        <f t="shared" si="1785"/>
        <v>0.24944999999998776</v>
      </c>
      <c r="E1767" s="359" cm="1">
        <f t="array" ref="E1767">1000*SUM('DRE + DCF'!$L$36/M1767,'DRE + DCF'!$N$36:$V$36/N1767:V1767,F1767/V1767)/Dashboard!$F$11</f>
        <v>71.869267000017729</v>
      </c>
      <c r="F1767" s="359">
        <f t="shared" si="1783"/>
        <v>10868058.059319265</v>
      </c>
      <c r="G1767" s="359">
        <f>'DRE + DCF'!$W$31</f>
        <v>2791623.3540418856</v>
      </c>
      <c r="H1767" s="359">
        <f>'DRE + DCF'!$W$32</f>
        <v>81081.931703745853</v>
      </c>
      <c r="I1767" s="359">
        <f>-H1767*('DRE + DCF'!$V$33+K1767)/'DRE + DCF'!$V$33</f>
        <v>-90858.801614444121</v>
      </c>
      <c r="J1767" s="359">
        <f>-'DRE + DCF'!$V$56*L1767</f>
        <v>-1188924.4255577971</v>
      </c>
      <c r="K1767" s="360">
        <f>(1+L1767)/(1+Ke!$O$12)-1</f>
        <v>2.0000000000000018E-2</v>
      </c>
      <c r="L1767" s="360">
        <f>'DRE + DCF'!$Y$31</f>
        <v>7.3550000000000004E-2</v>
      </c>
      <c r="M1767" s="361">
        <f>(1+D1767)^((5-Dashboard!$F$9)*3/12)</f>
        <v>1.1817868713797999</v>
      </c>
      <c r="N1767" s="361">
        <f t="shared" ref="N1767:V1767" si="1810">M1767*(1+$D1767)</f>
        <v>1.4765836064454765</v>
      </c>
      <c r="O1767" s="361">
        <f t="shared" si="1810"/>
        <v>1.8449173870732825</v>
      </c>
      <c r="P1767" s="361">
        <f t="shared" si="1810"/>
        <v>2.3051320292786901</v>
      </c>
      <c r="Q1767" s="361">
        <f t="shared" si="1810"/>
        <v>2.8801472139822311</v>
      </c>
      <c r="R1767" s="361">
        <f t="shared" si="1810"/>
        <v>3.5985999365100634</v>
      </c>
      <c r="S1767" s="361">
        <f t="shared" si="1810"/>
        <v>4.4962706906724543</v>
      </c>
      <c r="T1767" s="361">
        <f t="shared" si="1810"/>
        <v>5.6178654144606428</v>
      </c>
      <c r="U1767" s="361">
        <f t="shared" si="1810"/>
        <v>7.0192419420977812</v>
      </c>
      <c r="V1767" s="362">
        <f t="shared" si="1810"/>
        <v>8.7701918445539864</v>
      </c>
      <c r="X1767" s="351"/>
    </row>
    <row r="1768" spans="3:24" ht="24.75" customHeight="1" x14ac:dyDescent="0.3">
      <c r="C1768" s="353">
        <f>ABS(E1768-Dashboard!$F$14)</f>
        <v>25.167102667366322</v>
      </c>
      <c r="D1768" s="350">
        <f t="shared" si="1785"/>
        <v>0.24954999999998775</v>
      </c>
      <c r="E1768" s="359" cm="1">
        <f t="array" ref="E1768">1000*SUM('DRE + DCF'!$L$36/M1768,'DRE + DCF'!$N$36:$V$36/N1768:V1768,F1768/V1768)/Dashboard!$F$11</f>
        <v>71.822897332633673</v>
      </c>
      <c r="F1768" s="359">
        <f t="shared" si="1783"/>
        <v>10862888.980118793</v>
      </c>
      <c r="G1768" s="359">
        <f>'DRE + DCF'!$W$31</f>
        <v>2791623.3540418856</v>
      </c>
      <c r="H1768" s="359">
        <f>'DRE + DCF'!$W$32</f>
        <v>81081.931703745853</v>
      </c>
      <c r="I1768" s="359">
        <f>-H1768*('DRE + DCF'!$V$33+K1768)/'DRE + DCF'!$V$33</f>
        <v>-90858.801614444121</v>
      </c>
      <c r="J1768" s="359">
        <f>-'DRE + DCF'!$V$56*L1768</f>
        <v>-1188924.4255577971</v>
      </c>
      <c r="K1768" s="360">
        <f>(1+L1768)/(1+Ke!$O$12)-1</f>
        <v>2.0000000000000018E-2</v>
      </c>
      <c r="L1768" s="360">
        <f>'DRE + DCF'!$Y$31</f>
        <v>7.3550000000000004E-2</v>
      </c>
      <c r="M1768" s="361">
        <f>(1+D1768)^((5-Dashboard!$F$9)*3/12)</f>
        <v>1.1818578090953169</v>
      </c>
      <c r="N1768" s="361">
        <f t="shared" ref="N1768:V1768" si="1811">M1768*(1+$D1768)</f>
        <v>1.4767904253550388</v>
      </c>
      <c r="O1768" s="361">
        <f t="shared" si="1811"/>
        <v>1.8453234760023707</v>
      </c>
      <c r="P1768" s="361">
        <f t="shared" si="1811"/>
        <v>2.3058239494387398</v>
      </c>
      <c r="Q1768" s="361">
        <f t="shared" si="1811"/>
        <v>2.8812423160211491</v>
      </c>
      <c r="R1768" s="361">
        <f t="shared" si="1811"/>
        <v>3.6002563359841915</v>
      </c>
      <c r="S1768" s="361">
        <f t="shared" si="1811"/>
        <v>4.4987003046290024</v>
      </c>
      <c r="T1768" s="361">
        <f t="shared" si="1811"/>
        <v>5.621350965649115</v>
      </c>
      <c r="U1768" s="361">
        <f t="shared" si="1811"/>
        <v>7.0241590991267824</v>
      </c>
      <c r="V1768" s="362">
        <f t="shared" si="1811"/>
        <v>8.7770380023137839</v>
      </c>
      <c r="X1768" s="351"/>
    </row>
    <row r="1769" spans="3:24" ht="24.75" customHeight="1" x14ac:dyDescent="0.3">
      <c r="C1769" s="353">
        <f>ABS(E1769-Dashboard!$F$14)</f>
        <v>25.213420046869985</v>
      </c>
      <c r="D1769" s="350">
        <f t="shared" si="1785"/>
        <v>0.24964999999998774</v>
      </c>
      <c r="E1769" s="359" cm="1">
        <f t="array" ref="E1769">1000*SUM('DRE + DCF'!$L$36/M1769,'DRE + DCF'!$N$36:$V$36/N1769:V1769,F1769/V1769)/Dashboard!$F$11</f>
        <v>71.77657995313001</v>
      </c>
      <c r="F1769" s="359">
        <f t="shared" si="1783"/>
        <v>10857724.966102734</v>
      </c>
      <c r="G1769" s="359">
        <f>'DRE + DCF'!$W$31</f>
        <v>2791623.3540418856</v>
      </c>
      <c r="H1769" s="359">
        <f>'DRE + DCF'!$W$32</f>
        <v>81081.931703745853</v>
      </c>
      <c r="I1769" s="359">
        <f>-H1769*('DRE + DCF'!$V$33+K1769)/'DRE + DCF'!$V$33</f>
        <v>-90858.801614444121</v>
      </c>
      <c r="J1769" s="359">
        <f>-'DRE + DCF'!$V$56*L1769</f>
        <v>-1188924.4255577971</v>
      </c>
      <c r="K1769" s="360">
        <f>(1+L1769)/(1+Ke!$O$12)-1</f>
        <v>2.0000000000000018E-2</v>
      </c>
      <c r="L1769" s="360">
        <f>'DRE + DCF'!$Y$31</f>
        <v>7.3550000000000004E-2</v>
      </c>
      <c r="M1769" s="361">
        <f>(1+D1769)^((5-Dashboard!$F$9)*3/12)</f>
        <v>1.1819287453915828</v>
      </c>
      <c r="N1769" s="361">
        <f t="shared" ref="N1769:V1769" si="1812">M1769*(1+$D1769)</f>
        <v>1.476997256678577</v>
      </c>
      <c r="O1769" s="361">
        <f t="shared" si="1812"/>
        <v>1.8457296218083656</v>
      </c>
      <c r="P1769" s="361">
        <f t="shared" si="1812"/>
        <v>2.3065160218928016</v>
      </c>
      <c r="Q1769" s="361">
        <f t="shared" si="1812"/>
        <v>2.8823377467583113</v>
      </c>
      <c r="R1769" s="361">
        <f t="shared" si="1812"/>
        <v>3.6019133652364883</v>
      </c>
      <c r="S1769" s="361">
        <f t="shared" si="1812"/>
        <v>4.5011310368677337</v>
      </c>
      <c r="T1769" s="361">
        <f t="shared" si="1812"/>
        <v>5.6248384002217078</v>
      </c>
      <c r="U1769" s="361">
        <f t="shared" si="1812"/>
        <v>7.0290793068369881</v>
      </c>
      <c r="V1769" s="362">
        <f t="shared" si="1812"/>
        <v>8.7838889557887558</v>
      </c>
      <c r="X1769" s="351"/>
    </row>
    <row r="1770" spans="3:24" ht="24.75" customHeight="1" x14ac:dyDescent="0.3">
      <c r="C1770" s="353">
        <f>ABS(E1770-Dashboard!$F$14)</f>
        <v>25.259685220986142</v>
      </c>
      <c r="D1770" s="350">
        <f t="shared" si="1785"/>
        <v>0.24974999999998773</v>
      </c>
      <c r="E1770" s="359" cm="1">
        <f t="array" ref="E1770">1000*SUM('DRE + DCF'!$L$36/M1770,'DRE + DCF'!$N$36:$V$36/N1770:V1770,F1770/V1770)/Dashboard!$F$11</f>
        <v>71.730314779013852</v>
      </c>
      <c r="F1770" s="359">
        <f t="shared" si="1783"/>
        <v>10852566.009613993</v>
      </c>
      <c r="G1770" s="359">
        <f>'DRE + DCF'!$W$31</f>
        <v>2791623.3540418856</v>
      </c>
      <c r="H1770" s="359">
        <f>'DRE + DCF'!$W$32</f>
        <v>81081.931703745853</v>
      </c>
      <c r="I1770" s="359">
        <f>-H1770*('DRE + DCF'!$V$33+K1770)/'DRE + DCF'!$V$33</f>
        <v>-90858.801614444121</v>
      </c>
      <c r="J1770" s="359">
        <f>-'DRE + DCF'!$V$56*L1770</f>
        <v>-1188924.4255577971</v>
      </c>
      <c r="K1770" s="360">
        <f>(1+L1770)/(1+Ke!$O$12)-1</f>
        <v>2.0000000000000018E-2</v>
      </c>
      <c r="L1770" s="360">
        <f>'DRE + DCF'!$Y$31</f>
        <v>7.3550000000000004E-2</v>
      </c>
      <c r="M1770" s="361">
        <f>(1+D1770)^((5-Dashboard!$F$9)*3/12)</f>
        <v>1.1819996802687396</v>
      </c>
      <c r="N1770" s="361">
        <f t="shared" ref="N1770:V1770" si="1813">M1770*(1+$D1770)</f>
        <v>1.4772041004158427</v>
      </c>
      <c r="O1770" s="361">
        <f t="shared" si="1813"/>
        <v>1.8461358244946813</v>
      </c>
      <c r="P1770" s="361">
        <f t="shared" si="1813"/>
        <v>2.307208246662205</v>
      </c>
      <c r="Q1770" s="361">
        <f t="shared" si="1813"/>
        <v>2.8834335062660625</v>
      </c>
      <c r="R1770" s="361">
        <f t="shared" si="1813"/>
        <v>3.603571024455976</v>
      </c>
      <c r="S1770" s="361">
        <f t="shared" si="1813"/>
        <v>4.5035628878138114</v>
      </c>
      <c r="T1770" s="361">
        <f t="shared" si="1813"/>
        <v>5.6283277190452559</v>
      </c>
      <c r="U1770" s="361">
        <f t="shared" si="1813"/>
        <v>7.0340025668767394</v>
      </c>
      <c r="V1770" s="362">
        <f t="shared" si="1813"/>
        <v>8.7907447079541186</v>
      </c>
      <c r="X1770" s="351"/>
    </row>
    <row r="1771" spans="3:24" ht="24.75" customHeight="1" x14ac:dyDescent="0.3">
      <c r="C1771" s="353">
        <f>ABS(E1771-Dashboard!$F$14)</f>
        <v>25.305898272038505</v>
      </c>
      <c r="D1771" s="350">
        <f t="shared" si="1785"/>
        <v>0.24984999999998772</v>
      </c>
      <c r="E1771" s="359" cm="1">
        <f t="array" ref="E1771">1000*SUM('DRE + DCF'!$L$36/M1771,'DRE + DCF'!$N$36:$V$36/N1771:V1771,F1771/V1771)/Dashboard!$F$11</f>
        <v>71.68410172796149</v>
      </c>
      <c r="F1771" s="359">
        <f t="shared" si="1783"/>
        <v>10847412.103011291</v>
      </c>
      <c r="G1771" s="359">
        <f>'DRE + DCF'!$W$31</f>
        <v>2791623.3540418856</v>
      </c>
      <c r="H1771" s="359">
        <f>'DRE + DCF'!$W$32</f>
        <v>81081.931703745853</v>
      </c>
      <c r="I1771" s="359">
        <f>-H1771*('DRE + DCF'!$V$33+K1771)/'DRE + DCF'!$V$33</f>
        <v>-90858.801614444121</v>
      </c>
      <c r="J1771" s="359">
        <f>-'DRE + DCF'!$V$56*L1771</f>
        <v>-1188924.4255577971</v>
      </c>
      <c r="K1771" s="360">
        <f>(1+L1771)/(1+Ke!$O$12)-1</f>
        <v>2.0000000000000018E-2</v>
      </c>
      <c r="L1771" s="360">
        <f>'DRE + DCF'!$Y$31</f>
        <v>7.3550000000000004E-2</v>
      </c>
      <c r="M1771" s="361">
        <f>(1+D1771)^((5-Dashboard!$F$9)*3/12)</f>
        <v>1.1820706137269295</v>
      </c>
      <c r="N1771" s="361">
        <f t="shared" ref="N1771:V1771" si="1814">M1771*(1+$D1771)</f>
        <v>1.4774109565665883</v>
      </c>
      <c r="O1771" s="361">
        <f t="shared" si="1814"/>
        <v>1.8465420840647322</v>
      </c>
      <c r="P1771" s="361">
        <f t="shared" si="1814"/>
        <v>2.3079006237682829</v>
      </c>
      <c r="Q1771" s="361">
        <f t="shared" si="1814"/>
        <v>2.88452959461676</v>
      </c>
      <c r="R1771" s="361">
        <f t="shared" si="1814"/>
        <v>3.605229313831722</v>
      </c>
      <c r="S1771" s="361">
        <f t="shared" si="1814"/>
        <v>4.5059958578925334</v>
      </c>
      <c r="T1771" s="361">
        <f t="shared" si="1814"/>
        <v>5.6318189229869278</v>
      </c>
      <c r="U1771" s="361">
        <f t="shared" si="1814"/>
        <v>7.038928880895142</v>
      </c>
      <c r="V1771" s="362">
        <f t="shared" si="1814"/>
        <v>8.7976052617867069</v>
      </c>
      <c r="X1771" s="351"/>
    </row>
    <row r="1772" spans="3:24" ht="24.75" customHeight="1" x14ac:dyDescent="0.3">
      <c r="C1772" s="353">
        <f>ABS(E1772-Dashboard!$F$14)</f>
        <v>25.352059282181798</v>
      </c>
      <c r="D1772" s="350">
        <f t="shared" si="1785"/>
        <v>0.24994999999998771</v>
      </c>
      <c r="E1772" s="359" cm="1">
        <f t="array" ref="E1772">1000*SUM('DRE + DCF'!$L$36/M1772,'DRE + DCF'!$N$36:$V$36/N1772:V1772,F1772/V1772)/Dashboard!$F$11</f>
        <v>71.637940717818196</v>
      </c>
      <c r="F1772" s="359">
        <f t="shared" si="1783"/>
        <v>10842263.238669142</v>
      </c>
      <c r="G1772" s="359">
        <f>'DRE + DCF'!$W$31</f>
        <v>2791623.3540418856</v>
      </c>
      <c r="H1772" s="359">
        <f>'DRE + DCF'!$W$32</f>
        <v>81081.931703745853</v>
      </c>
      <c r="I1772" s="359">
        <f>-H1772*('DRE + DCF'!$V$33+K1772)/'DRE + DCF'!$V$33</f>
        <v>-90858.801614444121</v>
      </c>
      <c r="J1772" s="359">
        <f>-'DRE + DCF'!$V$56*L1772</f>
        <v>-1188924.4255577971</v>
      </c>
      <c r="K1772" s="360">
        <f>(1+L1772)/(1+Ke!$O$12)-1</f>
        <v>2.0000000000000018E-2</v>
      </c>
      <c r="L1772" s="360">
        <f>'DRE + DCF'!$Y$31</f>
        <v>7.3550000000000004E-2</v>
      </c>
      <c r="M1772" s="361">
        <f>(1+D1772)^((5-Dashboard!$F$9)*3/12)</f>
        <v>1.1821415457662938</v>
      </c>
      <c r="N1772" s="361">
        <f t="shared" ref="N1772:V1772" si="1815">M1772*(1+$D1772)</f>
        <v>1.4776178251305645</v>
      </c>
      <c r="O1772" s="361">
        <f t="shared" si="1815"/>
        <v>1.846948400521931</v>
      </c>
      <c r="P1772" s="361">
        <f t="shared" si="1815"/>
        <v>2.3085931532323647</v>
      </c>
      <c r="Q1772" s="361">
        <f t="shared" si="1815"/>
        <v>2.8856260118827657</v>
      </c>
      <c r="R1772" s="361">
        <f t="shared" si="1815"/>
        <v>3.6068882335528274</v>
      </c>
      <c r="S1772" s="361">
        <f t="shared" si="1815"/>
        <v>4.5084299475293124</v>
      </c>
      <c r="T1772" s="361">
        <f t="shared" si="1815"/>
        <v>5.6353120129142082</v>
      </c>
      <c r="U1772" s="361">
        <f t="shared" si="1815"/>
        <v>7.0438582505420451</v>
      </c>
      <c r="V1772" s="362">
        <f t="shared" si="1815"/>
        <v>8.8044706202649419</v>
      </c>
      <c r="X1772" s="351"/>
    </row>
    <row r="1773" spans="3:24" ht="24.75" customHeight="1" x14ac:dyDescent="0.3">
      <c r="C1773" s="353">
        <f>ABS(E1773-Dashboard!$F$14)</f>
        <v>25.398168333402552</v>
      </c>
      <c r="D1773" s="350">
        <f t="shared" si="1785"/>
        <v>0.25004999999998773</v>
      </c>
      <c r="E1773" s="359" cm="1">
        <f t="array" ref="E1773">1000*SUM('DRE + DCF'!$L$36/M1773,'DRE + DCF'!$N$36:$V$36/N1773:V1773,F1773/V1773)/Dashboard!$F$11</f>
        <v>71.591831666597443</v>
      </c>
      <c r="F1773" s="359">
        <f t="shared" si="1783"/>
        <v>10837119.408977803</v>
      </c>
      <c r="G1773" s="359">
        <f>'DRE + DCF'!$W$31</f>
        <v>2791623.3540418856</v>
      </c>
      <c r="H1773" s="359">
        <f>'DRE + DCF'!$W$32</f>
        <v>81081.931703745853</v>
      </c>
      <c r="I1773" s="359">
        <f>-H1773*('DRE + DCF'!$V$33+K1773)/'DRE + DCF'!$V$33</f>
        <v>-90858.801614444121</v>
      </c>
      <c r="J1773" s="359">
        <f>-'DRE + DCF'!$V$56*L1773</f>
        <v>-1188924.4255577971</v>
      </c>
      <c r="K1773" s="360">
        <f>(1+L1773)/(1+Ke!$O$12)-1</f>
        <v>2.0000000000000018E-2</v>
      </c>
      <c r="L1773" s="360">
        <f>'DRE + DCF'!$Y$31</f>
        <v>7.3550000000000004E-2</v>
      </c>
      <c r="M1773" s="361">
        <f>(1+D1773)^((5-Dashboard!$F$9)*3/12)</f>
        <v>1.182212476386975</v>
      </c>
      <c r="N1773" s="361">
        <f t="shared" ref="N1773:V1773" si="1816">M1773*(1+$D1773)</f>
        <v>1.4778247061075236</v>
      </c>
      <c r="O1773" s="361">
        <f t="shared" si="1816"/>
        <v>1.8473547738696916</v>
      </c>
      <c r="P1773" s="361">
        <f t="shared" si="1816"/>
        <v>2.309285835075785</v>
      </c>
      <c r="Q1773" s="361">
        <f t="shared" si="1816"/>
        <v>2.8867227581364565</v>
      </c>
      <c r="R1773" s="361">
        <f t="shared" si="1816"/>
        <v>3.6085477838084419</v>
      </c>
      <c r="S1773" s="361">
        <f t="shared" si="1816"/>
        <v>4.5108651571496985</v>
      </c>
      <c r="T1773" s="361">
        <f t="shared" si="1816"/>
        <v>5.6388069896949249</v>
      </c>
      <c r="U1773" s="361">
        <f t="shared" si="1816"/>
        <v>7.0487906774680713</v>
      </c>
      <c r="V1773" s="362">
        <f t="shared" si="1816"/>
        <v>8.8113407863688753</v>
      </c>
      <c r="X1773" s="351"/>
    </row>
    <row r="1774" spans="3:24" ht="24.75" customHeight="1" x14ac:dyDescent="0.3">
      <c r="C1774" s="353">
        <f>ABS(E1774-Dashboard!$F$14)</f>
        <v>25.444225507519235</v>
      </c>
      <c r="D1774" s="350">
        <f t="shared" si="1785"/>
        <v>0.25014999999998772</v>
      </c>
      <c r="E1774" s="359" cm="1">
        <f t="array" ref="E1774">1000*SUM('DRE + DCF'!$L$36/M1774,'DRE + DCF'!$N$36:$V$36/N1774:V1774,F1774/V1774)/Dashboard!$F$11</f>
        <v>71.54577449248076</v>
      </c>
      <c r="F1774" s="359">
        <f t="shared" si="1783"/>
        <v>10831980.606343227</v>
      </c>
      <c r="G1774" s="359">
        <f>'DRE + DCF'!$W$31</f>
        <v>2791623.3540418856</v>
      </c>
      <c r="H1774" s="359">
        <f>'DRE + DCF'!$W$32</f>
        <v>81081.931703745853</v>
      </c>
      <c r="I1774" s="359">
        <f>-H1774*('DRE + DCF'!$V$33+K1774)/'DRE + DCF'!$V$33</f>
        <v>-90858.801614444121</v>
      </c>
      <c r="J1774" s="359">
        <f>-'DRE + DCF'!$V$56*L1774</f>
        <v>-1188924.4255577971</v>
      </c>
      <c r="K1774" s="360">
        <f>(1+L1774)/(1+Ke!$O$12)-1</f>
        <v>2.0000000000000018E-2</v>
      </c>
      <c r="L1774" s="360">
        <f>'DRE + DCF'!$Y$31</f>
        <v>7.3550000000000004E-2</v>
      </c>
      <c r="M1774" s="361">
        <f>(1+D1774)^((5-Dashboard!$F$9)*3/12)</f>
        <v>1.1822834055891147</v>
      </c>
      <c r="N1774" s="361">
        <f t="shared" ref="N1774:V1774" si="1817">M1774*(1+$D1774)</f>
        <v>1.4780315994972171</v>
      </c>
      <c r="O1774" s="361">
        <f t="shared" si="1817"/>
        <v>1.8477612041114277</v>
      </c>
      <c r="P1774" s="361">
        <f t="shared" si="1817"/>
        <v>2.3099786693198787</v>
      </c>
      <c r="Q1774" s="361">
        <f t="shared" si="1817"/>
        <v>2.8878198334502181</v>
      </c>
      <c r="R1774" s="361">
        <f t="shared" si="1817"/>
        <v>3.6102079647877545</v>
      </c>
      <c r="S1774" s="361">
        <f t="shared" si="1817"/>
        <v>4.5133014871793664</v>
      </c>
      <c r="T1774" s="361">
        <f t="shared" si="1817"/>
        <v>5.6423038541972295</v>
      </c>
      <c r="U1774" s="361">
        <f t="shared" si="1817"/>
        <v>7.0537261633245967</v>
      </c>
      <c r="V1774" s="362">
        <f t="shared" si="1817"/>
        <v>8.8182157630801576</v>
      </c>
      <c r="X1774" s="351"/>
    </row>
    <row r="1775" spans="3:24" ht="24.75" customHeight="1" x14ac:dyDescent="0.3">
      <c r="C1775" s="353">
        <f>ABS(E1775-Dashboard!$F$14)</f>
        <v>25.490230886182843</v>
      </c>
      <c r="D1775" s="350">
        <f t="shared" si="1785"/>
        <v>0.2502499999999877</v>
      </c>
      <c r="E1775" s="359" cm="1">
        <f t="array" ref="E1775">1000*SUM('DRE + DCF'!$L$36/M1775,'DRE + DCF'!$N$36:$V$36/N1775:V1775,F1775/V1775)/Dashboard!$F$11</f>
        <v>71.499769113817152</v>
      </c>
      <c r="F1775" s="359">
        <f t="shared" si="1783"/>
        <v>10826846.823187025</v>
      </c>
      <c r="G1775" s="359">
        <f>'DRE + DCF'!$W$31</f>
        <v>2791623.3540418856</v>
      </c>
      <c r="H1775" s="359">
        <f>'DRE + DCF'!$W$32</f>
        <v>81081.931703745853</v>
      </c>
      <c r="I1775" s="359">
        <f>-H1775*('DRE + DCF'!$V$33+K1775)/'DRE + DCF'!$V$33</f>
        <v>-90858.801614444121</v>
      </c>
      <c r="J1775" s="359">
        <f>-'DRE + DCF'!$V$56*L1775</f>
        <v>-1188924.4255577971</v>
      </c>
      <c r="K1775" s="360">
        <f>(1+L1775)/(1+Ke!$O$12)-1</f>
        <v>2.0000000000000018E-2</v>
      </c>
      <c r="L1775" s="360">
        <f>'DRE + DCF'!$Y$31</f>
        <v>7.3550000000000004E-2</v>
      </c>
      <c r="M1775" s="361">
        <f>(1+D1775)^((5-Dashboard!$F$9)*3/12)</f>
        <v>1.1823543333728548</v>
      </c>
      <c r="N1775" s="361">
        <f t="shared" ref="N1775:V1775" si="1818">M1775*(1+$D1775)</f>
        <v>1.4782385052993972</v>
      </c>
      <c r="O1775" s="361">
        <f t="shared" si="1818"/>
        <v>1.8481676912505531</v>
      </c>
      <c r="P1775" s="361">
        <f t="shared" si="1818"/>
        <v>2.3106716559859812</v>
      </c>
      <c r="Q1775" s="361">
        <f t="shared" si="1818"/>
        <v>2.8889172378964445</v>
      </c>
      <c r="R1775" s="361">
        <f t="shared" si="1818"/>
        <v>3.611868776679994</v>
      </c>
      <c r="S1775" s="361">
        <f t="shared" si="1818"/>
        <v>4.5157389380441177</v>
      </c>
      <c r="T1775" s="361">
        <f t="shared" si="1818"/>
        <v>5.6458026072896024</v>
      </c>
      <c r="U1775" s="361">
        <f t="shared" si="1818"/>
        <v>7.0586647097637556</v>
      </c>
      <c r="V1775" s="362">
        <f t="shared" si="1818"/>
        <v>8.8250955533820488</v>
      </c>
      <c r="X1775" s="351"/>
    </row>
    <row r="1776" spans="3:24" ht="24.75" customHeight="1" x14ac:dyDescent="0.3">
      <c r="C1776" s="353">
        <f>ABS(E1776-Dashboard!$F$14)</f>
        <v>25.536184550877195</v>
      </c>
      <c r="D1776" s="350">
        <f t="shared" si="1785"/>
        <v>0.25034999999998769</v>
      </c>
      <c r="E1776" s="359" cm="1">
        <f t="array" ref="E1776">1000*SUM('DRE + DCF'!$L$36/M1776,'DRE + DCF'!$N$36:$V$36/N1776:V1776,F1776/V1776)/Dashboard!$F$11</f>
        <v>71.4538154491228</v>
      </c>
      <c r="F1776" s="359">
        <f t="shared" si="1783"/>
        <v>10821718.051946435</v>
      </c>
      <c r="G1776" s="359">
        <f>'DRE + DCF'!$W$31</f>
        <v>2791623.3540418856</v>
      </c>
      <c r="H1776" s="359">
        <f>'DRE + DCF'!$W$32</f>
        <v>81081.931703745853</v>
      </c>
      <c r="I1776" s="359">
        <f>-H1776*('DRE + DCF'!$V$33+K1776)/'DRE + DCF'!$V$33</f>
        <v>-90858.801614444121</v>
      </c>
      <c r="J1776" s="359">
        <f>-'DRE + DCF'!$V$56*L1776</f>
        <v>-1188924.4255577971</v>
      </c>
      <c r="K1776" s="360">
        <f>(1+L1776)/(1+Ke!$O$12)-1</f>
        <v>2.0000000000000018E-2</v>
      </c>
      <c r="L1776" s="360">
        <f>'DRE + DCF'!$Y$31</f>
        <v>7.3550000000000004E-2</v>
      </c>
      <c r="M1776" s="361">
        <f>(1+D1776)^((5-Dashboard!$F$9)*3/12)</f>
        <v>1.1824252597383369</v>
      </c>
      <c r="N1776" s="361">
        <f t="shared" ref="N1776:V1776" si="1819">M1776*(1+$D1776)</f>
        <v>1.4784454235138149</v>
      </c>
      <c r="O1776" s="361">
        <f t="shared" si="1819"/>
        <v>1.8485742352904801</v>
      </c>
      <c r="P1776" s="361">
        <f t="shared" si="1819"/>
        <v>2.3113647950954288</v>
      </c>
      <c r="Q1776" s="361">
        <f t="shared" si="1819"/>
        <v>2.8900149715475409</v>
      </c>
      <c r="R1776" s="361">
        <f t="shared" si="1819"/>
        <v>3.6135302196744319</v>
      </c>
      <c r="S1776" s="361">
        <f t="shared" si="1819"/>
        <v>4.5181775101698811</v>
      </c>
      <c r="T1776" s="361">
        <f t="shared" si="1819"/>
        <v>5.6493032498408553</v>
      </c>
      <c r="U1776" s="361">
        <f t="shared" si="1819"/>
        <v>7.0636063184384437</v>
      </c>
      <c r="V1776" s="362">
        <f t="shared" si="1819"/>
        <v>8.8319801602594215</v>
      </c>
      <c r="X1776" s="351"/>
    </row>
    <row r="1777" spans="3:24" ht="24.75" customHeight="1" x14ac:dyDescent="0.3">
      <c r="C1777" s="353">
        <f>ABS(E1777-Dashboard!$F$14)</f>
        <v>25.582086582919572</v>
      </c>
      <c r="D1777" s="350">
        <f t="shared" si="1785"/>
        <v>0.25044999999998768</v>
      </c>
      <c r="E1777" s="359" cm="1">
        <f t="array" ref="E1777">1000*SUM('DRE + DCF'!$L$36/M1777,'DRE + DCF'!$N$36:$V$36/N1777:V1777,F1777/V1777)/Dashboard!$F$11</f>
        <v>71.407913417080422</v>
      </c>
      <c r="F1777" s="359">
        <f t="shared" si="1783"/>
        <v>10816594.28507426</v>
      </c>
      <c r="G1777" s="359">
        <f>'DRE + DCF'!$W$31</f>
        <v>2791623.3540418856</v>
      </c>
      <c r="H1777" s="359">
        <f>'DRE + DCF'!$W$32</f>
        <v>81081.931703745853</v>
      </c>
      <c r="I1777" s="359">
        <f>-H1777*('DRE + DCF'!$V$33+K1777)/'DRE + DCF'!$V$33</f>
        <v>-90858.801614444121</v>
      </c>
      <c r="J1777" s="359">
        <f>-'DRE + DCF'!$V$56*L1777</f>
        <v>-1188924.4255577971</v>
      </c>
      <c r="K1777" s="360">
        <f>(1+L1777)/(1+Ke!$O$12)-1</f>
        <v>2.0000000000000018E-2</v>
      </c>
      <c r="L1777" s="360">
        <f>'DRE + DCF'!$Y$31</f>
        <v>7.3550000000000004E-2</v>
      </c>
      <c r="M1777" s="361">
        <f>(1+D1777)^((5-Dashboard!$F$9)*3/12)</f>
        <v>1.1824961846857029</v>
      </c>
      <c r="N1777" s="361">
        <f t="shared" ref="N1777:V1777" si="1820">M1777*(1+$D1777)</f>
        <v>1.4786523541402226</v>
      </c>
      <c r="O1777" s="361">
        <f t="shared" si="1820"/>
        <v>1.8489808362346229</v>
      </c>
      <c r="P1777" s="361">
        <f t="shared" si="1820"/>
        <v>2.3120580866695613</v>
      </c>
      <c r="Q1777" s="361">
        <f t="shared" si="1820"/>
        <v>2.8911130344759242</v>
      </c>
      <c r="R1777" s="361">
        <f t="shared" si="1820"/>
        <v>3.6151922939603836</v>
      </c>
      <c r="S1777" s="361">
        <f t="shared" si="1820"/>
        <v>4.5206172039827166</v>
      </c>
      <c r="T1777" s="361">
        <f t="shared" si="1820"/>
        <v>5.6528057827201321</v>
      </c>
      <c r="U1777" s="361">
        <f t="shared" si="1820"/>
        <v>7.0685509910023194</v>
      </c>
      <c r="V1777" s="362">
        <f t="shared" si="1820"/>
        <v>8.8388695866987632</v>
      </c>
      <c r="X1777" s="351"/>
    </row>
    <row r="1778" spans="3:24" ht="24.75" customHeight="1" x14ac:dyDescent="0.3">
      <c r="C1778" s="353">
        <f>ABS(E1778-Dashboard!$F$14)</f>
        <v>25.627937063460934</v>
      </c>
      <c r="D1778" s="350">
        <f t="shared" si="1785"/>
        <v>0.25054999999998767</v>
      </c>
      <c r="E1778" s="359" cm="1">
        <f t="array" ref="E1778">1000*SUM('DRE + DCF'!$L$36/M1778,'DRE + DCF'!$N$36:$V$36/N1778:V1778,F1778/V1778)/Dashboard!$F$11</f>
        <v>71.362062936539061</v>
      </c>
      <c r="F1778" s="359">
        <f t="shared" si="1783"/>
        <v>10811475.515038852</v>
      </c>
      <c r="G1778" s="359">
        <f>'DRE + DCF'!$W$31</f>
        <v>2791623.3540418856</v>
      </c>
      <c r="H1778" s="359">
        <f>'DRE + DCF'!$W$32</f>
        <v>81081.931703745853</v>
      </c>
      <c r="I1778" s="359">
        <f>-H1778*('DRE + DCF'!$V$33+K1778)/'DRE + DCF'!$V$33</f>
        <v>-90858.801614444121</v>
      </c>
      <c r="J1778" s="359">
        <f>-'DRE + DCF'!$V$56*L1778</f>
        <v>-1188924.4255577971</v>
      </c>
      <c r="K1778" s="360">
        <f>(1+L1778)/(1+Ke!$O$12)-1</f>
        <v>2.0000000000000018E-2</v>
      </c>
      <c r="L1778" s="360">
        <f>'DRE + DCF'!$Y$31</f>
        <v>7.3550000000000004E-2</v>
      </c>
      <c r="M1778" s="361">
        <f>(1+D1778)^((5-Dashboard!$F$9)*3/12)</f>
        <v>1.1825671082150948</v>
      </c>
      <c r="N1778" s="361">
        <f t="shared" ref="N1778:V1778" si="1821">M1778*(1+$D1778)</f>
        <v>1.4788592971783723</v>
      </c>
      <c r="O1778" s="361">
        <f t="shared" si="1821"/>
        <v>1.8493874940863952</v>
      </c>
      <c r="P1778" s="361">
        <f t="shared" si="1821"/>
        <v>2.3127515307297188</v>
      </c>
      <c r="Q1778" s="361">
        <f t="shared" si="1821"/>
        <v>2.8922114267540211</v>
      </c>
      <c r="R1778" s="361">
        <f t="shared" si="1821"/>
        <v>3.6168549997272055</v>
      </c>
      <c r="S1778" s="361">
        <f t="shared" si="1821"/>
        <v>4.5230580199088122</v>
      </c>
      <c r="T1778" s="361">
        <f t="shared" si="1821"/>
        <v>5.6563102067969089</v>
      </c>
      <c r="U1778" s="361">
        <f t="shared" si="1821"/>
        <v>7.0734987291098044</v>
      </c>
      <c r="V1778" s="362">
        <f t="shared" si="1821"/>
        <v>8.845763835688178</v>
      </c>
      <c r="X1778" s="351"/>
    </row>
    <row r="1779" spans="3:24" ht="24.75" customHeight="1" x14ac:dyDescent="0.3">
      <c r="C1779" s="353">
        <f>ABS(E1779-Dashboard!$F$14)</f>
        <v>25.673736073486438</v>
      </c>
      <c r="D1779" s="350">
        <f t="shared" si="1785"/>
        <v>0.25064999999998766</v>
      </c>
      <c r="E1779" s="359" cm="1">
        <f t="array" ref="E1779">1000*SUM('DRE + DCF'!$L$36/M1779,'DRE + DCF'!$N$36:$V$36/N1779:V1779,F1779/V1779)/Dashboard!$F$11</f>
        <v>71.316263926513557</v>
      </c>
      <c r="F1779" s="359">
        <f t="shared" si="1783"/>
        <v>10806361.734324045</v>
      </c>
      <c r="G1779" s="359">
        <f>'DRE + DCF'!$W$31</f>
        <v>2791623.3540418856</v>
      </c>
      <c r="H1779" s="359">
        <f>'DRE + DCF'!$W$32</f>
        <v>81081.931703745853</v>
      </c>
      <c r="I1779" s="359">
        <f>-H1779*('DRE + DCF'!$V$33+K1779)/'DRE + DCF'!$V$33</f>
        <v>-90858.801614444121</v>
      </c>
      <c r="J1779" s="359">
        <f>-'DRE + DCF'!$V$56*L1779</f>
        <v>-1188924.4255577971</v>
      </c>
      <c r="K1779" s="360">
        <f>(1+L1779)/(1+Ke!$O$12)-1</f>
        <v>2.0000000000000018E-2</v>
      </c>
      <c r="L1779" s="360">
        <f>'DRE + DCF'!$Y$31</f>
        <v>7.3550000000000004E-2</v>
      </c>
      <c r="M1779" s="361">
        <f>(1+D1779)^((5-Dashboard!$F$9)*3/12)</f>
        <v>1.1826380303266539</v>
      </c>
      <c r="N1779" s="361">
        <f t="shared" ref="N1779:V1779" si="1822">M1779*(1+$D1779)</f>
        <v>1.4790662526280152</v>
      </c>
      <c r="O1779" s="361">
        <f t="shared" si="1822"/>
        <v>1.8497942088492088</v>
      </c>
      <c r="P1779" s="361">
        <f t="shared" si="1822"/>
        <v>2.3134451272972401</v>
      </c>
      <c r="Q1779" s="361">
        <f t="shared" si="1822"/>
        <v>2.8933101484542645</v>
      </c>
      <c r="R1779" s="361">
        <f t="shared" si="1822"/>
        <v>3.6185183371642902</v>
      </c>
      <c r="S1779" s="361">
        <f t="shared" si="1822"/>
        <v>4.5254999583744748</v>
      </c>
      <c r="T1779" s="361">
        <f t="shared" si="1822"/>
        <v>5.6598165229409805</v>
      </c>
      <c r="U1779" s="361">
        <f t="shared" si="1822"/>
        <v>7.0784495344160669</v>
      </c>
      <c r="V1779" s="362">
        <f t="shared" si="1822"/>
        <v>8.8526629102173668</v>
      </c>
      <c r="X1779" s="351"/>
    </row>
    <row r="1780" spans="3:24" ht="24.75" customHeight="1" x14ac:dyDescent="0.3">
      <c r="C1780" s="353">
        <f>ABS(E1780-Dashboard!$F$14)</f>
        <v>25.719483693815874</v>
      </c>
      <c r="D1780" s="350">
        <f t="shared" si="1785"/>
        <v>0.25074999999998765</v>
      </c>
      <c r="E1780" s="359" cm="1">
        <f t="array" ref="E1780">1000*SUM('DRE + DCF'!$L$36/M1780,'DRE + DCF'!$N$36:$V$36/N1780:V1780,F1780/V1780)/Dashboard!$F$11</f>
        <v>71.27051630618412</v>
      </c>
      <c r="F1780" s="359">
        <f t="shared" si="1783"/>
        <v>10801252.935429145</v>
      </c>
      <c r="G1780" s="359">
        <f>'DRE + DCF'!$W$31</f>
        <v>2791623.3540418856</v>
      </c>
      <c r="H1780" s="359">
        <f>'DRE + DCF'!$W$32</f>
        <v>81081.931703745853</v>
      </c>
      <c r="I1780" s="359">
        <f>-H1780*('DRE + DCF'!$V$33+K1780)/'DRE + DCF'!$V$33</f>
        <v>-90858.801614444121</v>
      </c>
      <c r="J1780" s="359">
        <f>-'DRE + DCF'!$V$56*L1780</f>
        <v>-1188924.4255577971</v>
      </c>
      <c r="K1780" s="360">
        <f>(1+L1780)/(1+Ke!$O$12)-1</f>
        <v>2.0000000000000018E-2</v>
      </c>
      <c r="L1780" s="360">
        <f>'DRE + DCF'!$Y$31</f>
        <v>7.3550000000000004E-2</v>
      </c>
      <c r="M1780" s="361">
        <f>(1+D1780)^((5-Dashboard!$F$9)*3/12)</f>
        <v>1.1827089510205224</v>
      </c>
      <c r="N1780" s="361">
        <f t="shared" ref="N1780:V1780" si="1823">M1780*(1+$D1780)</f>
        <v>1.4792732204889039</v>
      </c>
      <c r="O1780" s="361">
        <f t="shared" si="1823"/>
        <v>1.8502009805264781</v>
      </c>
      <c r="P1780" s="361">
        <f t="shared" si="1823"/>
        <v>2.3141388763934696</v>
      </c>
      <c r="Q1780" s="361">
        <f t="shared" si="1823"/>
        <v>2.8944091996491035</v>
      </c>
      <c r="R1780" s="361">
        <f t="shared" si="1823"/>
        <v>3.6201823064610803</v>
      </c>
      <c r="S1780" s="361">
        <f t="shared" si="1823"/>
        <v>4.527943019806151</v>
      </c>
      <c r="T1780" s="361">
        <f t="shared" si="1823"/>
        <v>5.6633247320224873</v>
      </c>
      <c r="U1780" s="361">
        <f t="shared" si="1823"/>
        <v>7.0834034085770554</v>
      </c>
      <c r="V1780" s="362">
        <f t="shared" si="1823"/>
        <v>8.8595668132776648</v>
      </c>
      <c r="X1780" s="351"/>
    </row>
    <row r="1781" spans="3:24" ht="24.75" customHeight="1" x14ac:dyDescent="0.3">
      <c r="C1781" s="353">
        <f>ABS(E1781-Dashboard!$F$14)</f>
        <v>25.765180005104042</v>
      </c>
      <c r="D1781" s="350">
        <f t="shared" si="1785"/>
        <v>0.25084999999998764</v>
      </c>
      <c r="E1781" s="359" cm="1">
        <f t="array" ref="E1781">1000*SUM('DRE + DCF'!$L$36/M1781,'DRE + DCF'!$N$36:$V$36/N1781:V1781,F1781/V1781)/Dashboard!$F$11</f>
        <v>71.224819994895952</v>
      </c>
      <c r="F1781" s="359">
        <f t="shared" si="1783"/>
        <v>10796149.110868849</v>
      </c>
      <c r="G1781" s="359">
        <f>'DRE + DCF'!$W$31</f>
        <v>2791623.3540418856</v>
      </c>
      <c r="H1781" s="359">
        <f>'DRE + DCF'!$W$32</f>
        <v>81081.931703745853</v>
      </c>
      <c r="I1781" s="359">
        <f>-H1781*('DRE + DCF'!$V$33+K1781)/'DRE + DCF'!$V$33</f>
        <v>-90858.801614444121</v>
      </c>
      <c r="J1781" s="359">
        <f>-'DRE + DCF'!$V$56*L1781</f>
        <v>-1188924.4255577971</v>
      </c>
      <c r="K1781" s="360">
        <f>(1+L1781)/(1+Ke!$O$12)-1</f>
        <v>2.0000000000000018E-2</v>
      </c>
      <c r="L1781" s="360">
        <f>'DRE + DCF'!$Y$31</f>
        <v>7.3550000000000004E-2</v>
      </c>
      <c r="M1781" s="361">
        <f>(1+D1781)^((5-Dashboard!$F$9)*3/12)</f>
        <v>1.1827798702968415</v>
      </c>
      <c r="N1781" s="361">
        <f t="shared" ref="N1781:V1781" si="1824">M1781*(1+$D1781)</f>
        <v>1.4794802007607895</v>
      </c>
      <c r="O1781" s="361">
        <f t="shared" si="1824"/>
        <v>1.8506078091216152</v>
      </c>
      <c r="P1781" s="361">
        <f t="shared" si="1824"/>
        <v>2.3148327780397495</v>
      </c>
      <c r="Q1781" s="361">
        <f t="shared" si="1824"/>
        <v>2.8955085804109921</v>
      </c>
      <c r="R1781" s="361">
        <f t="shared" si="1824"/>
        <v>3.6218469078070537</v>
      </c>
      <c r="S1781" s="361">
        <f t="shared" si="1824"/>
        <v>4.5303872046304079</v>
      </c>
      <c r="T1781" s="361">
        <f t="shared" si="1824"/>
        <v>5.6668348349118896</v>
      </c>
      <c r="U1781" s="361">
        <f t="shared" si="1824"/>
        <v>7.0883603532494668</v>
      </c>
      <c r="V1781" s="362">
        <f t="shared" si="1824"/>
        <v>8.8664755478620076</v>
      </c>
      <c r="X1781" s="351"/>
    </row>
    <row r="1782" spans="3:24" ht="24.75" customHeight="1" x14ac:dyDescent="0.3">
      <c r="C1782" s="353">
        <f>ABS(E1782-Dashboard!$F$14)</f>
        <v>25.810825087841224</v>
      </c>
      <c r="D1782" s="350">
        <f t="shared" si="1785"/>
        <v>0.25094999999998763</v>
      </c>
      <c r="E1782" s="359" cm="1">
        <f t="array" ref="E1782">1000*SUM('DRE + DCF'!$L$36/M1782,'DRE + DCF'!$N$36:$V$36/N1782:V1782,F1782/V1782)/Dashboard!$F$11</f>
        <v>71.179174912158771</v>
      </c>
      <c r="F1782" s="359">
        <f t="shared" si="1783"/>
        <v>10791050.253173251</v>
      </c>
      <c r="G1782" s="359">
        <f>'DRE + DCF'!$W$31</f>
        <v>2791623.3540418856</v>
      </c>
      <c r="H1782" s="359">
        <f>'DRE + DCF'!$W$32</f>
        <v>81081.931703745853</v>
      </c>
      <c r="I1782" s="359">
        <f>-H1782*('DRE + DCF'!$V$33+K1782)/'DRE + DCF'!$V$33</f>
        <v>-90858.801614444121</v>
      </c>
      <c r="J1782" s="359">
        <f>-'DRE + DCF'!$V$56*L1782</f>
        <v>-1188924.4255577971</v>
      </c>
      <c r="K1782" s="360">
        <f>(1+L1782)/(1+Ke!$O$12)-1</f>
        <v>2.0000000000000018E-2</v>
      </c>
      <c r="L1782" s="360">
        <f>'DRE + DCF'!$Y$31</f>
        <v>7.3550000000000004E-2</v>
      </c>
      <c r="M1782" s="361">
        <f>(1+D1782)^((5-Dashboard!$F$9)*3/12)</f>
        <v>1.1828507881557533</v>
      </c>
      <c r="N1782" s="361">
        <f t="shared" ref="N1782:V1782" si="1825">M1782*(1+$D1782)</f>
        <v>1.4796871934434248</v>
      </c>
      <c r="O1782" s="361">
        <f t="shared" si="1825"/>
        <v>1.8510146946380339</v>
      </c>
      <c r="P1782" s="361">
        <f t="shared" si="1825"/>
        <v>2.3155268322574254</v>
      </c>
      <c r="Q1782" s="361">
        <f t="shared" si="1825"/>
        <v>2.8966082908123973</v>
      </c>
      <c r="R1782" s="361">
        <f t="shared" si="1825"/>
        <v>3.6235121413917324</v>
      </c>
      <c r="S1782" s="361">
        <f t="shared" si="1825"/>
        <v>4.5328325132739424</v>
      </c>
      <c r="T1782" s="361">
        <f t="shared" si="1825"/>
        <v>5.6703468324799822</v>
      </c>
      <c r="U1782" s="361">
        <f t="shared" si="1825"/>
        <v>7.0933203700907637</v>
      </c>
      <c r="V1782" s="362">
        <f t="shared" si="1825"/>
        <v>8.8733891169649528</v>
      </c>
      <c r="X1782" s="351"/>
    </row>
    <row r="1783" spans="3:24" ht="24.75" customHeight="1" x14ac:dyDescent="0.3">
      <c r="C1783" s="353">
        <f>ABS(E1783-Dashboard!$F$14)</f>
        <v>25.856419022353535</v>
      </c>
      <c r="D1783" s="350">
        <f t="shared" si="1785"/>
        <v>0.25104999999998762</v>
      </c>
      <c r="E1783" s="359" cm="1">
        <f t="array" ref="E1783">1000*SUM('DRE + DCF'!$L$36/M1783,'DRE + DCF'!$N$36:$V$36/N1783:V1783,F1783/V1783)/Dashboard!$F$11</f>
        <v>71.13358097764646</v>
      </c>
      <c r="F1783" s="359">
        <f t="shared" si="1783"/>
        <v>10785956.354887761</v>
      </c>
      <c r="G1783" s="359">
        <f>'DRE + DCF'!$W$31</f>
        <v>2791623.3540418856</v>
      </c>
      <c r="H1783" s="359">
        <f>'DRE + DCF'!$W$32</f>
        <v>81081.931703745853</v>
      </c>
      <c r="I1783" s="359">
        <f>-H1783*('DRE + DCF'!$V$33+K1783)/'DRE + DCF'!$V$33</f>
        <v>-90858.801614444121</v>
      </c>
      <c r="J1783" s="359">
        <f>-'DRE + DCF'!$V$56*L1783</f>
        <v>-1188924.4255577971</v>
      </c>
      <c r="K1783" s="360">
        <f>(1+L1783)/(1+Ke!$O$12)-1</f>
        <v>2.0000000000000018E-2</v>
      </c>
      <c r="L1783" s="360">
        <f>'DRE + DCF'!$Y$31</f>
        <v>7.3550000000000004E-2</v>
      </c>
      <c r="M1783" s="361">
        <f>(1+D1783)^((5-Dashboard!$F$9)*3/12)</f>
        <v>1.182921704597399</v>
      </c>
      <c r="N1783" s="361">
        <f t="shared" ref="N1783:V1783" si="1826">M1783*(1+$D1783)</f>
        <v>1.4798941985365612</v>
      </c>
      <c r="O1783" s="361">
        <f t="shared" si="1826"/>
        <v>1.8514216370791465</v>
      </c>
      <c r="P1783" s="361">
        <f t="shared" si="1826"/>
        <v>2.3162210390678433</v>
      </c>
      <c r="Q1783" s="361">
        <f t="shared" si="1826"/>
        <v>2.8977083309257967</v>
      </c>
      <c r="R1783" s="361">
        <f t="shared" si="1826"/>
        <v>3.6251780074046818</v>
      </c>
      <c r="S1783" s="361">
        <f t="shared" si="1826"/>
        <v>4.5352789461635821</v>
      </c>
      <c r="T1783" s="361">
        <f t="shared" si="1826"/>
        <v>5.6738607255978932</v>
      </c>
      <c r="U1783" s="361">
        <f t="shared" si="1826"/>
        <v>7.0982834607591734</v>
      </c>
      <c r="V1783" s="362">
        <f t="shared" si="1826"/>
        <v>8.8803075235826761</v>
      </c>
      <c r="X1783" s="351"/>
    </row>
    <row r="1784" spans="3:24" ht="24.75" customHeight="1" x14ac:dyDescent="0.3">
      <c r="C1784" s="353">
        <f>ABS(E1784-Dashboard!$F$14)</f>
        <v>25.901961888803456</v>
      </c>
      <c r="D1784" s="350">
        <f t="shared" si="1785"/>
        <v>0.25114999999998761</v>
      </c>
      <c r="E1784" s="359" cm="1">
        <f t="array" ref="E1784">1000*SUM('DRE + DCF'!$L$36/M1784,'DRE + DCF'!$N$36:$V$36/N1784:V1784,F1784/V1784)/Dashboard!$F$11</f>
        <v>71.088038111196539</v>
      </c>
      <c r="F1784" s="359">
        <f t="shared" si="1783"/>
        <v>10780867.408573093</v>
      </c>
      <c r="G1784" s="359">
        <f>'DRE + DCF'!$W$31</f>
        <v>2791623.3540418856</v>
      </c>
      <c r="H1784" s="359">
        <f>'DRE + DCF'!$W$32</f>
        <v>81081.931703745853</v>
      </c>
      <c r="I1784" s="359">
        <f>-H1784*('DRE + DCF'!$V$33+K1784)/'DRE + DCF'!$V$33</f>
        <v>-90858.801614444121</v>
      </c>
      <c r="J1784" s="359">
        <f>-'DRE + DCF'!$V$56*L1784</f>
        <v>-1188924.4255577971</v>
      </c>
      <c r="K1784" s="360">
        <f>(1+L1784)/(1+Ke!$O$12)-1</f>
        <v>2.0000000000000018E-2</v>
      </c>
      <c r="L1784" s="360">
        <f>'DRE + DCF'!$Y$31</f>
        <v>7.3550000000000004E-2</v>
      </c>
      <c r="M1784" s="361">
        <f>(1+D1784)^((5-Dashboard!$F$9)*3/12)</f>
        <v>1.1829926196219207</v>
      </c>
      <c r="N1784" s="361">
        <f t="shared" ref="N1784:V1784" si="1827">M1784*(1+$D1784)</f>
        <v>1.4801012160399514</v>
      </c>
      <c r="O1784" s="361">
        <f t="shared" si="1827"/>
        <v>1.8518286364483667</v>
      </c>
      <c r="P1784" s="361">
        <f t="shared" si="1827"/>
        <v>2.316915398492351</v>
      </c>
      <c r="Q1784" s="361">
        <f t="shared" si="1827"/>
        <v>2.8988087008236763</v>
      </c>
      <c r="R1784" s="361">
        <f t="shared" si="1827"/>
        <v>3.6268445060355066</v>
      </c>
      <c r="S1784" s="361">
        <f t="shared" si="1827"/>
        <v>4.5377265037262786</v>
      </c>
      <c r="T1784" s="361">
        <f t="shared" si="1827"/>
        <v>5.6773765151370768</v>
      </c>
      <c r="U1784" s="361">
        <f t="shared" si="1827"/>
        <v>7.1032496269136827</v>
      </c>
      <c r="V1784" s="362">
        <f t="shared" si="1827"/>
        <v>8.8872307707129661</v>
      </c>
      <c r="X1784" s="351"/>
    </row>
    <row r="1785" spans="3:24" ht="24.75" customHeight="1" x14ac:dyDescent="0.3">
      <c r="C1785" s="353">
        <f>ABS(E1785-Dashboard!$F$14)</f>
        <v>25.947453767190083</v>
      </c>
      <c r="D1785" s="350">
        <f t="shared" si="1785"/>
        <v>0.25124999999998759</v>
      </c>
      <c r="E1785" s="359" cm="1">
        <f t="array" ref="E1785">1000*SUM('DRE + DCF'!$L$36/M1785,'DRE + DCF'!$N$36:$V$36/N1785:V1785,F1785/V1785)/Dashboard!$F$11</f>
        <v>71.042546232809912</v>
      </c>
      <c r="F1785" s="359">
        <f t="shared" si="1783"/>
        <v>10775783.406805208</v>
      </c>
      <c r="G1785" s="359">
        <f>'DRE + DCF'!$W$31</f>
        <v>2791623.3540418856</v>
      </c>
      <c r="H1785" s="359">
        <f>'DRE + DCF'!$W$32</f>
        <v>81081.931703745853</v>
      </c>
      <c r="I1785" s="359">
        <f>-H1785*('DRE + DCF'!$V$33+K1785)/'DRE + DCF'!$V$33</f>
        <v>-90858.801614444121</v>
      </c>
      <c r="J1785" s="359">
        <f>-'DRE + DCF'!$V$56*L1785</f>
        <v>-1188924.4255577971</v>
      </c>
      <c r="K1785" s="360">
        <f>(1+L1785)/(1+Ke!$O$12)-1</f>
        <v>2.0000000000000018E-2</v>
      </c>
      <c r="L1785" s="360">
        <f>'DRE + DCF'!$Y$31</f>
        <v>7.3550000000000004E-2</v>
      </c>
      <c r="M1785" s="361">
        <f>(1+D1785)^((5-Dashboard!$F$9)*3/12)</f>
        <v>1.1830635332294595</v>
      </c>
      <c r="N1785" s="361">
        <f t="shared" ref="N1785:V1785" si="1828">M1785*(1+$D1785)</f>
        <v>1.4803082459533463</v>
      </c>
      <c r="O1785" s="361">
        <f t="shared" si="1828"/>
        <v>1.8522356927491062</v>
      </c>
      <c r="P1785" s="361">
        <f t="shared" si="1828"/>
        <v>2.3176099105522958</v>
      </c>
      <c r="Q1785" s="361">
        <f t="shared" si="1828"/>
        <v>2.8999094005785313</v>
      </c>
      <c r="R1785" s="361">
        <f t="shared" si="1828"/>
        <v>3.6285116374738511</v>
      </c>
      <c r="S1785" s="361">
        <f t="shared" si="1828"/>
        <v>4.5401751863891109</v>
      </c>
      <c r="T1785" s="361">
        <f t="shared" si="1828"/>
        <v>5.680894201969318</v>
      </c>
      <c r="U1785" s="361">
        <f t="shared" si="1828"/>
        <v>7.1082188702140385</v>
      </c>
      <c r="V1785" s="362">
        <f t="shared" si="1828"/>
        <v>8.8941588613552263</v>
      </c>
      <c r="X1785" s="351"/>
    </row>
    <row r="1786" spans="3:24" ht="24.75" customHeight="1" x14ac:dyDescent="0.3">
      <c r="C1786" s="353">
        <f>ABS(E1786-Dashboard!$F$14)</f>
        <v>25.992894737349715</v>
      </c>
      <c r="D1786" s="350">
        <f t="shared" si="1785"/>
        <v>0.25134999999998758</v>
      </c>
      <c r="E1786" s="359" cm="1">
        <f t="array" ref="E1786">1000*SUM('DRE + DCF'!$L$36/M1786,'DRE + DCF'!$N$36:$V$36/N1786:V1786,F1786/V1786)/Dashboard!$F$11</f>
        <v>70.99710526265028</v>
      </c>
      <c r="F1786" s="359">
        <f t="shared" si="1783"/>
        <v>10770704.342175283</v>
      </c>
      <c r="G1786" s="359">
        <f>'DRE + DCF'!$W$31</f>
        <v>2791623.3540418856</v>
      </c>
      <c r="H1786" s="359">
        <f>'DRE + DCF'!$W$32</f>
        <v>81081.931703745853</v>
      </c>
      <c r="I1786" s="359">
        <f>-H1786*('DRE + DCF'!$V$33+K1786)/'DRE + DCF'!$V$33</f>
        <v>-90858.801614444121</v>
      </c>
      <c r="J1786" s="359">
        <f>-'DRE + DCF'!$V$56*L1786</f>
        <v>-1188924.4255577971</v>
      </c>
      <c r="K1786" s="360">
        <f>(1+L1786)/(1+Ke!$O$12)-1</f>
        <v>2.0000000000000018E-2</v>
      </c>
      <c r="L1786" s="360">
        <f>'DRE + DCF'!$Y$31</f>
        <v>7.3550000000000004E-2</v>
      </c>
      <c r="M1786" s="361">
        <f>(1+D1786)^((5-Dashboard!$F$9)*3/12)</f>
        <v>1.1831344454201571</v>
      </c>
      <c r="N1786" s="361">
        <f t="shared" ref="N1786:V1786" si="1829">M1786*(1+$D1786)</f>
        <v>1.4805152882764989</v>
      </c>
      <c r="O1786" s="361">
        <f t="shared" si="1829"/>
        <v>1.8526428059847784</v>
      </c>
      <c r="P1786" s="361">
        <f t="shared" si="1829"/>
        <v>2.3183045752690292</v>
      </c>
      <c r="Q1786" s="361">
        <f t="shared" si="1829"/>
        <v>2.901010430262871</v>
      </c>
      <c r="R1786" s="361">
        <f t="shared" si="1829"/>
        <v>3.6301794019094076</v>
      </c>
      <c r="S1786" s="361">
        <f t="shared" si="1829"/>
        <v>4.5426249945792918</v>
      </c>
      <c r="T1786" s="361">
        <f t="shared" si="1829"/>
        <v>5.6844137869667399</v>
      </c>
      <c r="U1786" s="361">
        <f t="shared" si="1829"/>
        <v>7.1131911923207589</v>
      </c>
      <c r="V1786" s="362">
        <f t="shared" si="1829"/>
        <v>8.9010917985104925</v>
      </c>
      <c r="X1786" s="351"/>
    </row>
    <row r="1787" spans="3:24" ht="24.75" customHeight="1" x14ac:dyDescent="0.3">
      <c r="C1787" s="353">
        <f>ABS(E1787-Dashboard!$F$14)</f>
        <v>26.038284878956148</v>
      </c>
      <c r="D1787" s="350">
        <f t="shared" si="1785"/>
        <v>0.25144999999998757</v>
      </c>
      <c r="E1787" s="359" cm="1">
        <f t="array" ref="E1787">1000*SUM('DRE + DCF'!$L$36/M1787,'DRE + DCF'!$N$36:$V$36/N1787:V1787,F1787/V1787)/Dashboard!$F$11</f>
        <v>70.951715121043847</v>
      </c>
      <c r="F1787" s="359">
        <f t="shared" si="1783"/>
        <v>10765630.207289666</v>
      </c>
      <c r="G1787" s="359">
        <f>'DRE + DCF'!$W$31</f>
        <v>2791623.3540418856</v>
      </c>
      <c r="H1787" s="359">
        <f>'DRE + DCF'!$W$32</f>
        <v>81081.931703745853</v>
      </c>
      <c r="I1787" s="359">
        <f>-H1787*('DRE + DCF'!$V$33+K1787)/'DRE + DCF'!$V$33</f>
        <v>-90858.801614444121</v>
      </c>
      <c r="J1787" s="359">
        <f>-'DRE + DCF'!$V$56*L1787</f>
        <v>-1188924.4255577971</v>
      </c>
      <c r="K1787" s="360">
        <f>(1+L1787)/(1+Ke!$O$12)-1</f>
        <v>2.0000000000000018E-2</v>
      </c>
      <c r="L1787" s="360">
        <f>'DRE + DCF'!$Y$31</f>
        <v>7.3550000000000004E-2</v>
      </c>
      <c r="M1787" s="361">
        <f>(1+D1787)^((5-Dashboard!$F$9)*3/12)</f>
        <v>1.1832053561941551</v>
      </c>
      <c r="N1787" s="361">
        <f t="shared" ref="N1787:V1787" si="1830">M1787*(1+$D1787)</f>
        <v>1.4807223430091607</v>
      </c>
      <c r="O1787" s="361">
        <f t="shared" si="1830"/>
        <v>1.8530499761587957</v>
      </c>
      <c r="P1787" s="361">
        <f t="shared" si="1830"/>
        <v>2.3189993926639016</v>
      </c>
      <c r="Q1787" s="361">
        <f t="shared" si="1830"/>
        <v>2.9021117899492106</v>
      </c>
      <c r="R1787" s="361">
        <f t="shared" si="1830"/>
        <v>3.6318477995319034</v>
      </c>
      <c r="S1787" s="361">
        <f t="shared" si="1830"/>
        <v>4.5450759287241551</v>
      </c>
      <c r="T1787" s="361">
        <f t="shared" si="1830"/>
        <v>5.6879352710017868</v>
      </c>
      <c r="U1787" s="361">
        <f t="shared" si="1830"/>
        <v>7.1181665948951149</v>
      </c>
      <c r="V1787" s="362">
        <f t="shared" si="1830"/>
        <v>8.9080295851814029</v>
      </c>
      <c r="X1787" s="351"/>
    </row>
    <row r="1788" spans="3:24" ht="24.75" customHeight="1" x14ac:dyDescent="0.3">
      <c r="C1788" s="353">
        <f>ABS(E1788-Dashboard!$F$14)</f>
        <v>26.08362427152116</v>
      </c>
      <c r="D1788" s="350">
        <f t="shared" si="1785"/>
        <v>0.25154999999998756</v>
      </c>
      <c r="E1788" s="359" cm="1">
        <f t="array" ref="E1788">1000*SUM('DRE + DCF'!$L$36/M1788,'DRE + DCF'!$N$36:$V$36/N1788:V1788,F1788/V1788)/Dashboard!$F$11</f>
        <v>70.906375728478835</v>
      </c>
      <c r="F1788" s="359">
        <f t="shared" si="1783"/>
        <v>10760560.994769843</v>
      </c>
      <c r="G1788" s="359">
        <f>'DRE + DCF'!$W$31</f>
        <v>2791623.3540418856</v>
      </c>
      <c r="H1788" s="359">
        <f>'DRE + DCF'!$W$32</f>
        <v>81081.931703745853</v>
      </c>
      <c r="I1788" s="359">
        <f>-H1788*('DRE + DCF'!$V$33+K1788)/'DRE + DCF'!$V$33</f>
        <v>-90858.801614444121</v>
      </c>
      <c r="J1788" s="359">
        <f>-'DRE + DCF'!$V$56*L1788</f>
        <v>-1188924.4255577971</v>
      </c>
      <c r="K1788" s="360">
        <f>(1+L1788)/(1+Ke!$O$12)-1</f>
        <v>2.0000000000000018E-2</v>
      </c>
      <c r="L1788" s="360">
        <f>'DRE + DCF'!$Y$31</f>
        <v>7.3550000000000004E-2</v>
      </c>
      <c r="M1788" s="361">
        <f>(1+D1788)^((5-Dashboard!$F$9)*3/12)</f>
        <v>1.1832762655515952</v>
      </c>
      <c r="N1788" s="361">
        <f t="shared" ref="N1788:V1788" si="1831">M1788*(1+$D1788)</f>
        <v>1.4809294101510841</v>
      </c>
      <c r="O1788" s="361">
        <f t="shared" si="1831"/>
        <v>1.8534572032745709</v>
      </c>
      <c r="P1788" s="361">
        <f t="shared" si="1831"/>
        <v>2.3196943627582658</v>
      </c>
      <c r="Q1788" s="361">
        <f t="shared" si="1831"/>
        <v>2.9032134797100784</v>
      </c>
      <c r="R1788" s="361">
        <f t="shared" si="1831"/>
        <v>3.6335168305311125</v>
      </c>
      <c r="S1788" s="361">
        <f t="shared" si="1831"/>
        <v>4.5475279892511686</v>
      </c>
      <c r="T1788" s="361">
        <f t="shared" si="1831"/>
        <v>5.691458654947243</v>
      </c>
      <c r="U1788" s="361">
        <f t="shared" si="1831"/>
        <v>7.1231450795991504</v>
      </c>
      <c r="V1788" s="362">
        <f t="shared" si="1831"/>
        <v>8.914972224372228</v>
      </c>
      <c r="X1788" s="351"/>
    </row>
    <row r="1789" spans="3:24" ht="24.75" customHeight="1" x14ac:dyDescent="0.3">
      <c r="C1789" s="353">
        <f>ABS(E1789-Dashboard!$F$14)</f>
        <v>26.128912994394852</v>
      </c>
      <c r="D1789" s="350">
        <f t="shared" si="1785"/>
        <v>0.25164999999998755</v>
      </c>
      <c r="E1789" s="359" cm="1">
        <f t="array" ref="E1789">1000*SUM('DRE + DCF'!$L$36/M1789,'DRE + DCF'!$N$36:$V$36/N1789:V1789,F1789/V1789)/Dashboard!$F$11</f>
        <v>70.861087005605143</v>
      </c>
      <c r="F1789" s="359">
        <f t="shared" si="1783"/>
        <v>10755496.697252389</v>
      </c>
      <c r="G1789" s="359">
        <f>'DRE + DCF'!$W$31</f>
        <v>2791623.3540418856</v>
      </c>
      <c r="H1789" s="359">
        <f>'DRE + DCF'!$W$32</f>
        <v>81081.931703745853</v>
      </c>
      <c r="I1789" s="359">
        <f>-H1789*('DRE + DCF'!$V$33+K1789)/'DRE + DCF'!$V$33</f>
        <v>-90858.801614444121</v>
      </c>
      <c r="J1789" s="359">
        <f>-'DRE + DCF'!$V$56*L1789</f>
        <v>-1188924.4255577971</v>
      </c>
      <c r="K1789" s="360">
        <f>(1+L1789)/(1+Ke!$O$12)-1</f>
        <v>2.0000000000000018E-2</v>
      </c>
      <c r="L1789" s="360">
        <f>'DRE + DCF'!$Y$31</f>
        <v>7.3550000000000004E-2</v>
      </c>
      <c r="M1789" s="361">
        <f>(1+D1789)^((5-Dashboard!$F$9)*3/12)</f>
        <v>1.1833471734926184</v>
      </c>
      <c r="N1789" s="361">
        <f t="shared" ref="N1789:V1789" si="1832">M1789*(1+$D1789)</f>
        <v>1.4811364897020209</v>
      </c>
      <c r="O1789" s="361">
        <f t="shared" si="1832"/>
        <v>1.8538644873355159</v>
      </c>
      <c r="P1789" s="361">
        <f t="shared" si="1832"/>
        <v>2.3203894855734752</v>
      </c>
      <c r="Q1789" s="361">
        <f t="shared" si="1832"/>
        <v>2.9043154996180114</v>
      </c>
      <c r="R1789" s="361">
        <f t="shared" si="1832"/>
        <v>3.6351864950968475</v>
      </c>
      <c r="S1789" s="361">
        <f t="shared" si="1832"/>
        <v>4.5499811765879237</v>
      </c>
      <c r="T1789" s="361">
        <f t="shared" si="1832"/>
        <v>5.6949839396762174</v>
      </c>
      <c r="U1789" s="361">
        <f t="shared" si="1832"/>
        <v>7.128126648095666</v>
      </c>
      <c r="V1789" s="362">
        <f t="shared" si="1832"/>
        <v>8.9219197190888515</v>
      </c>
      <c r="X1789" s="351"/>
    </row>
    <row r="1790" spans="3:24" ht="24.75" customHeight="1" x14ac:dyDescent="0.3">
      <c r="C1790" s="353">
        <f>ABS(E1790-Dashboard!$F$14)</f>
        <v>26.174151126766162</v>
      </c>
      <c r="D1790" s="350">
        <f t="shared" si="1785"/>
        <v>0.25174999999998754</v>
      </c>
      <c r="E1790" s="359" cm="1">
        <f t="array" ref="E1790">1000*SUM('DRE + DCF'!$L$36/M1790,'DRE + DCF'!$N$36:$V$36/N1790:V1790,F1790/V1790)/Dashboard!$F$11</f>
        <v>70.815848873233833</v>
      </c>
      <c r="F1790" s="359">
        <f t="shared" si="1783"/>
        <v>10750437.307388935</v>
      </c>
      <c r="G1790" s="359">
        <f>'DRE + DCF'!$W$31</f>
        <v>2791623.3540418856</v>
      </c>
      <c r="H1790" s="359">
        <f>'DRE + DCF'!$W$32</f>
        <v>81081.931703745853</v>
      </c>
      <c r="I1790" s="359">
        <f>-H1790*('DRE + DCF'!$V$33+K1790)/'DRE + DCF'!$V$33</f>
        <v>-90858.801614444121</v>
      </c>
      <c r="J1790" s="359">
        <f>-'DRE + DCF'!$V$56*L1790</f>
        <v>-1188924.4255577971</v>
      </c>
      <c r="K1790" s="360">
        <f>(1+L1790)/(1+Ke!$O$12)-1</f>
        <v>2.0000000000000018E-2</v>
      </c>
      <c r="L1790" s="360">
        <f>'DRE + DCF'!$Y$31</f>
        <v>7.3550000000000004E-2</v>
      </c>
      <c r="M1790" s="361">
        <f>(1+D1790)^((5-Dashboard!$F$9)*3/12)</f>
        <v>1.1834180800173666</v>
      </c>
      <c r="N1790" s="361">
        <f t="shared" ref="N1790:V1790" si="1833">M1790*(1+$D1790)</f>
        <v>1.4813435816617238</v>
      </c>
      <c r="O1790" s="361">
        <f t="shared" si="1833"/>
        <v>1.8542718283450441</v>
      </c>
      <c r="P1790" s="361">
        <f t="shared" si="1833"/>
        <v>2.3210847611308858</v>
      </c>
      <c r="Q1790" s="361">
        <f t="shared" si="1833"/>
        <v>2.9054178497455574</v>
      </c>
      <c r="R1790" s="361">
        <f t="shared" si="1833"/>
        <v>3.6368567934189651</v>
      </c>
      <c r="S1790" s="361">
        <f t="shared" si="1833"/>
        <v>4.5524354911621439</v>
      </c>
      <c r="T1790" s="361">
        <f t="shared" si="1833"/>
        <v>5.6985111260621562</v>
      </c>
      <c r="U1790" s="361">
        <f t="shared" si="1833"/>
        <v>7.1331113020482331</v>
      </c>
      <c r="V1790" s="362">
        <f t="shared" si="1833"/>
        <v>8.9288720723387858</v>
      </c>
      <c r="X1790" s="351"/>
    </row>
    <row r="1791" spans="3:24" ht="24.75" customHeight="1" x14ac:dyDescent="0.3">
      <c r="C1791" s="353">
        <f>ABS(E1791-Dashboard!$F$14)</f>
        <v>26.219338747663159</v>
      </c>
      <c r="D1791" s="350">
        <f t="shared" si="1785"/>
        <v>0.25184999999998753</v>
      </c>
      <c r="E1791" s="359" cm="1">
        <f t="array" ref="E1791">1000*SUM('DRE + DCF'!$L$36/M1791,'DRE + DCF'!$N$36:$V$36/N1791:V1791,F1791/V1791)/Dashboard!$F$11</f>
        <v>70.770661252336836</v>
      </c>
      <c r="F1791" s="359">
        <f t="shared" si="1783"/>
        <v>10745382.817846134</v>
      </c>
      <c r="G1791" s="359">
        <f>'DRE + DCF'!$W$31</f>
        <v>2791623.3540418856</v>
      </c>
      <c r="H1791" s="359">
        <f>'DRE + DCF'!$W$32</f>
        <v>81081.931703745853</v>
      </c>
      <c r="I1791" s="359">
        <f>-H1791*('DRE + DCF'!$V$33+K1791)/'DRE + DCF'!$V$33</f>
        <v>-90858.801614444121</v>
      </c>
      <c r="J1791" s="359">
        <f>-'DRE + DCF'!$V$56*L1791</f>
        <v>-1188924.4255577971</v>
      </c>
      <c r="K1791" s="360">
        <f>(1+L1791)/(1+Ke!$O$12)-1</f>
        <v>2.0000000000000018E-2</v>
      </c>
      <c r="L1791" s="360">
        <f>'DRE + DCF'!$Y$31</f>
        <v>7.3550000000000004E-2</v>
      </c>
      <c r="M1791" s="361">
        <f>(1+D1791)^((5-Dashboard!$F$9)*3/12)</f>
        <v>1.1834889851259811</v>
      </c>
      <c r="N1791" s="361">
        <f t="shared" ref="N1791:V1791" si="1834">M1791*(1+$D1791)</f>
        <v>1.4815506860299446</v>
      </c>
      <c r="O1791" s="361">
        <f t="shared" si="1834"/>
        <v>1.8546792263065675</v>
      </c>
      <c r="P1791" s="361">
        <f t="shared" si="1834"/>
        <v>2.3217801894518533</v>
      </c>
      <c r="Q1791" s="361">
        <f t="shared" si="1834"/>
        <v>2.9065205301652735</v>
      </c>
      <c r="R1791" s="361">
        <f t="shared" si="1834"/>
        <v>3.6385277256873612</v>
      </c>
      <c r="S1791" s="361">
        <f t="shared" si="1834"/>
        <v>4.5548909334016772</v>
      </c>
      <c r="T1791" s="361">
        <f t="shared" si="1834"/>
        <v>5.7020402149788323</v>
      </c>
      <c r="U1791" s="361">
        <f t="shared" si="1834"/>
        <v>7.1380990431211799</v>
      </c>
      <c r="V1791" s="362">
        <f t="shared" si="1834"/>
        <v>8.9358292871311598</v>
      </c>
      <c r="X1791" s="351"/>
    </row>
    <row r="1792" spans="3:24" ht="24.75" customHeight="1" x14ac:dyDescent="0.3">
      <c r="C1792" s="353">
        <f>ABS(E1792-Dashboard!$F$14)</f>
        <v>26.264475935953556</v>
      </c>
      <c r="D1792" s="350">
        <f t="shared" si="1785"/>
        <v>0.25194999999998752</v>
      </c>
      <c r="E1792" s="359" cm="1">
        <f t="array" ref="E1792">1000*SUM('DRE + DCF'!$L$36/M1792,'DRE + DCF'!$N$36:$V$36/N1792:V1792,F1792/V1792)/Dashboard!$F$11</f>
        <v>70.725524064046439</v>
      </c>
      <c r="F1792" s="359">
        <f t="shared" si="1783"/>
        <v>10740333.221305605</v>
      </c>
      <c r="G1792" s="359">
        <f>'DRE + DCF'!$W$31</f>
        <v>2791623.3540418856</v>
      </c>
      <c r="H1792" s="359">
        <f>'DRE + DCF'!$W$32</f>
        <v>81081.931703745853</v>
      </c>
      <c r="I1792" s="359">
        <f>-H1792*('DRE + DCF'!$V$33+K1792)/'DRE + DCF'!$V$33</f>
        <v>-90858.801614444121</v>
      </c>
      <c r="J1792" s="359">
        <f>-'DRE + DCF'!$V$56*L1792</f>
        <v>-1188924.4255577971</v>
      </c>
      <c r="K1792" s="360">
        <f>(1+L1792)/(1+Ke!$O$12)-1</f>
        <v>2.0000000000000018E-2</v>
      </c>
      <c r="L1792" s="360">
        <f>'DRE + DCF'!$Y$31</f>
        <v>7.3550000000000004E-2</v>
      </c>
      <c r="M1792" s="361">
        <f>(1+D1792)^((5-Dashboard!$F$9)*3/12)</f>
        <v>1.1835598888186032</v>
      </c>
      <c r="N1792" s="361">
        <f t="shared" ref="N1792:V1792" si="1835">M1792*(1+$D1792)</f>
        <v>1.4817578028064353</v>
      </c>
      <c r="O1792" s="361">
        <f t="shared" si="1835"/>
        <v>1.8550866812234981</v>
      </c>
      <c r="P1792" s="361">
        <f t="shared" si="1835"/>
        <v>2.3224757705577352</v>
      </c>
      <c r="Q1792" s="361">
        <f t="shared" si="1835"/>
        <v>2.9076235409497273</v>
      </c>
      <c r="R1792" s="361">
        <f t="shared" si="1835"/>
        <v>3.6401992920919746</v>
      </c>
      <c r="S1792" s="361">
        <f t="shared" si="1835"/>
        <v>4.5573475037345021</v>
      </c>
      <c r="T1792" s="361">
        <f t="shared" si="1835"/>
        <v>5.7055712073003528</v>
      </c>
      <c r="U1792" s="361">
        <f t="shared" si="1835"/>
        <v>7.1430898729796048</v>
      </c>
      <c r="V1792" s="362">
        <f t="shared" si="1835"/>
        <v>8.942791366476726</v>
      </c>
      <c r="X1792" s="351"/>
    </row>
    <row r="1793" spans="3:24" ht="24.75" customHeight="1" x14ac:dyDescent="0.3">
      <c r="C1793" s="353">
        <f>ABS(E1793-Dashboard!$F$14)</f>
        <v>26.309562770344996</v>
      </c>
      <c r="D1793" s="350">
        <f t="shared" si="1785"/>
        <v>0.25204999999998751</v>
      </c>
      <c r="E1793" s="359" cm="1">
        <f t="array" ref="E1793">1000*SUM('DRE + DCF'!$L$36/M1793,'DRE + DCF'!$N$36:$V$36/N1793:V1793,F1793/V1793)/Dashboard!$F$11</f>
        <v>70.680437229654999</v>
      </c>
      <c r="F1793" s="359">
        <f t="shared" si="1783"/>
        <v>10735288.51046391</v>
      </c>
      <c r="G1793" s="359">
        <f>'DRE + DCF'!$W$31</f>
        <v>2791623.3540418856</v>
      </c>
      <c r="H1793" s="359">
        <f>'DRE + DCF'!$W$32</f>
        <v>81081.931703745853</v>
      </c>
      <c r="I1793" s="359">
        <f>-H1793*('DRE + DCF'!$V$33+K1793)/'DRE + DCF'!$V$33</f>
        <v>-90858.801614444121</v>
      </c>
      <c r="J1793" s="359">
        <f>-'DRE + DCF'!$V$56*L1793</f>
        <v>-1188924.4255577971</v>
      </c>
      <c r="K1793" s="360">
        <f>(1+L1793)/(1+Ke!$O$12)-1</f>
        <v>2.0000000000000018E-2</v>
      </c>
      <c r="L1793" s="360">
        <f>'DRE + DCF'!$Y$31</f>
        <v>7.3550000000000004E-2</v>
      </c>
      <c r="M1793" s="361">
        <f>(1+D1793)^((5-Dashboard!$F$9)*3/12)</f>
        <v>1.1836307910953743</v>
      </c>
      <c r="N1793" s="361">
        <f t="shared" ref="N1793:V1793" si="1836">M1793*(1+$D1793)</f>
        <v>1.4819649319909485</v>
      </c>
      <c r="O1793" s="361">
        <f t="shared" si="1836"/>
        <v>1.8554941930992483</v>
      </c>
      <c r="P1793" s="361">
        <f t="shared" si="1836"/>
        <v>2.3231715044698906</v>
      </c>
      <c r="Q1793" s="361">
        <f t="shared" si="1836"/>
        <v>2.9087268821714973</v>
      </c>
      <c r="R1793" s="361">
        <f t="shared" si="1836"/>
        <v>3.6418714928227867</v>
      </c>
      <c r="S1793" s="361">
        <f t="shared" si="1836"/>
        <v>4.5598052025887243</v>
      </c>
      <c r="T1793" s="361">
        <f t="shared" si="1836"/>
        <v>5.7091041039011552</v>
      </c>
      <c r="U1793" s="361">
        <f t="shared" si="1836"/>
        <v>7.1480837932893699</v>
      </c>
      <c r="V1793" s="362">
        <f t="shared" si="1836"/>
        <v>8.949758313387866</v>
      </c>
      <c r="X1793" s="351"/>
    </row>
    <row r="1794" spans="3:24" ht="24.75" customHeight="1" x14ac:dyDescent="0.3">
      <c r="C1794" s="353">
        <f>ABS(E1794-Dashboard!$F$14)</f>
        <v>26.354599329385607</v>
      </c>
      <c r="D1794" s="350">
        <f t="shared" si="1785"/>
        <v>0.2521499999999875</v>
      </c>
      <c r="E1794" s="359" cm="1">
        <f t="array" ref="E1794">1000*SUM('DRE + DCF'!$L$36/M1794,'DRE + DCF'!$N$36:$V$36/N1794:V1794,F1794/V1794)/Dashboard!$F$11</f>
        <v>70.635400670614388</v>
      </c>
      <c r="F1794" s="359">
        <f t="shared" si="1783"/>
        <v>10730248.678032506</v>
      </c>
      <c r="G1794" s="359">
        <f>'DRE + DCF'!$W$31</f>
        <v>2791623.3540418856</v>
      </c>
      <c r="H1794" s="359">
        <f>'DRE + DCF'!$W$32</f>
        <v>81081.931703745853</v>
      </c>
      <c r="I1794" s="359">
        <f>-H1794*('DRE + DCF'!$V$33+K1794)/'DRE + DCF'!$V$33</f>
        <v>-90858.801614444121</v>
      </c>
      <c r="J1794" s="359">
        <f>-'DRE + DCF'!$V$56*L1794</f>
        <v>-1188924.4255577971</v>
      </c>
      <c r="K1794" s="360">
        <f>(1+L1794)/(1+Ke!$O$12)-1</f>
        <v>2.0000000000000018E-2</v>
      </c>
      <c r="L1794" s="360">
        <f>'DRE + DCF'!$Y$31</f>
        <v>7.3550000000000004E-2</v>
      </c>
      <c r="M1794" s="361">
        <f>(1+D1794)^((5-Dashboard!$F$9)*3/12)</f>
        <v>1.1837016919564356</v>
      </c>
      <c r="N1794" s="361">
        <f t="shared" ref="N1794:V1794" si="1837">M1794*(1+$D1794)</f>
        <v>1.482172073583236</v>
      </c>
      <c r="O1794" s="361">
        <f t="shared" si="1837"/>
        <v>1.8559017619372304</v>
      </c>
      <c r="P1794" s="361">
        <f t="shared" si="1837"/>
        <v>2.3238673912096797</v>
      </c>
      <c r="Q1794" s="361">
        <f t="shared" si="1837"/>
        <v>2.9098305539031712</v>
      </c>
      <c r="R1794" s="361">
        <f t="shared" si="1837"/>
        <v>3.6435443280698192</v>
      </c>
      <c r="S1794" s="361">
        <f t="shared" si="1837"/>
        <v>4.5622640303925781</v>
      </c>
      <c r="T1794" s="361">
        <f t="shared" si="1837"/>
        <v>5.712638905656009</v>
      </c>
      <c r="U1794" s="361">
        <f t="shared" si="1837"/>
        <v>7.1530808057171003</v>
      </c>
      <c r="V1794" s="362">
        <f t="shared" si="1837"/>
        <v>8.9567301308785776</v>
      </c>
      <c r="X1794" s="351"/>
    </row>
    <row r="1795" spans="3:24" ht="24.75" customHeight="1" x14ac:dyDescent="0.3">
      <c r="C1795" s="353">
        <f>ABS(E1795-Dashboard!$F$14)</f>
        <v>26.39958569146431</v>
      </c>
      <c r="D1795" s="350">
        <f t="shared" si="1785"/>
        <v>0.25224999999998748</v>
      </c>
      <c r="E1795" s="359" cm="1">
        <f t="array" ref="E1795">1000*SUM('DRE + DCF'!$L$36/M1795,'DRE + DCF'!$N$36:$V$36/N1795:V1795,F1795/V1795)/Dashboard!$F$11</f>
        <v>70.590414308535685</v>
      </c>
      <c r="F1795" s="359">
        <f t="shared" si="1783"/>
        <v>10725213.716737717</v>
      </c>
      <c r="G1795" s="359">
        <f>'DRE + DCF'!$W$31</f>
        <v>2791623.3540418856</v>
      </c>
      <c r="H1795" s="359">
        <f>'DRE + DCF'!$W$32</f>
        <v>81081.931703745853</v>
      </c>
      <c r="I1795" s="359">
        <f>-H1795*('DRE + DCF'!$V$33+K1795)/'DRE + DCF'!$V$33</f>
        <v>-90858.801614444121</v>
      </c>
      <c r="J1795" s="359">
        <f>-'DRE + DCF'!$V$56*L1795</f>
        <v>-1188924.4255577971</v>
      </c>
      <c r="K1795" s="360">
        <f>(1+L1795)/(1+Ke!$O$12)-1</f>
        <v>2.0000000000000018E-2</v>
      </c>
      <c r="L1795" s="360">
        <f>'DRE + DCF'!$Y$31</f>
        <v>7.3550000000000004E-2</v>
      </c>
      <c r="M1795" s="361">
        <f>(1+D1795)^((5-Dashboard!$F$9)*3/12)</f>
        <v>1.1837725914019288</v>
      </c>
      <c r="N1795" s="361">
        <f t="shared" ref="N1795:V1795" si="1838">M1795*(1+$D1795)</f>
        <v>1.4823792275830505</v>
      </c>
      <c r="O1795" s="361">
        <f t="shared" si="1838"/>
        <v>1.8563093877408563</v>
      </c>
      <c r="P1795" s="361">
        <f t="shared" si="1838"/>
        <v>2.3245634307984639</v>
      </c>
      <c r="Q1795" s="361">
        <f t="shared" si="1838"/>
        <v>2.9109345562173474</v>
      </c>
      <c r="R1795" s="361">
        <f t="shared" si="1838"/>
        <v>3.6452177980231366</v>
      </c>
      <c r="S1795" s="361">
        <f t="shared" si="1838"/>
        <v>4.5647239875744274</v>
      </c>
      <c r="T1795" s="361">
        <f t="shared" si="1838"/>
        <v>5.7161756134400195</v>
      </c>
      <c r="U1795" s="361">
        <f t="shared" si="1838"/>
        <v>7.1580809119301927</v>
      </c>
      <c r="V1795" s="362">
        <f t="shared" si="1838"/>
        <v>8.9637068219644931</v>
      </c>
      <c r="X1795" s="351"/>
    </row>
    <row r="1796" spans="3:24" ht="24.75" customHeight="1" x14ac:dyDescent="0.3">
      <c r="C1796" s="353">
        <f>ABS(E1796-Dashboard!$F$14)</f>
        <v>26.444521934811192</v>
      </c>
      <c r="D1796" s="350">
        <f t="shared" si="1785"/>
        <v>0.25234999999998747</v>
      </c>
      <c r="E1796" s="359" cm="1">
        <f t="array" ref="E1796">1000*SUM('DRE + DCF'!$L$36/M1796,'DRE + DCF'!$N$36:$V$36/N1796:V1796,F1796/V1796)/Dashboard!$F$11</f>
        <v>70.545478065188803</v>
      </c>
      <c r="F1796" s="359">
        <f t="shared" si="1783"/>
        <v>10720183.619320678</v>
      </c>
      <c r="G1796" s="359">
        <f>'DRE + DCF'!$W$31</f>
        <v>2791623.3540418856</v>
      </c>
      <c r="H1796" s="359">
        <f>'DRE + DCF'!$W$32</f>
        <v>81081.931703745853</v>
      </c>
      <c r="I1796" s="359">
        <f>-H1796*('DRE + DCF'!$V$33+K1796)/'DRE + DCF'!$V$33</f>
        <v>-90858.801614444121</v>
      </c>
      <c r="J1796" s="359">
        <f>-'DRE + DCF'!$V$56*L1796</f>
        <v>-1188924.4255577971</v>
      </c>
      <c r="K1796" s="360">
        <f>(1+L1796)/(1+Ke!$O$12)-1</f>
        <v>2.0000000000000018E-2</v>
      </c>
      <c r="L1796" s="360">
        <f>'DRE + DCF'!$Y$31</f>
        <v>7.3550000000000004E-2</v>
      </c>
      <c r="M1796" s="361">
        <f>(1+D1796)^((5-Dashboard!$F$9)*3/12)</f>
        <v>1.1838434894319951</v>
      </c>
      <c r="N1796" s="361">
        <f t="shared" ref="N1796:V1796" si="1839">M1796*(1+$D1796)</f>
        <v>1.4825863939901442</v>
      </c>
      <c r="O1796" s="361">
        <f t="shared" si="1839"/>
        <v>1.8567170705135385</v>
      </c>
      <c r="P1796" s="361">
        <f t="shared" si="1839"/>
        <v>2.3252596232576064</v>
      </c>
      <c r="Q1796" s="361">
        <f t="shared" si="1839"/>
        <v>2.912038889186634</v>
      </c>
      <c r="R1796" s="361">
        <f t="shared" si="1839"/>
        <v>3.6468919028728446</v>
      </c>
      <c r="S1796" s="361">
        <f t="shared" si="1839"/>
        <v>4.5671850745627607</v>
      </c>
      <c r="T1796" s="361">
        <f t="shared" si="1839"/>
        <v>5.7197142281286162</v>
      </c>
      <c r="U1796" s="361">
        <f t="shared" si="1839"/>
        <v>7.1630841135968009</v>
      </c>
      <c r="V1796" s="362">
        <f t="shared" si="1839"/>
        <v>8.9706883896628629</v>
      </c>
      <c r="X1796" s="351"/>
    </row>
    <row r="1797" spans="3:24" ht="24.75" customHeight="1" x14ac:dyDescent="0.3">
      <c r="C1797" s="353">
        <f>ABS(E1797-Dashboard!$F$14)</f>
        <v>26.489408137497989</v>
      </c>
      <c r="D1797" s="350">
        <f t="shared" si="1785"/>
        <v>0.25244999999998746</v>
      </c>
      <c r="E1797" s="359" cm="1">
        <f t="array" ref="E1797">1000*SUM('DRE + DCF'!$L$36/M1797,'DRE + DCF'!$N$36:$V$36/N1797:V1797,F1797/V1797)/Dashboard!$F$11</f>
        <v>70.500591862502006</v>
      </c>
      <c r="F1797" s="359">
        <f t="shared" si="1783"/>
        <v>10715158.378537316</v>
      </c>
      <c r="G1797" s="359">
        <f>'DRE + DCF'!$W$31</f>
        <v>2791623.3540418856</v>
      </c>
      <c r="H1797" s="359">
        <f>'DRE + DCF'!$W$32</f>
        <v>81081.931703745853</v>
      </c>
      <c r="I1797" s="359">
        <f>-H1797*('DRE + DCF'!$V$33+K1797)/'DRE + DCF'!$V$33</f>
        <v>-90858.801614444121</v>
      </c>
      <c r="J1797" s="359">
        <f>-'DRE + DCF'!$V$56*L1797</f>
        <v>-1188924.4255577971</v>
      </c>
      <c r="K1797" s="360">
        <f>(1+L1797)/(1+Ke!$O$12)-1</f>
        <v>2.0000000000000018E-2</v>
      </c>
      <c r="L1797" s="360">
        <f>'DRE + DCF'!$Y$31</f>
        <v>7.3550000000000004E-2</v>
      </c>
      <c r="M1797" s="361">
        <f>(1+D1797)^((5-Dashboard!$F$9)*3/12)</f>
        <v>1.1839143860467756</v>
      </c>
      <c r="N1797" s="361">
        <f t="shared" ref="N1797:V1797" si="1840">M1797*(1+$D1797)</f>
        <v>1.4827935728042692</v>
      </c>
      <c r="O1797" s="361">
        <f t="shared" si="1840"/>
        <v>1.8571248102586881</v>
      </c>
      <c r="P1797" s="361">
        <f t="shared" si="1840"/>
        <v>2.3259559686084708</v>
      </c>
      <c r="Q1797" s="361">
        <f t="shared" si="1840"/>
        <v>2.9131435528836498</v>
      </c>
      <c r="R1797" s="361">
        <f t="shared" si="1840"/>
        <v>3.6485666428090906</v>
      </c>
      <c r="S1797" s="361">
        <f t="shared" si="1840"/>
        <v>4.5696472917861994</v>
      </c>
      <c r="T1797" s="361">
        <f t="shared" si="1840"/>
        <v>5.7232547505975679</v>
      </c>
      <c r="U1797" s="361">
        <f t="shared" si="1840"/>
        <v>7.168090412385852</v>
      </c>
      <c r="V1797" s="362">
        <f t="shared" si="1840"/>
        <v>8.9776748369925699</v>
      </c>
      <c r="X1797" s="351"/>
    </row>
    <row r="1798" spans="3:24" ht="24.75" customHeight="1" x14ac:dyDescent="0.3">
      <c r="C1798" s="353">
        <f>ABS(E1798-Dashboard!$F$14)</f>
        <v>26.534244377438498</v>
      </c>
      <c r="D1798" s="350">
        <f t="shared" si="1785"/>
        <v>0.25254999999998745</v>
      </c>
      <c r="E1798" s="359" cm="1">
        <f t="array" ref="E1798">1000*SUM('DRE + DCF'!$L$36/M1798,'DRE + DCF'!$N$36:$V$36/N1798:V1798,F1798/V1798)/Dashboard!$F$11</f>
        <v>70.455755622561497</v>
      </c>
      <c r="F1798" s="359">
        <f t="shared" si="1783"/>
        <v>10710137.987158287</v>
      </c>
      <c r="G1798" s="359">
        <f>'DRE + DCF'!$W$31</f>
        <v>2791623.3540418856</v>
      </c>
      <c r="H1798" s="359">
        <f>'DRE + DCF'!$W$32</f>
        <v>81081.931703745853</v>
      </c>
      <c r="I1798" s="359">
        <f>-H1798*('DRE + DCF'!$V$33+K1798)/'DRE + DCF'!$V$33</f>
        <v>-90858.801614444121</v>
      </c>
      <c r="J1798" s="359">
        <f>-'DRE + DCF'!$V$56*L1798</f>
        <v>-1188924.4255577971</v>
      </c>
      <c r="K1798" s="360">
        <f>(1+L1798)/(1+Ke!$O$12)-1</f>
        <v>2.0000000000000018E-2</v>
      </c>
      <c r="L1798" s="360">
        <f>'DRE + DCF'!$Y$31</f>
        <v>7.3550000000000004E-2</v>
      </c>
      <c r="M1798" s="361">
        <f>(1+D1798)^((5-Dashboard!$F$9)*3/12)</f>
        <v>1.1839852812464116</v>
      </c>
      <c r="N1798" s="361">
        <f t="shared" ref="N1798:V1798" si="1841">M1798*(1+$D1798)</f>
        <v>1.4830007640251779</v>
      </c>
      <c r="O1798" s="361">
        <f t="shared" si="1841"/>
        <v>1.8575326069797178</v>
      </c>
      <c r="P1798" s="361">
        <f t="shared" si="1841"/>
        <v>2.3266524668724222</v>
      </c>
      <c r="Q1798" s="361">
        <f t="shared" si="1841"/>
        <v>2.9142485473810233</v>
      </c>
      <c r="R1798" s="361">
        <f t="shared" si="1841"/>
        <v>3.6502420180220643</v>
      </c>
      <c r="S1798" s="361">
        <f t="shared" si="1841"/>
        <v>4.5721106396734905</v>
      </c>
      <c r="T1798" s="361">
        <f t="shared" si="1841"/>
        <v>5.726797181722973</v>
      </c>
      <c r="U1798" s="361">
        <f t="shared" si="1841"/>
        <v>7.173099809967038</v>
      </c>
      <c r="V1798" s="362">
        <f t="shared" si="1841"/>
        <v>8.9846661669741223</v>
      </c>
      <c r="X1798" s="351"/>
    </row>
    <row r="1799" spans="3:24" ht="24.75" customHeight="1" x14ac:dyDescent="0.3">
      <c r="C1799" s="353">
        <f>ABS(E1799-Dashboard!$F$14)</f>
        <v>26.57903073238883</v>
      </c>
      <c r="D1799" s="350">
        <f t="shared" si="1785"/>
        <v>0.25264999999998744</v>
      </c>
      <c r="E1799" s="359" cm="1">
        <f t="array" ref="E1799">1000*SUM('DRE + DCF'!$L$36/M1799,'DRE + DCF'!$N$36:$V$36/N1799:V1799,F1799/V1799)/Dashboard!$F$11</f>
        <v>70.410969267611165</v>
      </c>
      <c r="F1799" s="359">
        <f t="shared" si="1783"/>
        <v>10705122.437968977</v>
      </c>
      <c r="G1799" s="359">
        <f>'DRE + DCF'!$W$31</f>
        <v>2791623.3540418856</v>
      </c>
      <c r="H1799" s="359">
        <f>'DRE + DCF'!$W$32</f>
        <v>81081.931703745853</v>
      </c>
      <c r="I1799" s="359">
        <f>-H1799*('DRE + DCF'!$V$33+K1799)/'DRE + DCF'!$V$33</f>
        <v>-90858.801614444121</v>
      </c>
      <c r="J1799" s="359">
        <f>-'DRE + DCF'!$V$56*L1799</f>
        <v>-1188924.4255577971</v>
      </c>
      <c r="K1799" s="360">
        <f>(1+L1799)/(1+Ke!$O$12)-1</f>
        <v>2.0000000000000018E-2</v>
      </c>
      <c r="L1799" s="360">
        <f>'DRE + DCF'!$Y$31</f>
        <v>7.3550000000000004E-2</v>
      </c>
      <c r="M1799" s="361">
        <f>(1+D1799)^((5-Dashboard!$F$9)*3/12)</f>
        <v>1.1840561750310443</v>
      </c>
      <c r="N1799" s="361">
        <f t="shared" ref="N1799:V1799" si="1842">M1799*(1+$D1799)</f>
        <v>1.4832079676526226</v>
      </c>
      <c r="O1799" s="361">
        <f t="shared" si="1842"/>
        <v>1.8579404606800389</v>
      </c>
      <c r="P1799" s="361">
        <f t="shared" si="1842"/>
        <v>2.3273491180708272</v>
      </c>
      <c r="Q1799" s="361">
        <f t="shared" si="1842"/>
        <v>2.9153538727513926</v>
      </c>
      <c r="R1799" s="361">
        <f t="shared" si="1842"/>
        <v>3.6519180287019952</v>
      </c>
      <c r="S1799" s="361">
        <f t="shared" si="1842"/>
        <v>4.5745751186535086</v>
      </c>
      <c r="T1799" s="361">
        <f t="shared" si="1842"/>
        <v>5.7303415223812602</v>
      </c>
      <c r="U1799" s="361">
        <f t="shared" si="1842"/>
        <v>7.1781123080108129</v>
      </c>
      <c r="V1799" s="362">
        <f t="shared" si="1842"/>
        <v>8.991662382629654</v>
      </c>
      <c r="X1799" s="351"/>
    </row>
    <row r="1800" spans="3:24" ht="24.75" customHeight="1" x14ac:dyDescent="0.3">
      <c r="C1800" s="353">
        <f>ABS(E1800-Dashboard!$F$14)</f>
        <v>26.623767279948012</v>
      </c>
      <c r="D1800" s="350">
        <f t="shared" si="1785"/>
        <v>0.25274999999998743</v>
      </c>
      <c r="E1800" s="359" cm="1">
        <f t="array" ref="E1800">1000*SUM('DRE + DCF'!$L$36/M1800,'DRE + DCF'!$N$36:$V$36/N1800:V1800,F1800/V1800)/Dashboard!$F$11</f>
        <v>70.366232720051983</v>
      </c>
      <c r="F1800" s="359">
        <f t="shared" si="1783"/>
        <v>10700111.723769411</v>
      </c>
      <c r="G1800" s="359">
        <f>'DRE + DCF'!$W$31</f>
        <v>2791623.3540418856</v>
      </c>
      <c r="H1800" s="359">
        <f>'DRE + DCF'!$W$32</f>
        <v>81081.931703745853</v>
      </c>
      <c r="I1800" s="359">
        <f>-H1800*('DRE + DCF'!$V$33+K1800)/'DRE + DCF'!$V$33</f>
        <v>-90858.801614444121</v>
      </c>
      <c r="J1800" s="359">
        <f>-'DRE + DCF'!$V$56*L1800</f>
        <v>-1188924.4255577971</v>
      </c>
      <c r="K1800" s="360">
        <f>(1+L1800)/(1+Ke!$O$12)-1</f>
        <v>2.0000000000000018E-2</v>
      </c>
      <c r="L1800" s="360">
        <f>'DRE + DCF'!$Y$31</f>
        <v>7.3550000000000004E-2</v>
      </c>
      <c r="M1800" s="361">
        <f>(1+D1800)^((5-Dashboard!$F$9)*3/12)</f>
        <v>1.1841270674008151</v>
      </c>
      <c r="N1800" s="361">
        <f t="shared" ref="N1800:V1800" si="1843">M1800*(1+$D1800)</f>
        <v>1.4834151836863561</v>
      </c>
      <c r="O1800" s="361">
        <f t="shared" si="1843"/>
        <v>1.8583483713630637</v>
      </c>
      <c r="P1800" s="361">
        <f t="shared" si="1843"/>
        <v>2.3280459222250545</v>
      </c>
      <c r="Q1800" s="361">
        <f t="shared" si="1843"/>
        <v>2.9164595290674078</v>
      </c>
      <c r="R1800" s="361">
        <f t="shared" si="1843"/>
        <v>3.6535946750391584</v>
      </c>
      <c r="S1800" s="361">
        <f t="shared" si="1843"/>
        <v>4.5770407291552591</v>
      </c>
      <c r="T1800" s="361">
        <f t="shared" si="1843"/>
        <v>5.7338877734491929</v>
      </c>
      <c r="U1800" s="361">
        <f t="shared" si="1843"/>
        <v>7.1831279081884043</v>
      </c>
      <c r="V1800" s="362">
        <f t="shared" si="1843"/>
        <v>8.9986634869829327</v>
      </c>
      <c r="X1800" s="351"/>
    </row>
    <row r="1801" spans="3:24" ht="24.75" customHeight="1" x14ac:dyDescent="0.3">
      <c r="C1801" s="353">
        <f>ABS(E1801-Dashboard!$F$14)</f>
        <v>26.668454097558254</v>
      </c>
      <c r="D1801" s="350">
        <f t="shared" si="1785"/>
        <v>0.25284999999998742</v>
      </c>
      <c r="E1801" s="359" cm="1">
        <f t="array" ref="E1801">1000*SUM('DRE + DCF'!$L$36/M1801,'DRE + DCF'!$N$36:$V$36/N1801:V1801,F1801/V1801)/Dashboard!$F$11</f>
        <v>70.321545902441741</v>
      </c>
      <c r="F1801" s="359">
        <f t="shared" si="1783"/>
        <v>10695105.837374266</v>
      </c>
      <c r="G1801" s="359">
        <f>'DRE + DCF'!$W$31</f>
        <v>2791623.3540418856</v>
      </c>
      <c r="H1801" s="359">
        <f>'DRE + DCF'!$W$32</f>
        <v>81081.931703745853</v>
      </c>
      <c r="I1801" s="359">
        <f>-H1801*('DRE + DCF'!$V$33+K1801)/'DRE + DCF'!$V$33</f>
        <v>-90858.801614444121</v>
      </c>
      <c r="J1801" s="359">
        <f>-'DRE + DCF'!$V$56*L1801</f>
        <v>-1188924.4255577971</v>
      </c>
      <c r="K1801" s="360">
        <f>(1+L1801)/(1+Ke!$O$12)-1</f>
        <v>2.0000000000000018E-2</v>
      </c>
      <c r="L1801" s="360">
        <f>'DRE + DCF'!$Y$31</f>
        <v>7.3550000000000004E-2</v>
      </c>
      <c r="M1801" s="361">
        <f>(1+D1801)^((5-Dashboard!$F$9)*3/12)</f>
        <v>1.1841979583558651</v>
      </c>
      <c r="N1801" s="361">
        <f t="shared" ref="N1801:V1801" si="1844">M1801*(1+$D1801)</f>
        <v>1.4836224121261306</v>
      </c>
      <c r="O1801" s="361">
        <f t="shared" si="1844"/>
        <v>1.8587563390322039</v>
      </c>
      <c r="P1801" s="361">
        <f t="shared" si="1844"/>
        <v>2.3287428793564731</v>
      </c>
      <c r="Q1801" s="361">
        <f t="shared" si="1844"/>
        <v>2.9175655164017278</v>
      </c>
      <c r="R1801" s="361">
        <f t="shared" si="1844"/>
        <v>3.6552719572238677</v>
      </c>
      <c r="S1801" s="361">
        <f t="shared" si="1844"/>
        <v>4.5795074716078767</v>
      </c>
      <c r="T1801" s="361">
        <f t="shared" si="1844"/>
        <v>5.7374359358038705</v>
      </c>
      <c r="U1801" s="361">
        <f t="shared" si="1844"/>
        <v>7.1881466121718063</v>
      </c>
      <c r="V1801" s="362">
        <f t="shared" si="1844"/>
        <v>9.0056694830593571</v>
      </c>
      <c r="X1801" s="351"/>
    </row>
    <row r="1802" spans="3:24" ht="24.75" customHeight="1" x14ac:dyDescent="0.3">
      <c r="C1802" s="353">
        <f>ABS(E1802-Dashboard!$F$14)</f>
        <v>26.713091262505344</v>
      </c>
      <c r="D1802" s="350">
        <f t="shared" si="1785"/>
        <v>0.25294999999998741</v>
      </c>
      <c r="E1802" s="359" cm="1">
        <f t="array" ref="E1802">1000*SUM('DRE + DCF'!$L$36/M1802,'DRE + DCF'!$N$36:$V$36/N1802:V1802,F1802/V1802)/Dashboard!$F$11</f>
        <v>70.276908737494651</v>
      </c>
      <c r="F1802" s="359">
        <f t="shared" si="1783"/>
        <v>10690104.771612797</v>
      </c>
      <c r="G1802" s="359">
        <f>'DRE + DCF'!$W$31</f>
        <v>2791623.3540418856</v>
      </c>
      <c r="H1802" s="359">
        <f>'DRE + DCF'!$W$32</f>
        <v>81081.931703745853</v>
      </c>
      <c r="I1802" s="359">
        <f>-H1802*('DRE + DCF'!$V$33+K1802)/'DRE + DCF'!$V$33</f>
        <v>-90858.801614444121</v>
      </c>
      <c r="J1802" s="359">
        <f>-'DRE + DCF'!$V$56*L1802</f>
        <v>-1188924.4255577971</v>
      </c>
      <c r="K1802" s="360">
        <f>(1+L1802)/(1+Ke!$O$12)-1</f>
        <v>2.0000000000000018E-2</v>
      </c>
      <c r="L1802" s="360">
        <f>'DRE + DCF'!$Y$31</f>
        <v>7.3550000000000004E-2</v>
      </c>
      <c r="M1802" s="361">
        <f>(1+D1802)^((5-Dashboard!$F$9)*3/12)</f>
        <v>1.1842688478963352</v>
      </c>
      <c r="N1802" s="361">
        <f t="shared" ref="N1802:V1802" si="1845">M1802*(1+$D1802)</f>
        <v>1.4838296529716983</v>
      </c>
      <c r="O1802" s="361">
        <f t="shared" si="1845"/>
        <v>1.8591643636908706</v>
      </c>
      <c r="P1802" s="361">
        <f t="shared" si="1845"/>
        <v>2.3294399894864526</v>
      </c>
      <c r="Q1802" s="361">
        <f t="shared" si="1845"/>
        <v>2.9186718348270215</v>
      </c>
      <c r="R1802" s="361">
        <f t="shared" si="1845"/>
        <v>3.6569498754464798</v>
      </c>
      <c r="S1802" s="361">
        <f t="shared" si="1845"/>
        <v>4.581975346440621</v>
      </c>
      <c r="T1802" s="361">
        <f t="shared" si="1845"/>
        <v>5.7409860103227182</v>
      </c>
      <c r="U1802" s="361">
        <f t="shared" si="1845"/>
        <v>7.1931684216337768</v>
      </c>
      <c r="V1802" s="362">
        <f t="shared" si="1845"/>
        <v>9.0126803738859493</v>
      </c>
      <c r="X1802" s="351"/>
    </row>
    <row r="1803" spans="3:24" ht="24.75" customHeight="1" x14ac:dyDescent="0.3">
      <c r="C1803" s="353">
        <f>ABS(E1803-Dashboard!$F$14)</f>
        <v>26.757678851919081</v>
      </c>
      <c r="D1803" s="350">
        <f t="shared" si="1785"/>
        <v>0.2530499999999874</v>
      </c>
      <c r="E1803" s="359" cm="1">
        <f t="array" ref="E1803">1000*SUM('DRE + DCF'!$L$36/M1803,'DRE + DCF'!$N$36:$V$36/N1803:V1803,F1803/V1803)/Dashboard!$F$11</f>
        <v>70.232321148080914</v>
      </c>
      <c r="F1803" s="359">
        <f t="shared" si="1783"/>
        <v>10685108.519328818</v>
      </c>
      <c r="G1803" s="359">
        <f>'DRE + DCF'!$W$31</f>
        <v>2791623.3540418856</v>
      </c>
      <c r="H1803" s="359">
        <f>'DRE + DCF'!$W$32</f>
        <v>81081.931703745853</v>
      </c>
      <c r="I1803" s="359">
        <f>-H1803*('DRE + DCF'!$V$33+K1803)/'DRE + DCF'!$V$33</f>
        <v>-90858.801614444121</v>
      </c>
      <c r="J1803" s="359">
        <f>-'DRE + DCF'!$V$56*L1803</f>
        <v>-1188924.4255577971</v>
      </c>
      <c r="K1803" s="360">
        <f>(1+L1803)/(1+Ke!$O$12)-1</f>
        <v>2.0000000000000018E-2</v>
      </c>
      <c r="L1803" s="360">
        <f>'DRE + DCF'!$Y$31</f>
        <v>7.3550000000000004E-2</v>
      </c>
      <c r="M1803" s="361">
        <f>(1+D1803)^((5-Dashboard!$F$9)*3/12)</f>
        <v>1.1843397360223669</v>
      </c>
      <c r="N1803" s="361">
        <f t="shared" ref="N1803:V1803" si="1846">M1803*(1+$D1803)</f>
        <v>1.4840369062228118</v>
      </c>
      <c r="O1803" s="361">
        <f t="shared" si="1846"/>
        <v>1.8595724453424756</v>
      </c>
      <c r="P1803" s="361">
        <f t="shared" si="1846"/>
        <v>2.3301372526363653</v>
      </c>
      <c r="Q1803" s="361">
        <f t="shared" si="1846"/>
        <v>2.9197784844159682</v>
      </c>
      <c r="R1803" s="361">
        <f t="shared" si="1846"/>
        <v>3.6586284298973921</v>
      </c>
      <c r="S1803" s="361">
        <f t="shared" si="1846"/>
        <v>4.5844443540828808</v>
      </c>
      <c r="T1803" s="361">
        <f t="shared" si="1846"/>
        <v>5.7445379978834961</v>
      </c>
      <c r="U1803" s="361">
        <f t="shared" si="1846"/>
        <v>7.198193338247842</v>
      </c>
      <c r="V1803" s="362">
        <f t="shared" si="1846"/>
        <v>9.0196961624913676</v>
      </c>
      <c r="X1803" s="351"/>
    </row>
    <row r="1804" spans="3:24" ht="24.75" customHeight="1" x14ac:dyDescent="0.3">
      <c r="C1804" s="353">
        <f>ABS(E1804-Dashboard!$F$14)</f>
        <v>26.802216942773683</v>
      </c>
      <c r="D1804" s="350">
        <f t="shared" si="1785"/>
        <v>0.25314999999998739</v>
      </c>
      <c r="E1804" s="359" cm="1">
        <f t="array" ref="E1804">1000*SUM('DRE + DCF'!$L$36/M1804,'DRE + DCF'!$N$36:$V$36/N1804:V1804,F1804/V1804)/Dashboard!$F$11</f>
        <v>70.187783057226312</v>
      </c>
      <c r="F1804" s="359">
        <f t="shared" si="1783"/>
        <v>10680117.073380658</v>
      </c>
      <c r="G1804" s="359">
        <f>'DRE + DCF'!$W$31</f>
        <v>2791623.3540418856</v>
      </c>
      <c r="H1804" s="359">
        <f>'DRE + DCF'!$W$32</f>
        <v>81081.931703745853</v>
      </c>
      <c r="I1804" s="359">
        <f>-H1804*('DRE + DCF'!$V$33+K1804)/'DRE + DCF'!$V$33</f>
        <v>-90858.801614444121</v>
      </c>
      <c r="J1804" s="359">
        <f>-'DRE + DCF'!$V$56*L1804</f>
        <v>-1188924.4255577971</v>
      </c>
      <c r="K1804" s="360">
        <f>(1+L1804)/(1+Ke!$O$12)-1</f>
        <v>2.0000000000000018E-2</v>
      </c>
      <c r="L1804" s="360">
        <f>'DRE + DCF'!$Y$31</f>
        <v>7.3550000000000004E-2</v>
      </c>
      <c r="M1804" s="361">
        <f>(1+D1804)^((5-Dashboard!$F$9)*3/12)</f>
        <v>1.1844106227341009</v>
      </c>
      <c r="N1804" s="361">
        <f t="shared" ref="N1804:V1804" si="1847">M1804*(1+$D1804)</f>
        <v>1.4842441718792236</v>
      </c>
      <c r="O1804" s="361">
        <f t="shared" si="1847"/>
        <v>1.8599805839904302</v>
      </c>
      <c r="P1804" s="361">
        <f t="shared" si="1847"/>
        <v>2.3308346688275838</v>
      </c>
      <c r="Q1804" s="361">
        <f t="shared" si="1847"/>
        <v>2.9208854652412573</v>
      </c>
      <c r="R1804" s="361">
        <f t="shared" si="1847"/>
        <v>3.6603076207670444</v>
      </c>
      <c r="S1804" s="361">
        <f t="shared" si="1847"/>
        <v>4.5869144949641756</v>
      </c>
      <c r="T1804" s="361">
        <f t="shared" si="1847"/>
        <v>5.7480918993642982</v>
      </c>
      <c r="U1804" s="361">
        <f t="shared" si="1847"/>
        <v>7.2032213636882974</v>
      </c>
      <c r="V1804" s="362">
        <f t="shared" si="1847"/>
        <v>9.0267168519058991</v>
      </c>
      <c r="X1804" s="351"/>
    </row>
    <row r="1805" spans="3:24" ht="24.75" customHeight="1" x14ac:dyDescent="0.3">
      <c r="C1805" s="353">
        <f>ABS(E1805-Dashboard!$F$14)</f>
        <v>26.846705611888154</v>
      </c>
      <c r="D1805" s="350">
        <f t="shared" si="1785"/>
        <v>0.25324999999998737</v>
      </c>
      <c r="E1805" s="359" cm="1">
        <f t="array" ref="E1805">1000*SUM('DRE + DCF'!$L$36/M1805,'DRE + DCF'!$N$36:$V$36/N1805:V1805,F1805/V1805)/Dashboard!$F$11</f>
        <v>70.14329438811184</v>
      </c>
      <c r="F1805" s="359">
        <f t="shared" si="1783"/>
        <v>10675130.426641125</v>
      </c>
      <c r="G1805" s="359">
        <f>'DRE + DCF'!$W$31</f>
        <v>2791623.3540418856</v>
      </c>
      <c r="H1805" s="359">
        <f>'DRE + DCF'!$W$32</f>
        <v>81081.931703745853</v>
      </c>
      <c r="I1805" s="359">
        <f>-H1805*('DRE + DCF'!$V$33+K1805)/'DRE + DCF'!$V$33</f>
        <v>-90858.801614444121</v>
      </c>
      <c r="J1805" s="359">
        <f>-'DRE + DCF'!$V$56*L1805</f>
        <v>-1188924.4255577971</v>
      </c>
      <c r="K1805" s="360">
        <f>(1+L1805)/(1+Ke!$O$12)-1</f>
        <v>2.0000000000000018E-2</v>
      </c>
      <c r="L1805" s="360">
        <f>'DRE + DCF'!$Y$31</f>
        <v>7.3550000000000004E-2</v>
      </c>
      <c r="M1805" s="361">
        <f>(1+D1805)^((5-Dashboard!$F$9)*3/12)</f>
        <v>1.1844815080316786</v>
      </c>
      <c r="N1805" s="361">
        <f t="shared" ref="N1805:V1805" si="1848">M1805*(1+$D1805)</f>
        <v>1.4844514499406862</v>
      </c>
      <c r="O1805" s="361">
        <f t="shared" si="1848"/>
        <v>1.8603887796381462</v>
      </c>
      <c r="P1805" s="361">
        <f t="shared" si="1848"/>
        <v>2.3315322380814831</v>
      </c>
      <c r="Q1805" s="361">
        <f t="shared" si="1848"/>
        <v>2.9219927773755892</v>
      </c>
      <c r="R1805" s="361">
        <f t="shared" si="1848"/>
        <v>3.6619874482459203</v>
      </c>
      <c r="S1805" s="361">
        <f t="shared" si="1848"/>
        <v>4.5893857695141529</v>
      </c>
      <c r="T1805" s="361">
        <f t="shared" si="1848"/>
        <v>5.7516477156435535</v>
      </c>
      <c r="U1805" s="361">
        <f t="shared" si="1848"/>
        <v>7.2082524996302109</v>
      </c>
      <c r="V1805" s="362">
        <f t="shared" si="1848"/>
        <v>9.0337424451614705</v>
      </c>
      <c r="X1805" s="351"/>
    </row>
    <row r="1806" spans="3:24" ht="24.75" customHeight="1" x14ac:dyDescent="0.3">
      <c r="C1806" s="353">
        <f>ABS(E1806-Dashboard!$F$14)</f>
        <v>26.891144935926633</v>
      </c>
      <c r="D1806" s="350">
        <f t="shared" si="1785"/>
        <v>0.25334999999998736</v>
      </c>
      <c r="E1806" s="359" cm="1">
        <f t="array" ref="E1806">1000*SUM('DRE + DCF'!$L$36/M1806,'DRE + DCF'!$N$36:$V$36/N1806:V1806,F1806/V1806)/Dashboard!$F$11</f>
        <v>70.098855064073362</v>
      </c>
      <c r="F1806" s="359">
        <f t="shared" ref="F1806:F1869" si="1849">AVERAGE(SUM(G1806:J1806)*(1+L1806)/(D1806-L1806),G1806*(1+L1806)*(1-L1806/D1806)/(D1806-L1806))</f>
        <v>10670148.571997464</v>
      </c>
      <c r="G1806" s="359">
        <f>'DRE + DCF'!$W$31</f>
        <v>2791623.3540418856</v>
      </c>
      <c r="H1806" s="359">
        <f>'DRE + DCF'!$W$32</f>
        <v>81081.931703745853</v>
      </c>
      <c r="I1806" s="359">
        <f>-H1806*('DRE + DCF'!$V$33+K1806)/'DRE + DCF'!$V$33</f>
        <v>-90858.801614444121</v>
      </c>
      <c r="J1806" s="359">
        <f>-'DRE + DCF'!$V$56*L1806</f>
        <v>-1188924.4255577971</v>
      </c>
      <c r="K1806" s="360">
        <f>(1+L1806)/(1+Ke!$O$12)-1</f>
        <v>2.0000000000000018E-2</v>
      </c>
      <c r="L1806" s="360">
        <f>'DRE + DCF'!$Y$31</f>
        <v>7.3550000000000004E-2</v>
      </c>
      <c r="M1806" s="361">
        <f>(1+D1806)^((5-Dashboard!$F$9)*3/12)</f>
        <v>1.1845523919152408</v>
      </c>
      <c r="N1806" s="361">
        <f t="shared" ref="N1806:V1806" si="1850">M1806*(1+$D1806)</f>
        <v>1.484658740406952</v>
      </c>
      <c r="O1806" s="361">
        <f t="shared" si="1850"/>
        <v>1.8607970322890344</v>
      </c>
      <c r="P1806" s="361">
        <f t="shared" si="1850"/>
        <v>2.3322299604194376</v>
      </c>
      <c r="Q1806" s="361">
        <f t="shared" si="1850"/>
        <v>2.9231004208916724</v>
      </c>
      <c r="R1806" s="361">
        <f t="shared" si="1850"/>
        <v>3.6636679125245406</v>
      </c>
      <c r="S1806" s="361">
        <f t="shared" si="1850"/>
        <v>4.5918581781625862</v>
      </c>
      <c r="T1806" s="361">
        <f t="shared" si="1850"/>
        <v>5.7552054476000194</v>
      </c>
      <c r="U1806" s="361">
        <f t="shared" si="1850"/>
        <v>7.2132867477494109</v>
      </c>
      <c r="V1806" s="362">
        <f t="shared" si="1850"/>
        <v>9.0407729452916321</v>
      </c>
      <c r="X1806" s="351"/>
    </row>
    <row r="1807" spans="3:24" ht="24.75" customHeight="1" x14ac:dyDescent="0.3">
      <c r="C1807" s="353">
        <f>ABS(E1807-Dashboard!$F$14)</f>
        <v>26.935534991398924</v>
      </c>
      <c r="D1807" s="350">
        <f t="shared" ref="D1807:D1870" si="1851">D1806+0.0001</f>
        <v>0.25344999999998735</v>
      </c>
      <c r="E1807" s="359" cm="1">
        <f t="array" ref="E1807">1000*SUM('DRE + DCF'!$L$36/M1807,'DRE + DCF'!$N$36:$V$36/N1807:V1807,F1807/V1807)/Dashboard!$F$11</f>
        <v>70.054465008601071</v>
      </c>
      <c r="F1807" s="359">
        <f t="shared" si="1849"/>
        <v>10665171.502351329</v>
      </c>
      <c r="G1807" s="359">
        <f>'DRE + DCF'!$W$31</f>
        <v>2791623.3540418856</v>
      </c>
      <c r="H1807" s="359">
        <f>'DRE + DCF'!$W$32</f>
        <v>81081.931703745853</v>
      </c>
      <c r="I1807" s="359">
        <f>-H1807*('DRE + DCF'!$V$33+K1807)/'DRE + DCF'!$V$33</f>
        <v>-90858.801614444121</v>
      </c>
      <c r="J1807" s="359">
        <f>-'DRE + DCF'!$V$56*L1807</f>
        <v>-1188924.4255577971</v>
      </c>
      <c r="K1807" s="360">
        <f>(1+L1807)/(1+Ke!$O$12)-1</f>
        <v>2.0000000000000018E-2</v>
      </c>
      <c r="L1807" s="360">
        <f>'DRE + DCF'!$Y$31</f>
        <v>7.3550000000000004E-2</v>
      </c>
      <c r="M1807" s="361">
        <f>(1+D1807)^((5-Dashboard!$F$9)*3/12)</f>
        <v>1.1846232743849288</v>
      </c>
      <c r="N1807" s="361">
        <f t="shared" ref="N1807:V1807" si="1852">M1807*(1+$D1807)</f>
        <v>1.4848660432777738</v>
      </c>
      <c r="O1807" s="361">
        <f t="shared" si="1852"/>
        <v>1.8612053419465067</v>
      </c>
      <c r="P1807" s="361">
        <f t="shared" si="1852"/>
        <v>2.3329278358628249</v>
      </c>
      <c r="Q1807" s="361">
        <f t="shared" si="1852"/>
        <v>2.9242083958622285</v>
      </c>
      <c r="R1807" s="361">
        <f t="shared" si="1852"/>
        <v>3.665349013793473</v>
      </c>
      <c r="S1807" s="361">
        <f t="shared" si="1852"/>
        <v>4.5943317213393824</v>
      </c>
      <c r="T1807" s="361">
        <f t="shared" si="1852"/>
        <v>5.7587650961127901</v>
      </c>
      <c r="U1807" s="361">
        <f t="shared" si="1852"/>
        <v>7.2183241097225039</v>
      </c>
      <c r="V1807" s="362">
        <f t="shared" si="1852"/>
        <v>9.0478083553315809</v>
      </c>
      <c r="X1807" s="351"/>
    </row>
    <row r="1808" spans="3:24" ht="24.75" customHeight="1" x14ac:dyDescent="0.3">
      <c r="C1808" s="353">
        <f>ABS(E1808-Dashboard!$F$14)</f>
        <v>26.979875854660676</v>
      </c>
      <c r="D1808" s="350">
        <f t="shared" si="1851"/>
        <v>0.25354999999998734</v>
      </c>
      <c r="E1808" s="359" cm="1">
        <f t="array" ref="E1808">1000*SUM('DRE + DCF'!$L$36/M1808,'DRE + DCF'!$N$36:$V$36/N1808:V1808,F1808/V1808)/Dashboard!$F$11</f>
        <v>70.010124145339319</v>
      </c>
      <c r="F1808" s="359">
        <f t="shared" si="1849"/>
        <v>10660199.21061874</v>
      </c>
      <c r="G1808" s="359">
        <f>'DRE + DCF'!$W$31</f>
        <v>2791623.3540418856</v>
      </c>
      <c r="H1808" s="359">
        <f>'DRE + DCF'!$W$32</f>
        <v>81081.931703745853</v>
      </c>
      <c r="I1808" s="359">
        <f>-H1808*('DRE + DCF'!$V$33+K1808)/'DRE + DCF'!$V$33</f>
        <v>-90858.801614444121</v>
      </c>
      <c r="J1808" s="359">
        <f>-'DRE + DCF'!$V$56*L1808</f>
        <v>-1188924.4255577971</v>
      </c>
      <c r="K1808" s="360">
        <f>(1+L1808)/(1+Ke!$O$12)-1</f>
        <v>2.0000000000000018E-2</v>
      </c>
      <c r="L1808" s="360">
        <f>'DRE + DCF'!$Y$31</f>
        <v>7.3550000000000004E-2</v>
      </c>
      <c r="M1808" s="361">
        <f>(1+D1808)^((5-Dashboard!$F$9)*3/12)</f>
        <v>1.1846941554408834</v>
      </c>
      <c r="N1808" s="361">
        <f t="shared" ref="N1808:V1808" si="1853">M1808*(1+$D1808)</f>
        <v>1.4850733585529043</v>
      </c>
      <c r="O1808" s="361">
        <f t="shared" si="1853"/>
        <v>1.8616137086139743</v>
      </c>
      <c r="P1808" s="361">
        <f t="shared" si="1853"/>
        <v>2.3336258644330239</v>
      </c>
      <c r="Q1808" s="361">
        <f t="shared" si="1853"/>
        <v>2.9253167023599875</v>
      </c>
      <c r="R1808" s="361">
        <f t="shared" si="1853"/>
        <v>3.667030752243325</v>
      </c>
      <c r="S1808" s="361">
        <f t="shared" si="1853"/>
        <v>4.5968063994745734</v>
      </c>
      <c r="T1808" s="361">
        <f t="shared" si="1853"/>
        <v>5.7623266620612927</v>
      </c>
      <c r="U1808" s="361">
        <f t="shared" si="1853"/>
        <v>7.2233645872268601</v>
      </c>
      <c r="V1808" s="362">
        <f t="shared" si="1853"/>
        <v>9.0548486783181392</v>
      </c>
      <c r="X1808" s="351"/>
    </row>
    <row r="1809" spans="3:24" ht="24.75" customHeight="1" x14ac:dyDescent="0.3">
      <c r="C1809" s="353">
        <f>ABS(E1809-Dashboard!$F$14)</f>
        <v>27.024167601913945</v>
      </c>
      <c r="D1809" s="350">
        <f t="shared" si="1851"/>
        <v>0.25364999999998733</v>
      </c>
      <c r="E1809" s="359" cm="1">
        <f t="array" ref="E1809">1000*SUM('DRE + DCF'!$L$36/M1809,'DRE + DCF'!$N$36:$V$36/N1809:V1809,F1809/V1809)/Dashboard!$F$11</f>
        <v>69.96583239808605</v>
      </c>
      <c r="F1809" s="359">
        <f t="shared" si="1849"/>
        <v>10655231.689730037</v>
      </c>
      <c r="G1809" s="359">
        <f>'DRE + DCF'!$W$31</f>
        <v>2791623.3540418856</v>
      </c>
      <c r="H1809" s="359">
        <f>'DRE + DCF'!$W$32</f>
        <v>81081.931703745853</v>
      </c>
      <c r="I1809" s="359">
        <f>-H1809*('DRE + DCF'!$V$33+K1809)/'DRE + DCF'!$V$33</f>
        <v>-90858.801614444121</v>
      </c>
      <c r="J1809" s="359">
        <f>-'DRE + DCF'!$V$56*L1809</f>
        <v>-1188924.4255577971</v>
      </c>
      <c r="K1809" s="360">
        <f>(1+L1809)/(1+Ke!$O$12)-1</f>
        <v>2.0000000000000018E-2</v>
      </c>
      <c r="L1809" s="360">
        <f>'DRE + DCF'!$Y$31</f>
        <v>7.3550000000000004E-2</v>
      </c>
      <c r="M1809" s="361">
        <f>(1+D1809)^((5-Dashboard!$F$9)*3/12)</f>
        <v>1.1847650350832455</v>
      </c>
      <c r="N1809" s="361">
        <f t="shared" ref="N1809:V1809" si="1854">M1809*(1+$D1809)</f>
        <v>1.4852806862320955</v>
      </c>
      <c r="O1809" s="361">
        <f t="shared" si="1854"/>
        <v>1.8620221322948476</v>
      </c>
      <c r="P1809" s="361">
        <f t="shared" si="1854"/>
        <v>2.3343240461514121</v>
      </c>
      <c r="Q1809" s="361">
        <f t="shared" si="1854"/>
        <v>2.9264253404576879</v>
      </c>
      <c r="R1809" s="361">
        <f t="shared" si="1854"/>
        <v>3.6687131280647431</v>
      </c>
      <c r="S1809" s="361">
        <f t="shared" si="1854"/>
        <v>4.5992822129983182</v>
      </c>
      <c r="T1809" s="361">
        <f t="shared" si="1854"/>
        <v>5.7658901463252832</v>
      </c>
      <c r="U1809" s="361">
        <f t="shared" si="1854"/>
        <v>7.2284081819406181</v>
      </c>
      <c r="V1809" s="362">
        <f t="shared" si="1854"/>
        <v>9.0618939172897637</v>
      </c>
      <c r="X1809" s="351"/>
    </row>
    <row r="1810" spans="3:24" ht="24.75" customHeight="1" x14ac:dyDescent="0.3">
      <c r="C1810" s="353">
        <f>ABS(E1810-Dashboard!$F$14)</f>
        <v>27.068410309207522</v>
      </c>
      <c r="D1810" s="350">
        <f t="shared" si="1851"/>
        <v>0.25374999999998732</v>
      </c>
      <c r="E1810" s="359" cm="1">
        <f t="array" ref="E1810">1000*SUM('DRE + DCF'!$L$36/M1810,'DRE + DCF'!$N$36:$V$36/N1810:V1810,F1810/V1810)/Dashboard!$F$11</f>
        <v>69.921589690792473</v>
      </c>
      <c r="F1810" s="359">
        <f t="shared" si="1849"/>
        <v>10650268.932629865</v>
      </c>
      <c r="G1810" s="359">
        <f>'DRE + DCF'!$W$31</f>
        <v>2791623.3540418856</v>
      </c>
      <c r="H1810" s="359">
        <f>'DRE + DCF'!$W$32</f>
        <v>81081.931703745853</v>
      </c>
      <c r="I1810" s="359">
        <f>-H1810*('DRE + DCF'!$V$33+K1810)/'DRE + DCF'!$V$33</f>
        <v>-90858.801614444121</v>
      </c>
      <c r="J1810" s="359">
        <f>-'DRE + DCF'!$V$56*L1810</f>
        <v>-1188924.4255577971</v>
      </c>
      <c r="K1810" s="360">
        <f>(1+L1810)/(1+Ke!$O$12)-1</f>
        <v>2.0000000000000018E-2</v>
      </c>
      <c r="L1810" s="360">
        <f>'DRE + DCF'!$Y$31</f>
        <v>7.3550000000000004E-2</v>
      </c>
      <c r="M1810" s="361">
        <f>(1+D1810)^((5-Dashboard!$F$9)*3/12)</f>
        <v>1.1848359133121562</v>
      </c>
      <c r="N1810" s="361">
        <f t="shared" ref="N1810:V1810" si="1855">M1810*(1+$D1810)</f>
        <v>1.4854880263151007</v>
      </c>
      <c r="O1810" s="361">
        <f t="shared" si="1855"/>
        <v>1.8624306129925385</v>
      </c>
      <c r="P1810" s="361">
        <f t="shared" si="1855"/>
        <v>2.3350223810393715</v>
      </c>
      <c r="Q1810" s="361">
        <f t="shared" si="1855"/>
        <v>2.9275343102280824</v>
      </c>
      <c r="R1810" s="361">
        <f t="shared" si="1855"/>
        <v>3.6703961414484212</v>
      </c>
      <c r="S1810" s="361">
        <f t="shared" si="1855"/>
        <v>4.6017591623409118</v>
      </c>
      <c r="T1810" s="361">
        <f t="shared" si="1855"/>
        <v>5.7694555497848592</v>
      </c>
      <c r="U1810" s="361">
        <f t="shared" si="1855"/>
        <v>7.2334548955426934</v>
      </c>
      <c r="V1810" s="362">
        <f t="shared" si="1855"/>
        <v>9.0689440752865593</v>
      </c>
      <c r="X1810" s="351"/>
    </row>
    <row r="1811" spans="3:24" ht="24.75" customHeight="1" x14ac:dyDescent="0.3">
      <c r="C1811" s="353">
        <f>ABS(E1811-Dashboard!$F$14)</f>
        <v>27.112604052437305</v>
      </c>
      <c r="D1811" s="350">
        <f t="shared" si="1851"/>
        <v>0.25384999999998731</v>
      </c>
      <c r="E1811" s="359" cm="1">
        <f t="array" ref="E1811">1000*SUM('DRE + DCF'!$L$36/M1811,'DRE + DCF'!$N$36:$V$36/N1811:V1811,F1811/V1811)/Dashboard!$F$11</f>
        <v>69.87739594756269</v>
      </c>
      <c r="F1811" s="359">
        <f t="shared" si="1849"/>
        <v>10645310.932277113</v>
      </c>
      <c r="G1811" s="359">
        <f>'DRE + DCF'!$W$31</f>
        <v>2791623.3540418856</v>
      </c>
      <c r="H1811" s="359">
        <f>'DRE + DCF'!$W$32</f>
        <v>81081.931703745853</v>
      </c>
      <c r="I1811" s="359">
        <f>-H1811*('DRE + DCF'!$V$33+K1811)/'DRE + DCF'!$V$33</f>
        <v>-90858.801614444121</v>
      </c>
      <c r="J1811" s="359">
        <f>-'DRE + DCF'!$V$56*L1811</f>
        <v>-1188924.4255577971</v>
      </c>
      <c r="K1811" s="360">
        <f>(1+L1811)/(1+Ke!$O$12)-1</f>
        <v>2.0000000000000018E-2</v>
      </c>
      <c r="L1811" s="360">
        <f>'DRE + DCF'!$Y$31</f>
        <v>7.3550000000000004E-2</v>
      </c>
      <c r="M1811" s="361">
        <f>(1+D1811)^((5-Dashboard!$F$9)*3/12)</f>
        <v>1.1849067901277566</v>
      </c>
      <c r="N1811" s="361">
        <f t="shared" ref="N1811:V1811" si="1856">M1811*(1+$D1811)</f>
        <v>1.4856953788016725</v>
      </c>
      <c r="O1811" s="361">
        <f t="shared" si="1856"/>
        <v>1.862839150710458</v>
      </c>
      <c r="P1811" s="361">
        <f t="shared" si="1856"/>
        <v>2.3357208691182842</v>
      </c>
      <c r="Q1811" s="361">
        <f t="shared" si="1856"/>
        <v>2.9286436117439307</v>
      </c>
      <c r="R1811" s="361">
        <f t="shared" si="1856"/>
        <v>3.6720797925850901</v>
      </c>
      <c r="S1811" s="361">
        <f t="shared" si="1856"/>
        <v>4.604237247932768</v>
      </c>
      <c r="T1811" s="361">
        <f t="shared" si="1856"/>
        <v>5.7730228733204427</v>
      </c>
      <c r="U1811" s="361">
        <f t="shared" si="1856"/>
        <v>7.2385047297127638</v>
      </c>
      <c r="V1811" s="362">
        <f t="shared" si="1856"/>
        <v>9.0759991553502566</v>
      </c>
      <c r="X1811" s="351"/>
    </row>
    <row r="1812" spans="3:24" ht="24.75" customHeight="1" x14ac:dyDescent="0.3">
      <c r="C1812" s="353">
        <f>ABS(E1812-Dashboard!$F$14)</f>
        <v>27.156748907346653</v>
      </c>
      <c r="D1812" s="350">
        <f t="shared" si="1851"/>
        <v>0.2539499999999873</v>
      </c>
      <c r="E1812" s="359" cm="1">
        <f t="array" ref="E1812">1000*SUM('DRE + DCF'!$L$36/M1812,'DRE + DCF'!$N$36:$V$36/N1812:V1812,F1812/V1812)/Dashboard!$F$11</f>
        <v>69.833251092653342</v>
      </c>
      <c r="F1812" s="359">
        <f t="shared" si="1849"/>
        <v>10640357.681644898</v>
      </c>
      <c r="G1812" s="359">
        <f>'DRE + DCF'!$W$31</f>
        <v>2791623.3540418856</v>
      </c>
      <c r="H1812" s="359">
        <f>'DRE + DCF'!$W$32</f>
        <v>81081.931703745853</v>
      </c>
      <c r="I1812" s="359">
        <f>-H1812*('DRE + DCF'!$V$33+K1812)/'DRE + DCF'!$V$33</f>
        <v>-90858.801614444121</v>
      </c>
      <c r="J1812" s="359">
        <f>-'DRE + DCF'!$V$56*L1812</f>
        <v>-1188924.4255577971</v>
      </c>
      <c r="K1812" s="360">
        <f>(1+L1812)/(1+Ke!$O$12)-1</f>
        <v>2.0000000000000018E-2</v>
      </c>
      <c r="L1812" s="360">
        <f>'DRE + DCF'!$Y$31</f>
        <v>7.3550000000000004E-2</v>
      </c>
      <c r="M1812" s="361">
        <f>(1+D1812)^((5-Dashboard!$F$9)*3/12)</f>
        <v>1.1849776655301871</v>
      </c>
      <c r="N1812" s="361">
        <f t="shared" ref="N1812:V1812" si="1857">M1812*(1+$D1812)</f>
        <v>1.4859027436915631</v>
      </c>
      <c r="O1812" s="361">
        <f t="shared" si="1857"/>
        <v>1.8632477454520164</v>
      </c>
      <c r="P1812" s="361">
        <f t="shared" si="1857"/>
        <v>2.3364195104095322</v>
      </c>
      <c r="Q1812" s="361">
        <f t="shared" si="1857"/>
        <v>2.9297532450780031</v>
      </c>
      <c r="R1812" s="361">
        <f t="shared" si="1857"/>
        <v>3.6737640816655244</v>
      </c>
      <c r="S1812" s="361">
        <f t="shared" si="1857"/>
        <v>4.6067164702044376</v>
      </c>
      <c r="T1812" s="361">
        <f t="shared" si="1857"/>
        <v>5.7765921178127959</v>
      </c>
      <c r="U1812" s="361">
        <f t="shared" si="1857"/>
        <v>7.2435576861312816</v>
      </c>
      <c r="V1812" s="362">
        <f t="shared" si="1857"/>
        <v>9.083059160524229</v>
      </c>
      <c r="X1812" s="351"/>
    </row>
    <row r="1813" spans="3:24" ht="24.75" customHeight="1" x14ac:dyDescent="0.3">
      <c r="C1813" s="353">
        <f>ABS(E1813-Dashboard!$F$14)</f>
        <v>27.200844949526925</v>
      </c>
      <c r="D1813" s="350">
        <f t="shared" si="1851"/>
        <v>0.25404999999998729</v>
      </c>
      <c r="E1813" s="359" cm="1">
        <f t="array" ref="E1813">1000*SUM('DRE + DCF'!$L$36/M1813,'DRE + DCF'!$N$36:$V$36/N1813:V1813,F1813/V1813)/Dashboard!$F$11</f>
        <v>69.78915505047307</v>
      </c>
      <c r="F1813" s="359">
        <f t="shared" si="1849"/>
        <v>10635409.173720511</v>
      </c>
      <c r="G1813" s="359">
        <f>'DRE + DCF'!$W$31</f>
        <v>2791623.3540418856</v>
      </c>
      <c r="H1813" s="359">
        <f>'DRE + DCF'!$W$32</f>
        <v>81081.931703745853</v>
      </c>
      <c r="I1813" s="359">
        <f>-H1813*('DRE + DCF'!$V$33+K1813)/'DRE + DCF'!$V$33</f>
        <v>-90858.801614444121</v>
      </c>
      <c r="J1813" s="359">
        <f>-'DRE + DCF'!$V$56*L1813</f>
        <v>-1188924.4255577971</v>
      </c>
      <c r="K1813" s="360">
        <f>(1+L1813)/(1+Ke!$O$12)-1</f>
        <v>2.0000000000000018E-2</v>
      </c>
      <c r="L1813" s="360">
        <f>'DRE + DCF'!$Y$31</f>
        <v>7.3550000000000004E-2</v>
      </c>
      <c r="M1813" s="361">
        <f>(1+D1813)^((5-Dashboard!$F$9)*3/12)</f>
        <v>1.1850485395195891</v>
      </c>
      <c r="N1813" s="361">
        <f t="shared" ref="N1813:V1813" si="1858">M1813*(1+$D1813)</f>
        <v>1.4861101209845256</v>
      </c>
      <c r="O1813" s="361">
        <f t="shared" si="1858"/>
        <v>1.8636563972206253</v>
      </c>
      <c r="P1813" s="361">
        <f t="shared" si="1858"/>
        <v>2.3371183049345015</v>
      </c>
      <c r="Q1813" s="361">
        <f t="shared" si="1858"/>
        <v>2.9308632103030816</v>
      </c>
      <c r="R1813" s="361">
        <f t="shared" si="1858"/>
        <v>3.675449008880542</v>
      </c>
      <c r="S1813" s="361">
        <f t="shared" si="1858"/>
        <v>4.6091968295865966</v>
      </c>
      <c r="T1813" s="361">
        <f t="shared" si="1858"/>
        <v>5.7801632841430122</v>
      </c>
      <c r="U1813" s="361">
        <f t="shared" si="1858"/>
        <v>7.2486137664794708</v>
      </c>
      <c r="V1813" s="362">
        <f t="shared" si="1858"/>
        <v>9.090124093853488</v>
      </c>
      <c r="X1813" s="351"/>
    </row>
    <row r="1814" spans="3:24" ht="24.75" customHeight="1" x14ac:dyDescent="0.3">
      <c r="C1814" s="353">
        <f>ABS(E1814-Dashboard!$F$14)</f>
        <v>27.244892254417579</v>
      </c>
      <c r="D1814" s="350">
        <f t="shared" si="1851"/>
        <v>0.25414999999998727</v>
      </c>
      <c r="E1814" s="359" cm="1">
        <f t="array" ref="E1814">1000*SUM('DRE + DCF'!$L$36/M1814,'DRE + DCF'!$N$36:$V$36/N1814:V1814,F1814/V1814)/Dashboard!$F$11</f>
        <v>69.745107745582416</v>
      </c>
      <c r="F1814" s="359">
        <f t="shared" si="1849"/>
        <v>10630465.401505392</v>
      </c>
      <c r="G1814" s="359">
        <f>'DRE + DCF'!$W$31</f>
        <v>2791623.3540418856</v>
      </c>
      <c r="H1814" s="359">
        <f>'DRE + DCF'!$W$32</f>
        <v>81081.931703745853</v>
      </c>
      <c r="I1814" s="359">
        <f>-H1814*('DRE + DCF'!$V$33+K1814)/'DRE + DCF'!$V$33</f>
        <v>-90858.801614444121</v>
      </c>
      <c r="J1814" s="359">
        <f>-'DRE + DCF'!$V$56*L1814</f>
        <v>-1188924.4255577971</v>
      </c>
      <c r="K1814" s="360">
        <f>(1+L1814)/(1+Ke!$O$12)-1</f>
        <v>2.0000000000000018E-2</v>
      </c>
      <c r="L1814" s="360">
        <f>'DRE + DCF'!$Y$31</f>
        <v>7.3550000000000004E-2</v>
      </c>
      <c r="M1814" s="361">
        <f>(1+D1814)^((5-Dashboard!$F$9)*3/12)</f>
        <v>1.1851194120961031</v>
      </c>
      <c r="N1814" s="361">
        <f t="shared" ref="N1814:V1814" si="1859">M1814*(1+$D1814)</f>
        <v>1.4863175106803126</v>
      </c>
      <c r="O1814" s="361">
        <f t="shared" si="1859"/>
        <v>1.8640651060196951</v>
      </c>
      <c r="P1814" s="361">
        <f t="shared" si="1859"/>
        <v>2.3378172527145766</v>
      </c>
      <c r="Q1814" s="361">
        <f t="shared" si="1859"/>
        <v>2.9319735074919566</v>
      </c>
      <c r="R1814" s="361">
        <f t="shared" si="1859"/>
        <v>3.6771345744209998</v>
      </c>
      <c r="S1814" s="361">
        <f t="shared" si="1859"/>
        <v>4.6116783265100496</v>
      </c>
      <c r="T1814" s="361">
        <f t="shared" si="1859"/>
        <v>5.7837363731925198</v>
      </c>
      <c r="U1814" s="361">
        <f t="shared" si="1859"/>
        <v>7.2536729724393245</v>
      </c>
      <c r="V1814" s="362">
        <f t="shared" si="1859"/>
        <v>9.0971939583846861</v>
      </c>
      <c r="X1814" s="351"/>
    </row>
    <row r="1815" spans="3:24" ht="24.75" customHeight="1" x14ac:dyDescent="0.3">
      <c r="C1815" s="353">
        <f>ABS(E1815-Dashboard!$F$14)</f>
        <v>27.288890897306828</v>
      </c>
      <c r="D1815" s="350">
        <f t="shared" si="1851"/>
        <v>0.25424999999998726</v>
      </c>
      <c r="E1815" s="359" cm="1">
        <f t="array" ref="E1815">1000*SUM('DRE + DCF'!$L$36/M1815,'DRE + DCF'!$N$36:$V$36/N1815:V1815,F1815/V1815)/Dashboard!$F$11</f>
        <v>69.701109102693167</v>
      </c>
      <c r="F1815" s="359">
        <f t="shared" si="1849"/>
        <v>10625526.358015092</v>
      </c>
      <c r="G1815" s="359">
        <f>'DRE + DCF'!$W$31</f>
        <v>2791623.3540418856</v>
      </c>
      <c r="H1815" s="359">
        <f>'DRE + DCF'!$W$32</f>
        <v>81081.931703745853</v>
      </c>
      <c r="I1815" s="359">
        <f>-H1815*('DRE + DCF'!$V$33+K1815)/'DRE + DCF'!$V$33</f>
        <v>-90858.801614444121</v>
      </c>
      <c r="J1815" s="359">
        <f>-'DRE + DCF'!$V$56*L1815</f>
        <v>-1188924.4255577971</v>
      </c>
      <c r="K1815" s="360">
        <f>(1+L1815)/(1+Ke!$O$12)-1</f>
        <v>2.0000000000000018E-2</v>
      </c>
      <c r="L1815" s="360">
        <f>'DRE + DCF'!$Y$31</f>
        <v>7.3550000000000004E-2</v>
      </c>
      <c r="M1815" s="361">
        <f>(1+D1815)^((5-Dashboard!$F$9)*3/12)</f>
        <v>1.18519028325987</v>
      </c>
      <c r="N1815" s="361">
        <f t="shared" ref="N1815:V1815" si="1860">M1815*(1+$D1815)</f>
        <v>1.4865249127786768</v>
      </c>
      <c r="O1815" s="361">
        <f t="shared" si="1860"/>
        <v>1.8644738718526364</v>
      </c>
      <c r="P1815" s="361">
        <f t="shared" si="1860"/>
        <v>2.3385163537711451</v>
      </c>
      <c r="Q1815" s="361">
        <f t="shared" si="1860"/>
        <v>2.933084136717429</v>
      </c>
      <c r="R1815" s="361">
        <f t="shared" si="1860"/>
        <v>3.6788207784777978</v>
      </c>
      <c r="S1815" s="361">
        <f t="shared" si="1860"/>
        <v>4.6141609614057311</v>
      </c>
      <c r="T1815" s="361">
        <f t="shared" si="1860"/>
        <v>5.7873113858430791</v>
      </c>
      <c r="U1815" s="361">
        <f t="shared" si="1860"/>
        <v>7.2587353056936079</v>
      </c>
      <c r="V1815" s="362">
        <f t="shared" si="1860"/>
        <v>9.1042687571661141</v>
      </c>
      <c r="X1815" s="351"/>
    </row>
    <row r="1816" spans="3:24" ht="24.75" customHeight="1" x14ac:dyDescent="0.3">
      <c r="C1816" s="353">
        <f>ABS(E1816-Dashboard!$F$14)</f>
        <v>27.33284095333191</v>
      </c>
      <c r="D1816" s="350">
        <f t="shared" si="1851"/>
        <v>0.25434999999998725</v>
      </c>
      <c r="E1816" s="359" cm="1">
        <f t="array" ref="E1816">1000*SUM('DRE + DCF'!$L$36/M1816,'DRE + DCF'!$N$36:$V$36/N1816:V1816,F1816/V1816)/Dashboard!$F$11</f>
        <v>69.657159046668085</v>
      </c>
      <c r="F1816" s="359">
        <f t="shared" si="1849"/>
        <v>10620592.036279231</v>
      </c>
      <c r="G1816" s="359">
        <f>'DRE + DCF'!$W$31</f>
        <v>2791623.3540418856</v>
      </c>
      <c r="H1816" s="359">
        <f>'DRE + DCF'!$W$32</f>
        <v>81081.931703745853</v>
      </c>
      <c r="I1816" s="359">
        <f>-H1816*('DRE + DCF'!$V$33+K1816)/'DRE + DCF'!$V$33</f>
        <v>-90858.801614444121</v>
      </c>
      <c r="J1816" s="359">
        <f>-'DRE + DCF'!$V$56*L1816</f>
        <v>-1188924.4255577971</v>
      </c>
      <c r="K1816" s="360">
        <f>(1+L1816)/(1+Ke!$O$12)-1</f>
        <v>2.0000000000000018E-2</v>
      </c>
      <c r="L1816" s="360">
        <f>'DRE + DCF'!$Y$31</f>
        <v>7.3550000000000004E-2</v>
      </c>
      <c r="M1816" s="361">
        <f>(1+D1816)^((5-Dashboard!$F$9)*3/12)</f>
        <v>1.1852611530110306</v>
      </c>
      <c r="N1816" s="361">
        <f t="shared" ref="N1816:V1816" si="1861">M1816*(1+$D1816)</f>
        <v>1.4867323272793711</v>
      </c>
      <c r="O1816" s="361">
        <f t="shared" si="1861"/>
        <v>1.8648826947228601</v>
      </c>
      <c r="P1816" s="361">
        <f t="shared" si="1861"/>
        <v>2.3392156081255955</v>
      </c>
      <c r="Q1816" s="361">
        <f t="shared" si="1861"/>
        <v>2.9341950980523106</v>
      </c>
      <c r="R1816" s="361">
        <f t="shared" si="1861"/>
        <v>3.6805076212418784</v>
      </c>
      <c r="S1816" s="361">
        <f t="shared" si="1861"/>
        <v>4.6166447347047033</v>
      </c>
      <c r="T1816" s="361">
        <f t="shared" si="1861"/>
        <v>5.7908883229767856</v>
      </c>
      <c r="U1816" s="361">
        <f t="shared" si="1861"/>
        <v>7.2638007679258569</v>
      </c>
      <c r="V1816" s="362">
        <f t="shared" si="1861"/>
        <v>9.1113484932477053</v>
      </c>
      <c r="X1816" s="351"/>
    </row>
    <row r="1817" spans="3:24" ht="24.75" customHeight="1" x14ac:dyDescent="0.3">
      <c r="C1817" s="353">
        <f>ABS(E1817-Dashboard!$F$14)</f>
        <v>27.376742497479412</v>
      </c>
      <c r="D1817" s="350">
        <f t="shared" si="1851"/>
        <v>0.25444999999998724</v>
      </c>
      <c r="E1817" s="359" cm="1">
        <f t="array" ref="E1817">1000*SUM('DRE + DCF'!$L$36/M1817,'DRE + DCF'!$N$36:$V$36/N1817:V1817,F1817/V1817)/Dashboard!$F$11</f>
        <v>69.613257502520582</v>
      </c>
      <c r="F1817" s="359">
        <f t="shared" si="1849"/>
        <v>10615662.429341465</v>
      </c>
      <c r="G1817" s="359">
        <f>'DRE + DCF'!$W$31</f>
        <v>2791623.3540418856</v>
      </c>
      <c r="H1817" s="359">
        <f>'DRE + DCF'!$W$32</f>
        <v>81081.931703745853</v>
      </c>
      <c r="I1817" s="359">
        <f>-H1817*('DRE + DCF'!$V$33+K1817)/'DRE + DCF'!$V$33</f>
        <v>-90858.801614444121</v>
      </c>
      <c r="J1817" s="359">
        <f>-'DRE + DCF'!$V$56*L1817</f>
        <v>-1188924.4255577971</v>
      </c>
      <c r="K1817" s="360">
        <f>(1+L1817)/(1+Ke!$O$12)-1</f>
        <v>2.0000000000000018E-2</v>
      </c>
      <c r="L1817" s="360">
        <f>'DRE + DCF'!$Y$31</f>
        <v>7.3550000000000004E-2</v>
      </c>
      <c r="M1817" s="361">
        <f>(1+D1817)^((5-Dashboard!$F$9)*3/12)</f>
        <v>1.1853320213497256</v>
      </c>
      <c r="N1817" s="361">
        <f t="shared" ref="N1817:V1817" si="1862">M1817*(1+$D1817)</f>
        <v>1.4869397541821481</v>
      </c>
      <c r="O1817" s="361">
        <f t="shared" si="1862"/>
        <v>1.8652915746337766</v>
      </c>
      <c r="P1817" s="361">
        <f t="shared" si="1862"/>
        <v>2.3399150157993169</v>
      </c>
      <c r="Q1817" s="361">
        <f t="shared" si="1862"/>
        <v>2.9353063915694233</v>
      </c>
      <c r="R1817" s="361">
        <f t="shared" si="1862"/>
        <v>3.6821951029042252</v>
      </c>
      <c r="S1817" s="361">
        <f t="shared" si="1862"/>
        <v>4.6191296468381582</v>
      </c>
      <c r="T1817" s="361">
        <f t="shared" si="1862"/>
        <v>5.7944671854760683</v>
      </c>
      <c r="U1817" s="361">
        <f t="shared" si="1862"/>
        <v>7.2688693608203794</v>
      </c>
      <c r="V1817" s="362">
        <f t="shared" si="1862"/>
        <v>9.1184331696810315</v>
      </c>
      <c r="X1817" s="351"/>
    </row>
    <row r="1818" spans="3:24" ht="24.75" customHeight="1" x14ac:dyDescent="0.3">
      <c r="C1818" s="353">
        <f>ABS(E1818-Dashboard!$F$14)</f>
        <v>27.420595604585756</v>
      </c>
      <c r="D1818" s="350">
        <f t="shared" si="1851"/>
        <v>0.25454999999998723</v>
      </c>
      <c r="E1818" s="359" cm="1">
        <f t="array" ref="E1818">1000*SUM('DRE + DCF'!$L$36/M1818,'DRE + DCF'!$N$36:$V$36/N1818:V1818,F1818/V1818)/Dashboard!$F$11</f>
        <v>69.569404395414239</v>
      </c>
      <c r="F1818" s="359">
        <f t="shared" si="1849"/>
        <v>10610737.530259453</v>
      </c>
      <c r="G1818" s="359">
        <f>'DRE + DCF'!$W$31</f>
        <v>2791623.3540418856</v>
      </c>
      <c r="H1818" s="359">
        <f>'DRE + DCF'!$W$32</f>
        <v>81081.931703745853</v>
      </c>
      <c r="I1818" s="359">
        <f>-H1818*('DRE + DCF'!$V$33+K1818)/'DRE + DCF'!$V$33</f>
        <v>-90858.801614444121</v>
      </c>
      <c r="J1818" s="359">
        <f>-'DRE + DCF'!$V$56*L1818</f>
        <v>-1188924.4255577971</v>
      </c>
      <c r="K1818" s="360">
        <f>(1+L1818)/(1+Ke!$O$12)-1</f>
        <v>2.0000000000000018E-2</v>
      </c>
      <c r="L1818" s="360">
        <f>'DRE + DCF'!$Y$31</f>
        <v>7.3550000000000004E-2</v>
      </c>
      <c r="M1818" s="361">
        <f>(1+D1818)^((5-Dashboard!$F$9)*3/12)</f>
        <v>1.1854028882760961</v>
      </c>
      <c r="N1818" s="361">
        <f t="shared" ref="N1818:V1818" si="1863">M1818*(1+$D1818)</f>
        <v>1.4871471934867611</v>
      </c>
      <c r="O1818" s="361">
        <f t="shared" si="1863"/>
        <v>1.865700511588797</v>
      </c>
      <c r="P1818" s="361">
        <f t="shared" si="1863"/>
        <v>2.3406145768137012</v>
      </c>
      <c r="Q1818" s="361">
        <f t="shared" si="1863"/>
        <v>2.936418017341599</v>
      </c>
      <c r="R1818" s="361">
        <f t="shared" si="1863"/>
        <v>3.6838832236558652</v>
      </c>
      <c r="S1818" s="361">
        <f t="shared" si="1863"/>
        <v>4.6216156982374184</v>
      </c>
      <c r="T1818" s="361">
        <f t="shared" si="1863"/>
        <v>5.7980479742236941</v>
      </c>
      <c r="U1818" s="361">
        <f t="shared" si="1863"/>
        <v>7.2739410860622611</v>
      </c>
      <c r="V1818" s="362">
        <f t="shared" si="1863"/>
        <v>9.1255227895193158</v>
      </c>
      <c r="X1818" s="351"/>
    </row>
    <row r="1819" spans="3:24" ht="24.75" customHeight="1" x14ac:dyDescent="0.3">
      <c r="C1819" s="353">
        <f>ABS(E1819-Dashboard!$F$14)</f>
        <v>27.464400349337467</v>
      </c>
      <c r="D1819" s="350">
        <f t="shared" si="1851"/>
        <v>0.25464999999998722</v>
      </c>
      <c r="E1819" s="359" cm="1">
        <f t="array" ref="E1819">1000*SUM('DRE + DCF'!$L$36/M1819,'DRE + DCF'!$N$36:$V$36/N1819:V1819,F1819/V1819)/Dashboard!$F$11</f>
        <v>69.525599650662528</v>
      </c>
      <c r="F1819" s="359">
        <f t="shared" si="1849"/>
        <v>10605817.332104821</v>
      </c>
      <c r="G1819" s="359">
        <f>'DRE + DCF'!$W$31</f>
        <v>2791623.3540418856</v>
      </c>
      <c r="H1819" s="359">
        <f>'DRE + DCF'!$W$32</f>
        <v>81081.931703745853</v>
      </c>
      <c r="I1819" s="359">
        <f>-H1819*('DRE + DCF'!$V$33+K1819)/'DRE + DCF'!$V$33</f>
        <v>-90858.801614444121</v>
      </c>
      <c r="J1819" s="359">
        <f>-'DRE + DCF'!$V$56*L1819</f>
        <v>-1188924.4255577971</v>
      </c>
      <c r="K1819" s="360">
        <f>(1+L1819)/(1+Ke!$O$12)-1</f>
        <v>2.0000000000000018E-2</v>
      </c>
      <c r="L1819" s="360">
        <f>'DRE + DCF'!$Y$31</f>
        <v>7.3550000000000004E-2</v>
      </c>
      <c r="M1819" s="361">
        <f>(1+D1819)^((5-Dashboard!$F$9)*3/12)</f>
        <v>1.1854737537902822</v>
      </c>
      <c r="N1819" s="361">
        <f t="shared" ref="N1819:V1819" si="1864">M1819*(1+$D1819)</f>
        <v>1.4873546451929622</v>
      </c>
      <c r="O1819" s="361">
        <f t="shared" si="1864"/>
        <v>1.866109505591331</v>
      </c>
      <c r="P1819" s="361">
        <f t="shared" si="1864"/>
        <v>2.3413142911901397</v>
      </c>
      <c r="Q1819" s="361">
        <f t="shared" si="1864"/>
        <v>2.9375299754416786</v>
      </c>
      <c r="R1819" s="361">
        <f t="shared" si="1864"/>
        <v>3.6855719836878644</v>
      </c>
      <c r="S1819" s="361">
        <f t="shared" si="1864"/>
        <v>4.6241028893339315</v>
      </c>
      <c r="T1819" s="361">
        <f t="shared" si="1864"/>
        <v>5.8016306901027574</v>
      </c>
      <c r="U1819" s="361">
        <f t="shared" si="1864"/>
        <v>7.27901594533735</v>
      </c>
      <c r="V1819" s="362">
        <f t="shared" si="1864"/>
        <v>9.1326173558174126</v>
      </c>
      <c r="X1819" s="351"/>
    </row>
    <row r="1820" spans="3:24" ht="24.75" customHeight="1" x14ac:dyDescent="0.3">
      <c r="C1820" s="353">
        <f>ABS(E1820-Dashboard!$F$14)</f>
        <v>27.508156806271643</v>
      </c>
      <c r="D1820" s="350">
        <f t="shared" si="1851"/>
        <v>0.25474999999998721</v>
      </c>
      <c r="E1820" s="359" cm="1">
        <f t="array" ref="E1820">1000*SUM('DRE + DCF'!$L$36/M1820,'DRE + DCF'!$N$36:$V$36/N1820:V1820,F1820/V1820)/Dashboard!$F$11</f>
        <v>69.481843193728352</v>
      </c>
      <c r="F1820" s="359">
        <f t="shared" si="1849"/>
        <v>10600901.827963112</v>
      </c>
      <c r="G1820" s="359">
        <f>'DRE + DCF'!$W$31</f>
        <v>2791623.3540418856</v>
      </c>
      <c r="H1820" s="359">
        <f>'DRE + DCF'!$W$32</f>
        <v>81081.931703745853</v>
      </c>
      <c r="I1820" s="359">
        <f>-H1820*('DRE + DCF'!$V$33+K1820)/'DRE + DCF'!$V$33</f>
        <v>-90858.801614444121</v>
      </c>
      <c r="J1820" s="359">
        <f>-'DRE + DCF'!$V$56*L1820</f>
        <v>-1188924.4255577971</v>
      </c>
      <c r="K1820" s="360">
        <f>(1+L1820)/(1+Ke!$O$12)-1</f>
        <v>2.0000000000000018E-2</v>
      </c>
      <c r="L1820" s="360">
        <f>'DRE + DCF'!$Y$31</f>
        <v>7.3550000000000004E-2</v>
      </c>
      <c r="M1820" s="361">
        <f>(1+D1820)^((5-Dashboard!$F$9)*3/12)</f>
        <v>1.1855446178924252</v>
      </c>
      <c r="N1820" s="361">
        <f t="shared" ref="N1820:V1820" si="1865">M1820*(1+$D1820)</f>
        <v>1.4875621093005051</v>
      </c>
      <c r="O1820" s="361">
        <f t="shared" si="1865"/>
        <v>1.8665185566447897</v>
      </c>
      <c r="P1820" s="361">
        <f t="shared" si="1865"/>
        <v>2.3420141589500258</v>
      </c>
      <c r="Q1820" s="361">
        <f t="shared" si="1865"/>
        <v>2.9386422659425149</v>
      </c>
      <c r="R1820" s="361">
        <f t="shared" si="1865"/>
        <v>3.6872613831913328</v>
      </c>
      <c r="S1820" s="361">
        <f t="shared" si="1865"/>
        <v>4.6265912205592779</v>
      </c>
      <c r="T1820" s="361">
        <f t="shared" si="1865"/>
        <v>5.8052153339966948</v>
      </c>
      <c r="U1820" s="361">
        <f t="shared" si="1865"/>
        <v>7.2840939403322782</v>
      </c>
      <c r="V1820" s="362">
        <f t="shared" si="1865"/>
        <v>9.1397168716318333</v>
      </c>
      <c r="X1820" s="351"/>
    </row>
    <row r="1821" spans="3:24" ht="24.75" customHeight="1" x14ac:dyDescent="0.3">
      <c r="C1821" s="353">
        <f>ABS(E1821-Dashboard!$F$14)</f>
        <v>27.551865049776254</v>
      </c>
      <c r="D1821" s="350">
        <f t="shared" si="1851"/>
        <v>0.2548499999999872</v>
      </c>
      <c r="E1821" s="359" cm="1">
        <f t="array" ref="E1821">1000*SUM('DRE + DCF'!$L$36/M1821,'DRE + DCF'!$N$36:$V$36/N1821:V1821,F1821/V1821)/Dashboard!$F$11</f>
        <v>69.438134950223741</v>
      </c>
      <c r="F1821" s="359">
        <f t="shared" si="1849"/>
        <v>10595991.010933775</v>
      </c>
      <c r="G1821" s="359">
        <f>'DRE + DCF'!$W$31</f>
        <v>2791623.3540418856</v>
      </c>
      <c r="H1821" s="359">
        <f>'DRE + DCF'!$W$32</f>
        <v>81081.931703745853</v>
      </c>
      <c r="I1821" s="359">
        <f>-H1821*('DRE + DCF'!$V$33+K1821)/'DRE + DCF'!$V$33</f>
        <v>-90858.801614444121</v>
      </c>
      <c r="J1821" s="359">
        <f>-'DRE + DCF'!$V$56*L1821</f>
        <v>-1188924.4255577971</v>
      </c>
      <c r="K1821" s="360">
        <f>(1+L1821)/(1+Ke!$O$12)-1</f>
        <v>2.0000000000000018E-2</v>
      </c>
      <c r="L1821" s="360">
        <f>'DRE + DCF'!$Y$31</f>
        <v>7.3550000000000004E-2</v>
      </c>
      <c r="M1821" s="361">
        <f>(1+D1821)^((5-Dashboard!$F$9)*3/12)</f>
        <v>1.1856154805826653</v>
      </c>
      <c r="N1821" s="361">
        <f t="shared" ref="N1821:V1821" si="1866">M1821*(1+$D1821)</f>
        <v>1.4877695858091422</v>
      </c>
      <c r="O1821" s="361">
        <f t="shared" si="1866"/>
        <v>1.866927664752583</v>
      </c>
      <c r="P1821" s="361">
        <f t="shared" si="1866"/>
        <v>2.3427141801147546</v>
      </c>
      <c r="Q1821" s="361">
        <f t="shared" si="1866"/>
        <v>2.9397548889169696</v>
      </c>
      <c r="R1821" s="361">
        <f t="shared" si="1866"/>
        <v>3.6889514223574214</v>
      </c>
      <c r="S1821" s="361">
        <f t="shared" si="1866"/>
        <v>4.6290806923451626</v>
      </c>
      <c r="T1821" s="361">
        <f t="shared" si="1866"/>
        <v>5.8088019067892676</v>
      </c>
      <c r="U1821" s="361">
        <f t="shared" si="1866"/>
        <v>7.2891750727344373</v>
      </c>
      <c r="V1821" s="362">
        <f t="shared" si="1866"/>
        <v>9.1468213400207148</v>
      </c>
      <c r="X1821" s="351"/>
    </row>
    <row r="1822" spans="3:24" ht="24.75" customHeight="1" x14ac:dyDescent="0.3">
      <c r="C1822" s="353">
        <f>ABS(E1822-Dashboard!$F$14)</f>
        <v>27.595525154090581</v>
      </c>
      <c r="D1822" s="350">
        <f t="shared" si="1851"/>
        <v>0.25494999999998719</v>
      </c>
      <c r="E1822" s="359" cm="1">
        <f t="array" ref="E1822">1000*SUM('DRE + DCF'!$L$36/M1822,'DRE + DCF'!$N$36:$V$36/N1822:V1822,F1822/V1822)/Dashboard!$F$11</f>
        <v>69.394474845909414</v>
      </c>
      <c r="F1822" s="359">
        <f t="shared" si="1849"/>
        <v>10591084.874130111</v>
      </c>
      <c r="G1822" s="359">
        <f>'DRE + DCF'!$W$31</f>
        <v>2791623.3540418856</v>
      </c>
      <c r="H1822" s="359">
        <f>'DRE + DCF'!$W$32</f>
        <v>81081.931703745853</v>
      </c>
      <c r="I1822" s="359">
        <f>-H1822*('DRE + DCF'!$V$33+K1822)/'DRE + DCF'!$V$33</f>
        <v>-90858.801614444121</v>
      </c>
      <c r="J1822" s="359">
        <f>-'DRE + DCF'!$V$56*L1822</f>
        <v>-1188924.4255577971</v>
      </c>
      <c r="K1822" s="360">
        <f>(1+L1822)/(1+Ke!$O$12)-1</f>
        <v>2.0000000000000018E-2</v>
      </c>
      <c r="L1822" s="360">
        <f>'DRE + DCF'!$Y$31</f>
        <v>7.3550000000000004E-2</v>
      </c>
      <c r="M1822" s="361">
        <f>(1+D1822)^((5-Dashboard!$F$9)*3/12)</f>
        <v>1.1856863418611434</v>
      </c>
      <c r="N1822" s="361">
        <f t="shared" ref="N1822:V1822" si="1867">M1822*(1+$D1822)</f>
        <v>1.4879770747186267</v>
      </c>
      <c r="O1822" s="361">
        <f t="shared" si="1867"/>
        <v>1.8673368299181214</v>
      </c>
      <c r="P1822" s="361">
        <f t="shared" si="1867"/>
        <v>2.3434143547057227</v>
      </c>
      <c r="Q1822" s="361">
        <f t="shared" si="1867"/>
        <v>2.9408678444379164</v>
      </c>
      <c r="R1822" s="361">
        <f t="shared" si="1867"/>
        <v>3.6906421013773252</v>
      </c>
      <c r="S1822" s="361">
        <f t="shared" si="1867"/>
        <v>4.6315713051234271</v>
      </c>
      <c r="T1822" s="361">
        <f t="shared" si="1867"/>
        <v>5.8123904093645855</v>
      </c>
      <c r="U1822" s="361">
        <f t="shared" si="1867"/>
        <v>7.2942593442320121</v>
      </c>
      <c r="V1822" s="362">
        <f t="shared" si="1867"/>
        <v>9.153930764043869</v>
      </c>
      <c r="X1822" s="351"/>
    </row>
    <row r="1823" spans="3:24" ht="24.75" customHeight="1" x14ac:dyDescent="0.3">
      <c r="C1823" s="353">
        <f>ABS(E1823-Dashboard!$F$14)</f>
        <v>27.639137193305515</v>
      </c>
      <c r="D1823" s="350">
        <f t="shared" si="1851"/>
        <v>0.25504999999998718</v>
      </c>
      <c r="E1823" s="359" cm="1">
        <f t="array" ref="E1823">1000*SUM('DRE + DCF'!$L$36/M1823,'DRE + DCF'!$N$36:$V$36/N1823:V1823,F1823/V1823)/Dashboard!$F$11</f>
        <v>69.350862806694479</v>
      </c>
      <c r="F1823" s="359">
        <f t="shared" si="1849"/>
        <v>10586183.41067924</v>
      </c>
      <c r="G1823" s="359">
        <f>'DRE + DCF'!$W$31</f>
        <v>2791623.3540418856</v>
      </c>
      <c r="H1823" s="359">
        <f>'DRE + DCF'!$W$32</f>
        <v>81081.931703745853</v>
      </c>
      <c r="I1823" s="359">
        <f>-H1823*('DRE + DCF'!$V$33+K1823)/'DRE + DCF'!$V$33</f>
        <v>-90858.801614444121</v>
      </c>
      <c r="J1823" s="359">
        <f>-'DRE + DCF'!$V$56*L1823</f>
        <v>-1188924.4255577971</v>
      </c>
      <c r="K1823" s="360">
        <f>(1+L1823)/(1+Ke!$O$12)-1</f>
        <v>2.0000000000000018E-2</v>
      </c>
      <c r="L1823" s="360">
        <f>'DRE + DCF'!$Y$31</f>
        <v>7.3550000000000004E-2</v>
      </c>
      <c r="M1823" s="361">
        <f>(1+D1823)^((5-Dashboard!$F$9)*3/12)</f>
        <v>1.1857572017280003</v>
      </c>
      <c r="N1823" s="361">
        <f t="shared" ref="N1823:V1823" si="1868">M1823*(1+$D1823)</f>
        <v>1.4881845760287113</v>
      </c>
      <c r="O1823" s="361">
        <f t="shared" si="1868"/>
        <v>1.867746052144815</v>
      </c>
      <c r="P1823" s="361">
        <f t="shared" si="1868"/>
        <v>2.3441146827443262</v>
      </c>
      <c r="Q1823" s="361">
        <f t="shared" si="1868"/>
        <v>2.9419811325782366</v>
      </c>
      <c r="R1823" s="361">
        <f t="shared" si="1868"/>
        <v>3.692333420442278</v>
      </c>
      <c r="S1823" s="361">
        <f t="shared" si="1868"/>
        <v>4.6340630593260332</v>
      </c>
      <c r="T1823" s="361">
        <f t="shared" si="1868"/>
        <v>5.815980842607078</v>
      </c>
      <c r="U1823" s="361">
        <f t="shared" si="1868"/>
        <v>7.2993467565139385</v>
      </c>
      <c r="V1823" s="362">
        <f t="shared" si="1868"/>
        <v>9.1610451467627243</v>
      </c>
      <c r="X1823" s="351"/>
    </row>
    <row r="1824" spans="3:24" ht="24.75" customHeight="1" x14ac:dyDescent="0.3">
      <c r="C1824" s="353">
        <f>ABS(E1824-Dashboard!$F$14)</f>
        <v>27.682701241363958</v>
      </c>
      <c r="D1824" s="350">
        <f t="shared" si="1851"/>
        <v>0.25514999999998716</v>
      </c>
      <c r="E1824" s="359" cm="1">
        <f t="array" ref="E1824">1000*SUM('DRE + DCF'!$L$36/M1824,'DRE + DCF'!$N$36:$V$36/N1824:V1824,F1824/V1824)/Dashboard!$F$11</f>
        <v>69.307298758636037</v>
      </c>
      <c r="F1824" s="359">
        <f t="shared" si="1849"/>
        <v>10581286.613722075</v>
      </c>
      <c r="G1824" s="359">
        <f>'DRE + DCF'!$W$31</f>
        <v>2791623.3540418856</v>
      </c>
      <c r="H1824" s="359">
        <f>'DRE + DCF'!$W$32</f>
        <v>81081.931703745853</v>
      </c>
      <c r="I1824" s="359">
        <f>-H1824*('DRE + DCF'!$V$33+K1824)/'DRE + DCF'!$V$33</f>
        <v>-90858.801614444121</v>
      </c>
      <c r="J1824" s="359">
        <f>-'DRE + DCF'!$V$56*L1824</f>
        <v>-1188924.4255577971</v>
      </c>
      <c r="K1824" s="360">
        <f>(1+L1824)/(1+Ke!$O$12)-1</f>
        <v>2.0000000000000018E-2</v>
      </c>
      <c r="L1824" s="360">
        <f>'DRE + DCF'!$Y$31</f>
        <v>7.3550000000000004E-2</v>
      </c>
      <c r="M1824" s="361">
        <f>(1+D1824)^((5-Dashboard!$F$9)*3/12)</f>
        <v>1.1858280601833759</v>
      </c>
      <c r="N1824" s="361">
        <f t="shared" ref="N1824:V1824" si="1869">M1824*(1+$D1824)</f>
        <v>1.4883920897391489</v>
      </c>
      <c r="O1824" s="361">
        <f t="shared" si="1869"/>
        <v>1.8681553314360737</v>
      </c>
      <c r="P1824" s="361">
        <f t="shared" si="1869"/>
        <v>2.3448151642519637</v>
      </c>
      <c r="Q1824" s="361">
        <f t="shared" si="1869"/>
        <v>2.9430947534108221</v>
      </c>
      <c r="R1824" s="361">
        <f t="shared" si="1869"/>
        <v>3.6940253797435552</v>
      </c>
      <c r="S1824" s="361">
        <f t="shared" si="1869"/>
        <v>4.6365559553850755</v>
      </c>
      <c r="T1824" s="361">
        <f t="shared" si="1869"/>
        <v>5.8195732074015174</v>
      </c>
      <c r="U1824" s="361">
        <f t="shared" si="1869"/>
        <v>7.3044373112699397</v>
      </c>
      <c r="V1824" s="362">
        <f t="shared" si="1869"/>
        <v>9.1681644912403701</v>
      </c>
      <c r="X1824" s="351"/>
    </row>
    <row r="1825" spans="3:24" ht="24.75" customHeight="1" x14ac:dyDescent="0.3">
      <c r="C1825" s="353">
        <f>ABS(E1825-Dashboard!$F$14)</f>
        <v>27.726217372061299</v>
      </c>
      <c r="D1825" s="350">
        <f t="shared" si="1851"/>
        <v>0.25524999999998715</v>
      </c>
      <c r="E1825" s="359" cm="1">
        <f t="array" ref="E1825">1000*SUM('DRE + DCF'!$L$36/M1825,'DRE + DCF'!$N$36:$V$36/N1825:V1825,F1825/V1825)/Dashboard!$F$11</f>
        <v>69.263782627938696</v>
      </c>
      <c r="F1825" s="359">
        <f t="shared" si="1849"/>
        <v>10576394.476413269</v>
      </c>
      <c r="G1825" s="359">
        <f>'DRE + DCF'!$W$31</f>
        <v>2791623.3540418856</v>
      </c>
      <c r="H1825" s="359">
        <f>'DRE + DCF'!$W$32</f>
        <v>81081.931703745853</v>
      </c>
      <c r="I1825" s="359">
        <f>-H1825*('DRE + DCF'!$V$33+K1825)/'DRE + DCF'!$V$33</f>
        <v>-90858.801614444121</v>
      </c>
      <c r="J1825" s="359">
        <f>-'DRE + DCF'!$V$56*L1825</f>
        <v>-1188924.4255577971</v>
      </c>
      <c r="K1825" s="360">
        <f>(1+L1825)/(1+Ke!$O$12)-1</f>
        <v>2.0000000000000018E-2</v>
      </c>
      <c r="L1825" s="360">
        <f>'DRE + DCF'!$Y$31</f>
        <v>7.3550000000000004E-2</v>
      </c>
      <c r="M1825" s="361">
        <f>(1+D1825)^((5-Dashboard!$F$9)*3/12)</f>
        <v>1.1858989172274117</v>
      </c>
      <c r="N1825" s="361">
        <f t="shared" ref="N1825:V1825" si="1870">M1825*(1+$D1825)</f>
        <v>1.4885996158496932</v>
      </c>
      <c r="O1825" s="361">
        <f t="shared" si="1870"/>
        <v>1.8685646677953083</v>
      </c>
      <c r="P1825" s="361">
        <f t="shared" si="1870"/>
        <v>2.3455157992500366</v>
      </c>
      <c r="Q1825" s="361">
        <f t="shared" si="1870"/>
        <v>2.9442087070085781</v>
      </c>
      <c r="R1825" s="361">
        <f t="shared" si="1870"/>
        <v>3.6957179794724797</v>
      </c>
      <c r="S1825" s="361">
        <f t="shared" si="1870"/>
        <v>4.6390499937327823</v>
      </c>
      <c r="T1825" s="361">
        <f t="shared" si="1870"/>
        <v>5.8231675046330151</v>
      </c>
      <c r="U1825" s="361">
        <f t="shared" si="1870"/>
        <v>7.3095310101905175</v>
      </c>
      <c r="V1825" s="362">
        <f t="shared" si="1870"/>
        <v>9.1752888005415532</v>
      </c>
      <c r="X1825" s="351"/>
    </row>
    <row r="1826" spans="3:24" ht="24.75" customHeight="1" x14ac:dyDescent="0.3">
      <c r="C1826" s="353">
        <f>ABS(E1826-Dashboard!$F$14)</f>
        <v>27.769685659045493</v>
      </c>
      <c r="D1826" s="350">
        <f t="shared" si="1851"/>
        <v>0.25534999999998714</v>
      </c>
      <c r="E1826" s="359" cm="1">
        <f t="array" ref="E1826">1000*SUM('DRE + DCF'!$L$36/M1826,'DRE + DCF'!$N$36:$V$36/N1826:V1826,F1826/V1826)/Dashboard!$F$11</f>
        <v>69.220314340954502</v>
      </c>
      <c r="F1826" s="359">
        <f t="shared" si="1849"/>
        <v>10571506.991921201</v>
      </c>
      <c r="G1826" s="359">
        <f>'DRE + DCF'!$W$31</f>
        <v>2791623.3540418856</v>
      </c>
      <c r="H1826" s="359">
        <f>'DRE + DCF'!$W$32</f>
        <v>81081.931703745853</v>
      </c>
      <c r="I1826" s="359">
        <f>-H1826*('DRE + DCF'!$V$33+K1826)/'DRE + DCF'!$V$33</f>
        <v>-90858.801614444121</v>
      </c>
      <c r="J1826" s="359">
        <f>-'DRE + DCF'!$V$56*L1826</f>
        <v>-1188924.4255577971</v>
      </c>
      <c r="K1826" s="360">
        <f>(1+L1826)/(1+Ke!$O$12)-1</f>
        <v>2.0000000000000018E-2</v>
      </c>
      <c r="L1826" s="360">
        <f>'DRE + DCF'!$Y$31</f>
        <v>7.3550000000000004E-2</v>
      </c>
      <c r="M1826" s="361">
        <f>(1+D1826)^((5-Dashboard!$F$9)*3/12)</f>
        <v>1.1859697728602474</v>
      </c>
      <c r="N1826" s="361">
        <f t="shared" ref="N1826:V1826" si="1871">M1826*(1+$D1826)</f>
        <v>1.4888071543600963</v>
      </c>
      <c r="O1826" s="361">
        <f t="shared" si="1871"/>
        <v>1.8689740612259276</v>
      </c>
      <c r="P1826" s="361">
        <f t="shared" si="1871"/>
        <v>2.3462165877599439</v>
      </c>
      <c r="Q1826" s="361">
        <f t="shared" si="1871"/>
        <v>2.9453229934444152</v>
      </c>
      <c r="R1826" s="361">
        <f t="shared" si="1871"/>
        <v>3.6974112198204088</v>
      </c>
      <c r="S1826" s="361">
        <f t="shared" si="1871"/>
        <v>4.641545174801502</v>
      </c>
      <c r="T1826" s="361">
        <f t="shared" si="1871"/>
        <v>5.8267637351870052</v>
      </c>
      <c r="U1826" s="361">
        <f t="shared" si="1871"/>
        <v>7.3146278549669317</v>
      </c>
      <c r="V1826" s="362">
        <f t="shared" si="1871"/>
        <v>9.1824180777326436</v>
      </c>
      <c r="X1826" s="351"/>
    </row>
    <row r="1827" spans="3:24" ht="24.75" customHeight="1" x14ac:dyDescent="0.3">
      <c r="C1827" s="353">
        <f>ABS(E1827-Dashboard!$F$14)</f>
        <v>27.813106175817794</v>
      </c>
      <c r="D1827" s="350">
        <f t="shared" si="1851"/>
        <v>0.25544999999998713</v>
      </c>
      <c r="E1827" s="359" cm="1">
        <f t="array" ref="E1827">1000*SUM('DRE + DCF'!$L$36/M1827,'DRE + DCF'!$N$36:$V$36/N1827:V1827,F1827/V1827)/Dashboard!$F$11</f>
        <v>69.176893824182201</v>
      </c>
      <c r="F1827" s="359">
        <f t="shared" si="1849"/>
        <v>10566624.153427929</v>
      </c>
      <c r="G1827" s="359">
        <f>'DRE + DCF'!$W$31</f>
        <v>2791623.3540418856</v>
      </c>
      <c r="H1827" s="359">
        <f>'DRE + DCF'!$W$32</f>
        <v>81081.931703745853</v>
      </c>
      <c r="I1827" s="359">
        <f>-H1827*('DRE + DCF'!$V$33+K1827)/'DRE + DCF'!$V$33</f>
        <v>-90858.801614444121</v>
      </c>
      <c r="J1827" s="359">
        <f>-'DRE + DCF'!$V$56*L1827</f>
        <v>-1188924.4255577971</v>
      </c>
      <c r="K1827" s="360">
        <f>(1+L1827)/(1+Ke!$O$12)-1</f>
        <v>2.0000000000000018E-2</v>
      </c>
      <c r="L1827" s="360">
        <f>'DRE + DCF'!$Y$31</f>
        <v>7.3550000000000004E-2</v>
      </c>
      <c r="M1827" s="361">
        <f>(1+D1827)^((5-Dashboard!$F$9)*3/12)</f>
        <v>1.1860406270820241</v>
      </c>
      <c r="N1827" s="361">
        <f t="shared" ref="N1827:V1827" si="1872">M1827*(1+$D1827)</f>
        <v>1.4890147052701117</v>
      </c>
      <c r="O1827" s="361">
        <f t="shared" si="1872"/>
        <v>1.8693835117313424</v>
      </c>
      <c r="P1827" s="361">
        <f t="shared" si="1872"/>
        <v>2.3469175298030898</v>
      </c>
      <c r="Q1827" s="361">
        <f t="shared" si="1872"/>
        <v>2.9464376127912586</v>
      </c>
      <c r="R1827" s="361">
        <f t="shared" si="1872"/>
        <v>3.6991051009787475</v>
      </c>
      <c r="S1827" s="361">
        <f t="shared" si="1872"/>
        <v>4.6440414990237207</v>
      </c>
      <c r="T1827" s="361">
        <f t="shared" si="1872"/>
        <v>5.8303618999492697</v>
      </c>
      <c r="U1827" s="361">
        <f t="shared" si="1872"/>
        <v>7.3197278472912348</v>
      </c>
      <c r="V1827" s="362">
        <f t="shared" si="1872"/>
        <v>9.1895523258816869</v>
      </c>
      <c r="X1827" s="351"/>
    </row>
    <row r="1828" spans="3:24" ht="24.75" customHeight="1" x14ac:dyDescent="0.3">
      <c r="C1828" s="353">
        <f>ABS(E1828-Dashboard!$F$14)</f>
        <v>27.856478995732886</v>
      </c>
      <c r="D1828" s="350">
        <f t="shared" si="1851"/>
        <v>0.25554999999998712</v>
      </c>
      <c r="E1828" s="359" cm="1">
        <f t="array" ref="E1828">1000*SUM('DRE + DCF'!$L$36/M1828,'DRE + DCF'!$N$36:$V$36/N1828:V1828,F1828/V1828)/Dashboard!$F$11</f>
        <v>69.133521004267109</v>
      </c>
      <c r="F1828" s="359">
        <f t="shared" si="1849"/>
        <v>10561745.954129152</v>
      </c>
      <c r="G1828" s="359">
        <f>'DRE + DCF'!$W$31</f>
        <v>2791623.3540418856</v>
      </c>
      <c r="H1828" s="359">
        <f>'DRE + DCF'!$W$32</f>
        <v>81081.931703745853</v>
      </c>
      <c r="I1828" s="359">
        <f>-H1828*('DRE + DCF'!$V$33+K1828)/'DRE + DCF'!$V$33</f>
        <v>-90858.801614444121</v>
      </c>
      <c r="J1828" s="359">
        <f>-'DRE + DCF'!$V$56*L1828</f>
        <v>-1188924.4255577971</v>
      </c>
      <c r="K1828" s="360">
        <f>(1+L1828)/(1+Ke!$O$12)-1</f>
        <v>2.0000000000000018E-2</v>
      </c>
      <c r="L1828" s="360">
        <f>'DRE + DCF'!$Y$31</f>
        <v>7.3550000000000004E-2</v>
      </c>
      <c r="M1828" s="361">
        <f>(1+D1828)^((5-Dashboard!$F$9)*3/12)</f>
        <v>1.186111479892882</v>
      </c>
      <c r="N1828" s="361">
        <f t="shared" ref="N1828:V1828" si="1873">M1828*(1+$D1828)</f>
        <v>1.4892222685794927</v>
      </c>
      <c r="O1828" s="361">
        <f t="shared" si="1873"/>
        <v>1.8697930193149628</v>
      </c>
      <c r="P1828" s="361">
        <f t="shared" si="1873"/>
        <v>2.3476186254008775</v>
      </c>
      <c r="Q1828" s="361">
        <f t="shared" si="1873"/>
        <v>2.9475525651220416</v>
      </c>
      <c r="R1828" s="361">
        <f t="shared" si="1873"/>
        <v>3.7007996231389413</v>
      </c>
      <c r="S1828" s="361">
        <f t="shared" si="1873"/>
        <v>4.6465389668320496</v>
      </c>
      <c r="T1828" s="361">
        <f t="shared" si="1873"/>
        <v>5.8339619998059193</v>
      </c>
      <c r="U1828" s="361">
        <f t="shared" si="1873"/>
        <v>7.3248309888562462</v>
      </c>
      <c r="V1828" s="362">
        <f t="shared" si="1873"/>
        <v>9.1966915480583644</v>
      </c>
      <c r="X1828" s="351"/>
    </row>
    <row r="1829" spans="3:24" ht="24.75" customHeight="1" x14ac:dyDescent="0.3">
      <c r="C1829" s="353">
        <f>ABS(E1829-Dashboard!$F$14)</f>
        <v>27.899804191999252</v>
      </c>
      <c r="D1829" s="350">
        <f t="shared" si="1851"/>
        <v>0.25564999999998711</v>
      </c>
      <c r="E1829" s="359" cm="1">
        <f t="array" ref="E1829">1000*SUM('DRE + DCF'!$L$36/M1829,'DRE + DCF'!$N$36:$V$36/N1829:V1829,F1829/V1829)/Dashboard!$F$11</f>
        <v>69.090195808000743</v>
      </c>
      <c r="F1829" s="359">
        <f t="shared" si="1849"/>
        <v>10556872.387234185</v>
      </c>
      <c r="G1829" s="359">
        <f>'DRE + DCF'!$W$31</f>
        <v>2791623.3540418856</v>
      </c>
      <c r="H1829" s="359">
        <f>'DRE + DCF'!$W$32</f>
        <v>81081.931703745853</v>
      </c>
      <c r="I1829" s="359">
        <f>-H1829*('DRE + DCF'!$V$33+K1829)/'DRE + DCF'!$V$33</f>
        <v>-90858.801614444121</v>
      </c>
      <c r="J1829" s="359">
        <f>-'DRE + DCF'!$V$56*L1829</f>
        <v>-1188924.4255577971</v>
      </c>
      <c r="K1829" s="360">
        <f>(1+L1829)/(1+Ke!$O$12)-1</f>
        <v>2.0000000000000018E-2</v>
      </c>
      <c r="L1829" s="360">
        <f>'DRE + DCF'!$Y$31</f>
        <v>7.3550000000000004E-2</v>
      </c>
      <c r="M1829" s="361">
        <f>(1+D1829)^((5-Dashboard!$F$9)*3/12)</f>
        <v>1.1861823312929618</v>
      </c>
      <c r="N1829" s="361">
        <f t="shared" ref="N1829:V1829" si="1874">M1829*(1+$D1829)</f>
        <v>1.4894298442879921</v>
      </c>
      <c r="O1829" s="361">
        <f t="shared" si="1874"/>
        <v>1.8702025839801979</v>
      </c>
      <c r="P1829" s="361">
        <f t="shared" si="1874"/>
        <v>2.3483198745747114</v>
      </c>
      <c r="Q1829" s="361">
        <f t="shared" si="1874"/>
        <v>2.9486678505097057</v>
      </c>
      <c r="R1829" s="361">
        <f t="shared" si="1874"/>
        <v>3.702494786492474</v>
      </c>
      <c r="S1829" s="361">
        <f t="shared" si="1874"/>
        <v>4.6490375786592271</v>
      </c>
      <c r="T1829" s="361">
        <f t="shared" si="1874"/>
        <v>5.837564035643398</v>
      </c>
      <c r="U1829" s="361">
        <f t="shared" si="1874"/>
        <v>7.3299372813555568</v>
      </c>
      <c r="V1829" s="362">
        <f t="shared" si="1874"/>
        <v>9.2038357473340096</v>
      </c>
      <c r="X1829" s="351"/>
    </row>
    <row r="1830" spans="3:24" ht="24.75" customHeight="1" x14ac:dyDescent="0.3">
      <c r="C1830" s="353">
        <f>ABS(E1830-Dashboard!$F$14)</f>
        <v>27.943081837679657</v>
      </c>
      <c r="D1830" s="350">
        <f t="shared" si="1851"/>
        <v>0.2557499999999871</v>
      </c>
      <c r="E1830" s="359" cm="1">
        <f t="array" ref="E1830">1000*SUM('DRE + DCF'!$L$36/M1830,'DRE + DCF'!$N$36:$V$36/N1830:V1830,F1830/V1830)/Dashboard!$F$11</f>
        <v>69.046918162320338</v>
      </c>
      <c r="F1830" s="359">
        <f t="shared" si="1849"/>
        <v>10552003.445965916</v>
      </c>
      <c r="G1830" s="359">
        <f>'DRE + DCF'!$W$31</f>
        <v>2791623.3540418856</v>
      </c>
      <c r="H1830" s="359">
        <f>'DRE + DCF'!$W$32</f>
        <v>81081.931703745853</v>
      </c>
      <c r="I1830" s="359">
        <f>-H1830*('DRE + DCF'!$V$33+K1830)/'DRE + DCF'!$V$33</f>
        <v>-90858.801614444121</v>
      </c>
      <c r="J1830" s="359">
        <f>-'DRE + DCF'!$V$56*L1830</f>
        <v>-1188924.4255577971</v>
      </c>
      <c r="K1830" s="360">
        <f>(1+L1830)/(1+Ke!$O$12)-1</f>
        <v>2.0000000000000018E-2</v>
      </c>
      <c r="L1830" s="360">
        <f>'DRE + DCF'!$Y$31</f>
        <v>7.3550000000000004E-2</v>
      </c>
      <c r="M1830" s="361">
        <f>(1+D1830)^((5-Dashboard!$F$9)*3/12)</f>
        <v>1.1862531812824035</v>
      </c>
      <c r="N1830" s="361">
        <f t="shared" ref="N1830:V1830" si="1875">M1830*(1+$D1830)</f>
        <v>1.4896374323953629</v>
      </c>
      <c r="O1830" s="361">
        <f t="shared" si="1875"/>
        <v>1.8706122057304577</v>
      </c>
      <c r="P1830" s="361">
        <f t="shared" si="1875"/>
        <v>2.3490212773459982</v>
      </c>
      <c r="Q1830" s="361">
        <f t="shared" si="1875"/>
        <v>2.9497834690272069</v>
      </c>
      <c r="R1830" s="361">
        <f t="shared" si="1875"/>
        <v>3.7041905912308768</v>
      </c>
      <c r="S1830" s="361">
        <f t="shared" si="1875"/>
        <v>4.6515373349381255</v>
      </c>
      <c r="T1830" s="361">
        <f t="shared" si="1875"/>
        <v>5.8411680083484905</v>
      </c>
      <c r="U1830" s="361">
        <f t="shared" si="1875"/>
        <v>7.3350467264835411</v>
      </c>
      <c r="V1830" s="362">
        <f t="shared" si="1875"/>
        <v>9.2109849267816113</v>
      </c>
      <c r="X1830" s="351"/>
    </row>
    <row r="1831" spans="3:24" ht="24.75" customHeight="1" x14ac:dyDescent="0.3">
      <c r="C1831" s="353">
        <f>ABS(E1831-Dashboard!$F$14)</f>
        <v>27.986312005691417</v>
      </c>
      <c r="D1831" s="350">
        <f t="shared" si="1851"/>
        <v>0.25584999999998709</v>
      </c>
      <c r="E1831" s="359" cm="1">
        <f t="array" ref="E1831">1000*SUM('DRE + DCF'!$L$36/M1831,'DRE + DCF'!$N$36:$V$36/N1831:V1831,F1831/V1831)/Dashboard!$F$11</f>
        <v>69.003687994308578</v>
      </c>
      <c r="F1831" s="359">
        <f t="shared" si="1849"/>
        <v>10547139.123560775</v>
      </c>
      <c r="G1831" s="359">
        <f>'DRE + DCF'!$W$31</f>
        <v>2791623.3540418856</v>
      </c>
      <c r="H1831" s="359">
        <f>'DRE + DCF'!$W$32</f>
        <v>81081.931703745853</v>
      </c>
      <c r="I1831" s="359">
        <f>-H1831*('DRE + DCF'!$V$33+K1831)/'DRE + DCF'!$V$33</f>
        <v>-90858.801614444121</v>
      </c>
      <c r="J1831" s="359">
        <f>-'DRE + DCF'!$V$56*L1831</f>
        <v>-1188924.4255577971</v>
      </c>
      <c r="K1831" s="360">
        <f>(1+L1831)/(1+Ke!$O$12)-1</f>
        <v>2.0000000000000018E-2</v>
      </c>
      <c r="L1831" s="360">
        <f>'DRE + DCF'!$Y$31</f>
        <v>7.3550000000000004E-2</v>
      </c>
      <c r="M1831" s="361">
        <f>(1+D1831)^((5-Dashboard!$F$9)*3/12)</f>
        <v>1.186324029861348</v>
      </c>
      <c r="N1831" s="361">
        <f t="shared" ref="N1831:V1831" si="1876">M1831*(1+$D1831)</f>
        <v>1.4898450329013584</v>
      </c>
      <c r="O1831" s="361">
        <f t="shared" si="1876"/>
        <v>1.8710218845691515</v>
      </c>
      <c r="P1831" s="361">
        <f t="shared" si="1876"/>
        <v>2.3497228337361449</v>
      </c>
      <c r="Q1831" s="361">
        <f t="shared" si="1876"/>
        <v>2.9508994207475072</v>
      </c>
      <c r="R1831" s="361">
        <f t="shared" si="1876"/>
        <v>3.7058870375457187</v>
      </c>
      <c r="S1831" s="361">
        <f t="shared" si="1876"/>
        <v>4.6540382361017425</v>
      </c>
      <c r="T1831" s="361">
        <f t="shared" si="1876"/>
        <v>5.844773918808313</v>
      </c>
      <c r="U1831" s="361">
        <f t="shared" si="1876"/>
        <v>7.3401593259353444</v>
      </c>
      <c r="V1831" s="362">
        <f t="shared" si="1876"/>
        <v>9.2181390894758071</v>
      </c>
      <c r="X1831" s="351"/>
    </row>
    <row r="1832" spans="3:24" ht="24.75" customHeight="1" x14ac:dyDescent="0.3">
      <c r="C1832" s="353">
        <f>ABS(E1832-Dashboard!$F$14)</f>
        <v>28.029494768806771</v>
      </c>
      <c r="D1832" s="350">
        <f t="shared" si="1851"/>
        <v>0.25594999999998708</v>
      </c>
      <c r="E1832" s="359" cm="1">
        <f t="array" ref="E1832">1000*SUM('DRE + DCF'!$L$36/M1832,'DRE + DCF'!$N$36:$V$36/N1832:V1832,F1832/V1832)/Dashboard!$F$11</f>
        <v>68.960505231193224</v>
      </c>
      <c r="F1832" s="359">
        <f t="shared" si="1849"/>
        <v>10542279.4132687</v>
      </c>
      <c r="G1832" s="359">
        <f>'DRE + DCF'!$W$31</f>
        <v>2791623.3540418856</v>
      </c>
      <c r="H1832" s="359">
        <f>'DRE + DCF'!$W$32</f>
        <v>81081.931703745853</v>
      </c>
      <c r="I1832" s="359">
        <f>-H1832*('DRE + DCF'!$V$33+K1832)/'DRE + DCF'!$V$33</f>
        <v>-90858.801614444121</v>
      </c>
      <c r="J1832" s="359">
        <f>-'DRE + DCF'!$V$56*L1832</f>
        <v>-1188924.4255577971</v>
      </c>
      <c r="K1832" s="360">
        <f>(1+L1832)/(1+Ke!$O$12)-1</f>
        <v>2.0000000000000018E-2</v>
      </c>
      <c r="L1832" s="360">
        <f>'DRE + DCF'!$Y$31</f>
        <v>7.3550000000000004E-2</v>
      </c>
      <c r="M1832" s="361">
        <f>(1+D1832)^((5-Dashboard!$F$9)*3/12)</f>
        <v>1.1863948770299355</v>
      </c>
      <c r="N1832" s="361">
        <f t="shared" ref="N1832:V1832" si="1877">M1832*(1+$D1832)</f>
        <v>1.4900526458057322</v>
      </c>
      <c r="O1832" s="361">
        <f t="shared" si="1877"/>
        <v>1.8714316204996899</v>
      </c>
      <c r="P1832" s="361">
        <f t="shared" si="1877"/>
        <v>2.3504245437665614</v>
      </c>
      <c r="Q1832" s="361">
        <f t="shared" si="1877"/>
        <v>2.9520157057435821</v>
      </c>
      <c r="R1832" s="361">
        <f t="shared" si="1877"/>
        <v>3.7075841256286135</v>
      </c>
      <c r="S1832" s="361">
        <f t="shared" si="1877"/>
        <v>4.656540282583209</v>
      </c>
      <c r="T1832" s="361">
        <f t="shared" si="1877"/>
        <v>5.8483817679103209</v>
      </c>
      <c r="U1832" s="361">
        <f t="shared" si="1877"/>
        <v>7.3452750814068919</v>
      </c>
      <c r="V1832" s="362">
        <f t="shared" si="1877"/>
        <v>9.2252982384928899</v>
      </c>
      <c r="X1832" s="351"/>
    </row>
    <row r="1833" spans="3:24" ht="24.75" customHeight="1" x14ac:dyDescent="0.3">
      <c r="C1833" s="353">
        <f>ABS(E1833-Dashboard!$F$14)</f>
        <v>28.072630199653275</v>
      </c>
      <c r="D1833" s="350">
        <f t="shared" si="1851"/>
        <v>0.25604999999998707</v>
      </c>
      <c r="E1833" s="359" cm="1">
        <f t="array" ref="E1833">1000*SUM('DRE + DCF'!$L$36/M1833,'DRE + DCF'!$N$36:$V$36/N1833:V1833,F1833/V1833)/Dashboard!$F$11</f>
        <v>68.917369800346719</v>
      </c>
      <c r="F1833" s="359">
        <f t="shared" si="1849"/>
        <v>10537424.308353102</v>
      </c>
      <c r="G1833" s="359">
        <f>'DRE + DCF'!$W$31</f>
        <v>2791623.3540418856</v>
      </c>
      <c r="H1833" s="359">
        <f>'DRE + DCF'!$W$32</f>
        <v>81081.931703745853</v>
      </c>
      <c r="I1833" s="359">
        <f>-H1833*('DRE + DCF'!$V$33+K1833)/'DRE + DCF'!$V$33</f>
        <v>-90858.801614444121</v>
      </c>
      <c r="J1833" s="359">
        <f>-'DRE + DCF'!$V$56*L1833</f>
        <v>-1188924.4255577971</v>
      </c>
      <c r="K1833" s="360">
        <f>(1+L1833)/(1+Ke!$O$12)-1</f>
        <v>2.0000000000000018E-2</v>
      </c>
      <c r="L1833" s="360">
        <f>'DRE + DCF'!$Y$31</f>
        <v>7.3550000000000004E-2</v>
      </c>
      <c r="M1833" s="361">
        <f>(1+D1833)^((5-Dashboard!$F$9)*3/12)</f>
        <v>1.1864657227883062</v>
      </c>
      <c r="N1833" s="361">
        <f t="shared" ref="N1833:V1833" si="1878">M1833*(1+$D1833)</f>
        <v>1.4902602711082367</v>
      </c>
      <c r="O1833" s="361">
        <f t="shared" si="1878"/>
        <v>1.8718414135254813</v>
      </c>
      <c r="P1833" s="361">
        <f t="shared" si="1878"/>
        <v>2.3511264074586564</v>
      </c>
      <c r="Q1833" s="361">
        <f t="shared" si="1878"/>
        <v>2.9531323240884149</v>
      </c>
      <c r="R1833" s="361">
        <f t="shared" si="1878"/>
        <v>3.709281855671215</v>
      </c>
      <c r="S1833" s="361">
        <f t="shared" si="1878"/>
        <v>4.6590434748157818</v>
      </c>
      <c r="T1833" s="361">
        <f t="shared" si="1878"/>
        <v>5.851991556542302</v>
      </c>
      <c r="U1833" s="361">
        <f t="shared" si="1878"/>
        <v>7.3503939945948824</v>
      </c>
      <c r="V1833" s="362">
        <f t="shared" si="1878"/>
        <v>9.2324623769108065</v>
      </c>
      <c r="X1833" s="351"/>
    </row>
    <row r="1834" spans="3:24" ht="24.75" customHeight="1" x14ac:dyDescent="0.3">
      <c r="C1834" s="353">
        <f>ABS(E1834-Dashboard!$F$14)</f>
        <v>28.115718370714134</v>
      </c>
      <c r="D1834" s="350">
        <f t="shared" si="1851"/>
        <v>0.25614999999998705</v>
      </c>
      <c r="E1834" s="359" cm="1">
        <f t="array" ref="E1834">1000*SUM('DRE + DCF'!$L$36/M1834,'DRE + DCF'!$N$36:$V$36/N1834:V1834,F1834/V1834)/Dashboard!$F$11</f>
        <v>68.874281629285861</v>
      </c>
      <c r="F1834" s="359">
        <f t="shared" si="1849"/>
        <v>10532573.802090827</v>
      </c>
      <c r="G1834" s="359">
        <f>'DRE + DCF'!$W$31</f>
        <v>2791623.3540418856</v>
      </c>
      <c r="H1834" s="359">
        <f>'DRE + DCF'!$W$32</f>
        <v>81081.931703745853</v>
      </c>
      <c r="I1834" s="359">
        <f>-H1834*('DRE + DCF'!$V$33+K1834)/'DRE + DCF'!$V$33</f>
        <v>-90858.801614444121</v>
      </c>
      <c r="J1834" s="359">
        <f>-'DRE + DCF'!$V$56*L1834</f>
        <v>-1188924.4255577971</v>
      </c>
      <c r="K1834" s="360">
        <f>(1+L1834)/(1+Ke!$O$12)-1</f>
        <v>2.0000000000000018E-2</v>
      </c>
      <c r="L1834" s="360">
        <f>'DRE + DCF'!$Y$31</f>
        <v>7.3550000000000004E-2</v>
      </c>
      <c r="M1834" s="361">
        <f>(1+D1834)^((5-Dashboard!$F$9)*3/12)</f>
        <v>1.1865365671366008</v>
      </c>
      <c r="N1834" s="361">
        <f t="shared" ref="N1834:V1834" si="1879">M1834*(1+$D1834)</f>
        <v>1.4904679088086257</v>
      </c>
      <c r="O1834" s="361">
        <f t="shared" si="1879"/>
        <v>1.8722512636499358</v>
      </c>
      <c r="P1834" s="361">
        <f t="shared" si="1879"/>
        <v>2.3518284248338426</v>
      </c>
      <c r="Q1834" s="361">
        <f t="shared" si="1879"/>
        <v>2.954249275855001</v>
      </c>
      <c r="R1834" s="361">
        <f t="shared" si="1879"/>
        <v>3.7109802278652211</v>
      </c>
      <c r="S1834" s="361">
        <f t="shared" si="1879"/>
        <v>4.6615478132328496</v>
      </c>
      <c r="T1834" s="361">
        <f t="shared" si="1879"/>
        <v>5.8556032855923839</v>
      </c>
      <c r="U1834" s="361">
        <f t="shared" si="1879"/>
        <v>7.3555160671967972</v>
      </c>
      <c r="V1834" s="362">
        <f t="shared" si="1879"/>
        <v>9.2396315078091611</v>
      </c>
      <c r="X1834" s="351"/>
    </row>
    <row r="1835" spans="3:24" ht="24.75" customHeight="1" x14ac:dyDescent="0.3">
      <c r="C1835" s="353">
        <f>ABS(E1835-Dashboard!$F$14)</f>
        <v>28.158759354328581</v>
      </c>
      <c r="D1835" s="350">
        <f t="shared" si="1851"/>
        <v>0.25624999999998704</v>
      </c>
      <c r="E1835" s="359" cm="1">
        <f t="array" ref="E1835">1000*SUM('DRE + DCF'!$L$36/M1835,'DRE + DCF'!$N$36:$V$36/N1835:V1835,F1835/V1835)/Dashboard!$F$11</f>
        <v>68.831240645671414</v>
      </c>
      <c r="F1835" s="359">
        <f t="shared" si="1849"/>
        <v>10527727.887772135</v>
      </c>
      <c r="G1835" s="359">
        <f>'DRE + DCF'!$W$31</f>
        <v>2791623.3540418856</v>
      </c>
      <c r="H1835" s="359">
        <f>'DRE + DCF'!$W$32</f>
        <v>81081.931703745853</v>
      </c>
      <c r="I1835" s="359">
        <f>-H1835*('DRE + DCF'!$V$33+K1835)/'DRE + DCF'!$V$33</f>
        <v>-90858.801614444121</v>
      </c>
      <c r="J1835" s="359">
        <f>-'DRE + DCF'!$V$56*L1835</f>
        <v>-1188924.4255577971</v>
      </c>
      <c r="K1835" s="360">
        <f>(1+L1835)/(1+Ke!$O$12)-1</f>
        <v>2.0000000000000018E-2</v>
      </c>
      <c r="L1835" s="360">
        <f>'DRE + DCF'!$Y$31</f>
        <v>7.3550000000000004E-2</v>
      </c>
      <c r="M1835" s="361">
        <f>(1+D1835)^((5-Dashboard!$F$9)*3/12)</f>
        <v>1.1866074100749593</v>
      </c>
      <c r="N1835" s="361">
        <f t="shared" ref="N1835:V1835" si="1880">M1835*(1+$D1835)</f>
        <v>1.4906755589066523</v>
      </c>
      <c r="O1835" s="361">
        <f t="shared" si="1880"/>
        <v>1.8726611708764624</v>
      </c>
      <c r="P1835" s="361">
        <f t="shared" si="1880"/>
        <v>2.3525305959135316</v>
      </c>
      <c r="Q1835" s="361">
        <f t="shared" si="1880"/>
        <v>2.9553665611163433</v>
      </c>
      <c r="R1835" s="361">
        <f t="shared" si="1880"/>
        <v>3.712679242402368</v>
      </c>
      <c r="S1835" s="361">
        <f t="shared" si="1880"/>
        <v>4.6640532982679268</v>
      </c>
      <c r="T1835" s="361">
        <f t="shared" si="1880"/>
        <v>5.8592169559490221</v>
      </c>
      <c r="U1835" s="361">
        <f t="shared" si="1880"/>
        <v>7.3606413009108831</v>
      </c>
      <c r="V1835" s="362">
        <f t="shared" si="1880"/>
        <v>9.2468056342692009</v>
      </c>
      <c r="X1835" s="351"/>
    </row>
    <row r="1836" spans="3:24" ht="24.75" customHeight="1" x14ac:dyDescent="0.3">
      <c r="C1836" s="353">
        <f>ABS(E1836-Dashboard!$F$14)</f>
        <v>28.20175322269219</v>
      </c>
      <c r="D1836" s="350">
        <f t="shared" si="1851"/>
        <v>0.25634999999998703</v>
      </c>
      <c r="E1836" s="359" cm="1">
        <f t="array" ref="E1836">1000*SUM('DRE + DCF'!$L$36/M1836,'DRE + DCF'!$N$36:$V$36/N1836:V1836,F1836/V1836)/Dashboard!$F$11</f>
        <v>68.788246777307805</v>
      </c>
      <c r="F1836" s="359">
        <f t="shared" si="1849"/>
        <v>10522886.55870064</v>
      </c>
      <c r="G1836" s="359">
        <f>'DRE + DCF'!$W$31</f>
        <v>2791623.3540418856</v>
      </c>
      <c r="H1836" s="359">
        <f>'DRE + DCF'!$W$32</f>
        <v>81081.931703745853</v>
      </c>
      <c r="I1836" s="359">
        <f>-H1836*('DRE + DCF'!$V$33+K1836)/'DRE + DCF'!$V$33</f>
        <v>-90858.801614444121</v>
      </c>
      <c r="J1836" s="359">
        <f>-'DRE + DCF'!$V$56*L1836</f>
        <v>-1188924.4255577971</v>
      </c>
      <c r="K1836" s="360">
        <f>(1+L1836)/(1+Ke!$O$12)-1</f>
        <v>2.0000000000000018E-2</v>
      </c>
      <c r="L1836" s="360">
        <f>'DRE + DCF'!$Y$31</f>
        <v>7.3550000000000004E-2</v>
      </c>
      <c r="M1836" s="361">
        <f>(1+D1836)^((5-Dashboard!$F$9)*3/12)</f>
        <v>1.1866782516035221</v>
      </c>
      <c r="N1836" s="361">
        <f t="shared" ref="N1836:V1836" si="1881">M1836*(1+$D1836)</f>
        <v>1.4908832214020695</v>
      </c>
      <c r="O1836" s="361">
        <f t="shared" si="1881"/>
        <v>1.8730711352084706</v>
      </c>
      <c r="P1836" s="361">
        <f t="shared" si="1881"/>
        <v>2.3532329207191376</v>
      </c>
      <c r="Q1836" s="361">
        <f t="shared" si="1881"/>
        <v>2.9564841799454578</v>
      </c>
      <c r="R1836" s="361">
        <f t="shared" si="1881"/>
        <v>3.7143788994744376</v>
      </c>
      <c r="S1836" s="361">
        <f t="shared" si="1881"/>
        <v>4.6665599303546612</v>
      </c>
      <c r="T1836" s="361">
        <f t="shared" si="1881"/>
        <v>5.8628325685010179</v>
      </c>
      <c r="U1836" s="361">
        <f t="shared" si="1881"/>
        <v>7.3657696974361775</v>
      </c>
      <c r="V1836" s="362">
        <f t="shared" si="1881"/>
        <v>9.2539847593738465</v>
      </c>
      <c r="X1836" s="351"/>
    </row>
    <row r="1837" spans="3:24" ht="24.75" customHeight="1" x14ac:dyDescent="0.3">
      <c r="C1837" s="353">
        <f>ABS(E1837-Dashboard!$F$14)</f>
        <v>28.24470004785735</v>
      </c>
      <c r="D1837" s="350">
        <f t="shared" si="1851"/>
        <v>0.25644999999998702</v>
      </c>
      <c r="E1837" s="359" cm="1">
        <f t="array" ref="E1837">1000*SUM('DRE + DCF'!$L$36/M1837,'DRE + DCF'!$N$36:$V$36/N1837:V1837,F1837/V1837)/Dashboard!$F$11</f>
        <v>68.745299952142645</v>
      </c>
      <c r="F1837" s="359">
        <f t="shared" si="1849"/>
        <v>10518049.808193302</v>
      </c>
      <c r="G1837" s="359">
        <f>'DRE + DCF'!$W$31</f>
        <v>2791623.3540418856</v>
      </c>
      <c r="H1837" s="359">
        <f>'DRE + DCF'!$W$32</f>
        <v>81081.931703745853</v>
      </c>
      <c r="I1837" s="359">
        <f>-H1837*('DRE + DCF'!$V$33+K1837)/'DRE + DCF'!$V$33</f>
        <v>-90858.801614444121</v>
      </c>
      <c r="J1837" s="359">
        <f>-'DRE + DCF'!$V$56*L1837</f>
        <v>-1188924.4255577971</v>
      </c>
      <c r="K1837" s="360">
        <f>(1+L1837)/(1+Ke!$O$12)-1</f>
        <v>2.0000000000000018E-2</v>
      </c>
      <c r="L1837" s="360">
        <f>'DRE + DCF'!$Y$31</f>
        <v>7.3550000000000004E-2</v>
      </c>
      <c r="M1837" s="361">
        <f>(1+D1837)^((5-Dashboard!$F$9)*3/12)</f>
        <v>1.1867490917224295</v>
      </c>
      <c r="N1837" s="361">
        <f t="shared" ref="N1837:V1837" si="1882">M1837*(1+$D1837)</f>
        <v>1.491090896294631</v>
      </c>
      <c r="O1837" s="361">
        <f t="shared" si="1882"/>
        <v>1.8734811566493696</v>
      </c>
      <c r="P1837" s="361">
        <f t="shared" si="1882"/>
        <v>2.3539353992720762</v>
      </c>
      <c r="Q1837" s="361">
        <f t="shared" si="1882"/>
        <v>2.9576021324153694</v>
      </c>
      <c r="R1837" s="361">
        <f t="shared" si="1882"/>
        <v>3.7160791992732523</v>
      </c>
      <c r="S1837" s="361">
        <f t="shared" si="1882"/>
        <v>4.6690677099268294</v>
      </c>
      <c r="T1837" s="361">
        <f t="shared" si="1882"/>
        <v>5.8664501241375042</v>
      </c>
      <c r="U1837" s="361">
        <f t="shared" si="1882"/>
        <v>7.3709012584724904</v>
      </c>
      <c r="V1837" s="362">
        <f t="shared" si="1882"/>
        <v>9.2611688862076651</v>
      </c>
      <c r="X1837" s="351"/>
    </row>
    <row r="1838" spans="3:24" ht="24.75" customHeight="1" x14ac:dyDescent="0.3">
      <c r="C1838" s="353">
        <f>ABS(E1838-Dashboard!$F$14)</f>
        <v>28.287599901733429</v>
      </c>
      <c r="D1838" s="350">
        <f t="shared" si="1851"/>
        <v>0.25654999999998701</v>
      </c>
      <c r="E1838" s="359" cm="1">
        <f t="array" ref="E1838">1000*SUM('DRE + DCF'!$L$36/M1838,'DRE + DCF'!$N$36:$V$36/N1838:V1838,F1838/V1838)/Dashboard!$F$11</f>
        <v>68.702400098266565</v>
      </c>
      <c r="F1838" s="359">
        <f t="shared" si="1849"/>
        <v>10513217.629580384</v>
      </c>
      <c r="G1838" s="359">
        <f>'DRE + DCF'!$W$31</f>
        <v>2791623.3540418856</v>
      </c>
      <c r="H1838" s="359">
        <f>'DRE + DCF'!$W$32</f>
        <v>81081.931703745853</v>
      </c>
      <c r="I1838" s="359">
        <f>-H1838*('DRE + DCF'!$V$33+K1838)/'DRE + DCF'!$V$33</f>
        <v>-90858.801614444121</v>
      </c>
      <c r="J1838" s="359">
        <f>-'DRE + DCF'!$V$56*L1838</f>
        <v>-1188924.4255577971</v>
      </c>
      <c r="K1838" s="360">
        <f>(1+L1838)/(1+Ke!$O$12)-1</f>
        <v>2.0000000000000018E-2</v>
      </c>
      <c r="L1838" s="360">
        <f>'DRE + DCF'!$Y$31</f>
        <v>7.3550000000000004E-2</v>
      </c>
      <c r="M1838" s="361">
        <f>(1+D1838)^((5-Dashboard!$F$9)*3/12)</f>
        <v>1.1868199304318219</v>
      </c>
      <c r="N1838" s="361">
        <f t="shared" ref="N1838:V1838" si="1883">M1838*(1+$D1838)</f>
        <v>1.4912985835840904</v>
      </c>
      <c r="O1838" s="361">
        <f t="shared" si="1883"/>
        <v>1.8738912352025694</v>
      </c>
      <c r="P1838" s="361">
        <f t="shared" si="1883"/>
        <v>2.3546380315937641</v>
      </c>
      <c r="Q1838" s="361">
        <f t="shared" si="1883"/>
        <v>2.9587204185991136</v>
      </c>
      <c r="R1838" s="361">
        <f t="shared" si="1883"/>
        <v>3.7177801419906777</v>
      </c>
      <c r="S1838" s="361">
        <f t="shared" si="1883"/>
        <v>4.6715766374183376</v>
      </c>
      <c r="T1838" s="361">
        <f t="shared" si="1883"/>
        <v>5.870069623747951</v>
      </c>
      <c r="U1838" s="361">
        <f t="shared" si="1883"/>
        <v>7.376035985720411</v>
      </c>
      <c r="V1838" s="362">
        <f t="shared" si="1883"/>
        <v>9.2683580178568867</v>
      </c>
      <c r="X1838" s="351"/>
    </row>
    <row r="1839" spans="3:24" ht="24.75" customHeight="1" x14ac:dyDescent="0.3">
      <c r="C1839" s="353">
        <f>ABS(E1839-Dashboard!$F$14)</f>
        <v>28.330452856087234</v>
      </c>
      <c r="D1839" s="350">
        <f t="shared" si="1851"/>
        <v>0.256649999999987</v>
      </c>
      <c r="E1839" s="359" cm="1">
        <f t="array" ref="E1839">1000*SUM('DRE + DCF'!$L$36/M1839,'DRE + DCF'!$N$36:$V$36/N1839:V1839,F1839/V1839)/Dashboard!$F$11</f>
        <v>68.659547143912761</v>
      </c>
      <c r="F1839" s="359">
        <f t="shared" si="1849"/>
        <v>10508390.016205415</v>
      </c>
      <c r="G1839" s="359">
        <f>'DRE + DCF'!$W$31</f>
        <v>2791623.3540418856</v>
      </c>
      <c r="H1839" s="359">
        <f>'DRE + DCF'!$W$32</f>
        <v>81081.931703745853</v>
      </c>
      <c r="I1839" s="359">
        <f>-H1839*('DRE + DCF'!$V$33+K1839)/'DRE + DCF'!$V$33</f>
        <v>-90858.801614444121</v>
      </c>
      <c r="J1839" s="359">
        <f>-'DRE + DCF'!$V$56*L1839</f>
        <v>-1188924.4255577971</v>
      </c>
      <c r="K1839" s="360">
        <f>(1+L1839)/(1+Ke!$O$12)-1</f>
        <v>2.0000000000000018E-2</v>
      </c>
      <c r="L1839" s="360">
        <f>'DRE + DCF'!$Y$31</f>
        <v>7.3550000000000004E-2</v>
      </c>
      <c r="M1839" s="361">
        <f>(1+D1839)^((5-Dashboard!$F$9)*3/12)</f>
        <v>1.186890767731839</v>
      </c>
      <c r="N1839" s="361">
        <f t="shared" ref="N1839:V1839" si="1884">M1839*(1+$D1839)</f>
        <v>1.4915062832702</v>
      </c>
      <c r="O1839" s="361">
        <f t="shared" si="1884"/>
        <v>1.8743013708714773</v>
      </c>
      <c r="P1839" s="361">
        <f t="shared" si="1884"/>
        <v>2.3553408177056174</v>
      </c>
      <c r="Q1839" s="361">
        <f t="shared" si="1884"/>
        <v>2.9598390385697333</v>
      </c>
      <c r="R1839" s="361">
        <f t="shared" si="1884"/>
        <v>3.7194817278186165</v>
      </c>
      <c r="S1839" s="361">
        <f t="shared" si="1884"/>
        <v>4.6740867132632156</v>
      </c>
      <c r="T1839" s="361">
        <f t="shared" si="1884"/>
        <v>5.8736910682221586</v>
      </c>
      <c r="U1839" s="361">
        <f t="shared" si="1884"/>
        <v>7.381173880881299</v>
      </c>
      <c r="V1839" s="362">
        <f t="shared" si="1884"/>
        <v>9.275552157409388</v>
      </c>
      <c r="X1839" s="351"/>
    </row>
    <row r="1840" spans="3:24" ht="24.75" customHeight="1" x14ac:dyDescent="0.3">
      <c r="C1840" s="353">
        <f>ABS(E1840-Dashboard!$F$14)</f>
        <v>28.373258982543476</v>
      </c>
      <c r="D1840" s="350">
        <f t="shared" si="1851"/>
        <v>0.25674999999998699</v>
      </c>
      <c r="E1840" s="359" cm="1">
        <f t="array" ref="E1840">1000*SUM('DRE + DCF'!$L$36/M1840,'DRE + DCF'!$N$36:$V$36/N1840:V1840,F1840/V1840)/Dashboard!$F$11</f>
        <v>68.616741017456519</v>
      </c>
      <c r="F1840" s="359">
        <f t="shared" si="1849"/>
        <v>10503566.961425155</v>
      </c>
      <c r="G1840" s="359">
        <f>'DRE + DCF'!$W$31</f>
        <v>2791623.3540418856</v>
      </c>
      <c r="H1840" s="359">
        <f>'DRE + DCF'!$W$32</f>
        <v>81081.931703745853</v>
      </c>
      <c r="I1840" s="359">
        <f>-H1840*('DRE + DCF'!$V$33+K1840)/'DRE + DCF'!$V$33</f>
        <v>-90858.801614444121</v>
      </c>
      <c r="J1840" s="359">
        <f>-'DRE + DCF'!$V$56*L1840</f>
        <v>-1188924.4255577971</v>
      </c>
      <c r="K1840" s="360">
        <f>(1+L1840)/(1+Ke!$O$12)-1</f>
        <v>2.0000000000000018E-2</v>
      </c>
      <c r="L1840" s="360">
        <f>'DRE + DCF'!$Y$31</f>
        <v>7.3550000000000004E-2</v>
      </c>
      <c r="M1840" s="361">
        <f>(1+D1840)^((5-Dashboard!$F$9)*3/12)</f>
        <v>1.1869616036226216</v>
      </c>
      <c r="N1840" s="361">
        <f t="shared" ref="N1840:V1840" si="1885">M1840*(1+$D1840)</f>
        <v>1.4917139953527141</v>
      </c>
      <c r="O1840" s="361">
        <f t="shared" si="1885"/>
        <v>1.874711563659504</v>
      </c>
      <c r="P1840" s="361">
        <f t="shared" si="1885"/>
        <v>2.3560437576290569</v>
      </c>
      <c r="Q1840" s="361">
        <f t="shared" si="1885"/>
        <v>2.9609579924002865</v>
      </c>
      <c r="R1840" s="361">
        <f t="shared" si="1885"/>
        <v>3.7211839569490213</v>
      </c>
      <c r="S1840" s="361">
        <f t="shared" si="1885"/>
        <v>4.6765979378956342</v>
      </c>
      <c r="T1840" s="361">
        <f t="shared" si="1885"/>
        <v>5.877314458450277</v>
      </c>
      <c r="U1840" s="361">
        <f t="shared" si="1885"/>
        <v>7.3863149456573085</v>
      </c>
      <c r="V1840" s="362">
        <f t="shared" si="1885"/>
        <v>9.2827513079547259</v>
      </c>
      <c r="X1840" s="351"/>
    </row>
    <row r="1841" spans="3:24" ht="24.75" customHeight="1" x14ac:dyDescent="0.3">
      <c r="C1841" s="353">
        <f>ABS(E1841-Dashboard!$F$14)</f>
        <v>28.416018352584899</v>
      </c>
      <c r="D1841" s="350">
        <f t="shared" si="1851"/>
        <v>0.25684999999998698</v>
      </c>
      <c r="E1841" s="359" cm="1">
        <f t="array" ref="E1841">1000*SUM('DRE + DCF'!$L$36/M1841,'DRE + DCF'!$N$36:$V$36/N1841:V1841,F1841/V1841)/Dashboard!$F$11</f>
        <v>68.573981647415096</v>
      </c>
      <c r="F1841" s="359">
        <f t="shared" si="1849"/>
        <v>10498748.458609572</v>
      </c>
      <c r="G1841" s="359">
        <f>'DRE + DCF'!$W$31</f>
        <v>2791623.3540418856</v>
      </c>
      <c r="H1841" s="359">
        <f>'DRE + DCF'!$W$32</f>
        <v>81081.931703745853</v>
      </c>
      <c r="I1841" s="359">
        <f>-H1841*('DRE + DCF'!$V$33+K1841)/'DRE + DCF'!$V$33</f>
        <v>-90858.801614444121</v>
      </c>
      <c r="J1841" s="359">
        <f>-'DRE + DCF'!$V$56*L1841</f>
        <v>-1188924.4255577971</v>
      </c>
      <c r="K1841" s="360">
        <f>(1+L1841)/(1+Ke!$O$12)-1</f>
        <v>2.0000000000000018E-2</v>
      </c>
      <c r="L1841" s="360">
        <f>'DRE + DCF'!$Y$31</f>
        <v>7.3550000000000004E-2</v>
      </c>
      <c r="M1841" s="361">
        <f>(1+D1841)^((5-Dashboard!$F$9)*3/12)</f>
        <v>1.1870324381043094</v>
      </c>
      <c r="N1841" s="361">
        <f t="shared" ref="N1841:V1841" si="1886">M1841*(1+$D1841)</f>
        <v>1.4919217198313857</v>
      </c>
      <c r="O1841" s="361">
        <f t="shared" si="1886"/>
        <v>1.8751218135700576</v>
      </c>
      <c r="P1841" s="361">
        <f t="shared" si="1886"/>
        <v>2.3567468513855023</v>
      </c>
      <c r="Q1841" s="361">
        <f t="shared" si="1886"/>
        <v>2.9620772801638378</v>
      </c>
      <c r="R1841" s="361">
        <f t="shared" si="1886"/>
        <v>3.7228868295738806</v>
      </c>
      <c r="S1841" s="361">
        <f t="shared" si="1886"/>
        <v>4.6791103117498833</v>
      </c>
      <c r="T1841" s="361">
        <f t="shared" si="1886"/>
        <v>5.8809397953227798</v>
      </c>
      <c r="U1841" s="361">
        <f t="shared" si="1886"/>
        <v>7.3914591817513591</v>
      </c>
      <c r="V1841" s="362">
        <f t="shared" si="1886"/>
        <v>9.2899554725840989</v>
      </c>
      <c r="X1841" s="351"/>
    </row>
    <row r="1842" spans="3:24" ht="24.75" customHeight="1" x14ac:dyDescent="0.3">
      <c r="C1842" s="353">
        <f>ABS(E1842-Dashboard!$F$14)</f>
        <v>28.458731037552766</v>
      </c>
      <c r="D1842" s="350">
        <f t="shared" si="1851"/>
        <v>0.25694999999998697</v>
      </c>
      <c r="E1842" s="359" cm="1">
        <f t="array" ref="E1842">1000*SUM('DRE + DCF'!$L$36/M1842,'DRE + DCF'!$N$36:$V$36/N1842:V1842,F1842/V1842)/Dashboard!$F$11</f>
        <v>68.531268962447228</v>
      </c>
      <c r="F1842" s="359">
        <f t="shared" si="1849"/>
        <v>10493934.501141798</v>
      </c>
      <c r="G1842" s="359">
        <f>'DRE + DCF'!$W$31</f>
        <v>2791623.3540418856</v>
      </c>
      <c r="H1842" s="359">
        <f>'DRE + DCF'!$W$32</f>
        <v>81081.931703745853</v>
      </c>
      <c r="I1842" s="359">
        <f>-H1842*('DRE + DCF'!$V$33+K1842)/'DRE + DCF'!$V$33</f>
        <v>-90858.801614444121</v>
      </c>
      <c r="J1842" s="359">
        <f>-'DRE + DCF'!$V$56*L1842</f>
        <v>-1188924.4255577971</v>
      </c>
      <c r="K1842" s="360">
        <f>(1+L1842)/(1+Ke!$O$12)-1</f>
        <v>2.0000000000000018E-2</v>
      </c>
      <c r="L1842" s="360">
        <f>'DRE + DCF'!$Y$31</f>
        <v>7.3550000000000004E-2</v>
      </c>
      <c r="M1842" s="361">
        <f>(1+D1842)^((5-Dashboard!$F$9)*3/12)</f>
        <v>1.1871032711770428</v>
      </c>
      <c r="N1842" s="361">
        <f t="shared" ref="N1842:V1842" si="1887">M1842*(1+$D1842)</f>
        <v>1.4921294567059684</v>
      </c>
      <c r="O1842" s="361">
        <f t="shared" si="1887"/>
        <v>1.8755321206065474</v>
      </c>
      <c r="P1842" s="361">
        <f t="shared" si="1887"/>
        <v>2.3574500989963751</v>
      </c>
      <c r="Q1842" s="361">
        <f t="shared" si="1887"/>
        <v>2.963196901933463</v>
      </c>
      <c r="R1842" s="361">
        <f t="shared" si="1887"/>
        <v>3.7245903458852276</v>
      </c>
      <c r="S1842" s="361">
        <f t="shared" si="1887"/>
        <v>4.6816238352603881</v>
      </c>
      <c r="T1842" s="361">
        <f t="shared" si="1887"/>
        <v>5.8845670797304832</v>
      </c>
      <c r="U1842" s="361">
        <f t="shared" si="1887"/>
        <v>7.3966065908671537</v>
      </c>
      <c r="V1842" s="362">
        <f t="shared" si="1887"/>
        <v>9.2971646543903717</v>
      </c>
      <c r="X1842" s="351"/>
    </row>
    <row r="1843" spans="3:24" ht="24.75" customHeight="1" x14ac:dyDescent="0.3">
      <c r="C1843" s="353">
        <f>ABS(E1843-Dashboard!$F$14)</f>
        <v>28.501397108647211</v>
      </c>
      <c r="D1843" s="350">
        <f t="shared" si="1851"/>
        <v>0.25704999999998696</v>
      </c>
      <c r="E1843" s="359" cm="1">
        <f t="array" ref="E1843">1000*SUM('DRE + DCF'!$L$36/M1843,'DRE + DCF'!$N$36:$V$36/N1843:V1843,F1843/V1843)/Dashboard!$F$11</f>
        <v>68.488602891352784</v>
      </c>
      <c r="F1843" s="359">
        <f t="shared" si="1849"/>
        <v>10489125.082418099</v>
      </c>
      <c r="G1843" s="359">
        <f>'DRE + DCF'!$W$31</f>
        <v>2791623.3540418856</v>
      </c>
      <c r="H1843" s="359">
        <f>'DRE + DCF'!$W$32</f>
        <v>81081.931703745853</v>
      </c>
      <c r="I1843" s="359">
        <f>-H1843*('DRE + DCF'!$V$33+K1843)/'DRE + DCF'!$V$33</f>
        <v>-90858.801614444121</v>
      </c>
      <c r="J1843" s="359">
        <f>-'DRE + DCF'!$V$56*L1843</f>
        <v>-1188924.4255577971</v>
      </c>
      <c r="K1843" s="360">
        <f>(1+L1843)/(1+Ke!$O$12)-1</f>
        <v>2.0000000000000018E-2</v>
      </c>
      <c r="L1843" s="360">
        <f>'DRE + DCF'!$Y$31</f>
        <v>7.3550000000000004E-2</v>
      </c>
      <c r="M1843" s="361">
        <f>(1+D1843)^((5-Dashboard!$F$9)*3/12)</f>
        <v>1.1871741028409619</v>
      </c>
      <c r="N1843" s="361">
        <f t="shared" ref="N1843:V1843" si="1888">M1843*(1+$D1843)</f>
        <v>1.4923372059762157</v>
      </c>
      <c r="O1843" s="361">
        <f t="shared" si="1888"/>
        <v>1.8759424847723825</v>
      </c>
      <c r="P1843" s="361">
        <f t="shared" si="1888"/>
        <v>2.3581535004830987</v>
      </c>
      <c r="Q1843" s="361">
        <f t="shared" si="1888"/>
        <v>2.9643168577822485</v>
      </c>
      <c r="R1843" s="361">
        <f t="shared" si="1888"/>
        <v>3.7262945060751367</v>
      </c>
      <c r="S1843" s="361">
        <f t="shared" si="1888"/>
        <v>4.684138508861702</v>
      </c>
      <c r="T1843" s="361">
        <f t="shared" si="1888"/>
        <v>5.8881963125645411</v>
      </c>
      <c r="U1843" s="361">
        <f t="shared" si="1888"/>
        <v>7.4017571747091795</v>
      </c>
      <c r="V1843" s="362">
        <f t="shared" si="1888"/>
        <v>9.3043788564680767</v>
      </c>
      <c r="X1843" s="351"/>
    </row>
    <row r="1844" spans="3:24" ht="24.75" customHeight="1" x14ac:dyDescent="0.3">
      <c r="C1844" s="353">
        <f>ABS(E1844-Dashboard!$F$14)</f>
        <v>28.544016636927466</v>
      </c>
      <c r="D1844" s="350">
        <f t="shared" si="1851"/>
        <v>0.25714999999998694</v>
      </c>
      <c r="E1844" s="359" cm="1">
        <f t="array" ref="E1844">1000*SUM('DRE + DCF'!$L$36/M1844,'DRE + DCF'!$N$36:$V$36/N1844:V1844,F1844/V1844)/Dashboard!$F$11</f>
        <v>68.445983363072529</v>
      </c>
      <c r="F1844" s="359">
        <f t="shared" si="1849"/>
        <v>10484320.195847839</v>
      </c>
      <c r="G1844" s="359">
        <f>'DRE + DCF'!$W$31</f>
        <v>2791623.3540418856</v>
      </c>
      <c r="H1844" s="359">
        <f>'DRE + DCF'!$W$32</f>
        <v>81081.931703745853</v>
      </c>
      <c r="I1844" s="359">
        <f>-H1844*('DRE + DCF'!$V$33+K1844)/'DRE + DCF'!$V$33</f>
        <v>-90858.801614444121</v>
      </c>
      <c r="J1844" s="359">
        <f>-'DRE + DCF'!$V$56*L1844</f>
        <v>-1188924.4255577971</v>
      </c>
      <c r="K1844" s="360">
        <f>(1+L1844)/(1+Ke!$O$12)-1</f>
        <v>2.0000000000000018E-2</v>
      </c>
      <c r="L1844" s="360">
        <f>'DRE + DCF'!$Y$31</f>
        <v>7.3550000000000004E-2</v>
      </c>
      <c r="M1844" s="361">
        <f>(1+D1844)^((5-Dashboard!$F$9)*3/12)</f>
        <v>1.1872449330962065</v>
      </c>
      <c r="N1844" s="361">
        <f t="shared" ref="N1844:V1844" si="1889">M1844*(1+$D1844)</f>
        <v>1.4925449676418805</v>
      </c>
      <c r="O1844" s="361">
        <f t="shared" si="1889"/>
        <v>1.8763529060709705</v>
      </c>
      <c r="P1844" s="361">
        <f t="shared" si="1889"/>
        <v>2.3588570558670958</v>
      </c>
      <c r="Q1844" s="361">
        <f t="shared" si="1889"/>
        <v>2.9654371477832884</v>
      </c>
      <c r="R1844" s="361">
        <f t="shared" si="1889"/>
        <v>3.7279993103357221</v>
      </c>
      <c r="S1844" s="361">
        <f t="shared" si="1889"/>
        <v>4.6866543329885042</v>
      </c>
      <c r="T1844" s="361">
        <f t="shared" si="1889"/>
        <v>5.8918274947164369</v>
      </c>
      <c r="U1844" s="361">
        <f t="shared" si="1889"/>
        <v>7.4069109349826912</v>
      </c>
      <c r="V1844" s="362">
        <f t="shared" si="1889"/>
        <v>9.3115980819133934</v>
      </c>
      <c r="X1844" s="351"/>
    </row>
    <row r="1845" spans="3:24" ht="24.75" customHeight="1" x14ac:dyDescent="0.3">
      <c r="C1845" s="353">
        <f>ABS(E1845-Dashboard!$F$14)</f>
        <v>28.586589693312476</v>
      </c>
      <c r="D1845" s="350">
        <f t="shared" si="1851"/>
        <v>0.25724999999998693</v>
      </c>
      <c r="E1845" s="359" cm="1">
        <f t="array" ref="E1845">1000*SUM('DRE + DCF'!$L$36/M1845,'DRE + DCF'!$N$36:$V$36/N1845:V1845,F1845/V1845)/Dashboard!$F$11</f>
        <v>68.403410306687519</v>
      </c>
      <c r="F1845" s="359">
        <f t="shared" si="1849"/>
        <v>10479519.834853459</v>
      </c>
      <c r="G1845" s="359">
        <f>'DRE + DCF'!$W$31</f>
        <v>2791623.3540418856</v>
      </c>
      <c r="H1845" s="359">
        <f>'DRE + DCF'!$W$32</f>
        <v>81081.931703745853</v>
      </c>
      <c r="I1845" s="359">
        <f>-H1845*('DRE + DCF'!$V$33+K1845)/'DRE + DCF'!$V$33</f>
        <v>-90858.801614444121</v>
      </c>
      <c r="J1845" s="359">
        <f>-'DRE + DCF'!$V$56*L1845</f>
        <v>-1188924.4255577971</v>
      </c>
      <c r="K1845" s="360">
        <f>(1+L1845)/(1+Ke!$O$12)-1</f>
        <v>2.0000000000000018E-2</v>
      </c>
      <c r="L1845" s="360">
        <f>'DRE + DCF'!$Y$31</f>
        <v>7.3550000000000004E-2</v>
      </c>
      <c r="M1845" s="361">
        <f>(1+D1845)^((5-Dashboard!$F$9)*3/12)</f>
        <v>1.1873157619429171</v>
      </c>
      <c r="N1845" s="361">
        <f t="shared" ref="N1845:V1845" si="1890">M1845*(1+$D1845)</f>
        <v>1.4927527417027169</v>
      </c>
      <c r="O1845" s="361">
        <f t="shared" si="1890"/>
        <v>1.8767633845057212</v>
      </c>
      <c r="P1845" s="361">
        <f t="shared" si="1890"/>
        <v>2.3595607651697934</v>
      </c>
      <c r="Q1845" s="361">
        <f t="shared" si="1890"/>
        <v>2.9665577720096916</v>
      </c>
      <c r="R1845" s="361">
        <f t="shared" si="1890"/>
        <v>3.7297047588591457</v>
      </c>
      <c r="S1845" s="361">
        <f t="shared" si="1890"/>
        <v>4.6891713080756121</v>
      </c>
      <c r="T1845" s="361">
        <f t="shared" si="1890"/>
        <v>5.8954606270780019</v>
      </c>
      <c r="U1845" s="361">
        <f t="shared" si="1890"/>
        <v>7.4120678733937408</v>
      </c>
      <c r="V1845" s="362">
        <f t="shared" si="1890"/>
        <v>9.3188223338241833</v>
      </c>
      <c r="X1845" s="351"/>
    </row>
    <row r="1846" spans="3:24" ht="24.75" customHeight="1" x14ac:dyDescent="0.3">
      <c r="C1846" s="353">
        <f>ABS(E1846-Dashboard!$F$14)</f>
        <v>28.62911634858088</v>
      </c>
      <c r="D1846" s="350">
        <f t="shared" si="1851"/>
        <v>0.25734999999998692</v>
      </c>
      <c r="E1846" s="359" cm="1">
        <f t="array" ref="E1846">1000*SUM('DRE + DCF'!$L$36/M1846,'DRE + DCF'!$N$36:$V$36/N1846:V1846,F1846/V1846)/Dashboard!$F$11</f>
        <v>68.360883651419115</v>
      </c>
      <c r="F1846" s="359">
        <f t="shared" si="1849"/>
        <v>10474723.992870428</v>
      </c>
      <c r="G1846" s="359">
        <f>'DRE + DCF'!$W$31</f>
        <v>2791623.3540418856</v>
      </c>
      <c r="H1846" s="359">
        <f>'DRE + DCF'!$W$32</f>
        <v>81081.931703745853</v>
      </c>
      <c r="I1846" s="359">
        <f>-H1846*('DRE + DCF'!$V$33+K1846)/'DRE + DCF'!$V$33</f>
        <v>-90858.801614444121</v>
      </c>
      <c r="J1846" s="359">
        <f>-'DRE + DCF'!$V$56*L1846</f>
        <v>-1188924.4255577971</v>
      </c>
      <c r="K1846" s="360">
        <f>(1+L1846)/(1+Ke!$O$12)-1</f>
        <v>2.0000000000000018E-2</v>
      </c>
      <c r="L1846" s="360">
        <f>'DRE + DCF'!$Y$31</f>
        <v>7.3550000000000004E-2</v>
      </c>
      <c r="M1846" s="361">
        <f>(1+D1846)^((5-Dashboard!$F$9)*3/12)</f>
        <v>1.1873865893812334</v>
      </c>
      <c r="N1846" s="361">
        <f t="shared" ref="N1846:V1846" si="1891">M1846*(1+$D1846)</f>
        <v>1.4929605281584784</v>
      </c>
      <c r="O1846" s="361">
        <f t="shared" si="1891"/>
        <v>1.8771739200800432</v>
      </c>
      <c r="P1846" s="361">
        <f t="shared" si="1891"/>
        <v>2.3602646284126179</v>
      </c>
      <c r="Q1846" s="361">
        <f t="shared" si="1891"/>
        <v>2.967678730534574</v>
      </c>
      <c r="R1846" s="361">
        <f t="shared" si="1891"/>
        <v>3.7314108518376075</v>
      </c>
      <c r="S1846" s="361">
        <f t="shared" si="1891"/>
        <v>4.6916894345579667</v>
      </c>
      <c r="T1846" s="361">
        <f t="shared" si="1891"/>
        <v>5.8990957105413981</v>
      </c>
      <c r="U1846" s="361">
        <f t="shared" si="1891"/>
        <v>7.4172279916491499</v>
      </c>
      <c r="V1846" s="362">
        <f t="shared" si="1891"/>
        <v>9.3260516152999617</v>
      </c>
      <c r="X1846" s="351"/>
    </row>
    <row r="1847" spans="3:24" ht="24.75" customHeight="1" x14ac:dyDescent="0.3">
      <c r="C1847" s="353">
        <f>ABS(E1847-Dashboard!$F$14)</f>
        <v>28.671596673371653</v>
      </c>
      <c r="D1847" s="350">
        <f t="shared" si="1851"/>
        <v>0.25744999999998691</v>
      </c>
      <c r="E1847" s="359" cm="1">
        <f t="array" ref="E1847">1000*SUM('DRE + DCF'!$L$36/M1847,'DRE + DCF'!$N$36:$V$36/N1847:V1847,F1847/V1847)/Dashboard!$F$11</f>
        <v>68.318403326628342</v>
      </c>
      <c r="F1847" s="359">
        <f t="shared" si="1849"/>
        <v>10469932.663347211</v>
      </c>
      <c r="G1847" s="359">
        <f>'DRE + DCF'!$W$31</f>
        <v>2791623.3540418856</v>
      </c>
      <c r="H1847" s="359">
        <f>'DRE + DCF'!$W$32</f>
        <v>81081.931703745853</v>
      </c>
      <c r="I1847" s="359">
        <f>-H1847*('DRE + DCF'!$V$33+K1847)/'DRE + DCF'!$V$33</f>
        <v>-90858.801614444121</v>
      </c>
      <c r="J1847" s="359">
        <f>-'DRE + DCF'!$V$56*L1847</f>
        <v>-1188924.4255577971</v>
      </c>
      <c r="K1847" s="360">
        <f>(1+L1847)/(1+Ke!$O$12)-1</f>
        <v>2.0000000000000018E-2</v>
      </c>
      <c r="L1847" s="360">
        <f>'DRE + DCF'!$Y$31</f>
        <v>7.3550000000000004E-2</v>
      </c>
      <c r="M1847" s="361">
        <f>(1+D1847)^((5-Dashboard!$F$9)*3/12)</f>
        <v>1.1874574154112958</v>
      </c>
      <c r="N1847" s="361">
        <f t="shared" ref="N1847:V1847" si="1892">M1847*(1+$D1847)</f>
        <v>1.4931683270089182</v>
      </c>
      <c r="O1847" s="361">
        <f t="shared" si="1892"/>
        <v>1.8775845127973445</v>
      </c>
      <c r="P1847" s="361">
        <f t="shared" si="1892"/>
        <v>2.360968645616996</v>
      </c>
      <c r="Q1847" s="361">
        <f t="shared" si="1892"/>
        <v>2.9688000234310605</v>
      </c>
      <c r="R1847" s="361">
        <f t="shared" si="1892"/>
        <v>3.7331175894633479</v>
      </c>
      <c r="S1847" s="361">
        <f t="shared" si="1892"/>
        <v>4.6942087128706378</v>
      </c>
      <c r="T1847" s="361">
        <f t="shared" si="1892"/>
        <v>5.9027327459991215</v>
      </c>
      <c r="U1847" s="361">
        <f t="shared" si="1892"/>
        <v>7.4223912914565178</v>
      </c>
      <c r="V1847" s="362">
        <f t="shared" si="1892"/>
        <v>9.3332859294419013</v>
      </c>
      <c r="X1847" s="351"/>
    </row>
    <row r="1848" spans="3:24" ht="24.75" customHeight="1" x14ac:dyDescent="0.3">
      <c r="C1848" s="353">
        <f>ABS(E1848-Dashboard!$F$14)</f>
        <v>28.714030738184334</v>
      </c>
      <c r="D1848" s="350">
        <f t="shared" si="1851"/>
        <v>0.2575499999999869</v>
      </c>
      <c r="E1848" s="359" cm="1">
        <f t="array" ref="E1848">1000*SUM('DRE + DCF'!$L$36/M1848,'DRE + DCF'!$N$36:$V$36/N1848:V1848,F1848/V1848)/Dashboard!$F$11</f>
        <v>68.275969261815661</v>
      </c>
      <c r="F1848" s="359">
        <f t="shared" si="1849"/>
        <v>10465145.839745257</v>
      </c>
      <c r="G1848" s="359">
        <f>'DRE + DCF'!$W$31</f>
        <v>2791623.3540418856</v>
      </c>
      <c r="H1848" s="359">
        <f>'DRE + DCF'!$W$32</f>
        <v>81081.931703745853</v>
      </c>
      <c r="I1848" s="359">
        <f>-H1848*('DRE + DCF'!$V$33+K1848)/'DRE + DCF'!$V$33</f>
        <v>-90858.801614444121</v>
      </c>
      <c r="J1848" s="359">
        <f>-'DRE + DCF'!$V$56*L1848</f>
        <v>-1188924.4255577971</v>
      </c>
      <c r="K1848" s="360">
        <f>(1+L1848)/(1+Ke!$O$12)-1</f>
        <v>2.0000000000000018E-2</v>
      </c>
      <c r="L1848" s="360">
        <f>'DRE + DCF'!$Y$31</f>
        <v>7.3550000000000004E-2</v>
      </c>
      <c r="M1848" s="361">
        <f>(1+D1848)^((5-Dashboard!$F$9)*3/12)</f>
        <v>1.1875282400332439</v>
      </c>
      <c r="N1848" s="361">
        <f t="shared" ref="N1848:V1848" si="1893">M1848*(1+$D1848)</f>
        <v>1.4933761382537902</v>
      </c>
      <c r="O1848" s="361">
        <f t="shared" si="1893"/>
        <v>1.8779951626610343</v>
      </c>
      <c r="P1848" s="361">
        <f t="shared" si="1893"/>
        <v>2.3616728168043588</v>
      </c>
      <c r="Q1848" s="361">
        <f t="shared" si="1893"/>
        <v>2.9699216507722905</v>
      </c>
      <c r="R1848" s="361">
        <f t="shared" si="1893"/>
        <v>3.734824971928655</v>
      </c>
      <c r="S1848" s="361">
        <f t="shared" si="1893"/>
        <v>4.696729143448831</v>
      </c>
      <c r="T1848" s="361">
        <f t="shared" si="1893"/>
        <v>5.9063717343440159</v>
      </c>
      <c r="U1848" s="361">
        <f t="shared" si="1893"/>
        <v>7.4275577745242396</v>
      </c>
      <c r="V1848" s="362">
        <f t="shared" si="1893"/>
        <v>9.3405252793528604</v>
      </c>
      <c r="X1848" s="351"/>
    </row>
    <row r="1849" spans="3:24" ht="24.75" customHeight="1" x14ac:dyDescent="0.3">
      <c r="C1849" s="353">
        <f>ABS(E1849-Dashboard!$F$14)</f>
        <v>28.75641861337931</v>
      </c>
      <c r="D1849" s="350">
        <f t="shared" si="1851"/>
        <v>0.25764999999998689</v>
      </c>
      <c r="E1849" s="359" cm="1">
        <f t="array" ref="E1849">1000*SUM('DRE + DCF'!$L$36/M1849,'DRE + DCF'!$N$36:$V$36/N1849:V1849,F1849/V1849)/Dashboard!$F$11</f>
        <v>68.233581386620685</v>
      </c>
      <c r="F1849" s="359">
        <f t="shared" si="1849"/>
        <v>10460363.515538938</v>
      </c>
      <c r="G1849" s="359">
        <f>'DRE + DCF'!$W$31</f>
        <v>2791623.3540418856</v>
      </c>
      <c r="H1849" s="359">
        <f>'DRE + DCF'!$W$32</f>
        <v>81081.931703745853</v>
      </c>
      <c r="I1849" s="359">
        <f>-H1849*('DRE + DCF'!$V$33+K1849)/'DRE + DCF'!$V$33</f>
        <v>-90858.801614444121</v>
      </c>
      <c r="J1849" s="359">
        <f>-'DRE + DCF'!$V$56*L1849</f>
        <v>-1188924.4255577971</v>
      </c>
      <c r="K1849" s="360">
        <f>(1+L1849)/(1+Ke!$O$12)-1</f>
        <v>2.0000000000000018E-2</v>
      </c>
      <c r="L1849" s="360">
        <f>'DRE + DCF'!$Y$31</f>
        <v>7.3550000000000004E-2</v>
      </c>
      <c r="M1849" s="361">
        <f>(1+D1849)^((5-Dashboard!$F$9)*3/12)</f>
        <v>1.1875990632472175</v>
      </c>
      <c r="N1849" s="361">
        <f t="shared" ref="N1849:V1849" si="1894">M1849*(1+$D1849)</f>
        <v>1.4935839618928475</v>
      </c>
      <c r="O1849" s="361">
        <f t="shared" si="1894"/>
        <v>1.8784058696745201</v>
      </c>
      <c r="P1849" s="361">
        <f t="shared" si="1894"/>
        <v>2.3623771419961352</v>
      </c>
      <c r="Q1849" s="361">
        <f t="shared" si="1894"/>
        <v>2.9710436126314086</v>
      </c>
      <c r="R1849" s="361">
        <f t="shared" si="1894"/>
        <v>3.7365329994258518</v>
      </c>
      <c r="S1849" s="361">
        <f t="shared" si="1894"/>
        <v>4.6992507267278736</v>
      </c>
      <c r="T1849" s="361">
        <f t="shared" si="1894"/>
        <v>5.9100126764692487</v>
      </c>
      <c r="U1849" s="361">
        <f t="shared" si="1894"/>
        <v>7.4327274425614727</v>
      </c>
      <c r="V1849" s="362">
        <f t="shared" si="1894"/>
        <v>9.3477696681373388</v>
      </c>
      <c r="X1849" s="351"/>
    </row>
    <row r="1850" spans="3:24" ht="24.75" customHeight="1" x14ac:dyDescent="0.3">
      <c r="C1850" s="353">
        <f>ABS(E1850-Dashboard!$F$14)</f>
        <v>28.798760369178368</v>
      </c>
      <c r="D1850" s="350">
        <f t="shared" si="1851"/>
        <v>0.25774999999998688</v>
      </c>
      <c r="E1850" s="359" cm="1">
        <f t="array" ref="E1850">1000*SUM('DRE + DCF'!$L$36/M1850,'DRE + DCF'!$N$36:$V$36/N1850:V1850,F1850/V1850)/Dashboard!$F$11</f>
        <v>68.191239630821627</v>
      </c>
      <c r="F1850" s="359">
        <f t="shared" si="1849"/>
        <v>10455585.684215534</v>
      </c>
      <c r="G1850" s="359">
        <f>'DRE + DCF'!$W$31</f>
        <v>2791623.3540418856</v>
      </c>
      <c r="H1850" s="359">
        <f>'DRE + DCF'!$W$32</f>
        <v>81081.931703745853</v>
      </c>
      <c r="I1850" s="359">
        <f>-H1850*('DRE + DCF'!$V$33+K1850)/'DRE + DCF'!$V$33</f>
        <v>-90858.801614444121</v>
      </c>
      <c r="J1850" s="359">
        <f>-'DRE + DCF'!$V$56*L1850</f>
        <v>-1188924.4255577971</v>
      </c>
      <c r="K1850" s="360">
        <f>(1+L1850)/(1+Ke!$O$12)-1</f>
        <v>2.0000000000000018E-2</v>
      </c>
      <c r="L1850" s="360">
        <f>'DRE + DCF'!$Y$31</f>
        <v>7.3550000000000004E-2</v>
      </c>
      <c r="M1850" s="361">
        <f>(1+D1850)^((5-Dashboard!$F$9)*3/12)</f>
        <v>1.1876698850533574</v>
      </c>
      <c r="N1850" s="361">
        <f t="shared" ref="N1850:V1850" si="1895">M1850*(1+$D1850)</f>
        <v>1.4937917979258446</v>
      </c>
      <c r="O1850" s="361">
        <f t="shared" si="1895"/>
        <v>1.8788166338412113</v>
      </c>
      <c r="P1850" s="361">
        <f t="shared" si="1895"/>
        <v>2.3630816212137589</v>
      </c>
      <c r="Q1850" s="361">
        <f t="shared" si="1895"/>
        <v>2.972165909081574</v>
      </c>
      <c r="R1850" s="361">
        <f t="shared" si="1895"/>
        <v>3.7382416721473106</v>
      </c>
      <c r="S1850" s="361">
        <f t="shared" si="1895"/>
        <v>4.7017734631432306</v>
      </c>
      <c r="T1850" s="361">
        <f t="shared" si="1895"/>
        <v>5.9136555732683362</v>
      </c>
      <c r="U1850" s="361">
        <f t="shared" si="1895"/>
        <v>7.4379002972781718</v>
      </c>
      <c r="V1850" s="362">
        <f t="shared" si="1895"/>
        <v>9.3550190989015221</v>
      </c>
      <c r="X1850" s="351"/>
    </row>
    <row r="1851" spans="3:24" ht="24.75" customHeight="1" x14ac:dyDescent="0.3">
      <c r="C1851" s="353">
        <f>ABS(E1851-Dashboard!$F$14)</f>
        <v>28.841056075664724</v>
      </c>
      <c r="D1851" s="350">
        <f t="shared" si="1851"/>
        <v>0.25784999999998687</v>
      </c>
      <c r="E1851" s="359" cm="1">
        <f t="array" ref="E1851">1000*SUM('DRE + DCF'!$L$36/M1851,'DRE + DCF'!$N$36:$V$36/N1851:V1851,F1851/V1851)/Dashboard!$F$11</f>
        <v>68.148943924335271</v>
      </c>
      <c r="F1851" s="359">
        <f t="shared" si="1849"/>
        <v>10450812.3392752</v>
      </c>
      <c r="G1851" s="359">
        <f>'DRE + DCF'!$W$31</f>
        <v>2791623.3540418856</v>
      </c>
      <c r="H1851" s="359">
        <f>'DRE + DCF'!$W$32</f>
        <v>81081.931703745853</v>
      </c>
      <c r="I1851" s="359">
        <f>-H1851*('DRE + DCF'!$V$33+K1851)/'DRE + DCF'!$V$33</f>
        <v>-90858.801614444121</v>
      </c>
      <c r="J1851" s="359">
        <f>-'DRE + DCF'!$V$56*L1851</f>
        <v>-1188924.4255577971</v>
      </c>
      <c r="K1851" s="360">
        <f>(1+L1851)/(1+Ke!$O$12)-1</f>
        <v>2.0000000000000018E-2</v>
      </c>
      <c r="L1851" s="360">
        <f>'DRE + DCF'!$Y$31</f>
        <v>7.3550000000000004E-2</v>
      </c>
      <c r="M1851" s="361">
        <f>(1+D1851)^((5-Dashboard!$F$9)*3/12)</f>
        <v>1.1877407054518025</v>
      </c>
      <c r="N1851" s="361">
        <f t="shared" ref="N1851:V1851" si="1896">M1851*(1+$D1851)</f>
        <v>1.4939996463525342</v>
      </c>
      <c r="O1851" s="361">
        <f t="shared" si="1896"/>
        <v>1.8792274551645154</v>
      </c>
      <c r="P1851" s="361">
        <f t="shared" si="1896"/>
        <v>2.363786254478661</v>
      </c>
      <c r="Q1851" s="361">
        <f t="shared" si="1896"/>
        <v>2.9732885401959526</v>
      </c>
      <c r="R1851" s="361">
        <f t="shared" si="1896"/>
        <v>3.7399509902854398</v>
      </c>
      <c r="S1851" s="361">
        <f t="shared" si="1896"/>
        <v>4.7042973531304915</v>
      </c>
      <c r="T1851" s="361">
        <f t="shared" si="1896"/>
        <v>5.9173004256351263</v>
      </c>
      <c r="U1851" s="361">
        <f t="shared" si="1896"/>
        <v>7.4430763403850655</v>
      </c>
      <c r="V1851" s="362">
        <f t="shared" si="1896"/>
        <v>9.3622735747532566</v>
      </c>
      <c r="X1851" s="351"/>
    </row>
    <row r="1852" spans="3:24" ht="24.75" customHeight="1" x14ac:dyDescent="0.3">
      <c r="C1852" s="353">
        <f>ABS(E1852-Dashboard!$F$14)</f>
        <v>28.883305802783653</v>
      </c>
      <c r="D1852" s="350">
        <f t="shared" si="1851"/>
        <v>0.25794999999998686</v>
      </c>
      <c r="E1852" s="359" cm="1">
        <f t="array" ref="E1852">1000*SUM('DRE + DCF'!$L$36/M1852,'DRE + DCF'!$N$36:$V$36/N1852:V1852,F1852/V1852)/Dashboard!$F$11</f>
        <v>68.106694197216342</v>
      </c>
      <c r="F1852" s="359">
        <f t="shared" si="1849"/>
        <v>10446043.474230923</v>
      </c>
      <c r="G1852" s="359">
        <f>'DRE + DCF'!$W$31</f>
        <v>2791623.3540418856</v>
      </c>
      <c r="H1852" s="359">
        <f>'DRE + DCF'!$W$32</f>
        <v>81081.931703745853</v>
      </c>
      <c r="I1852" s="359">
        <f>-H1852*('DRE + DCF'!$V$33+K1852)/'DRE + DCF'!$V$33</f>
        <v>-90858.801614444121</v>
      </c>
      <c r="J1852" s="359">
        <f>-'DRE + DCF'!$V$56*L1852</f>
        <v>-1188924.4255577971</v>
      </c>
      <c r="K1852" s="360">
        <f>(1+L1852)/(1+Ke!$O$12)-1</f>
        <v>2.0000000000000018E-2</v>
      </c>
      <c r="L1852" s="360">
        <f>'DRE + DCF'!$Y$31</f>
        <v>7.3550000000000004E-2</v>
      </c>
      <c r="M1852" s="361">
        <f>(1+D1852)^((5-Dashboard!$F$9)*3/12)</f>
        <v>1.1878115244426932</v>
      </c>
      <c r="N1852" s="361">
        <f t="shared" ref="N1852:V1852" si="1897">M1852*(1+$D1852)</f>
        <v>1.4942075071726704</v>
      </c>
      <c r="O1852" s="361">
        <f t="shared" si="1897"/>
        <v>1.8796383336478411</v>
      </c>
      <c r="P1852" s="361">
        <f t="shared" si="1897"/>
        <v>2.3644910418122769</v>
      </c>
      <c r="Q1852" s="361">
        <f t="shared" si="1897"/>
        <v>2.9744115060477223</v>
      </c>
      <c r="R1852" s="361">
        <f t="shared" si="1897"/>
        <v>3.7416609540326928</v>
      </c>
      <c r="S1852" s="361">
        <f t="shared" si="1897"/>
        <v>4.7068223971253769</v>
      </c>
      <c r="T1852" s="361">
        <f t="shared" si="1897"/>
        <v>5.9209472344638057</v>
      </c>
      <c r="U1852" s="361">
        <f t="shared" si="1897"/>
        <v>7.4482555735936664</v>
      </c>
      <c r="V1852" s="362">
        <f t="shared" si="1897"/>
        <v>9.3695330988020551</v>
      </c>
      <c r="X1852" s="351"/>
    </row>
    <row r="1853" spans="3:24" ht="24.75" customHeight="1" x14ac:dyDescent="0.3">
      <c r="C1853" s="353">
        <f>ABS(E1853-Dashboard!$F$14)</f>
        <v>28.92550962034268</v>
      </c>
      <c r="D1853" s="350">
        <f t="shared" si="1851"/>
        <v>0.25804999999998685</v>
      </c>
      <c r="E1853" s="359" cm="1">
        <f t="array" ref="E1853">1000*SUM('DRE + DCF'!$L$36/M1853,'DRE + DCF'!$N$36:$V$36/N1853:V1853,F1853/V1853)/Dashboard!$F$11</f>
        <v>68.064490379657315</v>
      </c>
      <c r="F1853" s="359">
        <f t="shared" si="1849"/>
        <v>10441279.082608499</v>
      </c>
      <c r="G1853" s="359">
        <f>'DRE + DCF'!$W$31</f>
        <v>2791623.3540418856</v>
      </c>
      <c r="H1853" s="359">
        <f>'DRE + DCF'!$W$32</f>
        <v>81081.931703745853</v>
      </c>
      <c r="I1853" s="359">
        <f>-H1853*('DRE + DCF'!$V$33+K1853)/'DRE + DCF'!$V$33</f>
        <v>-90858.801614444121</v>
      </c>
      <c r="J1853" s="359">
        <f>-'DRE + DCF'!$V$56*L1853</f>
        <v>-1188924.4255577971</v>
      </c>
      <c r="K1853" s="360">
        <f>(1+L1853)/(1+Ke!$O$12)-1</f>
        <v>2.0000000000000018E-2</v>
      </c>
      <c r="L1853" s="360">
        <f>'DRE + DCF'!$Y$31</f>
        <v>7.3550000000000004E-2</v>
      </c>
      <c r="M1853" s="361">
        <f>(1+D1853)^((5-Dashboard!$F$9)*3/12)</f>
        <v>1.1878823420261697</v>
      </c>
      <c r="N1853" s="361">
        <f t="shared" ref="N1853:V1853" si="1898">M1853*(1+$D1853)</f>
        <v>1.4944153803860072</v>
      </c>
      <c r="O1853" s="361">
        <f t="shared" si="1898"/>
        <v>1.8800492692945967</v>
      </c>
      <c r="P1853" s="361">
        <f t="shared" si="1898"/>
        <v>2.3651959832360427</v>
      </c>
      <c r="Q1853" s="361">
        <f t="shared" si="1898"/>
        <v>2.9755348067100722</v>
      </c>
      <c r="R1853" s="361">
        <f t="shared" si="1898"/>
        <v>3.743371563581567</v>
      </c>
      <c r="S1853" s="361">
        <f t="shared" si="1898"/>
        <v>4.7093485955637409</v>
      </c>
      <c r="T1853" s="361">
        <f t="shared" si="1898"/>
        <v>5.9245960006489016</v>
      </c>
      <c r="U1853" s="361">
        <f t="shared" si="1898"/>
        <v>7.4534379986162724</v>
      </c>
      <c r="V1853" s="362">
        <f t="shared" si="1898"/>
        <v>9.3767976741591035</v>
      </c>
      <c r="X1853" s="351"/>
    </row>
    <row r="1854" spans="3:24" ht="24.75" customHeight="1" x14ac:dyDescent="0.3">
      <c r="C1854" s="353">
        <f>ABS(E1854-Dashboard!$F$14)</f>
        <v>28.967667598011914</v>
      </c>
      <c r="D1854" s="350">
        <f t="shared" si="1851"/>
        <v>0.25814999999998683</v>
      </c>
      <c r="E1854" s="359" cm="1">
        <f t="array" ref="E1854">1000*SUM('DRE + DCF'!$L$36/M1854,'DRE + DCF'!$N$36:$V$36/N1854:V1854,F1854/V1854)/Dashboard!$F$11</f>
        <v>68.022332401988081</v>
      </c>
      <c r="F1854" s="359">
        <f t="shared" si="1849"/>
        <v>10436519.157946501</v>
      </c>
      <c r="G1854" s="359">
        <f>'DRE + DCF'!$W$31</f>
        <v>2791623.3540418856</v>
      </c>
      <c r="H1854" s="359">
        <f>'DRE + DCF'!$W$32</f>
        <v>81081.931703745853</v>
      </c>
      <c r="I1854" s="359">
        <f>-H1854*('DRE + DCF'!$V$33+K1854)/'DRE + DCF'!$V$33</f>
        <v>-90858.801614444121</v>
      </c>
      <c r="J1854" s="359">
        <f>-'DRE + DCF'!$V$56*L1854</f>
        <v>-1188924.4255577971</v>
      </c>
      <c r="K1854" s="360">
        <f>(1+L1854)/(1+Ke!$O$12)-1</f>
        <v>2.0000000000000018E-2</v>
      </c>
      <c r="L1854" s="360">
        <f>'DRE + DCF'!$Y$31</f>
        <v>7.3550000000000004E-2</v>
      </c>
      <c r="M1854" s="361">
        <f>(1+D1854)^((5-Dashboard!$F$9)*3/12)</f>
        <v>1.187953158202371</v>
      </c>
      <c r="N1854" s="361">
        <f t="shared" ref="N1854:V1854" si="1899">M1854*(1+$D1854)</f>
        <v>1.4946232659922973</v>
      </c>
      <c r="O1854" s="361">
        <f t="shared" si="1899"/>
        <v>1.8804602621081892</v>
      </c>
      <c r="P1854" s="361">
        <f t="shared" si="1899"/>
        <v>2.3659010787713934</v>
      </c>
      <c r="Q1854" s="361">
        <f t="shared" si="1899"/>
        <v>2.9766584422561975</v>
      </c>
      <c r="R1854" s="361">
        <f t="shared" si="1899"/>
        <v>3.7450828191245953</v>
      </c>
      <c r="S1854" s="361">
        <f t="shared" si="1899"/>
        <v>4.71187594888156</v>
      </c>
      <c r="T1854" s="361">
        <f t="shared" si="1899"/>
        <v>5.9282467250852724</v>
      </c>
      <c r="U1854" s="361">
        <f t="shared" si="1899"/>
        <v>7.4586236171659568</v>
      </c>
      <c r="V1854" s="362">
        <f t="shared" si="1899"/>
        <v>9.3840673039372504</v>
      </c>
      <c r="X1854" s="351"/>
    </row>
    <row r="1855" spans="3:24" ht="24.75" customHeight="1" x14ac:dyDescent="0.3">
      <c r="C1855" s="353">
        <f>ABS(E1855-Dashboard!$F$14)</f>
        <v>29.009779805324456</v>
      </c>
      <c r="D1855" s="350">
        <f t="shared" si="1851"/>
        <v>0.25824999999998682</v>
      </c>
      <c r="E1855" s="359" cm="1">
        <f t="array" ref="E1855">1000*SUM('DRE + DCF'!$L$36/M1855,'DRE + DCF'!$N$36:$V$36/N1855:V1855,F1855/V1855)/Dashboard!$F$11</f>
        <v>67.980220194675539</v>
      </c>
      <c r="F1855" s="359">
        <f t="shared" si="1849"/>
        <v>10431763.69379624</v>
      </c>
      <c r="G1855" s="359">
        <f>'DRE + DCF'!$W$31</f>
        <v>2791623.3540418856</v>
      </c>
      <c r="H1855" s="359">
        <f>'DRE + DCF'!$W$32</f>
        <v>81081.931703745853</v>
      </c>
      <c r="I1855" s="359">
        <f>-H1855*('DRE + DCF'!$V$33+K1855)/'DRE + DCF'!$V$33</f>
        <v>-90858.801614444121</v>
      </c>
      <c r="J1855" s="359">
        <f>-'DRE + DCF'!$V$56*L1855</f>
        <v>-1188924.4255577971</v>
      </c>
      <c r="K1855" s="360">
        <f>(1+L1855)/(1+Ke!$O$12)-1</f>
        <v>2.0000000000000018E-2</v>
      </c>
      <c r="L1855" s="360">
        <f>'DRE + DCF'!$Y$31</f>
        <v>7.3550000000000004E-2</v>
      </c>
      <c r="M1855" s="361">
        <f>(1+D1855)^((5-Dashboard!$F$9)*3/12)</f>
        <v>1.1880239729714377</v>
      </c>
      <c r="N1855" s="361">
        <f t="shared" ref="N1855:V1855" si="1900">M1855*(1+$D1855)</f>
        <v>1.4948311639912957</v>
      </c>
      <c r="O1855" s="361">
        <f t="shared" si="1900"/>
        <v>1.880871312092028</v>
      </c>
      <c r="P1855" s="361">
        <f t="shared" si="1900"/>
        <v>2.3666063284397691</v>
      </c>
      <c r="Q1855" s="361">
        <f t="shared" si="1900"/>
        <v>2.977782412759308</v>
      </c>
      <c r="R1855" s="361">
        <f t="shared" si="1900"/>
        <v>3.7467947208543597</v>
      </c>
      <c r="S1855" s="361">
        <f t="shared" si="1900"/>
        <v>4.7144044575149486</v>
      </c>
      <c r="T1855" s="361">
        <f t="shared" si="1900"/>
        <v>5.931899408668122</v>
      </c>
      <c r="U1855" s="361">
        <f t="shared" si="1900"/>
        <v>7.4638124309565859</v>
      </c>
      <c r="V1855" s="362">
        <f t="shared" si="1900"/>
        <v>9.391341991251025</v>
      </c>
      <c r="X1855" s="351"/>
    </row>
    <row r="1856" spans="3:24" ht="24.75" customHeight="1" x14ac:dyDescent="0.3">
      <c r="C1856" s="353">
        <f>ABS(E1856-Dashboard!$F$14)</f>
        <v>29.051846311676698</v>
      </c>
      <c r="D1856" s="350">
        <f t="shared" si="1851"/>
        <v>0.25834999999998681</v>
      </c>
      <c r="E1856" s="359" cm="1">
        <f t="array" ref="E1856">1000*SUM('DRE + DCF'!$L$36/M1856,'DRE + DCF'!$N$36:$V$36/N1856:V1856,F1856/V1856)/Dashboard!$F$11</f>
        <v>67.938153688323297</v>
      </c>
      <c r="F1856" s="359">
        <f t="shared" si="1849"/>
        <v>10427012.683721732</v>
      </c>
      <c r="G1856" s="359">
        <f>'DRE + DCF'!$W$31</f>
        <v>2791623.3540418856</v>
      </c>
      <c r="H1856" s="359">
        <f>'DRE + DCF'!$W$32</f>
        <v>81081.931703745853</v>
      </c>
      <c r="I1856" s="359">
        <f>-H1856*('DRE + DCF'!$V$33+K1856)/'DRE + DCF'!$V$33</f>
        <v>-90858.801614444121</v>
      </c>
      <c r="J1856" s="359">
        <f>-'DRE + DCF'!$V$56*L1856</f>
        <v>-1188924.4255577971</v>
      </c>
      <c r="K1856" s="360">
        <f>(1+L1856)/(1+Ke!$O$12)-1</f>
        <v>2.0000000000000018E-2</v>
      </c>
      <c r="L1856" s="360">
        <f>'DRE + DCF'!$Y$31</f>
        <v>7.3550000000000004E-2</v>
      </c>
      <c r="M1856" s="361">
        <f>(1+D1856)^((5-Dashboard!$F$9)*3/12)</f>
        <v>1.188094786333509</v>
      </c>
      <c r="N1856" s="361">
        <f t="shared" ref="N1856:V1856" si="1901">M1856*(1+$D1856)</f>
        <v>1.4950390743827553</v>
      </c>
      <c r="O1856" s="361">
        <f t="shared" si="1901"/>
        <v>1.8812824192495203</v>
      </c>
      <c r="P1856" s="361">
        <f t="shared" si="1901"/>
        <v>2.3673117322626092</v>
      </c>
      <c r="Q1856" s="361">
        <f t="shared" si="1901"/>
        <v>2.978906718292623</v>
      </c>
      <c r="R1856" s="361">
        <f t="shared" si="1901"/>
        <v>3.7485072689634826</v>
      </c>
      <c r="S1856" s="361">
        <f t="shared" si="1901"/>
        <v>4.7169341219001488</v>
      </c>
      <c r="T1856" s="361">
        <f t="shared" si="1901"/>
        <v>5.9355540522929902</v>
      </c>
      <c r="U1856" s="361">
        <f t="shared" si="1901"/>
        <v>7.4690044417028059</v>
      </c>
      <c r="V1856" s="362">
        <f t="shared" si="1901"/>
        <v>9.398621739216626</v>
      </c>
      <c r="X1856" s="351"/>
    </row>
    <row r="1857" spans="3:24" ht="24.75" customHeight="1" x14ac:dyDescent="0.3">
      <c r="C1857" s="353">
        <f>ABS(E1857-Dashboard!$F$14)</f>
        <v>29.093867186328652</v>
      </c>
      <c r="D1857" s="350">
        <f t="shared" si="1851"/>
        <v>0.2584499999999868</v>
      </c>
      <c r="E1857" s="359" cm="1">
        <f t="array" ref="E1857">1000*SUM('DRE + DCF'!$L$36/M1857,'DRE + DCF'!$N$36:$V$36/N1857:V1857,F1857/V1857)/Dashboard!$F$11</f>
        <v>67.896132813671343</v>
      </c>
      <c r="F1857" s="359">
        <f t="shared" si="1849"/>
        <v>10422266.121299682</v>
      </c>
      <c r="G1857" s="359">
        <f>'DRE + DCF'!$W$31</f>
        <v>2791623.3540418856</v>
      </c>
      <c r="H1857" s="359">
        <f>'DRE + DCF'!$W$32</f>
        <v>81081.931703745853</v>
      </c>
      <c r="I1857" s="359">
        <f>-H1857*('DRE + DCF'!$V$33+K1857)/'DRE + DCF'!$V$33</f>
        <v>-90858.801614444121</v>
      </c>
      <c r="J1857" s="359">
        <f>-'DRE + DCF'!$V$56*L1857</f>
        <v>-1188924.4255577971</v>
      </c>
      <c r="K1857" s="360">
        <f>(1+L1857)/(1+Ke!$O$12)-1</f>
        <v>2.0000000000000018E-2</v>
      </c>
      <c r="L1857" s="360">
        <f>'DRE + DCF'!$Y$31</f>
        <v>7.3550000000000004E-2</v>
      </c>
      <c r="M1857" s="361">
        <f>(1+D1857)^((5-Dashboard!$F$9)*3/12)</f>
        <v>1.1881655982887251</v>
      </c>
      <c r="N1857" s="361">
        <f t="shared" ref="N1857:V1857" si="1902">M1857*(1+$D1857)</f>
        <v>1.4952469971664304</v>
      </c>
      <c r="O1857" s="361">
        <f t="shared" si="1902"/>
        <v>1.8816935835840745</v>
      </c>
      <c r="P1857" s="361">
        <f t="shared" si="1902"/>
        <v>2.3680172902613537</v>
      </c>
      <c r="Q1857" s="361">
        <f t="shared" si="1902"/>
        <v>2.9800313589293692</v>
      </c>
      <c r="R1857" s="361">
        <f t="shared" si="1902"/>
        <v>3.750220463644625</v>
      </c>
      <c r="S1857" s="361">
        <f t="shared" si="1902"/>
        <v>4.7194649424735289</v>
      </c>
      <c r="T1857" s="361">
        <f t="shared" si="1902"/>
        <v>5.9392106568557494</v>
      </c>
      <c r="U1857" s="361">
        <f t="shared" si="1902"/>
        <v>7.4741996511200393</v>
      </c>
      <c r="V1857" s="362">
        <f t="shared" si="1902"/>
        <v>9.4059065509519151</v>
      </c>
      <c r="X1857" s="351"/>
    </row>
    <row r="1858" spans="3:24" ht="24.75" customHeight="1" x14ac:dyDescent="0.3">
      <c r="C1858" s="353">
        <f>ABS(E1858-Dashboard!$F$14)</f>
        <v>29.135842498404244</v>
      </c>
      <c r="D1858" s="350">
        <f t="shared" si="1851"/>
        <v>0.25854999999998679</v>
      </c>
      <c r="E1858" s="359" cm="1">
        <f t="array" ref="E1858">1000*SUM('DRE + DCF'!$L$36/M1858,'DRE + DCF'!$N$36:$V$36/N1858:V1858,F1858/V1858)/Dashboard!$F$11</f>
        <v>67.854157501595751</v>
      </c>
      <c r="F1858" s="359">
        <f t="shared" si="1849"/>
        <v>10417524.000119433</v>
      </c>
      <c r="G1858" s="359">
        <f>'DRE + DCF'!$W$31</f>
        <v>2791623.3540418856</v>
      </c>
      <c r="H1858" s="359">
        <f>'DRE + DCF'!$W$32</f>
        <v>81081.931703745853</v>
      </c>
      <c r="I1858" s="359">
        <f>-H1858*('DRE + DCF'!$V$33+K1858)/'DRE + DCF'!$V$33</f>
        <v>-90858.801614444121</v>
      </c>
      <c r="J1858" s="359">
        <f>-'DRE + DCF'!$V$56*L1858</f>
        <v>-1188924.4255577971</v>
      </c>
      <c r="K1858" s="360">
        <f>(1+L1858)/(1+Ke!$O$12)-1</f>
        <v>2.0000000000000018E-2</v>
      </c>
      <c r="L1858" s="360">
        <f>'DRE + DCF'!$Y$31</f>
        <v>7.3550000000000004E-2</v>
      </c>
      <c r="M1858" s="361">
        <f>(1+D1858)^((5-Dashboard!$F$9)*3/12)</f>
        <v>1.1882364088372255</v>
      </c>
      <c r="N1858" s="361">
        <f t="shared" ref="N1858:V1858" si="1903">M1858*(1+$D1858)</f>
        <v>1.4954549323420743</v>
      </c>
      <c r="O1858" s="361">
        <f t="shared" si="1903"/>
        <v>1.8821048050990978</v>
      </c>
      <c r="P1858" s="361">
        <f t="shared" si="1903"/>
        <v>2.3687230024574446</v>
      </c>
      <c r="Q1858" s="361">
        <f t="shared" si="1903"/>
        <v>2.9811563347427854</v>
      </c>
      <c r="R1858" s="361">
        <f t="shared" si="1903"/>
        <v>3.7519343050904932</v>
      </c>
      <c r="S1858" s="361">
        <f t="shared" si="1903"/>
        <v>4.7219969196715903</v>
      </c>
      <c r="T1858" s="361">
        <f t="shared" si="1903"/>
        <v>5.9428692232526172</v>
      </c>
      <c r="U1858" s="361">
        <f t="shared" si="1903"/>
        <v>7.4793980609245025</v>
      </c>
      <c r="V1858" s="362">
        <f t="shared" si="1903"/>
        <v>9.4131964295764341</v>
      </c>
      <c r="X1858" s="351"/>
    </row>
    <row r="1859" spans="3:24" ht="24.75" customHeight="1" x14ac:dyDescent="0.3">
      <c r="C1859" s="353">
        <f>ABS(E1859-Dashboard!$F$14)</f>
        <v>29.177772316891762</v>
      </c>
      <c r="D1859" s="350">
        <f t="shared" si="1851"/>
        <v>0.25864999999998678</v>
      </c>
      <c r="E1859" s="359" cm="1">
        <f t="array" ref="E1859">1000*SUM('DRE + DCF'!$L$36/M1859,'DRE + DCF'!$N$36:$V$36/N1859:V1859,F1859/V1859)/Dashboard!$F$11</f>
        <v>67.812227683108233</v>
      </c>
      <c r="F1859" s="359">
        <f t="shared" si="1849"/>
        <v>10412786.313782945</v>
      </c>
      <c r="G1859" s="359">
        <f>'DRE + DCF'!$W$31</f>
        <v>2791623.3540418856</v>
      </c>
      <c r="H1859" s="359">
        <f>'DRE + DCF'!$W$32</f>
        <v>81081.931703745853</v>
      </c>
      <c r="I1859" s="359">
        <f>-H1859*('DRE + DCF'!$V$33+K1859)/'DRE + DCF'!$V$33</f>
        <v>-90858.801614444121</v>
      </c>
      <c r="J1859" s="359">
        <f>-'DRE + DCF'!$V$56*L1859</f>
        <v>-1188924.4255577971</v>
      </c>
      <c r="K1859" s="360">
        <f>(1+L1859)/(1+Ke!$O$12)-1</f>
        <v>2.0000000000000018E-2</v>
      </c>
      <c r="L1859" s="360">
        <f>'DRE + DCF'!$Y$31</f>
        <v>7.3550000000000004E-2</v>
      </c>
      <c r="M1859" s="361">
        <f>(1+D1859)^((5-Dashboard!$F$9)*3/12)</f>
        <v>1.1883072179791498</v>
      </c>
      <c r="N1859" s="361">
        <f t="shared" ref="N1859:V1859" si="1904">M1859*(1+$D1859)</f>
        <v>1.4956628799094411</v>
      </c>
      <c r="O1859" s="361">
        <f t="shared" si="1904"/>
        <v>1.8825160837979982</v>
      </c>
      <c r="P1859" s="361">
        <f t="shared" si="1904"/>
        <v>2.3694288688723253</v>
      </c>
      <c r="Q1859" s="361">
        <f t="shared" si="1904"/>
        <v>2.982281645806121</v>
      </c>
      <c r="R1859" s="361">
        <f t="shared" si="1904"/>
        <v>3.7536487934938347</v>
      </c>
      <c r="S1859" s="361">
        <f t="shared" si="1904"/>
        <v>4.7245300539309651</v>
      </c>
      <c r="T1859" s="361">
        <f t="shared" si="1904"/>
        <v>5.9465297523801466</v>
      </c>
      <c r="U1859" s="361">
        <f t="shared" si="1904"/>
        <v>7.4845996728331929</v>
      </c>
      <c r="V1859" s="362">
        <f t="shared" si="1904"/>
        <v>9.4204913782113984</v>
      </c>
      <c r="X1859" s="351"/>
    </row>
    <row r="1860" spans="3:24" ht="24.75" customHeight="1" x14ac:dyDescent="0.3">
      <c r="C1860" s="353">
        <f>ABS(E1860-Dashboard!$F$14)</f>
        <v>29.219656710644117</v>
      </c>
      <c r="D1860" s="350">
        <f t="shared" si="1851"/>
        <v>0.25874999999998677</v>
      </c>
      <c r="E1860" s="359" cm="1">
        <f t="array" ref="E1860">1000*SUM('DRE + DCF'!$L$36/M1860,'DRE + DCF'!$N$36:$V$36/N1860:V1860,F1860/V1860)/Dashboard!$F$11</f>
        <v>67.770343289355878</v>
      </c>
      <c r="F1860" s="359">
        <f t="shared" si="1849"/>
        <v>10408053.055904759</v>
      </c>
      <c r="G1860" s="359">
        <f>'DRE + DCF'!$W$31</f>
        <v>2791623.3540418856</v>
      </c>
      <c r="H1860" s="359">
        <f>'DRE + DCF'!$W$32</f>
        <v>81081.931703745853</v>
      </c>
      <c r="I1860" s="359">
        <f>-H1860*('DRE + DCF'!$V$33+K1860)/'DRE + DCF'!$V$33</f>
        <v>-90858.801614444121</v>
      </c>
      <c r="J1860" s="359">
        <f>-'DRE + DCF'!$V$56*L1860</f>
        <v>-1188924.4255577971</v>
      </c>
      <c r="K1860" s="360">
        <f>(1+L1860)/(1+Ke!$O$12)-1</f>
        <v>2.0000000000000018E-2</v>
      </c>
      <c r="L1860" s="360">
        <f>'DRE + DCF'!$Y$31</f>
        <v>7.3550000000000004E-2</v>
      </c>
      <c r="M1860" s="361">
        <f>(1+D1860)^((5-Dashboard!$F$9)*3/12)</f>
        <v>1.1883780257146381</v>
      </c>
      <c r="N1860" s="361">
        <f t="shared" ref="N1860:V1860" si="1905">M1860*(1+$D1860)</f>
        <v>1.495870839868285</v>
      </c>
      <c r="O1860" s="361">
        <f t="shared" si="1905"/>
        <v>1.8829274196841839</v>
      </c>
      <c r="P1860" s="361">
        <f t="shared" si="1905"/>
        <v>2.3701348895274412</v>
      </c>
      <c r="Q1860" s="361">
        <f t="shared" si="1905"/>
        <v>2.9834072921926351</v>
      </c>
      <c r="R1860" s="361">
        <f t="shared" si="1905"/>
        <v>3.7553639290474399</v>
      </c>
      <c r="S1860" s="361">
        <f t="shared" si="1905"/>
        <v>4.7270643456884152</v>
      </c>
      <c r="T1860" s="361">
        <f t="shared" si="1905"/>
        <v>5.9501922451352298</v>
      </c>
      <c r="U1860" s="361">
        <f t="shared" si="1905"/>
        <v>7.4898044885638919</v>
      </c>
      <c r="V1860" s="362">
        <f t="shared" si="1905"/>
        <v>9.4277913999797001</v>
      </c>
      <c r="X1860" s="351"/>
    </row>
    <row r="1861" spans="3:24" ht="24.75" customHeight="1" x14ac:dyDescent="0.3">
      <c r="C1861" s="353">
        <f>ABS(E1861-Dashboard!$F$14)</f>
        <v>29.261495748379104</v>
      </c>
      <c r="D1861" s="350">
        <f t="shared" si="1851"/>
        <v>0.25884999999998676</v>
      </c>
      <c r="E1861" s="359" cm="1">
        <f t="array" ref="E1861">1000*SUM('DRE + DCF'!$L$36/M1861,'DRE + DCF'!$N$36:$V$36/N1861:V1861,F1861/V1861)/Dashboard!$F$11</f>
        <v>67.72850425162089</v>
      </c>
      <c r="F1861" s="359">
        <f t="shared" si="1849"/>
        <v>10403324.22011197</v>
      </c>
      <c r="G1861" s="359">
        <f>'DRE + DCF'!$W$31</f>
        <v>2791623.3540418856</v>
      </c>
      <c r="H1861" s="359">
        <f>'DRE + DCF'!$W$32</f>
        <v>81081.931703745853</v>
      </c>
      <c r="I1861" s="359">
        <f>-H1861*('DRE + DCF'!$V$33+K1861)/'DRE + DCF'!$V$33</f>
        <v>-90858.801614444121</v>
      </c>
      <c r="J1861" s="359">
        <f>-'DRE + DCF'!$V$56*L1861</f>
        <v>-1188924.4255577971</v>
      </c>
      <c r="K1861" s="360">
        <f>(1+L1861)/(1+Ke!$O$12)-1</f>
        <v>2.0000000000000018E-2</v>
      </c>
      <c r="L1861" s="360">
        <f>'DRE + DCF'!$Y$31</f>
        <v>7.3550000000000004E-2</v>
      </c>
      <c r="M1861" s="361">
        <f>(1+D1861)^((5-Dashboard!$F$9)*3/12)</f>
        <v>1.1884488320438298</v>
      </c>
      <c r="N1861" s="361">
        <f t="shared" ref="N1861:V1861" si="1906">M1861*(1+$D1861)</f>
        <v>1.4960788122183593</v>
      </c>
      <c r="O1861" s="361">
        <f t="shared" si="1906"/>
        <v>1.8833388127610617</v>
      </c>
      <c r="P1861" s="361">
        <f t="shared" si="1906"/>
        <v>2.3708410644442375</v>
      </c>
      <c r="Q1861" s="361">
        <f t="shared" si="1906"/>
        <v>2.9845332739755968</v>
      </c>
      <c r="R1861" s="361">
        <f t="shared" si="1906"/>
        <v>3.7570797119441401</v>
      </c>
      <c r="S1861" s="361">
        <f t="shared" si="1906"/>
        <v>4.7295997953808309</v>
      </c>
      <c r="T1861" s="361">
        <f t="shared" si="1906"/>
        <v>5.9538567024150959</v>
      </c>
      <c r="U1861" s="361">
        <f t="shared" si="1906"/>
        <v>7.4950125098351643</v>
      </c>
      <c r="V1861" s="362">
        <f t="shared" si="1906"/>
        <v>9.4350964980058976</v>
      </c>
      <c r="X1861" s="351"/>
    </row>
    <row r="1862" spans="3:24" ht="24.75" customHeight="1" x14ac:dyDescent="0.3">
      <c r="C1862" s="353">
        <f>ABS(E1862-Dashboard!$F$14)</f>
        <v>29.303289498679888</v>
      </c>
      <c r="D1862" s="350">
        <f t="shared" si="1851"/>
        <v>0.25894999999998675</v>
      </c>
      <c r="E1862" s="359" cm="1">
        <f t="array" ref="E1862">1000*SUM('DRE + DCF'!$L$36/M1862,'DRE + DCF'!$N$36:$V$36/N1862:V1862,F1862/V1862)/Dashboard!$F$11</f>
        <v>67.686710501320107</v>
      </c>
      <c r="F1862" s="359">
        <f t="shared" si="1849"/>
        <v>10398599.80004419</v>
      </c>
      <c r="G1862" s="359">
        <f>'DRE + DCF'!$W$31</f>
        <v>2791623.3540418856</v>
      </c>
      <c r="H1862" s="359">
        <f>'DRE + DCF'!$W$32</f>
        <v>81081.931703745853</v>
      </c>
      <c r="I1862" s="359">
        <f>-H1862*('DRE + DCF'!$V$33+K1862)/'DRE + DCF'!$V$33</f>
        <v>-90858.801614444121</v>
      </c>
      <c r="J1862" s="359">
        <f>-'DRE + DCF'!$V$56*L1862</f>
        <v>-1188924.4255577971</v>
      </c>
      <c r="K1862" s="360">
        <f>(1+L1862)/(1+Ke!$O$12)-1</f>
        <v>2.0000000000000018E-2</v>
      </c>
      <c r="L1862" s="360">
        <f>'DRE + DCF'!$Y$31</f>
        <v>7.3550000000000004E-2</v>
      </c>
      <c r="M1862" s="361">
        <f>(1+D1862)^((5-Dashboard!$F$9)*3/12)</f>
        <v>1.1885196369668645</v>
      </c>
      <c r="N1862" s="361">
        <f t="shared" ref="N1862:V1862" si="1907">M1862*(1+$D1862)</f>
        <v>1.4962867969594182</v>
      </c>
      <c r="O1862" s="361">
        <f t="shared" si="1907"/>
        <v>1.8837502630320397</v>
      </c>
      <c r="P1862" s="361">
        <f t="shared" si="1907"/>
        <v>2.3715473936441613</v>
      </c>
      <c r="Q1862" s="361">
        <f t="shared" si="1907"/>
        <v>2.9856595912282855</v>
      </c>
      <c r="R1862" s="361">
        <f t="shared" si="1907"/>
        <v>3.7587961423768101</v>
      </c>
      <c r="S1862" s="361">
        <f t="shared" si="1907"/>
        <v>4.7321364034452351</v>
      </c>
      <c r="T1862" s="361">
        <f t="shared" si="1907"/>
        <v>5.9575231251173157</v>
      </c>
      <c r="U1862" s="361">
        <f t="shared" si="1907"/>
        <v>7.5002237383663655</v>
      </c>
      <c r="V1862" s="362">
        <f t="shared" si="1907"/>
        <v>9.4424066754162368</v>
      </c>
      <c r="X1862" s="351"/>
    </row>
    <row r="1863" spans="3:24" ht="24.75" customHeight="1" x14ac:dyDescent="0.3">
      <c r="C1863" s="353">
        <f>ABS(E1863-Dashboard!$F$14)</f>
        <v>29.34503802999518</v>
      </c>
      <c r="D1863" s="350">
        <f t="shared" si="1851"/>
        <v>0.25904999999998674</v>
      </c>
      <c r="E1863" s="359" cm="1">
        <f t="array" ref="E1863">1000*SUM('DRE + DCF'!$L$36/M1863,'DRE + DCF'!$N$36:$V$36/N1863:V1863,F1863/V1863)/Dashboard!$F$11</f>
        <v>67.644961970004815</v>
      </c>
      <c r="F1863" s="359">
        <f t="shared" si="1849"/>
        <v>10393879.789353512</v>
      </c>
      <c r="G1863" s="359">
        <f>'DRE + DCF'!$W$31</f>
        <v>2791623.3540418856</v>
      </c>
      <c r="H1863" s="359">
        <f>'DRE + DCF'!$W$32</f>
        <v>81081.931703745853</v>
      </c>
      <c r="I1863" s="359">
        <f>-H1863*('DRE + DCF'!$V$33+K1863)/'DRE + DCF'!$V$33</f>
        <v>-90858.801614444121</v>
      </c>
      <c r="J1863" s="359">
        <f>-'DRE + DCF'!$V$56*L1863</f>
        <v>-1188924.4255577971</v>
      </c>
      <c r="K1863" s="360">
        <f>(1+L1863)/(1+Ke!$O$12)-1</f>
        <v>2.0000000000000018E-2</v>
      </c>
      <c r="L1863" s="360">
        <f>'DRE + DCF'!$Y$31</f>
        <v>7.3550000000000004E-2</v>
      </c>
      <c r="M1863" s="361">
        <f>(1+D1863)^((5-Dashboard!$F$9)*3/12)</f>
        <v>1.1885904404838818</v>
      </c>
      <c r="N1863" s="361">
        <f t="shared" ref="N1863:V1863" si="1908">M1863*(1+$D1863)</f>
        <v>1.4964947940912157</v>
      </c>
      <c r="O1863" s="361">
        <f t="shared" si="1908"/>
        <v>1.8841617705005251</v>
      </c>
      <c r="P1863" s="361">
        <f t="shared" si="1908"/>
        <v>2.372253877148661</v>
      </c>
      <c r="Q1863" s="361">
        <f t="shared" si="1908"/>
        <v>2.9867862440239898</v>
      </c>
      <c r="R1863" s="361">
        <f t="shared" si="1908"/>
        <v>3.7605132205383645</v>
      </c>
      <c r="S1863" s="361">
        <f t="shared" si="1908"/>
        <v>4.7346741703187778</v>
      </c>
      <c r="T1863" s="361">
        <f t="shared" si="1908"/>
        <v>5.9611915141397942</v>
      </c>
      <c r="U1863" s="361">
        <f t="shared" si="1908"/>
        <v>7.5054381758776287</v>
      </c>
      <c r="V1863" s="362">
        <f t="shared" si="1908"/>
        <v>9.4497219353386281</v>
      </c>
      <c r="X1863" s="351"/>
    </row>
    <row r="1864" spans="3:24" ht="24.75" customHeight="1" x14ac:dyDescent="0.3">
      <c r="C1864" s="353">
        <f>ABS(E1864-Dashboard!$F$14)</f>
        <v>29.386741410639743</v>
      </c>
      <c r="D1864" s="350">
        <f t="shared" si="1851"/>
        <v>0.25914999999998672</v>
      </c>
      <c r="E1864" s="359" cm="1">
        <f t="array" ref="E1864">1000*SUM('DRE + DCF'!$L$36/M1864,'DRE + DCF'!$N$36:$V$36/N1864:V1864,F1864/V1864)/Dashboard!$F$11</f>
        <v>67.603258589360252</v>
      </c>
      <c r="F1864" s="359">
        <f t="shared" si="1849"/>
        <v>10389164.181704503</v>
      </c>
      <c r="G1864" s="359">
        <f>'DRE + DCF'!$W$31</f>
        <v>2791623.3540418856</v>
      </c>
      <c r="H1864" s="359">
        <f>'DRE + DCF'!$W$32</f>
        <v>81081.931703745853</v>
      </c>
      <c r="I1864" s="359">
        <f>-H1864*('DRE + DCF'!$V$33+K1864)/'DRE + DCF'!$V$33</f>
        <v>-90858.801614444121</v>
      </c>
      <c r="J1864" s="359">
        <f>-'DRE + DCF'!$V$56*L1864</f>
        <v>-1188924.4255577971</v>
      </c>
      <c r="K1864" s="360">
        <f>(1+L1864)/(1+Ke!$O$12)-1</f>
        <v>2.0000000000000018E-2</v>
      </c>
      <c r="L1864" s="360">
        <f>'DRE + DCF'!$Y$31</f>
        <v>7.3550000000000004E-2</v>
      </c>
      <c r="M1864" s="361">
        <f>(1+D1864)^((5-Dashboard!$F$9)*3/12)</f>
        <v>1.1886612425950216</v>
      </c>
      <c r="N1864" s="361">
        <f t="shared" ref="N1864:V1864" si="1909">M1864*(1+$D1864)</f>
        <v>1.4967028036135055</v>
      </c>
      <c r="O1864" s="361">
        <f t="shared" si="1909"/>
        <v>1.8845733351699254</v>
      </c>
      <c r="P1864" s="361">
        <f t="shared" si="1909"/>
        <v>2.3729605149791864</v>
      </c>
      <c r="Q1864" s="361">
        <f t="shared" si="1909"/>
        <v>2.9879132324360107</v>
      </c>
      <c r="R1864" s="361">
        <f t="shared" si="1909"/>
        <v>3.7622309466217629</v>
      </c>
      <c r="S1864" s="361">
        <f t="shared" si="1909"/>
        <v>4.7372130964387429</v>
      </c>
      <c r="T1864" s="361">
        <f t="shared" si="1909"/>
        <v>5.9648618703807799</v>
      </c>
      <c r="U1864" s="361">
        <f t="shared" si="1909"/>
        <v>7.5106558240898798</v>
      </c>
      <c r="V1864" s="362">
        <f t="shared" si="1909"/>
        <v>9.4570422809026713</v>
      </c>
      <c r="X1864" s="351"/>
    </row>
    <row r="1865" spans="3:24" ht="24.75" customHeight="1" x14ac:dyDescent="0.3">
      <c r="C1865" s="353">
        <f>ABS(E1865-Dashboard!$F$14)</f>
        <v>29.42839970879443</v>
      </c>
      <c r="D1865" s="350">
        <f t="shared" si="1851"/>
        <v>0.25924999999998671</v>
      </c>
      <c r="E1865" s="359" cm="1">
        <f t="array" ref="E1865">1000*SUM('DRE + DCF'!$L$36/M1865,'DRE + DCF'!$N$36:$V$36/N1865:V1865,F1865/V1865)/Dashboard!$F$11</f>
        <v>67.561600291205565</v>
      </c>
      <c r="F1865" s="359">
        <f t="shared" si="1849"/>
        <v>10384452.97077414</v>
      </c>
      <c r="G1865" s="359">
        <f>'DRE + DCF'!$W$31</f>
        <v>2791623.3540418856</v>
      </c>
      <c r="H1865" s="359">
        <f>'DRE + DCF'!$W$32</f>
        <v>81081.931703745853</v>
      </c>
      <c r="I1865" s="359">
        <f>-H1865*('DRE + DCF'!$V$33+K1865)/'DRE + DCF'!$V$33</f>
        <v>-90858.801614444121</v>
      </c>
      <c r="J1865" s="359">
        <f>-'DRE + DCF'!$V$56*L1865</f>
        <v>-1188924.4255577971</v>
      </c>
      <c r="K1865" s="360">
        <f>(1+L1865)/(1+Ke!$O$12)-1</f>
        <v>2.0000000000000018E-2</v>
      </c>
      <c r="L1865" s="360">
        <f>'DRE + DCF'!$Y$31</f>
        <v>7.3550000000000004E-2</v>
      </c>
      <c r="M1865" s="361">
        <f>(1+D1865)^((5-Dashboard!$F$9)*3/12)</f>
        <v>1.1887320433004229</v>
      </c>
      <c r="N1865" s="361">
        <f t="shared" ref="N1865:V1865" si="1910">M1865*(1+$D1865)</f>
        <v>1.4969108255260417</v>
      </c>
      <c r="O1865" s="361">
        <f t="shared" si="1910"/>
        <v>1.8849849570436481</v>
      </c>
      <c r="P1865" s="361">
        <f t="shared" si="1910"/>
        <v>2.3736673071571888</v>
      </c>
      <c r="Q1865" s="361">
        <f t="shared" si="1910"/>
        <v>2.9890405565376583</v>
      </c>
      <c r="R1865" s="361">
        <f t="shared" si="1910"/>
        <v>3.7639493208200063</v>
      </c>
      <c r="S1865" s="361">
        <f t="shared" si="1910"/>
        <v>4.7397531822425432</v>
      </c>
      <c r="T1865" s="361">
        <f t="shared" si="1910"/>
        <v>5.9685341947388588</v>
      </c>
      <c r="U1865" s="361">
        <f t="shared" si="1910"/>
        <v>7.5158766847248284</v>
      </c>
      <c r="V1865" s="362">
        <f t="shared" si="1910"/>
        <v>9.4643677152396393</v>
      </c>
      <c r="X1865" s="351"/>
    </row>
    <row r="1866" spans="3:24" ht="24.75" customHeight="1" x14ac:dyDescent="0.3">
      <c r="C1866" s="353">
        <f>ABS(E1866-Dashboard!$F$14)</f>
        <v>29.470012992506923</v>
      </c>
      <c r="D1866" s="350">
        <f t="shared" si="1851"/>
        <v>0.2593499999999867</v>
      </c>
      <c r="E1866" s="359" cm="1">
        <f t="array" ref="E1866">1000*SUM('DRE + DCF'!$L$36/M1866,'DRE + DCF'!$N$36:$V$36/N1866:V1866,F1866/V1866)/Dashboard!$F$11</f>
        <v>67.519987007493071</v>
      </c>
      <c r="F1866" s="359">
        <f t="shared" si="1849"/>
        <v>10379746.150251802</v>
      </c>
      <c r="G1866" s="359">
        <f>'DRE + DCF'!$W$31</f>
        <v>2791623.3540418856</v>
      </c>
      <c r="H1866" s="359">
        <f>'DRE + DCF'!$W$32</f>
        <v>81081.931703745853</v>
      </c>
      <c r="I1866" s="359">
        <f>-H1866*('DRE + DCF'!$V$33+K1866)/'DRE + DCF'!$V$33</f>
        <v>-90858.801614444121</v>
      </c>
      <c r="J1866" s="359">
        <f>-'DRE + DCF'!$V$56*L1866</f>
        <v>-1188924.4255577971</v>
      </c>
      <c r="K1866" s="360">
        <f>(1+L1866)/(1+Ke!$O$12)-1</f>
        <v>2.0000000000000018E-2</v>
      </c>
      <c r="L1866" s="360">
        <f>'DRE + DCF'!$Y$31</f>
        <v>7.3550000000000004E-2</v>
      </c>
      <c r="M1866" s="361">
        <f>(1+D1866)^((5-Dashboard!$F$9)*3/12)</f>
        <v>1.188802842600226</v>
      </c>
      <c r="N1866" s="361">
        <f t="shared" ref="N1866:V1866" si="1911">M1866*(1+$D1866)</f>
        <v>1.4971188598285787</v>
      </c>
      <c r="O1866" s="361">
        <f t="shared" si="1911"/>
        <v>1.8853966361251007</v>
      </c>
      <c r="P1866" s="361">
        <f t="shared" si="1911"/>
        <v>2.3743742537041204</v>
      </c>
      <c r="Q1866" s="361">
        <f t="shared" si="1911"/>
        <v>2.9901682164022523</v>
      </c>
      <c r="R1866" s="361">
        <f t="shared" si="1911"/>
        <v>3.7656683433261366</v>
      </c>
      <c r="S1866" s="361">
        <f t="shared" si="1911"/>
        <v>4.7422944281677202</v>
      </c>
      <c r="T1866" s="361">
        <f t="shared" si="1911"/>
        <v>5.9722084881129547</v>
      </c>
      <c r="U1866" s="361">
        <f t="shared" si="1911"/>
        <v>7.5211007595049697</v>
      </c>
      <c r="V1866" s="362">
        <f t="shared" si="1911"/>
        <v>9.4716982414824837</v>
      </c>
      <c r="X1866" s="351"/>
    </row>
    <row r="1867" spans="3:24" ht="24.75" customHeight="1" x14ac:dyDescent="0.3">
      <c r="C1867" s="353">
        <f>ABS(E1867-Dashboard!$F$14)</f>
        <v>29.511581329691609</v>
      </c>
      <c r="D1867" s="350">
        <f t="shared" si="1851"/>
        <v>0.25944999999998669</v>
      </c>
      <c r="E1867" s="359" cm="1">
        <f t="array" ref="E1867">1000*SUM('DRE + DCF'!$L$36/M1867,'DRE + DCF'!$N$36:$V$36/N1867:V1867,F1867/V1867)/Dashboard!$F$11</f>
        <v>67.478418670308386</v>
      </c>
      <c r="F1867" s="359">
        <f t="shared" si="1849"/>
        <v>10375043.713839229</v>
      </c>
      <c r="G1867" s="359">
        <f>'DRE + DCF'!$W$31</f>
        <v>2791623.3540418856</v>
      </c>
      <c r="H1867" s="359">
        <f>'DRE + DCF'!$W$32</f>
        <v>81081.931703745853</v>
      </c>
      <c r="I1867" s="359">
        <f>-H1867*('DRE + DCF'!$V$33+K1867)/'DRE + DCF'!$V$33</f>
        <v>-90858.801614444121</v>
      </c>
      <c r="J1867" s="359">
        <f>-'DRE + DCF'!$V$56*L1867</f>
        <v>-1188924.4255577971</v>
      </c>
      <c r="K1867" s="360">
        <f>(1+L1867)/(1+Ke!$O$12)-1</f>
        <v>2.0000000000000018E-2</v>
      </c>
      <c r="L1867" s="360">
        <f>'DRE + DCF'!$Y$31</f>
        <v>7.3550000000000004E-2</v>
      </c>
      <c r="M1867" s="361">
        <f>(1+D1867)^((5-Dashboard!$F$9)*3/12)</f>
        <v>1.1888736404945697</v>
      </c>
      <c r="N1867" s="361">
        <f t="shared" ref="N1867:V1867" si="1912">M1867*(1+$D1867)</f>
        <v>1.4973269065208699</v>
      </c>
      <c r="O1867" s="361">
        <f t="shared" si="1912"/>
        <v>1.8858083724176895</v>
      </c>
      <c r="P1867" s="361">
        <f t="shared" si="1912"/>
        <v>2.3750813546414338</v>
      </c>
      <c r="Q1867" s="361">
        <f t="shared" si="1912"/>
        <v>2.9912962121031219</v>
      </c>
      <c r="R1867" s="361">
        <f t="shared" si="1912"/>
        <v>3.7673880143332368</v>
      </c>
      <c r="S1867" s="361">
        <f t="shared" si="1912"/>
        <v>4.7448368346519443</v>
      </c>
      <c r="T1867" s="361">
        <f t="shared" si="1912"/>
        <v>5.9758847514023277</v>
      </c>
      <c r="U1867" s="361">
        <f t="shared" si="1912"/>
        <v>7.5263280501535821</v>
      </c>
      <c r="V1867" s="362">
        <f t="shared" si="1912"/>
        <v>9.4790338627658279</v>
      </c>
      <c r="X1867" s="351"/>
    </row>
    <row r="1868" spans="3:24" ht="24.75" customHeight="1" x14ac:dyDescent="0.3">
      <c r="C1868" s="353">
        <f>ABS(E1868-Dashboard!$F$14)</f>
        <v>29.553104788130284</v>
      </c>
      <c r="D1868" s="350">
        <f t="shared" si="1851"/>
        <v>0.25954999999998668</v>
      </c>
      <c r="E1868" s="359" cm="1">
        <f t="array" ref="E1868">1000*SUM('DRE + DCF'!$L$36/M1868,'DRE + DCF'!$N$36:$V$36/N1868:V1868,F1868/V1868)/Dashboard!$F$11</f>
        <v>67.436895211869711</v>
      </c>
      <c r="F1868" s="359">
        <f t="shared" si="1849"/>
        <v>10370345.655250495</v>
      </c>
      <c r="G1868" s="359">
        <f>'DRE + DCF'!$W$31</f>
        <v>2791623.3540418856</v>
      </c>
      <c r="H1868" s="359">
        <f>'DRE + DCF'!$W$32</f>
        <v>81081.931703745853</v>
      </c>
      <c r="I1868" s="359">
        <f>-H1868*('DRE + DCF'!$V$33+K1868)/'DRE + DCF'!$V$33</f>
        <v>-90858.801614444121</v>
      </c>
      <c r="J1868" s="359">
        <f>-'DRE + DCF'!$V$56*L1868</f>
        <v>-1188924.4255577971</v>
      </c>
      <c r="K1868" s="360">
        <f>(1+L1868)/(1+Ke!$O$12)-1</f>
        <v>2.0000000000000018E-2</v>
      </c>
      <c r="L1868" s="360">
        <f>'DRE + DCF'!$Y$31</f>
        <v>7.3550000000000004E-2</v>
      </c>
      <c r="M1868" s="361">
        <f>(1+D1868)^((5-Dashboard!$F$9)*3/12)</f>
        <v>1.1889444369835938</v>
      </c>
      <c r="N1868" s="361">
        <f t="shared" ref="N1868:V1868" si="1913">M1868*(1+$D1868)</f>
        <v>1.4975349656026695</v>
      </c>
      <c r="O1868" s="361">
        <f t="shared" si="1913"/>
        <v>1.8862201659248223</v>
      </c>
      <c r="P1868" s="361">
        <f t="shared" si="1913"/>
        <v>2.3757886099905847</v>
      </c>
      <c r="Q1868" s="361">
        <f t="shared" si="1913"/>
        <v>2.992424543713609</v>
      </c>
      <c r="R1868" s="361">
        <f t="shared" si="1913"/>
        <v>3.7691083340344362</v>
      </c>
      <c r="S1868" s="361">
        <f t="shared" si="1913"/>
        <v>4.7473804021330235</v>
      </c>
      <c r="T1868" s="361">
        <f t="shared" si="1913"/>
        <v>5.9795629855065862</v>
      </c>
      <c r="U1868" s="361">
        <f t="shared" si="1913"/>
        <v>7.5315585583947406</v>
      </c>
      <c r="V1868" s="362">
        <f t="shared" si="1913"/>
        <v>9.4863745822259951</v>
      </c>
      <c r="X1868" s="351"/>
    </row>
    <row r="1869" spans="3:24" ht="24.75" customHeight="1" x14ac:dyDescent="0.3">
      <c r="C1869" s="353">
        <f>ABS(E1869-Dashboard!$F$14)</f>
        <v>29.594583435472217</v>
      </c>
      <c r="D1869" s="350">
        <f t="shared" si="1851"/>
        <v>0.25964999999998667</v>
      </c>
      <c r="E1869" s="359" cm="1">
        <f t="array" ref="E1869">1000*SUM('DRE + DCF'!$L$36/M1869,'DRE + DCF'!$N$36:$V$36/N1869:V1869,F1869/V1869)/Dashboard!$F$11</f>
        <v>67.395416564527778</v>
      </c>
      <c r="F1869" s="359">
        <f t="shared" si="1849"/>
        <v>10365651.968211975</v>
      </c>
      <c r="G1869" s="359">
        <f>'DRE + DCF'!$W$31</f>
        <v>2791623.3540418856</v>
      </c>
      <c r="H1869" s="359">
        <f>'DRE + DCF'!$W$32</f>
        <v>81081.931703745853</v>
      </c>
      <c r="I1869" s="359">
        <f>-H1869*('DRE + DCF'!$V$33+K1869)/'DRE + DCF'!$V$33</f>
        <v>-90858.801614444121</v>
      </c>
      <c r="J1869" s="359">
        <f>-'DRE + DCF'!$V$56*L1869</f>
        <v>-1188924.4255577971</v>
      </c>
      <c r="K1869" s="360">
        <f>(1+L1869)/(1+Ke!$O$12)-1</f>
        <v>2.0000000000000018E-2</v>
      </c>
      <c r="L1869" s="360">
        <f>'DRE + DCF'!$Y$31</f>
        <v>7.3550000000000004E-2</v>
      </c>
      <c r="M1869" s="361">
        <f>(1+D1869)^((5-Dashboard!$F$9)*3/12)</f>
        <v>1.1890152320674379</v>
      </c>
      <c r="N1869" s="361">
        <f t="shared" ref="N1869:V1869" si="1914">M1869*(1+$D1869)</f>
        <v>1.4977430370737321</v>
      </c>
      <c r="O1869" s="361">
        <f t="shared" si="1914"/>
        <v>1.8866320166499067</v>
      </c>
      <c r="P1869" s="361">
        <f t="shared" si="1914"/>
        <v>2.3764960197730298</v>
      </c>
      <c r="Q1869" s="361">
        <f t="shared" si="1914"/>
        <v>2.9935532113070651</v>
      </c>
      <c r="R1869" s="361">
        <f t="shared" si="1914"/>
        <v>3.7708293026229045</v>
      </c>
      <c r="S1869" s="361">
        <f t="shared" si="1914"/>
        <v>4.749925131048891</v>
      </c>
      <c r="T1869" s="361">
        <f t="shared" si="1914"/>
        <v>5.9832431913256716</v>
      </c>
      <c r="U1869" s="361">
        <f t="shared" si="1914"/>
        <v>7.5367922859533021</v>
      </c>
      <c r="V1869" s="362">
        <f t="shared" si="1914"/>
        <v>9.4937204030009763</v>
      </c>
      <c r="X1869" s="351"/>
    </row>
    <row r="1870" spans="3:24" ht="24.75" customHeight="1" x14ac:dyDescent="0.3">
      <c r="C1870" s="353">
        <f>ABS(E1870-Dashboard!$F$14)</f>
        <v>29.636017339234613</v>
      </c>
      <c r="D1870" s="350">
        <f t="shared" si="1851"/>
        <v>0.25974999999998666</v>
      </c>
      <c r="E1870" s="359" cm="1">
        <f t="array" ref="E1870">1000*SUM('DRE + DCF'!$L$36/M1870,'DRE + DCF'!$N$36:$V$36/N1870:V1870,F1870/V1870)/Dashboard!$F$11</f>
        <v>67.353982660765382</v>
      </c>
      <c r="F1870" s="359">
        <f t="shared" ref="F1870:F1933" si="1915">AVERAGE(SUM(G1870:J1870)*(1+L1870)/(D1870-L1870),G1870*(1+L1870)*(1-L1870/D1870)/(D1870-L1870))</f>
        <v>10360962.646462318</v>
      </c>
      <c r="G1870" s="359">
        <f>'DRE + DCF'!$W$31</f>
        <v>2791623.3540418856</v>
      </c>
      <c r="H1870" s="359">
        <f>'DRE + DCF'!$W$32</f>
        <v>81081.931703745853</v>
      </c>
      <c r="I1870" s="359">
        <f>-H1870*('DRE + DCF'!$V$33+K1870)/'DRE + DCF'!$V$33</f>
        <v>-90858.801614444121</v>
      </c>
      <c r="J1870" s="359">
        <f>-'DRE + DCF'!$V$56*L1870</f>
        <v>-1188924.4255577971</v>
      </c>
      <c r="K1870" s="360">
        <f>(1+L1870)/(1+Ke!$O$12)-1</f>
        <v>2.0000000000000018E-2</v>
      </c>
      <c r="L1870" s="360">
        <f>'DRE + DCF'!$Y$31</f>
        <v>7.3550000000000004E-2</v>
      </c>
      <c r="M1870" s="361">
        <f>(1+D1870)^((5-Dashboard!$F$9)*3/12)</f>
        <v>1.189086025746241</v>
      </c>
      <c r="N1870" s="361">
        <f t="shared" ref="N1870:V1870" si="1916">M1870*(1+$D1870)</f>
        <v>1.4979511209338112</v>
      </c>
      <c r="O1870" s="361">
        <f t="shared" si="1916"/>
        <v>1.8870439245963486</v>
      </c>
      <c r="P1870" s="361">
        <f t="shared" si="1916"/>
        <v>2.3772035840102248</v>
      </c>
      <c r="Q1870" s="361">
        <f t="shared" si="1916"/>
        <v>2.9946822149568488</v>
      </c>
      <c r="R1870" s="361">
        <f t="shared" si="1916"/>
        <v>3.7725509202918501</v>
      </c>
      <c r="S1870" s="361">
        <f t="shared" si="1916"/>
        <v>4.7524710218376081</v>
      </c>
      <c r="T1870" s="361">
        <f t="shared" si="1916"/>
        <v>5.986925369759863</v>
      </c>
      <c r="U1870" s="361">
        <f t="shared" si="1916"/>
        <v>7.5420292345549074</v>
      </c>
      <c r="V1870" s="362">
        <f t="shared" si="1916"/>
        <v>9.5010713282304433</v>
      </c>
      <c r="X1870" s="351"/>
    </row>
    <row r="1871" spans="3:24" ht="24.75" customHeight="1" x14ac:dyDescent="0.3">
      <c r="C1871" s="353">
        <f>ABS(E1871-Dashboard!$F$14)</f>
        <v>29.677406566802873</v>
      </c>
      <c r="D1871" s="350">
        <f t="shared" ref="D1871:D1934" si="1917">D1870+0.0001</f>
        <v>0.25984999999998665</v>
      </c>
      <c r="E1871" s="359" cm="1">
        <f t="array" ref="E1871">1000*SUM('DRE + DCF'!$L$36/M1871,'DRE + DCF'!$N$36:$V$36/N1871:V1871,F1871/V1871)/Dashboard!$F$11</f>
        <v>67.312593433197122</v>
      </c>
      <c r="F1871" s="359">
        <f t="shared" si="1915"/>
        <v>10356277.683752406</v>
      </c>
      <c r="G1871" s="359">
        <f>'DRE + DCF'!$W$31</f>
        <v>2791623.3540418856</v>
      </c>
      <c r="H1871" s="359">
        <f>'DRE + DCF'!$W$32</f>
        <v>81081.931703745853</v>
      </c>
      <c r="I1871" s="359">
        <f>-H1871*('DRE + DCF'!$V$33+K1871)/'DRE + DCF'!$V$33</f>
        <v>-90858.801614444121</v>
      </c>
      <c r="J1871" s="359">
        <f>-'DRE + DCF'!$V$56*L1871</f>
        <v>-1188924.4255577971</v>
      </c>
      <c r="K1871" s="360">
        <f>(1+L1871)/(1+Ke!$O$12)-1</f>
        <v>2.0000000000000018E-2</v>
      </c>
      <c r="L1871" s="360">
        <f>'DRE + DCF'!$Y$31</f>
        <v>7.3550000000000004E-2</v>
      </c>
      <c r="M1871" s="361">
        <f>(1+D1871)^((5-Dashboard!$F$9)*3/12)</f>
        <v>1.1891568180201431</v>
      </c>
      <c r="N1871" s="361">
        <f t="shared" ref="N1871:V1871" si="1918">M1871*(1+$D1871)</f>
        <v>1.4981592171826612</v>
      </c>
      <c r="O1871" s="361">
        <f t="shared" si="1918"/>
        <v>1.8874558897675557</v>
      </c>
      <c r="P1871" s="361">
        <f t="shared" si="1918"/>
        <v>2.3779113027236298</v>
      </c>
      <c r="Q1871" s="361">
        <f t="shared" si="1918"/>
        <v>2.9958115547363331</v>
      </c>
      <c r="R1871" s="361">
        <f t="shared" si="1918"/>
        <v>3.7742731872345292</v>
      </c>
      <c r="S1871" s="361">
        <f t="shared" si="1918"/>
        <v>4.7550180749373707</v>
      </c>
      <c r="T1871" s="361">
        <f t="shared" si="1918"/>
        <v>5.990609521709783</v>
      </c>
      <c r="U1871" s="361">
        <f t="shared" si="1918"/>
        <v>7.5472694059259897</v>
      </c>
      <c r="V1871" s="362">
        <f t="shared" si="1918"/>
        <v>9.508427361055757</v>
      </c>
      <c r="X1871" s="351"/>
    </row>
    <row r="1872" spans="3:24" ht="24.75" customHeight="1" x14ac:dyDescent="0.3">
      <c r="C1872" s="353">
        <f>ABS(E1872-Dashboard!$F$14)</f>
        <v>29.718751185430989</v>
      </c>
      <c r="D1872" s="350">
        <f t="shared" si="1917"/>
        <v>0.25994999999998664</v>
      </c>
      <c r="E1872" s="359" cm="1">
        <f t="array" ref="E1872">1000*SUM('DRE + DCF'!$L$36/M1872,'DRE + DCF'!$N$36:$V$36/N1872:V1872,F1872/V1872)/Dashboard!$F$11</f>
        <v>67.271248814569006</v>
      </c>
      <c r="F1872" s="359">
        <f t="shared" si="1915"/>
        <v>10351597.073845338</v>
      </c>
      <c r="G1872" s="359">
        <f>'DRE + DCF'!$W$31</f>
        <v>2791623.3540418856</v>
      </c>
      <c r="H1872" s="359">
        <f>'DRE + DCF'!$W$32</f>
        <v>81081.931703745853</v>
      </c>
      <c r="I1872" s="359">
        <f>-H1872*('DRE + DCF'!$V$33+K1872)/'DRE + DCF'!$V$33</f>
        <v>-90858.801614444121</v>
      </c>
      <c r="J1872" s="359">
        <f>-'DRE + DCF'!$V$56*L1872</f>
        <v>-1188924.4255577971</v>
      </c>
      <c r="K1872" s="360">
        <f>(1+L1872)/(1+Ke!$O$12)-1</f>
        <v>2.0000000000000018E-2</v>
      </c>
      <c r="L1872" s="360">
        <f>'DRE + DCF'!$Y$31</f>
        <v>7.3550000000000004E-2</v>
      </c>
      <c r="M1872" s="361">
        <f>(1+D1872)^((5-Dashboard!$F$9)*3/12)</f>
        <v>1.189227608889283</v>
      </c>
      <c r="N1872" s="361">
        <f t="shared" ref="N1872:V1872" si="1919">M1872*(1+$D1872)</f>
        <v>1.4983673258200363</v>
      </c>
      <c r="O1872" s="361">
        <f t="shared" si="1919"/>
        <v>1.8878679121669346</v>
      </c>
      <c r="P1872" s="361">
        <f t="shared" si="1919"/>
        <v>2.3786191759347037</v>
      </c>
      <c r="Q1872" s="361">
        <f t="shared" si="1919"/>
        <v>2.9969412307188978</v>
      </c>
      <c r="R1872" s="361">
        <f t="shared" si="1919"/>
        <v>3.7759961036442351</v>
      </c>
      <c r="S1872" s="361">
        <f t="shared" si="1919"/>
        <v>4.7575662907865031</v>
      </c>
      <c r="T1872" s="361">
        <f t="shared" si="1919"/>
        <v>5.9942956480763909</v>
      </c>
      <c r="U1872" s="361">
        <f t="shared" si="1919"/>
        <v>7.5525128017937684</v>
      </c>
      <c r="V1872" s="362">
        <f t="shared" si="1919"/>
        <v>9.5157885046199571</v>
      </c>
      <c r="X1872" s="351"/>
    </row>
    <row r="1873" spans="3:24" ht="24.75" customHeight="1" x14ac:dyDescent="0.3">
      <c r="C1873" s="353">
        <f>ABS(E1873-Dashboard!$F$14)</f>
        <v>29.760051262241703</v>
      </c>
      <c r="D1873" s="350">
        <f t="shared" si="1917"/>
        <v>0.26004999999998663</v>
      </c>
      <c r="E1873" s="359" cm="1">
        <f t="array" ref="E1873">1000*SUM('DRE + DCF'!$L$36/M1873,'DRE + DCF'!$N$36:$V$36/N1873:V1873,F1873/V1873)/Dashboard!$F$11</f>
        <v>67.229948737758292</v>
      </c>
      <c r="F1873" s="359">
        <f t="shared" si="1915"/>
        <v>10346920.810516393</v>
      </c>
      <c r="G1873" s="359">
        <f>'DRE + DCF'!$W$31</f>
        <v>2791623.3540418856</v>
      </c>
      <c r="H1873" s="359">
        <f>'DRE + DCF'!$W$32</f>
        <v>81081.931703745853</v>
      </c>
      <c r="I1873" s="359">
        <f>-H1873*('DRE + DCF'!$V$33+K1873)/'DRE + DCF'!$V$33</f>
        <v>-90858.801614444121</v>
      </c>
      <c r="J1873" s="359">
        <f>-'DRE + DCF'!$V$56*L1873</f>
        <v>-1188924.4255577971</v>
      </c>
      <c r="K1873" s="360">
        <f>(1+L1873)/(1+Ke!$O$12)-1</f>
        <v>2.0000000000000018E-2</v>
      </c>
      <c r="L1873" s="360">
        <f>'DRE + DCF'!$Y$31</f>
        <v>7.3550000000000004E-2</v>
      </c>
      <c r="M1873" s="361">
        <f>(1+D1873)^((5-Dashboard!$F$9)*3/12)</f>
        <v>1.1892983983538006</v>
      </c>
      <c r="N1873" s="361">
        <f t="shared" ref="N1873:V1873" si="1920">M1873*(1+$D1873)</f>
        <v>1.4985754468456904</v>
      </c>
      <c r="O1873" s="361">
        <f t="shared" si="1920"/>
        <v>1.8882799917978921</v>
      </c>
      <c r="P1873" s="361">
        <f t="shared" si="1920"/>
        <v>2.3793272036649085</v>
      </c>
      <c r="Q1873" s="361">
        <f t="shared" si="1920"/>
        <v>2.9980712429779359</v>
      </c>
      <c r="R1873" s="361">
        <f t="shared" si="1920"/>
        <v>3.7777196697143078</v>
      </c>
      <c r="S1873" s="361">
        <f t="shared" si="1920"/>
        <v>4.7601156698234632</v>
      </c>
      <c r="T1873" s="361">
        <f t="shared" si="1920"/>
        <v>5.9979837497609907</v>
      </c>
      <c r="U1873" s="361">
        <f t="shared" si="1920"/>
        <v>7.5577594238862558</v>
      </c>
      <c r="V1873" s="362">
        <f t="shared" si="1920"/>
        <v>9.5231547620677759</v>
      </c>
      <c r="X1873" s="351"/>
    </row>
    <row r="1874" spans="3:24" ht="24.75" customHeight="1" x14ac:dyDescent="0.3">
      <c r="C1874" s="353">
        <f>ABS(E1874-Dashboard!$F$14)</f>
        <v>29.801306864227058</v>
      </c>
      <c r="D1874" s="350">
        <f t="shared" si="1917"/>
        <v>0.26014999999998661</v>
      </c>
      <c r="E1874" s="359" cm="1">
        <f t="array" ref="E1874">1000*SUM('DRE + DCF'!$L$36/M1874,'DRE + DCF'!$N$36:$V$36/N1874:V1874,F1874/V1874)/Dashboard!$F$11</f>
        <v>67.188693135772937</v>
      </c>
      <c r="F1874" s="359">
        <f t="shared" si="1915"/>
        <v>10342248.887552992</v>
      </c>
      <c r="G1874" s="359">
        <f>'DRE + DCF'!$W$31</f>
        <v>2791623.3540418856</v>
      </c>
      <c r="H1874" s="359">
        <f>'DRE + DCF'!$W$32</f>
        <v>81081.931703745853</v>
      </c>
      <c r="I1874" s="359">
        <f>-H1874*('DRE + DCF'!$V$33+K1874)/'DRE + DCF'!$V$33</f>
        <v>-90858.801614444121</v>
      </c>
      <c r="J1874" s="359">
        <f>-'DRE + DCF'!$V$56*L1874</f>
        <v>-1188924.4255577971</v>
      </c>
      <c r="K1874" s="360">
        <f>(1+L1874)/(1+Ke!$O$12)-1</f>
        <v>2.0000000000000018E-2</v>
      </c>
      <c r="L1874" s="360">
        <f>'DRE + DCF'!$Y$31</f>
        <v>7.3550000000000004E-2</v>
      </c>
      <c r="M1874" s="361">
        <f>(1+D1874)^((5-Dashboard!$F$9)*3/12)</f>
        <v>1.1893691864138349</v>
      </c>
      <c r="N1874" s="361">
        <f t="shared" ref="N1874:V1874" si="1921">M1874*(1+$D1874)</f>
        <v>1.4987835802593781</v>
      </c>
      <c r="O1874" s="361">
        <f t="shared" si="1921"/>
        <v>1.8886921286638352</v>
      </c>
      <c r="P1874" s="361">
        <f t="shared" si="1921"/>
        <v>2.3800353859357064</v>
      </c>
      <c r="Q1874" s="361">
        <f t="shared" si="1921"/>
        <v>2.9992015915868486</v>
      </c>
      <c r="R1874" s="361">
        <f t="shared" si="1921"/>
        <v>3.7794438856381269</v>
      </c>
      <c r="S1874" s="361">
        <f t="shared" si="1921"/>
        <v>4.7626662124868346</v>
      </c>
      <c r="T1874" s="361">
        <f t="shared" si="1921"/>
        <v>6.0016738276652211</v>
      </c>
      <c r="U1874" s="361">
        <f t="shared" si="1921"/>
        <v>7.5630092739322476</v>
      </c>
      <c r="V1874" s="362">
        <f t="shared" si="1921"/>
        <v>9.5305261365456211</v>
      </c>
      <c r="X1874" s="351"/>
    </row>
    <row r="1875" spans="3:24" ht="24.75" customHeight="1" x14ac:dyDescent="0.3">
      <c r="C1875" s="353">
        <f>ABS(E1875-Dashboard!$F$14)</f>
        <v>29.842518058248501</v>
      </c>
      <c r="D1875" s="350">
        <f t="shared" si="1917"/>
        <v>0.2602499999999866</v>
      </c>
      <c r="E1875" s="359" cm="1">
        <f t="array" ref="E1875">1000*SUM('DRE + DCF'!$L$36/M1875,'DRE + DCF'!$N$36:$V$36/N1875:V1875,F1875/V1875)/Dashboard!$F$11</f>
        <v>67.147481941751494</v>
      </c>
      <c r="F1875" s="359">
        <f t="shared" si="1915"/>
        <v>10337581.298754685</v>
      </c>
      <c r="G1875" s="359">
        <f>'DRE + DCF'!$W$31</f>
        <v>2791623.3540418856</v>
      </c>
      <c r="H1875" s="359">
        <f>'DRE + DCF'!$W$32</f>
        <v>81081.931703745853</v>
      </c>
      <c r="I1875" s="359">
        <f>-H1875*('DRE + DCF'!$V$33+K1875)/'DRE + DCF'!$V$33</f>
        <v>-90858.801614444121</v>
      </c>
      <c r="J1875" s="359">
        <f>-'DRE + DCF'!$V$56*L1875</f>
        <v>-1188924.4255577971</v>
      </c>
      <c r="K1875" s="360">
        <f>(1+L1875)/(1+Ke!$O$12)-1</f>
        <v>2.0000000000000018E-2</v>
      </c>
      <c r="L1875" s="360">
        <f>'DRE + DCF'!$Y$31</f>
        <v>7.3550000000000004E-2</v>
      </c>
      <c r="M1875" s="361">
        <f>(1+D1875)^((5-Dashboard!$F$9)*3/12)</f>
        <v>1.1894399730695255</v>
      </c>
      <c r="N1875" s="361">
        <f t="shared" ref="N1875:V1875" si="1922">M1875*(1+$D1875)</f>
        <v>1.4989917260608536</v>
      </c>
      <c r="O1875" s="361">
        <f t="shared" si="1922"/>
        <v>1.8891043227681705</v>
      </c>
      <c r="P1875" s="361">
        <f t="shared" si="1922"/>
        <v>2.3807437227685613</v>
      </c>
      <c r="Q1875" s="361">
        <f t="shared" si="1922"/>
        <v>3.0003322766190474</v>
      </c>
      <c r="R1875" s="361">
        <f t="shared" si="1922"/>
        <v>3.7811687516091141</v>
      </c>
      <c r="S1875" s="361">
        <f t="shared" si="1922"/>
        <v>4.7652179192153357</v>
      </c>
      <c r="T1875" s="361">
        <f t="shared" si="1922"/>
        <v>6.0053658826910628</v>
      </c>
      <c r="U1875" s="361">
        <f t="shared" si="1922"/>
        <v>7.5682623536613312</v>
      </c>
      <c r="V1875" s="362">
        <f t="shared" si="1922"/>
        <v>9.5379026312015913</v>
      </c>
      <c r="X1875" s="351"/>
    </row>
    <row r="1876" spans="3:24" ht="24.75" customHeight="1" x14ac:dyDescent="0.3">
      <c r="C1876" s="353">
        <f>ABS(E1876-Dashboard!$F$14)</f>
        <v>29.883684911037264</v>
      </c>
      <c r="D1876" s="350">
        <f t="shared" si="1917"/>
        <v>0.26034999999998659</v>
      </c>
      <c r="E1876" s="359" cm="1">
        <f t="array" ref="E1876">1000*SUM('DRE + DCF'!$L$36/M1876,'DRE + DCF'!$N$36:$V$36/N1876:V1876,F1876/V1876)/Dashboard!$F$11</f>
        <v>67.106315088962731</v>
      </c>
      <c r="F1876" s="359">
        <f t="shared" si="1915"/>
        <v>10332918.037933104</v>
      </c>
      <c r="G1876" s="359">
        <f>'DRE + DCF'!$W$31</f>
        <v>2791623.3540418856</v>
      </c>
      <c r="H1876" s="359">
        <f>'DRE + DCF'!$W$32</f>
        <v>81081.931703745853</v>
      </c>
      <c r="I1876" s="359">
        <f>-H1876*('DRE + DCF'!$V$33+K1876)/'DRE + DCF'!$V$33</f>
        <v>-90858.801614444121</v>
      </c>
      <c r="J1876" s="359">
        <f>-'DRE + DCF'!$V$56*L1876</f>
        <v>-1188924.4255577971</v>
      </c>
      <c r="K1876" s="360">
        <f>(1+L1876)/(1+Ke!$O$12)-1</f>
        <v>2.0000000000000018E-2</v>
      </c>
      <c r="L1876" s="360">
        <f>'DRE + DCF'!$Y$31</f>
        <v>7.3550000000000004E-2</v>
      </c>
      <c r="M1876" s="361">
        <f>(1+D1876)^((5-Dashboard!$F$9)*3/12)</f>
        <v>1.1895107583210112</v>
      </c>
      <c r="N1876" s="361">
        <f t="shared" ref="N1876:V1876" si="1923">M1876*(1+$D1876)</f>
        <v>1.4991998842498704</v>
      </c>
      <c r="O1876" s="361">
        <f t="shared" si="1923"/>
        <v>1.8895165741143038</v>
      </c>
      <c r="P1876" s="361">
        <f t="shared" si="1923"/>
        <v>2.3814522141849372</v>
      </c>
      <c r="Q1876" s="361">
        <f t="shared" si="1923"/>
        <v>3.0014632981479537</v>
      </c>
      <c r="R1876" s="361">
        <f t="shared" si="1923"/>
        <v>3.7828942678207329</v>
      </c>
      <c r="S1876" s="361">
        <f t="shared" si="1923"/>
        <v>4.7677707904478099</v>
      </c>
      <c r="T1876" s="361">
        <f t="shared" si="1923"/>
        <v>6.0090599157408331</v>
      </c>
      <c r="U1876" s="361">
        <f t="shared" si="1923"/>
        <v>7.5735186648038777</v>
      </c>
      <c r="V1876" s="362">
        <f t="shared" si="1923"/>
        <v>9.5452842491854657</v>
      </c>
      <c r="X1876" s="351"/>
    </row>
    <row r="1877" spans="3:24" ht="24.75" customHeight="1" x14ac:dyDescent="0.3">
      <c r="C1877" s="353">
        <f>ABS(E1877-Dashboard!$F$14)</f>
        <v>29.924807489194833</v>
      </c>
      <c r="D1877" s="350">
        <f t="shared" si="1917"/>
        <v>0.26044999999998658</v>
      </c>
      <c r="E1877" s="359" cm="1">
        <f t="array" ref="E1877">1000*SUM('DRE + DCF'!$L$36/M1877,'DRE + DCF'!$N$36:$V$36/N1877:V1877,F1877/V1877)/Dashboard!$F$11</f>
        <v>67.065192510805161</v>
      </c>
      <c r="F1877" s="359">
        <f t="shared" si="1915"/>
        <v>10328259.098911937</v>
      </c>
      <c r="G1877" s="359">
        <f>'DRE + DCF'!$W$31</f>
        <v>2791623.3540418856</v>
      </c>
      <c r="H1877" s="359">
        <f>'DRE + DCF'!$W$32</f>
        <v>81081.931703745853</v>
      </c>
      <c r="I1877" s="359">
        <f>-H1877*('DRE + DCF'!$V$33+K1877)/'DRE + DCF'!$V$33</f>
        <v>-90858.801614444121</v>
      </c>
      <c r="J1877" s="359">
        <f>-'DRE + DCF'!$V$56*L1877</f>
        <v>-1188924.4255577971</v>
      </c>
      <c r="K1877" s="360">
        <f>(1+L1877)/(1+Ke!$O$12)-1</f>
        <v>2.0000000000000018E-2</v>
      </c>
      <c r="L1877" s="360">
        <f>'DRE + DCF'!$Y$31</f>
        <v>7.3550000000000004E-2</v>
      </c>
      <c r="M1877" s="361">
        <f>(1+D1877)^((5-Dashboard!$F$9)*3/12)</f>
        <v>1.1895815421684317</v>
      </c>
      <c r="N1877" s="361">
        <f t="shared" ref="N1877:V1877" si="1924">M1877*(1+$D1877)</f>
        <v>1.4994080548261837</v>
      </c>
      <c r="O1877" s="361">
        <f t="shared" si="1924"/>
        <v>1.8899288827056431</v>
      </c>
      <c r="P1877" s="361">
        <f t="shared" si="1924"/>
        <v>2.3821608602063025</v>
      </c>
      <c r="Q1877" s="361">
        <f t="shared" si="1924"/>
        <v>3.0025946562470018</v>
      </c>
      <c r="R1877" s="361">
        <f t="shared" si="1924"/>
        <v>3.7846204344664929</v>
      </c>
      <c r="S1877" s="361">
        <f t="shared" si="1924"/>
        <v>4.7703248266232396</v>
      </c>
      <c r="T1877" s="361">
        <f t="shared" si="1924"/>
        <v>6.0127559277171985</v>
      </c>
      <c r="U1877" s="361">
        <f t="shared" si="1924"/>
        <v>7.5787782090910616</v>
      </c>
      <c r="V1877" s="362">
        <f t="shared" si="1924"/>
        <v>9.5526709936487268</v>
      </c>
      <c r="X1877" s="351"/>
    </row>
    <row r="1878" spans="3:24" ht="24.75" customHeight="1" x14ac:dyDescent="0.3">
      <c r="C1878" s="353">
        <f>ABS(E1878-Dashboard!$F$14)</f>
        <v>29.965885859193008</v>
      </c>
      <c r="D1878" s="350">
        <f t="shared" si="1917"/>
        <v>0.26054999999998657</v>
      </c>
      <c r="E1878" s="359" cm="1">
        <f t="array" ref="E1878">1000*SUM('DRE + DCF'!$L$36/M1878,'DRE + DCF'!$N$36:$V$36/N1878:V1878,F1878/V1878)/Dashboard!$F$11</f>
        <v>67.024114140806986</v>
      </c>
      <c r="F1878" s="359">
        <f t="shared" si="1915"/>
        <v>10323604.47552691</v>
      </c>
      <c r="G1878" s="359">
        <f>'DRE + DCF'!$W$31</f>
        <v>2791623.3540418856</v>
      </c>
      <c r="H1878" s="359">
        <f>'DRE + DCF'!$W$32</f>
        <v>81081.931703745853</v>
      </c>
      <c r="I1878" s="359">
        <f>-H1878*('DRE + DCF'!$V$33+K1878)/'DRE + DCF'!$V$33</f>
        <v>-90858.801614444121</v>
      </c>
      <c r="J1878" s="359">
        <f>-'DRE + DCF'!$V$56*L1878</f>
        <v>-1188924.4255577971</v>
      </c>
      <c r="K1878" s="360">
        <f>(1+L1878)/(1+Ke!$O$12)-1</f>
        <v>2.0000000000000018E-2</v>
      </c>
      <c r="L1878" s="360">
        <f>'DRE + DCF'!$Y$31</f>
        <v>7.3550000000000004E-2</v>
      </c>
      <c r="M1878" s="361">
        <f>(1+D1878)^((5-Dashboard!$F$9)*3/12)</f>
        <v>1.1896523246119262</v>
      </c>
      <c r="N1878" s="361">
        <f t="shared" ref="N1878:V1878" si="1925">M1878*(1+$D1878)</f>
        <v>1.4996162377895474</v>
      </c>
      <c r="O1878" s="361">
        <f t="shared" si="1925"/>
        <v>1.8903412485455937</v>
      </c>
      <c r="P1878" s="361">
        <f t="shared" si="1925"/>
        <v>2.3828696608541224</v>
      </c>
      <c r="Q1878" s="361">
        <f t="shared" si="1925"/>
        <v>3.0037263509896319</v>
      </c>
      <c r="R1878" s="361">
        <f t="shared" si="1925"/>
        <v>3.7863472517399401</v>
      </c>
      <c r="S1878" s="361">
        <f t="shared" si="1925"/>
        <v>4.7728800281807304</v>
      </c>
      <c r="T1878" s="361">
        <f t="shared" si="1925"/>
        <v>6.0164539195231557</v>
      </c>
      <c r="U1878" s="361">
        <f t="shared" si="1925"/>
        <v>7.5840409882548325</v>
      </c>
      <c r="V1878" s="362">
        <f t="shared" si="1925"/>
        <v>9.5600628677445272</v>
      </c>
      <c r="X1878" s="351"/>
    </row>
    <row r="1879" spans="3:24" ht="24.75" customHeight="1" x14ac:dyDescent="0.3">
      <c r="C1879" s="353">
        <f>ABS(E1879-Dashboard!$F$14)</f>
        <v>30.006920087374411</v>
      </c>
      <c r="D1879" s="350">
        <f t="shared" si="1917"/>
        <v>0.26064999999998656</v>
      </c>
      <c r="E1879" s="359" cm="1">
        <f t="array" ref="E1879">1000*SUM('DRE + DCF'!$L$36/M1879,'DRE + DCF'!$N$36:$V$36/N1879:V1879,F1879/V1879)/Dashboard!$F$11</f>
        <v>66.983079912625584</v>
      </c>
      <c r="F1879" s="359">
        <f t="shared" si="1915"/>
        <v>10318954.161625743</v>
      </c>
      <c r="G1879" s="359">
        <f>'DRE + DCF'!$W$31</f>
        <v>2791623.3540418856</v>
      </c>
      <c r="H1879" s="359">
        <f>'DRE + DCF'!$W$32</f>
        <v>81081.931703745853</v>
      </c>
      <c r="I1879" s="359">
        <f>-H1879*('DRE + DCF'!$V$33+K1879)/'DRE + DCF'!$V$33</f>
        <v>-90858.801614444121</v>
      </c>
      <c r="J1879" s="359">
        <f>-'DRE + DCF'!$V$56*L1879</f>
        <v>-1188924.4255577971</v>
      </c>
      <c r="K1879" s="360">
        <f>(1+L1879)/(1+Ke!$O$12)-1</f>
        <v>2.0000000000000018E-2</v>
      </c>
      <c r="L1879" s="360">
        <f>'DRE + DCF'!$Y$31</f>
        <v>7.3550000000000004E-2</v>
      </c>
      <c r="M1879" s="361">
        <f>(1+D1879)^((5-Dashboard!$F$9)*3/12)</f>
        <v>1.1897231056516337</v>
      </c>
      <c r="N1879" s="361">
        <f t="shared" ref="N1879:V1879" si="1926">M1879*(1+$D1879)</f>
        <v>1.4998244331397161</v>
      </c>
      <c r="O1879" s="361">
        <f t="shared" si="1926"/>
        <v>1.8907536716375628</v>
      </c>
      <c r="P1879" s="361">
        <f t="shared" si="1926"/>
        <v>2.383578616149868</v>
      </c>
      <c r="Q1879" s="361">
        <f t="shared" si="1926"/>
        <v>3.0048583824492989</v>
      </c>
      <c r="R1879" s="361">
        <f t="shared" si="1926"/>
        <v>3.7880747198346683</v>
      </c>
      <c r="S1879" s="361">
        <f t="shared" si="1926"/>
        <v>4.7754363955595238</v>
      </c>
      <c r="T1879" s="361">
        <f t="shared" si="1926"/>
        <v>6.0201538920620496</v>
      </c>
      <c r="U1879" s="361">
        <f t="shared" si="1926"/>
        <v>7.5893070040279413</v>
      </c>
      <c r="V1879" s="362">
        <f t="shared" si="1926"/>
        <v>9.5674598746277226</v>
      </c>
      <c r="X1879" s="351"/>
    </row>
    <row r="1880" spans="3:24" ht="24.75" customHeight="1" x14ac:dyDescent="0.3">
      <c r="C1880" s="353">
        <f>ABS(E1880-Dashboard!$F$14)</f>
        <v>30.047910239952671</v>
      </c>
      <c r="D1880" s="350">
        <f t="shared" si="1917"/>
        <v>0.26074999999998655</v>
      </c>
      <c r="E1880" s="359" cm="1">
        <f t="array" ref="E1880">1000*SUM('DRE + DCF'!$L$36/M1880,'DRE + DCF'!$N$36:$V$36/N1880:V1880,F1880/V1880)/Dashboard!$F$11</f>
        <v>66.942089760047324</v>
      </c>
      <c r="F1880" s="359">
        <f t="shared" si="1915"/>
        <v>10314308.151068125</v>
      </c>
      <c r="G1880" s="359">
        <f>'DRE + DCF'!$W$31</f>
        <v>2791623.3540418856</v>
      </c>
      <c r="H1880" s="359">
        <f>'DRE + DCF'!$W$32</f>
        <v>81081.931703745853</v>
      </c>
      <c r="I1880" s="359">
        <f>-H1880*('DRE + DCF'!$V$33+K1880)/'DRE + DCF'!$V$33</f>
        <v>-90858.801614444121</v>
      </c>
      <c r="J1880" s="359">
        <f>-'DRE + DCF'!$V$56*L1880</f>
        <v>-1188924.4255577971</v>
      </c>
      <c r="K1880" s="360">
        <f>(1+L1880)/(1+Ke!$O$12)-1</f>
        <v>2.0000000000000018E-2</v>
      </c>
      <c r="L1880" s="360">
        <f>'DRE + DCF'!$Y$31</f>
        <v>7.3550000000000004E-2</v>
      </c>
      <c r="M1880" s="361">
        <f>(1+D1880)^((5-Dashboard!$F$9)*3/12)</f>
        <v>1.1897938852876937</v>
      </c>
      <c r="N1880" s="361">
        <f t="shared" ref="N1880:V1880" si="1927">M1880*(1+$D1880)</f>
        <v>1.5000326408764437</v>
      </c>
      <c r="O1880" s="361">
        <f t="shared" si="1927"/>
        <v>1.8911661519849561</v>
      </c>
      <c r="P1880" s="361">
        <f t="shared" si="1927"/>
        <v>2.3842877261150077</v>
      </c>
      <c r="Q1880" s="361">
        <f t="shared" si="1927"/>
        <v>3.0059907506994636</v>
      </c>
      <c r="R1880" s="361">
        <f t="shared" si="1927"/>
        <v>3.7898028389443081</v>
      </c>
      <c r="S1880" s="361">
        <f t="shared" si="1927"/>
        <v>4.7779939291989857</v>
      </c>
      <c r="T1880" s="361">
        <f t="shared" si="1927"/>
        <v>6.0238558462375567</v>
      </c>
      <c r="U1880" s="361">
        <f t="shared" si="1927"/>
        <v>7.5945762581439178</v>
      </c>
      <c r="V1880" s="362">
        <f t="shared" si="1927"/>
        <v>9.5748620174548424</v>
      </c>
      <c r="X1880" s="351"/>
    </row>
    <row r="1881" spans="3:24" ht="24.75" customHeight="1" x14ac:dyDescent="0.3">
      <c r="C1881" s="353">
        <f>ABS(E1881-Dashboard!$F$14)</f>
        <v>30.088856383012867</v>
      </c>
      <c r="D1881" s="350">
        <f t="shared" si="1917"/>
        <v>0.26084999999998654</v>
      </c>
      <c r="E1881" s="359" cm="1">
        <f t="array" ref="E1881">1000*SUM('DRE + DCF'!$L$36/M1881,'DRE + DCF'!$N$36:$V$36/N1881:V1881,F1881/V1881)/Dashboard!$F$11</f>
        <v>66.901143616987127</v>
      </c>
      <c r="F1881" s="359">
        <f t="shared" si="1915"/>
        <v>10309666.437725682</v>
      </c>
      <c r="G1881" s="359">
        <f>'DRE + DCF'!$W$31</f>
        <v>2791623.3540418856</v>
      </c>
      <c r="H1881" s="359">
        <f>'DRE + DCF'!$W$32</f>
        <v>81081.931703745853</v>
      </c>
      <c r="I1881" s="359">
        <f>-H1881*('DRE + DCF'!$V$33+K1881)/'DRE + DCF'!$V$33</f>
        <v>-90858.801614444121</v>
      </c>
      <c r="J1881" s="359">
        <f>-'DRE + DCF'!$V$56*L1881</f>
        <v>-1188924.4255577971</v>
      </c>
      <c r="K1881" s="360">
        <f>(1+L1881)/(1+Ke!$O$12)-1</f>
        <v>2.0000000000000018E-2</v>
      </c>
      <c r="L1881" s="360">
        <f>'DRE + DCF'!$Y$31</f>
        <v>7.3550000000000004E-2</v>
      </c>
      <c r="M1881" s="361">
        <f>(1+D1881)^((5-Dashboard!$F$9)*3/12)</f>
        <v>1.189864663520245</v>
      </c>
      <c r="N1881" s="361">
        <f t="shared" ref="N1881:V1881" si="1928">M1881*(1+$D1881)</f>
        <v>1.5002408609994848</v>
      </c>
      <c r="O1881" s="361">
        <f t="shared" si="1928"/>
        <v>1.8915786895911801</v>
      </c>
      <c r="P1881" s="361">
        <f t="shared" si="1928"/>
        <v>2.3849969907710138</v>
      </c>
      <c r="Q1881" s="361">
        <f t="shared" si="1928"/>
        <v>3.0071234558136006</v>
      </c>
      <c r="R1881" s="361">
        <f t="shared" si="1928"/>
        <v>3.7915316092625377</v>
      </c>
      <c r="S1881" s="361">
        <f t="shared" si="1928"/>
        <v>4.7805526295386196</v>
      </c>
      <c r="T1881" s="361">
        <f t="shared" si="1928"/>
        <v>6.0275597829537038</v>
      </c>
      <c r="U1881" s="361">
        <f t="shared" si="1928"/>
        <v>7.5998487523370963</v>
      </c>
      <c r="V1881" s="362">
        <f t="shared" si="1928"/>
        <v>9.5822692993841247</v>
      </c>
      <c r="X1881" s="351"/>
    </row>
    <row r="1882" spans="3:24" ht="24.75" customHeight="1" x14ac:dyDescent="0.3">
      <c r="C1882" s="353">
        <f>ABS(E1882-Dashboard!$F$14)</f>
        <v>30.129758582511712</v>
      </c>
      <c r="D1882" s="350">
        <f t="shared" si="1917"/>
        <v>0.26094999999998653</v>
      </c>
      <c r="E1882" s="359" cm="1">
        <f t="array" ref="E1882">1000*SUM('DRE + DCF'!$L$36/M1882,'DRE + DCF'!$N$36:$V$36/N1882:V1882,F1882/V1882)/Dashboard!$F$11</f>
        <v>66.860241417488282</v>
      </c>
      <c r="F1882" s="359">
        <f t="shared" si="1915"/>
        <v>10305029.015481956</v>
      </c>
      <c r="G1882" s="359">
        <f>'DRE + DCF'!$W$31</f>
        <v>2791623.3540418856</v>
      </c>
      <c r="H1882" s="359">
        <f>'DRE + DCF'!$W$32</f>
        <v>81081.931703745853</v>
      </c>
      <c r="I1882" s="359">
        <f>-H1882*('DRE + DCF'!$V$33+K1882)/'DRE + DCF'!$V$33</f>
        <v>-90858.801614444121</v>
      </c>
      <c r="J1882" s="359">
        <f>-'DRE + DCF'!$V$56*L1882</f>
        <v>-1188924.4255577971</v>
      </c>
      <c r="K1882" s="360">
        <f>(1+L1882)/(1+Ke!$O$12)-1</f>
        <v>2.0000000000000018E-2</v>
      </c>
      <c r="L1882" s="360">
        <f>'DRE + DCF'!$Y$31</f>
        <v>7.3550000000000004E-2</v>
      </c>
      <c r="M1882" s="361">
        <f>(1+D1882)^((5-Dashboard!$F$9)*3/12)</f>
        <v>1.1899354403494269</v>
      </c>
      <c r="N1882" s="361">
        <f t="shared" ref="N1882:V1882" si="1929">M1882*(1+$D1882)</f>
        <v>1.5004490935085937</v>
      </c>
      <c r="O1882" s="361">
        <f t="shared" si="1929"/>
        <v>1.8919912844596409</v>
      </c>
      <c r="P1882" s="361">
        <f t="shared" si="1929"/>
        <v>2.3857064101393588</v>
      </c>
      <c r="Q1882" s="361">
        <f t="shared" si="1929"/>
        <v>3.008256497865192</v>
      </c>
      <c r="R1882" s="361">
        <f t="shared" si="1929"/>
        <v>3.7932610309830732</v>
      </c>
      <c r="S1882" s="361">
        <f t="shared" si="1929"/>
        <v>4.7831124970180552</v>
      </c>
      <c r="T1882" s="361">
        <f t="shared" si="1929"/>
        <v>6.031265703114852</v>
      </c>
      <c r="U1882" s="361">
        <f t="shared" si="1929"/>
        <v>7.6051244883425912</v>
      </c>
      <c r="V1882" s="362">
        <f t="shared" si="1929"/>
        <v>9.5896817235754881</v>
      </c>
      <c r="X1882" s="351"/>
    </row>
    <row r="1883" spans="3:24" ht="24.75" customHeight="1" x14ac:dyDescent="0.3">
      <c r="C1883" s="353">
        <f>ABS(E1883-Dashboard!$F$14)</f>
        <v>30.170616904277992</v>
      </c>
      <c r="D1883" s="350">
        <f t="shared" si="1917"/>
        <v>0.26104999999998652</v>
      </c>
      <c r="E1883" s="359" cm="1">
        <f t="array" ref="E1883">1000*SUM('DRE + DCF'!$L$36/M1883,'DRE + DCF'!$N$36:$V$36/N1883:V1883,F1883/V1883)/Dashboard!$F$11</f>
        <v>66.819383095722003</v>
      </c>
      <c r="F1883" s="359">
        <f t="shared" si="1915"/>
        <v>10300395.878232364</v>
      </c>
      <c r="G1883" s="359">
        <f>'DRE + DCF'!$W$31</f>
        <v>2791623.3540418856</v>
      </c>
      <c r="H1883" s="359">
        <f>'DRE + DCF'!$W$32</f>
        <v>81081.931703745853</v>
      </c>
      <c r="I1883" s="359">
        <f>-H1883*('DRE + DCF'!$V$33+K1883)/'DRE + DCF'!$V$33</f>
        <v>-90858.801614444121</v>
      </c>
      <c r="J1883" s="359">
        <f>-'DRE + DCF'!$V$56*L1883</f>
        <v>-1188924.4255577971</v>
      </c>
      <c r="K1883" s="360">
        <f>(1+L1883)/(1+Ke!$O$12)-1</f>
        <v>2.0000000000000018E-2</v>
      </c>
      <c r="L1883" s="360">
        <f>'DRE + DCF'!$Y$31</f>
        <v>7.3550000000000004E-2</v>
      </c>
      <c r="M1883" s="361">
        <f>(1+D1883)^((5-Dashboard!$F$9)*3/12)</f>
        <v>1.1900062157753788</v>
      </c>
      <c r="N1883" s="361">
        <f t="shared" ref="N1883:V1883" si="1930">M1883*(1+$D1883)</f>
        <v>1.5006573384035253</v>
      </c>
      <c r="O1883" s="361">
        <f t="shared" si="1930"/>
        <v>1.8924039365937453</v>
      </c>
      <c r="P1883" s="361">
        <f t="shared" si="1930"/>
        <v>2.3864159842415167</v>
      </c>
      <c r="Q1883" s="361">
        <f t="shared" si="1930"/>
        <v>3.0093898769277323</v>
      </c>
      <c r="R1883" s="361">
        <f t="shared" si="1930"/>
        <v>3.794991104299676</v>
      </c>
      <c r="S1883" s="361">
        <f t="shared" si="1930"/>
        <v>4.7856735320770554</v>
      </c>
      <c r="T1883" s="361">
        <f t="shared" si="1930"/>
        <v>6.0349736076257061</v>
      </c>
      <c r="U1883" s="361">
        <f t="shared" si="1930"/>
        <v>7.6104034678963153</v>
      </c>
      <c r="V1883" s="362">
        <f t="shared" si="1930"/>
        <v>9.5970992931905457</v>
      </c>
      <c r="X1883" s="351"/>
    </row>
    <row r="1884" spans="3:24" ht="24.75" customHeight="1" x14ac:dyDescent="0.3">
      <c r="C1884" s="353">
        <f>ABS(E1884-Dashboard!$F$14)</f>
        <v>30.211431414012665</v>
      </c>
      <c r="D1884" s="350">
        <f t="shared" si="1917"/>
        <v>0.2611499999999865</v>
      </c>
      <c r="E1884" s="359" cm="1">
        <f t="array" ref="E1884">1000*SUM('DRE + DCF'!$L$36/M1884,'DRE + DCF'!$N$36:$V$36/N1884:V1884,F1884/V1884)/Dashboard!$F$11</f>
        <v>66.77856858598733</v>
      </c>
      <c r="F1884" s="359">
        <f t="shared" si="1915"/>
        <v>10295767.019884177</v>
      </c>
      <c r="G1884" s="359">
        <f>'DRE + DCF'!$W$31</f>
        <v>2791623.3540418856</v>
      </c>
      <c r="H1884" s="359">
        <f>'DRE + DCF'!$W$32</f>
        <v>81081.931703745853</v>
      </c>
      <c r="I1884" s="359">
        <f>-H1884*('DRE + DCF'!$V$33+K1884)/'DRE + DCF'!$V$33</f>
        <v>-90858.801614444121</v>
      </c>
      <c r="J1884" s="359">
        <f>-'DRE + DCF'!$V$56*L1884</f>
        <v>-1188924.4255577971</v>
      </c>
      <c r="K1884" s="360">
        <f>(1+L1884)/(1+Ke!$O$12)-1</f>
        <v>2.0000000000000018E-2</v>
      </c>
      <c r="L1884" s="360">
        <f>'DRE + DCF'!$Y$31</f>
        <v>7.3550000000000004E-2</v>
      </c>
      <c r="M1884" s="361">
        <f>(1+D1884)^((5-Dashboard!$F$9)*3/12)</f>
        <v>1.1900769897982393</v>
      </c>
      <c r="N1884" s="361">
        <f t="shared" ref="N1884:V1884" si="1931">M1884*(1+$D1884)</f>
        <v>1.5008655956840333</v>
      </c>
      <c r="O1884" s="361">
        <f t="shared" si="1931"/>
        <v>1.8928166459968983</v>
      </c>
      <c r="P1884" s="361">
        <f t="shared" si="1931"/>
        <v>2.3871257130989627</v>
      </c>
      <c r="Q1884" s="361">
        <f t="shared" si="1931"/>
        <v>3.0105235930747245</v>
      </c>
      <c r="R1884" s="361">
        <f t="shared" si="1931"/>
        <v>3.796721829406148</v>
      </c>
      <c r="S1884" s="361">
        <f t="shared" si="1931"/>
        <v>4.7882357351555118</v>
      </c>
      <c r="T1884" s="361">
        <f t="shared" si="1931"/>
        <v>6.0386834973913093</v>
      </c>
      <c r="U1884" s="361">
        <f t="shared" si="1931"/>
        <v>7.6156856927349681</v>
      </c>
      <c r="V1884" s="362">
        <f t="shared" si="1931"/>
        <v>9.6045220113926018</v>
      </c>
      <c r="X1884" s="351"/>
    </row>
    <row r="1885" spans="3:24" ht="24.75" customHeight="1" x14ac:dyDescent="0.3">
      <c r="C1885" s="353">
        <f>ABS(E1885-Dashboard!$F$14)</f>
        <v>30.252202177289462</v>
      </c>
      <c r="D1885" s="350">
        <f t="shared" si="1917"/>
        <v>0.26124999999998649</v>
      </c>
      <c r="E1885" s="359" cm="1">
        <f t="array" ref="E1885">1000*SUM('DRE + DCF'!$L$36/M1885,'DRE + DCF'!$N$36:$V$36/N1885:V1885,F1885/V1885)/Dashboard!$F$11</f>
        <v>66.737797822710533</v>
      </c>
      <c r="F1885" s="359">
        <f t="shared" si="1915"/>
        <v>10291142.434356485</v>
      </c>
      <c r="G1885" s="359">
        <f>'DRE + DCF'!$W$31</f>
        <v>2791623.3540418856</v>
      </c>
      <c r="H1885" s="359">
        <f>'DRE + DCF'!$W$32</f>
        <v>81081.931703745853</v>
      </c>
      <c r="I1885" s="359">
        <f>-H1885*('DRE + DCF'!$V$33+K1885)/'DRE + DCF'!$V$33</f>
        <v>-90858.801614444121</v>
      </c>
      <c r="J1885" s="359">
        <f>-'DRE + DCF'!$V$56*L1885</f>
        <v>-1188924.4255577971</v>
      </c>
      <c r="K1885" s="360">
        <f>(1+L1885)/(1+Ke!$O$12)-1</f>
        <v>2.0000000000000018E-2</v>
      </c>
      <c r="L1885" s="360">
        <f>'DRE + DCF'!$Y$31</f>
        <v>7.3550000000000004E-2</v>
      </c>
      <c r="M1885" s="361">
        <f>(1+D1885)^((5-Dashboard!$F$9)*3/12)</f>
        <v>1.1901477624181478</v>
      </c>
      <c r="N1885" s="361">
        <f t="shared" ref="N1885:V1885" si="1932">M1885*(1+$D1885)</f>
        <v>1.5010738653498727</v>
      </c>
      <c r="O1885" s="361">
        <f t="shared" si="1932"/>
        <v>1.8932294126725067</v>
      </c>
      <c r="P1885" s="361">
        <f t="shared" si="1932"/>
        <v>2.3878355967331735</v>
      </c>
      <c r="Q1885" s="361">
        <f t="shared" si="1932"/>
        <v>3.0116576463796827</v>
      </c>
      <c r="R1885" s="361">
        <f t="shared" si="1932"/>
        <v>3.7984532064963341</v>
      </c>
      <c r="S1885" s="361">
        <f t="shared" si="1932"/>
        <v>4.7907991066934494</v>
      </c>
      <c r="T1885" s="361">
        <f t="shared" si="1932"/>
        <v>6.0423953733170483</v>
      </c>
      <c r="U1885" s="361">
        <f t="shared" si="1932"/>
        <v>7.6209711645960452</v>
      </c>
      <c r="V1885" s="362">
        <f t="shared" si="1932"/>
        <v>9.6119498813466588</v>
      </c>
      <c r="X1885" s="351"/>
    </row>
    <row r="1886" spans="3:24" ht="24.75" customHeight="1" x14ac:dyDescent="0.3">
      <c r="C1886" s="353">
        <f>ABS(E1886-Dashboard!$F$14)</f>
        <v>30.292929259554953</v>
      </c>
      <c r="D1886" s="350">
        <f t="shared" si="1917"/>
        <v>0.26134999999998648</v>
      </c>
      <c r="E1886" s="359" cm="1">
        <f t="array" ref="E1886">1000*SUM('DRE + DCF'!$L$36/M1886,'DRE + DCF'!$N$36:$V$36/N1886:V1886,F1886/V1886)/Dashboard!$F$11</f>
        <v>66.697070740445042</v>
      </c>
      <c r="F1886" s="359">
        <f t="shared" si="1915"/>
        <v>10286522.115580175</v>
      </c>
      <c r="G1886" s="359">
        <f>'DRE + DCF'!$W$31</f>
        <v>2791623.3540418856</v>
      </c>
      <c r="H1886" s="359">
        <f>'DRE + DCF'!$W$32</f>
        <v>81081.931703745853</v>
      </c>
      <c r="I1886" s="359">
        <f>-H1886*('DRE + DCF'!$V$33+K1886)/'DRE + DCF'!$V$33</f>
        <v>-90858.801614444121</v>
      </c>
      <c r="J1886" s="359">
        <f>-'DRE + DCF'!$V$56*L1886</f>
        <v>-1188924.4255577971</v>
      </c>
      <c r="K1886" s="360">
        <f>(1+L1886)/(1+Ke!$O$12)-1</f>
        <v>2.0000000000000018E-2</v>
      </c>
      <c r="L1886" s="360">
        <f>'DRE + DCF'!$Y$31</f>
        <v>7.3550000000000004E-2</v>
      </c>
      <c r="M1886" s="361">
        <f>(1+D1886)^((5-Dashboard!$F$9)*3/12)</f>
        <v>1.1902185336352431</v>
      </c>
      <c r="N1886" s="361">
        <f t="shared" ref="N1886:V1886" si="1933">M1886*(1+$D1886)</f>
        <v>1.5012821474007978</v>
      </c>
      <c r="O1886" s="361">
        <f t="shared" si="1933"/>
        <v>1.893642236623976</v>
      </c>
      <c r="P1886" s="361">
        <f t="shared" si="1933"/>
        <v>2.3885456351656265</v>
      </c>
      <c r="Q1886" s="361">
        <f t="shared" si="1933"/>
        <v>3.0127920369161303</v>
      </c>
      <c r="R1886" s="361">
        <f t="shared" si="1933"/>
        <v>3.8001852357641202</v>
      </c>
      <c r="S1886" s="361">
        <f t="shared" si="1933"/>
        <v>4.793363647131021</v>
      </c>
      <c r="T1886" s="361">
        <f t="shared" si="1933"/>
        <v>6.0461092363086486</v>
      </c>
      <c r="U1886" s="361">
        <f t="shared" si="1933"/>
        <v>7.6262598852178316</v>
      </c>
      <c r="V1886" s="362">
        <f t="shared" si="1933"/>
        <v>9.6193829062194087</v>
      </c>
      <c r="X1886" s="351"/>
    </row>
    <row r="1887" spans="3:24" ht="24.75" customHeight="1" x14ac:dyDescent="0.3">
      <c r="C1887" s="353">
        <f>ABS(E1887-Dashboard!$F$14)</f>
        <v>30.333612726128948</v>
      </c>
      <c r="D1887" s="350">
        <f t="shared" si="1917"/>
        <v>0.26144999999998647</v>
      </c>
      <c r="E1887" s="359" cm="1">
        <f t="array" ref="E1887">1000*SUM('DRE + DCF'!$L$36/M1887,'DRE + DCF'!$N$36:$V$36/N1887:V1887,F1887/V1887)/Dashboard!$F$11</f>
        <v>66.656387273871047</v>
      </c>
      <c r="F1887" s="359">
        <f t="shared" si="1915"/>
        <v>10281906.057497889</v>
      </c>
      <c r="G1887" s="359">
        <f>'DRE + DCF'!$W$31</f>
        <v>2791623.3540418856</v>
      </c>
      <c r="H1887" s="359">
        <f>'DRE + DCF'!$W$32</f>
        <v>81081.931703745853</v>
      </c>
      <c r="I1887" s="359">
        <f>-H1887*('DRE + DCF'!$V$33+K1887)/'DRE + DCF'!$V$33</f>
        <v>-90858.801614444121</v>
      </c>
      <c r="J1887" s="359">
        <f>-'DRE + DCF'!$V$56*L1887</f>
        <v>-1188924.4255577971</v>
      </c>
      <c r="K1887" s="360">
        <f>(1+L1887)/(1+Ke!$O$12)-1</f>
        <v>2.0000000000000018E-2</v>
      </c>
      <c r="L1887" s="360">
        <f>'DRE + DCF'!$Y$31</f>
        <v>7.3550000000000004E-2</v>
      </c>
      <c r="M1887" s="361">
        <f>(1+D1887)^((5-Dashboard!$F$9)*3/12)</f>
        <v>1.1902893034496644</v>
      </c>
      <c r="N1887" s="361">
        <f t="shared" ref="N1887:V1887" si="1934">M1887*(1+$D1887)</f>
        <v>1.5014904418365631</v>
      </c>
      <c r="O1887" s="361">
        <f t="shared" si="1934"/>
        <v>1.894055117854712</v>
      </c>
      <c r="P1887" s="361">
        <f t="shared" si="1934"/>
        <v>2.3892558284178009</v>
      </c>
      <c r="Q1887" s="361">
        <f t="shared" si="1934"/>
        <v>3.0139267647576027</v>
      </c>
      <c r="R1887" s="361">
        <f t="shared" si="1934"/>
        <v>3.8019179174034368</v>
      </c>
      <c r="S1887" s="361">
        <f t="shared" si="1934"/>
        <v>4.7959293569085135</v>
      </c>
      <c r="T1887" s="361">
        <f t="shared" si="1934"/>
        <v>6.049825087272179</v>
      </c>
      <c r="U1887" s="361">
        <f t="shared" si="1934"/>
        <v>7.6315518563394082</v>
      </c>
      <c r="V1887" s="362">
        <f t="shared" si="1934"/>
        <v>9.6268210891792432</v>
      </c>
      <c r="X1887" s="351"/>
    </row>
    <row r="1888" spans="3:24" ht="24.75" customHeight="1" x14ac:dyDescent="0.3">
      <c r="C1888" s="353">
        <f>ABS(E1888-Dashboard!$F$14)</f>
        <v>30.374252642204851</v>
      </c>
      <c r="D1888" s="350">
        <f t="shared" si="1917"/>
        <v>0.26154999999998646</v>
      </c>
      <c r="E1888" s="359" cm="1">
        <f t="array" ref="E1888">1000*SUM('DRE + DCF'!$L$36/M1888,'DRE + DCF'!$N$36:$V$36/N1888:V1888,F1888/V1888)/Dashboard!$F$11</f>
        <v>66.615747357795144</v>
      </c>
      <c r="F1888" s="359">
        <f t="shared" si="1915"/>
        <v>10277294.254064012</v>
      </c>
      <c r="G1888" s="359">
        <f>'DRE + DCF'!$W$31</f>
        <v>2791623.3540418856</v>
      </c>
      <c r="H1888" s="359">
        <f>'DRE + DCF'!$W$32</f>
        <v>81081.931703745853</v>
      </c>
      <c r="I1888" s="359">
        <f>-H1888*('DRE + DCF'!$V$33+K1888)/'DRE + DCF'!$V$33</f>
        <v>-90858.801614444121</v>
      </c>
      <c r="J1888" s="359">
        <f>-'DRE + DCF'!$V$56*L1888</f>
        <v>-1188924.4255577971</v>
      </c>
      <c r="K1888" s="360">
        <f>(1+L1888)/(1+Ke!$O$12)-1</f>
        <v>2.0000000000000018E-2</v>
      </c>
      <c r="L1888" s="360">
        <f>'DRE + DCF'!$Y$31</f>
        <v>7.3550000000000004E-2</v>
      </c>
      <c r="M1888" s="361">
        <f>(1+D1888)^((5-Dashboard!$F$9)*3/12)</f>
        <v>1.1903600718615508</v>
      </c>
      <c r="N1888" s="361">
        <f t="shared" ref="N1888:V1888" si="1935">M1888*(1+$D1888)</f>
        <v>1.5016987486569233</v>
      </c>
      <c r="O1888" s="361">
        <f t="shared" si="1935"/>
        <v>1.8944680563681211</v>
      </c>
      <c r="P1888" s="361">
        <f t="shared" si="1935"/>
        <v>2.3899661765111775</v>
      </c>
      <c r="Q1888" s="361">
        <f t="shared" si="1935"/>
        <v>3.0150618299776433</v>
      </c>
      <c r="R1888" s="361">
        <f t="shared" si="1935"/>
        <v>3.803651251608255</v>
      </c>
      <c r="S1888" s="361">
        <f t="shared" si="1935"/>
        <v>4.7984962364663426</v>
      </c>
      <c r="T1888" s="361">
        <f t="shared" si="1935"/>
        <v>6.0535429271140488</v>
      </c>
      <c r="U1888" s="361">
        <f t="shared" si="1935"/>
        <v>7.6368470797006456</v>
      </c>
      <c r="V1888" s="362">
        <f t="shared" si="1935"/>
        <v>9.6342644333962451</v>
      </c>
      <c r="X1888" s="351"/>
    </row>
    <row r="1889" spans="3:24" ht="24.75" customHeight="1" x14ac:dyDescent="0.3">
      <c r="C1889" s="353">
        <f>ABS(E1889-Dashboard!$F$14)</f>
        <v>30.414849072849861</v>
      </c>
      <c r="D1889" s="350">
        <f t="shared" si="1917"/>
        <v>0.26164999999998645</v>
      </c>
      <c r="E1889" s="359" cm="1">
        <f t="array" ref="E1889">1000*SUM('DRE + DCF'!$L$36/M1889,'DRE + DCF'!$N$36:$V$36/N1889:V1889,F1889/V1889)/Dashboard!$F$11</f>
        <v>66.575150927150133</v>
      </c>
      <c r="F1889" s="359">
        <f t="shared" si="1915"/>
        <v>10272686.69924463</v>
      </c>
      <c r="G1889" s="359">
        <f>'DRE + DCF'!$W$31</f>
        <v>2791623.3540418856</v>
      </c>
      <c r="H1889" s="359">
        <f>'DRE + DCF'!$W$32</f>
        <v>81081.931703745853</v>
      </c>
      <c r="I1889" s="359">
        <f>-H1889*('DRE + DCF'!$V$33+K1889)/'DRE + DCF'!$V$33</f>
        <v>-90858.801614444121</v>
      </c>
      <c r="J1889" s="359">
        <f>-'DRE + DCF'!$V$56*L1889</f>
        <v>-1188924.4255577971</v>
      </c>
      <c r="K1889" s="360">
        <f>(1+L1889)/(1+Ke!$O$12)-1</f>
        <v>2.0000000000000018E-2</v>
      </c>
      <c r="L1889" s="360">
        <f>'DRE + DCF'!$Y$31</f>
        <v>7.3550000000000004E-2</v>
      </c>
      <c r="M1889" s="361">
        <f>(1+D1889)^((5-Dashboard!$F$9)*3/12)</f>
        <v>1.1904308388710412</v>
      </c>
      <c r="N1889" s="361">
        <f t="shared" ref="N1889:V1889" si="1936">M1889*(1+$D1889)</f>
        <v>1.5019070678616329</v>
      </c>
      <c r="O1889" s="361">
        <f t="shared" si="1936"/>
        <v>1.8948810521676087</v>
      </c>
      <c r="P1889" s="361">
        <f t="shared" si="1936"/>
        <v>2.3906766794672376</v>
      </c>
      <c r="Q1889" s="361">
        <f t="shared" si="1936"/>
        <v>3.0161972326498079</v>
      </c>
      <c r="R1889" s="361">
        <f t="shared" si="1936"/>
        <v>3.805385238572589</v>
      </c>
      <c r="S1889" s="361">
        <f t="shared" si="1936"/>
        <v>4.8010642862450554</v>
      </c>
      <c r="T1889" s="361">
        <f t="shared" si="1936"/>
        <v>6.0572627567410091</v>
      </c>
      <c r="U1889" s="361">
        <f t="shared" si="1936"/>
        <v>7.6421455570422117</v>
      </c>
      <c r="V1889" s="362">
        <f t="shared" si="1936"/>
        <v>9.6417129420422025</v>
      </c>
      <c r="X1889" s="351"/>
    </row>
    <row r="1890" spans="3:24" ht="24.75" customHeight="1" x14ac:dyDescent="0.3">
      <c r="C1890" s="353">
        <f>ABS(E1890-Dashboard!$F$14)</f>
        <v>30.455402083005296</v>
      </c>
      <c r="D1890" s="350">
        <f t="shared" si="1917"/>
        <v>0.26174999999998644</v>
      </c>
      <c r="E1890" s="359" cm="1">
        <f t="array" ref="E1890">1000*SUM('DRE + DCF'!$L$36/M1890,'DRE + DCF'!$N$36:$V$36/N1890:V1890,F1890/V1890)/Dashboard!$F$11</f>
        <v>66.534597916994699</v>
      </c>
      <c r="F1890" s="359">
        <f t="shared" si="1915"/>
        <v>10268083.3870175</v>
      </c>
      <c r="G1890" s="359">
        <f>'DRE + DCF'!$W$31</f>
        <v>2791623.3540418856</v>
      </c>
      <c r="H1890" s="359">
        <f>'DRE + DCF'!$W$32</f>
        <v>81081.931703745853</v>
      </c>
      <c r="I1890" s="359">
        <f>-H1890*('DRE + DCF'!$V$33+K1890)/'DRE + DCF'!$V$33</f>
        <v>-90858.801614444121</v>
      </c>
      <c r="J1890" s="359">
        <f>-'DRE + DCF'!$V$56*L1890</f>
        <v>-1188924.4255577971</v>
      </c>
      <c r="K1890" s="360">
        <f>(1+L1890)/(1+Ke!$O$12)-1</f>
        <v>2.0000000000000018E-2</v>
      </c>
      <c r="L1890" s="360">
        <f>'DRE + DCF'!$Y$31</f>
        <v>7.3550000000000004E-2</v>
      </c>
      <c r="M1890" s="361">
        <f>(1+D1890)^((5-Dashboard!$F$9)*3/12)</f>
        <v>1.1905016044782744</v>
      </c>
      <c r="N1890" s="361">
        <f t="shared" ref="N1890:V1890" si="1937">M1890*(1+$D1890)</f>
        <v>1.5021153994504464</v>
      </c>
      <c r="O1890" s="361">
        <f t="shared" si="1937"/>
        <v>1.8952941052565802</v>
      </c>
      <c r="P1890" s="361">
        <f t="shared" si="1937"/>
        <v>2.3913873373074641</v>
      </c>
      <c r="Q1890" s="361">
        <f t="shared" si="1937"/>
        <v>3.0173329728476603</v>
      </c>
      <c r="R1890" s="361">
        <f t="shared" si="1937"/>
        <v>3.8071198784904943</v>
      </c>
      <c r="S1890" s="361">
        <f t="shared" si="1937"/>
        <v>4.8036335066853297</v>
      </c>
      <c r="T1890" s="361">
        <f t="shared" si="1937"/>
        <v>6.0609845770601494</v>
      </c>
      <c r="U1890" s="361">
        <f t="shared" si="1937"/>
        <v>7.6474472901055606</v>
      </c>
      <c r="V1890" s="362">
        <f t="shared" si="1937"/>
        <v>9.6491666182905877</v>
      </c>
      <c r="X1890" s="351"/>
    </row>
    <row r="1891" spans="3:24" ht="24.75" customHeight="1" x14ac:dyDescent="0.3">
      <c r="C1891" s="353">
        <f>ABS(E1891-Dashboard!$F$14)</f>
        <v>30.49591173748702</v>
      </c>
      <c r="D1891" s="350">
        <f t="shared" si="1917"/>
        <v>0.26184999999998643</v>
      </c>
      <c r="E1891" s="359" cm="1">
        <f t="array" ref="E1891">1000*SUM('DRE + DCF'!$L$36/M1891,'DRE + DCF'!$N$36:$V$36/N1891:V1891,F1891/V1891)/Dashboard!$F$11</f>
        <v>66.494088262512975</v>
      </c>
      <c r="F1891" s="359">
        <f t="shared" si="1915"/>
        <v>10263484.311372038</v>
      </c>
      <c r="G1891" s="359">
        <f>'DRE + DCF'!$W$31</f>
        <v>2791623.3540418856</v>
      </c>
      <c r="H1891" s="359">
        <f>'DRE + DCF'!$W$32</f>
        <v>81081.931703745853</v>
      </c>
      <c r="I1891" s="359">
        <f>-H1891*('DRE + DCF'!$V$33+K1891)/'DRE + DCF'!$V$33</f>
        <v>-90858.801614444121</v>
      </c>
      <c r="J1891" s="359">
        <f>-'DRE + DCF'!$V$56*L1891</f>
        <v>-1188924.4255577971</v>
      </c>
      <c r="K1891" s="360">
        <f>(1+L1891)/(1+Ke!$O$12)-1</f>
        <v>2.0000000000000018E-2</v>
      </c>
      <c r="L1891" s="360">
        <f>'DRE + DCF'!$Y$31</f>
        <v>7.3550000000000004E-2</v>
      </c>
      <c r="M1891" s="361">
        <f>(1+D1891)^((5-Dashboard!$F$9)*3/12)</f>
        <v>1.1905723686833891</v>
      </c>
      <c r="N1891" s="361">
        <f t="shared" ref="N1891:V1891" si="1938">M1891*(1+$D1891)</f>
        <v>1.5023237434231183</v>
      </c>
      <c r="O1891" s="361">
        <f t="shared" si="1938"/>
        <v>1.8957072156384414</v>
      </c>
      <c r="P1891" s="361">
        <f t="shared" si="1938"/>
        <v>2.3920981500533416</v>
      </c>
      <c r="Q1891" s="361">
        <f t="shared" si="1938"/>
        <v>3.0184690506447764</v>
      </c>
      <c r="R1891" s="361">
        <f t="shared" si="1938"/>
        <v>3.8088551715560701</v>
      </c>
      <c r="S1891" s="361">
        <f t="shared" si="1938"/>
        <v>4.8062038982279756</v>
      </c>
      <c r="T1891" s="361">
        <f t="shared" si="1938"/>
        <v>6.0647083889789055</v>
      </c>
      <c r="U1891" s="361">
        <f t="shared" si="1938"/>
        <v>7.6527522806329493</v>
      </c>
      <c r="V1891" s="362">
        <f t="shared" si="1938"/>
        <v>9.6566254653165835</v>
      </c>
      <c r="X1891" s="351"/>
    </row>
    <row r="1892" spans="3:24" ht="24.75" customHeight="1" x14ac:dyDescent="0.3">
      <c r="C1892" s="353">
        <f>ABS(E1892-Dashboard!$F$14)</f>
        <v>30.536378100985544</v>
      </c>
      <c r="D1892" s="350">
        <f t="shared" si="1917"/>
        <v>0.26194999999998642</v>
      </c>
      <c r="E1892" s="359" cm="1">
        <f t="array" ref="E1892">1000*SUM('DRE + DCF'!$L$36/M1892,'DRE + DCF'!$N$36:$V$36/N1892:V1892,F1892/V1892)/Dashboard!$F$11</f>
        <v>66.45362189901445</v>
      </c>
      <c r="F1892" s="359">
        <f t="shared" si="1915"/>
        <v>10258889.466309268</v>
      </c>
      <c r="G1892" s="359">
        <f>'DRE + DCF'!$W$31</f>
        <v>2791623.3540418856</v>
      </c>
      <c r="H1892" s="359">
        <f>'DRE + DCF'!$W$32</f>
        <v>81081.931703745853</v>
      </c>
      <c r="I1892" s="359">
        <f>-H1892*('DRE + DCF'!$V$33+K1892)/'DRE + DCF'!$V$33</f>
        <v>-90858.801614444121</v>
      </c>
      <c r="J1892" s="359">
        <f>-'DRE + DCF'!$V$56*L1892</f>
        <v>-1188924.4255577971</v>
      </c>
      <c r="K1892" s="360">
        <f>(1+L1892)/(1+Ke!$O$12)-1</f>
        <v>2.0000000000000018E-2</v>
      </c>
      <c r="L1892" s="360">
        <f>'DRE + DCF'!$Y$31</f>
        <v>7.3550000000000004E-2</v>
      </c>
      <c r="M1892" s="361">
        <f>(1+D1892)^((5-Dashboard!$F$9)*3/12)</f>
        <v>1.1906431314865249</v>
      </c>
      <c r="N1892" s="361">
        <f t="shared" ref="N1892:V1892" si="1939">M1892*(1+$D1892)</f>
        <v>1.5025320997794038</v>
      </c>
      <c r="O1892" s="361">
        <f t="shared" si="1939"/>
        <v>1.8961203833165983</v>
      </c>
      <c r="P1892" s="361">
        <f t="shared" si="1939"/>
        <v>2.3928091177263555</v>
      </c>
      <c r="Q1892" s="361">
        <f t="shared" si="1939"/>
        <v>3.0196054661147418</v>
      </c>
      <c r="R1892" s="361">
        <f t="shared" si="1939"/>
        <v>3.8105911179634573</v>
      </c>
      <c r="S1892" s="361">
        <f t="shared" si="1939"/>
        <v>4.8087754613139326</v>
      </c>
      <c r="T1892" s="361">
        <f t="shared" si="1939"/>
        <v>6.0684341934050519</v>
      </c>
      <c r="U1892" s="361">
        <f t="shared" si="1939"/>
        <v>7.6580605303674227</v>
      </c>
      <c r="V1892" s="362">
        <f t="shared" si="1939"/>
        <v>9.6640894862970654</v>
      </c>
      <c r="X1892" s="351"/>
    </row>
    <row r="1893" spans="3:24" ht="24.75" customHeight="1" x14ac:dyDescent="0.3">
      <c r="C1893" s="353">
        <f>ABS(E1893-Dashboard!$F$14)</f>
        <v>30.576801238066508</v>
      </c>
      <c r="D1893" s="350">
        <f t="shared" si="1917"/>
        <v>0.2620499999999864</v>
      </c>
      <c r="E1893" s="359" cm="1">
        <f t="array" ref="E1893">1000*SUM('DRE + DCF'!$L$36/M1893,'DRE + DCF'!$N$36:$V$36/N1893:V1893,F1893/V1893)/Dashboard!$F$11</f>
        <v>66.413198761933486</v>
      </c>
      <c r="F1893" s="359">
        <f t="shared" si="1915"/>
        <v>10254298.84584181</v>
      </c>
      <c r="G1893" s="359">
        <f>'DRE + DCF'!$W$31</f>
        <v>2791623.3540418856</v>
      </c>
      <c r="H1893" s="359">
        <f>'DRE + DCF'!$W$32</f>
        <v>81081.931703745853</v>
      </c>
      <c r="I1893" s="359">
        <f>-H1893*('DRE + DCF'!$V$33+K1893)/'DRE + DCF'!$V$33</f>
        <v>-90858.801614444121</v>
      </c>
      <c r="J1893" s="359">
        <f>-'DRE + DCF'!$V$56*L1893</f>
        <v>-1188924.4255577971</v>
      </c>
      <c r="K1893" s="360">
        <f>(1+L1893)/(1+Ke!$O$12)-1</f>
        <v>2.0000000000000018E-2</v>
      </c>
      <c r="L1893" s="360">
        <f>'DRE + DCF'!$Y$31</f>
        <v>7.3550000000000004E-2</v>
      </c>
      <c r="M1893" s="361">
        <f>(1+D1893)^((5-Dashboard!$F$9)*3/12)</f>
        <v>1.19071389288782</v>
      </c>
      <c r="N1893" s="361">
        <f t="shared" ref="N1893:V1893" si="1940">M1893*(1+$D1893)</f>
        <v>1.5027404685190571</v>
      </c>
      <c r="O1893" s="361">
        <f t="shared" si="1940"/>
        <v>1.8965336082944555</v>
      </c>
      <c r="P1893" s="361">
        <f t="shared" si="1940"/>
        <v>2.3935202403479918</v>
      </c>
      <c r="Q1893" s="361">
        <f t="shared" si="1940"/>
        <v>3.0207422193311504</v>
      </c>
      <c r="R1893" s="361">
        <f t="shared" si="1940"/>
        <v>3.8123277179068373</v>
      </c>
      <c r="S1893" s="361">
        <f t="shared" si="1940"/>
        <v>4.8113481963842721</v>
      </c>
      <c r="T1893" s="361">
        <f t="shared" si="1940"/>
        <v>6.0721619912467046</v>
      </c>
      <c r="U1893" s="361">
        <f t="shared" si="1940"/>
        <v>7.6633720410528205</v>
      </c>
      <c r="V1893" s="362">
        <f t="shared" si="1940"/>
        <v>9.6715586844106074</v>
      </c>
      <c r="X1893" s="351"/>
    </row>
    <row r="1894" spans="3:24" ht="24.75" customHeight="1" x14ac:dyDescent="0.3">
      <c r="C1894" s="353">
        <f>ABS(E1894-Dashboard!$F$14)</f>
        <v>30.617181213170852</v>
      </c>
      <c r="D1894" s="350">
        <f t="shared" si="1917"/>
        <v>0.26214999999998639</v>
      </c>
      <c r="E1894" s="359" cm="1">
        <f t="array" ref="E1894">1000*SUM('DRE + DCF'!$L$36/M1894,'DRE + DCF'!$N$36:$V$36/N1894:V1894,F1894/V1894)/Dashboard!$F$11</f>
        <v>66.372818786829143</v>
      </c>
      <c r="F1894" s="359">
        <f t="shared" si="1915"/>
        <v>10249712.443993844</v>
      </c>
      <c r="G1894" s="359">
        <f>'DRE + DCF'!$W$31</f>
        <v>2791623.3540418856</v>
      </c>
      <c r="H1894" s="359">
        <f>'DRE + DCF'!$W$32</f>
        <v>81081.931703745853</v>
      </c>
      <c r="I1894" s="359">
        <f>-H1894*('DRE + DCF'!$V$33+K1894)/'DRE + DCF'!$V$33</f>
        <v>-90858.801614444121</v>
      </c>
      <c r="J1894" s="359">
        <f>-'DRE + DCF'!$V$56*L1894</f>
        <v>-1188924.4255577971</v>
      </c>
      <c r="K1894" s="360">
        <f>(1+L1894)/(1+Ke!$O$12)-1</f>
        <v>2.0000000000000018E-2</v>
      </c>
      <c r="L1894" s="360">
        <f>'DRE + DCF'!$Y$31</f>
        <v>7.3550000000000004E-2</v>
      </c>
      <c r="M1894" s="361">
        <f>(1+D1894)^((5-Dashboard!$F$9)*3/12)</f>
        <v>1.1907846528874135</v>
      </c>
      <c r="N1894" s="361">
        <f t="shared" ref="N1894:V1894" si="1941">M1894*(1+$D1894)</f>
        <v>1.5029488496418326</v>
      </c>
      <c r="O1894" s="361">
        <f t="shared" si="1941"/>
        <v>1.8969468905754185</v>
      </c>
      <c r="P1894" s="361">
        <f t="shared" si="1941"/>
        <v>2.3942315179397387</v>
      </c>
      <c r="Q1894" s="361">
        <f t="shared" si="1941"/>
        <v>3.0218793103676083</v>
      </c>
      <c r="R1894" s="361">
        <f t="shared" si="1941"/>
        <v>3.8140649715804353</v>
      </c>
      <c r="S1894" s="361">
        <f t="shared" si="1941"/>
        <v>4.813922103880194</v>
      </c>
      <c r="T1894" s="361">
        <f t="shared" si="1941"/>
        <v>6.0758917834123212</v>
      </c>
      <c r="U1894" s="361">
        <f t="shared" si="1941"/>
        <v>7.6686868144337783</v>
      </c>
      <c r="V1894" s="362">
        <f t="shared" si="1941"/>
        <v>9.6790330628374885</v>
      </c>
      <c r="X1894" s="351"/>
    </row>
    <row r="1895" spans="3:24" ht="24.75" customHeight="1" x14ac:dyDescent="0.3">
      <c r="C1895" s="353">
        <f>ABS(E1895-Dashboard!$F$14)</f>
        <v>30.657518090615255</v>
      </c>
      <c r="D1895" s="350">
        <f t="shared" si="1917"/>
        <v>0.26224999999998638</v>
      </c>
      <c r="E1895" s="359" cm="1">
        <f t="array" ref="E1895">1000*SUM('DRE + DCF'!$L$36/M1895,'DRE + DCF'!$N$36:$V$36/N1895:V1895,F1895/V1895)/Dashboard!$F$11</f>
        <v>66.33248190938474</v>
      </c>
      <c r="F1895" s="359">
        <f t="shared" si="1915"/>
        <v>10245130.254801083</v>
      </c>
      <c r="G1895" s="359">
        <f>'DRE + DCF'!$W$31</f>
        <v>2791623.3540418856</v>
      </c>
      <c r="H1895" s="359">
        <f>'DRE + DCF'!$W$32</f>
        <v>81081.931703745853</v>
      </c>
      <c r="I1895" s="359">
        <f>-H1895*('DRE + DCF'!$V$33+K1895)/'DRE + DCF'!$V$33</f>
        <v>-90858.801614444121</v>
      </c>
      <c r="J1895" s="359">
        <f>-'DRE + DCF'!$V$56*L1895</f>
        <v>-1188924.4255577971</v>
      </c>
      <c r="K1895" s="360">
        <f>(1+L1895)/(1+Ke!$O$12)-1</f>
        <v>2.0000000000000018E-2</v>
      </c>
      <c r="L1895" s="360">
        <f>'DRE + DCF'!$Y$31</f>
        <v>7.3550000000000004E-2</v>
      </c>
      <c r="M1895" s="361">
        <f>(1+D1895)^((5-Dashboard!$F$9)*3/12)</f>
        <v>1.1908554114854442</v>
      </c>
      <c r="N1895" s="361">
        <f t="shared" ref="N1895:V1895" si="1942">M1895*(1+$D1895)</f>
        <v>1.5031572431474856</v>
      </c>
      <c r="O1895" s="361">
        <f t="shared" si="1942"/>
        <v>1.8973602301628931</v>
      </c>
      <c r="P1895" s="361">
        <f t="shared" si="1942"/>
        <v>2.3949429505230859</v>
      </c>
      <c r="Q1895" s="361">
        <f t="shared" si="1942"/>
        <v>3.0230167392977325</v>
      </c>
      <c r="R1895" s="361">
        <f t="shared" si="1942"/>
        <v>3.8158028791785217</v>
      </c>
      <c r="S1895" s="361">
        <f t="shared" si="1942"/>
        <v>4.8164971842430369</v>
      </c>
      <c r="T1895" s="361">
        <f t="shared" si="1942"/>
        <v>6.0796235708107078</v>
      </c>
      <c r="U1895" s="361">
        <f t="shared" si="1942"/>
        <v>7.6740048522557327</v>
      </c>
      <c r="V1895" s="362">
        <f t="shared" si="1942"/>
        <v>9.6865126247596933</v>
      </c>
      <c r="X1895" s="351"/>
    </row>
    <row r="1896" spans="3:24" ht="24.75" customHeight="1" x14ac:dyDescent="0.3">
      <c r="C1896" s="353">
        <f>ABS(E1896-Dashboard!$F$14)</f>
        <v>30.697811934592252</v>
      </c>
      <c r="D1896" s="350">
        <f t="shared" si="1917"/>
        <v>0.26234999999998637</v>
      </c>
      <c r="E1896" s="359" cm="1">
        <f t="array" ref="E1896">1000*SUM('DRE + DCF'!$L$36/M1896,'DRE + DCF'!$N$36:$V$36/N1896:V1896,F1896/V1896)/Dashboard!$F$11</f>
        <v>66.292188065407743</v>
      </c>
      <c r="F1896" s="359">
        <f t="shared" si="1915"/>
        <v>10240552.272310745</v>
      </c>
      <c r="G1896" s="359">
        <f>'DRE + DCF'!$W$31</f>
        <v>2791623.3540418856</v>
      </c>
      <c r="H1896" s="359">
        <f>'DRE + DCF'!$W$32</f>
        <v>81081.931703745853</v>
      </c>
      <c r="I1896" s="359">
        <f>-H1896*('DRE + DCF'!$V$33+K1896)/'DRE + DCF'!$V$33</f>
        <v>-90858.801614444121</v>
      </c>
      <c r="J1896" s="359">
        <f>-'DRE + DCF'!$V$56*L1896</f>
        <v>-1188924.4255577971</v>
      </c>
      <c r="K1896" s="360">
        <f>(1+L1896)/(1+Ke!$O$12)-1</f>
        <v>2.0000000000000018E-2</v>
      </c>
      <c r="L1896" s="360">
        <f>'DRE + DCF'!$Y$31</f>
        <v>7.3550000000000004E-2</v>
      </c>
      <c r="M1896" s="361">
        <f>(1+D1896)^((5-Dashboard!$F$9)*3/12)</f>
        <v>1.1909261686820509</v>
      </c>
      <c r="N1896" s="361">
        <f t="shared" ref="N1896:V1896" si="1943">M1896*(1+$D1896)</f>
        <v>1.5033656490357707</v>
      </c>
      <c r="O1896" s="361">
        <f t="shared" si="1943"/>
        <v>1.8977736270602847</v>
      </c>
      <c r="P1896" s="361">
        <f t="shared" si="1943"/>
        <v>2.3956545381195244</v>
      </c>
      <c r="Q1896" s="361">
        <f t="shared" si="1943"/>
        <v>3.0241545061951487</v>
      </c>
      <c r="R1896" s="361">
        <f t="shared" si="1943"/>
        <v>3.8175414408954045</v>
      </c>
      <c r="S1896" s="361">
        <f t="shared" si="1943"/>
        <v>4.8190734379142617</v>
      </c>
      <c r="T1896" s="361">
        <f t="shared" si="1943"/>
        <v>6.0833573543510022</v>
      </c>
      <c r="U1896" s="361">
        <f t="shared" si="1943"/>
        <v>7.6793261562649047</v>
      </c>
      <c r="V1896" s="362">
        <f t="shared" si="1943"/>
        <v>9.6939973733608973</v>
      </c>
      <c r="X1896" s="351"/>
    </row>
    <row r="1897" spans="3:24" ht="24.75" customHeight="1" x14ac:dyDescent="0.3">
      <c r="C1897" s="353">
        <f>ABS(E1897-Dashboard!$F$14)</f>
        <v>30.738062809170728</v>
      </c>
      <c r="D1897" s="350">
        <f t="shared" si="1917"/>
        <v>0.26244999999998636</v>
      </c>
      <c r="E1897" s="359" cm="1">
        <f t="array" ref="E1897">1000*SUM('DRE + DCF'!$L$36/M1897,'DRE + DCF'!$N$36:$V$36/N1897:V1897,F1897/V1897)/Dashboard!$F$11</f>
        <v>66.251937190829267</v>
      </c>
      <c r="F1897" s="359">
        <f t="shared" si="1915"/>
        <v>10235978.490581518</v>
      </c>
      <c r="G1897" s="359">
        <f>'DRE + DCF'!$W$31</f>
        <v>2791623.3540418856</v>
      </c>
      <c r="H1897" s="359">
        <f>'DRE + DCF'!$W$32</f>
        <v>81081.931703745853</v>
      </c>
      <c r="I1897" s="359">
        <f>-H1897*('DRE + DCF'!$V$33+K1897)/'DRE + DCF'!$V$33</f>
        <v>-90858.801614444121</v>
      </c>
      <c r="J1897" s="359">
        <f>-'DRE + DCF'!$V$56*L1897</f>
        <v>-1188924.4255577971</v>
      </c>
      <c r="K1897" s="360">
        <f>(1+L1897)/(1+Ke!$O$12)-1</f>
        <v>2.0000000000000018E-2</v>
      </c>
      <c r="L1897" s="360">
        <f>'DRE + DCF'!$Y$31</f>
        <v>7.3550000000000004E-2</v>
      </c>
      <c r="M1897" s="361">
        <f>(1+D1897)^((5-Dashboard!$F$9)*3/12)</f>
        <v>1.1909969244773726</v>
      </c>
      <c r="N1897" s="361">
        <f t="shared" ref="N1897:V1897" si="1944">M1897*(1+$D1897)</f>
        <v>1.5035740673064428</v>
      </c>
      <c r="O1897" s="361">
        <f t="shared" si="1944"/>
        <v>1.8981870812709982</v>
      </c>
      <c r="P1897" s="361">
        <f t="shared" si="1944"/>
        <v>2.3963662807505459</v>
      </c>
      <c r="Q1897" s="361">
        <f t="shared" si="1944"/>
        <v>3.0252926111334939</v>
      </c>
      <c r="R1897" s="361">
        <f t="shared" si="1944"/>
        <v>3.8192806569254381</v>
      </c>
      <c r="S1897" s="361">
        <f t="shared" si="1944"/>
        <v>4.8216508653354673</v>
      </c>
      <c r="T1897" s="361">
        <f t="shared" si="1944"/>
        <v>6.0870931349426947</v>
      </c>
      <c r="U1897" s="361">
        <f t="shared" si="1944"/>
        <v>7.6846507282083216</v>
      </c>
      <c r="V1897" s="362">
        <f t="shared" si="1944"/>
        <v>9.7014873118264902</v>
      </c>
      <c r="X1897" s="351"/>
    </row>
    <row r="1898" spans="3:24" ht="24.75" customHeight="1" x14ac:dyDescent="0.3">
      <c r="C1898" s="353">
        <f>ABS(E1898-Dashboard!$F$14)</f>
        <v>30.778270778295962</v>
      </c>
      <c r="D1898" s="350">
        <f t="shared" si="1917"/>
        <v>0.26254999999998635</v>
      </c>
      <c r="E1898" s="359" cm="1">
        <f t="array" ref="E1898">1000*SUM('DRE + DCF'!$L$36/M1898,'DRE + DCF'!$N$36:$V$36/N1898:V1898,F1898/V1898)/Dashboard!$F$11</f>
        <v>66.211729221704033</v>
      </c>
      <c r="F1898" s="359">
        <f t="shared" si="1915"/>
        <v>10231408.903683551</v>
      </c>
      <c r="G1898" s="359">
        <f>'DRE + DCF'!$W$31</f>
        <v>2791623.3540418856</v>
      </c>
      <c r="H1898" s="359">
        <f>'DRE + DCF'!$W$32</f>
        <v>81081.931703745853</v>
      </c>
      <c r="I1898" s="359">
        <f>-H1898*('DRE + DCF'!$V$33+K1898)/'DRE + DCF'!$V$33</f>
        <v>-90858.801614444121</v>
      </c>
      <c r="J1898" s="359">
        <f>-'DRE + DCF'!$V$56*L1898</f>
        <v>-1188924.4255577971</v>
      </c>
      <c r="K1898" s="360">
        <f>(1+L1898)/(1+Ke!$O$12)-1</f>
        <v>2.0000000000000018E-2</v>
      </c>
      <c r="L1898" s="360">
        <f>'DRE + DCF'!$Y$31</f>
        <v>7.3550000000000004E-2</v>
      </c>
      <c r="M1898" s="361">
        <f>(1+D1898)^((5-Dashboard!$F$9)*3/12)</f>
        <v>1.1910676788715475</v>
      </c>
      <c r="N1898" s="361">
        <f t="shared" ref="N1898:V1898" si="1945">M1898*(1+$D1898)</f>
        <v>1.503782497959256</v>
      </c>
      <c r="O1898" s="361">
        <f t="shared" si="1945"/>
        <v>1.898600592798438</v>
      </c>
      <c r="P1898" s="361">
        <f t="shared" si="1945"/>
        <v>2.397078178437642</v>
      </c>
      <c r="Q1898" s="361">
        <f t="shared" si="1945"/>
        <v>3.0264310541864119</v>
      </c>
      <c r="R1898" s="361">
        <f t="shared" si="1945"/>
        <v>3.8210205274630127</v>
      </c>
      <c r="S1898" s="361">
        <f t="shared" si="1945"/>
        <v>4.8242294669483741</v>
      </c>
      <c r="T1898" s="361">
        <f t="shared" si="1945"/>
        <v>6.0908309134956031</v>
      </c>
      <c r="U1898" s="361">
        <f t="shared" si="1945"/>
        <v>7.6899785698337899</v>
      </c>
      <c r="V1898" s="362">
        <f t="shared" si="1945"/>
        <v>9.7089824433435457</v>
      </c>
      <c r="X1898" s="351"/>
    </row>
    <row r="1899" spans="3:24" ht="24.75" customHeight="1" x14ac:dyDescent="0.3">
      <c r="C1899" s="353">
        <f>ABS(E1899-Dashboard!$F$14)</f>
        <v>30.818435905790295</v>
      </c>
      <c r="D1899" s="350">
        <f t="shared" si="1917"/>
        <v>0.26264999999998634</v>
      </c>
      <c r="E1899" s="359" cm="1">
        <f t="array" ref="E1899">1000*SUM('DRE + DCF'!$L$36/M1899,'DRE + DCF'!$N$36:$V$36/N1899:V1899,F1899/V1899)/Dashboard!$F$11</f>
        <v>66.1715640942097</v>
      </c>
      <c r="F1899" s="359">
        <f t="shared" si="1915"/>
        <v>10226843.505698401</v>
      </c>
      <c r="G1899" s="359">
        <f>'DRE + DCF'!$W$31</f>
        <v>2791623.3540418856</v>
      </c>
      <c r="H1899" s="359">
        <f>'DRE + DCF'!$W$32</f>
        <v>81081.931703745853</v>
      </c>
      <c r="I1899" s="359">
        <f>-H1899*('DRE + DCF'!$V$33+K1899)/'DRE + DCF'!$V$33</f>
        <v>-90858.801614444121</v>
      </c>
      <c r="J1899" s="359">
        <f>-'DRE + DCF'!$V$56*L1899</f>
        <v>-1188924.4255577971</v>
      </c>
      <c r="K1899" s="360">
        <f>(1+L1899)/(1+Ke!$O$12)-1</f>
        <v>2.0000000000000018E-2</v>
      </c>
      <c r="L1899" s="360">
        <f>'DRE + DCF'!$Y$31</f>
        <v>7.3550000000000004E-2</v>
      </c>
      <c r="M1899" s="361">
        <f>(1+D1899)^((5-Dashboard!$F$9)*3/12)</f>
        <v>1.1911384318647149</v>
      </c>
      <c r="N1899" s="361">
        <f t="shared" ref="N1899:V1899" si="1946">M1899*(1+$D1899)</f>
        <v>1.503990940993966</v>
      </c>
      <c r="O1899" s="361">
        <f t="shared" si="1946"/>
        <v>1.8990141616460106</v>
      </c>
      <c r="P1899" s="361">
        <f t="shared" si="1946"/>
        <v>2.3977902312023094</v>
      </c>
      <c r="Q1899" s="361">
        <f t="shared" si="1946"/>
        <v>3.0275698354275629</v>
      </c>
      <c r="R1899" s="361">
        <f t="shared" si="1946"/>
        <v>3.8227610527025706</v>
      </c>
      <c r="S1899" s="361">
        <f t="shared" si="1946"/>
        <v>4.8268092431948482</v>
      </c>
      <c r="T1899" s="361">
        <f t="shared" si="1946"/>
        <v>6.0945706909199089</v>
      </c>
      <c r="U1899" s="361">
        <f t="shared" si="1946"/>
        <v>7.6953096828899392</v>
      </c>
      <c r="V1899" s="362">
        <f t="shared" si="1946"/>
        <v>9.7164827711008765</v>
      </c>
      <c r="X1899" s="351"/>
    </row>
    <row r="1900" spans="3:24" ht="24.75" customHeight="1" x14ac:dyDescent="0.3">
      <c r="C1900" s="353">
        <f>ABS(E1900-Dashboard!$F$14)</f>
        <v>30.858558255353017</v>
      </c>
      <c r="D1900" s="350">
        <f t="shared" si="1917"/>
        <v>0.26274999999998633</v>
      </c>
      <c r="E1900" s="359" cm="1">
        <f t="array" ref="E1900">1000*SUM('DRE + DCF'!$L$36/M1900,'DRE + DCF'!$N$36:$V$36/N1900:V1900,F1900/V1900)/Dashboard!$F$11</f>
        <v>66.131441744646978</v>
      </c>
      <c r="F1900" s="359">
        <f t="shared" si="1915"/>
        <v>10222282.290719025</v>
      </c>
      <c r="G1900" s="359">
        <f>'DRE + DCF'!$W$31</f>
        <v>2791623.3540418856</v>
      </c>
      <c r="H1900" s="359">
        <f>'DRE + DCF'!$W$32</f>
        <v>81081.931703745853</v>
      </c>
      <c r="I1900" s="359">
        <f>-H1900*('DRE + DCF'!$V$33+K1900)/'DRE + DCF'!$V$33</f>
        <v>-90858.801614444121</v>
      </c>
      <c r="J1900" s="359">
        <f>-'DRE + DCF'!$V$56*L1900</f>
        <v>-1188924.4255577971</v>
      </c>
      <c r="K1900" s="360">
        <f>(1+L1900)/(1+Ke!$O$12)-1</f>
        <v>2.0000000000000018E-2</v>
      </c>
      <c r="L1900" s="360">
        <f>'DRE + DCF'!$Y$31</f>
        <v>7.3550000000000004E-2</v>
      </c>
      <c r="M1900" s="361">
        <f>(1+D1900)^((5-Dashboard!$F$9)*3/12)</f>
        <v>1.1912091834570131</v>
      </c>
      <c r="N1900" s="361">
        <f t="shared" ref="N1900:V1900" si="1947">M1900*(1+$D1900)</f>
        <v>1.5041993964103268</v>
      </c>
      <c r="O1900" s="361">
        <f t="shared" si="1947"/>
        <v>1.8994277878171195</v>
      </c>
      <c r="P1900" s="361">
        <f t="shared" si="1947"/>
        <v>2.3985024390660414</v>
      </c>
      <c r="Q1900" s="361">
        <f t="shared" si="1947"/>
        <v>3.028708954930611</v>
      </c>
      <c r="R1900" s="361">
        <f t="shared" si="1947"/>
        <v>3.8245022328385874</v>
      </c>
      <c r="S1900" s="361">
        <f t="shared" si="1947"/>
        <v>4.8293901945168738</v>
      </c>
      <c r="T1900" s="361">
        <f t="shared" si="1947"/>
        <v>6.0983124681261165</v>
      </c>
      <c r="U1900" s="361">
        <f t="shared" si="1947"/>
        <v>7.7006440691261702</v>
      </c>
      <c r="V1900" s="362">
        <f t="shared" si="1947"/>
        <v>9.7239882982889654</v>
      </c>
      <c r="X1900" s="351"/>
    </row>
    <row r="1901" spans="3:24" ht="24.75" customHeight="1" x14ac:dyDescent="0.3">
      <c r="C1901" s="353">
        <f>ABS(E1901-Dashboard!$F$14)</f>
        <v>30.898637890560948</v>
      </c>
      <c r="D1901" s="350">
        <f t="shared" si="1917"/>
        <v>0.26284999999998632</v>
      </c>
      <c r="E1901" s="359" cm="1">
        <f t="array" ref="E1901">1000*SUM('DRE + DCF'!$L$36/M1901,'DRE + DCF'!$N$36:$V$36/N1901:V1901,F1901/V1901)/Dashboard!$F$11</f>
        <v>66.091362109439046</v>
      </c>
      <c r="F1901" s="359">
        <f t="shared" si="1915"/>
        <v>10217725.252849735</v>
      </c>
      <c r="G1901" s="359">
        <f>'DRE + DCF'!$W$31</f>
        <v>2791623.3540418856</v>
      </c>
      <c r="H1901" s="359">
        <f>'DRE + DCF'!$W$32</f>
        <v>81081.931703745853</v>
      </c>
      <c r="I1901" s="359">
        <f>-H1901*('DRE + DCF'!$V$33+K1901)/'DRE + DCF'!$V$33</f>
        <v>-90858.801614444121</v>
      </c>
      <c r="J1901" s="359">
        <f>-'DRE + DCF'!$V$56*L1901</f>
        <v>-1188924.4255577971</v>
      </c>
      <c r="K1901" s="360">
        <f>(1+L1901)/(1+Ke!$O$12)-1</f>
        <v>2.0000000000000018E-2</v>
      </c>
      <c r="L1901" s="360">
        <f>'DRE + DCF'!$Y$31</f>
        <v>7.3550000000000004E-2</v>
      </c>
      <c r="M1901" s="361">
        <f>(1+D1901)^((5-Dashboard!$F$9)*3/12)</f>
        <v>1.1912799336485809</v>
      </c>
      <c r="N1901" s="361">
        <f t="shared" ref="N1901:V1901" si="1948">M1901*(1+$D1901)</f>
        <v>1.504407864208094</v>
      </c>
      <c r="O1901" s="361">
        <f t="shared" si="1948"/>
        <v>1.8998414713151708</v>
      </c>
      <c r="P1901" s="361">
        <f t="shared" si="1948"/>
        <v>2.3992148020503374</v>
      </c>
      <c r="Q1901" s="361">
        <f t="shared" si="1948"/>
        <v>3.0298484127692356</v>
      </c>
      <c r="R1901" s="361">
        <f t="shared" si="1948"/>
        <v>3.8262440680655874</v>
      </c>
      <c r="S1901" s="361">
        <f t="shared" si="1948"/>
        <v>4.8319723213565746</v>
      </c>
      <c r="T1901" s="361">
        <f t="shared" si="1948"/>
        <v>6.102056246025084</v>
      </c>
      <c r="U1901" s="361">
        <f t="shared" si="1948"/>
        <v>7.7059817302926934</v>
      </c>
      <c r="V1901" s="362">
        <f t="shared" si="1948"/>
        <v>9.7314990281000213</v>
      </c>
      <c r="X1901" s="351"/>
    </row>
    <row r="1902" spans="3:24" ht="24.75" customHeight="1" x14ac:dyDescent="0.3">
      <c r="C1902" s="353">
        <f>ABS(E1902-Dashboard!$F$14)</f>
        <v>30.938674874868667</v>
      </c>
      <c r="D1902" s="350">
        <f t="shared" si="1917"/>
        <v>0.26294999999998631</v>
      </c>
      <c r="E1902" s="359" cm="1">
        <f t="array" ref="E1902">1000*SUM('DRE + DCF'!$L$36/M1902,'DRE + DCF'!$N$36:$V$36/N1902:V1902,F1902/V1902)/Dashboard!$F$11</f>
        <v>66.051325125131328</v>
      </c>
      <c r="F1902" s="359">
        <f t="shared" si="1915"/>
        <v>10213172.386206191</v>
      </c>
      <c r="G1902" s="359">
        <f>'DRE + DCF'!$W$31</f>
        <v>2791623.3540418856</v>
      </c>
      <c r="H1902" s="359">
        <f>'DRE + DCF'!$W$32</f>
        <v>81081.931703745853</v>
      </c>
      <c r="I1902" s="359">
        <f>-H1902*('DRE + DCF'!$V$33+K1902)/'DRE + DCF'!$V$33</f>
        <v>-90858.801614444121</v>
      </c>
      <c r="J1902" s="359">
        <f>-'DRE + DCF'!$V$56*L1902</f>
        <v>-1188924.4255577971</v>
      </c>
      <c r="K1902" s="360">
        <f>(1+L1902)/(1+Ke!$O$12)-1</f>
        <v>2.0000000000000018E-2</v>
      </c>
      <c r="L1902" s="360">
        <f>'DRE + DCF'!$Y$31</f>
        <v>7.3550000000000004E-2</v>
      </c>
      <c r="M1902" s="361">
        <f>(1+D1902)^((5-Dashboard!$F$9)*3/12)</f>
        <v>1.191350682439557</v>
      </c>
      <c r="N1902" s="361">
        <f t="shared" ref="N1902:V1902" si="1949">M1902*(1+$D1902)</f>
        <v>1.5046163443870222</v>
      </c>
      <c r="O1902" s="361">
        <f t="shared" si="1949"/>
        <v>1.900255212143569</v>
      </c>
      <c r="P1902" s="361">
        <f t="shared" si="1949"/>
        <v>2.3999273201766944</v>
      </c>
      <c r="Q1902" s="361">
        <f t="shared" si="1949"/>
        <v>3.0309882090171234</v>
      </c>
      <c r="R1902" s="361">
        <f t="shared" si="1949"/>
        <v>3.8279865585781345</v>
      </c>
      <c r="S1902" s="361">
        <f t="shared" si="1949"/>
        <v>4.8345556241562022</v>
      </c>
      <c r="T1902" s="361">
        <f t="shared" si="1949"/>
        <v>6.1058020255280088</v>
      </c>
      <c r="U1902" s="361">
        <f t="shared" si="1949"/>
        <v>7.7113226681405145</v>
      </c>
      <c r="V1902" s="362">
        <f t="shared" si="1949"/>
        <v>9.7390149637279571</v>
      </c>
      <c r="X1902" s="351"/>
    </row>
    <row r="1903" spans="3:24" ht="24.75" customHeight="1" x14ac:dyDescent="0.3">
      <c r="C1903" s="353">
        <f>ABS(E1903-Dashboard!$F$14)</f>
        <v>30.978669271608652</v>
      </c>
      <c r="D1903" s="350">
        <f t="shared" si="1917"/>
        <v>0.26304999999998629</v>
      </c>
      <c r="E1903" s="359" cm="1">
        <f t="array" ref="E1903">1000*SUM('DRE + DCF'!$L$36/M1903,'DRE + DCF'!$N$36:$V$36/N1903:V1903,F1903/V1903)/Dashboard!$F$11</f>
        <v>66.011330728391343</v>
      </c>
      <c r="F1903" s="359">
        <f t="shared" si="1915"/>
        <v>10208623.684915353</v>
      </c>
      <c r="G1903" s="359">
        <f>'DRE + DCF'!$W$31</f>
        <v>2791623.3540418856</v>
      </c>
      <c r="H1903" s="359">
        <f>'DRE + DCF'!$W$32</f>
        <v>81081.931703745853</v>
      </c>
      <c r="I1903" s="359">
        <f>-H1903*('DRE + DCF'!$V$33+K1903)/'DRE + DCF'!$V$33</f>
        <v>-90858.801614444121</v>
      </c>
      <c r="J1903" s="359">
        <f>-'DRE + DCF'!$V$56*L1903</f>
        <v>-1188924.4255577971</v>
      </c>
      <c r="K1903" s="360">
        <f>(1+L1903)/(1+Ke!$O$12)-1</f>
        <v>2.0000000000000018E-2</v>
      </c>
      <c r="L1903" s="360">
        <f>'DRE + DCF'!$Y$31</f>
        <v>7.3550000000000004E-2</v>
      </c>
      <c r="M1903" s="361">
        <f>(1+D1903)^((5-Dashboard!$F$9)*3/12)</f>
        <v>1.19142142983008</v>
      </c>
      <c r="N1903" s="361">
        <f t="shared" ref="N1903:V1903" si="1950">M1903*(1+$D1903)</f>
        <v>1.5048248369468662</v>
      </c>
      <c r="O1903" s="361">
        <f t="shared" si="1950"/>
        <v>1.9006690103057187</v>
      </c>
      <c r="P1903" s="361">
        <f t="shared" si="1950"/>
        <v>2.4006399934666116</v>
      </c>
      <c r="Q1903" s="361">
        <f t="shared" si="1950"/>
        <v>3.0321283437479707</v>
      </c>
      <c r="R1903" s="361">
        <f t="shared" si="1950"/>
        <v>3.8297297045708327</v>
      </c>
      <c r="S1903" s="361">
        <f t="shared" si="1950"/>
        <v>4.8371401033581378</v>
      </c>
      <c r="T1903" s="361">
        <f t="shared" si="1950"/>
        <v>6.1095498075464292</v>
      </c>
      <c r="U1903" s="361">
        <f t="shared" si="1950"/>
        <v>7.716666884421433</v>
      </c>
      <c r="V1903" s="362">
        <f t="shared" si="1950"/>
        <v>9.7465361083683852</v>
      </c>
      <c r="X1903" s="351"/>
    </row>
    <row r="1904" spans="3:24" ht="24.75" customHeight="1" x14ac:dyDescent="0.3">
      <c r="C1904" s="353">
        <f>ABS(E1904-Dashboard!$F$14)</f>
        <v>31.018621143991794</v>
      </c>
      <c r="D1904" s="350">
        <f t="shared" si="1917"/>
        <v>0.26314999999998628</v>
      </c>
      <c r="E1904" s="359" cm="1">
        <f t="array" ref="E1904">1000*SUM('DRE + DCF'!$L$36/M1904,'DRE + DCF'!$N$36:$V$36/N1904:V1904,F1904/V1904)/Dashboard!$F$11</f>
        <v>65.971378856008201</v>
      </c>
      <c r="F1904" s="359">
        <f t="shared" si="1915"/>
        <v>10204079.143115461</v>
      </c>
      <c r="G1904" s="359">
        <f>'DRE + DCF'!$W$31</f>
        <v>2791623.3540418856</v>
      </c>
      <c r="H1904" s="359">
        <f>'DRE + DCF'!$W$32</f>
        <v>81081.931703745853</v>
      </c>
      <c r="I1904" s="359">
        <f>-H1904*('DRE + DCF'!$V$33+K1904)/'DRE + DCF'!$V$33</f>
        <v>-90858.801614444121</v>
      </c>
      <c r="J1904" s="359">
        <f>-'DRE + DCF'!$V$56*L1904</f>
        <v>-1188924.4255577971</v>
      </c>
      <c r="K1904" s="360">
        <f>(1+L1904)/(1+Ke!$O$12)-1</f>
        <v>2.0000000000000018E-2</v>
      </c>
      <c r="L1904" s="360">
        <f>'DRE + DCF'!$Y$31</f>
        <v>7.3550000000000004E-2</v>
      </c>
      <c r="M1904" s="361">
        <f>(1+D1904)^((5-Dashboard!$F$9)*3/12)</f>
        <v>1.1914921758202885</v>
      </c>
      <c r="N1904" s="361">
        <f t="shared" ref="N1904:V1904" si="1951">M1904*(1+$D1904)</f>
        <v>1.5050333418873811</v>
      </c>
      <c r="O1904" s="361">
        <f t="shared" si="1951"/>
        <v>1.9010828658050247</v>
      </c>
      <c r="P1904" s="361">
        <f t="shared" si="1951"/>
        <v>2.4013528219415909</v>
      </c>
      <c r="Q1904" s="361">
        <f t="shared" si="1951"/>
        <v>3.0332688170354873</v>
      </c>
      <c r="R1904" s="361">
        <f t="shared" si="1951"/>
        <v>3.8314735062383343</v>
      </c>
      <c r="S1904" s="361">
        <f t="shared" si="1951"/>
        <v>4.8397257594048995</v>
      </c>
      <c r="T1904" s="361">
        <f t="shared" si="1951"/>
        <v>6.1132995929922318</v>
      </c>
      <c r="U1904" s="361">
        <f t="shared" si="1951"/>
        <v>7.7220143808880533</v>
      </c>
      <c r="V1904" s="362">
        <f t="shared" si="1951"/>
        <v>9.7540624652186381</v>
      </c>
      <c r="X1904" s="351"/>
    </row>
    <row r="1905" spans="3:24" ht="24.75" customHeight="1" x14ac:dyDescent="0.3">
      <c r="C1905" s="353">
        <f>ABS(E1905-Dashboard!$F$14)</f>
        <v>31.058530555107552</v>
      </c>
      <c r="D1905" s="350">
        <f t="shared" si="1917"/>
        <v>0.26324999999998627</v>
      </c>
      <c r="E1905" s="359" cm="1">
        <f t="array" ref="E1905">1000*SUM('DRE + DCF'!$L$36/M1905,'DRE + DCF'!$N$36:$V$36/N1905:V1905,F1905/V1905)/Dashboard!$F$11</f>
        <v>65.931469444892443</v>
      </c>
      <c r="F1905" s="359">
        <f t="shared" si="1915"/>
        <v>10199538.754956014</v>
      </c>
      <c r="G1905" s="359">
        <f>'DRE + DCF'!$W$31</f>
        <v>2791623.3540418856</v>
      </c>
      <c r="H1905" s="359">
        <f>'DRE + DCF'!$W$32</f>
        <v>81081.931703745853</v>
      </c>
      <c r="I1905" s="359">
        <f>-H1905*('DRE + DCF'!$V$33+K1905)/'DRE + DCF'!$V$33</f>
        <v>-90858.801614444121</v>
      </c>
      <c r="J1905" s="359">
        <f>-'DRE + DCF'!$V$56*L1905</f>
        <v>-1188924.4255577971</v>
      </c>
      <c r="K1905" s="360">
        <f>(1+L1905)/(1+Ke!$O$12)-1</f>
        <v>2.0000000000000018E-2</v>
      </c>
      <c r="L1905" s="360">
        <f>'DRE + DCF'!$Y$31</f>
        <v>7.3550000000000004E-2</v>
      </c>
      <c r="M1905" s="361">
        <f>(1+D1905)^((5-Dashboard!$F$9)*3/12)</f>
        <v>1.1915629204103211</v>
      </c>
      <c r="N1905" s="361">
        <f t="shared" ref="N1905:V1905" si="1952">M1905*(1+$D1905)</f>
        <v>1.5052418592083217</v>
      </c>
      <c r="O1905" s="361">
        <f t="shared" si="1952"/>
        <v>1.9014967786448915</v>
      </c>
      <c r="P1905" s="361">
        <f t="shared" si="1952"/>
        <v>2.402065805623133</v>
      </c>
      <c r="Q1905" s="361">
        <f t="shared" si="1952"/>
        <v>3.0344096289533895</v>
      </c>
      <c r="R1905" s="361">
        <f t="shared" si="1952"/>
        <v>3.8332179637753274</v>
      </c>
      <c r="S1905" s="361">
        <f t="shared" si="1952"/>
        <v>4.8423125927391295</v>
      </c>
      <c r="T1905" s="361">
        <f t="shared" si="1952"/>
        <v>6.1170513827776389</v>
      </c>
      <c r="U1905" s="361">
        <f t="shared" si="1952"/>
        <v>7.7273651592937682</v>
      </c>
      <c r="V1905" s="362">
        <f t="shared" si="1952"/>
        <v>9.7615940374777459</v>
      </c>
      <c r="X1905" s="351"/>
    </row>
    <row r="1906" spans="3:24" ht="24.75" customHeight="1" x14ac:dyDescent="0.3">
      <c r="C1906" s="353">
        <f>ABS(E1906-Dashboard!$F$14)</f>
        <v>31.098397567924295</v>
      </c>
      <c r="D1906" s="350">
        <f t="shared" si="1917"/>
        <v>0.26334999999998626</v>
      </c>
      <c r="E1906" s="359" cm="1">
        <f t="array" ref="E1906">1000*SUM('DRE + DCF'!$L$36/M1906,'DRE + DCF'!$N$36:$V$36/N1906:V1906,F1906/V1906)/Dashboard!$F$11</f>
        <v>65.8916024320757</v>
      </c>
      <c r="F1906" s="359">
        <f t="shared" si="1915"/>
        <v>10195002.514597729</v>
      </c>
      <c r="G1906" s="359">
        <f>'DRE + DCF'!$W$31</f>
        <v>2791623.3540418856</v>
      </c>
      <c r="H1906" s="359">
        <f>'DRE + DCF'!$W$32</f>
        <v>81081.931703745853</v>
      </c>
      <c r="I1906" s="359">
        <f>-H1906*('DRE + DCF'!$V$33+K1906)/'DRE + DCF'!$V$33</f>
        <v>-90858.801614444121</v>
      </c>
      <c r="J1906" s="359">
        <f>-'DRE + DCF'!$V$56*L1906</f>
        <v>-1188924.4255577971</v>
      </c>
      <c r="K1906" s="360">
        <f>(1+L1906)/(1+Ke!$O$12)-1</f>
        <v>2.0000000000000018E-2</v>
      </c>
      <c r="L1906" s="360">
        <f>'DRE + DCF'!$Y$31</f>
        <v>7.3550000000000004E-2</v>
      </c>
      <c r="M1906" s="361">
        <f>(1+D1906)^((5-Dashboard!$F$9)*3/12)</f>
        <v>1.1916336636003162</v>
      </c>
      <c r="N1906" s="361">
        <f t="shared" ref="N1906:V1906" si="1953">M1906*(1+$D1906)</f>
        <v>1.505450388909443</v>
      </c>
      <c r="O1906" s="361">
        <f t="shared" si="1953"/>
        <v>1.9019107488287241</v>
      </c>
      <c r="P1906" s="361">
        <f t="shared" si="1953"/>
        <v>2.4027789445327423</v>
      </c>
      <c r="Q1906" s="361">
        <f t="shared" si="1953"/>
        <v>3.0355507795754071</v>
      </c>
      <c r="R1906" s="361">
        <f t="shared" si="1953"/>
        <v>3.8349630773765488</v>
      </c>
      <c r="S1906" s="361">
        <f t="shared" si="1953"/>
        <v>4.8449006038036098</v>
      </c>
      <c r="T1906" s="361">
        <f t="shared" si="1953"/>
        <v>6.1208051778152237</v>
      </c>
      <c r="U1906" s="361">
        <f t="shared" si="1953"/>
        <v>7.7327192213927782</v>
      </c>
      <c r="V1906" s="362">
        <f t="shared" si="1953"/>
        <v>9.7691308283464604</v>
      </c>
      <c r="X1906" s="351"/>
    </row>
    <row r="1907" spans="3:24" ht="24.75" customHeight="1" x14ac:dyDescent="0.3">
      <c r="C1907" s="353">
        <f>ABS(E1907-Dashboard!$F$14)</f>
        <v>31.138222245289583</v>
      </c>
      <c r="D1907" s="350">
        <f t="shared" si="1917"/>
        <v>0.26344999999998625</v>
      </c>
      <c r="E1907" s="359" cm="1">
        <f t="array" ref="E1907">1000*SUM('DRE + DCF'!$L$36/M1907,'DRE + DCF'!$N$36:$V$36/N1907:V1907,F1907/V1907)/Dashboard!$F$11</f>
        <v>65.851777754710412</v>
      </c>
      <c r="F1907" s="359">
        <f t="shared" si="1915"/>
        <v>10190470.416212529</v>
      </c>
      <c r="G1907" s="359">
        <f>'DRE + DCF'!$W$31</f>
        <v>2791623.3540418856</v>
      </c>
      <c r="H1907" s="359">
        <f>'DRE + DCF'!$W$32</f>
        <v>81081.931703745853</v>
      </c>
      <c r="I1907" s="359">
        <f>-H1907*('DRE + DCF'!$V$33+K1907)/'DRE + DCF'!$V$33</f>
        <v>-90858.801614444121</v>
      </c>
      <c r="J1907" s="359">
        <f>-'DRE + DCF'!$V$56*L1907</f>
        <v>-1188924.4255577971</v>
      </c>
      <c r="K1907" s="360">
        <f>(1+L1907)/(1+Ke!$O$12)-1</f>
        <v>2.0000000000000018E-2</v>
      </c>
      <c r="L1907" s="360">
        <f>'DRE + DCF'!$Y$31</f>
        <v>7.3550000000000004E-2</v>
      </c>
      <c r="M1907" s="361">
        <f>(1+D1907)^((5-Dashboard!$F$9)*3/12)</f>
        <v>1.1917044053904122</v>
      </c>
      <c r="N1907" s="361">
        <f t="shared" ref="N1907:V1907" si="1954">M1907*(1+$D1907)</f>
        <v>1.5056589309905</v>
      </c>
      <c r="O1907" s="361">
        <f t="shared" si="1954"/>
        <v>1.9023247763599265</v>
      </c>
      <c r="P1907" s="361">
        <f t="shared" si="1954"/>
        <v>2.4034922386919226</v>
      </c>
      <c r="Q1907" s="361">
        <f t="shared" si="1954"/>
        <v>3.0366922689752767</v>
      </c>
      <c r="R1907" s="361">
        <f t="shared" si="1954"/>
        <v>3.8367088472367712</v>
      </c>
      <c r="S1907" s="361">
        <f t="shared" si="1954"/>
        <v>4.8474897930412455</v>
      </c>
      <c r="T1907" s="361">
        <f t="shared" si="1954"/>
        <v>6.124560979017895</v>
      </c>
      <c r="U1907" s="361">
        <f t="shared" si="1954"/>
        <v>7.738076568940075</v>
      </c>
      <c r="V1907" s="362">
        <f t="shared" si="1954"/>
        <v>9.7766728410272314</v>
      </c>
      <c r="X1907" s="351"/>
    </row>
    <row r="1908" spans="3:24" ht="24.75" customHeight="1" x14ac:dyDescent="0.3">
      <c r="C1908" s="353">
        <f>ABS(E1908-Dashboard!$F$14)</f>
        <v>31.178004649930443</v>
      </c>
      <c r="D1908" s="350">
        <f t="shared" si="1917"/>
        <v>0.26354999999998624</v>
      </c>
      <c r="E1908" s="359" cm="1">
        <f t="array" ref="E1908">1000*SUM('DRE + DCF'!$L$36/M1908,'DRE + DCF'!$N$36:$V$36/N1908:V1908,F1908/V1908)/Dashboard!$F$11</f>
        <v>65.811995350069552</v>
      </c>
      <c r="F1908" s="359">
        <f t="shared" si="1915"/>
        <v>10185942.453983501</v>
      </c>
      <c r="G1908" s="359">
        <f>'DRE + DCF'!$W$31</f>
        <v>2791623.3540418856</v>
      </c>
      <c r="H1908" s="359">
        <f>'DRE + DCF'!$W$32</f>
        <v>81081.931703745853</v>
      </c>
      <c r="I1908" s="359">
        <f>-H1908*('DRE + DCF'!$V$33+K1908)/'DRE + DCF'!$V$33</f>
        <v>-90858.801614444121</v>
      </c>
      <c r="J1908" s="359">
        <f>-'DRE + DCF'!$V$56*L1908</f>
        <v>-1188924.4255577971</v>
      </c>
      <c r="K1908" s="360">
        <f>(1+L1908)/(1+Ke!$O$12)-1</f>
        <v>2.0000000000000018E-2</v>
      </c>
      <c r="L1908" s="360">
        <f>'DRE + DCF'!$Y$31</f>
        <v>7.3550000000000004E-2</v>
      </c>
      <c r="M1908" s="361">
        <f>(1+D1908)^((5-Dashboard!$F$9)*3/12)</f>
        <v>1.1917751457807482</v>
      </c>
      <c r="N1908" s="361">
        <f t="shared" ref="N1908:V1908" si="1955">M1908*(1+$D1908)</f>
        <v>1.5058674854512479</v>
      </c>
      <c r="O1908" s="361">
        <f t="shared" si="1955"/>
        <v>1.9027388612419036</v>
      </c>
      <c r="P1908" s="361">
        <f t="shared" si="1955"/>
        <v>2.4042056881221812</v>
      </c>
      <c r="Q1908" s="361">
        <f t="shared" si="1955"/>
        <v>3.0378340972267486</v>
      </c>
      <c r="R1908" s="361">
        <f t="shared" si="1955"/>
        <v>3.8384552735508164</v>
      </c>
      <c r="S1908" s="361">
        <f t="shared" si="1955"/>
        <v>4.8500801608950814</v>
      </c>
      <c r="T1908" s="361">
        <f t="shared" si="1955"/>
        <v>6.1283187872989133</v>
      </c>
      <c r="U1908" s="361">
        <f t="shared" si="1955"/>
        <v>7.7434372036914576</v>
      </c>
      <c r="V1908" s="362">
        <f t="shared" si="1955"/>
        <v>9.7842200787242337</v>
      </c>
      <c r="X1908" s="351"/>
    </row>
    <row r="1909" spans="3:24" ht="24.75" customHeight="1" x14ac:dyDescent="0.3">
      <c r="C1909" s="353">
        <f>ABS(E1909-Dashboard!$F$14)</f>
        <v>31.217744844453591</v>
      </c>
      <c r="D1909" s="350">
        <f t="shared" si="1917"/>
        <v>0.26364999999998623</v>
      </c>
      <c r="E1909" s="359" cm="1">
        <f t="array" ref="E1909">1000*SUM('DRE + DCF'!$L$36/M1909,'DRE + DCF'!$N$36:$V$36/N1909:V1909,F1909/V1909)/Dashboard!$F$11</f>
        <v>65.772255155546404</v>
      </c>
      <c r="F1909" s="359">
        <f t="shared" si="1915"/>
        <v>10181418.622104878</v>
      </c>
      <c r="G1909" s="359">
        <f>'DRE + DCF'!$W$31</f>
        <v>2791623.3540418856</v>
      </c>
      <c r="H1909" s="359">
        <f>'DRE + DCF'!$W$32</f>
        <v>81081.931703745853</v>
      </c>
      <c r="I1909" s="359">
        <f>-H1909*('DRE + DCF'!$V$33+K1909)/'DRE + DCF'!$V$33</f>
        <v>-90858.801614444121</v>
      </c>
      <c r="J1909" s="359">
        <f>-'DRE + DCF'!$V$56*L1909</f>
        <v>-1188924.4255577971</v>
      </c>
      <c r="K1909" s="360">
        <f>(1+L1909)/(1+Ke!$O$12)-1</f>
        <v>2.0000000000000018E-2</v>
      </c>
      <c r="L1909" s="360">
        <f>'DRE + DCF'!$Y$31</f>
        <v>7.3550000000000004E-2</v>
      </c>
      <c r="M1909" s="361">
        <f>(1+D1909)^((5-Dashboard!$F$9)*3/12)</f>
        <v>1.1918458847714621</v>
      </c>
      <c r="N1909" s="361">
        <f t="shared" ref="N1909:V1909" si="1956">M1909*(1+$D1909)</f>
        <v>1.5060760522914416</v>
      </c>
      <c r="O1909" s="361">
        <f t="shared" si="1956"/>
        <v>1.9031530034780593</v>
      </c>
      <c r="P1909" s="361">
        <f t="shared" si="1956"/>
        <v>2.4049192928450234</v>
      </c>
      <c r="Q1909" s="361">
        <f t="shared" si="1956"/>
        <v>3.0389762644035807</v>
      </c>
      <c r="R1909" s="361">
        <f t="shared" si="1956"/>
        <v>3.8402023565135428</v>
      </c>
      <c r="S1909" s="361">
        <f t="shared" si="1956"/>
        <v>4.8526717078082848</v>
      </c>
      <c r="T1909" s="361">
        <f t="shared" si="1956"/>
        <v>6.1320786035718724</v>
      </c>
      <c r="U1909" s="361">
        <f t="shared" si="1956"/>
        <v>7.748801127403512</v>
      </c>
      <c r="V1909" s="362">
        <f t="shared" si="1956"/>
        <v>9.7917725446433401</v>
      </c>
      <c r="X1909" s="351"/>
    </row>
    <row r="1910" spans="3:24" ht="24.75" customHeight="1" x14ac:dyDescent="0.3">
      <c r="C1910" s="353">
        <f>ABS(E1910-Dashboard!$F$14)</f>
        <v>31.257442891345903</v>
      </c>
      <c r="D1910" s="350">
        <f t="shared" si="1917"/>
        <v>0.26374999999998622</v>
      </c>
      <c r="E1910" s="359" cm="1">
        <f t="array" ref="E1910">1000*SUM('DRE + DCF'!$L$36/M1910,'DRE + DCF'!$N$36:$V$36/N1910:V1910,F1910/V1910)/Dashboard!$F$11</f>
        <v>65.732557108654092</v>
      </c>
      <c r="F1910" s="359">
        <f t="shared" si="1915"/>
        <v>10176898.914782008</v>
      </c>
      <c r="G1910" s="359">
        <f>'DRE + DCF'!$W$31</f>
        <v>2791623.3540418856</v>
      </c>
      <c r="H1910" s="359">
        <f>'DRE + DCF'!$W$32</f>
        <v>81081.931703745853</v>
      </c>
      <c r="I1910" s="359">
        <f>-H1910*('DRE + DCF'!$V$33+K1910)/'DRE + DCF'!$V$33</f>
        <v>-90858.801614444121</v>
      </c>
      <c r="J1910" s="359">
        <f>-'DRE + DCF'!$V$56*L1910</f>
        <v>-1188924.4255577971</v>
      </c>
      <c r="K1910" s="360">
        <f>(1+L1910)/(1+Ke!$O$12)-1</f>
        <v>2.0000000000000018E-2</v>
      </c>
      <c r="L1910" s="360">
        <f>'DRE + DCF'!$Y$31</f>
        <v>7.3550000000000004E-2</v>
      </c>
      <c r="M1910" s="361">
        <f>(1+D1910)^((5-Dashboard!$F$9)*3/12)</f>
        <v>1.1919166223626925</v>
      </c>
      <c r="N1910" s="361">
        <f t="shared" ref="N1910:V1910" si="1957">M1910*(1+$D1910)</f>
        <v>1.506284631510836</v>
      </c>
      <c r="O1910" s="361">
        <f t="shared" si="1957"/>
        <v>1.9035672030717983</v>
      </c>
      <c r="P1910" s="361">
        <f t="shared" si="1957"/>
        <v>2.4056330528819587</v>
      </c>
      <c r="Q1910" s="361">
        <f t="shared" si="1957"/>
        <v>3.0401187705795421</v>
      </c>
      <c r="R1910" s="361">
        <f t="shared" si="1957"/>
        <v>3.8419500963198541</v>
      </c>
      <c r="S1910" s="361">
        <f t="shared" si="1957"/>
        <v>4.8552644342241624</v>
      </c>
      <c r="T1910" s="361">
        <f t="shared" si="1957"/>
        <v>6.1358404287507184</v>
      </c>
      <c r="U1910" s="361">
        <f t="shared" si="1957"/>
        <v>7.7541683418336351</v>
      </c>
      <c r="V1910" s="362">
        <f t="shared" si="1957"/>
        <v>9.7993302419921484</v>
      </c>
      <c r="X1910" s="351"/>
    </row>
    <row r="1911" spans="3:24" ht="24.75" customHeight="1" x14ac:dyDescent="0.3">
      <c r="C1911" s="353">
        <f>ABS(E1911-Dashboard!$F$14)</f>
        <v>31.297098852974543</v>
      </c>
      <c r="D1911" s="350">
        <f t="shared" si="1917"/>
        <v>0.26384999999998621</v>
      </c>
      <c r="E1911" s="359" cm="1">
        <f t="array" ref="E1911">1000*SUM('DRE + DCF'!$L$36/M1911,'DRE + DCF'!$N$36:$V$36/N1911:V1911,F1911/V1911)/Dashboard!$F$11</f>
        <v>65.692901147025452</v>
      </c>
      <c r="F1911" s="359">
        <f t="shared" si="1915"/>
        <v>10172383.326231331</v>
      </c>
      <c r="G1911" s="359">
        <f>'DRE + DCF'!$W$31</f>
        <v>2791623.3540418856</v>
      </c>
      <c r="H1911" s="359">
        <f>'DRE + DCF'!$W$32</f>
        <v>81081.931703745853</v>
      </c>
      <c r="I1911" s="359">
        <f>-H1911*('DRE + DCF'!$V$33+K1911)/'DRE + DCF'!$V$33</f>
        <v>-90858.801614444121</v>
      </c>
      <c r="J1911" s="359">
        <f>-'DRE + DCF'!$V$56*L1911</f>
        <v>-1188924.4255577971</v>
      </c>
      <c r="K1911" s="360">
        <f>(1+L1911)/(1+Ke!$O$12)-1</f>
        <v>2.0000000000000018E-2</v>
      </c>
      <c r="L1911" s="360">
        <f>'DRE + DCF'!$Y$31</f>
        <v>7.3550000000000004E-2</v>
      </c>
      <c r="M1911" s="361">
        <f>(1+D1911)^((5-Dashboard!$F$9)*3/12)</f>
        <v>1.1919873585545779</v>
      </c>
      <c r="N1911" s="361">
        <f t="shared" ref="N1911:V1911" si="1958">M1911*(1+$D1911)</f>
        <v>1.5064932231091868</v>
      </c>
      <c r="O1911" s="361">
        <f t="shared" si="1958"/>
        <v>1.9039814600265248</v>
      </c>
      <c r="P1911" s="361">
        <f t="shared" si="1958"/>
        <v>2.4063469682544971</v>
      </c>
      <c r="Q1911" s="361">
        <f t="shared" si="1958"/>
        <v>3.0412616158284127</v>
      </c>
      <c r="R1911" s="361">
        <f t="shared" si="1958"/>
        <v>3.8436984931646974</v>
      </c>
      <c r="S1911" s="361">
        <f t="shared" si="1958"/>
        <v>4.8578583405861497</v>
      </c>
      <c r="T1911" s="361">
        <f t="shared" si="1958"/>
        <v>6.1396042637497379</v>
      </c>
      <c r="U1911" s="361">
        <f t="shared" si="1958"/>
        <v>7.7595388487400214</v>
      </c>
      <c r="V1911" s="362">
        <f t="shared" si="1958"/>
        <v>9.8068931739799687</v>
      </c>
      <c r="X1911" s="351"/>
    </row>
    <row r="1912" spans="3:24" ht="24.75" customHeight="1" x14ac:dyDescent="0.3">
      <c r="C1912" s="353">
        <f>ABS(E1912-Dashboard!$F$14)</f>
        <v>31.336712791587217</v>
      </c>
      <c r="D1912" s="350">
        <f t="shared" si="1917"/>
        <v>0.2639499999999862</v>
      </c>
      <c r="E1912" s="359" cm="1">
        <f t="array" ref="E1912">1000*SUM('DRE + DCF'!$L$36/M1912,'DRE + DCF'!$N$36:$V$36/N1912:V1912,F1912/V1912)/Dashboard!$F$11</f>
        <v>65.653287208412777</v>
      </c>
      <c r="F1912" s="359">
        <f t="shared" si="1915"/>
        <v>10167871.850680346</v>
      </c>
      <c r="G1912" s="359">
        <f>'DRE + DCF'!$W$31</f>
        <v>2791623.3540418856</v>
      </c>
      <c r="H1912" s="359">
        <f>'DRE + DCF'!$W$32</f>
        <v>81081.931703745853</v>
      </c>
      <c r="I1912" s="359">
        <f>-H1912*('DRE + DCF'!$V$33+K1912)/'DRE + DCF'!$V$33</f>
        <v>-90858.801614444121</v>
      </c>
      <c r="J1912" s="359">
        <f>-'DRE + DCF'!$V$56*L1912</f>
        <v>-1188924.4255577971</v>
      </c>
      <c r="K1912" s="360">
        <f>(1+L1912)/(1+Ke!$O$12)-1</f>
        <v>2.0000000000000018E-2</v>
      </c>
      <c r="L1912" s="360">
        <f>'DRE + DCF'!$Y$31</f>
        <v>7.3550000000000004E-2</v>
      </c>
      <c r="M1912" s="361">
        <f>(1+D1912)^((5-Dashboard!$F$9)*3/12)</f>
        <v>1.1920580933472567</v>
      </c>
      <c r="N1912" s="361">
        <f t="shared" ref="N1912:V1912" si="1959">M1912*(1+$D1912)</f>
        <v>1.5067018270862484</v>
      </c>
      <c r="O1912" s="361">
        <f t="shared" si="1959"/>
        <v>1.9043957743456428</v>
      </c>
      <c r="P1912" s="361">
        <f t="shared" si="1959"/>
        <v>2.4070610389841489</v>
      </c>
      <c r="Q1912" s="361">
        <f t="shared" si="1959"/>
        <v>3.0424048002239816</v>
      </c>
      <c r="R1912" s="361">
        <f t="shared" si="1959"/>
        <v>3.8454475472430594</v>
      </c>
      <c r="S1912" s="361">
        <f t="shared" si="1959"/>
        <v>4.8604534273378119</v>
      </c>
      <c r="T1912" s="361">
        <f t="shared" si="1959"/>
        <v>6.14337010948356</v>
      </c>
      <c r="U1912" s="361">
        <f t="shared" si="1959"/>
        <v>7.7649126498816603</v>
      </c>
      <c r="V1912" s="362">
        <f t="shared" si="1959"/>
        <v>9.8144613438178165</v>
      </c>
      <c r="X1912" s="351"/>
    </row>
    <row r="1913" spans="3:24" ht="24.75" customHeight="1" x14ac:dyDescent="0.3">
      <c r="C1913" s="353">
        <f>ABS(E1913-Dashboard!$F$14)</f>
        <v>31.376284769312704</v>
      </c>
      <c r="D1913" s="350">
        <f t="shared" si="1917"/>
        <v>0.26404999999998618</v>
      </c>
      <c r="E1913" s="359" cm="1">
        <f t="array" ref="E1913">1000*SUM('DRE + DCF'!$L$36/M1913,'DRE + DCF'!$N$36:$V$36/N1913:V1913,F1913/V1913)/Dashboard!$F$11</f>
        <v>65.613715230687291</v>
      </c>
      <c r="F1913" s="359">
        <f t="shared" si="1915"/>
        <v>10163364.482367586</v>
      </c>
      <c r="G1913" s="359">
        <f>'DRE + DCF'!$W$31</f>
        <v>2791623.3540418856</v>
      </c>
      <c r="H1913" s="359">
        <f>'DRE + DCF'!$W$32</f>
        <v>81081.931703745853</v>
      </c>
      <c r="I1913" s="359">
        <f>-H1913*('DRE + DCF'!$V$33+K1913)/'DRE + DCF'!$V$33</f>
        <v>-90858.801614444121</v>
      </c>
      <c r="J1913" s="359">
        <f>-'DRE + DCF'!$V$56*L1913</f>
        <v>-1188924.4255577971</v>
      </c>
      <c r="K1913" s="360">
        <f>(1+L1913)/(1+Ke!$O$12)-1</f>
        <v>2.0000000000000018E-2</v>
      </c>
      <c r="L1913" s="360">
        <f>'DRE + DCF'!$Y$31</f>
        <v>7.3550000000000004E-2</v>
      </c>
      <c r="M1913" s="361">
        <f>(1+D1913)^((5-Dashboard!$F$9)*3/12)</f>
        <v>1.1921288267408672</v>
      </c>
      <c r="N1913" s="361">
        <f t="shared" ref="N1913:V1913" si="1960">M1913*(1+$D1913)</f>
        <v>1.5069104434417766</v>
      </c>
      <c r="O1913" s="361">
        <f t="shared" si="1960"/>
        <v>1.9048101460325568</v>
      </c>
      <c r="P1913" s="361">
        <f t="shared" si="1960"/>
        <v>2.4077752650924271</v>
      </c>
      <c r="Q1913" s="361">
        <f t="shared" si="1960"/>
        <v>3.0435483238400489</v>
      </c>
      <c r="R1913" s="361">
        <f t="shared" si="1960"/>
        <v>3.8471972587499716</v>
      </c>
      <c r="S1913" s="361">
        <f t="shared" si="1960"/>
        <v>4.8630496949228483</v>
      </c>
      <c r="T1913" s="361">
        <f t="shared" si="1960"/>
        <v>6.1471379668671586</v>
      </c>
      <c r="U1913" s="361">
        <f t="shared" si="1960"/>
        <v>7.7702897470183467</v>
      </c>
      <c r="V1913" s="362">
        <f t="shared" si="1960"/>
        <v>9.8220347547184339</v>
      </c>
      <c r="X1913" s="351"/>
    </row>
    <row r="1914" spans="3:24" ht="24.75" customHeight="1" x14ac:dyDescent="0.3">
      <c r="C1914" s="353">
        <f>ABS(E1914-Dashboard!$F$14)</f>
        <v>31.415814848160792</v>
      </c>
      <c r="D1914" s="350">
        <f t="shared" si="1917"/>
        <v>0.26414999999998617</v>
      </c>
      <c r="E1914" s="359" cm="1">
        <f t="array" ref="E1914">1000*SUM('DRE + DCF'!$L$36/M1914,'DRE + DCF'!$N$36:$V$36/N1914:V1914,F1914/V1914)/Dashboard!$F$11</f>
        <v>65.574185151839202</v>
      </c>
      <c r="F1914" s="359">
        <f t="shared" si="1915"/>
        <v>10158861.215542596</v>
      </c>
      <c r="G1914" s="359">
        <f>'DRE + DCF'!$W$31</f>
        <v>2791623.3540418856</v>
      </c>
      <c r="H1914" s="359">
        <f>'DRE + DCF'!$W$32</f>
        <v>81081.931703745853</v>
      </c>
      <c r="I1914" s="359">
        <f>-H1914*('DRE + DCF'!$V$33+K1914)/'DRE + DCF'!$V$33</f>
        <v>-90858.801614444121</v>
      </c>
      <c r="J1914" s="359">
        <f>-'DRE + DCF'!$V$56*L1914</f>
        <v>-1188924.4255577971</v>
      </c>
      <c r="K1914" s="360">
        <f>(1+L1914)/(1+Ke!$O$12)-1</f>
        <v>2.0000000000000018E-2</v>
      </c>
      <c r="L1914" s="360">
        <f>'DRE + DCF'!$Y$31</f>
        <v>7.3550000000000004E-2</v>
      </c>
      <c r="M1914" s="361">
        <f>(1+D1914)^((5-Dashboard!$F$9)*3/12)</f>
        <v>1.1921995587355478</v>
      </c>
      <c r="N1914" s="361">
        <f t="shared" ref="N1914:V1914" si="1961">M1914*(1+$D1914)</f>
        <v>1.5071190721755263</v>
      </c>
      <c r="O1914" s="361">
        <f t="shared" si="1961"/>
        <v>1.9052245750906707</v>
      </c>
      <c r="P1914" s="361">
        <f t="shared" si="1961"/>
        <v>2.4084896466008447</v>
      </c>
      <c r="Q1914" s="361">
        <f t="shared" si="1961"/>
        <v>3.0446921867504244</v>
      </c>
      <c r="R1914" s="361">
        <f t="shared" si="1961"/>
        <v>3.8489476278805066</v>
      </c>
      <c r="S1914" s="361">
        <f t="shared" si="1961"/>
        <v>4.8656471437850888</v>
      </c>
      <c r="T1914" s="361">
        <f t="shared" si="1961"/>
        <v>6.1509078368158523</v>
      </c>
      <c r="U1914" s="361">
        <f t="shared" si="1961"/>
        <v>7.7756701419106742</v>
      </c>
      <c r="V1914" s="362">
        <f t="shared" si="1961"/>
        <v>9.82961340989627</v>
      </c>
      <c r="X1914" s="351"/>
    </row>
    <row r="1915" spans="3:24" ht="24.75" customHeight="1" x14ac:dyDescent="0.3">
      <c r="C1915" s="353">
        <f>ABS(E1915-Dashboard!$F$14)</f>
        <v>31.455303090022866</v>
      </c>
      <c r="D1915" s="350">
        <f t="shared" si="1917"/>
        <v>0.26424999999998616</v>
      </c>
      <c r="E1915" s="359" cm="1">
        <f t="array" ref="E1915">1000*SUM('DRE + DCF'!$L$36/M1915,'DRE + DCF'!$N$36:$V$36/N1915:V1915,F1915/V1915)/Dashboard!$F$11</f>
        <v>65.534696909977129</v>
      </c>
      <c r="F1915" s="359">
        <f t="shared" si="1915"/>
        <v>10154362.044465896</v>
      </c>
      <c r="G1915" s="359">
        <f>'DRE + DCF'!$W$31</f>
        <v>2791623.3540418856</v>
      </c>
      <c r="H1915" s="359">
        <f>'DRE + DCF'!$W$32</f>
        <v>81081.931703745853</v>
      </c>
      <c r="I1915" s="359">
        <f>-H1915*('DRE + DCF'!$V$33+K1915)/'DRE + DCF'!$V$33</f>
        <v>-90858.801614444121</v>
      </c>
      <c r="J1915" s="359">
        <f>-'DRE + DCF'!$V$56*L1915</f>
        <v>-1188924.4255577971</v>
      </c>
      <c r="K1915" s="360">
        <f>(1+L1915)/(1+Ke!$O$12)-1</f>
        <v>2.0000000000000018E-2</v>
      </c>
      <c r="L1915" s="360">
        <f>'DRE + DCF'!$Y$31</f>
        <v>7.3550000000000004E-2</v>
      </c>
      <c r="M1915" s="361">
        <f>(1+D1915)^((5-Dashboard!$F$9)*3/12)</f>
        <v>1.192270289331437</v>
      </c>
      <c r="N1915" s="361">
        <f t="shared" ref="N1915:V1915" si="1962">M1915*(1+$D1915)</f>
        <v>1.5073277132872527</v>
      </c>
      <c r="O1915" s="361">
        <f t="shared" si="1962"/>
        <v>1.9056390615233882</v>
      </c>
      <c r="P1915" s="361">
        <f t="shared" si="1962"/>
        <v>2.409204183530917</v>
      </c>
      <c r="Q1915" s="361">
        <f t="shared" si="1962"/>
        <v>3.0458363890289282</v>
      </c>
      <c r="R1915" s="361">
        <f t="shared" si="1962"/>
        <v>3.8506986548297801</v>
      </c>
      <c r="S1915" s="361">
        <f t="shared" si="1962"/>
        <v>4.8682457743684964</v>
      </c>
      <c r="T1915" s="361">
        <f t="shared" si="1962"/>
        <v>6.1546797202453041</v>
      </c>
      <c r="U1915" s="361">
        <f t="shared" si="1962"/>
        <v>7.7810538363200399</v>
      </c>
      <c r="V1915" s="362">
        <f t="shared" si="1962"/>
        <v>9.8371973125675023</v>
      </c>
      <c r="X1915" s="351"/>
    </row>
    <row r="1916" spans="3:24" ht="24.75" customHeight="1" x14ac:dyDescent="0.3">
      <c r="C1916" s="353">
        <f>ABS(E1916-Dashboard!$F$14)</f>
        <v>31.494749556671962</v>
      </c>
      <c r="D1916" s="350">
        <f t="shared" si="1917"/>
        <v>0.26434999999998615</v>
      </c>
      <c r="E1916" s="359" cm="1">
        <f t="array" ref="E1916">1000*SUM('DRE + DCF'!$L$36/M1916,'DRE + DCF'!$N$36:$V$36/N1916:V1916,F1916/V1916)/Dashboard!$F$11</f>
        <v>65.495250443328032</v>
      </c>
      <c r="F1916" s="359">
        <f t="shared" si="1915"/>
        <v>10149866.963408966</v>
      </c>
      <c r="G1916" s="359">
        <f>'DRE + DCF'!$W$31</f>
        <v>2791623.3540418856</v>
      </c>
      <c r="H1916" s="359">
        <f>'DRE + DCF'!$W$32</f>
        <v>81081.931703745853</v>
      </c>
      <c r="I1916" s="359">
        <f>-H1916*('DRE + DCF'!$V$33+K1916)/'DRE + DCF'!$V$33</f>
        <v>-90858.801614444121</v>
      </c>
      <c r="J1916" s="359">
        <f>-'DRE + DCF'!$V$56*L1916</f>
        <v>-1188924.4255577971</v>
      </c>
      <c r="K1916" s="360">
        <f>(1+L1916)/(1+Ke!$O$12)-1</f>
        <v>2.0000000000000018E-2</v>
      </c>
      <c r="L1916" s="360">
        <f>'DRE + DCF'!$Y$31</f>
        <v>7.3550000000000004E-2</v>
      </c>
      <c r="M1916" s="361">
        <f>(1+D1916)^((5-Dashboard!$F$9)*3/12)</f>
        <v>1.1923410185286727</v>
      </c>
      <c r="N1916" s="361">
        <f t="shared" ref="N1916:V1916" si="1963">M1916*(1+$D1916)</f>
        <v>1.5075363667767108</v>
      </c>
      <c r="O1916" s="361">
        <f t="shared" si="1963"/>
        <v>1.9060536053341133</v>
      </c>
      <c r="P1916" s="361">
        <f t="shared" si="1963"/>
        <v>2.4099188759041597</v>
      </c>
      <c r="Q1916" s="361">
        <f t="shared" si="1963"/>
        <v>3.0469809307493909</v>
      </c>
      <c r="R1916" s="361">
        <f t="shared" si="1963"/>
        <v>3.8524503397929499</v>
      </c>
      <c r="S1916" s="361">
        <f t="shared" si="1963"/>
        <v>4.870845587117163</v>
      </c>
      <c r="T1916" s="361">
        <f t="shared" si="1963"/>
        <v>6.1584536180715173</v>
      </c>
      <c r="U1916" s="361">
        <f t="shared" si="1963"/>
        <v>7.7864408320086369</v>
      </c>
      <c r="V1916" s="362">
        <f t="shared" si="1963"/>
        <v>9.8447864659500119</v>
      </c>
      <c r="X1916" s="351"/>
    </row>
    <row r="1917" spans="3:24" ht="24.75" customHeight="1" x14ac:dyDescent="0.3">
      <c r="C1917" s="353">
        <f>ABS(E1917-Dashboard!$F$14)</f>
        <v>31.53415430976321</v>
      </c>
      <c r="D1917" s="350">
        <f t="shared" si="1917"/>
        <v>0.26444999999998614</v>
      </c>
      <c r="E1917" s="359" cm="1">
        <f t="array" ref="E1917">1000*SUM('DRE + DCF'!$L$36/M1917,'DRE + DCF'!$N$36:$V$36/N1917:V1917,F1917/V1917)/Dashboard!$F$11</f>
        <v>65.455845690236785</v>
      </c>
      <c r="F1917" s="359">
        <f t="shared" si="1915"/>
        <v>10145375.966654215</v>
      </c>
      <c r="G1917" s="359">
        <f>'DRE + DCF'!$W$31</f>
        <v>2791623.3540418856</v>
      </c>
      <c r="H1917" s="359">
        <f>'DRE + DCF'!$W$32</f>
        <v>81081.931703745853</v>
      </c>
      <c r="I1917" s="359">
        <f>-H1917*('DRE + DCF'!$V$33+K1917)/'DRE + DCF'!$V$33</f>
        <v>-90858.801614444121</v>
      </c>
      <c r="J1917" s="359">
        <f>-'DRE + DCF'!$V$56*L1917</f>
        <v>-1188924.4255577971</v>
      </c>
      <c r="K1917" s="360">
        <f>(1+L1917)/(1+Ke!$O$12)-1</f>
        <v>2.0000000000000018E-2</v>
      </c>
      <c r="L1917" s="360">
        <f>'DRE + DCF'!$Y$31</f>
        <v>7.3550000000000004E-2</v>
      </c>
      <c r="M1917" s="361">
        <f>(1+D1917)^((5-Dashboard!$F$9)*3/12)</f>
        <v>1.1924117463273933</v>
      </c>
      <c r="N1917" s="361">
        <f t="shared" ref="N1917:V1917" si="1964">M1917*(1+$D1917)</f>
        <v>1.5077450326436559</v>
      </c>
      <c r="O1917" s="361">
        <f t="shared" si="1964"/>
        <v>1.9064682065262497</v>
      </c>
      <c r="P1917" s="361">
        <f t="shared" si="1964"/>
        <v>2.4106337237420901</v>
      </c>
      <c r="Q1917" s="361">
        <f t="shared" si="1964"/>
        <v>3.0481258119856522</v>
      </c>
      <c r="R1917" s="361">
        <f t="shared" si="1964"/>
        <v>3.8542026829652154</v>
      </c>
      <c r="S1917" s="361">
        <f t="shared" si="1964"/>
        <v>4.8734465824753128</v>
      </c>
      <c r="T1917" s="361">
        <f t="shared" si="1964"/>
        <v>6.1622295312108415</v>
      </c>
      <c r="U1917" s="361">
        <f t="shared" si="1964"/>
        <v>7.791831130739463</v>
      </c>
      <c r="V1917" s="362">
        <f t="shared" si="1964"/>
        <v>9.8523808732634048</v>
      </c>
      <c r="X1917" s="351"/>
    </row>
    <row r="1918" spans="3:24" ht="24.75" customHeight="1" x14ac:dyDescent="0.3">
      <c r="C1918" s="353">
        <f>ABS(E1918-Dashboard!$F$14)</f>
        <v>31.573517410834043</v>
      </c>
      <c r="D1918" s="350">
        <f t="shared" si="1917"/>
        <v>0.26454999999998613</v>
      </c>
      <c r="E1918" s="359" cm="1">
        <f t="array" ref="E1918">1000*SUM('DRE + DCF'!$L$36/M1918,'DRE + DCF'!$N$36:$V$36/N1918:V1918,F1918/V1918)/Dashboard!$F$11</f>
        <v>65.416482589165952</v>
      </c>
      <c r="F1918" s="359">
        <f t="shared" si="1915"/>
        <v>10140889.048494946</v>
      </c>
      <c r="G1918" s="359">
        <f>'DRE + DCF'!$W$31</f>
        <v>2791623.3540418856</v>
      </c>
      <c r="H1918" s="359">
        <f>'DRE + DCF'!$W$32</f>
        <v>81081.931703745853</v>
      </c>
      <c r="I1918" s="359">
        <f>-H1918*('DRE + DCF'!$V$33+K1918)/'DRE + DCF'!$V$33</f>
        <v>-90858.801614444121</v>
      </c>
      <c r="J1918" s="359">
        <f>-'DRE + DCF'!$V$56*L1918</f>
        <v>-1188924.4255577971</v>
      </c>
      <c r="K1918" s="360">
        <f>(1+L1918)/(1+Ke!$O$12)-1</f>
        <v>2.0000000000000018E-2</v>
      </c>
      <c r="L1918" s="360">
        <f>'DRE + DCF'!$Y$31</f>
        <v>7.3550000000000004E-2</v>
      </c>
      <c r="M1918" s="361">
        <f>(1+D1918)^((5-Dashboard!$F$9)*3/12)</f>
        <v>1.1924824727277372</v>
      </c>
      <c r="N1918" s="361">
        <f t="shared" ref="N1918:V1918" si="1965">M1918*(1+$D1918)</f>
        <v>1.5079537108878436</v>
      </c>
      <c r="O1918" s="361">
        <f t="shared" si="1965"/>
        <v>1.9068828651032017</v>
      </c>
      <c r="P1918" s="361">
        <f t="shared" si="1965"/>
        <v>2.411348727066227</v>
      </c>
      <c r="Q1918" s="361">
        <f t="shared" si="1965"/>
        <v>3.0492710328115638</v>
      </c>
      <c r="R1918" s="361">
        <f t="shared" si="1965"/>
        <v>3.8559556845418204</v>
      </c>
      <c r="S1918" s="361">
        <f t="shared" si="1965"/>
        <v>4.8760487608873051</v>
      </c>
      <c r="T1918" s="361">
        <f t="shared" si="1965"/>
        <v>6.1660074605799737</v>
      </c>
      <c r="U1918" s="361">
        <f t="shared" si="1965"/>
        <v>7.7972247342763197</v>
      </c>
      <c r="V1918" s="362">
        <f t="shared" si="1965"/>
        <v>9.8599805377290117</v>
      </c>
      <c r="X1918" s="351"/>
    </row>
    <row r="1919" spans="3:24" ht="24.75" customHeight="1" x14ac:dyDescent="0.3">
      <c r="C1919" s="353">
        <f>ABS(E1919-Dashboard!$F$14)</f>
        <v>31.612838921304487</v>
      </c>
      <c r="D1919" s="350">
        <f t="shared" si="1917"/>
        <v>0.26464999999998612</v>
      </c>
      <c r="E1919" s="359" cm="1">
        <f t="array" ref="E1919">1000*SUM('DRE + DCF'!$L$36/M1919,'DRE + DCF'!$N$36:$V$36/N1919:V1919,F1919/V1919)/Dashboard!$F$11</f>
        <v>65.377161078695508</v>
      </c>
      <c r="F1919" s="359">
        <f t="shared" si="1915"/>
        <v>10136406.203235343</v>
      </c>
      <c r="G1919" s="359">
        <f>'DRE + DCF'!$W$31</f>
        <v>2791623.3540418856</v>
      </c>
      <c r="H1919" s="359">
        <f>'DRE + DCF'!$W$32</f>
        <v>81081.931703745853</v>
      </c>
      <c r="I1919" s="359">
        <f>-H1919*('DRE + DCF'!$V$33+K1919)/'DRE + DCF'!$V$33</f>
        <v>-90858.801614444121</v>
      </c>
      <c r="J1919" s="359">
        <f>-'DRE + DCF'!$V$56*L1919</f>
        <v>-1188924.4255577971</v>
      </c>
      <c r="K1919" s="360">
        <f>(1+L1919)/(1+Ke!$O$12)-1</f>
        <v>2.0000000000000018E-2</v>
      </c>
      <c r="L1919" s="360">
        <f>'DRE + DCF'!$Y$31</f>
        <v>7.3550000000000004E-2</v>
      </c>
      <c r="M1919" s="361">
        <f>(1+D1919)^((5-Dashboard!$F$9)*3/12)</f>
        <v>1.1925531977298427</v>
      </c>
      <c r="N1919" s="361">
        <f t="shared" ref="N1919:V1919" si="1966">M1919*(1+$D1919)</f>
        <v>1.5081624015090289</v>
      </c>
      <c r="O1919" s="361">
        <f t="shared" si="1966"/>
        <v>1.9072975810683723</v>
      </c>
      <c r="P1919" s="361">
        <f t="shared" si="1966"/>
        <v>2.4120638858980903</v>
      </c>
      <c r="Q1919" s="361">
        <f t="shared" si="1966"/>
        <v>3.0504165933009864</v>
      </c>
      <c r="R1919" s="361">
        <f t="shared" si="1966"/>
        <v>3.8577093447180499</v>
      </c>
      <c r="S1919" s="361">
        <f t="shared" si="1966"/>
        <v>4.8786521227976278</v>
      </c>
      <c r="T1919" s="361">
        <f t="shared" si="1966"/>
        <v>6.169787407095952</v>
      </c>
      <c r="U1919" s="361">
        <f t="shared" si="1966"/>
        <v>7.8026216443838097</v>
      </c>
      <c r="V1919" s="362">
        <f t="shared" si="1966"/>
        <v>9.8675854625698758</v>
      </c>
      <c r="X1919" s="351"/>
    </row>
    <row r="1920" spans="3:24" ht="24.75" customHeight="1" x14ac:dyDescent="0.3">
      <c r="C1920" s="353">
        <f>ABS(E1920-Dashboard!$F$14)</f>
        <v>31.652118902477412</v>
      </c>
      <c r="D1920" s="350">
        <f t="shared" si="1917"/>
        <v>0.26474999999998611</v>
      </c>
      <c r="E1920" s="359" cm="1">
        <f t="array" ref="E1920">1000*SUM('DRE + DCF'!$L$36/M1920,'DRE + DCF'!$N$36:$V$36/N1920:V1920,F1920/V1920)/Dashboard!$F$11</f>
        <v>65.337881097522583</v>
      </c>
      <c r="F1920" s="359">
        <f t="shared" si="1915"/>
        <v>10131927.425190438</v>
      </c>
      <c r="G1920" s="359">
        <f>'DRE + DCF'!$W$31</f>
        <v>2791623.3540418856</v>
      </c>
      <c r="H1920" s="359">
        <f>'DRE + DCF'!$W$32</f>
        <v>81081.931703745853</v>
      </c>
      <c r="I1920" s="359">
        <f>-H1920*('DRE + DCF'!$V$33+K1920)/'DRE + DCF'!$V$33</f>
        <v>-90858.801614444121</v>
      </c>
      <c r="J1920" s="359">
        <f>-'DRE + DCF'!$V$56*L1920</f>
        <v>-1188924.4255577971</v>
      </c>
      <c r="K1920" s="360">
        <f>(1+L1920)/(1+Ke!$O$12)-1</f>
        <v>2.0000000000000018E-2</v>
      </c>
      <c r="L1920" s="360">
        <f>'DRE + DCF'!$Y$31</f>
        <v>7.3550000000000004E-2</v>
      </c>
      <c r="M1920" s="361">
        <f>(1+D1920)^((5-Dashboard!$F$9)*3/12)</f>
        <v>1.1926239213338479</v>
      </c>
      <c r="N1920" s="361">
        <f t="shared" ref="N1920:V1920" si="1967">M1920*(1+$D1920)</f>
        <v>1.5083711045069674</v>
      </c>
      <c r="O1920" s="361">
        <f t="shared" si="1967"/>
        <v>1.907712354425166</v>
      </c>
      <c r="P1920" s="361">
        <f t="shared" si="1967"/>
        <v>2.4127792002592021</v>
      </c>
      <c r="Q1920" s="361">
        <f t="shared" si="1967"/>
        <v>3.0515624935277921</v>
      </c>
      <c r="R1920" s="361">
        <f t="shared" si="1967"/>
        <v>3.8594636636892323</v>
      </c>
      <c r="S1920" s="361">
        <f t="shared" si="1967"/>
        <v>4.8812566686509031</v>
      </c>
      <c r="T1920" s="361">
        <f t="shared" si="1967"/>
        <v>6.1735693716761615</v>
      </c>
      <c r="U1920" s="361">
        <f t="shared" si="1967"/>
        <v>7.8080218628273395</v>
      </c>
      <c r="V1920" s="362">
        <f t="shared" si="1967"/>
        <v>9.8751956510107686</v>
      </c>
      <c r="X1920" s="351"/>
    </row>
    <row r="1921" spans="3:24" ht="24.75" customHeight="1" x14ac:dyDescent="0.3">
      <c r="C1921" s="353">
        <f>ABS(E1921-Dashboard!$F$14)</f>
        <v>31.691357415538889</v>
      </c>
      <c r="D1921" s="350">
        <f t="shared" si="1917"/>
        <v>0.2648499999999861</v>
      </c>
      <c r="E1921" s="359" cm="1">
        <f t="array" ref="E1921">1000*SUM('DRE + DCF'!$L$36/M1921,'DRE + DCF'!$N$36:$V$36/N1921:V1921,F1921/V1921)/Dashboard!$F$11</f>
        <v>65.298642584461106</v>
      </c>
      <c r="F1921" s="359">
        <f t="shared" si="1915"/>
        <v>10127452.708686078</v>
      </c>
      <c r="G1921" s="359">
        <f>'DRE + DCF'!$W$31</f>
        <v>2791623.3540418856</v>
      </c>
      <c r="H1921" s="359">
        <f>'DRE + DCF'!$W$32</f>
        <v>81081.931703745853</v>
      </c>
      <c r="I1921" s="359">
        <f>-H1921*('DRE + DCF'!$V$33+K1921)/'DRE + DCF'!$V$33</f>
        <v>-90858.801614444121</v>
      </c>
      <c r="J1921" s="359">
        <f>-'DRE + DCF'!$V$56*L1921</f>
        <v>-1188924.4255577971</v>
      </c>
      <c r="K1921" s="360">
        <f>(1+L1921)/(1+Ke!$O$12)-1</f>
        <v>2.0000000000000018E-2</v>
      </c>
      <c r="L1921" s="360">
        <f>'DRE + DCF'!$Y$31</f>
        <v>7.3550000000000004E-2</v>
      </c>
      <c r="M1921" s="361">
        <f>(1+D1921)^((5-Dashboard!$F$9)*3/12)</f>
        <v>1.1926946435398909</v>
      </c>
      <c r="N1921" s="361">
        <f t="shared" ref="N1921:V1921" si="1968">M1921*(1+$D1921)</f>
        <v>1.5085798198814142</v>
      </c>
      <c r="O1921" s="361">
        <f t="shared" si="1968"/>
        <v>1.9081271851769857</v>
      </c>
      <c r="P1921" s="361">
        <f t="shared" si="1968"/>
        <v>2.4134946701710835</v>
      </c>
      <c r="Q1921" s="361">
        <f t="shared" si="1968"/>
        <v>3.0527087335658614</v>
      </c>
      <c r="R1921" s="361">
        <f t="shared" si="1968"/>
        <v>3.861218641650737</v>
      </c>
      <c r="S1921" s="361">
        <f t="shared" si="1968"/>
        <v>4.883862398891881</v>
      </c>
      <c r="T1921" s="361">
        <f t="shared" si="1968"/>
        <v>6.1773533552383277</v>
      </c>
      <c r="U1921" s="361">
        <f t="shared" si="1968"/>
        <v>7.8134253913731122</v>
      </c>
      <c r="V1921" s="362">
        <f t="shared" si="1968"/>
        <v>9.8828111062781723</v>
      </c>
      <c r="X1921" s="351"/>
    </row>
    <row r="1922" spans="3:24" ht="24.75" customHeight="1" x14ac:dyDescent="0.3">
      <c r="C1922" s="353">
        <f>ABS(E1922-Dashboard!$F$14)</f>
        <v>31.730554521558332</v>
      </c>
      <c r="D1922" s="350">
        <f t="shared" si="1917"/>
        <v>0.26494999999998609</v>
      </c>
      <c r="E1922" s="359" cm="1">
        <f t="array" ref="E1922">1000*SUM('DRE + DCF'!$L$36/M1922,'DRE + DCF'!$N$36:$V$36/N1922:V1922,F1922/V1922)/Dashboard!$F$11</f>
        <v>65.259445478441663</v>
      </c>
      <c r="F1922" s="359">
        <f t="shared" si="1915"/>
        <v>10122982.048058916</v>
      </c>
      <c r="G1922" s="359">
        <f>'DRE + DCF'!$W$31</f>
        <v>2791623.3540418856</v>
      </c>
      <c r="H1922" s="359">
        <f>'DRE + DCF'!$W$32</f>
        <v>81081.931703745853</v>
      </c>
      <c r="I1922" s="359">
        <f>-H1922*('DRE + DCF'!$V$33+K1922)/'DRE + DCF'!$V$33</f>
        <v>-90858.801614444121</v>
      </c>
      <c r="J1922" s="359">
        <f>-'DRE + DCF'!$V$56*L1922</f>
        <v>-1188924.4255577971</v>
      </c>
      <c r="K1922" s="360">
        <f>(1+L1922)/(1+Ke!$O$12)-1</f>
        <v>2.0000000000000018E-2</v>
      </c>
      <c r="L1922" s="360">
        <f>'DRE + DCF'!$Y$31</f>
        <v>7.3550000000000004E-2</v>
      </c>
      <c r="M1922" s="361">
        <f>(1+D1922)^((5-Dashboard!$F$9)*3/12)</f>
        <v>1.1927653643481098</v>
      </c>
      <c r="N1922" s="361">
        <f t="shared" ref="N1922:V1922" si="1969">M1922*(1+$D1922)</f>
        <v>1.5087885476321248</v>
      </c>
      <c r="O1922" s="361">
        <f t="shared" si="1969"/>
        <v>1.9085420733272351</v>
      </c>
      <c r="P1922" s="361">
        <f t="shared" si="1969"/>
        <v>2.4142102956552596</v>
      </c>
      <c r="Q1922" s="361">
        <f t="shared" si="1969"/>
        <v>3.0538553134890867</v>
      </c>
      <c r="R1922" s="361">
        <f t="shared" si="1969"/>
        <v>3.8629742787979775</v>
      </c>
      <c r="S1922" s="361">
        <f t="shared" si="1969"/>
        <v>4.8864693139654474</v>
      </c>
      <c r="T1922" s="361">
        <f t="shared" si="1969"/>
        <v>6.1811393587005243</v>
      </c>
      <c r="U1922" s="361">
        <f t="shared" si="1969"/>
        <v>7.818832231788142</v>
      </c>
      <c r="V1922" s="362">
        <f t="shared" si="1969"/>
        <v>9.890431831600301</v>
      </c>
      <c r="X1922" s="351"/>
    </row>
    <row r="1923" spans="3:24" ht="24.75" customHeight="1" x14ac:dyDescent="0.3">
      <c r="C1923" s="353">
        <f>ABS(E1923-Dashboard!$F$14)</f>
        <v>31.769710281488983</v>
      </c>
      <c r="D1923" s="350">
        <f t="shared" si="1917"/>
        <v>0.26504999999998607</v>
      </c>
      <c r="E1923" s="359" cm="1">
        <f t="array" ref="E1923">1000*SUM('DRE + DCF'!$L$36/M1923,'DRE + DCF'!$N$36:$V$36/N1923:V1923,F1923/V1923)/Dashboard!$F$11</f>
        <v>65.220289718511012</v>
      </c>
      <c r="F1923" s="359">
        <f t="shared" si="1915"/>
        <v>10118515.437656365</v>
      </c>
      <c r="G1923" s="359">
        <f>'DRE + DCF'!$W$31</f>
        <v>2791623.3540418856</v>
      </c>
      <c r="H1923" s="359">
        <f>'DRE + DCF'!$W$32</f>
        <v>81081.931703745853</v>
      </c>
      <c r="I1923" s="359">
        <f>-H1923*('DRE + DCF'!$V$33+K1923)/'DRE + DCF'!$V$33</f>
        <v>-90858.801614444121</v>
      </c>
      <c r="J1923" s="359">
        <f>-'DRE + DCF'!$V$56*L1923</f>
        <v>-1188924.4255577971</v>
      </c>
      <c r="K1923" s="360">
        <f>(1+L1923)/(1+Ke!$O$12)-1</f>
        <v>2.0000000000000018E-2</v>
      </c>
      <c r="L1923" s="360">
        <f>'DRE + DCF'!$Y$31</f>
        <v>7.3550000000000004E-2</v>
      </c>
      <c r="M1923" s="361">
        <f>(1+D1923)^((5-Dashboard!$F$9)*3/12)</f>
        <v>1.1928360837586429</v>
      </c>
      <c r="N1923" s="361">
        <f t="shared" ref="N1923:V1923" si="1970">M1923*(1+$D1923)</f>
        <v>1.5089972877588544</v>
      </c>
      <c r="O1923" s="361">
        <f t="shared" si="1970"/>
        <v>1.9089570188793177</v>
      </c>
      <c r="P1923" s="361">
        <f t="shared" si="1970"/>
        <v>2.4149260767332543</v>
      </c>
      <c r="Q1923" s="361">
        <f t="shared" si="1970"/>
        <v>3.0550022333713698</v>
      </c>
      <c r="R1923" s="361">
        <f t="shared" si="1970"/>
        <v>3.8647305753264085</v>
      </c>
      <c r="S1923" s="361">
        <f t="shared" si="1970"/>
        <v>4.8890774143166187</v>
      </c>
      <c r="T1923" s="361">
        <f t="shared" si="1970"/>
        <v>6.1849273829811704</v>
      </c>
      <c r="U1923" s="361">
        <f t="shared" si="1970"/>
        <v>7.8242423858402432</v>
      </c>
      <c r="V1923" s="362">
        <f t="shared" si="1970"/>
        <v>9.8980578302070903</v>
      </c>
      <c r="X1923" s="351"/>
    </row>
    <row r="1924" spans="3:24" ht="24.75" customHeight="1" x14ac:dyDescent="0.3">
      <c r="C1924" s="353">
        <f>ABS(E1924-Dashboard!$F$14)</f>
        <v>31.80882475616788</v>
      </c>
      <c r="D1924" s="350">
        <f t="shared" si="1917"/>
        <v>0.26514999999998606</v>
      </c>
      <c r="E1924" s="359" cm="1">
        <f t="array" ref="E1924">1000*SUM('DRE + DCF'!$L$36/M1924,'DRE + DCF'!$N$36:$V$36/N1924:V1924,F1924/V1924)/Dashboard!$F$11</f>
        <v>65.181175243832115</v>
      </c>
      <c r="F1924" s="359">
        <f t="shared" si="1915"/>
        <v>10114052.871836592</v>
      </c>
      <c r="G1924" s="359">
        <f>'DRE + DCF'!$W$31</f>
        <v>2791623.3540418856</v>
      </c>
      <c r="H1924" s="359">
        <f>'DRE + DCF'!$W$32</f>
        <v>81081.931703745853</v>
      </c>
      <c r="I1924" s="359">
        <f>-H1924*('DRE + DCF'!$V$33+K1924)/'DRE + DCF'!$V$33</f>
        <v>-90858.801614444121</v>
      </c>
      <c r="J1924" s="359">
        <f>-'DRE + DCF'!$V$56*L1924</f>
        <v>-1188924.4255577971</v>
      </c>
      <c r="K1924" s="360">
        <f>(1+L1924)/(1+Ke!$O$12)-1</f>
        <v>2.0000000000000018E-2</v>
      </c>
      <c r="L1924" s="360">
        <f>'DRE + DCF'!$Y$31</f>
        <v>7.3550000000000004E-2</v>
      </c>
      <c r="M1924" s="361">
        <f>(1+D1924)^((5-Dashboard!$F$9)*3/12)</f>
        <v>1.1929068017716282</v>
      </c>
      <c r="N1924" s="361">
        <f t="shared" ref="N1924:V1924" si="1971">M1924*(1+$D1924)</f>
        <v>1.5092060402613587</v>
      </c>
      <c r="O1924" s="361">
        <f t="shared" si="1971"/>
        <v>1.9093720218366368</v>
      </c>
      <c r="P1924" s="361">
        <f t="shared" si="1971"/>
        <v>2.4156420134265941</v>
      </c>
      <c r="Q1924" s="361">
        <f t="shared" si="1971"/>
        <v>3.0561494932866218</v>
      </c>
      <c r="R1924" s="361">
        <f t="shared" si="1971"/>
        <v>3.8664875314315266</v>
      </c>
      <c r="S1924" s="361">
        <f t="shared" si="1971"/>
        <v>4.891686700390542</v>
      </c>
      <c r="T1924" s="361">
        <f t="shared" si="1971"/>
        <v>6.1887174289990261</v>
      </c>
      <c r="U1924" s="361">
        <f t="shared" si="1971"/>
        <v>7.8296558552980313</v>
      </c>
      <c r="V1924" s="362">
        <f t="shared" si="1971"/>
        <v>9.905689105330195</v>
      </c>
      <c r="X1924" s="351"/>
    </row>
    <row r="1925" spans="3:24" ht="24.75" customHeight="1" x14ac:dyDescent="0.3">
      <c r="C1925" s="353">
        <f>ABS(E1925-Dashboard!$F$14)</f>
        <v>31.847898006316498</v>
      </c>
      <c r="D1925" s="350">
        <f t="shared" si="1917"/>
        <v>0.26524999999998605</v>
      </c>
      <c r="E1925" s="359" cm="1">
        <f t="array" ref="E1925">1000*SUM('DRE + DCF'!$L$36/M1925,'DRE + DCF'!$N$36:$V$36/N1925:V1925,F1925/V1925)/Dashboard!$F$11</f>
        <v>65.142101993683497</v>
      </c>
      <c r="F1925" s="359">
        <f t="shared" si="1915"/>
        <v>10109594.34496847</v>
      </c>
      <c r="G1925" s="359">
        <f>'DRE + DCF'!$W$31</f>
        <v>2791623.3540418856</v>
      </c>
      <c r="H1925" s="359">
        <f>'DRE + DCF'!$W$32</f>
        <v>81081.931703745853</v>
      </c>
      <c r="I1925" s="359">
        <f>-H1925*('DRE + DCF'!$V$33+K1925)/'DRE + DCF'!$V$33</f>
        <v>-90858.801614444121</v>
      </c>
      <c r="J1925" s="359">
        <f>-'DRE + DCF'!$V$56*L1925</f>
        <v>-1188924.4255577971</v>
      </c>
      <c r="K1925" s="360">
        <f>(1+L1925)/(1+Ke!$O$12)-1</f>
        <v>2.0000000000000018E-2</v>
      </c>
      <c r="L1925" s="360">
        <f>'DRE + DCF'!$Y$31</f>
        <v>7.3550000000000004E-2</v>
      </c>
      <c r="M1925" s="361">
        <f>(1+D1925)^((5-Dashboard!$F$9)*3/12)</f>
        <v>1.1929775183872038</v>
      </c>
      <c r="N1925" s="361">
        <f t="shared" ref="N1925:V1925" si="1972">M1925*(1+$D1925)</f>
        <v>1.509414805139393</v>
      </c>
      <c r="O1925" s="361">
        <f t="shared" si="1972"/>
        <v>1.9097870822025957</v>
      </c>
      <c r="P1925" s="361">
        <f t="shared" si="1972"/>
        <v>2.4163581057568075</v>
      </c>
      <c r="Q1925" s="361">
        <f t="shared" si="1972"/>
        <v>3.0572970933087671</v>
      </c>
      <c r="R1925" s="361">
        <f t="shared" si="1972"/>
        <v>3.8682451473088748</v>
      </c>
      <c r="S1925" s="361">
        <f t="shared" si="1972"/>
        <v>4.8942971726324993</v>
      </c>
      <c r="T1925" s="361">
        <f t="shared" si="1972"/>
        <v>6.1925094976732016</v>
      </c>
      <c r="U1925" s="361">
        <f t="shared" si="1972"/>
        <v>7.8350726419309318</v>
      </c>
      <c r="V1925" s="362">
        <f t="shared" si="1972"/>
        <v>9.913325660203002</v>
      </c>
      <c r="X1925" s="351"/>
    </row>
    <row r="1926" spans="3:24" ht="24.75" customHeight="1" x14ac:dyDescent="0.3">
      <c r="C1926" s="353">
        <f>ABS(E1926-Dashboard!$F$14)</f>
        <v>31.886930092540709</v>
      </c>
      <c r="D1926" s="350">
        <f t="shared" si="1917"/>
        <v>0.26534999999998604</v>
      </c>
      <c r="E1926" s="359" cm="1">
        <f t="array" ref="E1926">1000*SUM('DRE + DCF'!$L$36/M1926,'DRE + DCF'!$N$36:$V$36/N1926:V1926,F1926/V1926)/Dashboard!$F$11</f>
        <v>65.103069907459286</v>
      </c>
      <c r="F1926" s="359">
        <f t="shared" si="1915"/>
        <v>10105139.851431571</v>
      </c>
      <c r="G1926" s="359">
        <f>'DRE + DCF'!$W$31</f>
        <v>2791623.3540418856</v>
      </c>
      <c r="H1926" s="359">
        <f>'DRE + DCF'!$W$32</f>
        <v>81081.931703745853</v>
      </c>
      <c r="I1926" s="359">
        <f>-H1926*('DRE + DCF'!$V$33+K1926)/'DRE + DCF'!$V$33</f>
        <v>-90858.801614444121</v>
      </c>
      <c r="J1926" s="359">
        <f>-'DRE + DCF'!$V$56*L1926</f>
        <v>-1188924.4255577971</v>
      </c>
      <c r="K1926" s="360">
        <f>(1+L1926)/(1+Ke!$O$12)-1</f>
        <v>2.0000000000000018E-2</v>
      </c>
      <c r="L1926" s="360">
        <f>'DRE + DCF'!$Y$31</f>
        <v>7.3550000000000004E-2</v>
      </c>
      <c r="M1926" s="361">
        <f>(1+D1926)^((5-Dashboard!$F$9)*3/12)</f>
        <v>1.1930482336055079</v>
      </c>
      <c r="N1926" s="361">
        <f t="shared" ref="N1926:V1926" si="1973">M1926*(1+$D1926)</f>
        <v>1.5096235823927127</v>
      </c>
      <c r="O1926" s="361">
        <f t="shared" si="1973"/>
        <v>1.9102021999805978</v>
      </c>
      <c r="P1926" s="361">
        <f t="shared" si="1973"/>
        <v>2.4170743537454227</v>
      </c>
      <c r="Q1926" s="361">
        <f t="shared" si="1973"/>
        <v>3.0584450335117368</v>
      </c>
      <c r="R1926" s="361">
        <f t="shared" si="1973"/>
        <v>3.8700034231540332</v>
      </c>
      <c r="S1926" s="361">
        <f t="shared" si="1973"/>
        <v>4.8969088314879015</v>
      </c>
      <c r="T1926" s="361">
        <f t="shared" si="1973"/>
        <v>6.1963035899231471</v>
      </c>
      <c r="U1926" s="361">
        <f t="shared" si="1973"/>
        <v>7.8404927475091677</v>
      </c>
      <c r="V1926" s="362">
        <f t="shared" si="1973"/>
        <v>9.920967498060616</v>
      </c>
      <c r="X1926" s="351"/>
    </row>
    <row r="1927" spans="3:24" ht="24.75" customHeight="1" x14ac:dyDescent="0.3">
      <c r="C1927" s="353">
        <f>ABS(E1927-Dashboard!$F$14)</f>
        <v>31.925921075331317</v>
      </c>
      <c r="D1927" s="350">
        <f t="shared" si="1917"/>
        <v>0.26544999999998603</v>
      </c>
      <c r="E1927" s="359" cm="1">
        <f t="array" ref="E1927">1000*SUM('DRE + DCF'!$L$36/M1927,'DRE + DCF'!$N$36:$V$36/N1927:V1927,F1927/V1927)/Dashboard!$F$11</f>
        <v>65.064078924668678</v>
      </c>
      <c r="F1927" s="359">
        <f t="shared" si="1915"/>
        <v>10100689.385616127</v>
      </c>
      <c r="G1927" s="359">
        <f>'DRE + DCF'!$W$31</f>
        <v>2791623.3540418856</v>
      </c>
      <c r="H1927" s="359">
        <f>'DRE + DCF'!$W$32</f>
        <v>81081.931703745853</v>
      </c>
      <c r="I1927" s="359">
        <f>-H1927*('DRE + DCF'!$V$33+K1927)/'DRE + DCF'!$V$33</f>
        <v>-90858.801614444121</v>
      </c>
      <c r="J1927" s="359">
        <f>-'DRE + DCF'!$V$56*L1927</f>
        <v>-1188924.4255577971</v>
      </c>
      <c r="K1927" s="360">
        <f>(1+L1927)/(1+Ke!$O$12)-1</f>
        <v>2.0000000000000018E-2</v>
      </c>
      <c r="L1927" s="360">
        <f>'DRE + DCF'!$Y$31</f>
        <v>7.3550000000000004E-2</v>
      </c>
      <c r="M1927" s="361">
        <f>(1+D1927)^((5-Dashboard!$F$9)*3/12)</f>
        <v>1.1931189474266783</v>
      </c>
      <c r="N1927" s="361">
        <f t="shared" ref="N1927:V1927" si="1974">M1927*(1+$D1927)</f>
        <v>1.5098323720210733</v>
      </c>
      <c r="O1927" s="361">
        <f t="shared" si="1974"/>
        <v>1.9106173751740461</v>
      </c>
      <c r="P1927" s="361">
        <f t="shared" si="1974"/>
        <v>2.4177907574139699</v>
      </c>
      <c r="Q1927" s="361">
        <f t="shared" si="1974"/>
        <v>3.0595933139694744</v>
      </c>
      <c r="R1927" s="361">
        <f t="shared" si="1974"/>
        <v>3.8717623591626285</v>
      </c>
      <c r="S1927" s="361">
        <f t="shared" si="1974"/>
        <v>4.8995216774022943</v>
      </c>
      <c r="T1927" s="361">
        <f t="shared" si="1974"/>
        <v>6.2000997066686647</v>
      </c>
      <c r="U1927" s="361">
        <f t="shared" si="1974"/>
        <v>7.8459161738037748</v>
      </c>
      <c r="V1927" s="362">
        <f t="shared" si="1974"/>
        <v>9.928614622139877</v>
      </c>
      <c r="X1927" s="351"/>
    </row>
    <row r="1928" spans="3:24" ht="24.75" customHeight="1" x14ac:dyDescent="0.3">
      <c r="C1928" s="353">
        <f>ABS(E1928-Dashboard!$F$14)</f>
        <v>31.964871015064006</v>
      </c>
      <c r="D1928" s="350">
        <f t="shared" si="1917"/>
        <v>0.26554999999998602</v>
      </c>
      <c r="E1928" s="359" cm="1">
        <f t="array" ref="E1928">1000*SUM('DRE + DCF'!$L$36/M1928,'DRE + DCF'!$N$36:$V$36/N1928:V1928,F1928/V1928)/Dashboard!$F$11</f>
        <v>65.025128984935989</v>
      </c>
      <c r="F1928" s="359">
        <f t="shared" si="1915"/>
        <v>10096242.94192302</v>
      </c>
      <c r="G1928" s="359">
        <f>'DRE + DCF'!$W$31</f>
        <v>2791623.3540418856</v>
      </c>
      <c r="H1928" s="359">
        <f>'DRE + DCF'!$W$32</f>
        <v>81081.931703745853</v>
      </c>
      <c r="I1928" s="359">
        <f>-H1928*('DRE + DCF'!$V$33+K1928)/'DRE + DCF'!$V$33</f>
        <v>-90858.801614444121</v>
      </c>
      <c r="J1928" s="359">
        <f>-'DRE + DCF'!$V$56*L1928</f>
        <v>-1188924.4255577971</v>
      </c>
      <c r="K1928" s="360">
        <f>(1+L1928)/(1+Ke!$O$12)-1</f>
        <v>2.0000000000000018E-2</v>
      </c>
      <c r="L1928" s="360">
        <f>'DRE + DCF'!$Y$31</f>
        <v>7.3550000000000004E-2</v>
      </c>
      <c r="M1928" s="361">
        <f>(1+D1928)^((5-Dashboard!$F$9)*3/12)</f>
        <v>1.1931896598508533</v>
      </c>
      <c r="N1928" s="361">
        <f t="shared" ref="N1928:V1928" si="1975">M1928*(1+$D1928)</f>
        <v>1.5100411740242308</v>
      </c>
      <c r="O1928" s="361">
        <f t="shared" si="1975"/>
        <v>1.911032607786344</v>
      </c>
      <c r="P1928" s="361">
        <f t="shared" si="1975"/>
        <v>2.4185073167839808</v>
      </c>
      <c r="Q1928" s="361">
        <f t="shared" si="1975"/>
        <v>3.0607419347559328</v>
      </c>
      <c r="R1928" s="361">
        <f t="shared" si="1975"/>
        <v>3.873521955530328</v>
      </c>
      <c r="S1928" s="361">
        <f t="shared" si="1975"/>
        <v>4.9021357108213524</v>
      </c>
      <c r="T1928" s="361">
        <f t="shared" si="1975"/>
        <v>6.2038978488298939</v>
      </c>
      <c r="U1928" s="361">
        <f t="shared" si="1975"/>
        <v>7.8513429225865856</v>
      </c>
      <c r="V1928" s="362">
        <f t="shared" si="1975"/>
        <v>9.936267035679343</v>
      </c>
      <c r="X1928" s="351"/>
    </row>
    <row r="1929" spans="3:24" ht="24.75" customHeight="1" x14ac:dyDescent="0.3">
      <c r="C1929" s="353">
        <f>ABS(E1929-Dashboard!$F$14)</f>
        <v>32.003779971999947</v>
      </c>
      <c r="D1929" s="350">
        <f t="shared" si="1917"/>
        <v>0.26564999999998601</v>
      </c>
      <c r="E1929" s="359" cm="1">
        <f t="array" ref="E1929">1000*SUM('DRE + DCF'!$L$36/M1929,'DRE + DCF'!$N$36:$V$36/N1929:V1929,F1929/V1929)/Dashboard!$F$11</f>
        <v>64.986220028000048</v>
      </c>
      <c r="F1929" s="359">
        <f t="shared" si="1915"/>
        <v>10091800.514763735</v>
      </c>
      <c r="G1929" s="359">
        <f>'DRE + DCF'!$W$31</f>
        <v>2791623.3540418856</v>
      </c>
      <c r="H1929" s="359">
        <f>'DRE + DCF'!$W$32</f>
        <v>81081.931703745853</v>
      </c>
      <c r="I1929" s="359">
        <f>-H1929*('DRE + DCF'!$V$33+K1929)/'DRE + DCF'!$V$33</f>
        <v>-90858.801614444121</v>
      </c>
      <c r="J1929" s="359">
        <f>-'DRE + DCF'!$V$56*L1929</f>
        <v>-1188924.4255577971</v>
      </c>
      <c r="K1929" s="360">
        <f>(1+L1929)/(1+Ke!$O$12)-1</f>
        <v>2.0000000000000018E-2</v>
      </c>
      <c r="L1929" s="360">
        <f>'DRE + DCF'!$Y$31</f>
        <v>7.3550000000000004E-2</v>
      </c>
      <c r="M1929" s="361">
        <f>(1+D1929)^((5-Dashboard!$F$9)*3/12)</f>
        <v>1.1932603708781704</v>
      </c>
      <c r="N1929" s="361">
        <f t="shared" ref="N1929:V1929" si="1976">M1929*(1+$D1929)</f>
        <v>1.5102499884019396</v>
      </c>
      <c r="O1929" s="361">
        <f t="shared" si="1976"/>
        <v>1.9114478978208935</v>
      </c>
      <c r="P1929" s="361">
        <f t="shared" si="1976"/>
        <v>2.4192240318769871</v>
      </c>
      <c r="Q1929" s="361">
        <f t="shared" si="1976"/>
        <v>3.0618908959450746</v>
      </c>
      <c r="R1929" s="361">
        <f t="shared" si="1976"/>
        <v>3.8752822124528405</v>
      </c>
      <c r="S1929" s="361">
        <f t="shared" si="1976"/>
        <v>4.9047509321908835</v>
      </c>
      <c r="T1929" s="361">
        <f t="shared" si="1976"/>
        <v>6.2076980173273233</v>
      </c>
      <c r="U1929" s="361">
        <f t="shared" si="1976"/>
        <v>7.8567729956302399</v>
      </c>
      <c r="V1929" s="362">
        <f t="shared" si="1976"/>
        <v>9.943924741919302</v>
      </c>
      <c r="X1929" s="351"/>
    </row>
    <row r="1930" spans="3:24" ht="24.75" customHeight="1" x14ac:dyDescent="0.3">
      <c r="C1930" s="353">
        <f>ABS(E1930-Dashboard!$F$14)</f>
        <v>32.042648006285916</v>
      </c>
      <c r="D1930" s="350">
        <f t="shared" si="1917"/>
        <v>0.265749999999986</v>
      </c>
      <c r="E1930" s="359" cm="1">
        <f t="array" ref="E1930">1000*SUM('DRE + DCF'!$L$36/M1930,'DRE + DCF'!$N$36:$V$36/N1930:V1930,F1930/V1930)/Dashboard!$F$11</f>
        <v>64.947351993714079</v>
      </c>
      <c r="F1930" s="359">
        <f t="shared" si="1915"/>
        <v>10087362.09856035</v>
      </c>
      <c r="G1930" s="359">
        <f>'DRE + DCF'!$W$31</f>
        <v>2791623.3540418856</v>
      </c>
      <c r="H1930" s="359">
        <f>'DRE + DCF'!$W$32</f>
        <v>81081.931703745853</v>
      </c>
      <c r="I1930" s="359">
        <f>-H1930*('DRE + DCF'!$V$33+K1930)/'DRE + DCF'!$V$33</f>
        <v>-90858.801614444121</v>
      </c>
      <c r="J1930" s="359">
        <f>-'DRE + DCF'!$V$56*L1930</f>
        <v>-1188924.4255577971</v>
      </c>
      <c r="K1930" s="360">
        <f>(1+L1930)/(1+Ke!$O$12)-1</f>
        <v>2.0000000000000018E-2</v>
      </c>
      <c r="L1930" s="360">
        <f>'DRE + DCF'!$Y$31</f>
        <v>7.3550000000000004E-2</v>
      </c>
      <c r="M1930" s="361">
        <f>(1+D1930)^((5-Dashboard!$F$9)*3/12)</f>
        <v>1.193331080508768</v>
      </c>
      <c r="N1930" s="361">
        <f t="shared" ref="N1930:V1930" si="1977">M1930*(1+$D1930)</f>
        <v>1.5104588151539564</v>
      </c>
      <c r="O1930" s="361">
        <f t="shared" si="1977"/>
        <v>1.9118632452810991</v>
      </c>
      <c r="P1930" s="361">
        <f t="shared" si="1977"/>
        <v>2.4199409027145244</v>
      </c>
      <c r="Q1930" s="361">
        <f t="shared" si="1977"/>
        <v>3.0630401976108752</v>
      </c>
      <c r="R1930" s="361">
        <f t="shared" si="1977"/>
        <v>3.8770431301259221</v>
      </c>
      <c r="S1930" s="361">
        <f t="shared" si="1977"/>
        <v>4.9073673419568316</v>
      </c>
      <c r="T1930" s="361">
        <f t="shared" si="1977"/>
        <v>6.2115002130817905</v>
      </c>
      <c r="U1930" s="361">
        <f t="shared" si="1977"/>
        <v>7.8622063947081893</v>
      </c>
      <c r="V1930" s="362">
        <f t="shared" si="1977"/>
        <v>9.9515877441017793</v>
      </c>
      <c r="X1930" s="351"/>
    </row>
    <row r="1931" spans="3:24" ht="24.75" customHeight="1" x14ac:dyDescent="0.3">
      <c r="C1931" s="353">
        <f>ABS(E1931-Dashboard!$F$14)</f>
        <v>32.081475177954502</v>
      </c>
      <c r="D1931" s="350">
        <f t="shared" si="1917"/>
        <v>0.26584999999998599</v>
      </c>
      <c r="E1931" s="359" cm="1">
        <f t="array" ref="E1931">1000*SUM('DRE + DCF'!$L$36/M1931,'DRE + DCF'!$N$36:$V$36/N1931:V1931,F1931/V1931)/Dashboard!$F$11</f>
        <v>64.908524822045493</v>
      </c>
      <c r="F1931" s="359">
        <f t="shared" si="1915"/>
        <v>10082927.687745504</v>
      </c>
      <c r="G1931" s="359">
        <f>'DRE + DCF'!$W$31</f>
        <v>2791623.3540418856</v>
      </c>
      <c r="H1931" s="359">
        <f>'DRE + DCF'!$W$32</f>
        <v>81081.931703745853</v>
      </c>
      <c r="I1931" s="359">
        <f>-H1931*('DRE + DCF'!$V$33+K1931)/'DRE + DCF'!$V$33</f>
        <v>-90858.801614444121</v>
      </c>
      <c r="J1931" s="359">
        <f>-'DRE + DCF'!$V$56*L1931</f>
        <v>-1188924.4255577971</v>
      </c>
      <c r="K1931" s="360">
        <f>(1+L1931)/(1+Ke!$O$12)-1</f>
        <v>2.0000000000000018E-2</v>
      </c>
      <c r="L1931" s="360">
        <f>'DRE + DCF'!$Y$31</f>
        <v>7.3550000000000004E-2</v>
      </c>
      <c r="M1931" s="361">
        <f>(1+D1931)^((5-Dashboard!$F$9)*3/12)</f>
        <v>1.1934017887427839</v>
      </c>
      <c r="N1931" s="361">
        <f t="shared" ref="N1931:V1931" si="1978">M1931*(1+$D1931)</f>
        <v>1.5106676542800361</v>
      </c>
      <c r="O1931" s="361">
        <f t="shared" si="1978"/>
        <v>1.9122786501703626</v>
      </c>
      <c r="P1931" s="361">
        <f t="shared" si="1978"/>
        <v>2.4206579293181267</v>
      </c>
      <c r="Q1931" s="361">
        <f t="shared" si="1978"/>
        <v>3.0641898398273169</v>
      </c>
      <c r="R1931" s="361">
        <f t="shared" si="1978"/>
        <v>3.8788047087453661</v>
      </c>
      <c r="S1931" s="361">
        <f t="shared" si="1978"/>
        <v>4.9099849405652671</v>
      </c>
      <c r="T1931" s="361">
        <f t="shared" si="1978"/>
        <v>6.2153044370144741</v>
      </c>
      <c r="U1931" s="361">
        <f t="shared" si="1978"/>
        <v>7.8676431215946847</v>
      </c>
      <c r="V1931" s="362">
        <f t="shared" si="1978"/>
        <v>9.9592560454705215</v>
      </c>
      <c r="X1931" s="351"/>
    </row>
    <row r="1932" spans="3:24" ht="24.75" customHeight="1" x14ac:dyDescent="0.3">
      <c r="C1932" s="353">
        <f>ABS(E1932-Dashboard!$F$14)</f>
        <v>32.12026154692451</v>
      </c>
      <c r="D1932" s="350">
        <f t="shared" si="1917"/>
        <v>0.26594999999998598</v>
      </c>
      <c r="E1932" s="359" cm="1">
        <f t="array" ref="E1932">1000*SUM('DRE + DCF'!$L$36/M1932,'DRE + DCF'!$N$36:$V$36/N1932:V1932,F1932/V1932)/Dashboard!$F$11</f>
        <v>64.869738453075485</v>
      </c>
      <c r="F1932" s="359">
        <f t="shared" si="1915"/>
        <v>10078497.276762376</v>
      </c>
      <c r="G1932" s="359">
        <f>'DRE + DCF'!$W$31</f>
        <v>2791623.3540418856</v>
      </c>
      <c r="H1932" s="359">
        <f>'DRE + DCF'!$W$32</f>
        <v>81081.931703745853</v>
      </c>
      <c r="I1932" s="359">
        <f>-H1932*('DRE + DCF'!$V$33+K1932)/'DRE + DCF'!$V$33</f>
        <v>-90858.801614444121</v>
      </c>
      <c r="J1932" s="359">
        <f>-'DRE + DCF'!$V$56*L1932</f>
        <v>-1188924.4255577971</v>
      </c>
      <c r="K1932" s="360">
        <f>(1+L1932)/(1+Ke!$O$12)-1</f>
        <v>2.0000000000000018E-2</v>
      </c>
      <c r="L1932" s="360">
        <f>'DRE + DCF'!$Y$31</f>
        <v>7.3550000000000004E-2</v>
      </c>
      <c r="M1932" s="361">
        <f>(1+D1932)^((5-Dashboard!$F$9)*3/12)</f>
        <v>1.193472495580356</v>
      </c>
      <c r="N1932" s="361">
        <f t="shared" ref="N1932:V1932" si="1979">M1932*(1+$D1932)</f>
        <v>1.5108765057799347</v>
      </c>
      <c r="O1932" s="361">
        <f t="shared" si="1979"/>
        <v>1.9126941124920871</v>
      </c>
      <c r="P1932" s="361">
        <f t="shared" si="1979"/>
        <v>2.4213751117093305</v>
      </c>
      <c r="Q1932" s="361">
        <f t="shared" si="1979"/>
        <v>3.0653398226683928</v>
      </c>
      <c r="R1932" s="361">
        <f t="shared" si="1979"/>
        <v>3.8805669485070089</v>
      </c>
      <c r="S1932" s="361">
        <f t="shared" si="1979"/>
        <v>4.9126037284623933</v>
      </c>
      <c r="T1932" s="361">
        <f t="shared" si="1979"/>
        <v>6.2191106900468975</v>
      </c>
      <c r="U1932" s="361">
        <f t="shared" si="1979"/>
        <v>7.8730831780647828</v>
      </c>
      <c r="V1932" s="362">
        <f t="shared" si="1979"/>
        <v>9.966929649271</v>
      </c>
      <c r="X1932" s="351"/>
    </row>
    <row r="1933" spans="3:24" ht="24.75" customHeight="1" x14ac:dyDescent="0.3">
      <c r="C1933" s="353">
        <f>ABS(E1933-Dashboard!$F$14)</f>
        <v>32.159007173001172</v>
      </c>
      <c r="D1933" s="350">
        <f t="shared" si="1917"/>
        <v>0.26604999999998596</v>
      </c>
      <c r="E1933" s="359" cm="1">
        <f t="array" ref="E1933">1000*SUM('DRE + DCF'!$L$36/M1933,'DRE + DCF'!$N$36:$V$36/N1933:V1933,F1933/V1933)/Dashboard!$F$11</f>
        <v>64.830992826998823</v>
      </c>
      <c r="F1933" s="359">
        <f t="shared" si="1915"/>
        <v>10074070.860064656</v>
      </c>
      <c r="G1933" s="359">
        <f>'DRE + DCF'!$W$31</f>
        <v>2791623.3540418856</v>
      </c>
      <c r="H1933" s="359">
        <f>'DRE + DCF'!$W$32</f>
        <v>81081.931703745853</v>
      </c>
      <c r="I1933" s="359">
        <f>-H1933*('DRE + DCF'!$V$33+K1933)/'DRE + DCF'!$V$33</f>
        <v>-90858.801614444121</v>
      </c>
      <c r="J1933" s="359">
        <f>-'DRE + DCF'!$V$56*L1933</f>
        <v>-1188924.4255577971</v>
      </c>
      <c r="K1933" s="360">
        <f>(1+L1933)/(1+Ke!$O$12)-1</f>
        <v>2.0000000000000018E-2</v>
      </c>
      <c r="L1933" s="360">
        <f>'DRE + DCF'!$Y$31</f>
        <v>7.3550000000000004E-2</v>
      </c>
      <c r="M1933" s="361">
        <f>(1+D1933)^((5-Dashboard!$F$9)*3/12)</f>
        <v>1.1935432010216223</v>
      </c>
      <c r="N1933" s="361">
        <f t="shared" ref="N1933:V1933" si="1980">M1933*(1+$D1933)</f>
        <v>1.5110853696534081</v>
      </c>
      <c r="O1933" s="361">
        <f t="shared" si="1980"/>
        <v>1.9131096322496761</v>
      </c>
      <c r="P1933" s="361">
        <f t="shared" si="1980"/>
        <v>2.4220924499096754</v>
      </c>
      <c r="Q1933" s="361">
        <f t="shared" si="1980"/>
        <v>3.0664901462081104</v>
      </c>
      <c r="R1933" s="361">
        <f t="shared" si="1980"/>
        <v>3.8823298496067351</v>
      </c>
      <c r="S1933" s="361">
        <f t="shared" si="1980"/>
        <v>4.9152237060945518</v>
      </c>
      <c r="T1933" s="361">
        <f t="shared" si="1980"/>
        <v>6.2229189731009384</v>
      </c>
      <c r="U1933" s="361">
        <f t="shared" si="1980"/>
        <v>7.8785265658943553</v>
      </c>
      <c r="V1933" s="362">
        <f t="shared" si="1980"/>
        <v>9.9746085587504378</v>
      </c>
      <c r="X1933" s="351"/>
    </row>
    <row r="1934" spans="3:24" ht="24.75" customHeight="1" x14ac:dyDescent="0.3">
      <c r="C1934" s="353">
        <f>ABS(E1934-Dashboard!$F$14)</f>
        <v>32.197712115876357</v>
      </c>
      <c r="D1934" s="350">
        <f t="shared" si="1917"/>
        <v>0.26614999999998595</v>
      </c>
      <c r="E1934" s="359" cm="1">
        <f t="array" ref="E1934">1000*SUM('DRE + DCF'!$L$36/M1934,'DRE + DCF'!$N$36:$V$36/N1934:V1934,F1934/V1934)/Dashboard!$F$11</f>
        <v>64.792287884123638</v>
      </c>
      <c r="F1934" s="359">
        <f t="shared" ref="F1934:F1997" si="1981">AVERAGE(SUM(G1934:J1934)*(1+L1934)/(D1934-L1934),G1934*(1+L1934)*(1-L1934/D1934)/(D1934-L1934))</f>
        <v>10069648.43211652</v>
      </c>
      <c r="G1934" s="359">
        <f>'DRE + DCF'!$W$31</f>
        <v>2791623.3540418856</v>
      </c>
      <c r="H1934" s="359">
        <f>'DRE + DCF'!$W$32</f>
        <v>81081.931703745853</v>
      </c>
      <c r="I1934" s="359">
        <f>-H1934*('DRE + DCF'!$V$33+K1934)/'DRE + DCF'!$V$33</f>
        <v>-90858.801614444121</v>
      </c>
      <c r="J1934" s="359">
        <f>-'DRE + DCF'!$V$56*L1934</f>
        <v>-1188924.4255577971</v>
      </c>
      <c r="K1934" s="360">
        <f>(1+L1934)/(1+Ke!$O$12)-1</f>
        <v>2.0000000000000018E-2</v>
      </c>
      <c r="L1934" s="360">
        <f>'DRE + DCF'!$Y$31</f>
        <v>7.3550000000000004E-2</v>
      </c>
      <c r="M1934" s="361">
        <f>(1+D1934)^((5-Dashboard!$F$9)*3/12)</f>
        <v>1.1936139050667203</v>
      </c>
      <c r="N1934" s="361">
        <f t="shared" ref="N1934:V1934" si="1982">M1934*(1+$D1934)</f>
        <v>1.511294245900211</v>
      </c>
      <c r="O1934" s="361">
        <f t="shared" si="1982"/>
        <v>1.9135252094465309</v>
      </c>
      <c r="P1934" s="361">
        <f t="shared" si="1982"/>
        <v>2.422809943940698</v>
      </c>
      <c r="Q1934" s="361">
        <f t="shared" si="1982"/>
        <v>3.0676408105204809</v>
      </c>
      <c r="R1934" s="361">
        <f t="shared" si="1982"/>
        <v>3.8840934122404636</v>
      </c>
      <c r="S1934" s="361">
        <f t="shared" si="1982"/>
        <v>4.9178448739082086</v>
      </c>
      <c r="T1934" s="361">
        <f t="shared" si="1982"/>
        <v>6.2267292870988094</v>
      </c>
      <c r="U1934" s="361">
        <f t="shared" si="1982"/>
        <v>7.88397328686007</v>
      </c>
      <c r="V1934" s="362">
        <f t="shared" si="1982"/>
        <v>9.9822927771577667</v>
      </c>
      <c r="X1934" s="351"/>
    </row>
    <row r="1935" spans="3:24" ht="24.75" customHeight="1" x14ac:dyDescent="0.3">
      <c r="C1935" s="353">
        <f>ABS(E1935-Dashboard!$F$14)</f>
        <v>32.236376435128889</v>
      </c>
      <c r="D1935" s="350">
        <f t="shared" ref="D1935:D1998" si="1983">D1934+0.0001</f>
        <v>0.26624999999998594</v>
      </c>
      <c r="E1935" s="359" cm="1">
        <f t="array" ref="E1935">1000*SUM('DRE + DCF'!$L$36/M1935,'DRE + DCF'!$N$36:$V$36/N1935:V1935,F1935/V1935)/Dashboard!$F$11</f>
        <v>64.753623564871106</v>
      </c>
      <c r="F1935" s="359">
        <f t="shared" si="1981"/>
        <v>10065229.987392602</v>
      </c>
      <c r="G1935" s="359">
        <f>'DRE + DCF'!$W$31</f>
        <v>2791623.3540418856</v>
      </c>
      <c r="H1935" s="359">
        <f>'DRE + DCF'!$W$32</f>
        <v>81081.931703745853</v>
      </c>
      <c r="I1935" s="359">
        <f>-H1935*('DRE + DCF'!$V$33+K1935)/'DRE + DCF'!$V$33</f>
        <v>-90858.801614444121</v>
      </c>
      <c r="J1935" s="359">
        <f>-'DRE + DCF'!$V$56*L1935</f>
        <v>-1188924.4255577971</v>
      </c>
      <c r="K1935" s="360">
        <f>(1+L1935)/(1+Ke!$O$12)-1</f>
        <v>2.0000000000000018E-2</v>
      </c>
      <c r="L1935" s="360">
        <f>'DRE + DCF'!$Y$31</f>
        <v>7.3550000000000004E-2</v>
      </c>
      <c r="M1935" s="361">
        <f>(1+D1935)^((5-Dashboard!$F$9)*3/12)</f>
        <v>1.1936846077157881</v>
      </c>
      <c r="N1935" s="361">
        <f t="shared" ref="N1935:V1935" si="1984">M1935*(1+$D1935)</f>
        <v>1.5115031345200998</v>
      </c>
      <c r="O1935" s="361">
        <f t="shared" si="1984"/>
        <v>1.913940844086055</v>
      </c>
      <c r="P1935" s="361">
        <f t="shared" si="1984"/>
        <v>2.4235275938239402</v>
      </c>
      <c r="Q1935" s="361">
        <f t="shared" si="1984"/>
        <v>3.0687918156795302</v>
      </c>
      <c r="R1935" s="361">
        <f t="shared" si="1984"/>
        <v>3.8858576366041619</v>
      </c>
      <c r="S1935" s="361">
        <f t="shared" si="1984"/>
        <v>4.9204672323499654</v>
      </c>
      <c r="T1935" s="361">
        <f t="shared" si="1984"/>
        <v>6.2305416329630745</v>
      </c>
      <c r="U1935" s="361">
        <f t="shared" si="1984"/>
        <v>7.8894233427394056</v>
      </c>
      <c r="V1935" s="362">
        <f t="shared" si="1984"/>
        <v>9.9899823077436611</v>
      </c>
      <c r="X1935" s="351"/>
    </row>
    <row r="1936" spans="3:24" ht="24.75" customHeight="1" x14ac:dyDescent="0.3">
      <c r="C1936" s="353">
        <f>ABS(E1936-Dashboard!$F$14)</f>
        <v>32.275000190224887</v>
      </c>
      <c r="D1936" s="350">
        <f t="shared" si="1983"/>
        <v>0.26634999999998593</v>
      </c>
      <c r="E1936" s="359" cm="1">
        <f t="array" ref="E1936">1000*SUM('DRE + DCF'!$L$36/M1936,'DRE + DCF'!$N$36:$V$36/N1936:V1936,F1936/V1936)/Dashboard!$F$11</f>
        <v>64.714999809775108</v>
      </c>
      <c r="F1936" s="359">
        <f t="shared" si="1981"/>
        <v>10060815.520377982</v>
      </c>
      <c r="G1936" s="359">
        <f>'DRE + DCF'!$W$31</f>
        <v>2791623.3540418856</v>
      </c>
      <c r="H1936" s="359">
        <f>'DRE + DCF'!$W$32</f>
        <v>81081.931703745853</v>
      </c>
      <c r="I1936" s="359">
        <f>-H1936*('DRE + DCF'!$V$33+K1936)/'DRE + DCF'!$V$33</f>
        <v>-90858.801614444121</v>
      </c>
      <c r="J1936" s="359">
        <f>-'DRE + DCF'!$V$56*L1936</f>
        <v>-1188924.4255577971</v>
      </c>
      <c r="K1936" s="360">
        <f>(1+L1936)/(1+Ke!$O$12)-1</f>
        <v>2.0000000000000018E-2</v>
      </c>
      <c r="L1936" s="360">
        <f>'DRE + DCF'!$Y$31</f>
        <v>7.3550000000000004E-2</v>
      </c>
      <c r="M1936" s="361">
        <f>(1+D1936)^((5-Dashboard!$F$9)*3/12)</f>
        <v>1.1937553089689634</v>
      </c>
      <c r="N1936" s="361">
        <f t="shared" ref="N1936:V1936" si="1985">M1936*(1+$D1936)</f>
        <v>1.51171203551283</v>
      </c>
      <c r="O1936" s="361">
        <f t="shared" si="1985"/>
        <v>1.9143565361716508</v>
      </c>
      <c r="P1936" s="361">
        <f t="shared" si="1985"/>
        <v>2.424245399580943</v>
      </c>
      <c r="Q1936" s="361">
        <f t="shared" si="1985"/>
        <v>3.0699431617592929</v>
      </c>
      <c r="R1936" s="361">
        <f t="shared" si="1985"/>
        <v>3.887622522893837</v>
      </c>
      <c r="S1936" s="361">
        <f t="shared" si="1985"/>
        <v>4.9230907818665557</v>
      </c>
      <c r="T1936" s="361">
        <f t="shared" si="1985"/>
        <v>6.2343560116166437</v>
      </c>
      <c r="U1936" s="361">
        <f t="shared" si="1985"/>
        <v>7.8948767353106488</v>
      </c>
      <c r="V1936" s="362">
        <f t="shared" si="1985"/>
        <v>9.9976771537605291</v>
      </c>
      <c r="X1936" s="351"/>
    </row>
    <row r="1937" spans="3:24" ht="24.75" customHeight="1" x14ac:dyDescent="0.3">
      <c r="C1937" s="353">
        <f>ABS(E1937-Dashboard!$F$14)</f>
        <v>32.313583440517888</v>
      </c>
      <c r="D1937" s="350">
        <f t="shared" si="1983"/>
        <v>0.26644999999998592</v>
      </c>
      <c r="E1937" s="359" cm="1">
        <f t="array" ref="E1937">1000*SUM('DRE + DCF'!$L$36/M1937,'DRE + DCF'!$N$36:$V$36/N1937:V1937,F1937/V1937)/Dashboard!$F$11</f>
        <v>64.676416559482107</v>
      </c>
      <c r="F1937" s="359">
        <f t="shared" si="1981"/>
        <v>10056405.025568141</v>
      </c>
      <c r="G1937" s="359">
        <f>'DRE + DCF'!$W$31</f>
        <v>2791623.3540418856</v>
      </c>
      <c r="H1937" s="359">
        <f>'DRE + DCF'!$W$32</f>
        <v>81081.931703745853</v>
      </c>
      <c r="I1937" s="359">
        <f>-H1937*('DRE + DCF'!$V$33+K1937)/'DRE + DCF'!$V$33</f>
        <v>-90858.801614444121</v>
      </c>
      <c r="J1937" s="359">
        <f>-'DRE + DCF'!$V$56*L1937</f>
        <v>-1188924.4255577971</v>
      </c>
      <c r="K1937" s="360">
        <f>(1+L1937)/(1+Ke!$O$12)-1</f>
        <v>2.0000000000000018E-2</v>
      </c>
      <c r="L1937" s="360">
        <f>'DRE + DCF'!$Y$31</f>
        <v>7.3550000000000004E-2</v>
      </c>
      <c r="M1937" s="361">
        <f>(1+D1937)^((5-Dashboard!$F$9)*3/12)</f>
        <v>1.1938260088263841</v>
      </c>
      <c r="N1937" s="361">
        <f t="shared" ref="N1937:V1937" si="1986">M1937*(1+$D1937)</f>
        <v>1.5119209488781573</v>
      </c>
      <c r="O1937" s="361">
        <f t="shared" si="1986"/>
        <v>1.9147722857067209</v>
      </c>
      <c r="P1937" s="361">
        <f t="shared" si="1986"/>
        <v>2.4249633612332495</v>
      </c>
      <c r="Q1937" s="361">
        <f t="shared" si="1986"/>
        <v>3.0710948488338148</v>
      </c>
      <c r="R1937" s="361">
        <f t="shared" si="1986"/>
        <v>3.8893880713055413</v>
      </c>
      <c r="S1937" s="361">
        <f t="shared" si="1986"/>
        <v>4.9257155229048477</v>
      </c>
      <c r="T1937" s="361">
        <f t="shared" si="1986"/>
        <v>6.2381724239827747</v>
      </c>
      <c r="U1937" s="361">
        <f t="shared" si="1986"/>
        <v>7.9003334663528966</v>
      </c>
      <c r="V1937" s="362">
        <f t="shared" si="1986"/>
        <v>10.005377318462514</v>
      </c>
      <c r="X1937" s="351"/>
    </row>
    <row r="1938" spans="3:24" ht="24.75" customHeight="1" x14ac:dyDescent="0.3">
      <c r="C1938" s="353">
        <f>ABS(E1938-Dashboard!$F$14)</f>
        <v>32.352126245249252</v>
      </c>
      <c r="D1938" s="350">
        <f t="shared" si="1983"/>
        <v>0.26654999999998591</v>
      </c>
      <c r="E1938" s="359" cm="1">
        <f t="array" ref="E1938">1000*SUM('DRE + DCF'!$L$36/M1938,'DRE + DCF'!$N$36:$V$36/N1938:V1938,F1938/V1938)/Dashboard!$F$11</f>
        <v>64.637873754750743</v>
      </c>
      <c r="F1938" s="359">
        <f t="shared" si="1981"/>
        <v>10051998.497468948</v>
      </c>
      <c r="G1938" s="359">
        <f>'DRE + DCF'!$W$31</f>
        <v>2791623.3540418856</v>
      </c>
      <c r="H1938" s="359">
        <f>'DRE + DCF'!$W$32</f>
        <v>81081.931703745853</v>
      </c>
      <c r="I1938" s="359">
        <f>-H1938*('DRE + DCF'!$V$33+K1938)/'DRE + DCF'!$V$33</f>
        <v>-90858.801614444121</v>
      </c>
      <c r="J1938" s="359">
        <f>-'DRE + DCF'!$V$56*L1938</f>
        <v>-1188924.4255577971</v>
      </c>
      <c r="K1938" s="360">
        <f>(1+L1938)/(1+Ke!$O$12)-1</f>
        <v>2.0000000000000018E-2</v>
      </c>
      <c r="L1938" s="360">
        <f>'DRE + DCF'!$Y$31</f>
        <v>7.3550000000000004E-2</v>
      </c>
      <c r="M1938" s="361">
        <f>(1+D1938)^((5-Dashboard!$F$9)*3/12)</f>
        <v>1.1938967072881881</v>
      </c>
      <c r="N1938" s="361">
        <f t="shared" ref="N1938:V1938" si="1987">M1938*(1+$D1938)</f>
        <v>1.5121298746158378</v>
      </c>
      <c r="O1938" s="361">
        <f t="shared" si="1987"/>
        <v>1.9151880926946681</v>
      </c>
      <c r="P1938" s="361">
        <f t="shared" si="1987"/>
        <v>2.4256814788024048</v>
      </c>
      <c r="Q1938" s="361">
        <f t="shared" si="1987"/>
        <v>3.0722468769771516</v>
      </c>
      <c r="R1938" s="361">
        <f t="shared" si="1987"/>
        <v>3.8911542820353677</v>
      </c>
      <c r="S1938" s="361">
        <f t="shared" si="1987"/>
        <v>4.9283414559118404</v>
      </c>
      <c r="T1938" s="361">
        <f t="shared" si="1987"/>
        <v>6.241990870985072</v>
      </c>
      <c r="U1938" s="361">
        <f t="shared" si="1987"/>
        <v>7.9057935376460549</v>
      </c>
      <c r="V1938" s="362">
        <f t="shared" si="1987"/>
        <v>10.013082805105499</v>
      </c>
      <c r="X1938" s="351"/>
    </row>
    <row r="1939" spans="3:24" ht="24.75" customHeight="1" x14ac:dyDescent="0.3">
      <c r="C1939" s="353">
        <f>ABS(E1939-Dashboard!$F$14)</f>
        <v>32.390628663548242</v>
      </c>
      <c r="D1939" s="350">
        <f t="shared" si="1983"/>
        <v>0.2666499999999859</v>
      </c>
      <c r="E1939" s="359" cm="1">
        <f t="array" ref="E1939">1000*SUM('DRE + DCF'!$L$36/M1939,'DRE + DCF'!$N$36:$V$36/N1939:V1939,F1939/V1939)/Dashboard!$F$11</f>
        <v>64.599371336451753</v>
      </c>
      <c r="F1939" s="359">
        <f t="shared" si="1981"/>
        <v>10047595.930596637</v>
      </c>
      <c r="G1939" s="359">
        <f>'DRE + DCF'!$W$31</f>
        <v>2791623.3540418856</v>
      </c>
      <c r="H1939" s="359">
        <f>'DRE + DCF'!$W$32</f>
        <v>81081.931703745853</v>
      </c>
      <c r="I1939" s="359">
        <f>-H1939*('DRE + DCF'!$V$33+K1939)/'DRE + DCF'!$V$33</f>
        <v>-90858.801614444121</v>
      </c>
      <c r="J1939" s="359">
        <f>-'DRE + DCF'!$V$56*L1939</f>
        <v>-1188924.4255577971</v>
      </c>
      <c r="K1939" s="360">
        <f>(1+L1939)/(1+Ke!$O$12)-1</f>
        <v>2.0000000000000018E-2</v>
      </c>
      <c r="L1939" s="360">
        <f>'DRE + DCF'!$Y$31</f>
        <v>7.3550000000000004E-2</v>
      </c>
      <c r="M1939" s="361">
        <f>(1+D1939)^((5-Dashboard!$F$9)*3/12)</f>
        <v>1.1939674043545128</v>
      </c>
      <c r="N1939" s="361">
        <f t="shared" ref="N1939:V1939" si="1988">M1939*(1+$D1939)</f>
        <v>1.5123388127256268</v>
      </c>
      <c r="O1939" s="361">
        <f t="shared" si="1988"/>
        <v>1.9156039571388936</v>
      </c>
      <c r="P1939" s="361">
        <f t="shared" si="1988"/>
        <v>2.4263997523099525</v>
      </c>
      <c r="Q1939" s="361">
        <f t="shared" si="1988"/>
        <v>3.0733992462633668</v>
      </c>
      <c r="R1939" s="361">
        <f t="shared" si="1988"/>
        <v>3.89292115527945</v>
      </c>
      <c r="S1939" s="361">
        <f t="shared" si="1988"/>
        <v>4.9309685813346604</v>
      </c>
      <c r="T1939" s="361">
        <f t="shared" si="1988"/>
        <v>6.2458113535474782</v>
      </c>
      <c r="U1939" s="361">
        <f t="shared" si="1988"/>
        <v>7.9112569509708246</v>
      </c>
      <c r="V1939" s="362">
        <f t="shared" si="1988"/>
        <v>10.020793616947083</v>
      </c>
      <c r="X1939" s="351"/>
    </row>
    <row r="1940" spans="3:24" ht="24.75" customHeight="1" x14ac:dyDescent="0.3">
      <c r="C1940" s="353">
        <f>ABS(E1940-Dashboard!$F$14)</f>
        <v>32.429090754432522</v>
      </c>
      <c r="D1940" s="350">
        <f t="shared" si="1983"/>
        <v>0.26674999999998589</v>
      </c>
      <c r="E1940" s="359" cm="1">
        <f t="array" ref="E1940">1000*SUM('DRE + DCF'!$L$36/M1940,'DRE + DCF'!$N$36:$V$36/N1940:V1940,F1940/V1940)/Dashboard!$F$11</f>
        <v>64.560909245567473</v>
      </c>
      <c r="F1940" s="359">
        <f t="shared" si="1981"/>
        <v>10043197.319477774</v>
      </c>
      <c r="G1940" s="359">
        <f>'DRE + DCF'!$W$31</f>
        <v>2791623.3540418856</v>
      </c>
      <c r="H1940" s="359">
        <f>'DRE + DCF'!$W$32</f>
        <v>81081.931703745853</v>
      </c>
      <c r="I1940" s="359">
        <f>-H1940*('DRE + DCF'!$V$33+K1940)/'DRE + DCF'!$V$33</f>
        <v>-90858.801614444121</v>
      </c>
      <c r="J1940" s="359">
        <f>-'DRE + DCF'!$V$56*L1940</f>
        <v>-1188924.4255577971</v>
      </c>
      <c r="K1940" s="360">
        <f>(1+L1940)/(1+Ke!$O$12)-1</f>
        <v>2.0000000000000018E-2</v>
      </c>
      <c r="L1940" s="360">
        <f>'DRE + DCF'!$Y$31</f>
        <v>7.3550000000000004E-2</v>
      </c>
      <c r="M1940" s="361">
        <f>(1+D1940)^((5-Dashboard!$F$9)*3/12)</f>
        <v>1.1940381000254963</v>
      </c>
      <c r="N1940" s="361">
        <f t="shared" ref="N1940:V1940" si="1989">M1940*(1+$D1940)</f>
        <v>1.5125477632072806</v>
      </c>
      <c r="O1940" s="361">
        <f t="shared" si="1989"/>
        <v>1.9160198790428011</v>
      </c>
      <c r="P1940" s="361">
        <f t="shared" si="1989"/>
        <v>2.4271181817774412</v>
      </c>
      <c r="Q1940" s="361">
        <f t="shared" si="1989"/>
        <v>3.0745519567665394</v>
      </c>
      <c r="R1940" s="361">
        <f t="shared" si="1989"/>
        <v>3.89468869123397</v>
      </c>
      <c r="S1940" s="361">
        <f t="shared" si="1989"/>
        <v>4.9335968996205759</v>
      </c>
      <c r="T1940" s="361">
        <f t="shared" si="1989"/>
        <v>6.2496338725942948</v>
      </c>
      <c r="U1940" s="361">
        <f t="shared" si="1989"/>
        <v>7.9167237081087345</v>
      </c>
      <c r="V1940" s="362">
        <f t="shared" si="1989"/>
        <v>10.028509757246628</v>
      </c>
      <c r="X1940" s="351"/>
    </row>
    <row r="1941" spans="3:24" ht="24.75" customHeight="1" x14ac:dyDescent="0.3">
      <c r="C1941" s="353">
        <f>ABS(E1941-Dashboard!$F$14)</f>
        <v>32.467512576808218</v>
      </c>
      <c r="D1941" s="350">
        <f t="shared" si="1983"/>
        <v>0.26684999999998588</v>
      </c>
      <c r="E1941" s="359" cm="1">
        <f t="array" ref="E1941">1000*SUM('DRE + DCF'!$L$36/M1941,'DRE + DCF'!$N$36:$V$36/N1941:V1941,F1941/V1941)/Dashboard!$F$11</f>
        <v>64.522487423191777</v>
      </c>
      <c r="F1941" s="359">
        <f t="shared" si="1981"/>
        <v>10038802.65864924</v>
      </c>
      <c r="G1941" s="359">
        <f>'DRE + DCF'!$W$31</f>
        <v>2791623.3540418856</v>
      </c>
      <c r="H1941" s="359">
        <f>'DRE + DCF'!$W$32</f>
        <v>81081.931703745853</v>
      </c>
      <c r="I1941" s="359">
        <f>-H1941*('DRE + DCF'!$V$33+K1941)/'DRE + DCF'!$V$33</f>
        <v>-90858.801614444121</v>
      </c>
      <c r="J1941" s="359">
        <f>-'DRE + DCF'!$V$56*L1941</f>
        <v>-1188924.4255577971</v>
      </c>
      <c r="K1941" s="360">
        <f>(1+L1941)/(1+Ke!$O$12)-1</f>
        <v>2.0000000000000018E-2</v>
      </c>
      <c r="L1941" s="360">
        <f>'DRE + DCF'!$Y$31</f>
        <v>7.3550000000000004E-2</v>
      </c>
      <c r="M1941" s="361">
        <f>(1+D1941)^((5-Dashboard!$F$9)*3/12)</f>
        <v>1.1941087943012758</v>
      </c>
      <c r="N1941" s="361">
        <f t="shared" ref="N1941:V1941" si="1990">M1941*(1+$D1941)</f>
        <v>1.5127567260605543</v>
      </c>
      <c r="O1941" s="361">
        <f t="shared" si="1990"/>
        <v>1.9164358584097918</v>
      </c>
      <c r="P1941" s="361">
        <f t="shared" si="1990"/>
        <v>2.4278367672264176</v>
      </c>
      <c r="Q1941" s="361">
        <f t="shared" si="1990"/>
        <v>3.0757050085607527</v>
      </c>
      <c r="R1941" s="361">
        <f t="shared" si="1990"/>
        <v>3.8964568900951457</v>
      </c>
      <c r="S1941" s="361">
        <f t="shared" si="1990"/>
        <v>4.93622641121698</v>
      </c>
      <c r="T1941" s="361">
        <f t="shared" si="1990"/>
        <v>6.2534584290501609</v>
      </c>
      <c r="U1941" s="361">
        <f t="shared" si="1990"/>
        <v>7.9221938108421073</v>
      </c>
      <c r="V1941" s="362">
        <f t="shared" si="1990"/>
        <v>10.036231229265212</v>
      </c>
      <c r="X1941" s="351"/>
    </row>
    <row r="1942" spans="3:24" ht="24.75" customHeight="1" x14ac:dyDescent="0.3">
      <c r="C1942" s="353">
        <f>ABS(E1942-Dashboard!$F$14)</f>
        <v>32.505894189470339</v>
      </c>
      <c r="D1942" s="350">
        <f t="shared" si="1983"/>
        <v>0.26694999999998587</v>
      </c>
      <c r="E1942" s="359" cm="1">
        <f t="array" ref="E1942">1000*SUM('DRE + DCF'!$L$36/M1942,'DRE + DCF'!$N$36:$V$36/N1942:V1942,F1942/V1942)/Dashboard!$F$11</f>
        <v>64.484105810529655</v>
      </c>
      <c r="F1942" s="359">
        <f t="shared" si="1981"/>
        <v>10034411.942658197</v>
      </c>
      <c r="G1942" s="359">
        <f>'DRE + DCF'!$W$31</f>
        <v>2791623.3540418856</v>
      </c>
      <c r="H1942" s="359">
        <f>'DRE + DCF'!$W$32</f>
        <v>81081.931703745853</v>
      </c>
      <c r="I1942" s="359">
        <f>-H1942*('DRE + DCF'!$V$33+K1942)/'DRE + DCF'!$V$33</f>
        <v>-90858.801614444121</v>
      </c>
      <c r="J1942" s="359">
        <f>-'DRE + DCF'!$V$56*L1942</f>
        <v>-1188924.4255577971</v>
      </c>
      <c r="K1942" s="360">
        <f>(1+L1942)/(1+Ke!$O$12)-1</f>
        <v>2.0000000000000018E-2</v>
      </c>
      <c r="L1942" s="360">
        <f>'DRE + DCF'!$Y$31</f>
        <v>7.3550000000000004E-2</v>
      </c>
      <c r="M1942" s="361">
        <f>(1+D1942)^((5-Dashboard!$F$9)*3/12)</f>
        <v>1.1941794871819893</v>
      </c>
      <c r="N1942" s="361">
        <f t="shared" ref="N1942:V1942" si="1991">M1942*(1+$D1942)</f>
        <v>1.5129657012852045</v>
      </c>
      <c r="O1942" s="361">
        <f t="shared" si="1991"/>
        <v>1.9168518952432683</v>
      </c>
      <c r="P1942" s="361">
        <f t="shared" si="1991"/>
        <v>2.4285555086784316</v>
      </c>
      <c r="Q1942" s="361">
        <f t="shared" si="1991"/>
        <v>3.0768584017201044</v>
      </c>
      <c r="R1942" s="361">
        <f t="shared" si="1991"/>
        <v>3.8982257520592425</v>
      </c>
      <c r="S1942" s="361">
        <f t="shared" si="1991"/>
        <v>4.9388571165714019</v>
      </c>
      <c r="T1942" s="361">
        <f t="shared" si="1991"/>
        <v>6.2572850238400672</v>
      </c>
      <c r="U1942" s="361">
        <f t="shared" si="1991"/>
        <v>7.9276672609540846</v>
      </c>
      <c r="V1942" s="362">
        <f t="shared" si="1991"/>
        <v>10.043958036265664</v>
      </c>
      <c r="X1942" s="351"/>
    </row>
    <row r="1943" spans="3:24" ht="24.75" customHeight="1" x14ac:dyDescent="0.3">
      <c r="C1943" s="353">
        <f>ABS(E1943-Dashboard!$F$14)</f>
        <v>32.544235651102838</v>
      </c>
      <c r="D1943" s="350">
        <f t="shared" si="1983"/>
        <v>0.26704999999998585</v>
      </c>
      <c r="E1943" s="359" cm="1">
        <f t="array" ref="E1943">1000*SUM('DRE + DCF'!$L$36/M1943,'DRE + DCF'!$N$36:$V$36/N1943:V1943,F1943/V1943)/Dashboard!$F$11</f>
        <v>64.445764348897157</v>
      </c>
      <c r="F1943" s="359">
        <f t="shared" si="1981"/>
        <v>10030025.166062076</v>
      </c>
      <c r="G1943" s="359">
        <f>'DRE + DCF'!$W$31</f>
        <v>2791623.3540418856</v>
      </c>
      <c r="H1943" s="359">
        <f>'DRE + DCF'!$W$32</f>
        <v>81081.931703745853</v>
      </c>
      <c r="I1943" s="359">
        <f>-H1943*('DRE + DCF'!$V$33+K1943)/'DRE + DCF'!$V$33</f>
        <v>-90858.801614444121</v>
      </c>
      <c r="J1943" s="359">
        <f>-'DRE + DCF'!$V$56*L1943</f>
        <v>-1188924.4255577971</v>
      </c>
      <c r="K1943" s="360">
        <f>(1+L1943)/(1+Ke!$O$12)-1</f>
        <v>2.0000000000000018E-2</v>
      </c>
      <c r="L1943" s="360">
        <f>'DRE + DCF'!$Y$31</f>
        <v>7.3550000000000004E-2</v>
      </c>
      <c r="M1943" s="361">
        <f>(1+D1943)^((5-Dashboard!$F$9)*3/12)</f>
        <v>1.1942501786677744</v>
      </c>
      <c r="N1943" s="361">
        <f t="shared" ref="N1943:V1943" si="1992">M1943*(1+$D1943)</f>
        <v>1.5131746888809865</v>
      </c>
      <c r="O1943" s="361">
        <f t="shared" si="1992"/>
        <v>1.9172679895466325</v>
      </c>
      <c r="P1943" s="361">
        <f t="shared" si="1992"/>
        <v>2.4292744061550335</v>
      </c>
      <c r="Q1943" s="361">
        <f t="shared" si="1992"/>
        <v>3.078012136318701</v>
      </c>
      <c r="R1943" s="361">
        <f t="shared" si="1992"/>
        <v>3.8999952773225663</v>
      </c>
      <c r="S1943" s="361">
        <f t="shared" si="1992"/>
        <v>4.9414890161315022</v>
      </c>
      <c r="T1943" s="361">
        <f t="shared" si="1992"/>
        <v>6.26111365788935</v>
      </c>
      <c r="U1943" s="361">
        <f t="shared" si="1992"/>
        <v>7.9331440602286118</v>
      </c>
      <c r="V1943" s="362">
        <f t="shared" si="1992"/>
        <v>10.05169018151255</v>
      </c>
      <c r="X1943" s="351"/>
    </row>
    <row r="1944" spans="3:24" ht="24.75" customHeight="1" x14ac:dyDescent="0.3">
      <c r="C1944" s="353">
        <f>ABS(E1944-Dashboard!$F$14)</f>
        <v>32.582537020279091</v>
      </c>
      <c r="D1944" s="350">
        <f t="shared" si="1983"/>
        <v>0.26714999999998584</v>
      </c>
      <c r="E1944" s="359" cm="1">
        <f t="array" ref="E1944">1000*SUM('DRE + DCF'!$L$36/M1944,'DRE + DCF'!$N$36:$V$36/N1944:V1944,F1944/V1944)/Dashboard!$F$11</f>
        <v>64.407462979720904</v>
      </c>
      <c r="F1944" s="359">
        <f t="shared" si="1981"/>
        <v>10025642.323428532</v>
      </c>
      <c r="G1944" s="359">
        <f>'DRE + DCF'!$W$31</f>
        <v>2791623.3540418856</v>
      </c>
      <c r="H1944" s="359">
        <f>'DRE + DCF'!$W$32</f>
        <v>81081.931703745853</v>
      </c>
      <c r="I1944" s="359">
        <f>-H1944*('DRE + DCF'!$V$33+K1944)/'DRE + DCF'!$V$33</f>
        <v>-90858.801614444121</v>
      </c>
      <c r="J1944" s="359">
        <f>-'DRE + DCF'!$V$56*L1944</f>
        <v>-1188924.4255577971</v>
      </c>
      <c r="K1944" s="360">
        <f>(1+L1944)/(1+Ke!$O$12)-1</f>
        <v>2.0000000000000018E-2</v>
      </c>
      <c r="L1944" s="360">
        <f>'DRE + DCF'!$Y$31</f>
        <v>7.3550000000000004E-2</v>
      </c>
      <c r="M1944" s="361">
        <f>(1+D1944)^((5-Dashboard!$F$9)*3/12)</f>
        <v>1.1943208687587687</v>
      </c>
      <c r="N1944" s="361">
        <f t="shared" ref="N1944:V1944" si="1993">M1944*(1+$D1944)</f>
        <v>1.5133836888476568</v>
      </c>
      <c r="O1944" s="361">
        <f t="shared" si="1993"/>
        <v>1.9176841413232868</v>
      </c>
      <c r="P1944" s="361">
        <f t="shared" si="1993"/>
        <v>2.4299934596777755</v>
      </c>
      <c r="Q1944" s="361">
        <f t="shared" si="1993"/>
        <v>3.0791662124306587</v>
      </c>
      <c r="R1944" s="361">
        <f t="shared" si="1993"/>
        <v>3.9017654660814656</v>
      </c>
      <c r="S1944" s="361">
        <f t="shared" si="1993"/>
        <v>4.9441221103450737</v>
      </c>
      <c r="T1944" s="361">
        <f t="shared" si="1993"/>
        <v>6.2649443321236902</v>
      </c>
      <c r="U1944" s="361">
        <f t="shared" si="1993"/>
        <v>7.9386242104504445</v>
      </c>
      <c r="V1944" s="362">
        <f t="shared" si="1993"/>
        <v>10.059427668272168</v>
      </c>
      <c r="X1944" s="351"/>
    </row>
    <row r="1945" spans="3:24" ht="24.75" customHeight="1" x14ac:dyDescent="0.3">
      <c r="C1945" s="353">
        <f>ABS(E1945-Dashboard!$F$14)</f>
        <v>32.620798355462057</v>
      </c>
      <c r="D1945" s="350">
        <f t="shared" si="1983"/>
        <v>0.26724999999998583</v>
      </c>
      <c r="E1945" s="359" cm="1">
        <f t="array" ref="E1945">1000*SUM('DRE + DCF'!$L$36/M1945,'DRE + DCF'!$N$36:$V$36/N1945:V1945,F1945/V1945)/Dashboard!$F$11</f>
        <v>64.369201644537938</v>
      </c>
      <c r="F1945" s="359">
        <f t="shared" si="1981"/>
        <v>10021263.409335451</v>
      </c>
      <c r="G1945" s="359">
        <f>'DRE + DCF'!$W$31</f>
        <v>2791623.3540418856</v>
      </c>
      <c r="H1945" s="359">
        <f>'DRE + DCF'!$W$32</f>
        <v>81081.931703745853</v>
      </c>
      <c r="I1945" s="359">
        <f>-H1945*('DRE + DCF'!$V$33+K1945)/'DRE + DCF'!$V$33</f>
        <v>-90858.801614444121</v>
      </c>
      <c r="J1945" s="359">
        <f>-'DRE + DCF'!$V$56*L1945</f>
        <v>-1188924.4255577971</v>
      </c>
      <c r="K1945" s="360">
        <f>(1+L1945)/(1+Ke!$O$12)-1</f>
        <v>2.0000000000000018E-2</v>
      </c>
      <c r="L1945" s="360">
        <f>'DRE + DCF'!$Y$31</f>
        <v>7.3550000000000004E-2</v>
      </c>
      <c r="M1945" s="361">
        <f>(1+D1945)^((5-Dashboard!$F$9)*3/12)</f>
        <v>1.1943915574551096</v>
      </c>
      <c r="N1945" s="361">
        <f t="shared" ref="N1945:V1945" si="1994">M1945*(1+$D1945)</f>
        <v>1.5135927011849706</v>
      </c>
      <c r="O1945" s="361">
        <f t="shared" si="1994"/>
        <v>1.9181003505766325</v>
      </c>
      <c r="P1945" s="361">
        <f t="shared" si="1994"/>
        <v>2.4307126692682104</v>
      </c>
      <c r="Q1945" s="361">
        <f t="shared" si="1994"/>
        <v>3.0803206301301049</v>
      </c>
      <c r="R1945" s="361">
        <f t="shared" si="1994"/>
        <v>3.9035363185323315</v>
      </c>
      <c r="S1945" s="361">
        <f t="shared" si="1994"/>
        <v>4.9467563996600417</v>
      </c>
      <c r="T1945" s="361">
        <f t="shared" si="1994"/>
        <v>6.2687770474691176</v>
      </c>
      <c r="U1945" s="361">
        <f t="shared" si="1994"/>
        <v>7.9441077134051499</v>
      </c>
      <c r="V1945" s="362">
        <f t="shared" si="1994"/>
        <v>10.067170499812564</v>
      </c>
      <c r="X1945" s="351"/>
    </row>
    <row r="1946" spans="3:24" ht="24.75" customHeight="1" x14ac:dyDescent="0.3">
      <c r="C1946" s="353">
        <f>ABS(E1946-Dashboard!$F$14)</f>
        <v>32.65901971500449</v>
      </c>
      <c r="D1946" s="350">
        <f t="shared" si="1983"/>
        <v>0.26734999999998582</v>
      </c>
      <c r="E1946" s="359" cm="1">
        <f t="array" ref="E1946">1000*SUM('DRE + DCF'!$L$36/M1946,'DRE + DCF'!$N$36:$V$36/N1946:V1946,F1946/V1946)/Dashboard!$F$11</f>
        <v>64.330980284995505</v>
      </c>
      <c r="F1946" s="359">
        <f t="shared" si="1981"/>
        <v>10016888.418370895</v>
      </c>
      <c r="G1946" s="359">
        <f>'DRE + DCF'!$W$31</f>
        <v>2791623.3540418856</v>
      </c>
      <c r="H1946" s="359">
        <f>'DRE + DCF'!$W$32</f>
        <v>81081.931703745853</v>
      </c>
      <c r="I1946" s="359">
        <f>-H1946*('DRE + DCF'!$V$33+K1946)/'DRE + DCF'!$V$33</f>
        <v>-90858.801614444121</v>
      </c>
      <c r="J1946" s="359">
        <f>-'DRE + DCF'!$V$56*L1946</f>
        <v>-1188924.4255577971</v>
      </c>
      <c r="K1946" s="360">
        <f>(1+L1946)/(1+Ke!$O$12)-1</f>
        <v>2.0000000000000018E-2</v>
      </c>
      <c r="L1946" s="360">
        <f>'DRE + DCF'!$Y$31</f>
        <v>7.3550000000000004E-2</v>
      </c>
      <c r="M1946" s="361">
        <f>(1+D1946)^((5-Dashboard!$F$9)*3/12)</f>
        <v>1.1944622447569351</v>
      </c>
      <c r="N1946" s="361">
        <f t="shared" ref="N1946:V1946" si="1995">M1946*(1+$D1946)</f>
        <v>1.5138017258926846</v>
      </c>
      <c r="O1946" s="361">
        <f t="shared" si="1995"/>
        <v>1.9185166173100723</v>
      </c>
      <c r="P1946" s="361">
        <f t="shared" si="1995"/>
        <v>2.4314320349478926</v>
      </c>
      <c r="Q1946" s="361">
        <f t="shared" si="1995"/>
        <v>3.0814753894911773</v>
      </c>
      <c r="R1946" s="361">
        <f t="shared" si="1995"/>
        <v>3.9053078348715995</v>
      </c>
      <c r="S1946" s="361">
        <f t="shared" si="1995"/>
        <v>4.9493918845244664</v>
      </c>
      <c r="T1946" s="361">
        <f t="shared" si="1995"/>
        <v>6.2726118048520121</v>
      </c>
      <c r="U1946" s="361">
        <f t="shared" si="1995"/>
        <v>7.9495945708791078</v>
      </c>
      <c r="V1946" s="362">
        <f t="shared" si="1995"/>
        <v>10.074918679403524</v>
      </c>
      <c r="X1946" s="351"/>
    </row>
    <row r="1947" spans="3:24" ht="24.75" customHeight="1" x14ac:dyDescent="0.3">
      <c r="C1947" s="353">
        <f>ABS(E1947-Dashboard!$F$14)</f>
        <v>32.697201157149266</v>
      </c>
      <c r="D1947" s="350">
        <f t="shared" si="1983"/>
        <v>0.26744999999998581</v>
      </c>
      <c r="E1947" s="359" cm="1">
        <f t="array" ref="E1947">1000*SUM('DRE + DCF'!$L$36/M1947,'DRE + DCF'!$N$36:$V$36/N1947:V1947,F1947/V1947)/Dashboard!$F$11</f>
        <v>64.292798842850729</v>
      </c>
      <c r="F1947" s="359">
        <f t="shared" si="1981"/>
        <v>10012517.345133089</v>
      </c>
      <c r="G1947" s="359">
        <f>'DRE + DCF'!$W$31</f>
        <v>2791623.3540418856</v>
      </c>
      <c r="H1947" s="359">
        <f>'DRE + DCF'!$W$32</f>
        <v>81081.931703745853</v>
      </c>
      <c r="I1947" s="359">
        <f>-H1947*('DRE + DCF'!$V$33+K1947)/'DRE + DCF'!$V$33</f>
        <v>-90858.801614444121</v>
      </c>
      <c r="J1947" s="359">
        <f>-'DRE + DCF'!$V$56*L1947</f>
        <v>-1188924.4255577971</v>
      </c>
      <c r="K1947" s="360">
        <f>(1+L1947)/(1+Ke!$O$12)-1</f>
        <v>2.0000000000000018E-2</v>
      </c>
      <c r="L1947" s="360">
        <f>'DRE + DCF'!$Y$31</f>
        <v>7.3550000000000004E-2</v>
      </c>
      <c r="M1947" s="361">
        <f>(1+D1947)^((5-Dashboard!$F$9)*3/12)</f>
        <v>1.1945329306643824</v>
      </c>
      <c r="N1947" s="361">
        <f t="shared" ref="N1947:V1947" si="1996">M1947*(1+$D1947)</f>
        <v>1.5140107629705544</v>
      </c>
      <c r="O1947" s="361">
        <f t="shared" si="1996"/>
        <v>1.9189329415270076</v>
      </c>
      <c r="P1947" s="361">
        <f t="shared" si="1996"/>
        <v>2.4321515567383782</v>
      </c>
      <c r="Q1947" s="361">
        <f t="shared" si="1996"/>
        <v>3.0826304905880226</v>
      </c>
      <c r="R1947" s="361">
        <f t="shared" si="1996"/>
        <v>3.9070800152957452</v>
      </c>
      <c r="S1947" s="361">
        <f t="shared" si="1996"/>
        <v>4.952028565386537</v>
      </c>
      <c r="T1947" s="361">
        <f t="shared" si="1996"/>
        <v>6.2764486051990955</v>
      </c>
      <c r="U1947" s="361">
        <f t="shared" si="1996"/>
        <v>7.9550847846595039</v>
      </c>
      <c r="V1947" s="362">
        <f t="shared" si="1996"/>
        <v>10.082672210316575</v>
      </c>
      <c r="X1947" s="351"/>
    </row>
    <row r="1948" spans="3:24" ht="24.75" customHeight="1" x14ac:dyDescent="0.3">
      <c r="C1948" s="353">
        <f>ABS(E1948-Dashboard!$F$14)</f>
        <v>32.735342740029637</v>
      </c>
      <c r="D1948" s="350">
        <f t="shared" si="1983"/>
        <v>0.2675499999999858</v>
      </c>
      <c r="E1948" s="359" cm="1">
        <f t="array" ref="E1948">1000*SUM('DRE + DCF'!$L$36/M1948,'DRE + DCF'!$N$36:$V$36/N1948:V1948,F1948/V1948)/Dashboard!$F$11</f>
        <v>64.254657259970358</v>
      </c>
      <c r="F1948" s="359">
        <f t="shared" si="1981"/>
        <v>10008150.184230408</v>
      </c>
      <c r="G1948" s="359">
        <f>'DRE + DCF'!$W$31</f>
        <v>2791623.3540418856</v>
      </c>
      <c r="H1948" s="359">
        <f>'DRE + DCF'!$W$32</f>
        <v>81081.931703745853</v>
      </c>
      <c r="I1948" s="359">
        <f>-H1948*('DRE + DCF'!$V$33+K1948)/'DRE + DCF'!$V$33</f>
        <v>-90858.801614444121</v>
      </c>
      <c r="J1948" s="359">
        <f>-'DRE + DCF'!$V$56*L1948</f>
        <v>-1188924.4255577971</v>
      </c>
      <c r="K1948" s="360">
        <f>(1+L1948)/(1+Ke!$O$12)-1</f>
        <v>2.0000000000000018E-2</v>
      </c>
      <c r="L1948" s="360">
        <f>'DRE + DCF'!$Y$31</f>
        <v>7.3550000000000004E-2</v>
      </c>
      <c r="M1948" s="361">
        <f>(1+D1948)^((5-Dashboard!$F$9)*3/12)</f>
        <v>1.194603615177589</v>
      </c>
      <c r="N1948" s="361">
        <f t="shared" ref="N1948:V1948" si="1997">M1948*(1+$D1948)</f>
        <v>1.5142198124183359</v>
      </c>
      <c r="O1948" s="361">
        <f t="shared" si="1997"/>
        <v>1.9193493232308401</v>
      </c>
      <c r="P1948" s="361">
        <f t="shared" si="1997"/>
        <v>2.4328712346612238</v>
      </c>
      <c r="Q1948" s="361">
        <f t="shared" si="1997"/>
        <v>3.0837859334947995</v>
      </c>
      <c r="R1948" s="361">
        <f t="shared" si="1997"/>
        <v>3.9088528600012893</v>
      </c>
      <c r="S1948" s="361">
        <f t="shared" si="1997"/>
        <v>4.9546664426945783</v>
      </c>
      <c r="T1948" s="361">
        <f t="shared" si="1997"/>
        <v>6.2802874494374423</v>
      </c>
      <c r="U1948" s="361">
        <f t="shared" si="1997"/>
        <v>7.9605783565343406</v>
      </c>
      <c r="V1948" s="362">
        <f t="shared" si="1997"/>
        <v>10.090431095824989</v>
      </c>
      <c r="X1948" s="351"/>
    </row>
    <row r="1949" spans="3:24" ht="24.75" customHeight="1" x14ac:dyDescent="0.3">
      <c r="C1949" s="353">
        <f>ABS(E1949-Dashboard!$F$14)</f>
        <v>32.773444521669418</v>
      </c>
      <c r="D1949" s="350">
        <f t="shared" si="1983"/>
        <v>0.26764999999998579</v>
      </c>
      <c r="E1949" s="359" cm="1">
        <f t="array" ref="E1949">1000*SUM('DRE + DCF'!$L$36/M1949,'DRE + DCF'!$N$36:$V$36/N1949:V1949,F1949/V1949)/Dashboard!$F$11</f>
        <v>64.216555478330577</v>
      </c>
      <c r="F1949" s="359">
        <f t="shared" si="1981"/>
        <v>10003786.93028133</v>
      </c>
      <c r="G1949" s="359">
        <f>'DRE + DCF'!$W$31</f>
        <v>2791623.3540418856</v>
      </c>
      <c r="H1949" s="359">
        <f>'DRE + DCF'!$W$32</f>
        <v>81081.931703745853</v>
      </c>
      <c r="I1949" s="359">
        <f>-H1949*('DRE + DCF'!$V$33+K1949)/'DRE + DCF'!$V$33</f>
        <v>-90858.801614444121</v>
      </c>
      <c r="J1949" s="359">
        <f>-'DRE + DCF'!$V$56*L1949</f>
        <v>-1188924.4255577971</v>
      </c>
      <c r="K1949" s="360">
        <f>(1+L1949)/(1+Ke!$O$12)-1</f>
        <v>2.0000000000000018E-2</v>
      </c>
      <c r="L1949" s="360">
        <f>'DRE + DCF'!$Y$31</f>
        <v>7.3550000000000004E-2</v>
      </c>
      <c r="M1949" s="361">
        <f>(1+D1949)^((5-Dashboard!$F$9)*3/12)</f>
        <v>1.1946742982966925</v>
      </c>
      <c r="N1949" s="361">
        <f t="shared" ref="N1949:V1949" si="1998">M1949*(1+$D1949)</f>
        <v>1.5144288742357852</v>
      </c>
      <c r="O1949" s="361">
        <f t="shared" si="1998"/>
        <v>1.9197657624249715</v>
      </c>
      <c r="P1949" s="361">
        <f t="shared" si="1998"/>
        <v>2.4335910687379876</v>
      </c>
      <c r="Q1949" s="361">
        <f t="shared" si="1998"/>
        <v>3.0849417182856751</v>
      </c>
      <c r="R1949" s="361">
        <f t="shared" si="1998"/>
        <v>3.9106263691847922</v>
      </c>
      <c r="S1949" s="361">
        <f t="shared" si="1998"/>
        <v>4.9573055168970459</v>
      </c>
      <c r="T1949" s="361">
        <f t="shared" si="1998"/>
        <v>6.2841283384944697</v>
      </c>
      <c r="U1949" s="361">
        <f t="shared" si="1998"/>
        <v>7.9660752882924246</v>
      </c>
      <c r="V1949" s="362">
        <f t="shared" si="1998"/>
        <v>10.098195339203778</v>
      </c>
      <c r="X1949" s="351"/>
    </row>
    <row r="1950" spans="3:24" ht="24.75" customHeight="1" x14ac:dyDescent="0.3">
      <c r="C1950" s="353">
        <f>ABS(E1950-Dashboard!$F$14)</f>
        <v>32.811506559983414</v>
      </c>
      <c r="D1950" s="350">
        <f t="shared" si="1983"/>
        <v>0.26774999999998578</v>
      </c>
      <c r="E1950" s="359" cm="1">
        <f t="array" ref="E1950">1000*SUM('DRE + DCF'!$L$36/M1950,'DRE + DCF'!$N$36:$V$36/N1950:V1950,F1950/V1950)/Dashboard!$F$11</f>
        <v>64.178493440016581</v>
      </c>
      <c r="F1950" s="359">
        <f t="shared" si="1981"/>
        <v>9999427.577914428</v>
      </c>
      <c r="G1950" s="359">
        <f>'DRE + DCF'!$W$31</f>
        <v>2791623.3540418856</v>
      </c>
      <c r="H1950" s="359">
        <f>'DRE + DCF'!$W$32</f>
        <v>81081.931703745853</v>
      </c>
      <c r="I1950" s="359">
        <f>-H1950*('DRE + DCF'!$V$33+K1950)/'DRE + DCF'!$V$33</f>
        <v>-90858.801614444121</v>
      </c>
      <c r="J1950" s="359">
        <f>-'DRE + DCF'!$V$56*L1950</f>
        <v>-1188924.4255577971</v>
      </c>
      <c r="K1950" s="360">
        <f>(1+L1950)/(1+Ke!$O$12)-1</f>
        <v>2.0000000000000018E-2</v>
      </c>
      <c r="L1950" s="360">
        <f>'DRE + DCF'!$Y$31</f>
        <v>7.3550000000000004E-2</v>
      </c>
      <c r="M1950" s="361">
        <f>(1+D1950)^((5-Dashboard!$F$9)*3/12)</f>
        <v>1.1947449800218304</v>
      </c>
      <c r="N1950" s="361">
        <f t="shared" ref="N1950:V1950" si="1999">M1950*(1+$D1950)</f>
        <v>1.5146379484226584</v>
      </c>
      <c r="O1950" s="361">
        <f t="shared" si="1999"/>
        <v>1.9201822591128035</v>
      </c>
      <c r="P1950" s="361">
        <f t="shared" si="1999"/>
        <v>2.4343110589902293</v>
      </c>
      <c r="Q1950" s="361">
        <f t="shared" si="1999"/>
        <v>3.0860978450348284</v>
      </c>
      <c r="R1950" s="361">
        <f t="shared" si="1999"/>
        <v>3.9124005430428599</v>
      </c>
      <c r="S1950" s="361">
        <f t="shared" si="1999"/>
        <v>4.9599457884425302</v>
      </c>
      <c r="T1950" s="361">
        <f t="shared" si="1999"/>
        <v>6.2879712732979467</v>
      </c>
      <c r="U1950" s="361">
        <f t="shared" si="1999"/>
        <v>7.971575581723382</v>
      </c>
      <c r="V1950" s="362">
        <f t="shared" si="1999"/>
        <v>10.105964943729704</v>
      </c>
      <c r="X1950" s="351"/>
    </row>
    <row r="1951" spans="3:24" ht="24.75" customHeight="1" x14ac:dyDescent="0.3">
      <c r="C1951" s="353">
        <f>ABS(E1951-Dashboard!$F$14)</f>
        <v>32.849528912777359</v>
      </c>
      <c r="D1951" s="350">
        <f t="shared" si="1983"/>
        <v>0.26784999999998577</v>
      </c>
      <c r="E1951" s="359" cm="1">
        <f t="array" ref="E1951">1000*SUM('DRE + DCF'!$L$36/M1951,'DRE + DCF'!$N$36:$V$36/N1951:V1951,F1951/V1951)/Dashboard!$F$11</f>
        <v>64.140471087222636</v>
      </c>
      <c r="F1951" s="359">
        <f t="shared" si="1981"/>
        <v>9995072.1217683461</v>
      </c>
      <c r="G1951" s="359">
        <f>'DRE + DCF'!$W$31</f>
        <v>2791623.3540418856</v>
      </c>
      <c r="H1951" s="359">
        <f>'DRE + DCF'!$W$32</f>
        <v>81081.931703745853</v>
      </c>
      <c r="I1951" s="359">
        <f>-H1951*('DRE + DCF'!$V$33+K1951)/'DRE + DCF'!$V$33</f>
        <v>-90858.801614444121</v>
      </c>
      <c r="J1951" s="359">
        <f>-'DRE + DCF'!$V$56*L1951</f>
        <v>-1188924.4255577971</v>
      </c>
      <c r="K1951" s="360">
        <f>(1+L1951)/(1+Ke!$O$12)-1</f>
        <v>2.0000000000000018E-2</v>
      </c>
      <c r="L1951" s="360">
        <f>'DRE + DCF'!$Y$31</f>
        <v>7.3550000000000004E-2</v>
      </c>
      <c r="M1951" s="361">
        <f>(1+D1951)^((5-Dashboard!$F$9)*3/12)</f>
        <v>1.1948156603531399</v>
      </c>
      <c r="N1951" s="361">
        <f t="shared" ref="N1951:V1951" si="2000">M1951*(1+$D1951)</f>
        <v>1.5148470349787113</v>
      </c>
      <c r="O1951" s="361">
        <f t="shared" si="2000"/>
        <v>1.9205988132977374</v>
      </c>
      <c r="P1951" s="361">
        <f t="shared" si="2000"/>
        <v>2.4350312054395089</v>
      </c>
      <c r="Q1951" s="361">
        <f t="shared" si="2000"/>
        <v>3.0872543138164468</v>
      </c>
      <c r="R1951" s="361">
        <f t="shared" si="2000"/>
        <v>3.9141753817721381</v>
      </c>
      <c r="S1951" s="361">
        <f t="shared" si="2000"/>
        <v>4.9625872577797496</v>
      </c>
      <c r="T1951" s="361">
        <f t="shared" si="2000"/>
        <v>6.2918162547759851</v>
      </c>
      <c r="U1951" s="361">
        <f t="shared" si="2000"/>
        <v>7.9770792386176428</v>
      </c>
      <c r="V1951" s="362">
        <f t="shared" si="2000"/>
        <v>10.113739912681265</v>
      </c>
      <c r="X1951" s="351"/>
    </row>
    <row r="1952" spans="3:24" ht="24.75" customHeight="1" x14ac:dyDescent="0.3">
      <c r="C1952" s="353">
        <f>ABS(E1952-Dashboard!$F$14)</f>
        <v>32.887511637748574</v>
      </c>
      <c r="D1952" s="350">
        <f t="shared" si="1983"/>
        <v>0.26794999999998576</v>
      </c>
      <c r="E1952" s="359" cm="1">
        <f t="array" ref="E1952">1000*SUM('DRE + DCF'!$L$36/M1952,'DRE + DCF'!$N$36:$V$36/N1952:V1952,F1952/V1952)/Dashboard!$F$11</f>
        <v>64.102488362251421</v>
      </c>
      <c r="F1952" s="359">
        <f t="shared" si="1981"/>
        <v>9990720.5564917661</v>
      </c>
      <c r="G1952" s="359">
        <f>'DRE + DCF'!$W$31</f>
        <v>2791623.3540418856</v>
      </c>
      <c r="H1952" s="359">
        <f>'DRE + DCF'!$W$32</f>
        <v>81081.931703745853</v>
      </c>
      <c r="I1952" s="359">
        <f>-H1952*('DRE + DCF'!$V$33+K1952)/'DRE + DCF'!$V$33</f>
        <v>-90858.801614444121</v>
      </c>
      <c r="J1952" s="359">
        <f>-'DRE + DCF'!$V$56*L1952</f>
        <v>-1188924.4255577971</v>
      </c>
      <c r="K1952" s="360">
        <f>(1+L1952)/(1+Ke!$O$12)-1</f>
        <v>2.0000000000000018E-2</v>
      </c>
      <c r="L1952" s="360">
        <f>'DRE + DCF'!$Y$31</f>
        <v>7.3550000000000004E-2</v>
      </c>
      <c r="M1952" s="361">
        <f>(1+D1952)^((5-Dashboard!$F$9)*3/12)</f>
        <v>1.1948863392907587</v>
      </c>
      <c r="N1952" s="361">
        <f t="shared" ref="N1952:V1952" si="2001">M1952*(1+$D1952)</f>
        <v>1.5150561339037005</v>
      </c>
      <c r="O1952" s="361">
        <f t="shared" si="2001"/>
        <v>1.9210154249831755</v>
      </c>
      <c r="P1952" s="361">
        <f t="shared" si="2001"/>
        <v>2.4357515081073897</v>
      </c>
      <c r="Q1952" s="361">
        <f t="shared" si="2001"/>
        <v>3.0884111247047299</v>
      </c>
      <c r="R1952" s="361">
        <f t="shared" si="2001"/>
        <v>3.9159508855693179</v>
      </c>
      <c r="S1952" s="361">
        <f t="shared" si="2001"/>
        <v>4.9652299253575602</v>
      </c>
      <c r="T1952" s="361">
        <f t="shared" si="2001"/>
        <v>6.2956632838570474</v>
      </c>
      <c r="U1952" s="361">
        <f t="shared" si="2001"/>
        <v>7.9825862607664533</v>
      </c>
      <c r="V1952" s="362">
        <f t="shared" si="2001"/>
        <v>10.12152024933871</v>
      </c>
      <c r="X1952" s="351"/>
    </row>
    <row r="1953" spans="3:24" ht="24.75" customHeight="1" x14ac:dyDescent="0.3">
      <c r="C1953" s="353">
        <f>ABS(E1953-Dashboard!$F$14)</f>
        <v>32.925454792485908</v>
      </c>
      <c r="D1953" s="350">
        <f t="shared" si="1983"/>
        <v>0.26804999999998574</v>
      </c>
      <c r="E1953" s="359" cm="1">
        <f t="array" ref="E1953">1000*SUM('DRE + DCF'!$L$36/M1953,'DRE + DCF'!$N$36:$V$36/N1953:V1953,F1953/V1953)/Dashboard!$F$11</f>
        <v>64.064545207514087</v>
      </c>
      <c r="F1953" s="359">
        <f t="shared" si="1981"/>
        <v>9986372.8767433912</v>
      </c>
      <c r="G1953" s="359">
        <f>'DRE + DCF'!$W$31</f>
        <v>2791623.3540418856</v>
      </c>
      <c r="H1953" s="359">
        <f>'DRE + DCF'!$W$32</f>
        <v>81081.931703745853</v>
      </c>
      <c r="I1953" s="359">
        <f>-H1953*('DRE + DCF'!$V$33+K1953)/'DRE + DCF'!$V$33</f>
        <v>-90858.801614444121</v>
      </c>
      <c r="J1953" s="359">
        <f>-'DRE + DCF'!$V$56*L1953</f>
        <v>-1188924.4255577971</v>
      </c>
      <c r="K1953" s="360">
        <f>(1+L1953)/(1+Ke!$O$12)-1</f>
        <v>2.0000000000000018E-2</v>
      </c>
      <c r="L1953" s="360">
        <f>'DRE + DCF'!$Y$31</f>
        <v>7.3550000000000004E-2</v>
      </c>
      <c r="M1953" s="361">
        <f>(1+D1953)^((5-Dashboard!$F$9)*3/12)</f>
        <v>1.1949570168348242</v>
      </c>
      <c r="N1953" s="361">
        <f t="shared" ref="N1953:V1953" si="2002">M1953*(1+$D1953)</f>
        <v>1.5152652451973818</v>
      </c>
      <c r="O1953" s="361">
        <f t="shared" si="2002"/>
        <v>1.9214320941725183</v>
      </c>
      <c r="P1953" s="361">
        <f t="shared" si="2002"/>
        <v>2.4364719670154344</v>
      </c>
      <c r="Q1953" s="361">
        <f t="shared" si="2002"/>
        <v>3.0895682777738869</v>
      </c>
      <c r="R1953" s="361">
        <f t="shared" si="2002"/>
        <v>3.9177270546311331</v>
      </c>
      <c r="S1953" s="361">
        <f t="shared" si="2002"/>
        <v>4.9678737916249522</v>
      </c>
      <c r="T1953" s="361">
        <f t="shared" si="2002"/>
        <v>6.29951236146995</v>
      </c>
      <c r="U1953" s="361">
        <f t="shared" si="2002"/>
        <v>7.9880966499618795</v>
      </c>
      <c r="V1953" s="362">
        <f t="shared" si="2002"/>
        <v>10.129305956984046</v>
      </c>
      <c r="X1953" s="351"/>
    </row>
    <row r="1954" spans="3:24" ht="24.75" customHeight="1" x14ac:dyDescent="0.3">
      <c r="C1954" s="353">
        <f>ABS(E1954-Dashboard!$F$14)</f>
        <v>32.963358434470067</v>
      </c>
      <c r="D1954" s="350">
        <f t="shared" si="1983"/>
        <v>0.26814999999998573</v>
      </c>
      <c r="E1954" s="359" cm="1">
        <f t="array" ref="E1954">1000*SUM('DRE + DCF'!$L$36/M1954,'DRE + DCF'!$N$36:$V$36/N1954:V1954,F1954/V1954)/Dashboard!$F$11</f>
        <v>64.026641565529928</v>
      </c>
      <c r="F1954" s="359">
        <f t="shared" si="1981"/>
        <v>9982029.077191921</v>
      </c>
      <c r="G1954" s="359">
        <f>'DRE + DCF'!$W$31</f>
        <v>2791623.3540418856</v>
      </c>
      <c r="H1954" s="359">
        <f>'DRE + DCF'!$W$32</f>
        <v>81081.931703745853</v>
      </c>
      <c r="I1954" s="359">
        <f>-H1954*('DRE + DCF'!$V$33+K1954)/'DRE + DCF'!$V$33</f>
        <v>-90858.801614444121</v>
      </c>
      <c r="J1954" s="359">
        <f>-'DRE + DCF'!$V$56*L1954</f>
        <v>-1188924.4255577971</v>
      </c>
      <c r="K1954" s="360">
        <f>(1+L1954)/(1+Ke!$O$12)-1</f>
        <v>2.0000000000000018E-2</v>
      </c>
      <c r="L1954" s="360">
        <f>'DRE + DCF'!$Y$31</f>
        <v>7.3550000000000004E-2</v>
      </c>
      <c r="M1954" s="361">
        <f>(1+D1954)^((5-Dashboard!$F$9)*3/12)</f>
        <v>1.1950276929854737</v>
      </c>
      <c r="N1954" s="361">
        <f t="shared" ref="N1954:V1954" si="2003">M1954*(1+$D1954)</f>
        <v>1.5154743688595114</v>
      </c>
      <c r="O1954" s="361">
        <f t="shared" si="2003"/>
        <v>1.9218488208691675</v>
      </c>
      <c r="P1954" s="361">
        <f t="shared" si="2003"/>
        <v>2.4371925821852072</v>
      </c>
      <c r="Q1954" s="361">
        <f t="shared" si="2003"/>
        <v>3.0907257730981357</v>
      </c>
      <c r="R1954" s="361">
        <f t="shared" si="2003"/>
        <v>3.9195038891543565</v>
      </c>
      <c r="S1954" s="361">
        <f t="shared" si="2003"/>
        <v>4.970518857031041</v>
      </c>
      <c r="T1954" s="361">
        <f t="shared" si="2003"/>
        <v>6.3033634885438437</v>
      </c>
      <c r="U1954" s="361">
        <f t="shared" si="2003"/>
        <v>7.9936104079967851</v>
      </c>
      <c r="V1954" s="362">
        <f t="shared" si="2003"/>
        <v>10.137097038901009</v>
      </c>
      <c r="X1954" s="351"/>
    </row>
    <row r="1955" spans="3:24" ht="24.75" customHeight="1" x14ac:dyDescent="0.3">
      <c r="C1955" s="353">
        <f>ABS(E1955-Dashboard!$F$14)</f>
        <v>33.001222621073978</v>
      </c>
      <c r="D1955" s="350">
        <f t="shared" si="1983"/>
        <v>0.26824999999998572</v>
      </c>
      <c r="E1955" s="359" cm="1">
        <f t="array" ref="E1955">1000*SUM('DRE + DCF'!$L$36/M1955,'DRE + DCF'!$N$36:$V$36/N1955:V1955,F1955/V1955)/Dashboard!$F$11</f>
        <v>63.988777378926017</v>
      </c>
      <c r="F1955" s="359">
        <f t="shared" si="1981"/>
        <v>9977689.1525160223</v>
      </c>
      <c r="G1955" s="359">
        <f>'DRE + DCF'!$W$31</f>
        <v>2791623.3540418856</v>
      </c>
      <c r="H1955" s="359">
        <f>'DRE + DCF'!$W$32</f>
        <v>81081.931703745853</v>
      </c>
      <c r="I1955" s="359">
        <f>-H1955*('DRE + DCF'!$V$33+K1955)/'DRE + DCF'!$V$33</f>
        <v>-90858.801614444121</v>
      </c>
      <c r="J1955" s="359">
        <f>-'DRE + DCF'!$V$56*L1955</f>
        <v>-1188924.4255577971</v>
      </c>
      <c r="K1955" s="360">
        <f>(1+L1955)/(1+Ke!$O$12)-1</f>
        <v>2.0000000000000018E-2</v>
      </c>
      <c r="L1955" s="360">
        <f>'DRE + DCF'!$Y$31</f>
        <v>7.3550000000000004E-2</v>
      </c>
      <c r="M1955" s="361">
        <f>(1+D1955)^((5-Dashboard!$F$9)*3/12)</f>
        <v>1.1950983677428446</v>
      </c>
      <c r="N1955" s="361">
        <f t="shared" ref="N1955:V1955" si="2004">M1955*(1+$D1955)</f>
        <v>1.5156835048898456</v>
      </c>
      <c r="O1955" s="361">
        <f t="shared" si="2004"/>
        <v>1.922265605076525</v>
      </c>
      <c r="P1955" s="361">
        <f t="shared" si="2004"/>
        <v>2.4379133536382751</v>
      </c>
      <c r="Q1955" s="361">
        <f t="shared" si="2004"/>
        <v>3.0918836107517076</v>
      </c>
      <c r="R1955" s="361">
        <f t="shared" si="2004"/>
        <v>3.9212813893358089</v>
      </c>
      <c r="S1955" s="361">
        <f t="shared" si="2004"/>
        <v>4.9731651220250832</v>
      </c>
      <c r="T1955" s="361">
        <f t="shared" si="2004"/>
        <v>6.3072166660082409</v>
      </c>
      <c r="U1955" s="361">
        <f t="shared" si="2004"/>
        <v>7.9991275366648615</v>
      </c>
      <c r="V1955" s="362">
        <f t="shared" si="2004"/>
        <v>10.144893498375096</v>
      </c>
      <c r="X1955" s="351"/>
    </row>
    <row r="1956" spans="3:24" ht="24.75" customHeight="1" x14ac:dyDescent="0.3">
      <c r="C1956" s="353">
        <f>ABS(E1956-Dashboard!$F$14)</f>
        <v>33.039047409562919</v>
      </c>
      <c r="D1956" s="350">
        <f t="shared" si="1983"/>
        <v>0.26834999999998571</v>
      </c>
      <c r="E1956" s="359" cm="1">
        <f t="array" ref="E1956">1000*SUM('DRE + DCF'!$L$36/M1956,'DRE + DCF'!$N$36:$V$36/N1956:V1956,F1956/V1956)/Dashboard!$F$11</f>
        <v>63.950952590437076</v>
      </c>
      <c r="F1956" s="359">
        <f t="shared" si="1981"/>
        <v>9973353.0974043123</v>
      </c>
      <c r="G1956" s="359">
        <f>'DRE + DCF'!$W$31</f>
        <v>2791623.3540418856</v>
      </c>
      <c r="H1956" s="359">
        <f>'DRE + DCF'!$W$32</f>
        <v>81081.931703745853</v>
      </c>
      <c r="I1956" s="359">
        <f>-H1956*('DRE + DCF'!$V$33+K1956)/'DRE + DCF'!$V$33</f>
        <v>-90858.801614444121</v>
      </c>
      <c r="J1956" s="359">
        <f>-'DRE + DCF'!$V$56*L1956</f>
        <v>-1188924.4255577971</v>
      </c>
      <c r="K1956" s="360">
        <f>(1+L1956)/(1+Ke!$O$12)-1</f>
        <v>2.0000000000000018E-2</v>
      </c>
      <c r="L1956" s="360">
        <f>'DRE + DCF'!$Y$31</f>
        <v>7.3550000000000004E-2</v>
      </c>
      <c r="M1956" s="361">
        <f>(1+D1956)^((5-Dashboard!$F$9)*3/12)</f>
        <v>1.1951690411070739</v>
      </c>
      <c r="N1956" s="361">
        <f t="shared" ref="N1956:V1956" si="2005">M1956*(1+$D1956)</f>
        <v>1.51589265328814</v>
      </c>
      <c r="O1956" s="361">
        <f t="shared" si="2005"/>
        <v>1.9226824467979906</v>
      </c>
      <c r="P1956" s="361">
        <f t="shared" si="2005"/>
        <v>2.4386342813962036</v>
      </c>
      <c r="Q1956" s="361">
        <f t="shared" si="2005"/>
        <v>3.0930417908088401</v>
      </c>
      <c r="R1956" s="361">
        <f t="shared" si="2005"/>
        <v>3.923059555372348</v>
      </c>
      <c r="S1956" s="361">
        <f t="shared" si="2005"/>
        <v>4.9758125870564616</v>
      </c>
      <c r="T1956" s="361">
        <f t="shared" si="2005"/>
        <v>6.3110718947929918</v>
      </c>
      <c r="U1956" s="361">
        <f t="shared" si="2005"/>
        <v>8.0046480377606013</v>
      </c>
      <c r="V1956" s="362">
        <f t="shared" si="2005"/>
        <v>10.152695338693544</v>
      </c>
      <c r="X1956" s="351"/>
    </row>
    <row r="1957" spans="3:24" ht="24.75" customHeight="1" x14ac:dyDescent="0.3">
      <c r="C1957" s="353">
        <f>ABS(E1957-Dashboard!$F$14)</f>
        <v>33.076832857094828</v>
      </c>
      <c r="D1957" s="350">
        <f t="shared" si="1983"/>
        <v>0.2684499999999857</v>
      </c>
      <c r="E1957" s="359" cm="1">
        <f t="array" ref="E1957">1000*SUM('DRE + DCF'!$L$36/M1957,'DRE + DCF'!$N$36:$V$36/N1957:V1957,F1957/V1957)/Dashboard!$F$11</f>
        <v>63.913167142905166</v>
      </c>
      <c r="F1957" s="359">
        <f t="shared" si="1981"/>
        <v>9969020.9065553248</v>
      </c>
      <c r="G1957" s="359">
        <f>'DRE + DCF'!$W$31</f>
        <v>2791623.3540418856</v>
      </c>
      <c r="H1957" s="359">
        <f>'DRE + DCF'!$W$32</f>
        <v>81081.931703745853</v>
      </c>
      <c r="I1957" s="359">
        <f>-H1957*('DRE + DCF'!$V$33+K1957)/'DRE + DCF'!$V$33</f>
        <v>-90858.801614444121</v>
      </c>
      <c r="J1957" s="359">
        <f>-'DRE + DCF'!$V$56*L1957</f>
        <v>-1188924.4255577971</v>
      </c>
      <c r="K1957" s="360">
        <f>(1+L1957)/(1+Ke!$O$12)-1</f>
        <v>2.0000000000000018E-2</v>
      </c>
      <c r="L1957" s="360">
        <f>'DRE + DCF'!$Y$31</f>
        <v>7.3550000000000004E-2</v>
      </c>
      <c r="M1957" s="361">
        <f>(1+D1957)^((5-Dashboard!$F$9)*3/12)</f>
        <v>1.1952397130782992</v>
      </c>
      <c r="N1957" s="361">
        <f t="shared" ref="N1957:V1957" si="2006">M1957*(1+$D1957)</f>
        <v>1.5161018140541516</v>
      </c>
      <c r="O1957" s="361">
        <f t="shared" si="2006"/>
        <v>1.9230993460369668</v>
      </c>
      <c r="P1957" s="361">
        <f t="shared" si="2006"/>
        <v>2.4393553654805631</v>
      </c>
      <c r="Q1957" s="361">
        <f t="shared" si="2006"/>
        <v>3.0942003133437854</v>
      </c>
      <c r="R1957" s="361">
        <f t="shared" si="2006"/>
        <v>3.9248383874608801</v>
      </c>
      <c r="S1957" s="361">
        <f t="shared" si="2006"/>
        <v>4.9784612525746974</v>
      </c>
      <c r="T1957" s="361">
        <f t="shared" si="2006"/>
        <v>6.3149291758283033</v>
      </c>
      <c r="U1957" s="361">
        <f t="shared" si="2006"/>
        <v>8.0101719130793203</v>
      </c>
      <c r="V1957" s="362">
        <f t="shared" si="2006"/>
        <v>10.160502563145348</v>
      </c>
      <c r="X1957" s="351"/>
    </row>
    <row r="1958" spans="3:24" ht="24.75" customHeight="1" x14ac:dyDescent="0.3">
      <c r="C1958" s="353">
        <f>ABS(E1958-Dashboard!$F$14)</f>
        <v>33.114579020720477</v>
      </c>
      <c r="D1958" s="350">
        <f t="shared" si="1983"/>
        <v>0.26854999999998569</v>
      </c>
      <c r="E1958" s="359" cm="1">
        <f t="array" ref="E1958">1000*SUM('DRE + DCF'!$L$36/M1958,'DRE + DCF'!$N$36:$V$36/N1958:V1958,F1958/V1958)/Dashboard!$F$11</f>
        <v>63.875420979279518</v>
      </c>
      <c r="F1958" s="359">
        <f t="shared" si="1981"/>
        <v>9964692.5746775102</v>
      </c>
      <c r="G1958" s="359">
        <f>'DRE + DCF'!$W$31</f>
        <v>2791623.3540418856</v>
      </c>
      <c r="H1958" s="359">
        <f>'DRE + DCF'!$W$32</f>
        <v>81081.931703745853</v>
      </c>
      <c r="I1958" s="359">
        <f>-H1958*('DRE + DCF'!$V$33+K1958)/'DRE + DCF'!$V$33</f>
        <v>-90858.801614444121</v>
      </c>
      <c r="J1958" s="359">
        <f>-'DRE + DCF'!$V$56*L1958</f>
        <v>-1188924.4255577971</v>
      </c>
      <c r="K1958" s="360">
        <f>(1+L1958)/(1+Ke!$O$12)-1</f>
        <v>2.0000000000000018E-2</v>
      </c>
      <c r="L1958" s="360">
        <f>'DRE + DCF'!$Y$31</f>
        <v>7.3550000000000004E-2</v>
      </c>
      <c r="M1958" s="361">
        <f>(1+D1958)^((5-Dashboard!$F$9)*3/12)</f>
        <v>1.1953103836566579</v>
      </c>
      <c r="N1958" s="361">
        <f t="shared" ref="N1958:V1958" si="2007">M1958*(1+$D1958)</f>
        <v>1.5163109871876361</v>
      </c>
      <c r="O1958" s="361">
        <f t="shared" si="2007"/>
        <v>1.923516302796854</v>
      </c>
      <c r="P1958" s="361">
        <f t="shared" si="2007"/>
        <v>2.4400766059129215</v>
      </c>
      <c r="Q1958" s="361">
        <f t="shared" si="2007"/>
        <v>3.0953591784308014</v>
      </c>
      <c r="R1958" s="361">
        <f t="shared" si="2007"/>
        <v>3.9266178857983487</v>
      </c>
      <c r="S1958" s="361">
        <f t="shared" si="2007"/>
        <v>4.981111119029439</v>
      </c>
      <c r="T1958" s="361">
        <f t="shared" si="2007"/>
        <v>6.3187885100447234</v>
      </c>
      <c r="U1958" s="361">
        <f t="shared" si="2007"/>
        <v>8.0156991644171427</v>
      </c>
      <c r="V1958" s="362">
        <f t="shared" si="2007"/>
        <v>10.168315175021251</v>
      </c>
      <c r="X1958" s="351"/>
    </row>
    <row r="1959" spans="3:24" ht="24.75" customHeight="1" x14ac:dyDescent="0.3">
      <c r="C1959" s="353">
        <f>ABS(E1959-Dashboard!$F$14)</f>
        <v>33.152285957383874</v>
      </c>
      <c r="D1959" s="350">
        <f t="shared" si="1983"/>
        <v>0.26864999999998568</v>
      </c>
      <c r="E1959" s="359" cm="1">
        <f t="array" ref="E1959">1000*SUM('DRE + DCF'!$L$36/M1959,'DRE + DCF'!$N$36:$V$36/N1959:V1959,F1959/V1959)/Dashboard!$F$11</f>
        <v>63.83771404261612</v>
      </c>
      <c r="F1959" s="359">
        <f t="shared" si="1981"/>
        <v>9960368.0964891762</v>
      </c>
      <c r="G1959" s="359">
        <f>'DRE + DCF'!$W$31</f>
        <v>2791623.3540418856</v>
      </c>
      <c r="H1959" s="359">
        <f>'DRE + DCF'!$W$32</f>
        <v>81081.931703745853</v>
      </c>
      <c r="I1959" s="359">
        <f>-H1959*('DRE + DCF'!$V$33+K1959)/'DRE + DCF'!$V$33</f>
        <v>-90858.801614444121</v>
      </c>
      <c r="J1959" s="359">
        <f>-'DRE + DCF'!$V$56*L1959</f>
        <v>-1188924.4255577971</v>
      </c>
      <c r="K1959" s="360">
        <f>(1+L1959)/(1+Ke!$O$12)-1</f>
        <v>2.0000000000000018E-2</v>
      </c>
      <c r="L1959" s="360">
        <f>'DRE + DCF'!$Y$31</f>
        <v>7.3550000000000004E-2</v>
      </c>
      <c r="M1959" s="361">
        <f>(1+D1959)^((5-Dashboard!$F$9)*3/12)</f>
        <v>1.195381052842287</v>
      </c>
      <c r="N1959" s="361">
        <f t="shared" ref="N1959:V1959" si="2008">M1959*(1+$D1959)</f>
        <v>1.5165201726883502</v>
      </c>
      <c r="O1959" s="361">
        <f t="shared" si="2008"/>
        <v>1.9239333170810535</v>
      </c>
      <c r="P1959" s="361">
        <f t="shared" si="2008"/>
        <v>2.440798002714851</v>
      </c>
      <c r="Q1959" s="361">
        <f t="shared" si="2008"/>
        <v>3.0965183861441608</v>
      </c>
      <c r="R1959" s="361">
        <f t="shared" si="2008"/>
        <v>3.9283980505817451</v>
      </c>
      <c r="S1959" s="361">
        <f t="shared" si="2008"/>
        <v>4.9837621868704742</v>
      </c>
      <c r="T1959" s="361">
        <f t="shared" si="2008"/>
        <v>6.3226498983731556</v>
      </c>
      <c r="U1959" s="361">
        <f t="shared" si="2008"/>
        <v>8.0212297935710133</v>
      </c>
      <c r="V1959" s="362">
        <f t="shared" si="2008"/>
        <v>10.176133177613751</v>
      </c>
      <c r="X1959" s="351"/>
    </row>
    <row r="1960" spans="3:24" ht="24.75" customHeight="1" x14ac:dyDescent="0.3">
      <c r="C1960" s="353">
        <f>ABS(E1960-Dashboard!$F$14)</f>
        <v>33.189953723922308</v>
      </c>
      <c r="D1960" s="350">
        <f t="shared" si="1983"/>
        <v>0.26874999999998567</v>
      </c>
      <c r="E1960" s="359" cm="1">
        <f t="array" ref="E1960">1000*SUM('DRE + DCF'!$L$36/M1960,'DRE + DCF'!$N$36:$V$36/N1960:V1960,F1960/V1960)/Dashboard!$F$11</f>
        <v>63.800046276077687</v>
      </c>
      <c r="F1960" s="359">
        <f t="shared" si="1981"/>
        <v>9956047.466718493</v>
      </c>
      <c r="G1960" s="359">
        <f>'DRE + DCF'!$W$31</f>
        <v>2791623.3540418856</v>
      </c>
      <c r="H1960" s="359">
        <f>'DRE + DCF'!$W$32</f>
        <v>81081.931703745853</v>
      </c>
      <c r="I1960" s="359">
        <f>-H1960*('DRE + DCF'!$V$33+K1960)/'DRE + DCF'!$V$33</f>
        <v>-90858.801614444121</v>
      </c>
      <c r="J1960" s="359">
        <f>-'DRE + DCF'!$V$56*L1960</f>
        <v>-1188924.4255577971</v>
      </c>
      <c r="K1960" s="360">
        <f>(1+L1960)/(1+Ke!$O$12)-1</f>
        <v>2.0000000000000018E-2</v>
      </c>
      <c r="L1960" s="360">
        <f>'DRE + DCF'!$Y$31</f>
        <v>7.3550000000000004E-2</v>
      </c>
      <c r="M1960" s="361">
        <f>(1+D1960)^((5-Dashboard!$F$9)*3/12)</f>
        <v>1.1954517206353237</v>
      </c>
      <c r="N1960" s="361">
        <f t="shared" ref="N1960:V1960" si="2009">M1960*(1+$D1960)</f>
        <v>1.5167293705560496</v>
      </c>
      <c r="O1960" s="361">
        <f t="shared" si="2009"/>
        <v>1.9243503888929661</v>
      </c>
      <c r="P1960" s="361">
        <f t="shared" si="2009"/>
        <v>2.4415195559079228</v>
      </c>
      <c r="Q1960" s="361">
        <f t="shared" si="2009"/>
        <v>3.0976779365581417</v>
      </c>
      <c r="R1960" s="361">
        <f t="shared" si="2009"/>
        <v>3.9301788820080978</v>
      </c>
      <c r="S1960" s="361">
        <f t="shared" si="2009"/>
        <v>4.9864144565477178</v>
      </c>
      <c r="T1960" s="361">
        <f t="shared" si="2009"/>
        <v>6.3265133417448451</v>
      </c>
      <c r="U1960" s="361">
        <f t="shared" si="2009"/>
        <v>8.0267638023386816</v>
      </c>
      <c r="V1960" s="362">
        <f t="shared" si="2009"/>
        <v>10.183956574217087</v>
      </c>
      <c r="X1960" s="351"/>
    </row>
    <row r="1961" spans="3:24" ht="24.75" customHeight="1" x14ac:dyDescent="0.3">
      <c r="C1961" s="353">
        <f>ABS(E1961-Dashboard!$F$14)</f>
        <v>33.227582377066824</v>
      </c>
      <c r="D1961" s="350">
        <f t="shared" si="1983"/>
        <v>0.26884999999998566</v>
      </c>
      <c r="E1961" s="359" cm="1">
        <f t="array" ref="E1961">1000*SUM('DRE + DCF'!$L$36/M1961,'DRE + DCF'!$N$36:$V$36/N1961:V1961,F1961/V1961)/Dashboard!$F$11</f>
        <v>63.762417622933171</v>
      </c>
      <c r="F1961" s="359">
        <f t="shared" si="1981"/>
        <v>9951730.6801034641</v>
      </c>
      <c r="G1961" s="359">
        <f>'DRE + DCF'!$W$31</f>
        <v>2791623.3540418856</v>
      </c>
      <c r="H1961" s="359">
        <f>'DRE + DCF'!$W$32</f>
        <v>81081.931703745853</v>
      </c>
      <c r="I1961" s="359">
        <f>-H1961*('DRE + DCF'!$V$33+K1961)/'DRE + DCF'!$V$33</f>
        <v>-90858.801614444121</v>
      </c>
      <c r="J1961" s="359">
        <f>-'DRE + DCF'!$V$56*L1961</f>
        <v>-1188924.4255577971</v>
      </c>
      <c r="K1961" s="360">
        <f>(1+L1961)/(1+Ke!$O$12)-1</f>
        <v>2.0000000000000018E-2</v>
      </c>
      <c r="L1961" s="360">
        <f>'DRE + DCF'!$Y$31</f>
        <v>7.3550000000000004E-2</v>
      </c>
      <c r="M1961" s="361">
        <f>(1+D1961)^((5-Dashboard!$F$9)*3/12)</f>
        <v>1.1955223870359053</v>
      </c>
      <c r="N1961" s="361">
        <f t="shared" ref="N1961:V1961" si="2010">M1961*(1+$D1961)</f>
        <v>1.5169385807904912</v>
      </c>
      <c r="O1961" s="361">
        <f t="shared" si="2010"/>
        <v>1.9247675182359929</v>
      </c>
      <c r="P1961" s="361">
        <f t="shared" si="2010"/>
        <v>2.442241265513712</v>
      </c>
      <c r="Q1961" s="361">
        <f t="shared" si="2010"/>
        <v>3.0988378297470383</v>
      </c>
      <c r="R1961" s="361">
        <f t="shared" si="2010"/>
        <v>3.9319603802744849</v>
      </c>
      <c r="S1961" s="361">
        <f t="shared" si="2010"/>
        <v>4.9890679285112238</v>
      </c>
      <c r="T1961" s="361">
        <f t="shared" si="2010"/>
        <v>6.3303788410913944</v>
      </c>
      <c r="U1961" s="361">
        <f t="shared" si="2010"/>
        <v>8.0323011925187249</v>
      </c>
      <c r="V1961" s="362">
        <f t="shared" si="2010"/>
        <v>10.191785368127269</v>
      </c>
      <c r="X1961" s="351"/>
    </row>
    <row r="1962" spans="3:24" ht="24.75" customHeight="1" x14ac:dyDescent="0.3">
      <c r="C1962" s="353">
        <f>ABS(E1962-Dashboard!$F$14)</f>
        <v>33.265171973442243</v>
      </c>
      <c r="D1962" s="350">
        <f t="shared" si="1983"/>
        <v>0.26894999999998564</v>
      </c>
      <c r="E1962" s="359" cm="1">
        <f t="array" ref="E1962">1000*SUM('DRE + DCF'!$L$36/M1962,'DRE + DCF'!$N$36:$V$36/N1962:V1962,F1962/V1962)/Dashboard!$F$11</f>
        <v>63.724828026557752</v>
      </c>
      <c r="F1962" s="359">
        <f t="shared" si="1981"/>
        <v>9947417.7313918881</v>
      </c>
      <c r="G1962" s="359">
        <f>'DRE + DCF'!$W$31</f>
        <v>2791623.3540418856</v>
      </c>
      <c r="H1962" s="359">
        <f>'DRE + DCF'!$W$32</f>
        <v>81081.931703745853</v>
      </c>
      <c r="I1962" s="359">
        <f>-H1962*('DRE + DCF'!$V$33+K1962)/'DRE + DCF'!$V$33</f>
        <v>-90858.801614444121</v>
      </c>
      <c r="J1962" s="359">
        <f>-'DRE + DCF'!$V$56*L1962</f>
        <v>-1188924.4255577971</v>
      </c>
      <c r="K1962" s="360">
        <f>(1+L1962)/(1+Ke!$O$12)-1</f>
        <v>2.0000000000000018E-2</v>
      </c>
      <c r="L1962" s="360">
        <f>'DRE + DCF'!$Y$31</f>
        <v>7.3550000000000004E-2</v>
      </c>
      <c r="M1962" s="361">
        <f>(1+D1962)^((5-Dashboard!$F$9)*3/12)</f>
        <v>1.1955930520441691</v>
      </c>
      <c r="N1962" s="361">
        <f t="shared" ref="N1962:V1962" si="2011">M1962*(1+$D1962)</f>
        <v>1.5171478033914312</v>
      </c>
      <c r="O1962" s="361">
        <f t="shared" si="2011"/>
        <v>1.9251847051135347</v>
      </c>
      <c r="P1962" s="361">
        <f t="shared" si="2011"/>
        <v>2.4429631315537921</v>
      </c>
      <c r="Q1962" s="361">
        <f t="shared" si="2011"/>
        <v>3.0999980657851491</v>
      </c>
      <c r="R1962" s="361">
        <f t="shared" si="2011"/>
        <v>3.9337425455780202</v>
      </c>
      <c r="S1962" s="361">
        <f t="shared" si="2011"/>
        <v>4.9917226032111719</v>
      </c>
      <c r="T1962" s="361">
        <f t="shared" si="2011"/>
        <v>6.3342463973447449</v>
      </c>
      <c r="U1962" s="361">
        <f t="shared" si="2011"/>
        <v>8.0378419659105234</v>
      </c>
      <c r="V1962" s="362">
        <f t="shared" si="2011"/>
        <v>10.199619562642043</v>
      </c>
      <c r="X1962" s="351"/>
    </row>
    <row r="1963" spans="3:24" ht="24.75" customHeight="1" x14ac:dyDescent="0.3">
      <c r="C1963" s="353">
        <f>ABS(E1963-Dashboard!$F$14)</f>
        <v>33.302722569567585</v>
      </c>
      <c r="D1963" s="350">
        <f t="shared" si="1983"/>
        <v>0.26904999999998563</v>
      </c>
      <c r="E1963" s="359" cm="1">
        <f t="array" ref="E1963">1000*SUM('DRE + DCF'!$L$36/M1963,'DRE + DCF'!$N$36:$V$36/N1963:V1963,F1963/V1963)/Dashboard!$F$11</f>
        <v>63.68727743043241</v>
      </c>
      <c r="F1963" s="359">
        <f t="shared" si="1981"/>
        <v>9943108.6153413579</v>
      </c>
      <c r="G1963" s="359">
        <f>'DRE + DCF'!$W$31</f>
        <v>2791623.3540418856</v>
      </c>
      <c r="H1963" s="359">
        <f>'DRE + DCF'!$W$32</f>
        <v>81081.931703745853</v>
      </c>
      <c r="I1963" s="359">
        <f>-H1963*('DRE + DCF'!$V$33+K1963)/'DRE + DCF'!$V$33</f>
        <v>-90858.801614444121</v>
      </c>
      <c r="J1963" s="359">
        <f>-'DRE + DCF'!$V$56*L1963</f>
        <v>-1188924.4255577971</v>
      </c>
      <c r="K1963" s="360">
        <f>(1+L1963)/(1+Ke!$O$12)-1</f>
        <v>2.0000000000000018E-2</v>
      </c>
      <c r="L1963" s="360">
        <f>'DRE + DCF'!$Y$31</f>
        <v>7.3550000000000004E-2</v>
      </c>
      <c r="M1963" s="361">
        <f>(1+D1963)^((5-Dashboard!$F$9)*3/12)</f>
        <v>1.1956637156602519</v>
      </c>
      <c r="N1963" s="361">
        <f t="shared" ref="N1963:V1963" si="2012">M1963*(1+$D1963)</f>
        <v>1.5173570383586255</v>
      </c>
      <c r="O1963" s="361">
        <f t="shared" si="2012"/>
        <v>1.9256019495289918</v>
      </c>
      <c r="P1963" s="361">
        <f t="shared" si="2012"/>
        <v>2.4436851540497391</v>
      </c>
      <c r="Q1963" s="361">
        <f t="shared" si="2012"/>
        <v>3.101158644746786</v>
      </c>
      <c r="R1963" s="361">
        <f t="shared" si="2012"/>
        <v>3.9355253781158641</v>
      </c>
      <c r="S1963" s="361">
        <f t="shared" si="2012"/>
        <v>4.9943784810978809</v>
      </c>
      <c r="T1963" s="361">
        <f t="shared" si="2012"/>
        <v>6.3381160114371937</v>
      </c>
      <c r="U1963" s="361">
        <f t="shared" si="2012"/>
        <v>8.0433861243142797</v>
      </c>
      <c r="V1963" s="362">
        <f t="shared" si="2012"/>
        <v>10.207459161060921</v>
      </c>
      <c r="X1963" s="351"/>
    </row>
    <row r="1964" spans="3:24" ht="24.75" customHeight="1" x14ac:dyDescent="0.3">
      <c r="C1964" s="353">
        <f>ABS(E1964-Dashboard!$F$14)</f>
        <v>33.340234221856242</v>
      </c>
      <c r="D1964" s="350">
        <f t="shared" si="1983"/>
        <v>0.26914999999998562</v>
      </c>
      <c r="E1964" s="359" cm="1">
        <f t="array" ref="E1964">1000*SUM('DRE + DCF'!$L$36/M1964,'DRE + DCF'!$N$36:$V$36/N1964:V1964,F1964/V1964)/Dashboard!$F$11</f>
        <v>63.649765778143752</v>
      </c>
      <c r="F1964" s="359">
        <f t="shared" si="1981"/>
        <v>9938803.326719217</v>
      </c>
      <c r="G1964" s="359">
        <f>'DRE + DCF'!$W$31</f>
        <v>2791623.3540418856</v>
      </c>
      <c r="H1964" s="359">
        <f>'DRE + DCF'!$W$32</f>
        <v>81081.931703745853</v>
      </c>
      <c r="I1964" s="359">
        <f>-H1964*('DRE + DCF'!$V$33+K1964)/'DRE + DCF'!$V$33</f>
        <v>-90858.801614444121</v>
      </c>
      <c r="J1964" s="359">
        <f>-'DRE + DCF'!$V$56*L1964</f>
        <v>-1188924.4255577971</v>
      </c>
      <c r="K1964" s="360">
        <f>(1+L1964)/(1+Ke!$O$12)-1</f>
        <v>2.0000000000000018E-2</v>
      </c>
      <c r="L1964" s="360">
        <f>'DRE + DCF'!$Y$31</f>
        <v>7.3550000000000004E-2</v>
      </c>
      <c r="M1964" s="361">
        <f>(1+D1964)^((5-Dashboard!$F$9)*3/12)</f>
        <v>1.195734377884291</v>
      </c>
      <c r="N1964" s="361">
        <f t="shared" ref="N1964:V1964" si="2013">M1964*(1+$D1964)</f>
        <v>1.5175662856918308</v>
      </c>
      <c r="O1964" s="361">
        <f t="shared" si="2013"/>
        <v>1.9260192514857652</v>
      </c>
      <c r="P1964" s="361">
        <f t="shared" si="2013"/>
        <v>2.4444073330231313</v>
      </c>
      <c r="Q1964" s="361">
        <f t="shared" si="2013"/>
        <v>3.1023195667062717</v>
      </c>
      <c r="R1964" s="361">
        <f t="shared" si="2013"/>
        <v>3.9373088780852199</v>
      </c>
      <c r="S1964" s="361">
        <f t="shared" si="2013"/>
        <v>4.9970355626218002</v>
      </c>
      <c r="T1964" s="361">
        <f t="shared" si="2013"/>
        <v>6.3419876843013858</v>
      </c>
      <c r="U1964" s="361">
        <f t="shared" si="2013"/>
        <v>8.0489336695310119</v>
      </c>
      <c r="V1964" s="362">
        <f t="shared" si="2013"/>
        <v>10.215304166685167</v>
      </c>
      <c r="X1964" s="351"/>
    </row>
    <row r="1965" spans="3:24" ht="24.75" customHeight="1" x14ac:dyDescent="0.3">
      <c r="C1965" s="353">
        <f>ABS(E1965-Dashboard!$F$14)</f>
        <v>33.377706986616175</v>
      </c>
      <c r="D1965" s="350">
        <f t="shared" si="1983"/>
        <v>0.26924999999998561</v>
      </c>
      <c r="E1965" s="359" cm="1">
        <f t="array" ref="E1965">1000*SUM('DRE + DCF'!$L$36/M1965,'DRE + DCF'!$N$36:$V$36/N1965:V1965,F1965/V1965)/Dashboard!$F$11</f>
        <v>63.61229301338382</v>
      </c>
      <c r="F1965" s="359">
        <f t="shared" si="1981"/>
        <v>9934501.8603025507</v>
      </c>
      <c r="G1965" s="359">
        <f>'DRE + DCF'!$W$31</f>
        <v>2791623.3540418856</v>
      </c>
      <c r="H1965" s="359">
        <f>'DRE + DCF'!$W$32</f>
        <v>81081.931703745853</v>
      </c>
      <c r="I1965" s="359">
        <f>-H1965*('DRE + DCF'!$V$33+K1965)/'DRE + DCF'!$V$33</f>
        <v>-90858.801614444121</v>
      </c>
      <c r="J1965" s="359">
        <f>-'DRE + DCF'!$V$56*L1965</f>
        <v>-1188924.4255577971</v>
      </c>
      <c r="K1965" s="360">
        <f>(1+L1965)/(1+Ke!$O$12)-1</f>
        <v>2.0000000000000018E-2</v>
      </c>
      <c r="L1965" s="360">
        <f>'DRE + DCF'!$Y$31</f>
        <v>7.3550000000000004E-2</v>
      </c>
      <c r="M1965" s="361">
        <f>(1+D1965)^((5-Dashboard!$F$9)*3/12)</f>
        <v>1.1958050387164239</v>
      </c>
      <c r="N1965" s="361">
        <f t="shared" ref="N1965:V1965" si="2014">M1965*(1+$D1965)</f>
        <v>1.5177755453908037</v>
      </c>
      <c r="O1965" s="361">
        <f t="shared" si="2014"/>
        <v>1.9264366109872557</v>
      </c>
      <c r="P1965" s="361">
        <f t="shared" si="2014"/>
        <v>2.4451296684955466</v>
      </c>
      <c r="Q1965" s="361">
        <f t="shared" si="2014"/>
        <v>3.103480831737937</v>
      </c>
      <c r="R1965" s="361">
        <f t="shared" si="2014"/>
        <v>3.9390930456833315</v>
      </c>
      <c r="S1965" s="361">
        <f t="shared" si="2014"/>
        <v>4.9996938482335116</v>
      </c>
      <c r="T1965" s="361">
        <f t="shared" si="2014"/>
        <v>6.3458614168703127</v>
      </c>
      <c r="U1965" s="361">
        <f t="shared" si="2014"/>
        <v>8.0544846033625532</v>
      </c>
      <c r="V1965" s="362">
        <f t="shared" si="2014"/>
        <v>10.223154582817804</v>
      </c>
      <c r="X1965" s="351"/>
    </row>
    <row r="1966" spans="3:24" ht="24.75" customHeight="1" x14ac:dyDescent="0.3">
      <c r="C1966" s="353">
        <f>ABS(E1966-Dashboard!$F$14)</f>
        <v>33.415140920050284</v>
      </c>
      <c r="D1966" s="350">
        <f t="shared" si="1983"/>
        <v>0.2693499999999856</v>
      </c>
      <c r="E1966" s="359" cm="1">
        <f t="array" ref="E1966">1000*SUM('DRE + DCF'!$L$36/M1966,'DRE + DCF'!$N$36:$V$36/N1966:V1966,F1966/V1966)/Dashboard!$F$11</f>
        <v>63.574859079949711</v>
      </c>
      <c r="F1966" s="359">
        <f t="shared" si="1981"/>
        <v>9930204.210878158</v>
      </c>
      <c r="G1966" s="359">
        <f>'DRE + DCF'!$W$31</f>
        <v>2791623.3540418856</v>
      </c>
      <c r="H1966" s="359">
        <f>'DRE + DCF'!$W$32</f>
        <v>81081.931703745853</v>
      </c>
      <c r="I1966" s="359">
        <f>-H1966*('DRE + DCF'!$V$33+K1966)/'DRE + DCF'!$V$33</f>
        <v>-90858.801614444121</v>
      </c>
      <c r="J1966" s="359">
        <f>-'DRE + DCF'!$V$56*L1966</f>
        <v>-1188924.4255577971</v>
      </c>
      <c r="K1966" s="360">
        <f>(1+L1966)/(1+Ke!$O$12)-1</f>
        <v>2.0000000000000018E-2</v>
      </c>
      <c r="L1966" s="360">
        <f>'DRE + DCF'!$Y$31</f>
        <v>7.3550000000000004E-2</v>
      </c>
      <c r="M1966" s="361">
        <f>(1+D1966)^((5-Dashboard!$F$9)*3/12)</f>
        <v>1.1958756981567871</v>
      </c>
      <c r="N1966" s="361">
        <f t="shared" ref="N1966:V1966" si="2015">M1966*(1+$D1966)</f>
        <v>1.5179848174553003</v>
      </c>
      <c r="O1966" s="361">
        <f t="shared" si="2015"/>
        <v>1.9268540280368636</v>
      </c>
      <c r="P1966" s="361">
        <f t="shared" si="2015"/>
        <v>2.445852160488565</v>
      </c>
      <c r="Q1966" s="361">
        <f t="shared" si="2015"/>
        <v>3.1046424399161245</v>
      </c>
      <c r="R1966" s="361">
        <f t="shared" si="2015"/>
        <v>3.9408778811074878</v>
      </c>
      <c r="S1966" s="361">
        <f t="shared" si="2015"/>
        <v>5.0023533383837329</v>
      </c>
      <c r="T1966" s="361">
        <f t="shared" si="2015"/>
        <v>6.3497372100773193</v>
      </c>
      <c r="U1966" s="361">
        <f t="shared" si="2015"/>
        <v>8.0600389276115543</v>
      </c>
      <c r="V1966" s="362">
        <f t="shared" si="2015"/>
        <v>10.231010412763609</v>
      </c>
      <c r="X1966" s="351"/>
    </row>
    <row r="1967" spans="3:24" ht="24.75" customHeight="1" x14ac:dyDescent="0.3">
      <c r="C1967" s="353">
        <f>ABS(E1967-Dashboard!$F$14)</f>
        <v>33.45253607825655</v>
      </c>
      <c r="D1967" s="350">
        <f t="shared" si="1983"/>
        <v>0.26944999999998559</v>
      </c>
      <c r="E1967" s="359" cm="1">
        <f t="array" ref="E1967">1000*SUM('DRE + DCF'!$L$36/M1967,'DRE + DCF'!$N$36:$V$36/N1967:V1967,F1967/V1967)/Dashboard!$F$11</f>
        <v>63.537463921743445</v>
      </c>
      <c r="F1967" s="359">
        <f t="shared" si="1981"/>
        <v>9925910.3732425272</v>
      </c>
      <c r="G1967" s="359">
        <f>'DRE + DCF'!$W$31</f>
        <v>2791623.3540418856</v>
      </c>
      <c r="H1967" s="359">
        <f>'DRE + DCF'!$W$32</f>
        <v>81081.931703745853</v>
      </c>
      <c r="I1967" s="359">
        <f>-H1967*('DRE + DCF'!$V$33+K1967)/'DRE + DCF'!$V$33</f>
        <v>-90858.801614444121</v>
      </c>
      <c r="J1967" s="359">
        <f>-'DRE + DCF'!$V$56*L1967</f>
        <v>-1188924.4255577971</v>
      </c>
      <c r="K1967" s="360">
        <f>(1+L1967)/(1+Ke!$O$12)-1</f>
        <v>2.0000000000000018E-2</v>
      </c>
      <c r="L1967" s="360">
        <f>'DRE + DCF'!$Y$31</f>
        <v>7.3550000000000004E-2</v>
      </c>
      <c r="M1967" s="361">
        <f>(1+D1967)^((5-Dashboard!$F$9)*3/12)</f>
        <v>1.1959463562055179</v>
      </c>
      <c r="N1967" s="361">
        <f t="shared" ref="N1967:V1967" si="2016">M1967*(1+$D1967)</f>
        <v>1.5181941018850775</v>
      </c>
      <c r="O1967" s="361">
        <f t="shared" si="2016"/>
        <v>1.9272715026379896</v>
      </c>
      <c r="P1967" s="361">
        <f t="shared" si="2016"/>
        <v>2.446574809023768</v>
      </c>
      <c r="Q1967" s="361">
        <f t="shared" si="2016"/>
        <v>3.1058043913151869</v>
      </c>
      <c r="R1967" s="361">
        <f t="shared" si="2016"/>
        <v>3.942663384555019</v>
      </c>
      <c r="S1967" s="361">
        <f t="shared" si="2016"/>
        <v>5.0050140335233122</v>
      </c>
      <c r="T1967" s="361">
        <f t="shared" si="2016"/>
        <v>6.3536150648560961</v>
      </c>
      <c r="U1967" s="361">
        <f t="shared" si="2016"/>
        <v>8.065596644081479</v>
      </c>
      <c r="V1967" s="362">
        <f t="shared" si="2016"/>
        <v>10.238871659829117</v>
      </c>
      <c r="X1967" s="351"/>
    </row>
    <row r="1968" spans="3:24" ht="24.75" customHeight="1" x14ac:dyDescent="0.3">
      <c r="C1968" s="353">
        <f>ABS(E1968-Dashboard!$F$14)</f>
        <v>33.489892517228277</v>
      </c>
      <c r="D1968" s="350">
        <f t="shared" si="1983"/>
        <v>0.26954999999998558</v>
      </c>
      <c r="E1968" s="359" cm="1">
        <f t="array" ref="E1968">1000*SUM('DRE + DCF'!$L$36/M1968,'DRE + DCF'!$N$36:$V$36/N1968:V1968,F1968/V1968)/Dashboard!$F$11</f>
        <v>63.500107482771718</v>
      </c>
      <c r="F1968" s="359">
        <f t="shared" si="1981"/>
        <v>9921620.3422018103</v>
      </c>
      <c r="G1968" s="359">
        <f>'DRE + DCF'!$W$31</f>
        <v>2791623.3540418856</v>
      </c>
      <c r="H1968" s="359">
        <f>'DRE + DCF'!$W$32</f>
        <v>81081.931703745853</v>
      </c>
      <c r="I1968" s="359">
        <f>-H1968*('DRE + DCF'!$V$33+K1968)/'DRE + DCF'!$V$33</f>
        <v>-90858.801614444121</v>
      </c>
      <c r="J1968" s="359">
        <f>-'DRE + DCF'!$V$56*L1968</f>
        <v>-1188924.4255577971</v>
      </c>
      <c r="K1968" s="360">
        <f>(1+L1968)/(1+Ke!$O$12)-1</f>
        <v>2.0000000000000018E-2</v>
      </c>
      <c r="L1968" s="360">
        <f>'DRE + DCF'!$Y$31</f>
        <v>7.3550000000000004E-2</v>
      </c>
      <c r="M1968" s="361">
        <f>(1+D1968)^((5-Dashboard!$F$9)*3/12)</f>
        <v>1.1960170128627532</v>
      </c>
      <c r="N1968" s="361">
        <f t="shared" ref="N1968:V1968" si="2017">M1968*(1+$D1968)</f>
        <v>1.518403398679891</v>
      </c>
      <c r="O1968" s="361">
        <f t="shared" si="2017"/>
        <v>1.9276890347940336</v>
      </c>
      <c r="P1968" s="361">
        <f t="shared" si="2017"/>
        <v>2.4472976141227374</v>
      </c>
      <c r="Q1968" s="361">
        <f t="shared" si="2017"/>
        <v>3.106966686009486</v>
      </c>
      <c r="R1968" s="361">
        <f t="shared" si="2017"/>
        <v>3.9444495562232982</v>
      </c>
      <c r="S1968" s="361">
        <f t="shared" si="2017"/>
        <v>5.0076759341032311</v>
      </c>
      <c r="T1968" s="361">
        <f t="shared" si="2017"/>
        <v>6.3574949821406843</v>
      </c>
      <c r="U1968" s="361">
        <f t="shared" si="2017"/>
        <v>8.071157754576614</v>
      </c>
      <c r="V1968" s="362">
        <f t="shared" si="2017"/>
        <v>10.246738327322623</v>
      </c>
      <c r="X1968" s="351"/>
    </row>
    <row r="1969" spans="3:24" ht="24.75" customHeight="1" x14ac:dyDescent="0.3">
      <c r="C1969" s="353">
        <f>ABS(E1969-Dashboard!$F$14)</f>
        <v>33.527210292854427</v>
      </c>
      <c r="D1969" s="350">
        <f t="shared" si="1983"/>
        <v>0.26964999999998557</v>
      </c>
      <c r="E1969" s="359" cm="1">
        <f t="array" ref="E1969">1000*SUM('DRE + DCF'!$L$36/M1969,'DRE + DCF'!$N$36:$V$36/N1969:V1969,F1969/V1969)/Dashboard!$F$11</f>
        <v>63.462789707145568</v>
      </c>
      <c r="F1969" s="359">
        <f t="shared" si="1981"/>
        <v>9917334.1125718113</v>
      </c>
      <c r="G1969" s="359">
        <f>'DRE + DCF'!$W$31</f>
        <v>2791623.3540418856</v>
      </c>
      <c r="H1969" s="359">
        <f>'DRE + DCF'!$W$32</f>
        <v>81081.931703745853</v>
      </c>
      <c r="I1969" s="359">
        <f>-H1969*('DRE + DCF'!$V$33+K1969)/'DRE + DCF'!$V$33</f>
        <v>-90858.801614444121</v>
      </c>
      <c r="J1969" s="359">
        <f>-'DRE + DCF'!$V$56*L1969</f>
        <v>-1188924.4255577971</v>
      </c>
      <c r="K1969" s="360">
        <f>(1+L1969)/(1+Ke!$O$12)-1</f>
        <v>2.0000000000000018E-2</v>
      </c>
      <c r="L1969" s="360">
        <f>'DRE + DCF'!$Y$31</f>
        <v>7.3550000000000004E-2</v>
      </c>
      <c r="M1969" s="361">
        <f>(1+D1969)^((5-Dashboard!$F$9)*3/12)</f>
        <v>1.1960876681286303</v>
      </c>
      <c r="N1969" s="361">
        <f t="shared" ref="N1969:V1969" si="2018">M1969*(1+$D1969)</f>
        <v>1.5186127078394982</v>
      </c>
      <c r="O1969" s="361">
        <f t="shared" si="2018"/>
        <v>1.9281066245083969</v>
      </c>
      <c r="P1969" s="361">
        <f t="shared" si="2018"/>
        <v>2.4480205758070581</v>
      </c>
      <c r="Q1969" s="361">
        <f t="shared" si="2018"/>
        <v>3.108129324073396</v>
      </c>
      <c r="R1969" s="361">
        <f t="shared" si="2018"/>
        <v>3.9462363963097422</v>
      </c>
      <c r="S1969" s="361">
        <f t="shared" si="2018"/>
        <v>5.0103390405746069</v>
      </c>
      <c r="T1969" s="361">
        <f t="shared" si="2018"/>
        <v>6.361376962865477</v>
      </c>
      <c r="U1969" s="361">
        <f t="shared" si="2018"/>
        <v>8.076722260902061</v>
      </c>
      <c r="V1969" s="362">
        <f t="shared" si="2018"/>
        <v>10.254610418554185</v>
      </c>
      <c r="X1969" s="351"/>
    </row>
    <row r="1970" spans="3:24" ht="24.75" customHeight="1" x14ac:dyDescent="0.3">
      <c r="C1970" s="353">
        <f>ABS(E1970-Dashboard!$F$14)</f>
        <v>33.564489460919766</v>
      </c>
      <c r="D1970" s="350">
        <f t="shared" si="1983"/>
        <v>0.26974999999998556</v>
      </c>
      <c r="E1970" s="359" cm="1">
        <f t="array" ref="E1970">1000*SUM('DRE + DCF'!$L$36/M1970,'DRE + DCF'!$N$36:$V$36/N1970:V1970,F1970/V1970)/Dashboard!$F$11</f>
        <v>63.425510539080229</v>
      </c>
      <c r="F1970" s="359">
        <f t="shared" si="1981"/>
        <v>9913051.6791779492</v>
      </c>
      <c r="G1970" s="359">
        <f>'DRE + DCF'!$W$31</f>
        <v>2791623.3540418856</v>
      </c>
      <c r="H1970" s="359">
        <f>'DRE + DCF'!$W$32</f>
        <v>81081.931703745853</v>
      </c>
      <c r="I1970" s="359">
        <f>-H1970*('DRE + DCF'!$V$33+K1970)/'DRE + DCF'!$V$33</f>
        <v>-90858.801614444121</v>
      </c>
      <c r="J1970" s="359">
        <f>-'DRE + DCF'!$V$56*L1970</f>
        <v>-1188924.4255577971</v>
      </c>
      <c r="K1970" s="360">
        <f>(1+L1970)/(1+Ke!$O$12)-1</f>
        <v>2.0000000000000018E-2</v>
      </c>
      <c r="L1970" s="360">
        <f>'DRE + DCF'!$Y$31</f>
        <v>7.3550000000000004E-2</v>
      </c>
      <c r="M1970" s="361">
        <f>(1+D1970)^((5-Dashboard!$F$9)*3/12)</f>
        <v>1.1961583220032859</v>
      </c>
      <c r="N1970" s="361">
        <f t="shared" ref="N1970:V1970" si="2019">M1970*(1+$D1970)</f>
        <v>1.518822029363655</v>
      </c>
      <c r="O1970" s="361">
        <f t="shared" si="2019"/>
        <v>1.9285242717844788</v>
      </c>
      <c r="P1970" s="361">
        <f t="shared" si="2019"/>
        <v>2.4487436940983138</v>
      </c>
      <c r="Q1970" s="361">
        <f t="shared" si="2019"/>
        <v>3.1092923055812984</v>
      </c>
      <c r="R1970" s="361">
        <f t="shared" si="2019"/>
        <v>3.9480239050118087</v>
      </c>
      <c r="S1970" s="361">
        <f t="shared" si="2019"/>
        <v>5.0130033533886866</v>
      </c>
      <c r="T1970" s="361">
        <f t="shared" si="2019"/>
        <v>6.3652610079652119</v>
      </c>
      <c r="U1970" s="361">
        <f t="shared" si="2019"/>
        <v>8.0822901648637355</v>
      </c>
      <c r="V1970" s="362">
        <f t="shared" si="2019"/>
        <v>10.262487936835612</v>
      </c>
      <c r="X1970" s="351"/>
    </row>
    <row r="1971" spans="3:24" ht="24.75" customHeight="1" x14ac:dyDescent="0.3">
      <c r="C1971" s="353">
        <f>ABS(E1971-Dashboard!$F$14)</f>
        <v>33.601730077105131</v>
      </c>
      <c r="D1971" s="350">
        <f t="shared" si="1983"/>
        <v>0.26984999999998555</v>
      </c>
      <c r="E1971" s="359" cm="1">
        <f t="array" ref="E1971">1000*SUM('DRE + DCF'!$L$36/M1971,'DRE + DCF'!$N$36:$V$36/N1971:V1971,F1971/V1971)/Dashboard!$F$11</f>
        <v>63.388269922894864</v>
      </c>
      <c r="F1971" s="359">
        <f t="shared" si="1981"/>
        <v>9908773.0368552469</v>
      </c>
      <c r="G1971" s="359">
        <f>'DRE + DCF'!$W$31</f>
        <v>2791623.3540418856</v>
      </c>
      <c r="H1971" s="359">
        <f>'DRE + DCF'!$W$32</f>
        <v>81081.931703745853</v>
      </c>
      <c r="I1971" s="359">
        <f>-H1971*('DRE + DCF'!$V$33+K1971)/'DRE + DCF'!$V$33</f>
        <v>-90858.801614444121</v>
      </c>
      <c r="J1971" s="359">
        <f>-'DRE + DCF'!$V$56*L1971</f>
        <v>-1188924.4255577971</v>
      </c>
      <c r="K1971" s="360">
        <f>(1+L1971)/(1+Ke!$O$12)-1</f>
        <v>2.0000000000000018E-2</v>
      </c>
      <c r="L1971" s="360">
        <f>'DRE + DCF'!$Y$31</f>
        <v>7.3550000000000004E-2</v>
      </c>
      <c r="M1971" s="361">
        <f>(1+D1971)^((5-Dashboard!$F$9)*3/12)</f>
        <v>1.1962289744868571</v>
      </c>
      <c r="N1971" s="361">
        <f t="shared" ref="N1971:V1971" si="2020">M1971*(1+$D1971)</f>
        <v>1.5190313632521182</v>
      </c>
      <c r="O1971" s="361">
        <f t="shared" si="2020"/>
        <v>1.9289419766256803</v>
      </c>
      <c r="P1971" s="361">
        <f t="shared" si="2020"/>
        <v>2.4494669690180921</v>
      </c>
      <c r="Q1971" s="361">
        <f t="shared" si="2020"/>
        <v>3.1104556306075888</v>
      </c>
      <c r="R1971" s="361">
        <f t="shared" si="2020"/>
        <v>3.9498120825270013</v>
      </c>
      <c r="S1971" s="361">
        <f t="shared" si="2020"/>
        <v>5.015668872996855</v>
      </c>
      <c r="T1971" s="361">
        <f t="shared" si="2020"/>
        <v>6.3691471183749835</v>
      </c>
      <c r="U1971" s="361">
        <f t="shared" si="2020"/>
        <v>8.0878614682683807</v>
      </c>
      <c r="V1971" s="362">
        <f t="shared" si="2020"/>
        <v>10.270370885480485</v>
      </c>
      <c r="X1971" s="351"/>
    </row>
    <row r="1972" spans="3:24" ht="24.75" customHeight="1" x14ac:dyDescent="0.3">
      <c r="C1972" s="353">
        <f>ABS(E1972-Dashboard!$F$14)</f>
        <v>33.638932196987703</v>
      </c>
      <c r="D1972" s="350">
        <f t="shared" si="1983"/>
        <v>0.26994999999998553</v>
      </c>
      <c r="E1972" s="359" cm="1">
        <f t="array" ref="E1972">1000*SUM('DRE + DCF'!$L$36/M1972,'DRE + DCF'!$N$36:$V$36/N1972:V1972,F1972/V1972)/Dashboard!$F$11</f>
        <v>63.351067803012292</v>
      </c>
      <c r="F1972" s="359">
        <f t="shared" si="1981"/>
        <v>9904498.1804482974</v>
      </c>
      <c r="G1972" s="359">
        <f>'DRE + DCF'!$W$31</f>
        <v>2791623.3540418856</v>
      </c>
      <c r="H1972" s="359">
        <f>'DRE + DCF'!$W$32</f>
        <v>81081.931703745853</v>
      </c>
      <c r="I1972" s="359">
        <f>-H1972*('DRE + DCF'!$V$33+K1972)/'DRE + DCF'!$V$33</f>
        <v>-90858.801614444121</v>
      </c>
      <c r="J1972" s="359">
        <f>-'DRE + DCF'!$V$56*L1972</f>
        <v>-1188924.4255577971</v>
      </c>
      <c r="K1972" s="360">
        <f>(1+L1972)/(1+Ke!$O$12)-1</f>
        <v>2.0000000000000018E-2</v>
      </c>
      <c r="L1972" s="360">
        <f>'DRE + DCF'!$Y$31</f>
        <v>7.3550000000000004E-2</v>
      </c>
      <c r="M1972" s="361">
        <f>(1+D1972)^((5-Dashboard!$F$9)*3/12)</f>
        <v>1.1962996255794807</v>
      </c>
      <c r="N1972" s="361">
        <f t="shared" ref="N1972:V1972" si="2021">M1972*(1+$D1972)</f>
        <v>1.5192407095046441</v>
      </c>
      <c r="O1972" s="361">
        <f t="shared" si="2021"/>
        <v>1.9293597390354007</v>
      </c>
      <c r="P1972" s="361">
        <f t="shared" si="2021"/>
        <v>2.4501904005879793</v>
      </c>
      <c r="Q1972" s="361">
        <f t="shared" si="2021"/>
        <v>3.1116192992266689</v>
      </c>
      <c r="R1972" s="361">
        <f t="shared" si="2021"/>
        <v>3.9516009290528631</v>
      </c>
      <c r="S1972" s="361">
        <f t="shared" si="2021"/>
        <v>5.0183355998506265</v>
      </c>
      <c r="T1972" s="361">
        <f t="shared" si="2021"/>
        <v>6.3730352950302303</v>
      </c>
      <c r="U1972" s="361">
        <f t="shared" si="2021"/>
        <v>8.093436172923548</v>
      </c>
      <c r="V1972" s="362">
        <f t="shared" si="2021"/>
        <v>10.278259267804142</v>
      </c>
      <c r="X1972" s="351"/>
    </row>
    <row r="1973" spans="3:24" ht="24.75" customHeight="1" x14ac:dyDescent="0.3">
      <c r="C1973" s="353">
        <f>ABS(E1973-Dashboard!$F$14)</f>
        <v>33.676095876041195</v>
      </c>
      <c r="D1973" s="350">
        <f t="shared" si="1983"/>
        <v>0.27004999999998552</v>
      </c>
      <c r="E1973" s="359" cm="1">
        <f t="array" ref="E1973">1000*SUM('DRE + DCF'!$L$36/M1973,'DRE + DCF'!$N$36:$V$36/N1973:V1973,F1973/V1973)/Dashboard!$F$11</f>
        <v>63.3139041239588</v>
      </c>
      <c r="F1973" s="359">
        <f t="shared" si="1981"/>
        <v>9900227.1048112586</v>
      </c>
      <c r="G1973" s="359">
        <f>'DRE + DCF'!$W$31</f>
        <v>2791623.3540418856</v>
      </c>
      <c r="H1973" s="359">
        <f>'DRE + DCF'!$W$32</f>
        <v>81081.931703745853</v>
      </c>
      <c r="I1973" s="359">
        <f>-H1973*('DRE + DCF'!$V$33+K1973)/'DRE + DCF'!$V$33</f>
        <v>-90858.801614444121</v>
      </c>
      <c r="J1973" s="359">
        <f>-'DRE + DCF'!$V$56*L1973</f>
        <v>-1188924.4255577971</v>
      </c>
      <c r="K1973" s="360">
        <f>(1+L1973)/(1+Ke!$O$12)-1</f>
        <v>2.0000000000000018E-2</v>
      </c>
      <c r="L1973" s="360">
        <f>'DRE + DCF'!$Y$31</f>
        <v>7.3550000000000004E-2</v>
      </c>
      <c r="M1973" s="361">
        <f>(1+D1973)^((5-Dashboard!$F$9)*3/12)</f>
        <v>1.1963702752812937</v>
      </c>
      <c r="N1973" s="361">
        <f t="shared" ref="N1973:V1973" si="2022">M1973*(1+$D1973)</f>
        <v>1.5194500681209897</v>
      </c>
      <c r="O1973" s="361">
        <f t="shared" si="2022"/>
        <v>1.929777559017041</v>
      </c>
      <c r="P1973" s="361">
        <f t="shared" si="2022"/>
        <v>2.4509139888295648</v>
      </c>
      <c r="Q1973" s="361">
        <f t="shared" si="2022"/>
        <v>3.1127833115129531</v>
      </c>
      <c r="R1973" s="361">
        <f t="shared" si="2022"/>
        <v>3.9533904447869808</v>
      </c>
      <c r="S1973" s="361">
        <f t="shared" si="2022"/>
        <v>5.0210035344016477</v>
      </c>
      <c r="T1973" s="361">
        <f t="shared" si="2022"/>
        <v>6.3769255388667396</v>
      </c>
      <c r="U1973" s="361">
        <f t="shared" si="2022"/>
        <v>8.0990142806376095</v>
      </c>
      <c r="V1973" s="362">
        <f t="shared" si="2022"/>
        <v>10.286153087123678</v>
      </c>
      <c r="X1973" s="351"/>
    </row>
    <row r="1974" spans="3:24" ht="24.75" customHeight="1" x14ac:dyDescent="0.3">
      <c r="C1974" s="353">
        <f>ABS(E1974-Dashboard!$F$14)</f>
        <v>33.713221169636121</v>
      </c>
      <c r="D1974" s="350">
        <f t="shared" si="1983"/>
        <v>0.27014999999998551</v>
      </c>
      <c r="E1974" s="359" cm="1">
        <f t="array" ref="E1974">1000*SUM('DRE + DCF'!$L$36/M1974,'DRE + DCF'!$N$36:$V$36/N1974:V1974,F1974/V1974)/Dashboard!$F$11</f>
        <v>63.276778830363874</v>
      </c>
      <c r="F1974" s="359">
        <f t="shared" si="1981"/>
        <v>9895959.8048078045</v>
      </c>
      <c r="G1974" s="359">
        <f>'DRE + DCF'!$W$31</f>
        <v>2791623.3540418856</v>
      </c>
      <c r="H1974" s="359">
        <f>'DRE + DCF'!$W$32</f>
        <v>81081.931703745853</v>
      </c>
      <c r="I1974" s="359">
        <f>-H1974*('DRE + DCF'!$V$33+K1974)/'DRE + DCF'!$V$33</f>
        <v>-90858.801614444121</v>
      </c>
      <c r="J1974" s="359">
        <f>-'DRE + DCF'!$V$56*L1974</f>
        <v>-1188924.4255577971</v>
      </c>
      <c r="K1974" s="360">
        <f>(1+L1974)/(1+Ke!$O$12)-1</f>
        <v>2.0000000000000018E-2</v>
      </c>
      <c r="L1974" s="360">
        <f>'DRE + DCF'!$Y$31</f>
        <v>7.3550000000000004E-2</v>
      </c>
      <c r="M1974" s="361">
        <f>(1+D1974)^((5-Dashboard!$F$9)*3/12)</f>
        <v>1.1964409235924329</v>
      </c>
      <c r="N1974" s="361">
        <f t="shared" ref="N1974:V1974" si="2023">M1974*(1+$D1974)</f>
        <v>1.5196594391009113</v>
      </c>
      <c r="O1974" s="361">
        <f t="shared" si="2023"/>
        <v>1.9301954365740004</v>
      </c>
      <c r="P1974" s="361">
        <f t="shared" si="2023"/>
        <v>2.4516377337644384</v>
      </c>
      <c r="Q1974" s="361">
        <f t="shared" si="2023"/>
        <v>3.1139476675408657</v>
      </c>
      <c r="R1974" s="361">
        <f t="shared" si="2023"/>
        <v>3.9551806299269852</v>
      </c>
      <c r="S1974" s="361">
        <f t="shared" si="2023"/>
        <v>5.0236726771017031</v>
      </c>
      <c r="T1974" s="361">
        <f t="shared" si="2023"/>
        <v>6.3808178508206552</v>
      </c>
      <c r="U1974" s="361">
        <f t="shared" si="2023"/>
        <v>8.1045957932197616</v>
      </c>
      <c r="V1974" s="362">
        <f t="shared" si="2023"/>
        <v>10.294052346757962</v>
      </c>
      <c r="X1974" s="351"/>
    </row>
    <row r="1975" spans="3:24" ht="24.75" customHeight="1" x14ac:dyDescent="0.3">
      <c r="C1975" s="353">
        <f>ABS(E1975-Dashboard!$F$14)</f>
        <v>33.750308133040093</v>
      </c>
      <c r="D1975" s="350">
        <f t="shared" si="1983"/>
        <v>0.2702499999999855</v>
      </c>
      <c r="E1975" s="359" cm="1">
        <f t="array" ref="E1975">1000*SUM('DRE + DCF'!$L$36/M1975,'DRE + DCF'!$N$36:$V$36/N1975:V1975,F1975/V1975)/Dashboard!$F$11</f>
        <v>63.239691866959902</v>
      </c>
      <c r="F1975" s="359">
        <f t="shared" si="1981"/>
        <v>9891696.2753111329</v>
      </c>
      <c r="G1975" s="359">
        <f>'DRE + DCF'!$W$31</f>
        <v>2791623.3540418856</v>
      </c>
      <c r="H1975" s="359">
        <f>'DRE + DCF'!$W$32</f>
        <v>81081.931703745853</v>
      </c>
      <c r="I1975" s="359">
        <f>-H1975*('DRE + DCF'!$V$33+K1975)/'DRE + DCF'!$V$33</f>
        <v>-90858.801614444121</v>
      </c>
      <c r="J1975" s="359">
        <f>-'DRE + DCF'!$V$56*L1975</f>
        <v>-1188924.4255577971</v>
      </c>
      <c r="K1975" s="360">
        <f>(1+L1975)/(1+Ke!$O$12)-1</f>
        <v>2.0000000000000018E-2</v>
      </c>
      <c r="L1975" s="360">
        <f>'DRE + DCF'!$Y$31</f>
        <v>7.3550000000000004E-2</v>
      </c>
      <c r="M1975" s="361">
        <f>(1+D1975)^((5-Dashboard!$F$9)*3/12)</f>
        <v>1.1965115705130354</v>
      </c>
      <c r="N1975" s="361">
        <f t="shared" ref="N1975:V1975" si="2024">M1975*(1+$D1975)</f>
        <v>1.5198688224441657</v>
      </c>
      <c r="O1975" s="361">
        <f t="shared" si="2024"/>
        <v>1.9306133717096794</v>
      </c>
      <c r="P1975" s="361">
        <f t="shared" si="2024"/>
        <v>2.4523616354141922</v>
      </c>
      <c r="Q1975" s="361">
        <f t="shared" si="2024"/>
        <v>3.115112367384842</v>
      </c>
      <c r="R1975" s="361">
        <f t="shared" si="2024"/>
        <v>3.9569714846705502</v>
      </c>
      <c r="S1975" s="361">
        <f t="shared" si="2024"/>
        <v>5.0263430284027084</v>
      </c>
      <c r="T1975" s="361">
        <f t="shared" si="2024"/>
        <v>6.384712231828467</v>
      </c>
      <c r="U1975" s="361">
        <f t="shared" si="2024"/>
        <v>8.1101807124800178</v>
      </c>
      <c r="V1975" s="362">
        <f t="shared" si="2024"/>
        <v>10.301957050027625</v>
      </c>
      <c r="X1975" s="351"/>
    </row>
    <row r="1976" spans="3:24" ht="24.75" customHeight="1" x14ac:dyDescent="0.3">
      <c r="C1976" s="353">
        <f>ABS(E1976-Dashboard!$F$14)</f>
        <v>33.787356821417923</v>
      </c>
      <c r="D1976" s="350">
        <f t="shared" si="1983"/>
        <v>0.27034999999998549</v>
      </c>
      <c r="E1976" s="359" cm="1">
        <f t="array" ref="E1976">1000*SUM('DRE + DCF'!$L$36/M1976,'DRE + DCF'!$N$36:$V$36/N1976:V1976,F1976/V1976)/Dashboard!$F$11</f>
        <v>63.202643178582072</v>
      </c>
      <c r="F1976" s="359">
        <f t="shared" si="1981"/>
        <v>9887436.5112039186</v>
      </c>
      <c r="G1976" s="359">
        <f>'DRE + DCF'!$W$31</f>
        <v>2791623.3540418856</v>
      </c>
      <c r="H1976" s="359">
        <f>'DRE + DCF'!$W$32</f>
        <v>81081.931703745853</v>
      </c>
      <c r="I1976" s="359">
        <f>-H1976*('DRE + DCF'!$V$33+K1976)/'DRE + DCF'!$V$33</f>
        <v>-90858.801614444121</v>
      </c>
      <c r="J1976" s="359">
        <f>-'DRE + DCF'!$V$56*L1976</f>
        <v>-1188924.4255577971</v>
      </c>
      <c r="K1976" s="360">
        <f>(1+L1976)/(1+Ke!$O$12)-1</f>
        <v>2.0000000000000018E-2</v>
      </c>
      <c r="L1976" s="360">
        <f>'DRE + DCF'!$Y$31</f>
        <v>7.3550000000000004E-2</v>
      </c>
      <c r="M1976" s="361">
        <f>(1+D1976)^((5-Dashboard!$F$9)*3/12)</f>
        <v>1.1965822160432378</v>
      </c>
      <c r="N1976" s="361">
        <f t="shared" ref="N1976:V1976" si="2025">M1976*(1+$D1976)</f>
        <v>1.5200782181505097</v>
      </c>
      <c r="O1976" s="361">
        <f t="shared" si="2025"/>
        <v>1.9310313644274779</v>
      </c>
      <c r="P1976" s="361">
        <f t="shared" si="2025"/>
        <v>2.4530856938004186</v>
      </c>
      <c r="Q1976" s="361">
        <f t="shared" si="2025"/>
        <v>3.1162774111193259</v>
      </c>
      <c r="R1976" s="361">
        <f t="shared" si="2025"/>
        <v>3.95876300921539</v>
      </c>
      <c r="S1976" s="361">
        <f t="shared" si="2025"/>
        <v>5.0290145887567128</v>
      </c>
      <c r="T1976" s="361">
        <f t="shared" si="2025"/>
        <v>6.3886086828270168</v>
      </c>
      <c r="U1976" s="361">
        <f t="shared" si="2025"/>
        <v>8.1157690402292069</v>
      </c>
      <c r="V1976" s="362">
        <f t="shared" si="2025"/>
        <v>10.309867200255054</v>
      </c>
      <c r="X1976" s="351"/>
    </row>
    <row r="1977" spans="3:24" ht="24.75" customHeight="1" x14ac:dyDescent="0.3">
      <c r="C1977" s="353">
        <f>ABS(E1977-Dashboard!$F$14)</f>
        <v>33.82436728983199</v>
      </c>
      <c r="D1977" s="350">
        <f t="shared" si="1983"/>
        <v>0.27044999999998548</v>
      </c>
      <c r="E1977" s="359" cm="1">
        <f t="array" ref="E1977">1000*SUM('DRE + DCF'!$L$36/M1977,'DRE + DCF'!$N$36:$V$36/N1977:V1977,F1977/V1977)/Dashboard!$F$11</f>
        <v>63.165632710168005</v>
      </c>
      <c r="F1977" s="359">
        <f t="shared" si="1981"/>
        <v>9883180.5073782988</v>
      </c>
      <c r="G1977" s="359">
        <f>'DRE + DCF'!$W$31</f>
        <v>2791623.3540418856</v>
      </c>
      <c r="H1977" s="359">
        <f>'DRE + DCF'!$W$32</f>
        <v>81081.931703745853</v>
      </c>
      <c r="I1977" s="359">
        <f>-H1977*('DRE + DCF'!$V$33+K1977)/'DRE + DCF'!$V$33</f>
        <v>-90858.801614444121</v>
      </c>
      <c r="J1977" s="359">
        <f>-'DRE + DCF'!$V$56*L1977</f>
        <v>-1188924.4255577971</v>
      </c>
      <c r="K1977" s="360">
        <f>(1+L1977)/(1+Ke!$O$12)-1</f>
        <v>2.0000000000000018E-2</v>
      </c>
      <c r="L1977" s="360">
        <f>'DRE + DCF'!$Y$31</f>
        <v>7.3550000000000004E-2</v>
      </c>
      <c r="M1977" s="361">
        <f>(1+D1977)^((5-Dashboard!$F$9)*3/12)</f>
        <v>1.196652860183177</v>
      </c>
      <c r="N1977" s="361">
        <f t="shared" ref="N1977:V1977" si="2026">M1977*(1+$D1977)</f>
        <v>1.5202876262196998</v>
      </c>
      <c r="O1977" s="361">
        <f t="shared" si="2026"/>
        <v>1.9314494147307955</v>
      </c>
      <c r="P1977" s="361">
        <f t="shared" si="2026"/>
        <v>2.4538099089447107</v>
      </c>
      <c r="Q1977" s="361">
        <f t="shared" si="2026"/>
        <v>3.1174427988187721</v>
      </c>
      <c r="R1977" s="361">
        <f t="shared" si="2026"/>
        <v>3.9605552037592635</v>
      </c>
      <c r="S1977" s="361">
        <f t="shared" si="2026"/>
        <v>5.0316873586158986</v>
      </c>
      <c r="T1977" s="361">
        <f t="shared" si="2026"/>
        <v>6.3925072047534952</v>
      </c>
      <c r="U1977" s="361">
        <f t="shared" si="2026"/>
        <v>8.1213607782789854</v>
      </c>
      <c r="V1977" s="362">
        <f t="shared" si="2026"/>
        <v>10.317782800764419</v>
      </c>
      <c r="X1977" s="351"/>
    </row>
    <row r="1978" spans="3:24" ht="24.75" customHeight="1" x14ac:dyDescent="0.3">
      <c r="C1978" s="353">
        <f>ABS(E1978-Dashboard!$F$14)</f>
        <v>33.861339593242377</v>
      </c>
      <c r="D1978" s="350">
        <f t="shared" si="1983"/>
        <v>0.27054999999998547</v>
      </c>
      <c r="E1978" s="359" cm="1">
        <f t="array" ref="E1978">1000*SUM('DRE + DCF'!$L$36/M1978,'DRE + DCF'!$N$36:$V$36/N1978:V1978,F1978/V1978)/Dashboard!$F$11</f>
        <v>63.128660406757618</v>
      </c>
      <c r="F1978" s="359">
        <f t="shared" si="1981"/>
        <v>9878928.2587358616</v>
      </c>
      <c r="G1978" s="359">
        <f>'DRE + DCF'!$W$31</f>
        <v>2791623.3540418856</v>
      </c>
      <c r="H1978" s="359">
        <f>'DRE + DCF'!$W$32</f>
        <v>81081.931703745853</v>
      </c>
      <c r="I1978" s="359">
        <f>-H1978*('DRE + DCF'!$V$33+K1978)/'DRE + DCF'!$V$33</f>
        <v>-90858.801614444121</v>
      </c>
      <c r="J1978" s="359">
        <f>-'DRE + DCF'!$V$56*L1978</f>
        <v>-1188924.4255577971</v>
      </c>
      <c r="K1978" s="360">
        <f>(1+L1978)/(1+Ke!$O$12)-1</f>
        <v>2.0000000000000018E-2</v>
      </c>
      <c r="L1978" s="360">
        <f>'DRE + DCF'!$Y$31</f>
        <v>7.3550000000000004E-2</v>
      </c>
      <c r="M1978" s="361">
        <f>(1+D1978)^((5-Dashboard!$F$9)*3/12)</f>
        <v>1.1967235029329899</v>
      </c>
      <c r="N1978" s="361">
        <f t="shared" ref="N1978:V1978" si="2027">M1978*(1+$D1978)</f>
        <v>1.5204970466514929</v>
      </c>
      <c r="O1978" s="361">
        <f t="shared" si="2027"/>
        <v>1.9318675226230322</v>
      </c>
      <c r="P1978" s="361">
        <f t="shared" si="2027"/>
        <v>2.4545342808686654</v>
      </c>
      <c r="Q1978" s="361">
        <f t="shared" si="2027"/>
        <v>3.1186085305576472</v>
      </c>
      <c r="R1978" s="361">
        <f t="shared" si="2027"/>
        <v>3.9623480684999732</v>
      </c>
      <c r="S1978" s="361">
        <f t="shared" si="2027"/>
        <v>5.0343613384325829</v>
      </c>
      <c r="T1978" s="361">
        <f t="shared" si="2027"/>
        <v>6.3964077985454448</v>
      </c>
      <c r="U1978" s="361">
        <f t="shared" si="2027"/>
        <v>8.1269559284418218</v>
      </c>
      <c r="V1978" s="362">
        <f t="shared" si="2027"/>
        <v>10.325703854881638</v>
      </c>
      <c r="X1978" s="351"/>
    </row>
    <row r="1979" spans="3:24" ht="24.75" customHeight="1" x14ac:dyDescent="0.3">
      <c r="C1979" s="353">
        <f>ABS(E1979-Dashboard!$F$14)</f>
        <v>33.898273786507147</v>
      </c>
      <c r="D1979" s="350">
        <f t="shared" si="1983"/>
        <v>0.27064999999998546</v>
      </c>
      <c r="E1979" s="359" cm="1">
        <f t="array" ref="E1979">1000*SUM('DRE + DCF'!$L$36/M1979,'DRE + DCF'!$N$36:$V$36/N1979:V1979,F1979/V1979)/Dashboard!$F$11</f>
        <v>63.091726213492848</v>
      </c>
      <c r="F1979" s="359">
        <f t="shared" si="1981"/>
        <v>9874679.7601876035</v>
      </c>
      <c r="G1979" s="359">
        <f>'DRE + DCF'!$W$31</f>
        <v>2791623.3540418856</v>
      </c>
      <c r="H1979" s="359">
        <f>'DRE + DCF'!$W$32</f>
        <v>81081.931703745853</v>
      </c>
      <c r="I1979" s="359">
        <f>-H1979*('DRE + DCF'!$V$33+K1979)/'DRE + DCF'!$V$33</f>
        <v>-90858.801614444121</v>
      </c>
      <c r="J1979" s="359">
        <f>-'DRE + DCF'!$V$56*L1979</f>
        <v>-1188924.4255577971</v>
      </c>
      <c r="K1979" s="360">
        <f>(1+L1979)/(1+Ke!$O$12)-1</f>
        <v>2.0000000000000018E-2</v>
      </c>
      <c r="L1979" s="360">
        <f>'DRE + DCF'!$Y$31</f>
        <v>7.3550000000000004E-2</v>
      </c>
      <c r="M1979" s="361">
        <f>(1+D1979)^((5-Dashboard!$F$9)*3/12)</f>
        <v>1.1967941442928129</v>
      </c>
      <c r="N1979" s="361">
        <f t="shared" ref="N1979:V1979" si="2028">M1979*(1+$D1979)</f>
        <v>1.5207064794456453</v>
      </c>
      <c r="O1979" s="361">
        <f t="shared" si="2028"/>
        <v>1.9322856881075869</v>
      </c>
      <c r="P1979" s="361">
        <f t="shared" si="2028"/>
        <v>2.455258809593877</v>
      </c>
      <c r="Q1979" s="361">
        <f t="shared" si="2028"/>
        <v>3.1197746064104241</v>
      </c>
      <c r="R1979" s="361">
        <f t="shared" si="2028"/>
        <v>3.9641416036353601</v>
      </c>
      <c r="S1979" s="361">
        <f t="shared" si="2028"/>
        <v>5.037036528659212</v>
      </c>
      <c r="T1979" s="361">
        <f t="shared" si="2028"/>
        <v>6.4003104651407545</v>
      </c>
      <c r="U1979" s="361">
        <f t="shared" si="2028"/>
        <v>8.1325544925310069</v>
      </c>
      <c r="V1979" s="362">
        <f t="shared" si="2028"/>
        <v>10.333630365934406</v>
      </c>
      <c r="X1979" s="351"/>
    </row>
    <row r="1980" spans="3:24" ht="24.75" customHeight="1" x14ac:dyDescent="0.3">
      <c r="C1980" s="353">
        <f>ABS(E1980-Dashboard!$F$14)</f>
        <v>33.93516992438262</v>
      </c>
      <c r="D1980" s="350">
        <f t="shared" si="1983"/>
        <v>0.27074999999998545</v>
      </c>
      <c r="E1980" s="359" cm="1">
        <f t="array" ref="E1980">1000*SUM('DRE + DCF'!$L$36/M1980,'DRE + DCF'!$N$36:$V$36/N1980:V1980,F1980/V1980)/Dashboard!$F$11</f>
        <v>63.054830075617375</v>
      </c>
      <c r="F1980" s="359">
        <f t="shared" si="1981"/>
        <v>9870435.0066539273</v>
      </c>
      <c r="G1980" s="359">
        <f>'DRE + DCF'!$W$31</f>
        <v>2791623.3540418856</v>
      </c>
      <c r="H1980" s="359">
        <f>'DRE + DCF'!$W$32</f>
        <v>81081.931703745853</v>
      </c>
      <c r="I1980" s="359">
        <f>-H1980*('DRE + DCF'!$V$33+K1980)/'DRE + DCF'!$V$33</f>
        <v>-90858.801614444121</v>
      </c>
      <c r="J1980" s="359">
        <f>-'DRE + DCF'!$V$56*L1980</f>
        <v>-1188924.4255577971</v>
      </c>
      <c r="K1980" s="360">
        <f>(1+L1980)/(1+Ke!$O$12)-1</f>
        <v>2.0000000000000018E-2</v>
      </c>
      <c r="L1980" s="360">
        <f>'DRE + DCF'!$Y$31</f>
        <v>7.3550000000000004E-2</v>
      </c>
      <c r="M1980" s="361">
        <f>(1+D1980)^((5-Dashboard!$F$9)*3/12)</f>
        <v>1.1968647842627831</v>
      </c>
      <c r="N1980" s="361">
        <f t="shared" ref="N1980:V1980" si="2029">M1980*(1+$D1980)</f>
        <v>1.5209159246019142</v>
      </c>
      <c r="O1980" s="361">
        <f t="shared" si="2029"/>
        <v>1.9327039111878601</v>
      </c>
      <c r="P1980" s="361">
        <f t="shared" si="2029"/>
        <v>2.455983495141945</v>
      </c>
      <c r="Q1980" s="361">
        <f t="shared" si="2029"/>
        <v>3.1209410264515909</v>
      </c>
      <c r="R1980" s="361">
        <f t="shared" si="2029"/>
        <v>3.9659358093633137</v>
      </c>
      <c r="S1980" s="361">
        <f t="shared" si="2029"/>
        <v>5.0397129297483731</v>
      </c>
      <c r="T1980" s="361">
        <f t="shared" si="2029"/>
        <v>6.404215205477672</v>
      </c>
      <c r="U1980" s="361">
        <f t="shared" si="2029"/>
        <v>8.1381564723606576</v>
      </c>
      <c r="V1980" s="362">
        <f t="shared" si="2029"/>
        <v>10.341562337252187</v>
      </c>
      <c r="X1980" s="351"/>
    </row>
    <row r="1981" spans="3:24" ht="24.75" customHeight="1" x14ac:dyDescent="0.3">
      <c r="C1981" s="353">
        <f>ABS(E1981-Dashboard!$F$14)</f>
        <v>33.972028061523588</v>
      </c>
      <c r="D1981" s="350">
        <f t="shared" si="1983"/>
        <v>0.27084999999998544</v>
      </c>
      <c r="E1981" s="359" cm="1">
        <f t="array" ref="E1981">1000*SUM('DRE + DCF'!$L$36/M1981,'DRE + DCF'!$N$36:$V$36/N1981:V1981,F1981/V1981)/Dashboard!$F$11</f>
        <v>63.017971938476407</v>
      </c>
      <c r="F1981" s="359">
        <f t="shared" si="1981"/>
        <v>9866193.9930646047</v>
      </c>
      <c r="G1981" s="359">
        <f>'DRE + DCF'!$W$31</f>
        <v>2791623.3540418856</v>
      </c>
      <c r="H1981" s="359">
        <f>'DRE + DCF'!$W$32</f>
        <v>81081.931703745853</v>
      </c>
      <c r="I1981" s="359">
        <f>-H1981*('DRE + DCF'!$V$33+K1981)/'DRE + DCF'!$V$33</f>
        <v>-90858.801614444121</v>
      </c>
      <c r="J1981" s="359">
        <f>-'DRE + DCF'!$V$56*L1981</f>
        <v>-1188924.4255577971</v>
      </c>
      <c r="K1981" s="360">
        <f>(1+L1981)/(1+Ke!$O$12)-1</f>
        <v>2.0000000000000018E-2</v>
      </c>
      <c r="L1981" s="360">
        <f>'DRE + DCF'!$Y$31</f>
        <v>7.3550000000000004E-2</v>
      </c>
      <c r="M1981" s="361">
        <f>(1+D1981)^((5-Dashboard!$F$9)*3/12)</f>
        <v>1.1969354228430371</v>
      </c>
      <c r="N1981" s="361">
        <f t="shared" ref="N1981:V1981" si="2030">M1981*(1+$D1981)</f>
        <v>1.5211253821200563</v>
      </c>
      <c r="O1981" s="361">
        <f t="shared" si="2030"/>
        <v>1.9331221918672514</v>
      </c>
      <c r="P1981" s="361">
        <f t="shared" si="2030"/>
        <v>2.4567083375344683</v>
      </c>
      <c r="Q1981" s="361">
        <f t="shared" si="2030"/>
        <v>3.1221077907556429</v>
      </c>
      <c r="R1981" s="361">
        <f t="shared" si="2030"/>
        <v>3.9677306858817634</v>
      </c>
      <c r="S1981" s="361">
        <f t="shared" si="2030"/>
        <v>5.0423905421527806</v>
      </c>
      <c r="T1981" s="361">
        <f t="shared" si="2030"/>
        <v>6.4081220204947877</v>
      </c>
      <c r="U1981" s="361">
        <f t="shared" si="2030"/>
        <v>8.1437618697457079</v>
      </c>
      <c r="V1981" s="362">
        <f t="shared" si="2030"/>
        <v>10.349499772166213</v>
      </c>
      <c r="X1981" s="351"/>
    </row>
    <row r="1982" spans="3:24" ht="24.75" customHeight="1" x14ac:dyDescent="0.3">
      <c r="C1982" s="353">
        <f>ABS(E1982-Dashboard!$F$14)</f>
        <v>34.008848252483453</v>
      </c>
      <c r="D1982" s="350">
        <f t="shared" si="1983"/>
        <v>0.27094999999998542</v>
      </c>
      <c r="E1982" s="359" cm="1">
        <f t="array" ref="E1982">1000*SUM('DRE + DCF'!$L$36/M1982,'DRE + DCF'!$N$36:$V$36/N1982:V1982,F1982/V1982)/Dashboard!$F$11</f>
        <v>62.981151747516542</v>
      </c>
      <c r="F1982" s="359">
        <f t="shared" si="1981"/>
        <v>9861956.7143587656</v>
      </c>
      <c r="G1982" s="359">
        <f>'DRE + DCF'!$W$31</f>
        <v>2791623.3540418856</v>
      </c>
      <c r="H1982" s="359">
        <f>'DRE + DCF'!$W$32</f>
        <v>81081.931703745853</v>
      </c>
      <c r="I1982" s="359">
        <f>-H1982*('DRE + DCF'!$V$33+K1982)/'DRE + DCF'!$V$33</f>
        <v>-90858.801614444121</v>
      </c>
      <c r="J1982" s="359">
        <f>-'DRE + DCF'!$V$56*L1982</f>
        <v>-1188924.4255577971</v>
      </c>
      <c r="K1982" s="360">
        <f>(1+L1982)/(1+Ke!$O$12)-1</f>
        <v>2.0000000000000018E-2</v>
      </c>
      <c r="L1982" s="360">
        <f>'DRE + DCF'!$Y$31</f>
        <v>7.3550000000000004E-2</v>
      </c>
      <c r="M1982" s="361">
        <f>(1+D1982)^((5-Dashboard!$F$9)*3/12)</f>
        <v>1.1970060600337116</v>
      </c>
      <c r="N1982" s="361">
        <f t="shared" ref="N1982:V1982" si="2031">M1982*(1+$D1982)</f>
        <v>1.5213348519998282</v>
      </c>
      <c r="O1982" s="361">
        <f t="shared" si="2031"/>
        <v>1.9335405301491595</v>
      </c>
      <c r="P1982" s="361">
        <f t="shared" si="2031"/>
        <v>2.4574333367930459</v>
      </c>
      <c r="Q1982" s="361">
        <f t="shared" si="2031"/>
        <v>3.1232748993970856</v>
      </c>
      <c r="R1982" s="361">
        <f t="shared" si="2031"/>
        <v>3.96952623338868</v>
      </c>
      <c r="S1982" s="361">
        <f t="shared" si="2031"/>
        <v>5.0450693663252846</v>
      </c>
      <c r="T1982" s="361">
        <f t="shared" si="2031"/>
        <v>6.4120309111310467</v>
      </c>
      <c r="U1982" s="361">
        <f t="shared" si="2031"/>
        <v>8.1493706865019107</v>
      </c>
      <c r="V1982" s="362">
        <f t="shared" si="2031"/>
        <v>10.357442674009484</v>
      </c>
      <c r="X1982" s="351"/>
    </row>
    <row r="1983" spans="3:24" ht="24.75" customHeight="1" x14ac:dyDescent="0.3">
      <c r="C1983" s="353">
        <f>ABS(E1983-Dashboard!$F$14)</f>
        <v>34.045630551714609</v>
      </c>
      <c r="D1983" s="350">
        <f t="shared" si="1983"/>
        <v>0.27104999999998541</v>
      </c>
      <c r="E1983" s="359" cm="1">
        <f t="array" ref="E1983">1000*SUM('DRE + DCF'!$L$36/M1983,'DRE + DCF'!$N$36:$V$36/N1983:V1983,F1983/V1983)/Dashboard!$F$11</f>
        <v>62.944369448285386</v>
      </c>
      <c r="F1983" s="359">
        <f t="shared" si="1981"/>
        <v>9857723.1654848661</v>
      </c>
      <c r="G1983" s="359">
        <f>'DRE + DCF'!$W$31</f>
        <v>2791623.3540418856</v>
      </c>
      <c r="H1983" s="359">
        <f>'DRE + DCF'!$W$32</f>
        <v>81081.931703745853</v>
      </c>
      <c r="I1983" s="359">
        <f>-H1983*('DRE + DCF'!$V$33+K1983)/'DRE + DCF'!$V$33</f>
        <v>-90858.801614444121</v>
      </c>
      <c r="J1983" s="359">
        <f>-'DRE + DCF'!$V$56*L1983</f>
        <v>-1188924.4255577971</v>
      </c>
      <c r="K1983" s="360">
        <f>(1+L1983)/(1+Ke!$O$12)-1</f>
        <v>2.0000000000000018E-2</v>
      </c>
      <c r="L1983" s="360">
        <f>'DRE + DCF'!$Y$31</f>
        <v>7.3550000000000004E-2</v>
      </c>
      <c r="M1983" s="361">
        <f>(1+D1983)^((5-Dashboard!$F$9)*3/12)</f>
        <v>1.197076695834943</v>
      </c>
      <c r="N1983" s="361">
        <f t="shared" ref="N1983:V1983" si="2032">M1983*(1+$D1983)</f>
        <v>1.5215443342409869</v>
      </c>
      <c r="O1983" s="361">
        <f t="shared" si="2032"/>
        <v>1.933958926036984</v>
      </c>
      <c r="P1983" s="361">
        <f t="shared" si="2032"/>
        <v>2.4581584929392801</v>
      </c>
      <c r="Q1983" s="361">
        <f t="shared" si="2032"/>
        <v>3.1244423524504361</v>
      </c>
      <c r="R1983" s="361">
        <f t="shared" si="2032"/>
        <v>3.9713224520820809</v>
      </c>
      <c r="S1983" s="361">
        <f t="shared" si="2032"/>
        <v>5.0477494027188712</v>
      </c>
      <c r="T1983" s="361">
        <f t="shared" si="2032"/>
        <v>6.4159418783257474</v>
      </c>
      <c r="U1983" s="361">
        <f t="shared" si="2032"/>
        <v>8.1549829244458465</v>
      </c>
      <c r="V1983" s="362">
        <f t="shared" si="2032"/>
        <v>10.365391046116773</v>
      </c>
      <c r="X1983" s="351"/>
    </row>
    <row r="1984" spans="3:24" ht="24.75" customHeight="1" x14ac:dyDescent="0.3">
      <c r="C1984" s="353">
        <f>ABS(E1984-Dashboard!$F$14)</f>
        <v>34.082375013568587</v>
      </c>
      <c r="D1984" s="350">
        <f t="shared" si="1983"/>
        <v>0.2711499999999854</v>
      </c>
      <c r="E1984" s="359" cm="1">
        <f t="array" ref="E1984">1000*SUM('DRE + DCF'!$L$36/M1984,'DRE + DCF'!$N$36:$V$36/N1984:V1984,F1984/V1984)/Dashboard!$F$11</f>
        <v>62.907624986431408</v>
      </c>
      <c r="F1984" s="359">
        <f t="shared" si="1981"/>
        <v>9853493.3414006718</v>
      </c>
      <c r="G1984" s="359">
        <f>'DRE + DCF'!$W$31</f>
        <v>2791623.3540418856</v>
      </c>
      <c r="H1984" s="359">
        <f>'DRE + DCF'!$W$32</f>
        <v>81081.931703745853</v>
      </c>
      <c r="I1984" s="359">
        <f>-H1984*('DRE + DCF'!$V$33+K1984)/'DRE + DCF'!$V$33</f>
        <v>-90858.801614444121</v>
      </c>
      <c r="J1984" s="359">
        <f>-'DRE + DCF'!$V$56*L1984</f>
        <v>-1188924.4255577971</v>
      </c>
      <c r="K1984" s="360">
        <f>(1+L1984)/(1+Ke!$O$12)-1</f>
        <v>2.0000000000000018E-2</v>
      </c>
      <c r="L1984" s="360">
        <f>'DRE + DCF'!$Y$31</f>
        <v>7.3550000000000004E-2</v>
      </c>
      <c r="M1984" s="361">
        <f>(1+D1984)^((5-Dashboard!$F$9)*3/12)</f>
        <v>1.1971473302468685</v>
      </c>
      <c r="N1984" s="361">
        <f t="shared" ref="N1984:V1984" si="2033">M1984*(1+$D1984)</f>
        <v>1.5217538288432892</v>
      </c>
      <c r="O1984" s="361">
        <f t="shared" si="2033"/>
        <v>1.9343773795341248</v>
      </c>
      <c r="P1984" s="361">
        <f t="shared" si="2033"/>
        <v>2.4588838059947742</v>
      </c>
      <c r="Q1984" s="361">
        <f t="shared" si="2033"/>
        <v>3.1256101499902211</v>
      </c>
      <c r="R1984" s="361">
        <f t="shared" si="2033"/>
        <v>3.9731193421600239</v>
      </c>
      <c r="S1984" s="361">
        <f t="shared" si="2033"/>
        <v>5.0504306517866562</v>
      </c>
      <c r="T1984" s="361">
        <f t="shared" si="2033"/>
        <v>6.4198549230185336</v>
      </c>
      <c r="U1984" s="361">
        <f t="shared" si="2033"/>
        <v>8.160598585394915</v>
      </c>
      <c r="V1984" s="362">
        <f t="shared" si="2033"/>
        <v>10.373344891824626</v>
      </c>
      <c r="X1984" s="351"/>
    </row>
    <row r="1985" spans="3:24" ht="24.75" customHeight="1" x14ac:dyDescent="0.3">
      <c r="C1985" s="353">
        <f>ABS(E1985-Dashboard!$F$14)</f>
        <v>34.119081692296298</v>
      </c>
      <c r="D1985" s="350">
        <f t="shared" si="1983"/>
        <v>0.27124999999998539</v>
      </c>
      <c r="E1985" s="359" cm="1">
        <f t="array" ref="E1985">1000*SUM('DRE + DCF'!$L$36/M1985,'DRE + DCF'!$N$36:$V$36/N1985:V1985,F1985/V1985)/Dashboard!$F$11</f>
        <v>62.870918307703697</v>
      </c>
      <c r="F1985" s="359">
        <f t="shared" si="1981"/>
        <v>9849267.2370732408</v>
      </c>
      <c r="G1985" s="359">
        <f>'DRE + DCF'!$W$31</f>
        <v>2791623.3540418856</v>
      </c>
      <c r="H1985" s="359">
        <f>'DRE + DCF'!$W$32</f>
        <v>81081.931703745853</v>
      </c>
      <c r="I1985" s="359">
        <f>-H1985*('DRE + DCF'!$V$33+K1985)/'DRE + DCF'!$V$33</f>
        <v>-90858.801614444121</v>
      </c>
      <c r="J1985" s="359">
        <f>-'DRE + DCF'!$V$56*L1985</f>
        <v>-1188924.4255577971</v>
      </c>
      <c r="K1985" s="360">
        <f>(1+L1985)/(1+Ke!$O$12)-1</f>
        <v>2.0000000000000018E-2</v>
      </c>
      <c r="L1985" s="360">
        <f>'DRE + DCF'!$Y$31</f>
        <v>7.3550000000000004E-2</v>
      </c>
      <c r="M1985" s="361">
        <f>(1+D1985)^((5-Dashboard!$F$9)*3/12)</f>
        <v>1.1972179632696243</v>
      </c>
      <c r="N1985" s="361">
        <f t="shared" ref="N1985:V1985" si="2034">M1985*(1+$D1985)</f>
        <v>1.5219633358064923</v>
      </c>
      <c r="O1985" s="361">
        <f t="shared" si="2034"/>
        <v>1.9347958906439811</v>
      </c>
      <c r="P1985" s="361">
        <f t="shared" si="2034"/>
        <v>2.4596092759811325</v>
      </c>
      <c r="Q1985" s="361">
        <f t="shared" si="2034"/>
        <v>3.1267782920909788</v>
      </c>
      <c r="R1985" s="361">
        <f t="shared" si="2034"/>
        <v>3.9749169038206111</v>
      </c>
      <c r="S1985" s="361">
        <f t="shared" si="2034"/>
        <v>5.0531131139818939</v>
      </c>
      <c r="T1985" s="361">
        <f t="shared" si="2034"/>
        <v>6.4237700461494089</v>
      </c>
      <c r="U1985" s="361">
        <f t="shared" si="2034"/>
        <v>8.1662176711673418</v>
      </c>
      <c r="V1985" s="362">
        <f t="shared" si="2034"/>
        <v>10.381304214471363</v>
      </c>
      <c r="X1985" s="351"/>
    </row>
    <row r="1986" spans="3:24" ht="24.75" customHeight="1" x14ac:dyDescent="0.3">
      <c r="C1986" s="353">
        <f>ABS(E1986-Dashboard!$F$14)</f>
        <v>34.155750642048211</v>
      </c>
      <c r="D1986" s="350">
        <f t="shared" si="1983"/>
        <v>0.27134999999998538</v>
      </c>
      <c r="E1986" s="359" cm="1">
        <f t="array" ref="E1986">1000*SUM('DRE + DCF'!$L$36/M1986,'DRE + DCF'!$N$36:$V$36/N1986:V1986,F1986/V1986)/Dashboard!$F$11</f>
        <v>62.834249357951784</v>
      </c>
      <c r="F1986" s="359">
        <f t="shared" si="1981"/>
        <v>9845044.8474788889</v>
      </c>
      <c r="G1986" s="359">
        <f>'DRE + DCF'!$W$31</f>
        <v>2791623.3540418856</v>
      </c>
      <c r="H1986" s="359">
        <f>'DRE + DCF'!$W$32</f>
        <v>81081.931703745853</v>
      </c>
      <c r="I1986" s="359">
        <f>-H1986*('DRE + DCF'!$V$33+K1986)/'DRE + DCF'!$V$33</f>
        <v>-90858.801614444121</v>
      </c>
      <c r="J1986" s="359">
        <f>-'DRE + DCF'!$V$56*L1986</f>
        <v>-1188924.4255577971</v>
      </c>
      <c r="K1986" s="360">
        <f>(1+L1986)/(1+Ke!$O$12)-1</f>
        <v>2.0000000000000018E-2</v>
      </c>
      <c r="L1986" s="360">
        <f>'DRE + DCF'!$Y$31</f>
        <v>7.3550000000000004E-2</v>
      </c>
      <c r="M1986" s="361">
        <f>(1+D1986)^((5-Dashboard!$F$9)*3/12)</f>
        <v>1.1972885949033469</v>
      </c>
      <c r="N1986" s="361">
        <f t="shared" ref="N1986:V1986" si="2035">M1986*(1+$D1986)</f>
        <v>1.5221728551303526</v>
      </c>
      <c r="O1986" s="361">
        <f t="shared" si="2035"/>
        <v>1.9352144593699514</v>
      </c>
      <c r="P1986" s="361">
        <f t="shared" si="2035"/>
        <v>2.4603349029199593</v>
      </c>
      <c r="Q1986" s="361">
        <f t="shared" si="2035"/>
        <v>3.1279467788272539</v>
      </c>
      <c r="R1986" s="361">
        <f t="shared" si="2035"/>
        <v>3.9767151372619836</v>
      </c>
      <c r="S1986" s="361">
        <f t="shared" si="2035"/>
        <v>5.0557967897579648</v>
      </c>
      <c r="T1986" s="361">
        <f t="shared" si="2035"/>
        <v>6.4276872486587147</v>
      </c>
      <c r="U1986" s="361">
        <f t="shared" si="2035"/>
        <v>8.1718401835821624</v>
      </c>
      <c r="V1986" s="362">
        <f t="shared" si="2035"/>
        <v>10.389269017397062</v>
      </c>
      <c r="X1986" s="351"/>
    </row>
    <row r="1987" spans="3:24" ht="24.75" customHeight="1" x14ac:dyDescent="0.3">
      <c r="C1987" s="353">
        <f>ABS(E1987-Dashboard!$F$14)</f>
        <v>34.19238191687478</v>
      </c>
      <c r="D1987" s="350">
        <f t="shared" si="1983"/>
        <v>0.27144999999998537</v>
      </c>
      <c r="E1987" s="359" cm="1">
        <f t="array" ref="E1987">1000*SUM('DRE + DCF'!$L$36/M1987,'DRE + DCF'!$N$36:$V$36/N1987:V1987,F1987/V1987)/Dashboard!$F$11</f>
        <v>62.797618083125215</v>
      </c>
      <c r="F1987" s="359">
        <f t="shared" si="1981"/>
        <v>9840826.1676031854</v>
      </c>
      <c r="G1987" s="359">
        <f>'DRE + DCF'!$W$31</f>
        <v>2791623.3540418856</v>
      </c>
      <c r="H1987" s="359">
        <f>'DRE + DCF'!$W$32</f>
        <v>81081.931703745853</v>
      </c>
      <c r="I1987" s="359">
        <f>-H1987*('DRE + DCF'!$V$33+K1987)/'DRE + DCF'!$V$33</f>
        <v>-90858.801614444121</v>
      </c>
      <c r="J1987" s="359">
        <f>-'DRE + DCF'!$V$56*L1987</f>
        <v>-1188924.4255577971</v>
      </c>
      <c r="K1987" s="360">
        <f>(1+L1987)/(1+Ke!$O$12)-1</f>
        <v>2.0000000000000018E-2</v>
      </c>
      <c r="L1987" s="360">
        <f>'DRE + DCF'!$Y$31</f>
        <v>7.3550000000000004E-2</v>
      </c>
      <c r="M1987" s="361">
        <f>(1+D1987)^((5-Dashboard!$F$9)*3/12)</f>
        <v>1.1973592251481733</v>
      </c>
      <c r="N1987" s="361">
        <f t="shared" ref="N1987:V1987" si="2036">M1987*(1+$D1987)</f>
        <v>1.5223823868146273</v>
      </c>
      <c r="O1987" s="361">
        <f t="shared" si="2036"/>
        <v>1.9356330857154356</v>
      </c>
      <c r="P1987" s="361">
        <f t="shared" si="2036"/>
        <v>2.4610606868328619</v>
      </c>
      <c r="Q1987" s="361">
        <f t="shared" si="2036"/>
        <v>3.129115610273606</v>
      </c>
      <c r="R1987" s="361">
        <f t="shared" si="2036"/>
        <v>3.9785140426823302</v>
      </c>
      <c r="S1987" s="361">
        <f t="shared" si="2036"/>
        <v>5.0584816795683905</v>
      </c>
      <c r="T1987" s="361">
        <f t="shared" si="2036"/>
        <v>6.431606531487156</v>
      </c>
      <c r="U1987" s="361">
        <f t="shared" si="2036"/>
        <v>8.1774661244592508</v>
      </c>
      <c r="V1987" s="362">
        <f t="shared" si="2036"/>
        <v>10.397239303943595</v>
      </c>
      <c r="X1987" s="351"/>
    </row>
    <row r="1988" spans="3:24" ht="24.75" customHeight="1" x14ac:dyDescent="0.3">
      <c r="C1988" s="353">
        <f>ABS(E1988-Dashboard!$F$14)</f>
        <v>34.228975570726398</v>
      </c>
      <c r="D1988" s="350">
        <f t="shared" si="1983"/>
        <v>0.27154999999998536</v>
      </c>
      <c r="E1988" s="359" cm="1">
        <f t="array" ref="E1988">1000*SUM('DRE + DCF'!$L$36/M1988,'DRE + DCF'!$N$36:$V$36/N1988:V1988,F1988/V1988)/Dashboard!$F$11</f>
        <v>62.761024429273597</v>
      </c>
      <c r="F1988" s="359">
        <f t="shared" si="1981"/>
        <v>9836611.1924409121</v>
      </c>
      <c r="G1988" s="359">
        <f>'DRE + DCF'!$W$31</f>
        <v>2791623.3540418856</v>
      </c>
      <c r="H1988" s="359">
        <f>'DRE + DCF'!$W$32</f>
        <v>81081.931703745853</v>
      </c>
      <c r="I1988" s="359">
        <f>-H1988*('DRE + DCF'!$V$33+K1988)/'DRE + DCF'!$V$33</f>
        <v>-90858.801614444121</v>
      </c>
      <c r="J1988" s="359">
        <f>-'DRE + DCF'!$V$56*L1988</f>
        <v>-1188924.4255577971</v>
      </c>
      <c r="K1988" s="360">
        <f>(1+L1988)/(1+Ke!$O$12)-1</f>
        <v>2.0000000000000018E-2</v>
      </c>
      <c r="L1988" s="360">
        <f>'DRE + DCF'!$Y$31</f>
        <v>7.3550000000000004E-2</v>
      </c>
      <c r="M1988" s="361">
        <f>(1+D1988)^((5-Dashboard!$F$9)*3/12)</f>
        <v>1.1974298540042396</v>
      </c>
      <c r="N1988" s="361">
        <f t="shared" ref="N1988:V1988" si="2037">M1988*(1+$D1988)</f>
        <v>1.5225919308590734</v>
      </c>
      <c r="O1988" s="361">
        <f t="shared" si="2037"/>
        <v>1.9360517696838324</v>
      </c>
      <c r="P1988" s="361">
        <f t="shared" si="2037"/>
        <v>2.4617866277414486</v>
      </c>
      <c r="Q1988" s="361">
        <f t="shared" si="2037"/>
        <v>3.1302847865046028</v>
      </c>
      <c r="R1988" s="361">
        <f t="shared" si="2037"/>
        <v>3.9803136202798819</v>
      </c>
      <c r="S1988" s="361">
        <f t="shared" si="2037"/>
        <v>5.061167783866825</v>
      </c>
      <c r="T1988" s="361">
        <f t="shared" si="2037"/>
        <v>6.4355278955757873</v>
      </c>
      <c r="U1988" s="361">
        <f t="shared" si="2037"/>
        <v>8.1830954956192983</v>
      </c>
      <c r="V1988" s="362">
        <f t="shared" si="2037"/>
        <v>10.405215077454599</v>
      </c>
      <c r="X1988" s="351"/>
    </row>
    <row r="1989" spans="3:24" ht="24.75" customHeight="1" x14ac:dyDescent="0.3">
      <c r="C1989" s="353">
        <f>ABS(E1989-Dashboard!$F$14)</f>
        <v>34.26553165745382</v>
      </c>
      <c r="D1989" s="350">
        <f t="shared" si="1983"/>
        <v>0.27164999999998535</v>
      </c>
      <c r="E1989" s="359" cm="1">
        <f t="array" ref="E1989">1000*SUM('DRE + DCF'!$L$36/M1989,'DRE + DCF'!$N$36:$V$36/N1989:V1989,F1989/V1989)/Dashboard!$F$11</f>
        <v>62.724468342546174</v>
      </c>
      <c r="F1989" s="359">
        <f t="shared" si="1981"/>
        <v>9832399.9169960544</v>
      </c>
      <c r="G1989" s="359">
        <f>'DRE + DCF'!$W$31</f>
        <v>2791623.3540418856</v>
      </c>
      <c r="H1989" s="359">
        <f>'DRE + DCF'!$W$32</f>
        <v>81081.931703745853</v>
      </c>
      <c r="I1989" s="359">
        <f>-H1989*('DRE + DCF'!$V$33+K1989)/'DRE + DCF'!$V$33</f>
        <v>-90858.801614444121</v>
      </c>
      <c r="J1989" s="359">
        <f>-'DRE + DCF'!$V$56*L1989</f>
        <v>-1188924.4255577971</v>
      </c>
      <c r="K1989" s="360">
        <f>(1+L1989)/(1+Ke!$O$12)-1</f>
        <v>2.0000000000000018E-2</v>
      </c>
      <c r="L1989" s="360">
        <f>'DRE + DCF'!$Y$31</f>
        <v>7.3550000000000004E-2</v>
      </c>
      <c r="M1989" s="361">
        <f>(1+D1989)^((5-Dashboard!$F$9)*3/12)</f>
        <v>1.1975004814716828</v>
      </c>
      <c r="N1989" s="361">
        <f t="shared" ref="N1989:V1989" si="2038">M1989*(1+$D1989)</f>
        <v>1.5228014872634477</v>
      </c>
      <c r="O1989" s="361">
        <f t="shared" si="2038"/>
        <v>1.9364705112785408</v>
      </c>
      <c r="P1989" s="361">
        <f t="shared" si="2038"/>
        <v>2.4625127256673278</v>
      </c>
      <c r="Q1989" s="361">
        <f t="shared" si="2038"/>
        <v>3.1314543075948214</v>
      </c>
      <c r="R1989" s="361">
        <f t="shared" si="2038"/>
        <v>3.9821138702529084</v>
      </c>
      <c r="S1989" s="361">
        <f t="shared" si="2038"/>
        <v>5.063855103107052</v>
      </c>
      <c r="T1989" s="361">
        <f t="shared" si="2038"/>
        <v>6.4394513418660084</v>
      </c>
      <c r="U1989" s="361">
        <f t="shared" si="2038"/>
        <v>8.1887282988838148</v>
      </c>
      <c r="V1989" s="362">
        <f t="shared" si="2038"/>
        <v>10.413196341275484</v>
      </c>
      <c r="X1989" s="351"/>
    </row>
    <row r="1990" spans="3:24" ht="24.75" customHeight="1" x14ac:dyDescent="0.3">
      <c r="C1990" s="353">
        <f>ABS(E1990-Dashboard!$F$14)</f>
        <v>34.302050230808383</v>
      </c>
      <c r="D1990" s="350">
        <f t="shared" si="1983"/>
        <v>0.27174999999998534</v>
      </c>
      <c r="E1990" s="359" cm="1">
        <f t="array" ref="E1990">1000*SUM('DRE + DCF'!$L$36/M1990,'DRE + DCF'!$N$36:$V$36/N1990:V1990,F1990/V1990)/Dashboard!$F$11</f>
        <v>62.687949769191611</v>
      </c>
      <c r="F1990" s="359">
        <f t="shared" si="1981"/>
        <v>9828192.3362817802</v>
      </c>
      <c r="G1990" s="359">
        <f>'DRE + DCF'!$W$31</f>
        <v>2791623.3540418856</v>
      </c>
      <c r="H1990" s="359">
        <f>'DRE + DCF'!$W$32</f>
        <v>81081.931703745853</v>
      </c>
      <c r="I1990" s="359">
        <f>-H1990*('DRE + DCF'!$V$33+K1990)/'DRE + DCF'!$V$33</f>
        <v>-90858.801614444121</v>
      </c>
      <c r="J1990" s="359">
        <f>-'DRE + DCF'!$V$56*L1990</f>
        <v>-1188924.4255577971</v>
      </c>
      <c r="K1990" s="360">
        <f>(1+L1990)/(1+Ke!$O$12)-1</f>
        <v>2.0000000000000018E-2</v>
      </c>
      <c r="L1990" s="360">
        <f>'DRE + DCF'!$Y$31</f>
        <v>7.3550000000000004E-2</v>
      </c>
      <c r="M1990" s="361">
        <f>(1+D1990)^((5-Dashboard!$F$9)*3/12)</f>
        <v>1.197571107550639</v>
      </c>
      <c r="N1990" s="361">
        <f t="shared" ref="N1990:V1990" si="2039">M1990*(1+$D1990)</f>
        <v>1.5230110560275074</v>
      </c>
      <c r="O1990" s="361">
        <f t="shared" si="2039"/>
        <v>1.9368893105029601</v>
      </c>
      <c r="P1990" s="361">
        <f t="shared" si="2039"/>
        <v>2.4632389806321111</v>
      </c>
      <c r="Q1990" s="361">
        <f t="shared" si="2039"/>
        <v>3.1326241736188511</v>
      </c>
      <c r="R1990" s="361">
        <f t="shared" si="2039"/>
        <v>3.983914792799728</v>
      </c>
      <c r="S1990" s="361">
        <f t="shared" si="2039"/>
        <v>5.0665436377429955</v>
      </c>
      <c r="T1990" s="361">
        <f t="shared" si="2039"/>
        <v>6.4433768712995798</v>
      </c>
      <c r="U1990" s="361">
        <f t="shared" si="2039"/>
        <v>8.1943645360751454</v>
      </c>
      <c r="V1990" s="362">
        <f t="shared" si="2039"/>
        <v>10.421183098753446</v>
      </c>
      <c r="X1990" s="351"/>
    </row>
    <row r="1991" spans="3:24" ht="24.75" customHeight="1" x14ac:dyDescent="0.3">
      <c r="C1991" s="353">
        <f>ABS(E1991-Dashboard!$F$14)</f>
        <v>34.33853134444211</v>
      </c>
      <c r="D1991" s="350">
        <f t="shared" si="1983"/>
        <v>0.27184999999998533</v>
      </c>
      <c r="E1991" s="359" cm="1">
        <f t="array" ref="E1991">1000*SUM('DRE + DCF'!$L$36/M1991,'DRE + DCF'!$N$36:$V$36/N1991:V1991,F1991/V1991)/Dashboard!$F$11</f>
        <v>62.651468655557885</v>
      </c>
      <c r="F1991" s="359">
        <f t="shared" si="1981"/>
        <v>9823988.4453204144</v>
      </c>
      <c r="G1991" s="359">
        <f>'DRE + DCF'!$W$31</f>
        <v>2791623.3540418856</v>
      </c>
      <c r="H1991" s="359">
        <f>'DRE + DCF'!$W$32</f>
        <v>81081.931703745853</v>
      </c>
      <c r="I1991" s="359">
        <f>-H1991*('DRE + DCF'!$V$33+K1991)/'DRE + DCF'!$V$33</f>
        <v>-90858.801614444121</v>
      </c>
      <c r="J1991" s="359">
        <f>-'DRE + DCF'!$V$56*L1991</f>
        <v>-1188924.4255577971</v>
      </c>
      <c r="K1991" s="360">
        <f>(1+L1991)/(1+Ke!$O$12)-1</f>
        <v>2.0000000000000018E-2</v>
      </c>
      <c r="L1991" s="360">
        <f>'DRE + DCF'!$Y$31</f>
        <v>7.3550000000000004E-2</v>
      </c>
      <c r="M1991" s="361">
        <f>(1+D1991)^((5-Dashboard!$F$9)*3/12)</f>
        <v>1.1976417322412447</v>
      </c>
      <c r="N1991" s="361">
        <f t="shared" ref="N1991:V1991" si="2040">M1991*(1+$D1991)</f>
        <v>1.5232206371510095</v>
      </c>
      <c r="O1991" s="361">
        <f t="shared" si="2040"/>
        <v>1.9373081673604891</v>
      </c>
      <c r="P1991" s="361">
        <f t="shared" si="2040"/>
        <v>2.4639653926574097</v>
      </c>
      <c r="Q1991" s="361">
        <f t="shared" si="2040"/>
        <v>3.1337943846512903</v>
      </c>
      <c r="R1991" s="361">
        <f t="shared" si="2040"/>
        <v>3.9857163881186977</v>
      </c>
      <c r="S1991" s="361">
        <f t="shared" si="2040"/>
        <v>5.0692333882287066</v>
      </c>
      <c r="T1991" s="361">
        <f t="shared" si="2040"/>
        <v>6.4473044848186056</v>
      </c>
      <c r="U1991" s="361">
        <f t="shared" si="2040"/>
        <v>8.2000042090164484</v>
      </c>
      <c r="V1991" s="362">
        <f t="shared" si="2040"/>
        <v>10.429175353237449</v>
      </c>
      <c r="X1991" s="351"/>
    </row>
    <row r="1992" spans="3:24" ht="24.75" customHeight="1" x14ac:dyDescent="0.3">
      <c r="C1992" s="353">
        <f>ABS(E1992-Dashboard!$F$14)</f>
        <v>34.374975051908031</v>
      </c>
      <c r="D1992" s="350">
        <f t="shared" si="1983"/>
        <v>0.27194999999998531</v>
      </c>
      <c r="E1992" s="359" cm="1">
        <f t="array" ref="E1992">1000*SUM('DRE + DCF'!$L$36/M1992,'DRE + DCF'!$N$36:$V$36/N1992:V1992,F1992/V1992)/Dashboard!$F$11</f>
        <v>62.615024948091964</v>
      </c>
      <c r="F1992" s="359">
        <f t="shared" si="1981"/>
        <v>9819788.2391434088</v>
      </c>
      <c r="G1992" s="359">
        <f>'DRE + DCF'!$W$31</f>
        <v>2791623.3540418856</v>
      </c>
      <c r="H1992" s="359">
        <f>'DRE + DCF'!$W$32</f>
        <v>81081.931703745853</v>
      </c>
      <c r="I1992" s="359">
        <f>-H1992*('DRE + DCF'!$V$33+K1992)/'DRE + DCF'!$V$33</f>
        <v>-90858.801614444121</v>
      </c>
      <c r="J1992" s="359">
        <f>-'DRE + DCF'!$V$56*L1992</f>
        <v>-1188924.4255577971</v>
      </c>
      <c r="K1992" s="360">
        <f>(1+L1992)/(1+Ke!$O$12)-1</f>
        <v>2.0000000000000018E-2</v>
      </c>
      <c r="L1992" s="360">
        <f>'DRE + DCF'!$Y$31</f>
        <v>7.3550000000000004E-2</v>
      </c>
      <c r="M1992" s="361">
        <f>(1+D1992)^((5-Dashboard!$F$9)*3/12)</f>
        <v>1.1977123555436364</v>
      </c>
      <c r="N1992" s="361">
        <f t="shared" ref="N1992:V1992" si="2041">M1992*(1+$D1992)</f>
        <v>1.5234302306337106</v>
      </c>
      <c r="O1992" s="361">
        <f t="shared" si="2041"/>
        <v>1.9377270818545258</v>
      </c>
      <c r="P1992" s="361">
        <f t="shared" si="2041"/>
        <v>2.4646919617648355</v>
      </c>
      <c r="Q1992" s="361">
        <f t="shared" si="2041"/>
        <v>3.1349649407667464</v>
      </c>
      <c r="R1992" s="361">
        <f t="shared" si="2041"/>
        <v>3.9875186564082168</v>
      </c>
      <c r="S1992" s="361">
        <f t="shared" si="2041"/>
        <v>5.0719243550183721</v>
      </c>
      <c r="T1992" s="361">
        <f t="shared" si="2041"/>
        <v>6.4512341833655436</v>
      </c>
      <c r="U1992" s="361">
        <f t="shared" si="2041"/>
        <v>8.2056473195317086</v>
      </c>
      <c r="V1992" s="362">
        <f t="shared" si="2041"/>
        <v>10.437173108078236</v>
      </c>
      <c r="X1992" s="351"/>
    </row>
    <row r="1993" spans="3:24" ht="24.75" customHeight="1" x14ac:dyDescent="0.3">
      <c r="C1993" s="353">
        <f>ABS(E1993-Dashboard!$F$14)</f>
        <v>34.411381406660453</v>
      </c>
      <c r="D1993" s="350">
        <f t="shared" si="1983"/>
        <v>0.2720499999999853</v>
      </c>
      <c r="E1993" s="359" cm="1">
        <f t="array" ref="E1993">1000*SUM('DRE + DCF'!$L$36/M1993,'DRE + DCF'!$N$36:$V$36/N1993:V1993,F1993/V1993)/Dashboard!$F$11</f>
        <v>62.578618593339542</v>
      </c>
      <c r="F1993" s="359">
        <f t="shared" si="1981"/>
        <v>9815591.7127913442</v>
      </c>
      <c r="G1993" s="359">
        <f>'DRE + DCF'!$W$31</f>
        <v>2791623.3540418856</v>
      </c>
      <c r="H1993" s="359">
        <f>'DRE + DCF'!$W$32</f>
        <v>81081.931703745853</v>
      </c>
      <c r="I1993" s="359">
        <f>-H1993*('DRE + DCF'!$V$33+K1993)/'DRE + DCF'!$V$33</f>
        <v>-90858.801614444121</v>
      </c>
      <c r="J1993" s="359">
        <f>-'DRE + DCF'!$V$56*L1993</f>
        <v>-1188924.4255577971</v>
      </c>
      <c r="K1993" s="360">
        <f>(1+L1993)/(1+Ke!$O$12)-1</f>
        <v>2.0000000000000018E-2</v>
      </c>
      <c r="L1993" s="360">
        <f>'DRE + DCF'!$Y$31</f>
        <v>7.3550000000000004E-2</v>
      </c>
      <c r="M1993" s="361">
        <f>(1+D1993)^((5-Dashboard!$F$9)*3/12)</f>
        <v>1.1977829774579507</v>
      </c>
      <c r="N1993" s="361">
        <f t="shared" ref="N1993:V1993" si="2042">M1993*(1+$D1993)</f>
        <v>1.5236398364753685</v>
      </c>
      <c r="O1993" s="361">
        <f t="shared" si="2042"/>
        <v>1.9381460539884701</v>
      </c>
      <c r="P1993" s="361">
        <f t="shared" si="2042"/>
        <v>2.4654186879760047</v>
      </c>
      <c r="Q1993" s="361">
        <f t="shared" si="2042"/>
        <v>3.1361358420398404</v>
      </c>
      <c r="R1993" s="361">
        <f t="shared" si="2042"/>
        <v>3.9893215978667329</v>
      </c>
      <c r="S1993" s="361">
        <f t="shared" si="2042"/>
        <v>5.0746165385663184</v>
      </c>
      <c r="T1993" s="361">
        <f t="shared" si="2042"/>
        <v>6.455165967883211</v>
      </c>
      <c r="U1993" s="361">
        <f t="shared" si="2042"/>
        <v>8.2112938694457434</v>
      </c>
      <c r="V1993" s="362">
        <f t="shared" si="2042"/>
        <v>10.445176366628337</v>
      </c>
      <c r="X1993" s="351"/>
    </row>
    <row r="1994" spans="3:24" ht="24.75" customHeight="1" x14ac:dyDescent="0.3">
      <c r="C1994" s="353">
        <f>ABS(E1994-Dashboard!$F$14)</f>
        <v>34.447750462055041</v>
      </c>
      <c r="D1994" s="350">
        <f t="shared" si="1983"/>
        <v>0.27214999999998529</v>
      </c>
      <c r="E1994" s="359" cm="1">
        <f t="array" ref="E1994">1000*SUM('DRE + DCF'!$L$36/M1994,'DRE + DCF'!$N$36:$V$36/N1994:V1994,F1994/V1994)/Dashboard!$F$11</f>
        <v>62.542249537944954</v>
      </c>
      <c r="F1994" s="359">
        <f t="shared" si="1981"/>
        <v>9811398.8613138814</v>
      </c>
      <c r="G1994" s="359">
        <f>'DRE + DCF'!$W$31</f>
        <v>2791623.3540418856</v>
      </c>
      <c r="H1994" s="359">
        <f>'DRE + DCF'!$W$32</f>
        <v>81081.931703745853</v>
      </c>
      <c r="I1994" s="359">
        <f>-H1994*('DRE + DCF'!$V$33+K1994)/'DRE + DCF'!$V$33</f>
        <v>-90858.801614444121</v>
      </c>
      <c r="J1994" s="359">
        <f>-'DRE + DCF'!$V$56*L1994</f>
        <v>-1188924.4255577971</v>
      </c>
      <c r="K1994" s="360">
        <f>(1+L1994)/(1+Ke!$O$12)-1</f>
        <v>2.0000000000000018E-2</v>
      </c>
      <c r="L1994" s="360">
        <f>'DRE + DCF'!$Y$31</f>
        <v>7.3550000000000004E-2</v>
      </c>
      <c r="M1994" s="361">
        <f>(1+D1994)^((5-Dashboard!$F$9)*3/12)</f>
        <v>1.1978535979843239</v>
      </c>
      <c r="N1994" s="361">
        <f t="shared" ref="N1994:V1994" si="2043">M1994*(1+$D1994)</f>
        <v>1.52384945467574</v>
      </c>
      <c r="O1994" s="361">
        <f t="shared" si="2043"/>
        <v>1.93856508376572</v>
      </c>
      <c r="P1994" s="361">
        <f t="shared" si="2043"/>
        <v>2.466145571312532</v>
      </c>
      <c r="Q1994" s="361">
        <f t="shared" si="2043"/>
        <v>3.1373070885452012</v>
      </c>
      <c r="R1994" s="361">
        <f t="shared" si="2043"/>
        <v>3.9911252126927312</v>
      </c>
      <c r="S1994" s="361">
        <f t="shared" si="2043"/>
        <v>5.0773099393269989</v>
      </c>
      <c r="T1994" s="361">
        <f t="shared" si="2043"/>
        <v>6.4590998393147672</v>
      </c>
      <c r="U1994" s="361">
        <f t="shared" si="2043"/>
        <v>8.2169438605841858</v>
      </c>
      <c r="V1994" s="362">
        <f t="shared" si="2043"/>
        <v>10.453185132242051</v>
      </c>
      <c r="X1994" s="351"/>
    </row>
    <row r="1995" spans="3:24" ht="24.75" customHeight="1" x14ac:dyDescent="0.3">
      <c r="C1995" s="353">
        <f>ABS(E1995-Dashboard!$F$14)</f>
        <v>34.48408227134918</v>
      </c>
      <c r="D1995" s="350">
        <f t="shared" si="1983"/>
        <v>0.27224999999998528</v>
      </c>
      <c r="E1995" s="359" cm="1">
        <f t="array" ref="E1995">1000*SUM('DRE + DCF'!$L$36/M1995,'DRE + DCF'!$N$36:$V$36/N1995:V1995,F1995/V1995)/Dashboard!$F$11</f>
        <v>62.505917728650815</v>
      </c>
      <c r="F1995" s="359">
        <f t="shared" si="1981"/>
        <v>9807209.6797697619</v>
      </c>
      <c r="G1995" s="359">
        <f>'DRE + DCF'!$W$31</f>
        <v>2791623.3540418856</v>
      </c>
      <c r="H1995" s="359">
        <f>'DRE + DCF'!$W$32</f>
        <v>81081.931703745853</v>
      </c>
      <c r="I1995" s="359">
        <f>-H1995*('DRE + DCF'!$V$33+K1995)/'DRE + DCF'!$V$33</f>
        <v>-90858.801614444121</v>
      </c>
      <c r="J1995" s="359">
        <f>-'DRE + DCF'!$V$56*L1995</f>
        <v>-1188924.4255577971</v>
      </c>
      <c r="K1995" s="360">
        <f>(1+L1995)/(1+Ke!$O$12)-1</f>
        <v>2.0000000000000018E-2</v>
      </c>
      <c r="L1995" s="360">
        <f>'DRE + DCF'!$Y$31</f>
        <v>7.3550000000000004E-2</v>
      </c>
      <c r="M1995" s="361">
        <f>(1+D1995)^((5-Dashboard!$F$9)*3/12)</f>
        <v>1.1979242171228923</v>
      </c>
      <c r="N1995" s="361">
        <f t="shared" ref="N1995:V1995" si="2044">M1995*(1+$D1995)</f>
        <v>1.5240590852345821</v>
      </c>
      <c r="O1995" s="361">
        <f t="shared" si="2044"/>
        <v>1.9389841711896745</v>
      </c>
      <c r="P1995" s="361">
        <f t="shared" si="2044"/>
        <v>2.4668726117960347</v>
      </c>
      <c r="Q1995" s="361">
        <f t="shared" si="2044"/>
        <v>3.1384786803574687</v>
      </c>
      <c r="R1995" s="361">
        <f t="shared" si="2044"/>
        <v>3.9929295010847432</v>
      </c>
      <c r="S1995" s="361">
        <f t="shared" si="2044"/>
        <v>5.0800045577550055</v>
      </c>
      <c r="T1995" s="361">
        <f t="shared" si="2044"/>
        <v>6.4630357986037303</v>
      </c>
      <c r="U1995" s="361">
        <f t="shared" si="2044"/>
        <v>8.2225972947735002</v>
      </c>
      <c r="V1995" s="362">
        <f t="shared" si="2044"/>
        <v>10.461199408275464</v>
      </c>
      <c r="X1995" s="351"/>
    </row>
    <row r="1996" spans="3:24" ht="24.75" customHeight="1" x14ac:dyDescent="0.3">
      <c r="C1996" s="353">
        <f>ABS(E1996-Dashboard!$F$14)</f>
        <v>34.520376887702163</v>
      </c>
      <c r="D1996" s="350">
        <f t="shared" si="1983"/>
        <v>0.27234999999998527</v>
      </c>
      <c r="E1996" s="359" cm="1">
        <f t="array" ref="E1996">1000*SUM('DRE + DCF'!$L$36/M1996,'DRE + DCF'!$N$36:$V$36/N1996:V1996,F1996/V1996)/Dashboard!$F$11</f>
        <v>62.469623112297832</v>
      </c>
      <c r="F1996" s="359">
        <f t="shared" si="1981"/>
        <v>9803024.1632267758</v>
      </c>
      <c r="G1996" s="359">
        <f>'DRE + DCF'!$W$31</f>
        <v>2791623.3540418856</v>
      </c>
      <c r="H1996" s="359">
        <f>'DRE + DCF'!$W$32</f>
        <v>81081.931703745853</v>
      </c>
      <c r="I1996" s="359">
        <f>-H1996*('DRE + DCF'!$V$33+K1996)/'DRE + DCF'!$V$33</f>
        <v>-90858.801614444121</v>
      </c>
      <c r="J1996" s="359">
        <f>-'DRE + DCF'!$V$56*L1996</f>
        <v>-1188924.4255577971</v>
      </c>
      <c r="K1996" s="360">
        <f>(1+L1996)/(1+Ke!$O$12)-1</f>
        <v>2.0000000000000018E-2</v>
      </c>
      <c r="L1996" s="360">
        <f>'DRE + DCF'!$Y$31</f>
        <v>7.3550000000000004E-2</v>
      </c>
      <c r="M1996" s="361">
        <f>(1+D1996)^((5-Dashboard!$F$9)*3/12)</f>
        <v>1.1979948348737925</v>
      </c>
      <c r="N1996" s="361">
        <f t="shared" ref="N1996:V1996" si="2045">M1996*(1+$D1996)</f>
        <v>1.5242687281516523</v>
      </c>
      <c r="O1996" s="361">
        <f t="shared" si="2045"/>
        <v>1.9394033162637323</v>
      </c>
      <c r="P1996" s="361">
        <f t="shared" si="2045"/>
        <v>2.4675998094481311</v>
      </c>
      <c r="Q1996" s="361">
        <f t="shared" si="2045"/>
        <v>3.1396506175512933</v>
      </c>
      <c r="R1996" s="361">
        <f t="shared" si="2045"/>
        <v>3.9947344632413415</v>
      </c>
      <c r="S1996" s="361">
        <f t="shared" si="2045"/>
        <v>5.0827003943050615</v>
      </c>
      <c r="T1996" s="361">
        <f t="shared" si="2045"/>
        <v>6.4669738466939695</v>
      </c>
      <c r="U1996" s="361">
        <f t="shared" si="2045"/>
        <v>8.2282541738409769</v>
      </c>
      <c r="V1996" s="362">
        <f t="shared" si="2045"/>
        <v>10.469219198086446</v>
      </c>
      <c r="X1996" s="351"/>
    </row>
    <row r="1997" spans="3:24" ht="24.75" customHeight="1" x14ac:dyDescent="0.3">
      <c r="C1997" s="353">
        <f>ABS(E1997-Dashboard!$F$14)</f>
        <v>34.556634364175345</v>
      </c>
      <c r="D1997" s="350">
        <f t="shared" si="1983"/>
        <v>0.27244999999998526</v>
      </c>
      <c r="E1997" s="359" cm="1">
        <f t="array" ref="E1997">1000*SUM('DRE + DCF'!$L$36/M1997,'DRE + DCF'!$N$36:$V$36/N1997:V1997,F1997/V1997)/Dashboard!$F$11</f>
        <v>62.43336563582465</v>
      </c>
      <c r="F1997" s="359">
        <f t="shared" si="1981"/>
        <v>9798842.3067617416</v>
      </c>
      <c r="G1997" s="359">
        <f>'DRE + DCF'!$W$31</f>
        <v>2791623.3540418856</v>
      </c>
      <c r="H1997" s="359">
        <f>'DRE + DCF'!$W$32</f>
        <v>81081.931703745853</v>
      </c>
      <c r="I1997" s="359">
        <f>-H1997*('DRE + DCF'!$V$33+K1997)/'DRE + DCF'!$V$33</f>
        <v>-90858.801614444121</v>
      </c>
      <c r="J1997" s="359">
        <f>-'DRE + DCF'!$V$56*L1997</f>
        <v>-1188924.4255577971</v>
      </c>
      <c r="K1997" s="360">
        <f>(1+L1997)/(1+Ke!$O$12)-1</f>
        <v>2.0000000000000018E-2</v>
      </c>
      <c r="L1997" s="360">
        <f>'DRE + DCF'!$Y$31</f>
        <v>7.3550000000000004E-2</v>
      </c>
      <c r="M1997" s="361">
        <f>(1+D1997)^((5-Dashboard!$F$9)*3/12)</f>
        <v>1.1980654512371605</v>
      </c>
      <c r="N1997" s="361">
        <f t="shared" ref="N1997:V1997" si="2046">M1997*(1+$D1997)</f>
        <v>1.5244783834267071</v>
      </c>
      <c r="O1997" s="361">
        <f t="shared" si="2046"/>
        <v>1.9398225189912908</v>
      </c>
      <c r="P1997" s="361">
        <f t="shared" si="2046"/>
        <v>2.4683271642904394</v>
      </c>
      <c r="Q1997" s="361">
        <f t="shared" si="2046"/>
        <v>3.140822900201333</v>
      </c>
      <c r="R1997" s="361">
        <f t="shared" si="2046"/>
        <v>3.9965400993611397</v>
      </c>
      <c r="S1997" s="361">
        <f t="shared" si="2046"/>
        <v>5.0853974494320235</v>
      </c>
      <c r="T1997" s="361">
        <f t="shared" si="2046"/>
        <v>6.4709139845297035</v>
      </c>
      <c r="U1997" s="361">
        <f t="shared" si="2046"/>
        <v>8.2339144996147251</v>
      </c>
      <c r="V1997" s="362">
        <f t="shared" si="2046"/>
        <v>10.477244505034635</v>
      </c>
      <c r="X1997" s="351"/>
    </row>
    <row r="1998" spans="3:24" ht="24.75" customHeight="1" x14ac:dyDescent="0.3">
      <c r="C1998" s="353">
        <f>ABS(E1998-Dashboard!$F$14)</f>
        <v>34.592854753732468</v>
      </c>
      <c r="D1998" s="350">
        <f t="shared" si="1983"/>
        <v>0.27254999999998525</v>
      </c>
      <c r="E1998" s="359" cm="1">
        <f t="array" ref="E1998">1000*SUM('DRE + DCF'!$L$36/M1998,'DRE + DCF'!$N$36:$V$36/N1998:V1998,F1998/V1998)/Dashboard!$F$11</f>
        <v>62.397145246267527</v>
      </c>
      <c r="F1998" s="359">
        <f t="shared" ref="F1998:F2061" si="2047">AVERAGE(SUM(G1998:J1998)*(1+L1998)/(D1998-L1998),G1998*(1+L1998)*(1-L1998/D1998)/(D1998-L1998))</f>
        <v>9794664.105460491</v>
      </c>
      <c r="G1998" s="359">
        <f>'DRE + DCF'!$W$31</f>
        <v>2791623.3540418856</v>
      </c>
      <c r="H1998" s="359">
        <f>'DRE + DCF'!$W$32</f>
        <v>81081.931703745853</v>
      </c>
      <c r="I1998" s="359">
        <f>-H1998*('DRE + DCF'!$V$33+K1998)/'DRE + DCF'!$V$33</f>
        <v>-90858.801614444121</v>
      </c>
      <c r="J1998" s="359">
        <f>-'DRE + DCF'!$V$56*L1998</f>
        <v>-1188924.4255577971</v>
      </c>
      <c r="K1998" s="360">
        <f>(1+L1998)/(1+Ke!$O$12)-1</f>
        <v>2.0000000000000018E-2</v>
      </c>
      <c r="L1998" s="360">
        <f>'DRE + DCF'!$Y$31</f>
        <v>7.3550000000000004E-2</v>
      </c>
      <c r="M1998" s="361">
        <f>(1+D1998)^((5-Dashboard!$F$9)*3/12)</f>
        <v>1.1981360662131326</v>
      </c>
      <c r="N1998" s="361">
        <f t="shared" ref="N1998:V1998" si="2048">M1998*(1+$D1998)</f>
        <v>1.5246880510595042</v>
      </c>
      <c r="O1998" s="361">
        <f t="shared" si="2048"/>
        <v>1.9402417793757496</v>
      </c>
      <c r="P1998" s="361">
        <f t="shared" si="2048"/>
        <v>2.4690546763445815</v>
      </c>
      <c r="Q1998" s="361">
        <f t="shared" si="2048"/>
        <v>3.1419955283822607</v>
      </c>
      <c r="R1998" s="361">
        <f t="shared" si="2048"/>
        <v>3.9983464096427994</v>
      </c>
      <c r="S1998" s="361">
        <f t="shared" si="2048"/>
        <v>5.088095723590885</v>
      </c>
      <c r="T1998" s="361">
        <f t="shared" si="2048"/>
        <v>6.4748562130555056</v>
      </c>
      <c r="U1998" s="361">
        <f t="shared" si="2048"/>
        <v>8.2395782739236871</v>
      </c>
      <c r="V1998" s="362">
        <f t="shared" si="2048"/>
        <v>10.485275332481466</v>
      </c>
      <c r="X1998" s="351"/>
    </row>
    <row r="1999" spans="3:24" ht="24.75" customHeight="1" x14ac:dyDescent="0.3">
      <c r="C1999" s="353">
        <f>ABS(E1999-Dashboard!$F$14)</f>
        <v>34.629038109239822</v>
      </c>
      <c r="D1999" s="350">
        <f t="shared" ref="D1999:D2062" si="2049">D1998+0.0001</f>
        <v>0.27264999999998524</v>
      </c>
      <c r="E1999" s="359" cm="1">
        <f t="array" ref="E1999">1000*SUM('DRE + DCF'!$L$36/M1999,'DRE + DCF'!$N$36:$V$36/N1999:V1999,F1999/V1999)/Dashboard!$F$11</f>
        <v>62.360961890760173</v>
      </c>
      <c r="F1999" s="359">
        <f t="shared" si="2047"/>
        <v>9790489.5544178355</v>
      </c>
      <c r="G1999" s="359">
        <f>'DRE + DCF'!$W$31</f>
        <v>2791623.3540418856</v>
      </c>
      <c r="H1999" s="359">
        <f>'DRE + DCF'!$W$32</f>
        <v>81081.931703745853</v>
      </c>
      <c r="I1999" s="359">
        <f>-H1999*('DRE + DCF'!$V$33+K1999)/'DRE + DCF'!$V$33</f>
        <v>-90858.801614444121</v>
      </c>
      <c r="J1999" s="359">
        <f>-'DRE + DCF'!$V$56*L1999</f>
        <v>-1188924.4255577971</v>
      </c>
      <c r="K1999" s="360">
        <f>(1+L1999)/(1+Ke!$O$12)-1</f>
        <v>2.0000000000000018E-2</v>
      </c>
      <c r="L1999" s="360">
        <f>'DRE + DCF'!$Y$31</f>
        <v>7.3550000000000004E-2</v>
      </c>
      <c r="M1999" s="361">
        <f>(1+D1999)^((5-Dashboard!$F$9)*3/12)</f>
        <v>1.1982066798018454</v>
      </c>
      <c r="N1999" s="361">
        <f t="shared" ref="N1999:V1999" si="2050">M1999*(1+$D1999)</f>
        <v>1.5248977310498006</v>
      </c>
      <c r="O1999" s="361">
        <f t="shared" si="2050"/>
        <v>1.9406610974205063</v>
      </c>
      <c r="P1999" s="361">
        <f t="shared" si="2050"/>
        <v>2.4697823456321788</v>
      </c>
      <c r="Q1999" s="361">
        <f t="shared" si="2050"/>
        <v>3.1431685021687557</v>
      </c>
      <c r="R1999" s="361">
        <f t="shared" si="2050"/>
        <v>4.0001533942850207</v>
      </c>
      <c r="S1999" s="361">
        <f t="shared" si="2050"/>
        <v>5.0907952172367725</v>
      </c>
      <c r="T1999" s="361">
        <f t="shared" si="2050"/>
        <v>6.4788005332163028</v>
      </c>
      <c r="U1999" s="361">
        <f t="shared" si="2050"/>
        <v>8.2452454985976313</v>
      </c>
      <c r="V1999" s="362">
        <f t="shared" si="2050"/>
        <v>10.493311683790154</v>
      </c>
      <c r="X1999" s="351"/>
    </row>
    <row r="2000" spans="3:24" ht="24.75" customHeight="1" x14ac:dyDescent="0.3">
      <c r="C2000" s="353">
        <f>ABS(E2000-Dashboard!$F$14)</f>
        <v>34.665184483466504</v>
      </c>
      <c r="D2000" s="350">
        <f t="shared" si="2049"/>
        <v>0.27274999999998523</v>
      </c>
      <c r="E2000" s="359" cm="1">
        <f t="array" ref="E2000">1000*SUM('DRE + DCF'!$L$36/M2000,'DRE + DCF'!$N$36:$V$36/N2000:V2000,F2000/V2000)/Dashboard!$F$11</f>
        <v>62.324815516533491</v>
      </c>
      <c r="F2000" s="359">
        <f t="shared" si="2047"/>
        <v>9786318.648737561</v>
      </c>
      <c r="G2000" s="359">
        <f>'DRE + DCF'!$W$31</f>
        <v>2791623.3540418856</v>
      </c>
      <c r="H2000" s="359">
        <f>'DRE + DCF'!$W$32</f>
        <v>81081.931703745853</v>
      </c>
      <c r="I2000" s="359">
        <f>-H2000*('DRE + DCF'!$V$33+K2000)/'DRE + DCF'!$V$33</f>
        <v>-90858.801614444121</v>
      </c>
      <c r="J2000" s="359">
        <f>-'DRE + DCF'!$V$56*L2000</f>
        <v>-1188924.4255577971</v>
      </c>
      <c r="K2000" s="360">
        <f>(1+L2000)/(1+Ke!$O$12)-1</f>
        <v>2.0000000000000018E-2</v>
      </c>
      <c r="L2000" s="360">
        <f>'DRE + DCF'!$Y$31</f>
        <v>7.3550000000000004E-2</v>
      </c>
      <c r="M2000" s="361">
        <f>(1+D2000)^((5-Dashboard!$F$9)*3/12)</f>
        <v>1.1982772920034348</v>
      </c>
      <c r="N2000" s="361">
        <f t="shared" ref="N2000:V2000" si="2051">M2000*(1+$D2000)</f>
        <v>1.5251074233973538</v>
      </c>
      <c r="O2000" s="361">
        <f t="shared" si="2051"/>
        <v>1.9410804731289595</v>
      </c>
      <c r="P2000" s="361">
        <f t="shared" si="2051"/>
        <v>2.4705101721748544</v>
      </c>
      <c r="Q2000" s="361">
        <f t="shared" si="2051"/>
        <v>3.1443418216355092</v>
      </c>
      <c r="R2000" s="361">
        <f t="shared" si="2051"/>
        <v>4.0019610534865482</v>
      </c>
      <c r="S2000" s="361">
        <f t="shared" si="2051"/>
        <v>5.093495930824945</v>
      </c>
      <c r="T2000" s="361">
        <f t="shared" si="2051"/>
        <v>6.4827469459573734</v>
      </c>
      <c r="U2000" s="361">
        <f t="shared" si="2051"/>
        <v>8.2509161754671503</v>
      </c>
      <c r="V2000" s="362">
        <f t="shared" si="2051"/>
        <v>10.501353562325694</v>
      </c>
      <c r="X2000" s="351"/>
    </row>
    <row r="2001" spans="3:24" ht="24.75" customHeight="1" x14ac:dyDescent="0.3">
      <c r="C2001" s="353">
        <f>ABS(E2001-Dashboard!$F$14)</f>
        <v>34.701293929084564</v>
      </c>
      <c r="D2001" s="350">
        <f t="shared" si="2049"/>
        <v>0.27284999999998522</v>
      </c>
      <c r="E2001" s="359" cm="1">
        <f t="array" ref="E2001">1000*SUM('DRE + DCF'!$L$36/M2001,'DRE + DCF'!$N$36:$V$36/N2001:V2001,F2001/V2001)/Dashboard!$F$11</f>
        <v>62.288706070915431</v>
      </c>
      <c r="F2001" s="359">
        <f t="shared" si="2047"/>
        <v>9782151.3835323974</v>
      </c>
      <c r="G2001" s="359">
        <f>'DRE + DCF'!$W$31</f>
        <v>2791623.3540418856</v>
      </c>
      <c r="H2001" s="359">
        <f>'DRE + DCF'!$W$32</f>
        <v>81081.931703745853</v>
      </c>
      <c r="I2001" s="359">
        <f>-H2001*('DRE + DCF'!$V$33+K2001)/'DRE + DCF'!$V$33</f>
        <v>-90858.801614444121</v>
      </c>
      <c r="J2001" s="359">
        <f>-'DRE + DCF'!$V$56*L2001</f>
        <v>-1188924.4255577971</v>
      </c>
      <c r="K2001" s="360">
        <f>(1+L2001)/(1+Ke!$O$12)-1</f>
        <v>2.0000000000000018E-2</v>
      </c>
      <c r="L2001" s="360">
        <f>'DRE + DCF'!$Y$31</f>
        <v>7.3550000000000004E-2</v>
      </c>
      <c r="M2001" s="361">
        <f>(1+D2001)^((5-Dashboard!$F$9)*3/12)</f>
        <v>1.1983479028180373</v>
      </c>
      <c r="N2001" s="361">
        <f t="shared" ref="N2001:V2001" si="2052">M2001*(1+$D2001)</f>
        <v>1.5253171281019209</v>
      </c>
      <c r="O2001" s="361">
        <f t="shared" si="2052"/>
        <v>1.9414999065045073</v>
      </c>
      <c r="P2001" s="361">
        <f t="shared" si="2052"/>
        <v>2.4712381559942331</v>
      </c>
      <c r="Q2001" s="361">
        <f t="shared" si="2052"/>
        <v>3.145515486857223</v>
      </c>
      <c r="R2001" s="361">
        <f t="shared" si="2052"/>
        <v>4.0037693874461695</v>
      </c>
      <c r="S2001" s="361">
        <f t="shared" si="2052"/>
        <v>5.0961978648107973</v>
      </c>
      <c r="T2001" s="361">
        <f t="shared" si="2052"/>
        <v>6.4866954522243478</v>
      </c>
      <c r="U2001" s="361">
        <f t="shared" si="2052"/>
        <v>8.2565903063636643</v>
      </c>
      <c r="V2001" s="362">
        <f t="shared" si="2052"/>
        <v>10.509400971454868</v>
      </c>
      <c r="X2001" s="351"/>
    </row>
    <row r="2002" spans="3:24" ht="24.75" customHeight="1" x14ac:dyDescent="0.3">
      <c r="C2002" s="353">
        <f>ABS(E2002-Dashboard!$F$14)</f>
        <v>34.737366498669381</v>
      </c>
      <c r="D2002" s="350">
        <f t="shared" si="2049"/>
        <v>0.2729499999999852</v>
      </c>
      <c r="E2002" s="359" cm="1">
        <f t="array" ref="E2002">1000*SUM('DRE + DCF'!$L$36/M2002,'DRE + DCF'!$N$36:$V$36/N2002:V2002,F2002/V2002)/Dashboard!$F$11</f>
        <v>62.252633501330614</v>
      </c>
      <c r="F2002" s="359">
        <f t="shared" si="2047"/>
        <v>9777987.7539239954</v>
      </c>
      <c r="G2002" s="359">
        <f>'DRE + DCF'!$W$31</f>
        <v>2791623.3540418856</v>
      </c>
      <c r="H2002" s="359">
        <f>'DRE + DCF'!$W$32</f>
        <v>81081.931703745853</v>
      </c>
      <c r="I2002" s="359">
        <f>-H2002*('DRE + DCF'!$V$33+K2002)/'DRE + DCF'!$V$33</f>
        <v>-90858.801614444121</v>
      </c>
      <c r="J2002" s="359">
        <f>-'DRE + DCF'!$V$56*L2002</f>
        <v>-1188924.4255577971</v>
      </c>
      <c r="K2002" s="360">
        <f>(1+L2002)/(1+Ke!$O$12)-1</f>
        <v>2.0000000000000018E-2</v>
      </c>
      <c r="L2002" s="360">
        <f>'DRE + DCF'!$Y$31</f>
        <v>7.3550000000000004E-2</v>
      </c>
      <c r="M2002" s="361">
        <f>(1+D2002)^((5-Dashboard!$F$9)*3/12)</f>
        <v>1.1984185122457889</v>
      </c>
      <c r="N2002" s="361">
        <f t="shared" ref="N2002:V2002" si="2053">M2002*(1+$D2002)</f>
        <v>1.5255268451632591</v>
      </c>
      <c r="O2002" s="361">
        <f t="shared" si="2053"/>
        <v>1.941919397550548</v>
      </c>
      <c r="P2002" s="361">
        <f t="shared" si="2053"/>
        <v>2.4719662971119414</v>
      </c>
      <c r="Q2002" s="361">
        <f t="shared" si="2053"/>
        <v>3.1466894979086089</v>
      </c>
      <c r="R2002" s="361">
        <f t="shared" si="2053"/>
        <v>4.0055783963627167</v>
      </c>
      <c r="S2002" s="361">
        <f t="shared" si="2053"/>
        <v>5.098901019649861</v>
      </c>
      <c r="T2002" s="361">
        <f t="shared" si="2053"/>
        <v>6.4906460529632151</v>
      </c>
      <c r="U2002" s="361">
        <f t="shared" si="2053"/>
        <v>8.2622678931194287</v>
      </c>
      <c r="V2002" s="362">
        <f t="shared" si="2053"/>
        <v>10.517453914546254</v>
      </c>
      <c r="X2002" s="351"/>
    </row>
    <row r="2003" spans="3:24" ht="24.75" customHeight="1" x14ac:dyDescent="0.3">
      <c r="C2003" s="353">
        <f>ABS(E2003-Dashboard!$F$14)</f>
        <v>34.773402244699696</v>
      </c>
      <c r="D2003" s="350">
        <f t="shared" si="2049"/>
        <v>0.27304999999998519</v>
      </c>
      <c r="E2003" s="359" cm="1">
        <f t="array" ref="E2003">1000*SUM('DRE + DCF'!$L$36/M2003,'DRE + DCF'!$N$36:$V$36/N2003:V2003,F2003/V2003)/Dashboard!$F$11</f>
        <v>62.216597755300299</v>
      </c>
      <c r="F2003" s="359">
        <f t="shared" si="2047"/>
        <v>9773827.755042918</v>
      </c>
      <c r="G2003" s="359">
        <f>'DRE + DCF'!$W$31</f>
        <v>2791623.3540418856</v>
      </c>
      <c r="H2003" s="359">
        <f>'DRE + DCF'!$W$32</f>
        <v>81081.931703745853</v>
      </c>
      <c r="I2003" s="359">
        <f>-H2003*('DRE + DCF'!$V$33+K2003)/'DRE + DCF'!$V$33</f>
        <v>-90858.801614444121</v>
      </c>
      <c r="J2003" s="359">
        <f>-'DRE + DCF'!$V$56*L2003</f>
        <v>-1188924.4255577971</v>
      </c>
      <c r="K2003" s="360">
        <f>(1+L2003)/(1+Ke!$O$12)-1</f>
        <v>2.0000000000000018E-2</v>
      </c>
      <c r="L2003" s="360">
        <f>'DRE + DCF'!$Y$31</f>
        <v>7.3550000000000004E-2</v>
      </c>
      <c r="M2003" s="361">
        <f>(1+D2003)^((5-Dashboard!$F$9)*3/12)</f>
        <v>1.198489120286826</v>
      </c>
      <c r="N2003" s="361">
        <f t="shared" ref="N2003:V2003" si="2054">M2003*(1+$D2003)</f>
        <v>1.525736574581126</v>
      </c>
      <c r="O2003" s="361">
        <f t="shared" si="2054"/>
        <v>1.9423389462704799</v>
      </c>
      <c r="P2003" s="361">
        <f t="shared" si="2054"/>
        <v>2.4726945955496054</v>
      </c>
      <c r="Q2003" s="361">
        <f t="shared" si="2054"/>
        <v>3.1478638548643882</v>
      </c>
      <c r="R2003" s="361">
        <f t="shared" si="2054"/>
        <v>4.0073880804350628</v>
      </c>
      <c r="S2003" s="361">
        <f t="shared" si="2054"/>
        <v>5.1016053957977974</v>
      </c>
      <c r="T2003" s="361">
        <f t="shared" si="2054"/>
        <v>6.4945987491203105</v>
      </c>
      <c r="U2003" s="361">
        <f t="shared" si="2054"/>
        <v>8.2679489375675157</v>
      </c>
      <c r="V2003" s="362">
        <f t="shared" si="2054"/>
        <v>10.525512394970203</v>
      </c>
      <c r="X2003" s="351"/>
    </row>
    <row r="2004" spans="3:24" ht="24.75" customHeight="1" x14ac:dyDescent="0.3">
      <c r="C2004" s="353">
        <f>ABS(E2004-Dashboard!$F$14)</f>
        <v>34.809401219557934</v>
      </c>
      <c r="D2004" s="350">
        <f t="shared" si="2049"/>
        <v>0.27314999999998518</v>
      </c>
      <c r="E2004" s="359" cm="1">
        <f t="array" ref="E2004">1000*SUM('DRE + DCF'!$L$36/M2004,'DRE + DCF'!$N$36:$V$36/N2004:V2004,F2004/V2004)/Dashboard!$F$11</f>
        <v>62.180598780442061</v>
      </c>
      <c r="F2004" s="359">
        <f t="shared" si="2047"/>
        <v>9769671.3820286021</v>
      </c>
      <c r="G2004" s="359">
        <f>'DRE + DCF'!$W$31</f>
        <v>2791623.3540418856</v>
      </c>
      <c r="H2004" s="359">
        <f>'DRE + DCF'!$W$32</f>
        <v>81081.931703745853</v>
      </c>
      <c r="I2004" s="359">
        <f>-H2004*('DRE + DCF'!$V$33+K2004)/'DRE + DCF'!$V$33</f>
        <v>-90858.801614444121</v>
      </c>
      <c r="J2004" s="359">
        <f>-'DRE + DCF'!$V$56*L2004</f>
        <v>-1188924.4255577971</v>
      </c>
      <c r="K2004" s="360">
        <f>(1+L2004)/(1+Ke!$O$12)-1</f>
        <v>2.0000000000000018E-2</v>
      </c>
      <c r="L2004" s="360">
        <f>'DRE + DCF'!$Y$31</f>
        <v>7.3550000000000004E-2</v>
      </c>
      <c r="M2004" s="361">
        <f>(1+D2004)^((5-Dashboard!$F$9)*3/12)</f>
        <v>1.1985597269412847</v>
      </c>
      <c r="N2004" s="361">
        <f t="shared" ref="N2004:V2004" si="2055">M2004*(1+$D2004)</f>
        <v>1.5259463163552787</v>
      </c>
      <c r="O2004" s="361">
        <f t="shared" si="2055"/>
        <v>1.9427585526677003</v>
      </c>
      <c r="P2004" s="361">
        <f t="shared" si="2055"/>
        <v>2.4734230513288535</v>
      </c>
      <c r="Q2004" s="361">
        <f t="shared" si="2055"/>
        <v>3.149038557799293</v>
      </c>
      <c r="R2004" s="361">
        <f t="shared" si="2055"/>
        <v>4.0091984398621232</v>
      </c>
      <c r="S2004" s="361">
        <f t="shared" si="2055"/>
        <v>5.1043109937104028</v>
      </c>
      <c r="T2004" s="361">
        <f t="shared" si="2055"/>
        <v>6.4985535416423232</v>
      </c>
      <c r="U2004" s="361">
        <f t="shared" si="2055"/>
        <v>8.2736334415418273</v>
      </c>
      <c r="V2004" s="362">
        <f t="shared" si="2055"/>
        <v>10.533576416098855</v>
      </c>
      <c r="X2004" s="351"/>
    </row>
    <row r="2005" spans="3:24" ht="24.75" customHeight="1" x14ac:dyDescent="0.3">
      <c r="C2005" s="353">
        <f>ABS(E2005-Dashboard!$F$14)</f>
        <v>34.845363475530455</v>
      </c>
      <c r="D2005" s="350">
        <f t="shared" si="2049"/>
        <v>0.27324999999998517</v>
      </c>
      <c r="E2005" s="359" cm="1">
        <f t="array" ref="E2005">1000*SUM('DRE + DCF'!$L$36/M2005,'DRE + DCF'!$N$36:$V$36/N2005:V2005,F2005/V2005)/Dashboard!$F$11</f>
        <v>62.14463652446954</v>
      </c>
      <c r="F2005" s="359">
        <f t="shared" si="2047"/>
        <v>9765518.630029358</v>
      </c>
      <c r="G2005" s="359">
        <f>'DRE + DCF'!$W$31</f>
        <v>2791623.3540418856</v>
      </c>
      <c r="H2005" s="359">
        <f>'DRE + DCF'!$W$32</f>
        <v>81081.931703745853</v>
      </c>
      <c r="I2005" s="359">
        <f>-H2005*('DRE + DCF'!$V$33+K2005)/'DRE + DCF'!$V$33</f>
        <v>-90858.801614444121</v>
      </c>
      <c r="J2005" s="359">
        <f>-'DRE + DCF'!$V$56*L2005</f>
        <v>-1188924.4255577971</v>
      </c>
      <c r="K2005" s="360">
        <f>(1+L2005)/(1+Ke!$O$12)-1</f>
        <v>2.0000000000000018E-2</v>
      </c>
      <c r="L2005" s="360">
        <f>'DRE + DCF'!$Y$31</f>
        <v>7.3550000000000004E-2</v>
      </c>
      <c r="M2005" s="361">
        <f>(1+D2005)^((5-Dashboard!$F$9)*3/12)</f>
        <v>1.1986303322093008</v>
      </c>
      <c r="N2005" s="361">
        <f t="shared" ref="N2005:V2005" si="2056">M2005*(1+$D2005)</f>
        <v>1.5261560704854744</v>
      </c>
      <c r="O2005" s="361">
        <f t="shared" si="2056"/>
        <v>1.9431782167456075</v>
      </c>
      <c r="P2005" s="361">
        <f t="shared" si="2056"/>
        <v>2.4741516644713157</v>
      </c>
      <c r="Q2005" s="361">
        <f t="shared" si="2056"/>
        <v>3.1502136067880659</v>
      </c>
      <c r="R2005" s="361">
        <f t="shared" si="2056"/>
        <v>4.011009474842858</v>
      </c>
      <c r="S2005" s="361">
        <f t="shared" si="2056"/>
        <v>5.1070178138436093</v>
      </c>
      <c r="T2005" s="361">
        <f t="shared" si="2056"/>
        <v>6.5025104314762991</v>
      </c>
      <c r="U2005" s="361">
        <f t="shared" si="2056"/>
        <v>8.2793214068771004</v>
      </c>
      <c r="V2005" s="362">
        <f t="shared" si="2056"/>
        <v>10.541645981306145</v>
      </c>
      <c r="X2005" s="351"/>
    </row>
    <row r="2006" spans="3:24" ht="24.75" customHeight="1" x14ac:dyDescent="0.3">
      <c r="C2006" s="353">
        <f>ABS(E2006-Dashboard!$F$14)</f>
        <v>34.881289064807682</v>
      </c>
      <c r="D2006" s="350">
        <f t="shared" si="2049"/>
        <v>0.27334999999998516</v>
      </c>
      <c r="E2006" s="359" cm="1">
        <f t="array" ref="E2006">1000*SUM('DRE + DCF'!$L$36/M2006,'DRE + DCF'!$N$36:$V$36/N2006:V2006,F2006/V2006)/Dashboard!$F$11</f>
        <v>62.108710935192313</v>
      </c>
      <c r="F2006" s="359">
        <f t="shared" si="2047"/>
        <v>9761369.4942023344</v>
      </c>
      <c r="G2006" s="359">
        <f>'DRE + DCF'!$W$31</f>
        <v>2791623.3540418856</v>
      </c>
      <c r="H2006" s="359">
        <f>'DRE + DCF'!$W$32</f>
        <v>81081.931703745853</v>
      </c>
      <c r="I2006" s="359">
        <f>-H2006*('DRE + DCF'!$V$33+K2006)/'DRE + DCF'!$V$33</f>
        <v>-90858.801614444121</v>
      </c>
      <c r="J2006" s="359">
        <f>-'DRE + DCF'!$V$56*L2006</f>
        <v>-1188924.4255577971</v>
      </c>
      <c r="K2006" s="360">
        <f>(1+L2006)/(1+Ke!$O$12)-1</f>
        <v>2.0000000000000018E-2</v>
      </c>
      <c r="L2006" s="360">
        <f>'DRE + DCF'!$Y$31</f>
        <v>7.3550000000000004E-2</v>
      </c>
      <c r="M2006" s="361">
        <f>(1+D2006)^((5-Dashboard!$F$9)*3/12)</f>
        <v>1.198700936091011</v>
      </c>
      <c r="N2006" s="361">
        <f t="shared" ref="N2006:V2006" si="2057">M2006*(1+$D2006)</f>
        <v>1.526365836971471</v>
      </c>
      <c r="O2006" s="361">
        <f t="shared" si="2057"/>
        <v>1.9435979385075999</v>
      </c>
      <c r="P2006" s="361">
        <f t="shared" si="2057"/>
        <v>2.4748804349986235</v>
      </c>
      <c r="Q2006" s="361">
        <f t="shared" si="2057"/>
        <v>3.1513890019054602</v>
      </c>
      <c r="R2006" s="361">
        <f t="shared" si="2057"/>
        <v>4.0128211855762705</v>
      </c>
      <c r="S2006" s="361">
        <f t="shared" si="2057"/>
        <v>5.1097258566534842</v>
      </c>
      <c r="T2006" s="361">
        <f t="shared" si="2057"/>
        <v>6.5064694195696378</v>
      </c>
      <c r="U2006" s="361">
        <f t="shared" si="2057"/>
        <v>8.2850128354089012</v>
      </c>
      <c r="V2006" s="362">
        <f t="shared" si="2057"/>
        <v>10.549721093967801</v>
      </c>
      <c r="X2006" s="351"/>
    </row>
    <row r="2007" spans="3:24" ht="24.75" customHeight="1" x14ac:dyDescent="0.3">
      <c r="C2007" s="353">
        <f>ABS(E2007-Dashboard!$F$14)</f>
        <v>34.917178039484419</v>
      </c>
      <c r="D2007" s="350">
        <f t="shared" si="2049"/>
        <v>0.27344999999998515</v>
      </c>
      <c r="E2007" s="359" cm="1">
        <f t="array" ref="E2007">1000*SUM('DRE + DCF'!$L$36/M2007,'DRE + DCF'!$N$36:$V$36/N2007:V2007,F2007/V2007)/Dashboard!$F$11</f>
        <v>62.072821960515576</v>
      </c>
      <c r="F2007" s="359">
        <f t="shared" si="2047"/>
        <v>9757223.9697134942</v>
      </c>
      <c r="G2007" s="359">
        <f>'DRE + DCF'!$W$31</f>
        <v>2791623.3540418856</v>
      </c>
      <c r="H2007" s="359">
        <f>'DRE + DCF'!$W$32</f>
        <v>81081.931703745853</v>
      </c>
      <c r="I2007" s="359">
        <f>-H2007*('DRE + DCF'!$V$33+K2007)/'DRE + DCF'!$V$33</f>
        <v>-90858.801614444121</v>
      </c>
      <c r="J2007" s="359">
        <f>-'DRE + DCF'!$V$56*L2007</f>
        <v>-1188924.4255577971</v>
      </c>
      <c r="K2007" s="360">
        <f>(1+L2007)/(1+Ke!$O$12)-1</f>
        <v>2.0000000000000018E-2</v>
      </c>
      <c r="L2007" s="360">
        <f>'DRE + DCF'!$Y$31</f>
        <v>7.3550000000000004E-2</v>
      </c>
      <c r="M2007" s="361">
        <f>(1+D2007)^((5-Dashboard!$F$9)*3/12)</f>
        <v>1.1987715385865509</v>
      </c>
      <c r="N2007" s="361">
        <f t="shared" ref="N2007:V2007" si="2058">M2007*(1+$D2007)</f>
        <v>1.5265756158130255</v>
      </c>
      <c r="O2007" s="361">
        <f t="shared" si="2058"/>
        <v>1.9440177179570746</v>
      </c>
      <c r="P2007" s="361">
        <f t="shared" si="2058"/>
        <v>2.4756093629324076</v>
      </c>
      <c r="Q2007" s="361">
        <f t="shared" si="2058"/>
        <v>3.1525647432262378</v>
      </c>
      <c r="R2007" s="361">
        <f t="shared" si="2058"/>
        <v>4.0146335722614053</v>
      </c>
      <c r="S2007" s="361">
        <f t="shared" si="2058"/>
        <v>5.112435122596227</v>
      </c>
      <c r="T2007" s="361">
        <f t="shared" si="2058"/>
        <v>6.5104305068700894</v>
      </c>
      <c r="U2007" s="361">
        <f t="shared" si="2058"/>
        <v>8.2907077289736186</v>
      </c>
      <c r="V2007" s="362">
        <f t="shared" si="2058"/>
        <v>10.557801757461331</v>
      </c>
      <c r="X2007" s="351"/>
    </row>
    <row r="2008" spans="3:24" ht="24.75" customHeight="1" x14ac:dyDescent="0.3">
      <c r="C2008" s="353">
        <f>ABS(E2008-Dashboard!$F$14)</f>
        <v>34.953030451559925</v>
      </c>
      <c r="D2008" s="350">
        <f t="shared" si="2049"/>
        <v>0.27354999999998514</v>
      </c>
      <c r="E2008" s="359" cm="1">
        <f t="array" ref="E2008">1000*SUM('DRE + DCF'!$L$36/M2008,'DRE + DCF'!$N$36:$V$36/N2008:V2008,F2008/V2008)/Dashboard!$F$11</f>
        <v>62.036969548440069</v>
      </c>
      <c r="F2008" s="359">
        <f t="shared" si="2047"/>
        <v>9753082.051737614</v>
      </c>
      <c r="G2008" s="359">
        <f>'DRE + DCF'!$W$31</f>
        <v>2791623.3540418856</v>
      </c>
      <c r="H2008" s="359">
        <f>'DRE + DCF'!$W$32</f>
        <v>81081.931703745853</v>
      </c>
      <c r="I2008" s="359">
        <f>-H2008*('DRE + DCF'!$V$33+K2008)/'DRE + DCF'!$V$33</f>
        <v>-90858.801614444121</v>
      </c>
      <c r="J2008" s="359">
        <f>-'DRE + DCF'!$V$56*L2008</f>
        <v>-1188924.4255577971</v>
      </c>
      <c r="K2008" s="360">
        <f>(1+L2008)/(1+Ke!$O$12)-1</f>
        <v>2.0000000000000018E-2</v>
      </c>
      <c r="L2008" s="360">
        <f>'DRE + DCF'!$Y$31</f>
        <v>7.3550000000000004E-2</v>
      </c>
      <c r="M2008" s="361">
        <f>(1+D2008)^((5-Dashboard!$F$9)*3/12)</f>
        <v>1.1988421396960569</v>
      </c>
      <c r="N2008" s="361">
        <f t="shared" ref="N2008:V2008" si="2059">M2008*(1+$D2008)</f>
        <v>1.5267854070098954</v>
      </c>
      <c r="O2008" s="361">
        <f t="shared" si="2059"/>
        <v>1.9444375550974295</v>
      </c>
      <c r="P2008" s="361">
        <f t="shared" si="2059"/>
        <v>2.4763384482943023</v>
      </c>
      <c r="Q2008" s="361">
        <f t="shared" si="2059"/>
        <v>3.1537408308251718</v>
      </c>
      <c r="R2008" s="361">
        <f t="shared" si="2059"/>
        <v>4.0164466350973509</v>
      </c>
      <c r="S2008" s="361">
        <f t="shared" si="2059"/>
        <v>5.1151456121281713</v>
      </c>
      <c r="T2008" s="361">
        <f t="shared" si="2059"/>
        <v>6.5143936943257561</v>
      </c>
      <c r="U2008" s="361">
        <f t="shared" si="2059"/>
        <v>8.2964060894084692</v>
      </c>
      <c r="V2008" s="362">
        <f t="shared" si="2059"/>
        <v>10.565887975166032</v>
      </c>
      <c r="X2008" s="351"/>
    </row>
    <row r="2009" spans="3:24" ht="24.75" customHeight="1" x14ac:dyDescent="0.3">
      <c r="C2009" s="353">
        <f>ABS(E2009-Dashboard!$F$14)</f>
        <v>34.988846352938332</v>
      </c>
      <c r="D2009" s="350">
        <f t="shared" si="2049"/>
        <v>0.27364999999998513</v>
      </c>
      <c r="E2009" s="359" cm="1">
        <f t="array" ref="E2009">1000*SUM('DRE + DCF'!$L$36/M2009,'DRE + DCF'!$N$36:$V$36/N2009:V2009,F2009/V2009)/Dashboard!$F$11</f>
        <v>62.001153647061663</v>
      </c>
      <c r="F2009" s="359">
        <f t="shared" si="2047"/>
        <v>9748943.7354582436</v>
      </c>
      <c r="G2009" s="359">
        <f>'DRE + DCF'!$W$31</f>
        <v>2791623.3540418856</v>
      </c>
      <c r="H2009" s="359">
        <f>'DRE + DCF'!$W$32</f>
        <v>81081.931703745853</v>
      </c>
      <c r="I2009" s="359">
        <f>-H2009*('DRE + DCF'!$V$33+K2009)/'DRE + DCF'!$V$33</f>
        <v>-90858.801614444121</v>
      </c>
      <c r="J2009" s="359">
        <f>-'DRE + DCF'!$V$56*L2009</f>
        <v>-1188924.4255577971</v>
      </c>
      <c r="K2009" s="360">
        <f>(1+L2009)/(1+Ke!$O$12)-1</f>
        <v>2.0000000000000018E-2</v>
      </c>
      <c r="L2009" s="360">
        <f>'DRE + DCF'!$Y$31</f>
        <v>7.3550000000000004E-2</v>
      </c>
      <c r="M2009" s="361">
        <f>(1+D2009)^((5-Dashboard!$F$9)*3/12)</f>
        <v>1.1989127394196648</v>
      </c>
      <c r="N2009" s="361">
        <f t="shared" ref="N2009:V2009" si="2060">M2009*(1+$D2009)</f>
        <v>1.5269952105618383</v>
      </c>
      <c r="O2009" s="361">
        <f t="shared" si="2060"/>
        <v>1.9448574499320626</v>
      </c>
      <c r="P2009" s="361">
        <f t="shared" si="2060"/>
        <v>2.4770676911059426</v>
      </c>
      <c r="Q2009" s="361">
        <f t="shared" si="2060"/>
        <v>3.1549172647770467</v>
      </c>
      <c r="R2009" s="361">
        <f t="shared" si="2060"/>
        <v>4.0182603742832388</v>
      </c>
      <c r="S2009" s="361">
        <f t="shared" si="2060"/>
        <v>5.1178573257057867</v>
      </c>
      <c r="T2009" s="361">
        <f t="shared" si="2060"/>
        <v>6.5183589828850987</v>
      </c>
      <c r="U2009" s="361">
        <f t="shared" si="2060"/>
        <v>8.3021079185515081</v>
      </c>
      <c r="V2009" s="362">
        <f t="shared" si="2060"/>
        <v>10.573979750463005</v>
      </c>
      <c r="X2009" s="351"/>
    </row>
    <row r="2010" spans="3:24" ht="24.75" customHeight="1" x14ac:dyDescent="0.3">
      <c r="C2010" s="353">
        <f>ABS(E2010-Dashboard!$F$14)</f>
        <v>35.024625795428655</v>
      </c>
      <c r="D2010" s="350">
        <f t="shared" si="2049"/>
        <v>0.27374999999998512</v>
      </c>
      <c r="E2010" s="359" cm="1">
        <f t="array" ref="E2010">1000*SUM('DRE + DCF'!$L$36/M2010,'DRE + DCF'!$N$36:$V$36/N2010:V2010,F2010/V2010)/Dashboard!$F$11</f>
        <v>61.96537420457134</v>
      </c>
      <c r="F2010" s="359">
        <f t="shared" si="2047"/>
        <v>9744809.0160676986</v>
      </c>
      <c r="G2010" s="359">
        <f>'DRE + DCF'!$W$31</f>
        <v>2791623.3540418856</v>
      </c>
      <c r="H2010" s="359">
        <f>'DRE + DCF'!$W$32</f>
        <v>81081.931703745853</v>
      </c>
      <c r="I2010" s="359">
        <f>-H2010*('DRE + DCF'!$V$33+K2010)/'DRE + DCF'!$V$33</f>
        <v>-90858.801614444121</v>
      </c>
      <c r="J2010" s="359">
        <f>-'DRE + DCF'!$V$56*L2010</f>
        <v>-1188924.4255577971</v>
      </c>
      <c r="K2010" s="360">
        <f>(1+L2010)/(1+Ke!$O$12)-1</f>
        <v>2.0000000000000018E-2</v>
      </c>
      <c r="L2010" s="360">
        <f>'DRE + DCF'!$Y$31</f>
        <v>7.3550000000000004E-2</v>
      </c>
      <c r="M2010" s="361">
        <f>(1+D2010)^((5-Dashboard!$F$9)*3/12)</f>
        <v>1.1989833377575108</v>
      </c>
      <c r="N2010" s="361">
        <f t="shared" ref="N2010:V2010" si="2061">M2010*(1+$D2010)</f>
        <v>1.5272050264686114</v>
      </c>
      <c r="O2010" s="361">
        <f t="shared" si="2061"/>
        <v>1.9452774024643711</v>
      </c>
      <c r="P2010" s="361">
        <f t="shared" si="2061"/>
        <v>2.4777970913889638</v>
      </c>
      <c r="Q2010" s="361">
        <f t="shared" si="2061"/>
        <v>3.1560940451566557</v>
      </c>
      <c r="R2010" s="361">
        <f t="shared" si="2061"/>
        <v>4.020074790018243</v>
      </c>
      <c r="S2010" s="361">
        <f t="shared" si="2061"/>
        <v>5.1205702637856767</v>
      </c>
      <c r="T2010" s="361">
        <f t="shared" si="2061"/>
        <v>6.522326373496929</v>
      </c>
      <c r="U2010" s="361">
        <f t="shared" si="2061"/>
        <v>8.3078132182416162</v>
      </c>
      <c r="V2010" s="362">
        <f t="shared" si="2061"/>
        <v>10.582077086735135</v>
      </c>
      <c r="X2010" s="351"/>
    </row>
    <row r="2011" spans="3:24" ht="24.75" customHeight="1" x14ac:dyDescent="0.3">
      <c r="C2011" s="353">
        <f>ABS(E2011-Dashboard!$F$14)</f>
        <v>35.060368830745126</v>
      </c>
      <c r="D2011" s="350">
        <f t="shared" si="2049"/>
        <v>0.27384999999998511</v>
      </c>
      <c r="E2011" s="359" cm="1">
        <f t="array" ref="E2011">1000*SUM('DRE + DCF'!$L$36/M2011,'DRE + DCF'!$N$36:$V$36/N2011:V2011,F2011/V2011)/Dashboard!$F$11</f>
        <v>61.929631169254868</v>
      </c>
      <c r="F2011" s="359">
        <f t="shared" si="2047"/>
        <v>9740677.8887670301</v>
      </c>
      <c r="G2011" s="359">
        <f>'DRE + DCF'!$W$31</f>
        <v>2791623.3540418856</v>
      </c>
      <c r="H2011" s="359">
        <f>'DRE + DCF'!$W$32</f>
        <v>81081.931703745853</v>
      </c>
      <c r="I2011" s="359">
        <f>-H2011*('DRE + DCF'!$V$33+K2011)/'DRE + DCF'!$V$33</f>
        <v>-90858.801614444121</v>
      </c>
      <c r="J2011" s="359">
        <f>-'DRE + DCF'!$V$56*L2011</f>
        <v>-1188924.4255577971</v>
      </c>
      <c r="K2011" s="360">
        <f>(1+L2011)/(1+Ke!$O$12)-1</f>
        <v>2.0000000000000018E-2</v>
      </c>
      <c r="L2011" s="360">
        <f>'DRE + DCF'!$Y$31</f>
        <v>7.3550000000000004E-2</v>
      </c>
      <c r="M2011" s="361">
        <f>(1+D2011)^((5-Dashboard!$F$9)*3/12)</f>
        <v>1.1990539347097307</v>
      </c>
      <c r="N2011" s="361">
        <f t="shared" ref="N2011:V2011" si="2062">M2011*(1+$D2011)</f>
        <v>1.5274148547299724</v>
      </c>
      <c r="O2011" s="361">
        <f t="shared" si="2062"/>
        <v>1.9456974126977524</v>
      </c>
      <c r="P2011" s="361">
        <f t="shared" si="2062"/>
        <v>2.4785266491650026</v>
      </c>
      <c r="Q2011" s="361">
        <f t="shared" si="2062"/>
        <v>3.1572711720388016</v>
      </c>
      <c r="R2011" s="361">
        <f t="shared" si="2062"/>
        <v>4.0218898825015801</v>
      </c>
      <c r="S2011" s="361">
        <f t="shared" si="2062"/>
        <v>5.1232844268245774</v>
      </c>
      <c r="T2011" s="361">
        <f t="shared" si="2062"/>
        <v>6.5262958671104112</v>
      </c>
      <c r="U2011" s="361">
        <f t="shared" si="2062"/>
        <v>8.3135219903184989</v>
      </c>
      <c r="V2011" s="362">
        <f t="shared" si="2062"/>
        <v>10.590179987367096</v>
      </c>
      <c r="X2011" s="351"/>
    </row>
    <row r="2012" spans="3:24" ht="24.75" customHeight="1" x14ac:dyDescent="0.3">
      <c r="C2012" s="353">
        <f>ABS(E2012-Dashboard!$F$14)</f>
        <v>35.096075510507461</v>
      </c>
      <c r="D2012" s="350">
        <f t="shared" si="2049"/>
        <v>0.27394999999998509</v>
      </c>
      <c r="E2012" s="359" cm="1">
        <f t="array" ref="E2012">1000*SUM('DRE + DCF'!$L$36/M2012,'DRE + DCF'!$N$36:$V$36/N2012:V2012,F2012/V2012)/Dashboard!$F$11</f>
        <v>61.893924489492534</v>
      </c>
      <c r="F2012" s="359">
        <f t="shared" si="2047"/>
        <v>9736550.348766014</v>
      </c>
      <c r="G2012" s="359">
        <f>'DRE + DCF'!$W$31</f>
        <v>2791623.3540418856</v>
      </c>
      <c r="H2012" s="359">
        <f>'DRE + DCF'!$W$32</f>
        <v>81081.931703745853</v>
      </c>
      <c r="I2012" s="359">
        <f>-H2012*('DRE + DCF'!$V$33+K2012)/'DRE + DCF'!$V$33</f>
        <v>-90858.801614444121</v>
      </c>
      <c r="J2012" s="359">
        <f>-'DRE + DCF'!$V$56*L2012</f>
        <v>-1188924.4255577971</v>
      </c>
      <c r="K2012" s="360">
        <f>(1+L2012)/(1+Ke!$O$12)-1</f>
        <v>2.0000000000000018E-2</v>
      </c>
      <c r="L2012" s="360">
        <f>'DRE + DCF'!$Y$31</f>
        <v>7.3550000000000004E-2</v>
      </c>
      <c r="M2012" s="361">
        <f>(1+D2012)^((5-Dashboard!$F$9)*3/12)</f>
        <v>1.1991245302764606</v>
      </c>
      <c r="N2012" s="361">
        <f t="shared" ref="N2012:V2012" si="2063">M2012*(1+$D2012)</f>
        <v>1.5276246953456791</v>
      </c>
      <c r="O2012" s="361">
        <f t="shared" si="2063"/>
        <v>1.946117480635605</v>
      </c>
      <c r="P2012" s="361">
        <f t="shared" si="2063"/>
        <v>2.4792563644556997</v>
      </c>
      <c r="Q2012" s="361">
        <f t="shared" si="2063"/>
        <v>3.1584486454983014</v>
      </c>
      <c r="R2012" s="361">
        <f t="shared" si="2063"/>
        <v>4.0237056519325138</v>
      </c>
      <c r="S2012" s="361">
        <f t="shared" si="2063"/>
        <v>5.125999815279366</v>
      </c>
      <c r="T2012" s="361">
        <f t="shared" si="2063"/>
        <v>6.530267464675072</v>
      </c>
      <c r="U2012" s="361">
        <f t="shared" si="2063"/>
        <v>8.3192342366227106</v>
      </c>
      <c r="V2012" s="362">
        <f t="shared" si="2063"/>
        <v>10.598288455745378</v>
      </c>
      <c r="X2012" s="351"/>
    </row>
    <row r="2013" spans="3:24" ht="24.75" customHeight="1" x14ac:dyDescent="0.3">
      <c r="C2013" s="353">
        <f>ABS(E2013-Dashboard!$F$14)</f>
        <v>35.131745886240893</v>
      </c>
      <c r="D2013" s="350">
        <f t="shared" si="2049"/>
        <v>0.27404999999998508</v>
      </c>
      <c r="E2013" s="359" cm="1">
        <f t="array" ref="E2013">1000*SUM('DRE + DCF'!$L$36/M2013,'DRE + DCF'!$N$36:$V$36/N2013:V2013,F2013/V2013)/Dashboard!$F$11</f>
        <v>61.858254113759102</v>
      </c>
      <c r="F2013" s="359">
        <f t="shared" si="2047"/>
        <v>9732426.3912831191</v>
      </c>
      <c r="G2013" s="359">
        <f>'DRE + DCF'!$W$31</f>
        <v>2791623.3540418856</v>
      </c>
      <c r="H2013" s="359">
        <f>'DRE + DCF'!$W$32</f>
        <v>81081.931703745853</v>
      </c>
      <c r="I2013" s="359">
        <f>-H2013*('DRE + DCF'!$V$33+K2013)/'DRE + DCF'!$V$33</f>
        <v>-90858.801614444121</v>
      </c>
      <c r="J2013" s="359">
        <f>-'DRE + DCF'!$V$56*L2013</f>
        <v>-1188924.4255577971</v>
      </c>
      <c r="K2013" s="360">
        <f>(1+L2013)/(1+Ke!$O$12)-1</f>
        <v>2.0000000000000018E-2</v>
      </c>
      <c r="L2013" s="360">
        <f>'DRE + DCF'!$Y$31</f>
        <v>7.3550000000000004E-2</v>
      </c>
      <c r="M2013" s="361">
        <f>(1+D2013)^((5-Dashboard!$F$9)*3/12)</f>
        <v>1.1991951244578363</v>
      </c>
      <c r="N2013" s="361">
        <f t="shared" ref="N2013:V2013" si="2064">M2013*(1+$D2013)</f>
        <v>1.5278345483154883</v>
      </c>
      <c r="O2013" s="361">
        <f t="shared" si="2064"/>
        <v>1.9465376062813249</v>
      </c>
      <c r="P2013" s="361">
        <f t="shared" si="2064"/>
        <v>2.4799862372826929</v>
      </c>
      <c r="Q2013" s="361">
        <f t="shared" si="2064"/>
        <v>3.1596264656099775</v>
      </c>
      <c r="R2013" s="361">
        <f t="shared" si="2064"/>
        <v>4.0255220985103444</v>
      </c>
      <c r="S2013" s="361">
        <f t="shared" si="2064"/>
        <v>5.128716429607044</v>
      </c>
      <c r="T2013" s="361">
        <f t="shared" si="2064"/>
        <v>6.5342411671407774</v>
      </c>
      <c r="U2013" s="361">
        <f t="shared" si="2064"/>
        <v>8.3249499589956102</v>
      </c>
      <c r="V2013" s="362">
        <f t="shared" si="2064"/>
        <v>10.606402495258232</v>
      </c>
      <c r="X2013" s="351"/>
    </row>
    <row r="2014" spans="3:24" ht="24.75" customHeight="1" x14ac:dyDescent="0.3">
      <c r="C2014" s="353">
        <f>ABS(E2014-Dashboard!$F$14)</f>
        <v>35.167380009376572</v>
      </c>
      <c r="D2014" s="350">
        <f t="shared" si="2049"/>
        <v>0.27414999999998507</v>
      </c>
      <c r="E2014" s="359" cm="1">
        <f t="array" ref="E2014">1000*SUM('DRE + DCF'!$L$36/M2014,'DRE + DCF'!$N$36:$V$36/N2014:V2014,F2014/V2014)/Dashboard!$F$11</f>
        <v>61.822619990623423</v>
      </c>
      <c r="F2014" s="359">
        <f t="shared" si="2047"/>
        <v>9728306.0115455016</v>
      </c>
      <c r="G2014" s="359">
        <f>'DRE + DCF'!$W$31</f>
        <v>2791623.3540418856</v>
      </c>
      <c r="H2014" s="359">
        <f>'DRE + DCF'!$W$32</f>
        <v>81081.931703745853</v>
      </c>
      <c r="I2014" s="359">
        <f>-H2014*('DRE + DCF'!$V$33+K2014)/'DRE + DCF'!$V$33</f>
        <v>-90858.801614444121</v>
      </c>
      <c r="J2014" s="359">
        <f>-'DRE + DCF'!$V$56*L2014</f>
        <v>-1188924.4255577971</v>
      </c>
      <c r="K2014" s="360">
        <f>(1+L2014)/(1+Ke!$O$12)-1</f>
        <v>2.0000000000000018E-2</v>
      </c>
      <c r="L2014" s="360">
        <f>'DRE + DCF'!$Y$31</f>
        <v>7.3550000000000004E-2</v>
      </c>
      <c r="M2014" s="361">
        <f>(1+D2014)^((5-Dashboard!$F$9)*3/12)</f>
        <v>1.1992657172539938</v>
      </c>
      <c r="N2014" s="361">
        <f t="shared" ref="N2014:V2014" si="2065">M2014*(1+$D2014)</f>
        <v>1.5280444136391582</v>
      </c>
      <c r="O2014" s="361">
        <f t="shared" si="2065"/>
        <v>1.9469577896383106</v>
      </c>
      <c r="P2014" s="361">
        <f t="shared" si="2065"/>
        <v>2.4807162676676242</v>
      </c>
      <c r="Q2014" s="361">
        <f t="shared" si="2065"/>
        <v>3.1608046324486661</v>
      </c>
      <c r="R2014" s="361">
        <f t="shared" si="2065"/>
        <v>4.0273392224344207</v>
      </c>
      <c r="S2014" s="361">
        <f t="shared" si="2065"/>
        <v>5.1314342702647568</v>
      </c>
      <c r="T2014" s="361">
        <f t="shared" si="2065"/>
        <v>6.5382169754577628</v>
      </c>
      <c r="U2014" s="361">
        <f t="shared" si="2065"/>
        <v>8.3306691592794113</v>
      </c>
      <c r="V2014" s="362">
        <f t="shared" si="2065"/>
        <v>10.614522109295738</v>
      </c>
      <c r="X2014" s="351"/>
    </row>
    <row r="2015" spans="3:24" ht="24.75" customHeight="1" x14ac:dyDescent="0.3">
      <c r="C2015" s="353">
        <f>ABS(E2015-Dashboard!$F$14)</f>
        <v>35.202977931251638</v>
      </c>
      <c r="D2015" s="350">
        <f t="shared" si="2049"/>
        <v>0.27424999999998506</v>
      </c>
      <c r="E2015" s="359" cm="1">
        <f t="array" ref="E2015">1000*SUM('DRE + DCF'!$L$36/M2015,'DRE + DCF'!$N$36:$V$36/N2015:V2015,F2015/V2015)/Dashboard!$F$11</f>
        <v>61.787022068748357</v>
      </c>
      <c r="F2015" s="359">
        <f t="shared" si="2047"/>
        <v>9724189.2047889754</v>
      </c>
      <c r="G2015" s="359">
        <f>'DRE + DCF'!$W$31</f>
        <v>2791623.3540418856</v>
      </c>
      <c r="H2015" s="359">
        <f>'DRE + DCF'!$W$32</f>
        <v>81081.931703745853</v>
      </c>
      <c r="I2015" s="359">
        <f>-H2015*('DRE + DCF'!$V$33+K2015)/'DRE + DCF'!$V$33</f>
        <v>-90858.801614444121</v>
      </c>
      <c r="J2015" s="359">
        <f>-'DRE + DCF'!$V$56*L2015</f>
        <v>-1188924.4255577971</v>
      </c>
      <c r="K2015" s="360">
        <f>(1+L2015)/(1+Ke!$O$12)-1</f>
        <v>2.0000000000000018E-2</v>
      </c>
      <c r="L2015" s="360">
        <f>'DRE + DCF'!$Y$31</f>
        <v>7.3550000000000004E-2</v>
      </c>
      <c r="M2015" s="361">
        <f>(1+D2015)^((5-Dashboard!$F$9)*3/12)</f>
        <v>1.1993363086650692</v>
      </c>
      <c r="N2015" s="361">
        <f t="shared" ref="N2015:V2015" si="2066">M2015*(1+$D2015)</f>
        <v>1.5282542913164465</v>
      </c>
      <c r="O2015" s="361">
        <f t="shared" si="2066"/>
        <v>1.9473780307099591</v>
      </c>
      <c r="P2015" s="361">
        <f t="shared" si="2066"/>
        <v>2.4814464556321361</v>
      </c>
      <c r="Q2015" s="361">
        <f t="shared" si="2066"/>
        <v>3.161983146089212</v>
      </c>
      <c r="R2015" s="361">
        <f t="shared" si="2066"/>
        <v>4.0291570239041308</v>
      </c>
      <c r="S2015" s="361">
        <f t="shared" si="2066"/>
        <v>5.1341533377097779</v>
      </c>
      <c r="T2015" s="361">
        <f t="shared" si="2066"/>
        <v>6.5421948905766074</v>
      </c>
      <c r="U2015" s="361">
        <f t="shared" si="2066"/>
        <v>8.3363918393171446</v>
      </c>
      <c r="V2015" s="362">
        <f t="shared" si="2066"/>
        <v>10.622647301249746</v>
      </c>
      <c r="X2015" s="351"/>
    </row>
    <row r="2016" spans="3:24" ht="24.75" customHeight="1" x14ac:dyDescent="0.3">
      <c r="C2016" s="353">
        <f>ABS(E2016-Dashboard!$F$14)</f>
        <v>35.238539703109559</v>
      </c>
      <c r="D2016" s="350">
        <f t="shared" si="2049"/>
        <v>0.27434999999998505</v>
      </c>
      <c r="E2016" s="359" cm="1">
        <f t="array" ref="E2016">1000*SUM('DRE + DCF'!$L$36/M2016,'DRE + DCF'!$N$36:$V$36/N2016:V2016,F2016/V2016)/Dashboard!$F$11</f>
        <v>61.751460296890436</v>
      </c>
      <c r="F2016" s="359">
        <f t="shared" si="2047"/>
        <v>9720075.9662579931</v>
      </c>
      <c r="G2016" s="359">
        <f>'DRE + DCF'!$W$31</f>
        <v>2791623.3540418856</v>
      </c>
      <c r="H2016" s="359">
        <f>'DRE + DCF'!$W$32</f>
        <v>81081.931703745853</v>
      </c>
      <c r="I2016" s="359">
        <f>-H2016*('DRE + DCF'!$V$33+K2016)/'DRE + DCF'!$V$33</f>
        <v>-90858.801614444121</v>
      </c>
      <c r="J2016" s="359">
        <f>-'DRE + DCF'!$V$56*L2016</f>
        <v>-1188924.4255577971</v>
      </c>
      <c r="K2016" s="360">
        <f>(1+L2016)/(1+Ke!$O$12)-1</f>
        <v>2.0000000000000018E-2</v>
      </c>
      <c r="L2016" s="360">
        <f>'DRE + DCF'!$Y$31</f>
        <v>7.3550000000000004E-2</v>
      </c>
      <c r="M2016" s="361">
        <f>(1+D2016)^((5-Dashboard!$F$9)*3/12)</f>
        <v>1.1994068986911981</v>
      </c>
      <c r="N2016" s="361">
        <f t="shared" ref="N2016:V2016" si="2067">M2016*(1+$D2016)</f>
        <v>1.5284641813471103</v>
      </c>
      <c r="O2016" s="361">
        <f t="shared" si="2067"/>
        <v>1.947798329499667</v>
      </c>
      <c r="P2016" s="361">
        <f t="shared" si="2067"/>
        <v>2.4821768011978715</v>
      </c>
      <c r="Q2016" s="361">
        <f t="shared" si="2067"/>
        <v>3.1631620066064703</v>
      </c>
      <c r="R2016" s="361">
        <f t="shared" si="2067"/>
        <v>4.0309755031189081</v>
      </c>
      <c r="S2016" s="361">
        <f t="shared" si="2067"/>
        <v>5.1368736323995199</v>
      </c>
      <c r="T2016" s="361">
        <f t="shared" si="2067"/>
        <v>6.546174913448251</v>
      </c>
      <c r="U2016" s="361">
        <f t="shared" si="2067"/>
        <v>8.3421180009526807</v>
      </c>
      <c r="V2016" s="362">
        <f t="shared" si="2067"/>
        <v>10.630778074513923</v>
      </c>
      <c r="X2016" s="351"/>
    </row>
    <row r="2017" spans="3:24" ht="24.75" customHeight="1" x14ac:dyDescent="0.3">
      <c r="C2017" s="353">
        <f>ABS(E2017-Dashboard!$F$14)</f>
        <v>35.274065376100197</v>
      </c>
      <c r="D2017" s="350">
        <f t="shared" si="2049"/>
        <v>0.27444999999998504</v>
      </c>
      <c r="E2017" s="359" cm="1">
        <f t="array" ref="E2017">1000*SUM('DRE + DCF'!$L$36/M2017,'DRE + DCF'!$N$36:$V$36/N2017:V2017,F2017/V2017)/Dashboard!$F$11</f>
        <v>61.715934623899798</v>
      </c>
      <c r="F2017" s="359">
        <f t="shared" si="2047"/>
        <v>9715966.291205626</v>
      </c>
      <c r="G2017" s="359">
        <f>'DRE + DCF'!$W$31</f>
        <v>2791623.3540418856</v>
      </c>
      <c r="H2017" s="359">
        <f>'DRE + DCF'!$W$32</f>
        <v>81081.931703745853</v>
      </c>
      <c r="I2017" s="359">
        <f>-H2017*('DRE + DCF'!$V$33+K2017)/'DRE + DCF'!$V$33</f>
        <v>-90858.801614444121</v>
      </c>
      <c r="J2017" s="359">
        <f>-'DRE + DCF'!$V$56*L2017</f>
        <v>-1188924.4255577971</v>
      </c>
      <c r="K2017" s="360">
        <f>(1+L2017)/(1+Ke!$O$12)-1</f>
        <v>2.0000000000000018E-2</v>
      </c>
      <c r="L2017" s="360">
        <f>'DRE + DCF'!$Y$31</f>
        <v>7.3550000000000004E-2</v>
      </c>
      <c r="M2017" s="361">
        <f>(1+D2017)^((5-Dashboard!$F$9)*3/12)</f>
        <v>1.1994774873325165</v>
      </c>
      <c r="N2017" s="361">
        <f t="shared" ref="N2017:V2017" si="2068">M2017*(1+$D2017)</f>
        <v>1.5286740837309076</v>
      </c>
      <c r="O2017" s="361">
        <f t="shared" si="2068"/>
        <v>1.9482186860108324</v>
      </c>
      <c r="P2017" s="361">
        <f t="shared" si="2068"/>
        <v>2.482907304386476</v>
      </c>
      <c r="Q2017" s="361">
        <f t="shared" si="2068"/>
        <v>3.1643412140753071</v>
      </c>
      <c r="R2017" s="361">
        <f t="shared" si="2068"/>
        <v>4.0327946602782276</v>
      </c>
      <c r="S2017" s="361">
        <f t="shared" si="2068"/>
        <v>5.1395951547915271</v>
      </c>
      <c r="T2017" s="361">
        <f t="shared" si="2068"/>
        <v>6.5501570450239841</v>
      </c>
      <c r="U2017" s="361">
        <f t="shared" si="2068"/>
        <v>8.3478476460307185</v>
      </c>
      <c r="V2017" s="362">
        <f t="shared" si="2068"/>
        <v>10.638914432483723</v>
      </c>
      <c r="X2017" s="351"/>
    </row>
    <row r="2018" spans="3:24" ht="24.75" customHeight="1" x14ac:dyDescent="0.3">
      <c r="C2018" s="353">
        <f>ABS(E2018-Dashboard!$F$14)</f>
        <v>35.309555001280195</v>
      </c>
      <c r="D2018" s="350">
        <f t="shared" si="2049"/>
        <v>0.27454999999998503</v>
      </c>
      <c r="E2018" s="359" cm="1">
        <f t="array" ref="E2018">1000*SUM('DRE + DCF'!$L$36/M2018,'DRE + DCF'!$N$36:$V$36/N2018:V2018,F2018/V2018)/Dashboard!$F$11</f>
        <v>61.6804449987198</v>
      </c>
      <c r="F2018" s="359">
        <f t="shared" si="2047"/>
        <v>9711860.1748935468</v>
      </c>
      <c r="G2018" s="359">
        <f>'DRE + DCF'!$W$31</f>
        <v>2791623.3540418856</v>
      </c>
      <c r="H2018" s="359">
        <f>'DRE + DCF'!$W$32</f>
        <v>81081.931703745853</v>
      </c>
      <c r="I2018" s="359">
        <f>-H2018*('DRE + DCF'!$V$33+K2018)/'DRE + DCF'!$V$33</f>
        <v>-90858.801614444121</v>
      </c>
      <c r="J2018" s="359">
        <f>-'DRE + DCF'!$V$56*L2018</f>
        <v>-1188924.4255577971</v>
      </c>
      <c r="K2018" s="360">
        <f>(1+L2018)/(1+Ke!$O$12)-1</f>
        <v>2.0000000000000018E-2</v>
      </c>
      <c r="L2018" s="360">
        <f>'DRE + DCF'!$Y$31</f>
        <v>7.3550000000000004E-2</v>
      </c>
      <c r="M2018" s="361">
        <f>(1+D2018)^((5-Dashboard!$F$9)*3/12)</f>
        <v>1.19954807458916</v>
      </c>
      <c r="N2018" s="361">
        <f t="shared" ref="N2018:V2018" si="2069">M2018*(1+$D2018)</f>
        <v>1.5288839984675959</v>
      </c>
      <c r="O2018" s="361">
        <f t="shared" si="2069"/>
        <v>1.9486391002468515</v>
      </c>
      <c r="P2018" s="361">
        <f t="shared" si="2069"/>
        <v>2.4836379652195952</v>
      </c>
      <c r="Q2018" s="361">
        <f t="shared" si="2069"/>
        <v>3.1655207685705977</v>
      </c>
      <c r="R2018" s="361">
        <f t="shared" si="2069"/>
        <v>4.0346144955816081</v>
      </c>
      <c r="S2018" s="361">
        <f t="shared" si="2069"/>
        <v>5.1423179053434778</v>
      </c>
      <c r="T2018" s="361">
        <f t="shared" si="2069"/>
        <v>6.5541412862554527</v>
      </c>
      <c r="U2018" s="361">
        <f t="shared" si="2069"/>
        <v>8.3535807763967895</v>
      </c>
      <c r="V2018" s="362">
        <f t="shared" si="2069"/>
        <v>10.647056378556403</v>
      </c>
      <c r="X2018" s="351"/>
    </row>
    <row r="2019" spans="3:24" ht="24.75" customHeight="1" x14ac:dyDescent="0.3">
      <c r="C2019" s="353">
        <f>ABS(E2019-Dashboard!$F$14)</f>
        <v>35.345008629612998</v>
      </c>
      <c r="D2019" s="350">
        <f t="shared" si="2049"/>
        <v>0.27464999999998502</v>
      </c>
      <c r="E2019" s="359" cm="1">
        <f t="array" ref="E2019">1000*SUM('DRE + DCF'!$L$36/M2019,'DRE + DCF'!$N$36:$V$36/N2019:V2019,F2019/V2019)/Dashboard!$F$11</f>
        <v>61.644991370386997</v>
      </c>
      <c r="F2019" s="359">
        <f t="shared" si="2047"/>
        <v>9707757.6125920117</v>
      </c>
      <c r="G2019" s="359">
        <f>'DRE + DCF'!$W$31</f>
        <v>2791623.3540418856</v>
      </c>
      <c r="H2019" s="359">
        <f>'DRE + DCF'!$W$32</f>
        <v>81081.931703745853</v>
      </c>
      <c r="I2019" s="359">
        <f>-H2019*('DRE + DCF'!$V$33+K2019)/'DRE + DCF'!$V$33</f>
        <v>-90858.801614444121</v>
      </c>
      <c r="J2019" s="359">
        <f>-'DRE + DCF'!$V$56*L2019</f>
        <v>-1188924.4255577971</v>
      </c>
      <c r="K2019" s="360">
        <f>(1+L2019)/(1+Ke!$O$12)-1</f>
        <v>2.0000000000000018E-2</v>
      </c>
      <c r="L2019" s="360">
        <f>'DRE + DCF'!$Y$31</f>
        <v>7.3550000000000004E-2</v>
      </c>
      <c r="M2019" s="361">
        <f>(1+D2019)^((5-Dashboard!$F$9)*3/12)</f>
        <v>1.1996186604612646</v>
      </c>
      <c r="N2019" s="361">
        <f t="shared" ref="N2019:V2019" si="2070">M2019*(1+$D2019)</f>
        <v>1.5290939255569329</v>
      </c>
      <c r="O2019" s="361">
        <f t="shared" si="2070"/>
        <v>1.9490595722111215</v>
      </c>
      <c r="P2019" s="361">
        <f t="shared" si="2070"/>
        <v>2.4843687837188768</v>
      </c>
      <c r="Q2019" s="361">
        <f t="shared" si="2070"/>
        <v>3.1667006701672289</v>
      </c>
      <c r="R2019" s="361">
        <f t="shared" si="2070"/>
        <v>4.0364350092286108</v>
      </c>
      <c r="S2019" s="361">
        <f t="shared" si="2070"/>
        <v>5.145041884513188</v>
      </c>
      <c r="T2019" s="361">
        <f t="shared" si="2070"/>
        <v>6.5581276380946578</v>
      </c>
      <c r="U2019" s="361">
        <f t="shared" si="2070"/>
        <v>8.3593173938972569</v>
      </c>
      <c r="V2019" s="362">
        <f t="shared" si="2070"/>
        <v>10.655203916131013</v>
      </c>
      <c r="X2019" s="351"/>
    </row>
    <row r="2020" spans="3:24" ht="24.75" customHeight="1" x14ac:dyDescent="0.3">
      <c r="C2020" s="353">
        <f>ABS(E2020-Dashboard!$F$14)</f>
        <v>35.380426311969252</v>
      </c>
      <c r="D2020" s="350">
        <f t="shared" si="2049"/>
        <v>0.27474999999998501</v>
      </c>
      <c r="E2020" s="359" cm="1">
        <f t="array" ref="E2020">1000*SUM('DRE + DCF'!$L$36/M2020,'DRE + DCF'!$N$36:$V$36/N2020:V2020,F2020/V2020)/Dashboard!$F$11</f>
        <v>61.609573688030743</v>
      </c>
      <c r="F2020" s="359">
        <f t="shared" si="2047"/>
        <v>9703658.5995798297</v>
      </c>
      <c r="G2020" s="359">
        <f>'DRE + DCF'!$W$31</f>
        <v>2791623.3540418856</v>
      </c>
      <c r="H2020" s="359">
        <f>'DRE + DCF'!$W$32</f>
        <v>81081.931703745853</v>
      </c>
      <c r="I2020" s="359">
        <f>-H2020*('DRE + DCF'!$V$33+K2020)/'DRE + DCF'!$V$33</f>
        <v>-90858.801614444121</v>
      </c>
      <c r="J2020" s="359">
        <f>-'DRE + DCF'!$V$56*L2020</f>
        <v>-1188924.4255577971</v>
      </c>
      <c r="K2020" s="360">
        <f>(1+L2020)/(1+Ke!$O$12)-1</f>
        <v>2.0000000000000018E-2</v>
      </c>
      <c r="L2020" s="360">
        <f>'DRE + DCF'!$Y$31</f>
        <v>7.3550000000000004E-2</v>
      </c>
      <c r="M2020" s="361">
        <f>(1+D2020)^((5-Dashboard!$F$9)*3/12)</f>
        <v>1.199689244948966</v>
      </c>
      <c r="N2020" s="361">
        <f t="shared" ref="N2020:V2020" si="2071">M2020*(1+$D2020)</f>
        <v>1.5293038649986763</v>
      </c>
      <c r="O2020" s="361">
        <f t="shared" si="2071"/>
        <v>1.9494801019070396</v>
      </c>
      <c r="P2020" s="361">
        <f t="shared" si="2071"/>
        <v>2.4850997599059692</v>
      </c>
      <c r="Q2020" s="361">
        <f t="shared" si="2071"/>
        <v>3.1678809189400967</v>
      </c>
      <c r="R2020" s="361">
        <f t="shared" si="2071"/>
        <v>4.0382562014188403</v>
      </c>
      <c r="S2020" s="361">
        <f t="shared" si="2071"/>
        <v>5.1477670927586061</v>
      </c>
      <c r="T2020" s="361">
        <f t="shared" si="2071"/>
        <v>6.562116101493956</v>
      </c>
      <c r="U2020" s="361">
        <f t="shared" si="2071"/>
        <v>8.3650575003793222</v>
      </c>
      <c r="V2020" s="362">
        <f t="shared" si="2071"/>
        <v>10.663357048608415</v>
      </c>
      <c r="X2020" s="351"/>
    </row>
    <row r="2021" spans="3:24" ht="24.75" customHeight="1" x14ac:dyDescent="0.3">
      <c r="C2021" s="353">
        <f>ABS(E2021-Dashboard!$F$14)</f>
        <v>35.415808099126878</v>
      </c>
      <c r="D2021" s="350">
        <f t="shared" si="2049"/>
        <v>0.274849999999985</v>
      </c>
      <c r="E2021" s="359" cm="1">
        <f t="array" ref="E2021">1000*SUM('DRE + DCF'!$L$36/M2021,'DRE + DCF'!$N$36:$V$36/N2021:V2021,F2021/V2021)/Dashboard!$F$11</f>
        <v>61.574191900873117</v>
      </c>
      <c r="F2021" s="359">
        <f t="shared" si="2047"/>
        <v>9699563.131144356</v>
      </c>
      <c r="G2021" s="359">
        <f>'DRE + DCF'!$W$31</f>
        <v>2791623.3540418856</v>
      </c>
      <c r="H2021" s="359">
        <f>'DRE + DCF'!$W$32</f>
        <v>81081.931703745853</v>
      </c>
      <c r="I2021" s="359">
        <f>-H2021*('DRE + DCF'!$V$33+K2021)/'DRE + DCF'!$V$33</f>
        <v>-90858.801614444121</v>
      </c>
      <c r="J2021" s="359">
        <f>-'DRE + DCF'!$V$56*L2021</f>
        <v>-1188924.4255577971</v>
      </c>
      <c r="K2021" s="360">
        <f>(1+L2021)/(1+Ke!$O$12)-1</f>
        <v>2.0000000000000018E-2</v>
      </c>
      <c r="L2021" s="360">
        <f>'DRE + DCF'!$Y$31</f>
        <v>7.3550000000000004E-2</v>
      </c>
      <c r="M2021" s="361">
        <f>(1+D2021)^((5-Dashboard!$F$9)*3/12)</f>
        <v>1.1997598280524</v>
      </c>
      <c r="N2021" s="361">
        <f t="shared" ref="N2021:V2021" si="2072">M2021*(1+$D2021)</f>
        <v>1.5295138167925841</v>
      </c>
      <c r="O2021" s="361">
        <f t="shared" si="2072"/>
        <v>1.9499006893380029</v>
      </c>
      <c r="P2021" s="361">
        <f t="shared" si="2072"/>
        <v>2.4858308938025235</v>
      </c>
      <c r="Q2021" s="361">
        <f t="shared" si="2072"/>
        <v>3.1690615149641097</v>
      </c>
      <c r="R2021" s="361">
        <f t="shared" si="2072"/>
        <v>4.0400780723519478</v>
      </c>
      <c r="S2021" s="361">
        <f t="shared" si="2072"/>
        <v>5.1504935305378199</v>
      </c>
      <c r="T2021" s="361">
        <f t="shared" si="2072"/>
        <v>6.5661066774060624</v>
      </c>
      <c r="U2021" s="361">
        <f t="shared" si="2072"/>
        <v>8.3708010976910199</v>
      </c>
      <c r="V2021" s="362">
        <f t="shared" si="2072"/>
        <v>10.671515779391271</v>
      </c>
      <c r="X2021" s="351"/>
    </row>
    <row r="2022" spans="3:24" ht="24.75" customHeight="1" x14ac:dyDescent="0.3">
      <c r="C2022" s="353">
        <f>ABS(E2022-Dashboard!$F$14)</f>
        <v>35.451154041771325</v>
      </c>
      <c r="D2022" s="350">
        <f t="shared" si="2049"/>
        <v>0.27494999999998498</v>
      </c>
      <c r="E2022" s="359" cm="1">
        <f t="array" ref="E2022">1000*SUM('DRE + DCF'!$L$36/M2022,'DRE + DCF'!$N$36:$V$36/N2022:V2022,F2022/V2022)/Dashboard!$F$11</f>
        <v>61.53884595822867</v>
      </c>
      <c r="F2022" s="359">
        <f t="shared" si="2047"/>
        <v>9695471.2025814652</v>
      </c>
      <c r="G2022" s="359">
        <f>'DRE + DCF'!$W$31</f>
        <v>2791623.3540418856</v>
      </c>
      <c r="H2022" s="359">
        <f>'DRE + DCF'!$W$32</f>
        <v>81081.931703745853</v>
      </c>
      <c r="I2022" s="359">
        <f>-H2022*('DRE + DCF'!$V$33+K2022)/'DRE + DCF'!$V$33</f>
        <v>-90858.801614444121</v>
      </c>
      <c r="J2022" s="359">
        <f>-'DRE + DCF'!$V$56*L2022</f>
        <v>-1188924.4255577971</v>
      </c>
      <c r="K2022" s="360">
        <f>(1+L2022)/(1+Ke!$O$12)-1</f>
        <v>2.0000000000000018E-2</v>
      </c>
      <c r="L2022" s="360">
        <f>'DRE + DCF'!$Y$31</f>
        <v>7.3550000000000004E-2</v>
      </c>
      <c r="M2022" s="361">
        <f>(1+D2022)^((5-Dashboard!$F$9)*3/12)</f>
        <v>1.1998304097717025</v>
      </c>
      <c r="N2022" s="361">
        <f t="shared" ref="N2022:V2022" si="2073">M2022*(1+$D2022)</f>
        <v>1.5297237809384141</v>
      </c>
      <c r="O2022" s="361">
        <f t="shared" si="2073"/>
        <v>1.950321334507408</v>
      </c>
      <c r="P2022" s="361">
        <f t="shared" si="2073"/>
        <v>2.4865621854301905</v>
      </c>
      <c r="Q2022" s="361">
        <f t="shared" si="2073"/>
        <v>3.1702424583141839</v>
      </c>
      <c r="R2022" s="361">
        <f t="shared" si="2073"/>
        <v>4.0419006222276215</v>
      </c>
      <c r="S2022" s="361">
        <f t="shared" si="2073"/>
        <v>5.153221198309045</v>
      </c>
      <c r="T2022" s="361">
        <f t="shared" si="2073"/>
        <v>6.5700993667840395</v>
      </c>
      <c r="U2022" s="361">
        <f t="shared" si="2073"/>
        <v>8.3765481876812125</v>
      </c>
      <c r="V2022" s="362">
        <f t="shared" si="2073"/>
        <v>10.679680111884036</v>
      </c>
      <c r="X2022" s="351"/>
    </row>
    <row r="2023" spans="3:24" ht="24.75" customHeight="1" x14ac:dyDescent="0.3">
      <c r="C2023" s="353">
        <f>ABS(E2023-Dashboard!$F$14)</f>
        <v>35.486464190495781</v>
      </c>
      <c r="D2023" s="350">
        <f t="shared" si="2049"/>
        <v>0.27504999999998497</v>
      </c>
      <c r="E2023" s="359" cm="1">
        <f t="array" ref="E2023">1000*SUM('DRE + DCF'!$L$36/M2023,'DRE + DCF'!$N$36:$V$36/N2023:V2023,F2023/V2023)/Dashboard!$F$11</f>
        <v>61.503535809504214</v>
      </c>
      <c r="F2023" s="359">
        <f t="shared" si="2047"/>
        <v>9691382.8091955334</v>
      </c>
      <c r="G2023" s="359">
        <f>'DRE + DCF'!$W$31</f>
        <v>2791623.3540418856</v>
      </c>
      <c r="H2023" s="359">
        <f>'DRE + DCF'!$W$32</f>
        <v>81081.931703745853</v>
      </c>
      <c r="I2023" s="359">
        <f>-H2023*('DRE + DCF'!$V$33+K2023)/'DRE + DCF'!$V$33</f>
        <v>-90858.801614444121</v>
      </c>
      <c r="J2023" s="359">
        <f>-'DRE + DCF'!$V$56*L2023</f>
        <v>-1188924.4255577971</v>
      </c>
      <c r="K2023" s="360">
        <f>(1+L2023)/(1+Ke!$O$12)-1</f>
        <v>2.0000000000000018E-2</v>
      </c>
      <c r="L2023" s="360">
        <f>'DRE + DCF'!$Y$31</f>
        <v>7.3550000000000004E-2</v>
      </c>
      <c r="M2023" s="361">
        <f>(1+D2023)^((5-Dashboard!$F$9)*3/12)</f>
        <v>1.1999009901070088</v>
      </c>
      <c r="N2023" s="361">
        <f t="shared" ref="N2023:V2023" si="2074">M2023*(1+$D2023)</f>
        <v>1.5299337574359235</v>
      </c>
      <c r="O2023" s="361">
        <f t="shared" si="2074"/>
        <v>1.9507420374186513</v>
      </c>
      <c r="P2023" s="361">
        <f t="shared" si="2074"/>
        <v>2.487293634810622</v>
      </c>
      <c r="Q2023" s="361">
        <f t="shared" si="2074"/>
        <v>3.1714237490652462</v>
      </c>
      <c r="R2023" s="361">
        <f t="shared" si="2074"/>
        <v>4.043723851245594</v>
      </c>
      <c r="S2023" s="361">
        <f t="shared" si="2074"/>
        <v>5.155950096530634</v>
      </c>
      <c r="T2023" s="361">
        <f t="shared" si="2074"/>
        <v>6.574094170581307</v>
      </c>
      <c r="U2023" s="361">
        <f t="shared" si="2074"/>
        <v>8.3822987721995954</v>
      </c>
      <c r="V2023" s="362">
        <f t="shared" si="2074"/>
        <v>10.687850049492967</v>
      </c>
      <c r="X2023" s="351"/>
    </row>
    <row r="2024" spans="3:24" ht="24.75" customHeight="1" x14ac:dyDescent="0.3">
      <c r="C2024" s="353">
        <f>ABS(E2024-Dashboard!$F$14)</f>
        <v>35.521738595801367</v>
      </c>
      <c r="D2024" s="350">
        <f t="shared" si="2049"/>
        <v>0.27514999999998496</v>
      </c>
      <c r="E2024" s="359" cm="1">
        <f t="array" ref="E2024">1000*SUM('DRE + DCF'!$L$36/M2024,'DRE + DCF'!$N$36:$V$36/N2024:V2024,F2024/V2024)/Dashboard!$F$11</f>
        <v>61.468261404198628</v>
      </c>
      <c r="F2024" s="359">
        <f t="shared" si="2047"/>
        <v>9687297.9462994169</v>
      </c>
      <c r="G2024" s="359">
        <f>'DRE + DCF'!$W$31</f>
        <v>2791623.3540418856</v>
      </c>
      <c r="H2024" s="359">
        <f>'DRE + DCF'!$W$32</f>
        <v>81081.931703745853</v>
      </c>
      <c r="I2024" s="359">
        <f>-H2024*('DRE + DCF'!$V$33+K2024)/'DRE + DCF'!$V$33</f>
        <v>-90858.801614444121</v>
      </c>
      <c r="J2024" s="359">
        <f>-'DRE + DCF'!$V$56*L2024</f>
        <v>-1188924.4255577971</v>
      </c>
      <c r="K2024" s="360">
        <f>(1+L2024)/(1+Ke!$O$12)-1</f>
        <v>2.0000000000000018E-2</v>
      </c>
      <c r="L2024" s="360">
        <f>'DRE + DCF'!$Y$31</f>
        <v>7.3550000000000004E-2</v>
      </c>
      <c r="M2024" s="361">
        <f>(1+D2024)^((5-Dashboard!$F$9)*3/12)</f>
        <v>1.1999715690584549</v>
      </c>
      <c r="N2024" s="361">
        <f t="shared" ref="N2024:V2024" si="2075">M2024*(1+$D2024)</f>
        <v>1.5301437462848706</v>
      </c>
      <c r="O2024" s="361">
        <f t="shared" si="2075"/>
        <v>1.9511627980751296</v>
      </c>
      <c r="P2024" s="361">
        <f t="shared" si="2075"/>
        <v>2.488025241965472</v>
      </c>
      <c r="Q2024" s="361">
        <f t="shared" si="2075"/>
        <v>3.1726053872922342</v>
      </c>
      <c r="R2024" s="361">
        <f t="shared" si="2075"/>
        <v>4.0455477596056442</v>
      </c>
      <c r="S2024" s="361">
        <f t="shared" si="2075"/>
        <v>5.158680225661076</v>
      </c>
      <c r="T2024" s="361">
        <f t="shared" si="2075"/>
        <v>6.5780910897516431</v>
      </c>
      <c r="U2024" s="361">
        <f t="shared" si="2075"/>
        <v>8.388052853096708</v>
      </c>
      <c r="V2024" s="362">
        <f t="shared" si="2075"/>
        <v>10.696025595626141</v>
      </c>
      <c r="X2024" s="351"/>
    </row>
    <row r="2025" spans="3:24" ht="24.75" customHeight="1" x14ac:dyDescent="0.3">
      <c r="C2025" s="353">
        <f>ABS(E2025-Dashboard!$F$14)</f>
        <v>35.55697730809743</v>
      </c>
      <c r="D2025" s="350">
        <f t="shared" si="2049"/>
        <v>0.27524999999998495</v>
      </c>
      <c r="E2025" s="359" cm="1">
        <f t="array" ref="E2025">1000*SUM('DRE + DCF'!$L$36/M2025,'DRE + DCF'!$N$36:$V$36/N2025:V2025,F2025/V2025)/Dashboard!$F$11</f>
        <v>61.433022691902565</v>
      </c>
      <c r="F2025" s="359">
        <f t="shared" si="2047"/>
        <v>9683216.6092144363</v>
      </c>
      <c r="G2025" s="359">
        <f>'DRE + DCF'!$W$31</f>
        <v>2791623.3540418856</v>
      </c>
      <c r="H2025" s="359">
        <f>'DRE + DCF'!$W$32</f>
        <v>81081.931703745853</v>
      </c>
      <c r="I2025" s="359">
        <f>-H2025*('DRE + DCF'!$V$33+K2025)/'DRE + DCF'!$V$33</f>
        <v>-90858.801614444121</v>
      </c>
      <c r="J2025" s="359">
        <f>-'DRE + DCF'!$V$56*L2025</f>
        <v>-1188924.4255577971</v>
      </c>
      <c r="K2025" s="360">
        <f>(1+L2025)/(1+Ke!$O$12)-1</f>
        <v>2.0000000000000018E-2</v>
      </c>
      <c r="L2025" s="360">
        <f>'DRE + DCF'!$Y$31</f>
        <v>7.3550000000000004E-2</v>
      </c>
      <c r="M2025" s="361">
        <f>(1+D2025)^((5-Dashboard!$F$9)*3/12)</f>
        <v>1.2000421466261764</v>
      </c>
      <c r="N2025" s="361">
        <f t="shared" ref="N2025:V2025" si="2076">M2025*(1+$D2025)</f>
        <v>1.5303537474850133</v>
      </c>
      <c r="O2025" s="361">
        <f t="shared" si="2076"/>
        <v>1.95158361648024</v>
      </c>
      <c r="P2025" s="361">
        <f t="shared" si="2076"/>
        <v>2.4887570069163965</v>
      </c>
      <c r="Q2025" s="361">
        <f t="shared" si="2076"/>
        <v>3.173787373070097</v>
      </c>
      <c r="R2025" s="361">
        <f t="shared" si="2076"/>
        <v>4.0473723475075936</v>
      </c>
      <c r="S2025" s="361">
        <f t="shared" si="2076"/>
        <v>5.161411586158998</v>
      </c>
      <c r="T2025" s="361">
        <f t="shared" si="2076"/>
        <v>6.5820901252491844</v>
      </c>
      <c r="U2025" s="361">
        <f t="shared" si="2076"/>
        <v>8.3938104322239226</v>
      </c>
      <c r="V2025" s="362">
        <f t="shared" si="2076"/>
        <v>10.70420675369343</v>
      </c>
      <c r="X2025" s="351"/>
    </row>
    <row r="2026" spans="3:24" ht="24.75" customHeight="1" x14ac:dyDescent="0.3">
      <c r="C2026" s="353">
        <f>ABS(E2026-Dashboard!$F$14)</f>
        <v>35.592180377701581</v>
      </c>
      <c r="D2026" s="350">
        <f t="shared" si="2049"/>
        <v>0.27534999999998494</v>
      </c>
      <c r="E2026" s="359" cm="1">
        <f t="array" ref="E2026">1000*SUM('DRE + DCF'!$L$36/M2026,'DRE + DCF'!$N$36:$V$36/N2026:V2026,F2026/V2026)/Dashboard!$F$11</f>
        <v>61.397819622298414</v>
      </c>
      <c r="F2026" s="359">
        <f t="shared" si="2047"/>
        <v>9679138.793270357</v>
      </c>
      <c r="G2026" s="359">
        <f>'DRE + DCF'!$W$31</f>
        <v>2791623.3540418856</v>
      </c>
      <c r="H2026" s="359">
        <f>'DRE + DCF'!$W$32</f>
        <v>81081.931703745853</v>
      </c>
      <c r="I2026" s="359">
        <f>-H2026*('DRE + DCF'!$V$33+K2026)/'DRE + DCF'!$V$33</f>
        <v>-90858.801614444121</v>
      </c>
      <c r="J2026" s="359">
        <f>-'DRE + DCF'!$V$56*L2026</f>
        <v>-1188924.4255577971</v>
      </c>
      <c r="K2026" s="360">
        <f>(1+L2026)/(1+Ke!$O$12)-1</f>
        <v>2.0000000000000018E-2</v>
      </c>
      <c r="L2026" s="360">
        <f>'DRE + DCF'!$Y$31</f>
        <v>7.3550000000000004E-2</v>
      </c>
      <c r="M2026" s="361">
        <f>(1+D2026)^((5-Dashboard!$F$9)*3/12)</f>
        <v>1.2001127228103088</v>
      </c>
      <c r="N2026" s="361">
        <f t="shared" ref="N2026:V2026" si="2077">M2026*(1+$D2026)</f>
        <v>1.5305637610361091</v>
      </c>
      <c r="O2026" s="361">
        <f t="shared" si="2077"/>
        <v>1.9520044926373787</v>
      </c>
      <c r="P2026" s="361">
        <f t="shared" si="2077"/>
        <v>2.4894889296850513</v>
      </c>
      <c r="Q2026" s="361">
        <f t="shared" si="2077"/>
        <v>3.1749697064737927</v>
      </c>
      <c r="R2026" s="361">
        <f t="shared" si="2077"/>
        <v>4.0491976151513036</v>
      </c>
      <c r="S2026" s="361">
        <f t="shared" si="2077"/>
        <v>5.1641441784831539</v>
      </c>
      <c r="T2026" s="361">
        <f t="shared" si="2077"/>
        <v>6.5860912780284124</v>
      </c>
      <c r="U2026" s="361">
        <f t="shared" si="2077"/>
        <v>8.3995715114334359</v>
      </c>
      <c r="V2026" s="362">
        <f t="shared" si="2077"/>
        <v>10.712393527106505</v>
      </c>
      <c r="X2026" s="351"/>
    </row>
    <row r="2027" spans="3:24" ht="24.75" customHeight="1" x14ac:dyDescent="0.3">
      <c r="C2027" s="353">
        <f>ABS(E2027-Dashboard!$F$14)</f>
        <v>35.627347854840025</v>
      </c>
      <c r="D2027" s="350">
        <f t="shared" si="2049"/>
        <v>0.27544999999998493</v>
      </c>
      <c r="E2027" s="359" cm="1">
        <f t="array" ref="E2027">1000*SUM('DRE + DCF'!$L$36/M2027,'DRE + DCF'!$N$36:$V$36/N2027:V2027,F2027/V2027)/Dashboard!$F$11</f>
        <v>61.36265214515997</v>
      </c>
      <c r="F2027" s="359">
        <f t="shared" si="2047"/>
        <v>9675064.49380536</v>
      </c>
      <c r="G2027" s="359">
        <f>'DRE + DCF'!$W$31</f>
        <v>2791623.3540418856</v>
      </c>
      <c r="H2027" s="359">
        <f>'DRE + DCF'!$W$32</f>
        <v>81081.931703745853</v>
      </c>
      <c r="I2027" s="359">
        <f>-H2027*('DRE + DCF'!$V$33+K2027)/'DRE + DCF'!$V$33</f>
        <v>-90858.801614444121</v>
      </c>
      <c r="J2027" s="359">
        <f>-'DRE + DCF'!$V$56*L2027</f>
        <v>-1188924.4255577971</v>
      </c>
      <c r="K2027" s="360">
        <f>(1+L2027)/(1+Ke!$O$12)-1</f>
        <v>2.0000000000000018E-2</v>
      </c>
      <c r="L2027" s="360">
        <f>'DRE + DCF'!$Y$31</f>
        <v>7.3550000000000004E-2</v>
      </c>
      <c r="M2027" s="361">
        <f>(1+D2027)^((5-Dashboard!$F$9)*3/12)</f>
        <v>1.2001832976109876</v>
      </c>
      <c r="N2027" s="361">
        <f t="shared" ref="N2027:V2027" si="2078">M2027*(1+$D2027)</f>
        <v>1.5307737869379161</v>
      </c>
      <c r="O2027" s="361">
        <f t="shared" si="2078"/>
        <v>1.9524254265499419</v>
      </c>
      <c r="P2027" s="361">
        <f t="shared" si="2078"/>
        <v>2.490221010293094</v>
      </c>
      <c r="Q2027" s="361">
        <f t="shared" si="2078"/>
        <v>3.1761523875782891</v>
      </c>
      <c r="R2027" s="361">
        <f t="shared" si="2078"/>
        <v>4.0510235627366811</v>
      </c>
      <c r="S2027" s="361">
        <f t="shared" si="2078"/>
        <v>5.1668780030924388</v>
      </c>
      <c r="T2027" s="361">
        <f t="shared" si="2078"/>
        <v>6.5900945490441734</v>
      </c>
      <c r="U2027" s="361">
        <f t="shared" si="2078"/>
        <v>8.4053360925782918</v>
      </c>
      <c r="V2027" s="362">
        <f t="shared" si="2078"/>
        <v>10.720585919278856</v>
      </c>
      <c r="X2027" s="351"/>
    </row>
    <row r="2028" spans="3:24" ht="24.75" customHeight="1" x14ac:dyDescent="0.3">
      <c r="C2028" s="353">
        <f>ABS(E2028-Dashboard!$F$14)</f>
        <v>35.662479789647776</v>
      </c>
      <c r="D2028" s="350">
        <f t="shared" si="2049"/>
        <v>0.27554999999998492</v>
      </c>
      <c r="E2028" s="359" cm="1">
        <f t="array" ref="E2028">1000*SUM('DRE + DCF'!$L$36/M2028,'DRE + DCF'!$N$36:$V$36/N2028:V2028,F2028/V2028)/Dashboard!$F$11</f>
        <v>61.327520210352219</v>
      </c>
      <c r="F2028" s="359">
        <f t="shared" si="2047"/>
        <v>9670993.7061660402</v>
      </c>
      <c r="G2028" s="359">
        <f>'DRE + DCF'!$W$31</f>
        <v>2791623.3540418856</v>
      </c>
      <c r="H2028" s="359">
        <f>'DRE + DCF'!$W$32</f>
        <v>81081.931703745853</v>
      </c>
      <c r="I2028" s="359">
        <f>-H2028*('DRE + DCF'!$V$33+K2028)/'DRE + DCF'!$V$33</f>
        <v>-90858.801614444121</v>
      </c>
      <c r="J2028" s="359">
        <f>-'DRE + DCF'!$V$56*L2028</f>
        <v>-1188924.4255577971</v>
      </c>
      <c r="K2028" s="360">
        <f>(1+L2028)/(1+Ke!$O$12)-1</f>
        <v>2.0000000000000018E-2</v>
      </c>
      <c r="L2028" s="360">
        <f>'DRE + DCF'!$Y$31</f>
        <v>7.3550000000000004E-2</v>
      </c>
      <c r="M2028" s="361">
        <f>(1+D2028)^((5-Dashboard!$F$9)*3/12)</f>
        <v>1.2002538710283488</v>
      </c>
      <c r="N2028" s="361">
        <f t="shared" ref="N2028:V2028" si="2079">M2028*(1+$D2028)</f>
        <v>1.5309838251901922</v>
      </c>
      <c r="O2028" s="361">
        <f t="shared" si="2079"/>
        <v>1.9528464182213265</v>
      </c>
      <c r="P2028" s="361">
        <f t="shared" si="2079"/>
        <v>2.4909532487621835</v>
      </c>
      <c r="Q2028" s="361">
        <f t="shared" si="2079"/>
        <v>3.1773354164585657</v>
      </c>
      <c r="R2028" s="361">
        <f t="shared" si="2079"/>
        <v>4.0528501904636753</v>
      </c>
      <c r="S2028" s="361">
        <f t="shared" si="2079"/>
        <v>5.1696130604458794</v>
      </c>
      <c r="T2028" s="361">
        <f t="shared" si="2079"/>
        <v>6.594099939251663</v>
      </c>
      <c r="U2028" s="361">
        <f t="shared" si="2079"/>
        <v>8.4111041775123585</v>
      </c>
      <c r="V2028" s="362">
        <f t="shared" si="2079"/>
        <v>10.728783933625762</v>
      </c>
      <c r="X2028" s="351"/>
    </row>
    <row r="2029" spans="3:24" ht="24.75" customHeight="1" x14ac:dyDescent="0.3">
      <c r="C2029" s="353">
        <f>ABS(E2029-Dashboard!$F$14)</f>
        <v>35.697576232168799</v>
      </c>
      <c r="D2029" s="350">
        <f t="shared" si="2049"/>
        <v>0.27564999999998491</v>
      </c>
      <c r="E2029" s="359" cm="1">
        <f t="array" ref="E2029">1000*SUM('DRE + DCF'!$L$36/M2029,'DRE + DCF'!$N$36:$V$36/N2029:V2029,F2029/V2029)/Dashboard!$F$11</f>
        <v>61.292423767831195</v>
      </c>
      <c r="F2029" s="359">
        <f t="shared" si="2047"/>
        <v>9666926.4257073663</v>
      </c>
      <c r="G2029" s="359">
        <f>'DRE + DCF'!$W$31</f>
        <v>2791623.3540418856</v>
      </c>
      <c r="H2029" s="359">
        <f>'DRE + DCF'!$W$32</f>
        <v>81081.931703745853</v>
      </c>
      <c r="I2029" s="359">
        <f>-H2029*('DRE + DCF'!$V$33+K2029)/'DRE + DCF'!$V$33</f>
        <v>-90858.801614444121</v>
      </c>
      <c r="J2029" s="359">
        <f>-'DRE + DCF'!$V$56*L2029</f>
        <v>-1188924.4255577971</v>
      </c>
      <c r="K2029" s="360">
        <f>(1+L2029)/(1+Ke!$O$12)-1</f>
        <v>2.0000000000000018E-2</v>
      </c>
      <c r="L2029" s="360">
        <f>'DRE + DCF'!$Y$31</f>
        <v>7.3550000000000004E-2</v>
      </c>
      <c r="M2029" s="361">
        <f>(1+D2029)^((5-Dashboard!$F$9)*3/12)</f>
        <v>1.2003244430625277</v>
      </c>
      <c r="N2029" s="361">
        <f t="shared" ref="N2029:V2029" si="2080">M2029*(1+$D2029)</f>
        <v>1.5311938757926953</v>
      </c>
      <c r="O2029" s="361">
        <f t="shared" si="2080"/>
        <v>1.9532674676549286</v>
      </c>
      <c r="P2029" s="361">
        <f t="shared" si="2080"/>
        <v>2.4916856451139799</v>
      </c>
      <c r="Q2029" s="361">
        <f t="shared" si="2080"/>
        <v>3.1785187931896108</v>
      </c>
      <c r="R2029" s="361">
        <f t="shared" si="2080"/>
        <v>4.0546774985322793</v>
      </c>
      <c r="S2029" s="361">
        <f t="shared" si="2080"/>
        <v>5.1723493510026408</v>
      </c>
      <c r="T2029" s="361">
        <f t="shared" si="2080"/>
        <v>6.5981074496064407</v>
      </c>
      <c r="U2029" s="361">
        <f t="shared" si="2080"/>
        <v>8.4168757680903568</v>
      </c>
      <c r="V2029" s="362">
        <f t="shared" si="2080"/>
        <v>10.736987573564337</v>
      </c>
      <c r="X2029" s="351"/>
    </row>
    <row r="2030" spans="3:24" ht="24.75" customHeight="1" x14ac:dyDescent="0.3">
      <c r="C2030" s="353">
        <f>ABS(E2030-Dashboard!$F$14)</f>
        <v>35.732637232356275</v>
      </c>
      <c r="D2030" s="350">
        <f t="shared" si="2049"/>
        <v>0.2757499999999849</v>
      </c>
      <c r="E2030" s="359" cm="1">
        <f t="array" ref="E2030">1000*SUM('DRE + DCF'!$L$36/M2030,'DRE + DCF'!$N$36:$V$36/N2030:V2030,F2030/V2030)/Dashboard!$F$11</f>
        <v>61.25736276764372</v>
      </c>
      <c r="F2030" s="359">
        <f t="shared" si="2047"/>
        <v>9662862.6477926839</v>
      </c>
      <c r="G2030" s="359">
        <f>'DRE + DCF'!$W$31</f>
        <v>2791623.3540418856</v>
      </c>
      <c r="H2030" s="359">
        <f>'DRE + DCF'!$W$32</f>
        <v>81081.931703745853</v>
      </c>
      <c r="I2030" s="359">
        <f>-H2030*('DRE + DCF'!$V$33+K2030)/'DRE + DCF'!$V$33</f>
        <v>-90858.801614444121</v>
      </c>
      <c r="J2030" s="359">
        <f>-'DRE + DCF'!$V$56*L2030</f>
        <v>-1188924.4255577971</v>
      </c>
      <c r="K2030" s="360">
        <f>(1+L2030)/(1+Ke!$O$12)-1</f>
        <v>2.0000000000000018E-2</v>
      </c>
      <c r="L2030" s="360">
        <f>'DRE + DCF'!$Y$31</f>
        <v>7.3550000000000004E-2</v>
      </c>
      <c r="M2030" s="361">
        <f>(1+D2030)^((5-Dashboard!$F$9)*3/12)</f>
        <v>1.2003950137136599</v>
      </c>
      <c r="N2030" s="361">
        <f t="shared" ref="N2030:V2030" si="2081">M2030*(1+$D2030)</f>
        <v>1.5314039387451834</v>
      </c>
      <c r="O2030" s="361">
        <f t="shared" si="2081"/>
        <v>1.9536885748541446</v>
      </c>
      <c r="P2030" s="361">
        <f t="shared" si="2081"/>
        <v>2.4924181993701455</v>
      </c>
      <c r="Q2030" s="361">
        <f t="shared" si="2081"/>
        <v>3.1797025178464255</v>
      </c>
      <c r="R2030" s="361">
        <f t="shared" si="2081"/>
        <v>4.0565054871425295</v>
      </c>
      <c r="S2030" s="361">
        <f t="shared" si="2081"/>
        <v>5.1750868752220205</v>
      </c>
      <c r="T2030" s="361">
        <f t="shared" si="2081"/>
        <v>6.6021170810644145</v>
      </c>
      <c r="U2030" s="361">
        <f t="shared" si="2081"/>
        <v>8.4226508661678263</v>
      </c>
      <c r="V2030" s="362">
        <f t="shared" si="2081"/>
        <v>10.745196842513478</v>
      </c>
      <c r="X2030" s="351"/>
    </row>
    <row r="2031" spans="3:24" ht="24.75" customHeight="1" x14ac:dyDescent="0.3">
      <c r="C2031" s="353">
        <f>ABS(E2031-Dashboard!$F$14)</f>
        <v>35.767662840072667</v>
      </c>
      <c r="D2031" s="350">
        <f t="shared" si="2049"/>
        <v>0.27584999999998489</v>
      </c>
      <c r="E2031" s="359" cm="1">
        <f t="array" ref="E2031">1000*SUM('DRE + DCF'!$L$36/M2031,'DRE + DCF'!$N$36:$V$36/N2031:V2031,F2031/V2031)/Dashboard!$F$11</f>
        <v>61.222337159927328</v>
      </c>
      <c r="F2031" s="359">
        <f t="shared" si="2047"/>
        <v>9658802.3677936755</v>
      </c>
      <c r="G2031" s="359">
        <f>'DRE + DCF'!$W$31</f>
        <v>2791623.3540418856</v>
      </c>
      <c r="H2031" s="359">
        <f>'DRE + DCF'!$W$32</f>
        <v>81081.931703745853</v>
      </c>
      <c r="I2031" s="359">
        <f>-H2031*('DRE + DCF'!$V$33+K2031)/'DRE + DCF'!$V$33</f>
        <v>-90858.801614444121</v>
      </c>
      <c r="J2031" s="359">
        <f>-'DRE + DCF'!$V$56*L2031</f>
        <v>-1188924.4255577971</v>
      </c>
      <c r="K2031" s="360">
        <f>(1+L2031)/(1+Ke!$O$12)-1</f>
        <v>2.0000000000000018E-2</v>
      </c>
      <c r="L2031" s="360">
        <f>'DRE + DCF'!$Y$31</f>
        <v>7.3550000000000004E-2</v>
      </c>
      <c r="M2031" s="361">
        <f>(1+D2031)^((5-Dashboard!$F$9)*3/12)</f>
        <v>1.2004655829818807</v>
      </c>
      <c r="N2031" s="361">
        <f t="shared" ref="N2031:V2031" si="2082">M2031*(1+$D2031)</f>
        <v>1.5316140140474142</v>
      </c>
      <c r="O2031" s="361">
        <f t="shared" si="2082"/>
        <v>1.9541097398223701</v>
      </c>
      <c r="P2031" s="361">
        <f t="shared" si="2082"/>
        <v>2.4931509115523411</v>
      </c>
      <c r="Q2031" s="361">
        <f t="shared" si="2082"/>
        <v>3.1808865905040165</v>
      </c>
      <c r="R2031" s="361">
        <f t="shared" si="2082"/>
        <v>4.0583341564945012</v>
      </c>
      <c r="S2031" s="361">
        <f t="shared" si="2082"/>
        <v>5.1778256335634483</v>
      </c>
      <c r="T2031" s="361">
        <f t="shared" si="2082"/>
        <v>6.6061288345818472</v>
      </c>
      <c r="U2031" s="361">
        <f t="shared" si="2082"/>
        <v>8.4284294736011489</v>
      </c>
      <c r="V2031" s="362">
        <f t="shared" si="2082"/>
        <v>10.753411743893897</v>
      </c>
      <c r="X2031" s="351"/>
    </row>
    <row r="2032" spans="3:24" ht="24.75" customHeight="1" x14ac:dyDescent="0.3">
      <c r="C2032" s="353">
        <f>ABS(E2032-Dashboard!$F$14)</f>
        <v>35.802653105090215</v>
      </c>
      <c r="D2032" s="350">
        <f t="shared" si="2049"/>
        <v>0.27594999999998487</v>
      </c>
      <c r="E2032" s="359" cm="1">
        <f t="array" ref="E2032">1000*SUM('DRE + DCF'!$L$36/M2032,'DRE + DCF'!$N$36:$V$36/N2032:V2032,F2032/V2032)/Dashboard!$F$11</f>
        <v>61.18734689490978</v>
      </c>
      <c r="F2032" s="359">
        <f t="shared" si="2047"/>
        <v>9654745.5810903553</v>
      </c>
      <c r="G2032" s="359">
        <f>'DRE + DCF'!$W$31</f>
        <v>2791623.3540418856</v>
      </c>
      <c r="H2032" s="359">
        <f>'DRE + DCF'!$W$32</f>
        <v>81081.931703745853</v>
      </c>
      <c r="I2032" s="359">
        <f>-H2032*('DRE + DCF'!$V$33+K2032)/'DRE + DCF'!$V$33</f>
        <v>-90858.801614444121</v>
      </c>
      <c r="J2032" s="359">
        <f>-'DRE + DCF'!$V$56*L2032</f>
        <v>-1188924.4255577971</v>
      </c>
      <c r="K2032" s="360">
        <f>(1+L2032)/(1+Ke!$O$12)-1</f>
        <v>2.0000000000000018E-2</v>
      </c>
      <c r="L2032" s="360">
        <f>'DRE + DCF'!$Y$31</f>
        <v>7.3550000000000004E-2</v>
      </c>
      <c r="M2032" s="361">
        <f>(1+D2032)^((5-Dashboard!$F$9)*3/12)</f>
        <v>1.200536150867326</v>
      </c>
      <c r="N2032" s="361">
        <f t="shared" ref="N2032:V2032" si="2083">M2032*(1+$D2032)</f>
        <v>1.5318241016991463</v>
      </c>
      <c r="O2032" s="361">
        <f t="shared" si="2083"/>
        <v>1.9545309625630025</v>
      </c>
      <c r="P2032" s="361">
        <f t="shared" si="2083"/>
        <v>2.4938837816822335</v>
      </c>
      <c r="Q2032" s="361">
        <f t="shared" si="2083"/>
        <v>3.182071011237408</v>
      </c>
      <c r="R2032" s="361">
        <f t="shared" si="2083"/>
        <v>4.0601635067883226</v>
      </c>
      <c r="S2032" s="361">
        <f t="shared" si="2083"/>
        <v>5.1805656264864988</v>
      </c>
      <c r="T2032" s="361">
        <f t="shared" si="2083"/>
        <v>6.6101427111153699</v>
      </c>
      <c r="U2032" s="361">
        <f t="shared" si="2083"/>
        <v>8.4342115922475553</v>
      </c>
      <c r="V2032" s="362">
        <f t="shared" si="2083"/>
        <v>10.76163228112814</v>
      </c>
      <c r="X2032" s="351"/>
    </row>
    <row r="2033" spans="3:24" ht="24.75" customHeight="1" x14ac:dyDescent="0.3">
      <c r="C2033" s="353">
        <f>ABS(E2033-Dashboard!$F$14)</f>
        <v>35.837608077090756</v>
      </c>
      <c r="D2033" s="350">
        <f t="shared" si="2049"/>
        <v>0.27604999999998486</v>
      </c>
      <c r="E2033" s="359" cm="1">
        <f t="array" ref="E2033">1000*SUM('DRE + DCF'!$L$36/M2033,'DRE + DCF'!$N$36:$V$36/N2033:V2033,F2033/V2033)/Dashboard!$F$11</f>
        <v>61.152391922909239</v>
      </c>
      <c r="F2033" s="359">
        <f t="shared" si="2047"/>
        <v>9650692.2830710486</v>
      </c>
      <c r="G2033" s="359">
        <f>'DRE + DCF'!$W$31</f>
        <v>2791623.3540418856</v>
      </c>
      <c r="H2033" s="359">
        <f>'DRE + DCF'!$W$32</f>
        <v>81081.931703745853</v>
      </c>
      <c r="I2033" s="359">
        <f>-H2033*('DRE + DCF'!$V$33+K2033)/'DRE + DCF'!$V$33</f>
        <v>-90858.801614444121</v>
      </c>
      <c r="J2033" s="359">
        <f>-'DRE + DCF'!$V$56*L2033</f>
        <v>-1188924.4255577971</v>
      </c>
      <c r="K2033" s="360">
        <f>(1+L2033)/(1+Ke!$O$12)-1</f>
        <v>2.0000000000000018E-2</v>
      </c>
      <c r="L2033" s="360">
        <f>'DRE + DCF'!$Y$31</f>
        <v>7.3550000000000004E-2</v>
      </c>
      <c r="M2033" s="361">
        <f>(1+D2033)^((5-Dashboard!$F$9)*3/12)</f>
        <v>1.2006067173701309</v>
      </c>
      <c r="N2033" s="361">
        <f t="shared" ref="N2033:V2033" si="2084">M2033*(1+$D2033)</f>
        <v>1.5320342017001374</v>
      </c>
      <c r="O2033" s="361">
        <f t="shared" si="2084"/>
        <v>1.954952243079437</v>
      </c>
      <c r="P2033" s="361">
        <f t="shared" si="2084"/>
        <v>2.494616809781486</v>
      </c>
      <c r="Q2033" s="361">
        <f t="shared" si="2084"/>
        <v>3.1832557801216272</v>
      </c>
      <c r="R2033" s="361">
        <f t="shared" si="2084"/>
        <v>4.0619935382241543</v>
      </c>
      <c r="S2033" s="361">
        <f t="shared" si="2084"/>
        <v>5.18330685445087</v>
      </c>
      <c r="T2033" s="361">
        <f t="shared" si="2084"/>
        <v>6.614158711621954</v>
      </c>
      <c r="U2033" s="361">
        <f t="shared" si="2084"/>
        <v>8.4399972239650936</v>
      </c>
      <c r="V2033" s="362">
        <f t="shared" si="2084"/>
        <v>10.769858457640529</v>
      </c>
      <c r="X2033" s="351"/>
    </row>
    <row r="2034" spans="3:24" ht="24.75" customHeight="1" x14ac:dyDescent="0.3">
      <c r="C2034" s="353">
        <f>ABS(E2034-Dashboard!$F$14)</f>
        <v>35.872527805666273</v>
      </c>
      <c r="D2034" s="350">
        <f t="shared" si="2049"/>
        <v>0.27614999999998485</v>
      </c>
      <c r="E2034" s="359" cm="1">
        <f t="array" ref="E2034">1000*SUM('DRE + DCF'!$L$36/M2034,'DRE + DCF'!$N$36:$V$36/N2034:V2034,F2034/V2034)/Dashboard!$F$11</f>
        <v>61.117472194333722</v>
      </c>
      <c r="F2034" s="359">
        <f t="shared" si="2047"/>
        <v>9646642.4691323601</v>
      </c>
      <c r="G2034" s="359">
        <f>'DRE + DCF'!$W$31</f>
        <v>2791623.3540418856</v>
      </c>
      <c r="H2034" s="359">
        <f>'DRE + DCF'!$W$32</f>
        <v>81081.931703745853</v>
      </c>
      <c r="I2034" s="359">
        <f>-H2034*('DRE + DCF'!$V$33+K2034)/'DRE + DCF'!$V$33</f>
        <v>-90858.801614444121</v>
      </c>
      <c r="J2034" s="359">
        <f>-'DRE + DCF'!$V$56*L2034</f>
        <v>-1188924.4255577971</v>
      </c>
      <c r="K2034" s="360">
        <f>(1+L2034)/(1+Ke!$O$12)-1</f>
        <v>2.0000000000000018E-2</v>
      </c>
      <c r="L2034" s="360">
        <f>'DRE + DCF'!$Y$31</f>
        <v>7.3550000000000004E-2</v>
      </c>
      <c r="M2034" s="361">
        <f>(1+D2034)^((5-Dashboard!$F$9)*3/12)</f>
        <v>1.2006772824904308</v>
      </c>
      <c r="N2034" s="361">
        <f t="shared" ref="N2034:V2034" si="2085">M2034*(1+$D2034)</f>
        <v>1.5322443140501449</v>
      </c>
      <c r="O2034" s="361">
        <f t="shared" si="2085"/>
        <v>1.9553735813750692</v>
      </c>
      <c r="P2034" s="361">
        <f t="shared" si="2085"/>
        <v>2.4953499958717646</v>
      </c>
      <c r="Q2034" s="361">
        <f t="shared" si="2085"/>
        <v>3.1844408972317146</v>
      </c>
      <c r="R2034" s="361">
        <f t="shared" si="2085"/>
        <v>4.0638242510022042</v>
      </c>
      <c r="S2034" s="361">
        <f t="shared" si="2085"/>
        <v>5.1860493179164013</v>
      </c>
      <c r="T2034" s="361">
        <f t="shared" si="2085"/>
        <v>6.6181768370589369</v>
      </c>
      <c r="U2034" s="361">
        <f t="shared" si="2085"/>
        <v>8.4457863706126624</v>
      </c>
      <c r="V2034" s="362">
        <f t="shared" si="2085"/>
        <v>10.77809027685722</v>
      </c>
      <c r="X2034" s="351"/>
    </row>
    <row r="2035" spans="3:24" ht="24.75" customHeight="1" x14ac:dyDescent="0.3">
      <c r="C2035" s="353">
        <f>ABS(E2035-Dashboard!$F$14)</f>
        <v>35.907412340318864</v>
      </c>
      <c r="D2035" s="350">
        <f t="shared" si="2049"/>
        <v>0.27624999999998484</v>
      </c>
      <c r="E2035" s="359" cm="1">
        <f t="array" ref="E2035">1000*SUM('DRE + DCF'!$L$36/M2035,'DRE + DCF'!$N$36:$V$36/N2035:V2035,F2035/V2035)/Dashboard!$F$11</f>
        <v>61.082587659681131</v>
      </c>
      <c r="F2035" s="359">
        <f t="shared" si="2047"/>
        <v>9642596.1346791759</v>
      </c>
      <c r="G2035" s="359">
        <f>'DRE + DCF'!$W$31</f>
        <v>2791623.3540418856</v>
      </c>
      <c r="H2035" s="359">
        <f>'DRE + DCF'!$W$32</f>
        <v>81081.931703745853</v>
      </c>
      <c r="I2035" s="359">
        <f>-H2035*('DRE + DCF'!$V$33+K2035)/'DRE + DCF'!$V$33</f>
        <v>-90858.801614444121</v>
      </c>
      <c r="J2035" s="359">
        <f>-'DRE + DCF'!$V$56*L2035</f>
        <v>-1188924.4255577971</v>
      </c>
      <c r="K2035" s="360">
        <f>(1+L2035)/(1+Ke!$O$12)-1</f>
        <v>2.0000000000000018E-2</v>
      </c>
      <c r="L2035" s="360">
        <f>'DRE + DCF'!$Y$31</f>
        <v>7.3550000000000004E-2</v>
      </c>
      <c r="M2035" s="361">
        <f>(1+D2035)^((5-Dashboard!$F$9)*3/12)</f>
        <v>1.2007478462283616</v>
      </c>
      <c r="N2035" s="361">
        <f t="shared" ref="N2035:V2035" si="2086">M2035*(1+$D2035)</f>
        <v>1.5324544387489283</v>
      </c>
      <c r="O2035" s="361">
        <f t="shared" si="2086"/>
        <v>1.9557949774532963</v>
      </c>
      <c r="P2035" s="361">
        <f t="shared" si="2086"/>
        <v>2.4960833399747395</v>
      </c>
      <c r="Q2035" s="361">
        <f t="shared" si="2086"/>
        <v>3.1856263626427235</v>
      </c>
      <c r="R2035" s="361">
        <f t="shared" si="2086"/>
        <v>4.0656556453227273</v>
      </c>
      <c r="S2035" s="361">
        <f t="shared" si="2086"/>
        <v>5.1887930173430687</v>
      </c>
      <c r="T2035" s="361">
        <f t="shared" si="2086"/>
        <v>6.6221970883840129</v>
      </c>
      <c r="U2035" s="361">
        <f t="shared" si="2086"/>
        <v>8.4515790340499954</v>
      </c>
      <c r="V2035" s="362">
        <f t="shared" si="2086"/>
        <v>10.786327742206177</v>
      </c>
      <c r="X2035" s="351"/>
    </row>
    <row r="2036" spans="3:24" ht="24.75" customHeight="1" x14ac:dyDescent="0.3">
      <c r="C2036" s="353">
        <f>ABS(E2036-Dashboard!$F$14)</f>
        <v>35.94226173046107</v>
      </c>
      <c r="D2036" s="350">
        <f t="shared" si="2049"/>
        <v>0.27634999999998483</v>
      </c>
      <c r="E2036" s="359" cm="1">
        <f t="array" ref="E2036">1000*SUM('DRE + DCF'!$L$36/M2036,'DRE + DCF'!$N$36:$V$36/N2036:V2036,F2036/V2036)/Dashboard!$F$11</f>
        <v>61.047738269538925</v>
      </c>
      <c r="F2036" s="359">
        <f t="shared" si="2047"/>
        <v>9638553.2751246244</v>
      </c>
      <c r="G2036" s="359">
        <f>'DRE + DCF'!$W$31</f>
        <v>2791623.3540418856</v>
      </c>
      <c r="H2036" s="359">
        <f>'DRE + DCF'!$W$32</f>
        <v>81081.931703745853</v>
      </c>
      <c r="I2036" s="359">
        <f>-H2036*('DRE + DCF'!$V$33+K2036)/'DRE + DCF'!$V$33</f>
        <v>-90858.801614444121</v>
      </c>
      <c r="J2036" s="359">
        <f>-'DRE + DCF'!$V$56*L2036</f>
        <v>-1188924.4255577971</v>
      </c>
      <c r="K2036" s="360">
        <f>(1+L2036)/(1+Ke!$O$12)-1</f>
        <v>2.0000000000000018E-2</v>
      </c>
      <c r="L2036" s="360">
        <f>'DRE + DCF'!$Y$31</f>
        <v>7.3550000000000004E-2</v>
      </c>
      <c r="M2036" s="361">
        <f>(1+D2036)^((5-Dashboard!$F$9)*3/12)</f>
        <v>1.2008184085840583</v>
      </c>
      <c r="N2036" s="361">
        <f t="shared" ref="N2036:V2036" si="2087">M2036*(1+$D2036)</f>
        <v>1.5326645757962445</v>
      </c>
      <c r="O2036" s="361">
        <f t="shared" si="2087"/>
        <v>1.9562164313175132</v>
      </c>
      <c r="P2036" s="361">
        <f t="shared" si="2087"/>
        <v>2.4968168421120782</v>
      </c>
      <c r="Q2036" s="361">
        <f t="shared" si="2087"/>
        <v>3.1868121764297128</v>
      </c>
      <c r="R2036" s="361">
        <f t="shared" si="2087"/>
        <v>4.0674877213860157</v>
      </c>
      <c r="S2036" s="361">
        <f t="shared" si="2087"/>
        <v>5.1915379531909789</v>
      </c>
      <c r="T2036" s="361">
        <f t="shared" si="2087"/>
        <v>6.6262194665552272</v>
      </c>
      <c r="U2036" s="361">
        <f t="shared" si="2087"/>
        <v>8.4573752161376632</v>
      </c>
      <c r="V2036" s="362">
        <f t="shared" si="2087"/>
        <v>10.794570857117177</v>
      </c>
      <c r="X2036" s="351"/>
    </row>
    <row r="2037" spans="3:24" ht="24.75" customHeight="1" x14ac:dyDescent="0.3">
      <c r="C2037" s="353">
        <f>ABS(E2037-Dashboard!$F$14)</f>
        <v>35.97707602541599</v>
      </c>
      <c r="D2037" s="350">
        <f t="shared" si="2049"/>
        <v>0.27644999999998482</v>
      </c>
      <c r="E2037" s="359" cm="1">
        <f t="array" ref="E2037">1000*SUM('DRE + DCF'!$L$36/M2037,'DRE + DCF'!$N$36:$V$36/N2037:V2037,F2037/V2037)/Dashboard!$F$11</f>
        <v>61.012923974584005</v>
      </c>
      <c r="F2037" s="359">
        <f t="shared" si="2047"/>
        <v>9634513.8858900741</v>
      </c>
      <c r="G2037" s="359">
        <f>'DRE + DCF'!$W$31</f>
        <v>2791623.3540418856</v>
      </c>
      <c r="H2037" s="359">
        <f>'DRE + DCF'!$W$32</f>
        <v>81081.931703745853</v>
      </c>
      <c r="I2037" s="359">
        <f>-H2037*('DRE + DCF'!$V$33+K2037)/'DRE + DCF'!$V$33</f>
        <v>-90858.801614444121</v>
      </c>
      <c r="J2037" s="359">
        <f>-'DRE + DCF'!$V$56*L2037</f>
        <v>-1188924.4255577971</v>
      </c>
      <c r="K2037" s="360">
        <f>(1+L2037)/(1+Ke!$O$12)-1</f>
        <v>2.0000000000000018E-2</v>
      </c>
      <c r="L2037" s="360">
        <f>'DRE + DCF'!$Y$31</f>
        <v>7.3550000000000004E-2</v>
      </c>
      <c r="M2037" s="361">
        <f>(1+D2037)^((5-Dashboard!$F$9)*3/12)</f>
        <v>1.2008889695576561</v>
      </c>
      <c r="N2037" s="361">
        <f t="shared" ref="N2037:V2037" si="2088">M2037*(1+$D2037)</f>
        <v>1.5328747251918518</v>
      </c>
      <c r="O2037" s="361">
        <f t="shared" si="2088"/>
        <v>1.9566379429711158</v>
      </c>
      <c r="P2037" s="361">
        <f t="shared" si="2088"/>
        <v>2.4975505023054509</v>
      </c>
      <c r="Q2037" s="361">
        <f t="shared" si="2088"/>
        <v>3.1879983386677546</v>
      </c>
      <c r="R2037" s="361">
        <f t="shared" si="2088"/>
        <v>4.0693204793924069</v>
      </c>
      <c r="S2037" s="361">
        <f t="shared" si="2088"/>
        <v>5.194284125920376</v>
      </c>
      <c r="T2037" s="361">
        <f t="shared" si="2088"/>
        <v>6.6302439725309847</v>
      </c>
      <c r="U2037" s="361">
        <f t="shared" si="2088"/>
        <v>8.4631749187370744</v>
      </c>
      <c r="V2037" s="362">
        <f t="shared" si="2088"/>
        <v>10.80281962502181</v>
      </c>
      <c r="X2037" s="351"/>
    </row>
    <row r="2038" spans="3:24" ht="24.75" customHeight="1" x14ac:dyDescent="0.3">
      <c r="C2038" s="353">
        <f>ABS(E2038-Dashboard!$F$14)</f>
        <v>36.011855274417591</v>
      </c>
      <c r="D2038" s="350">
        <f t="shared" si="2049"/>
        <v>0.27654999999998481</v>
      </c>
      <c r="E2038" s="359" cm="1">
        <f t="array" ref="E2038">1000*SUM('DRE + DCF'!$L$36/M2038,'DRE + DCF'!$N$36:$V$36/N2038:V2038,F2038/V2038)/Dashboard!$F$11</f>
        <v>60.978144725582403</v>
      </c>
      <c r="F2038" s="359">
        <f t="shared" si="2047"/>
        <v>9630477.9624050967</v>
      </c>
      <c r="G2038" s="359">
        <f>'DRE + DCF'!$W$31</f>
        <v>2791623.3540418856</v>
      </c>
      <c r="H2038" s="359">
        <f>'DRE + DCF'!$W$32</f>
        <v>81081.931703745853</v>
      </c>
      <c r="I2038" s="359">
        <f>-H2038*('DRE + DCF'!$V$33+K2038)/'DRE + DCF'!$V$33</f>
        <v>-90858.801614444121</v>
      </c>
      <c r="J2038" s="359">
        <f>-'DRE + DCF'!$V$56*L2038</f>
        <v>-1188924.4255577971</v>
      </c>
      <c r="K2038" s="360">
        <f>(1+L2038)/(1+Ke!$O$12)-1</f>
        <v>2.0000000000000018E-2</v>
      </c>
      <c r="L2038" s="360">
        <f>'DRE + DCF'!$Y$31</f>
        <v>7.3550000000000004E-2</v>
      </c>
      <c r="M2038" s="361">
        <f>(1+D2038)^((5-Dashboard!$F$9)*3/12)</f>
        <v>1.2009595291492909</v>
      </c>
      <c r="N2038" s="361">
        <f t="shared" ref="N2038:V2038" si="2089">M2038*(1+$D2038)</f>
        <v>1.5330848869355089</v>
      </c>
      <c r="O2038" s="361">
        <f t="shared" si="2089"/>
        <v>1.9570595124175005</v>
      </c>
      <c r="P2038" s="361">
        <f t="shared" si="2089"/>
        <v>2.4982843205765306</v>
      </c>
      <c r="Q2038" s="361">
        <f t="shared" si="2089"/>
        <v>3.1891848494319319</v>
      </c>
      <c r="R2038" s="361">
        <f t="shared" si="2089"/>
        <v>4.0711539195422839</v>
      </c>
      <c r="S2038" s="361">
        <f t="shared" si="2089"/>
        <v>5.1970315359916404</v>
      </c>
      <c r="T2038" s="361">
        <f t="shared" si="2089"/>
        <v>6.6342706072700492</v>
      </c>
      <c r="U2038" s="361">
        <f t="shared" si="2089"/>
        <v>8.4689781437104799</v>
      </c>
      <c r="V2038" s="362">
        <f t="shared" si="2089"/>
        <v>10.811074049353484</v>
      </c>
      <c r="X2038" s="351"/>
    </row>
    <row r="2039" spans="3:24" ht="24.75" customHeight="1" x14ac:dyDescent="0.3">
      <c r="C2039" s="353">
        <f>ABS(E2039-Dashboard!$F$14)</f>
        <v>36.046599526610784</v>
      </c>
      <c r="D2039" s="350">
        <f t="shared" si="2049"/>
        <v>0.2766499999999848</v>
      </c>
      <c r="E2039" s="359" cm="1">
        <f t="array" ref="E2039">1000*SUM('DRE + DCF'!$L$36/M2039,'DRE + DCF'!$N$36:$V$36/N2039:V2039,F2039/V2039)/Dashboard!$F$11</f>
        <v>60.943400473389211</v>
      </c>
      <c r="F2039" s="359">
        <f t="shared" si="2047"/>
        <v>9626445.5001074709</v>
      </c>
      <c r="G2039" s="359">
        <f>'DRE + DCF'!$W$31</f>
        <v>2791623.3540418856</v>
      </c>
      <c r="H2039" s="359">
        <f>'DRE + DCF'!$W$32</f>
        <v>81081.931703745853</v>
      </c>
      <c r="I2039" s="359">
        <f>-H2039*('DRE + DCF'!$V$33+K2039)/'DRE + DCF'!$V$33</f>
        <v>-90858.801614444121</v>
      </c>
      <c r="J2039" s="359">
        <f>-'DRE + DCF'!$V$56*L2039</f>
        <v>-1188924.4255577971</v>
      </c>
      <c r="K2039" s="360">
        <f>(1+L2039)/(1+Ke!$O$12)-1</f>
        <v>2.0000000000000018E-2</v>
      </c>
      <c r="L2039" s="360">
        <f>'DRE + DCF'!$Y$31</f>
        <v>7.3550000000000004E-2</v>
      </c>
      <c r="M2039" s="361">
        <f>(1+D2039)^((5-Dashboard!$F$9)*3/12)</f>
        <v>1.2010300873590976</v>
      </c>
      <c r="N2039" s="361">
        <f t="shared" ref="N2039:V2039" si="2090">M2039*(1+$D2039)</f>
        <v>1.5332950610269735</v>
      </c>
      <c r="O2039" s="361">
        <f t="shared" si="2090"/>
        <v>1.9574811396600624</v>
      </c>
      <c r="P2039" s="361">
        <f t="shared" si="2090"/>
        <v>2.4990182969469887</v>
      </c>
      <c r="Q2039" s="361">
        <f t="shared" si="2090"/>
        <v>3.1903717087973349</v>
      </c>
      <c r="R2039" s="361">
        <f t="shared" si="2090"/>
        <v>4.0729880420360693</v>
      </c>
      <c r="S2039" s="361">
        <f t="shared" si="2090"/>
        <v>5.1997801838652862</v>
      </c>
      <c r="T2039" s="361">
        <f t="shared" si="2090"/>
        <v>6.6382993717315379</v>
      </c>
      <c r="U2039" s="361">
        <f t="shared" si="2090"/>
        <v>8.474784892920967</v>
      </c>
      <c r="V2039" s="362">
        <f t="shared" si="2090"/>
        <v>10.819334133547423</v>
      </c>
      <c r="X2039" s="351"/>
    </row>
    <row r="2040" spans="3:24" ht="24.75" customHeight="1" x14ac:dyDescent="0.3">
      <c r="C2040" s="353">
        <f>ABS(E2040-Dashboard!$F$14)</f>
        <v>36.081308831051693</v>
      </c>
      <c r="D2040" s="350">
        <f t="shared" si="2049"/>
        <v>0.27674999999998479</v>
      </c>
      <c r="E2040" s="359" cm="1">
        <f t="array" ref="E2040">1000*SUM('DRE + DCF'!$L$36/M2040,'DRE + DCF'!$N$36:$V$36/N2040:V2040,F2040/V2040)/Dashboard!$F$11</f>
        <v>60.908691168948302</v>
      </c>
      <c r="F2040" s="359">
        <f t="shared" si="2047"/>
        <v>9622416.4944431409</v>
      </c>
      <c r="G2040" s="359">
        <f>'DRE + DCF'!$W$31</f>
        <v>2791623.3540418856</v>
      </c>
      <c r="H2040" s="359">
        <f>'DRE + DCF'!$W$32</f>
        <v>81081.931703745853</v>
      </c>
      <c r="I2040" s="359">
        <f>-H2040*('DRE + DCF'!$V$33+K2040)/'DRE + DCF'!$V$33</f>
        <v>-90858.801614444121</v>
      </c>
      <c r="J2040" s="359">
        <f>-'DRE + DCF'!$V$56*L2040</f>
        <v>-1188924.4255577971</v>
      </c>
      <c r="K2040" s="360">
        <f>(1+L2040)/(1+Ke!$O$12)-1</f>
        <v>2.0000000000000018E-2</v>
      </c>
      <c r="L2040" s="360">
        <f>'DRE + DCF'!$Y$31</f>
        <v>7.3550000000000004E-2</v>
      </c>
      <c r="M2040" s="361">
        <f>(1+D2040)^((5-Dashboard!$F$9)*3/12)</f>
        <v>1.2011006441872114</v>
      </c>
      <c r="N2040" s="361">
        <f t="shared" ref="N2040:V2040" si="2091">M2040*(1+$D2040)</f>
        <v>1.5335052474660038</v>
      </c>
      <c r="O2040" s="361">
        <f t="shared" si="2091"/>
        <v>1.957902824702197</v>
      </c>
      <c r="P2040" s="361">
        <f t="shared" si="2091"/>
        <v>2.4997524314385</v>
      </c>
      <c r="Q2040" s="361">
        <f t="shared" si="2091"/>
        <v>3.1915589168390666</v>
      </c>
      <c r="R2040" s="361">
        <f t="shared" si="2091"/>
        <v>4.0748228470742296</v>
      </c>
      <c r="S2040" s="361">
        <f t="shared" si="2091"/>
        <v>5.2025300700019601</v>
      </c>
      <c r="T2040" s="361">
        <f t="shared" si="2091"/>
        <v>6.6423302668749233</v>
      </c>
      <c r="U2040" s="361">
        <f t="shared" si="2091"/>
        <v>8.4805951682324565</v>
      </c>
      <c r="V2040" s="362">
        <f t="shared" si="2091"/>
        <v>10.82759988104066</v>
      </c>
      <c r="X2040" s="351"/>
    </row>
    <row r="2041" spans="3:24" ht="24.75" customHeight="1" x14ac:dyDescent="0.3">
      <c r="C2041" s="353">
        <f>ABS(E2041-Dashboard!$F$14)</f>
        <v>36.115983236707898</v>
      </c>
      <c r="D2041" s="350">
        <f t="shared" si="2049"/>
        <v>0.27684999999998477</v>
      </c>
      <c r="E2041" s="359" cm="1">
        <f t="array" ref="E2041">1000*SUM('DRE + DCF'!$L$36/M2041,'DRE + DCF'!$N$36:$V$36/N2041:V2041,F2041/V2041)/Dashboard!$F$11</f>
        <v>60.874016763292097</v>
      </c>
      <c r="F2041" s="359">
        <f t="shared" si="2047"/>
        <v>9618390.9408662152</v>
      </c>
      <c r="G2041" s="359">
        <f>'DRE + DCF'!$W$31</f>
        <v>2791623.3540418856</v>
      </c>
      <c r="H2041" s="359">
        <f>'DRE + DCF'!$W$32</f>
        <v>81081.931703745853</v>
      </c>
      <c r="I2041" s="359">
        <f>-H2041*('DRE + DCF'!$V$33+K2041)/'DRE + DCF'!$V$33</f>
        <v>-90858.801614444121</v>
      </c>
      <c r="J2041" s="359">
        <f>-'DRE + DCF'!$V$56*L2041</f>
        <v>-1188924.4255577971</v>
      </c>
      <c r="K2041" s="360">
        <f>(1+L2041)/(1+Ke!$O$12)-1</f>
        <v>2.0000000000000018E-2</v>
      </c>
      <c r="L2041" s="360">
        <f>'DRE + DCF'!$Y$31</f>
        <v>7.3550000000000004E-2</v>
      </c>
      <c r="M2041" s="361">
        <f>(1+D2041)^((5-Dashboard!$F$9)*3/12)</f>
        <v>1.2011711996337682</v>
      </c>
      <c r="N2041" s="361">
        <f t="shared" ref="N2041:V2041" si="2092">M2041*(1+$D2041)</f>
        <v>1.5337154462523586</v>
      </c>
      <c r="O2041" s="361">
        <f t="shared" si="2092"/>
        <v>1.9583245675473007</v>
      </c>
      <c r="P2041" s="361">
        <f t="shared" si="2092"/>
        <v>2.5004867240727409</v>
      </c>
      <c r="Q2041" s="361">
        <f t="shared" si="2092"/>
        <v>3.1927464736322411</v>
      </c>
      <c r="R2041" s="361">
        <f t="shared" si="2092"/>
        <v>4.076658334857278</v>
      </c>
      <c r="S2041" s="361">
        <f t="shared" si="2092"/>
        <v>5.2052811948624536</v>
      </c>
      <c r="T2041" s="361">
        <f t="shared" si="2092"/>
        <v>6.6463632936600439</v>
      </c>
      <c r="U2041" s="361">
        <f t="shared" si="2092"/>
        <v>8.4864089715097251</v>
      </c>
      <c r="V2041" s="362">
        <f t="shared" si="2092"/>
        <v>10.835871295272062</v>
      </c>
      <c r="X2041" s="351"/>
    </row>
    <row r="2042" spans="3:24" ht="24.75" customHeight="1" x14ac:dyDescent="0.3">
      <c r="C2042" s="353">
        <f>ABS(E2042-Dashboard!$F$14)</f>
        <v>36.150622792458478</v>
      </c>
      <c r="D2042" s="350">
        <f t="shared" si="2049"/>
        <v>0.27694999999998476</v>
      </c>
      <c r="E2042" s="359" cm="1">
        <f t="array" ref="E2042">1000*SUM('DRE + DCF'!$L$36/M2042,'DRE + DCF'!$N$36:$V$36/N2042:V2042,F2042/V2042)/Dashboard!$F$11</f>
        <v>60.839377207541517</v>
      </c>
      <c r="F2042" s="359">
        <f t="shared" si="2047"/>
        <v>9614368.8348389361</v>
      </c>
      <c r="G2042" s="359">
        <f>'DRE + DCF'!$W$31</f>
        <v>2791623.3540418856</v>
      </c>
      <c r="H2042" s="359">
        <f>'DRE + DCF'!$W$32</f>
        <v>81081.931703745853</v>
      </c>
      <c r="I2042" s="359">
        <f>-H2042*('DRE + DCF'!$V$33+K2042)/'DRE + DCF'!$V$33</f>
        <v>-90858.801614444121</v>
      </c>
      <c r="J2042" s="359">
        <f>-'DRE + DCF'!$V$56*L2042</f>
        <v>-1188924.4255577971</v>
      </c>
      <c r="K2042" s="360">
        <f>(1+L2042)/(1+Ke!$O$12)-1</f>
        <v>2.0000000000000018E-2</v>
      </c>
      <c r="L2042" s="360">
        <f>'DRE + DCF'!$Y$31</f>
        <v>7.3550000000000004E-2</v>
      </c>
      <c r="M2042" s="361">
        <f>(1+D2042)^((5-Dashboard!$F$9)*3/12)</f>
        <v>1.2012417536989024</v>
      </c>
      <c r="N2042" s="361">
        <f t="shared" ref="N2042:V2042" si="2093">M2042*(1+$D2042)</f>
        <v>1.5339256573857951</v>
      </c>
      <c r="O2042" s="361">
        <f t="shared" si="2093"/>
        <v>1.9587463681987676</v>
      </c>
      <c r="P2042" s="361">
        <f t="shared" si="2093"/>
        <v>2.5012211748713864</v>
      </c>
      <c r="Q2042" s="361">
        <f t="shared" si="2093"/>
        <v>3.1939343792519788</v>
      </c>
      <c r="R2042" s="361">
        <f t="shared" si="2093"/>
        <v>4.0784945055857653</v>
      </c>
      <c r="S2042" s="361">
        <f t="shared" si="2093"/>
        <v>5.2080335589076805</v>
      </c>
      <c r="T2042" s="361">
        <f t="shared" si="2093"/>
        <v>6.6503984530470825</v>
      </c>
      <c r="U2042" s="361">
        <f t="shared" si="2093"/>
        <v>8.4922263046183701</v>
      </c>
      <c r="V2042" s="362">
        <f t="shared" si="2093"/>
        <v>10.844148379682299</v>
      </c>
      <c r="X2042" s="351"/>
    </row>
    <row r="2043" spans="3:24" ht="24.75" customHeight="1" x14ac:dyDescent="0.3">
      <c r="C2043" s="353">
        <f>ABS(E2043-Dashboard!$F$14)</f>
        <v>36.185227547094392</v>
      </c>
      <c r="D2043" s="350">
        <f t="shared" si="2049"/>
        <v>0.27704999999998475</v>
      </c>
      <c r="E2043" s="359" cm="1">
        <f t="array" ref="E2043">1000*SUM('DRE + DCF'!$L$36/M2043,'DRE + DCF'!$N$36:$V$36/N2043:V2043,F2043/V2043)/Dashboard!$F$11</f>
        <v>60.804772452905603</v>
      </c>
      <c r="F2043" s="359">
        <f t="shared" si="2047"/>
        <v>9610350.1718316693</v>
      </c>
      <c r="G2043" s="359">
        <f>'DRE + DCF'!$W$31</f>
        <v>2791623.3540418856</v>
      </c>
      <c r="H2043" s="359">
        <f>'DRE + DCF'!$W$32</f>
        <v>81081.931703745853</v>
      </c>
      <c r="I2043" s="359">
        <f>-H2043*('DRE + DCF'!$V$33+K2043)/'DRE + DCF'!$V$33</f>
        <v>-90858.801614444121</v>
      </c>
      <c r="J2043" s="359">
        <f>-'DRE + DCF'!$V$56*L2043</f>
        <v>-1188924.4255577971</v>
      </c>
      <c r="K2043" s="360">
        <f>(1+L2043)/(1+Ke!$O$12)-1</f>
        <v>2.0000000000000018E-2</v>
      </c>
      <c r="L2043" s="360">
        <f>'DRE + DCF'!$Y$31</f>
        <v>7.3550000000000004E-2</v>
      </c>
      <c r="M2043" s="361">
        <f>(1+D2043)^((5-Dashboard!$F$9)*3/12)</f>
        <v>1.20131230638275</v>
      </c>
      <c r="N2043" s="361">
        <f t="shared" ref="N2043:V2043" si="2094">M2043*(1+$D2043)</f>
        <v>1.5341358808660726</v>
      </c>
      <c r="O2043" s="361">
        <f t="shared" si="2094"/>
        <v>1.9591682266599946</v>
      </c>
      <c r="P2043" s="361">
        <f t="shared" si="2094"/>
        <v>2.5019557838561162</v>
      </c>
      <c r="Q2043" s="361">
        <f t="shared" si="2094"/>
        <v>3.1951226337734147</v>
      </c>
      <c r="R2043" s="361">
        <f t="shared" si="2094"/>
        <v>4.0803313594602901</v>
      </c>
      <c r="S2043" s="361">
        <f t="shared" si="2094"/>
        <v>5.2107871625987014</v>
      </c>
      <c r="T2043" s="361">
        <f t="shared" si="2094"/>
        <v>6.6544357459965919</v>
      </c>
      <c r="U2043" s="361">
        <f t="shared" si="2094"/>
        <v>8.4980471694248454</v>
      </c>
      <c r="V2043" s="362">
        <f t="shared" si="2094"/>
        <v>10.852431137713868</v>
      </c>
      <c r="X2043" s="351"/>
    </row>
    <row r="2044" spans="3:24" ht="24.75" customHeight="1" x14ac:dyDescent="0.3">
      <c r="C2044" s="353">
        <f>ABS(E2044-Dashboard!$F$14)</f>
        <v>36.21979754931855</v>
      </c>
      <c r="D2044" s="350">
        <f t="shared" si="2049"/>
        <v>0.27714999999998474</v>
      </c>
      <c r="E2044" s="359" cm="1">
        <f t="array" ref="E2044">1000*SUM('DRE + DCF'!$L$36/M2044,'DRE + DCF'!$N$36:$V$36/N2044:V2044,F2044/V2044)/Dashboard!$F$11</f>
        <v>60.770202450681445</v>
      </c>
      <c r="F2044" s="359">
        <f t="shared" si="2047"/>
        <v>9606334.9473228846</v>
      </c>
      <c r="G2044" s="359">
        <f>'DRE + DCF'!$W$31</f>
        <v>2791623.3540418856</v>
      </c>
      <c r="H2044" s="359">
        <f>'DRE + DCF'!$W$32</f>
        <v>81081.931703745853</v>
      </c>
      <c r="I2044" s="359">
        <f>-H2044*('DRE + DCF'!$V$33+K2044)/'DRE + DCF'!$V$33</f>
        <v>-90858.801614444121</v>
      </c>
      <c r="J2044" s="359">
        <f>-'DRE + DCF'!$V$56*L2044</f>
        <v>-1188924.4255577971</v>
      </c>
      <c r="K2044" s="360">
        <f>(1+L2044)/(1+Ke!$O$12)-1</f>
        <v>2.0000000000000018E-2</v>
      </c>
      <c r="L2044" s="360">
        <f>'DRE + DCF'!$Y$31</f>
        <v>7.3550000000000004E-2</v>
      </c>
      <c r="M2044" s="361">
        <f>(1+D2044)^((5-Dashboard!$F$9)*3/12)</f>
        <v>1.2013828576854457</v>
      </c>
      <c r="N2044" s="361">
        <f t="shared" ref="N2044:V2044" si="2095">M2044*(1+$D2044)</f>
        <v>1.5343461166929486</v>
      </c>
      <c r="O2044" s="361">
        <f t="shared" si="2095"/>
        <v>1.9595901429343758</v>
      </c>
      <c r="P2044" s="361">
        <f t="shared" si="2095"/>
        <v>2.5026905510486079</v>
      </c>
      <c r="Q2044" s="361">
        <f t="shared" si="2095"/>
        <v>3.1963112372716913</v>
      </c>
      <c r="R2044" s="361">
        <f t="shared" si="2095"/>
        <v>4.082168896681492</v>
      </c>
      <c r="S2044" s="361">
        <f t="shared" si="2095"/>
        <v>5.2135420063967048</v>
      </c>
      <c r="T2044" s="361">
        <f t="shared" si="2095"/>
        <v>6.6584751734694718</v>
      </c>
      <c r="U2044" s="361">
        <f t="shared" si="2095"/>
        <v>8.5038715677964341</v>
      </c>
      <c r="V2044" s="362">
        <f t="shared" si="2095"/>
        <v>10.860719572811085</v>
      </c>
      <c r="X2044" s="351"/>
    </row>
    <row r="2045" spans="3:24" ht="24.75" customHeight="1" x14ac:dyDescent="0.3">
      <c r="C2045" s="353">
        <f>ABS(E2045-Dashboard!$F$14)</f>
        <v>36.254332847746078</v>
      </c>
      <c r="D2045" s="350">
        <f t="shared" si="2049"/>
        <v>0.27724999999998473</v>
      </c>
      <c r="E2045" s="359" cm="1">
        <f t="array" ref="E2045">1000*SUM('DRE + DCF'!$L$36/M2045,'DRE + DCF'!$N$36:$V$36/N2045:V2045,F2045/V2045)/Dashboard!$F$11</f>
        <v>60.735667152253917</v>
      </c>
      <c r="F2045" s="359">
        <f t="shared" si="2047"/>
        <v>9602323.1567991264</v>
      </c>
      <c r="G2045" s="359">
        <f>'DRE + DCF'!$W$31</f>
        <v>2791623.3540418856</v>
      </c>
      <c r="H2045" s="359">
        <f>'DRE + DCF'!$W$32</f>
        <v>81081.931703745853</v>
      </c>
      <c r="I2045" s="359">
        <f>-H2045*('DRE + DCF'!$V$33+K2045)/'DRE + DCF'!$V$33</f>
        <v>-90858.801614444121</v>
      </c>
      <c r="J2045" s="359">
        <f>-'DRE + DCF'!$V$56*L2045</f>
        <v>-1188924.4255577971</v>
      </c>
      <c r="K2045" s="360">
        <f>(1+L2045)/(1+Ke!$O$12)-1</f>
        <v>2.0000000000000018E-2</v>
      </c>
      <c r="L2045" s="360">
        <f>'DRE + DCF'!$Y$31</f>
        <v>7.3550000000000004E-2</v>
      </c>
      <c r="M2045" s="361">
        <f>(1+D2045)^((5-Dashboard!$F$9)*3/12)</f>
        <v>1.2014534076071248</v>
      </c>
      <c r="N2045" s="361">
        <f t="shared" ref="N2045:V2045" si="2096">M2045*(1+$D2045)</f>
        <v>1.5345563648661817</v>
      </c>
      <c r="O2045" s="361">
        <f t="shared" si="2096"/>
        <v>1.9600121170253071</v>
      </c>
      <c r="P2045" s="361">
        <f t="shared" si="2096"/>
        <v>2.5034254764705435</v>
      </c>
      <c r="Q2045" s="361">
        <f t="shared" si="2096"/>
        <v>3.1975001898219633</v>
      </c>
      <c r="R2045" s="361">
        <f t="shared" si="2096"/>
        <v>4.0840071174500538</v>
      </c>
      <c r="S2045" s="361">
        <f t="shared" si="2096"/>
        <v>5.2162980907630185</v>
      </c>
      <c r="T2045" s="361">
        <f t="shared" si="2096"/>
        <v>6.6625167364269853</v>
      </c>
      <c r="U2045" s="361">
        <f t="shared" si="2096"/>
        <v>8.5096995016012649</v>
      </c>
      <c r="V2045" s="362">
        <f t="shared" si="2096"/>
        <v>10.869013688420084</v>
      </c>
      <c r="X2045" s="351"/>
    </row>
    <row r="2046" spans="3:24" ht="24.75" customHeight="1" x14ac:dyDescent="0.3">
      <c r="C2046" s="353">
        <f>ABS(E2046-Dashboard!$F$14)</f>
        <v>36.288833490904452</v>
      </c>
      <c r="D2046" s="350">
        <f t="shared" si="2049"/>
        <v>0.27734999999998472</v>
      </c>
      <c r="E2046" s="359" cm="1">
        <f t="array" ref="E2046">1000*SUM('DRE + DCF'!$L$36/M2046,'DRE + DCF'!$N$36:$V$36/N2046:V2046,F2046/V2046)/Dashboard!$F$11</f>
        <v>60.701166509095543</v>
      </c>
      <c r="F2046" s="359">
        <f t="shared" si="2047"/>
        <v>9598314.7957550157</v>
      </c>
      <c r="G2046" s="359">
        <f>'DRE + DCF'!$W$31</f>
        <v>2791623.3540418856</v>
      </c>
      <c r="H2046" s="359">
        <f>'DRE + DCF'!$W$32</f>
        <v>81081.931703745853</v>
      </c>
      <c r="I2046" s="359">
        <f>-H2046*('DRE + DCF'!$V$33+K2046)/'DRE + DCF'!$V$33</f>
        <v>-90858.801614444121</v>
      </c>
      <c r="J2046" s="359">
        <f>-'DRE + DCF'!$V$56*L2046</f>
        <v>-1188924.4255577971</v>
      </c>
      <c r="K2046" s="360">
        <f>(1+L2046)/(1+Ke!$O$12)-1</f>
        <v>2.0000000000000018E-2</v>
      </c>
      <c r="L2046" s="360">
        <f>'DRE + DCF'!$Y$31</f>
        <v>7.3550000000000004E-2</v>
      </c>
      <c r="M2046" s="361">
        <f>(1+D2046)^((5-Dashboard!$F$9)*3/12)</f>
        <v>1.2015239561479225</v>
      </c>
      <c r="N2046" s="361">
        <f t="shared" ref="N2046:V2046" si="2097">M2046*(1+$D2046)</f>
        <v>1.5347666253855303</v>
      </c>
      <c r="O2046" s="361">
        <f t="shared" si="2097"/>
        <v>1.9604341489361836</v>
      </c>
      <c r="P2046" s="361">
        <f t="shared" si="2097"/>
        <v>2.5041605601436041</v>
      </c>
      <c r="Q2046" s="361">
        <f t="shared" si="2097"/>
        <v>3.1986894914993944</v>
      </c>
      <c r="R2046" s="361">
        <f t="shared" si="2097"/>
        <v>4.0858460219667023</v>
      </c>
      <c r="S2046" s="361">
        <f t="shared" si="2097"/>
        <v>5.2190554161591045</v>
      </c>
      <c r="T2046" s="361">
        <f t="shared" si="2097"/>
        <v>6.6665604358307524</v>
      </c>
      <c r="U2046" s="361">
        <f t="shared" si="2097"/>
        <v>8.5155309727083086</v>
      </c>
      <c r="V2046" s="362">
        <f t="shared" si="2097"/>
        <v>10.877313487988827</v>
      </c>
      <c r="X2046" s="351"/>
    </row>
    <row r="2047" spans="3:24" ht="24.75" customHeight="1" x14ac:dyDescent="0.3">
      <c r="C2047" s="353">
        <f>ABS(E2047-Dashboard!$F$14)</f>
        <v>36.3232995272338</v>
      </c>
      <c r="D2047" s="350">
        <f t="shared" si="2049"/>
        <v>0.27744999999998471</v>
      </c>
      <c r="E2047" s="359" cm="1">
        <f t="array" ref="E2047">1000*SUM('DRE + DCF'!$L$36/M2047,'DRE + DCF'!$N$36:$V$36/N2047:V2047,F2047/V2047)/Dashboard!$F$11</f>
        <v>60.666700472766195</v>
      </c>
      <c r="F2047" s="359">
        <f t="shared" si="2047"/>
        <v>9594309.8596932068</v>
      </c>
      <c r="G2047" s="359">
        <f>'DRE + DCF'!$W$31</f>
        <v>2791623.3540418856</v>
      </c>
      <c r="H2047" s="359">
        <f>'DRE + DCF'!$W$32</f>
        <v>81081.931703745853</v>
      </c>
      <c r="I2047" s="359">
        <f>-H2047*('DRE + DCF'!$V$33+K2047)/'DRE + DCF'!$V$33</f>
        <v>-90858.801614444121</v>
      </c>
      <c r="J2047" s="359">
        <f>-'DRE + DCF'!$V$56*L2047</f>
        <v>-1188924.4255577971</v>
      </c>
      <c r="K2047" s="360">
        <f>(1+L2047)/(1+Ke!$O$12)-1</f>
        <v>2.0000000000000018E-2</v>
      </c>
      <c r="L2047" s="360">
        <f>'DRE + DCF'!$Y$31</f>
        <v>7.3550000000000004E-2</v>
      </c>
      <c r="M2047" s="361">
        <f>(1+D2047)^((5-Dashboard!$F$9)*3/12)</f>
        <v>1.201594503307974</v>
      </c>
      <c r="N2047" s="361">
        <f t="shared" ref="N2047:V2047" si="2098">M2047*(1+$D2047)</f>
        <v>1.534976898250753</v>
      </c>
      <c r="O2047" s="361">
        <f t="shared" si="2098"/>
        <v>1.9608562386704009</v>
      </c>
      <c r="P2047" s="361">
        <f t="shared" si="2098"/>
        <v>2.5048958020894734</v>
      </c>
      <c r="Q2047" s="361">
        <f t="shared" si="2098"/>
        <v>3.1998791423791593</v>
      </c>
      <c r="R2047" s="361">
        <f t="shared" si="2098"/>
        <v>4.0876856104322075</v>
      </c>
      <c r="S2047" s="361">
        <f t="shared" si="2098"/>
        <v>5.2218139830465606</v>
      </c>
      <c r="T2047" s="361">
        <f t="shared" si="2098"/>
        <v>6.6706062726427486</v>
      </c>
      <c r="U2047" s="361">
        <f t="shared" si="2098"/>
        <v>8.5213659829873762</v>
      </c>
      <c r="V2047" s="362">
        <f t="shared" si="2098"/>
        <v>10.885618974967093</v>
      </c>
      <c r="X2047" s="351"/>
    </row>
    <row r="2048" spans="3:24" ht="24.75" customHeight="1" x14ac:dyDescent="0.3">
      <c r="C2048" s="353">
        <f>ABS(E2048-Dashboard!$F$14)</f>
        <v>36.357731005086954</v>
      </c>
      <c r="D2048" s="350">
        <f t="shared" si="2049"/>
        <v>0.2775499999999847</v>
      </c>
      <c r="E2048" s="359" cm="1">
        <f t="array" ref="E2048">1000*SUM('DRE + DCF'!$L$36/M2048,'DRE + DCF'!$N$36:$V$36/N2048:V2048,F2048/V2048)/Dashboard!$F$11</f>
        <v>60.632268994913041</v>
      </c>
      <c r="F2048" s="359">
        <f t="shared" si="2047"/>
        <v>9590308.3441243954</v>
      </c>
      <c r="G2048" s="359">
        <f>'DRE + DCF'!$W$31</f>
        <v>2791623.3540418856</v>
      </c>
      <c r="H2048" s="359">
        <f>'DRE + DCF'!$W$32</f>
        <v>81081.931703745853</v>
      </c>
      <c r="I2048" s="359">
        <f>-H2048*('DRE + DCF'!$V$33+K2048)/'DRE + DCF'!$V$33</f>
        <v>-90858.801614444121</v>
      </c>
      <c r="J2048" s="359">
        <f>-'DRE + DCF'!$V$56*L2048</f>
        <v>-1188924.4255577971</v>
      </c>
      <c r="K2048" s="360">
        <f>(1+L2048)/(1+Ke!$O$12)-1</f>
        <v>2.0000000000000018E-2</v>
      </c>
      <c r="L2048" s="360">
        <f>'DRE + DCF'!$Y$31</f>
        <v>7.3550000000000004E-2</v>
      </c>
      <c r="M2048" s="361">
        <f>(1+D2048)^((5-Dashboard!$F$9)*3/12)</f>
        <v>1.2016650490874143</v>
      </c>
      <c r="N2048" s="361">
        <f t="shared" ref="N2048:V2048" si="2099">M2048*(1+$D2048)</f>
        <v>1.5351871834616078</v>
      </c>
      <c r="O2048" s="361">
        <f t="shared" si="2099"/>
        <v>1.9612783862313534</v>
      </c>
      <c r="P2048" s="361">
        <f t="shared" si="2099"/>
        <v>2.5056312023298353</v>
      </c>
      <c r="Q2048" s="361">
        <f t="shared" si="2099"/>
        <v>3.2010691425364426</v>
      </c>
      <c r="R2048" s="361">
        <f t="shared" si="2099"/>
        <v>4.0895258830473828</v>
      </c>
      <c r="S2048" s="361">
        <f t="shared" si="2099"/>
        <v>5.2245737918871216</v>
      </c>
      <c r="T2048" s="361">
        <f t="shared" si="2099"/>
        <v>6.6746542478253117</v>
      </c>
      <c r="U2048" s="361">
        <f t="shared" si="2099"/>
        <v>8.5272045343091243</v>
      </c>
      <c r="V2048" s="362">
        <f t="shared" si="2099"/>
        <v>10.89393015280649</v>
      </c>
      <c r="X2048" s="351"/>
    </row>
    <row r="2049" spans="3:24" ht="24.75" customHeight="1" x14ac:dyDescent="0.3">
      <c r="C2049" s="353">
        <f>ABS(E2049-Dashboard!$F$14)</f>
        <v>36.392127972729746</v>
      </c>
      <c r="D2049" s="350">
        <f t="shared" si="2049"/>
        <v>0.27764999999998469</v>
      </c>
      <c r="E2049" s="359" cm="1">
        <f t="array" ref="E2049">1000*SUM('DRE + DCF'!$L$36/M2049,'DRE + DCF'!$N$36:$V$36/N2049:V2049,F2049/V2049)/Dashboard!$F$11</f>
        <v>60.597872027270249</v>
      </c>
      <c r="F2049" s="359">
        <f t="shared" si="2047"/>
        <v>9586310.2445672788</v>
      </c>
      <c r="G2049" s="359">
        <f>'DRE + DCF'!$W$31</f>
        <v>2791623.3540418856</v>
      </c>
      <c r="H2049" s="359">
        <f>'DRE + DCF'!$W$32</f>
        <v>81081.931703745853</v>
      </c>
      <c r="I2049" s="359">
        <f>-H2049*('DRE + DCF'!$V$33+K2049)/'DRE + DCF'!$V$33</f>
        <v>-90858.801614444121</v>
      </c>
      <c r="J2049" s="359">
        <f>-'DRE + DCF'!$V$56*L2049</f>
        <v>-1188924.4255577971</v>
      </c>
      <c r="K2049" s="360">
        <f>(1+L2049)/(1+Ke!$O$12)-1</f>
        <v>2.0000000000000018E-2</v>
      </c>
      <c r="L2049" s="360">
        <f>'DRE + DCF'!$Y$31</f>
        <v>7.3550000000000004E-2</v>
      </c>
      <c r="M2049" s="361">
        <f>(1+D2049)^((5-Dashboard!$F$9)*3/12)</f>
        <v>1.2017355934863785</v>
      </c>
      <c r="N2049" s="361">
        <f t="shared" ref="N2049:V2049" si="2100">M2049*(1+$D2049)</f>
        <v>1.535397481017853</v>
      </c>
      <c r="O2049" s="361">
        <f t="shared" si="2100"/>
        <v>1.9617005916224364</v>
      </c>
      <c r="P2049" s="361">
        <f t="shared" si="2100"/>
        <v>2.5063667608863756</v>
      </c>
      <c r="Q2049" s="361">
        <f t="shared" si="2100"/>
        <v>3.2022594920464393</v>
      </c>
      <c r="R2049" s="361">
        <f t="shared" si="2100"/>
        <v>4.0913668400130838</v>
      </c>
      <c r="S2049" s="361">
        <f t="shared" si="2100"/>
        <v>5.2273348431426534</v>
      </c>
      <c r="T2049" s="361">
        <f t="shared" si="2100"/>
        <v>6.6787043623411311</v>
      </c>
      <c r="U2049" s="361">
        <f t="shared" si="2100"/>
        <v>8.5330466285450441</v>
      </c>
      <c r="V2049" s="362">
        <f t="shared" si="2100"/>
        <v>10.902247024960445</v>
      </c>
      <c r="X2049" s="351"/>
    </row>
    <row r="2050" spans="3:24" ht="24.75" customHeight="1" x14ac:dyDescent="0.3">
      <c r="C2050" s="353">
        <f>ABS(E2050-Dashboard!$F$14)</f>
        <v>36.426490478341158</v>
      </c>
      <c r="D2050" s="350">
        <f t="shared" si="2049"/>
        <v>0.27774999999998468</v>
      </c>
      <c r="E2050" s="359" cm="1">
        <f t="array" ref="E2050">1000*SUM('DRE + DCF'!$L$36/M2050,'DRE + DCF'!$N$36:$V$36/N2050:V2050,F2050/V2050)/Dashboard!$F$11</f>
        <v>60.563509521658837</v>
      </c>
      <c r="F2050" s="359">
        <f t="shared" si="2047"/>
        <v>9582315.556548547</v>
      </c>
      <c r="G2050" s="359">
        <f>'DRE + DCF'!$W$31</f>
        <v>2791623.3540418856</v>
      </c>
      <c r="H2050" s="359">
        <f>'DRE + DCF'!$W$32</f>
        <v>81081.931703745853</v>
      </c>
      <c r="I2050" s="359">
        <f>-H2050*('DRE + DCF'!$V$33+K2050)/'DRE + DCF'!$V$33</f>
        <v>-90858.801614444121</v>
      </c>
      <c r="J2050" s="359">
        <f>-'DRE + DCF'!$V$56*L2050</f>
        <v>-1188924.4255577971</v>
      </c>
      <c r="K2050" s="360">
        <f>(1+L2050)/(1+Ke!$O$12)-1</f>
        <v>2.0000000000000018E-2</v>
      </c>
      <c r="L2050" s="360">
        <f>'DRE + DCF'!$Y$31</f>
        <v>7.3550000000000004E-2</v>
      </c>
      <c r="M2050" s="361">
        <f>(1+D2050)^((5-Dashboard!$F$9)*3/12)</f>
        <v>1.2018061365050017</v>
      </c>
      <c r="N2050" s="361">
        <f t="shared" ref="N2050:V2050" si="2101">M2050*(1+$D2050)</f>
        <v>1.5356077909192474</v>
      </c>
      <c r="O2050" s="361">
        <f t="shared" si="2101"/>
        <v>1.9621228548470446</v>
      </c>
      <c r="P2050" s="361">
        <f t="shared" si="2101"/>
        <v>2.5071024777807809</v>
      </c>
      <c r="Q2050" s="361">
        <f t="shared" si="2101"/>
        <v>3.2034501909843542</v>
      </c>
      <c r="R2050" s="361">
        <f t="shared" si="2101"/>
        <v>4.0932084815302092</v>
      </c>
      <c r="S2050" s="361">
        <f t="shared" si="2101"/>
        <v>5.2300971372751617</v>
      </c>
      <c r="T2050" s="361">
        <f t="shared" si="2101"/>
        <v>6.6827566171532577</v>
      </c>
      <c r="U2050" s="361">
        <f t="shared" si="2101"/>
        <v>8.5388922675674728</v>
      </c>
      <c r="V2050" s="362">
        <f t="shared" si="2101"/>
        <v>10.910569594884207</v>
      </c>
      <c r="X2050" s="351"/>
    </row>
    <row r="2051" spans="3:24" ht="24.75" customHeight="1" x14ac:dyDescent="0.3">
      <c r="C2051" s="353">
        <f>ABS(E2051-Dashboard!$F$14)</f>
        <v>36.460818570013593</v>
      </c>
      <c r="D2051" s="350">
        <f t="shared" si="2049"/>
        <v>0.27784999999998466</v>
      </c>
      <c r="E2051" s="359" cm="1">
        <f t="array" ref="E2051">1000*SUM('DRE + DCF'!$L$36/M2051,'DRE + DCF'!$N$36:$V$36/N2051:V2051,F2051/V2051)/Dashboard!$F$11</f>
        <v>60.529181429986401</v>
      </c>
      <c r="F2051" s="359">
        <f t="shared" si="2047"/>
        <v>9578324.275602866</v>
      </c>
      <c r="G2051" s="359">
        <f>'DRE + DCF'!$W$31</f>
        <v>2791623.3540418856</v>
      </c>
      <c r="H2051" s="359">
        <f>'DRE + DCF'!$W$32</f>
        <v>81081.931703745853</v>
      </c>
      <c r="I2051" s="359">
        <f>-H2051*('DRE + DCF'!$V$33+K2051)/'DRE + DCF'!$V$33</f>
        <v>-90858.801614444121</v>
      </c>
      <c r="J2051" s="359">
        <f>-'DRE + DCF'!$V$56*L2051</f>
        <v>-1188924.4255577971</v>
      </c>
      <c r="K2051" s="360">
        <f>(1+L2051)/(1+Ke!$O$12)-1</f>
        <v>2.0000000000000018E-2</v>
      </c>
      <c r="L2051" s="360">
        <f>'DRE + DCF'!$Y$31</f>
        <v>7.3550000000000004E-2</v>
      </c>
      <c r="M2051" s="361">
        <f>(1+D2051)^((5-Dashboard!$F$9)*3/12)</f>
        <v>1.2018766781434187</v>
      </c>
      <c r="N2051" s="361">
        <f t="shared" ref="N2051:V2051" si="2102">M2051*(1+$D2051)</f>
        <v>1.5358181131655491</v>
      </c>
      <c r="O2051" s="361">
        <f t="shared" si="2102"/>
        <v>1.9625451759085732</v>
      </c>
      <c r="P2051" s="361">
        <f t="shared" si="2102"/>
        <v>2.5078383530347401</v>
      </c>
      <c r="Q2051" s="361">
        <f t="shared" si="2102"/>
        <v>3.204641239425404</v>
      </c>
      <c r="R2051" s="361">
        <f t="shared" si="2102"/>
        <v>4.0950508077997032</v>
      </c>
      <c r="S2051" s="361">
        <f t="shared" si="2102"/>
        <v>5.2328606747467878</v>
      </c>
      <c r="T2051" s="361">
        <f t="shared" si="2102"/>
        <v>6.6868110132251024</v>
      </c>
      <c r="U2051" s="361">
        <f t="shared" si="2102"/>
        <v>8.5447414532495944</v>
      </c>
      <c r="V2051" s="362">
        <f t="shared" si="2102"/>
        <v>10.918897866034863</v>
      </c>
      <c r="X2051" s="351"/>
    </row>
    <row r="2052" spans="3:24" ht="24.75" customHeight="1" x14ac:dyDescent="0.3">
      <c r="C2052" s="353">
        <f>ABS(E2052-Dashboard!$F$14)</f>
        <v>36.495112295752911</v>
      </c>
      <c r="D2052" s="350">
        <f t="shared" si="2049"/>
        <v>0.27794999999998465</v>
      </c>
      <c r="E2052" s="359" cm="1">
        <f t="array" ref="E2052">1000*SUM('DRE + DCF'!$L$36/M2052,'DRE + DCF'!$N$36:$V$36/N2052:V2052,F2052/V2052)/Dashboard!$F$11</f>
        <v>60.494887704247084</v>
      </c>
      <c r="F2052" s="359">
        <f t="shared" si="2047"/>
        <v>9574336.3972728569</v>
      </c>
      <c r="G2052" s="359">
        <f>'DRE + DCF'!$W$31</f>
        <v>2791623.3540418856</v>
      </c>
      <c r="H2052" s="359">
        <f>'DRE + DCF'!$W$32</f>
        <v>81081.931703745853</v>
      </c>
      <c r="I2052" s="359">
        <f>-H2052*('DRE + DCF'!$V$33+K2052)/'DRE + DCF'!$V$33</f>
        <v>-90858.801614444121</v>
      </c>
      <c r="J2052" s="359">
        <f>-'DRE + DCF'!$V$56*L2052</f>
        <v>-1188924.4255577971</v>
      </c>
      <c r="K2052" s="360">
        <f>(1+L2052)/(1+Ke!$O$12)-1</f>
        <v>2.0000000000000018E-2</v>
      </c>
      <c r="L2052" s="360">
        <f>'DRE + DCF'!$Y$31</f>
        <v>7.3550000000000004E-2</v>
      </c>
      <c r="M2052" s="361">
        <f>(1+D2052)^((5-Dashboard!$F$9)*3/12)</f>
        <v>1.2019472184017648</v>
      </c>
      <c r="N2052" s="361">
        <f t="shared" ref="N2052:V2052" si="2103">M2052*(1+$D2052)</f>
        <v>1.5360284477565167</v>
      </c>
      <c r="O2052" s="361">
        <f t="shared" si="2103"/>
        <v>1.9629675548104168</v>
      </c>
      <c r="P2052" s="361">
        <f t="shared" si="2103"/>
        <v>2.5085743866699421</v>
      </c>
      <c r="Q2052" s="361">
        <f t="shared" si="2103"/>
        <v>3.2058326374448138</v>
      </c>
      <c r="R2052" s="361">
        <f t="shared" si="2103"/>
        <v>4.0968938190225508</v>
      </c>
      <c r="S2052" s="361">
        <f t="shared" si="2103"/>
        <v>5.2356254560198057</v>
      </c>
      <c r="T2052" s="361">
        <f t="shared" si="2103"/>
        <v>6.6908675515204301</v>
      </c>
      <c r="U2052" s="361">
        <f t="shared" si="2103"/>
        <v>8.5505941874654301</v>
      </c>
      <c r="V2052" s="362">
        <f t="shared" si="2103"/>
        <v>10.927231841871315</v>
      </c>
      <c r="X2052" s="351"/>
    </row>
    <row r="2053" spans="3:24" ht="24.75" customHeight="1" x14ac:dyDescent="0.3">
      <c r="C2053" s="353">
        <f>ABS(E2053-Dashboard!$F$14)</f>
        <v>36.529371703478802</v>
      </c>
      <c r="D2053" s="350">
        <f t="shared" si="2049"/>
        <v>0.27804999999998464</v>
      </c>
      <c r="E2053" s="359" cm="1">
        <f t="array" ref="E2053">1000*SUM('DRE + DCF'!$L$36/M2053,'DRE + DCF'!$N$36:$V$36/N2053:V2053,F2053/V2053)/Dashboard!$F$11</f>
        <v>60.460628296521193</v>
      </c>
      <c r="F2053" s="359">
        <f t="shared" si="2047"/>
        <v>9570351.9171090759</v>
      </c>
      <c r="G2053" s="359">
        <f>'DRE + DCF'!$W$31</f>
        <v>2791623.3540418856</v>
      </c>
      <c r="H2053" s="359">
        <f>'DRE + DCF'!$W$32</f>
        <v>81081.931703745853</v>
      </c>
      <c r="I2053" s="359">
        <f>-H2053*('DRE + DCF'!$V$33+K2053)/'DRE + DCF'!$V$33</f>
        <v>-90858.801614444121</v>
      </c>
      <c r="J2053" s="359">
        <f>-'DRE + DCF'!$V$56*L2053</f>
        <v>-1188924.4255577971</v>
      </c>
      <c r="K2053" s="360">
        <f>(1+L2053)/(1+Ke!$O$12)-1</f>
        <v>2.0000000000000018E-2</v>
      </c>
      <c r="L2053" s="360">
        <f>'DRE + DCF'!$Y$31</f>
        <v>7.3550000000000004E-2</v>
      </c>
      <c r="M2053" s="361">
        <f>(1+D2053)^((5-Dashboard!$F$9)*3/12)</f>
        <v>1.2020177572801751</v>
      </c>
      <c r="N2053" s="361">
        <f t="shared" ref="N2053:V2053" si="2104">M2053*(1+$D2053)</f>
        <v>1.5362387946919094</v>
      </c>
      <c r="O2053" s="361">
        <f t="shared" si="2104"/>
        <v>1.9633899915559712</v>
      </c>
      <c r="P2053" s="361">
        <f t="shared" si="2104"/>
        <v>2.5093105787080785</v>
      </c>
      <c r="Q2053" s="361">
        <f t="shared" si="2104"/>
        <v>3.2070243851178208</v>
      </c>
      <c r="R2053" s="361">
        <f t="shared" si="2104"/>
        <v>4.0987375153997814</v>
      </c>
      <c r="S2053" s="361">
        <f t="shared" si="2104"/>
        <v>5.2383914815566275</v>
      </c>
      <c r="T2053" s="361">
        <f t="shared" si="2104"/>
        <v>6.6949262330033674</v>
      </c>
      <c r="U2053" s="361">
        <f t="shared" si="2104"/>
        <v>8.5564504720898498</v>
      </c>
      <c r="V2053" s="362">
        <f t="shared" si="2104"/>
        <v>10.9355715258543</v>
      </c>
      <c r="X2053" s="351"/>
    </row>
    <row r="2054" spans="3:24" ht="24.75" customHeight="1" x14ac:dyDescent="0.3">
      <c r="C2054" s="353">
        <f>ABS(E2054-Dashboard!$F$14)</f>
        <v>36.563596841024861</v>
      </c>
      <c r="D2054" s="350">
        <f t="shared" si="2049"/>
        <v>0.27814999999998463</v>
      </c>
      <c r="E2054" s="359" cm="1">
        <f t="array" ref="E2054">1000*SUM('DRE + DCF'!$L$36/M2054,'DRE + DCF'!$N$36:$V$36/N2054:V2054,F2054/V2054)/Dashboard!$F$11</f>
        <v>60.426403158975134</v>
      </c>
      <c r="F2054" s="359">
        <f t="shared" si="2047"/>
        <v>9566370.8306700028</v>
      </c>
      <c r="G2054" s="359">
        <f>'DRE + DCF'!$W$31</f>
        <v>2791623.3540418856</v>
      </c>
      <c r="H2054" s="359">
        <f>'DRE + DCF'!$W$32</f>
        <v>81081.931703745853</v>
      </c>
      <c r="I2054" s="359">
        <f>-H2054*('DRE + DCF'!$V$33+K2054)/'DRE + DCF'!$V$33</f>
        <v>-90858.801614444121</v>
      </c>
      <c r="J2054" s="359">
        <f>-'DRE + DCF'!$V$56*L2054</f>
        <v>-1188924.4255577971</v>
      </c>
      <c r="K2054" s="360">
        <f>(1+L2054)/(1+Ke!$O$12)-1</f>
        <v>2.0000000000000018E-2</v>
      </c>
      <c r="L2054" s="360">
        <f>'DRE + DCF'!$Y$31</f>
        <v>7.3550000000000004E-2</v>
      </c>
      <c r="M2054" s="361">
        <f>(1+D2054)^((5-Dashboard!$F$9)*3/12)</f>
        <v>1.2020882947787841</v>
      </c>
      <c r="N2054" s="361">
        <f t="shared" ref="N2054:V2054" si="2105">M2054*(1+$D2054)</f>
        <v>1.5364491539714844</v>
      </c>
      <c r="O2054" s="361">
        <f t="shared" si="2105"/>
        <v>1.963812486148629</v>
      </c>
      <c r="P2054" s="361">
        <f t="shared" si="2105"/>
        <v>2.5100469291708398</v>
      </c>
      <c r="Q2054" s="361">
        <f t="shared" si="2105"/>
        <v>3.2082164825196702</v>
      </c>
      <c r="R2054" s="361">
        <f t="shared" si="2105"/>
        <v>4.100581897132467</v>
      </c>
      <c r="S2054" s="361">
        <f t="shared" si="2105"/>
        <v>5.2411587518197997</v>
      </c>
      <c r="T2054" s="361">
        <f t="shared" si="2105"/>
        <v>6.6989870586383962</v>
      </c>
      <c r="U2054" s="361">
        <f t="shared" si="2105"/>
        <v>8.5623103089985619</v>
      </c>
      <c r="V2054" s="362">
        <f t="shared" si="2105"/>
        <v>10.94391692144638</v>
      </c>
      <c r="X2054" s="351"/>
    </row>
    <row r="2055" spans="3:24" ht="24.75" customHeight="1" x14ac:dyDescent="0.3">
      <c r="C2055" s="353">
        <f>ABS(E2055-Dashboard!$F$14)</f>
        <v>36.59778775613875</v>
      </c>
      <c r="D2055" s="350">
        <f t="shared" si="2049"/>
        <v>0.27824999999998462</v>
      </c>
      <c r="E2055" s="359" cm="1">
        <f t="array" ref="E2055">1000*SUM('DRE + DCF'!$L$36/M2055,'DRE + DCF'!$N$36:$V$36/N2055:V2055,F2055/V2055)/Dashboard!$F$11</f>
        <v>60.392212243861245</v>
      </c>
      <c r="F2055" s="359">
        <f t="shared" si="2047"/>
        <v>9562393.1335220151</v>
      </c>
      <c r="G2055" s="359">
        <f>'DRE + DCF'!$W$31</f>
        <v>2791623.3540418856</v>
      </c>
      <c r="H2055" s="359">
        <f>'DRE + DCF'!$W$32</f>
        <v>81081.931703745853</v>
      </c>
      <c r="I2055" s="359">
        <f>-H2055*('DRE + DCF'!$V$33+K2055)/'DRE + DCF'!$V$33</f>
        <v>-90858.801614444121</v>
      </c>
      <c r="J2055" s="359">
        <f>-'DRE + DCF'!$V$56*L2055</f>
        <v>-1188924.4255577971</v>
      </c>
      <c r="K2055" s="360">
        <f>(1+L2055)/(1+Ke!$O$12)-1</f>
        <v>2.0000000000000018E-2</v>
      </c>
      <c r="L2055" s="360">
        <f>'DRE + DCF'!$Y$31</f>
        <v>7.3550000000000004E-2</v>
      </c>
      <c r="M2055" s="361">
        <f>(1+D2055)^((5-Dashboard!$F$9)*3/12)</f>
        <v>1.2021588308977271</v>
      </c>
      <c r="N2055" s="361">
        <f t="shared" ref="N2055:V2055" si="2106">M2055*(1+$D2055)</f>
        <v>1.5366595255950011</v>
      </c>
      <c r="O2055" s="361">
        <f t="shared" si="2106"/>
        <v>1.9642350385917864</v>
      </c>
      <c r="P2055" s="361">
        <f t="shared" si="2106"/>
        <v>2.5107834380799208</v>
      </c>
      <c r="Q2055" s="361">
        <f t="shared" si="2106"/>
        <v>3.2094089297256199</v>
      </c>
      <c r="R2055" s="361">
        <f t="shared" si="2106"/>
        <v>4.1024269644217242</v>
      </c>
      <c r="S2055" s="361">
        <f t="shared" si="2106"/>
        <v>5.2439272672720056</v>
      </c>
      <c r="T2055" s="361">
        <f t="shared" si="2106"/>
        <v>6.7030500293903605</v>
      </c>
      <c r="U2055" s="361">
        <f t="shared" si="2106"/>
        <v>8.5681737000681242</v>
      </c>
      <c r="V2055" s="362">
        <f t="shared" si="2106"/>
        <v>10.952268032111947</v>
      </c>
      <c r="X2055" s="351"/>
    </row>
    <row r="2056" spans="3:24" ht="24.75" customHeight="1" x14ac:dyDescent="0.3">
      <c r="C2056" s="353">
        <f>ABS(E2056-Dashboard!$F$14)</f>
        <v>36.631944496482596</v>
      </c>
      <c r="D2056" s="350">
        <f t="shared" si="2049"/>
        <v>0.27834999999998461</v>
      </c>
      <c r="E2056" s="359" cm="1">
        <f t="array" ref="E2056">1000*SUM('DRE + DCF'!$L$36/M2056,'DRE + DCF'!$N$36:$V$36/N2056:V2056,F2056/V2056)/Dashboard!$F$11</f>
        <v>60.358055503517399</v>
      </c>
      <c r="F2056" s="359">
        <f t="shared" si="2047"/>
        <v>9558418.8212393764</v>
      </c>
      <c r="G2056" s="359">
        <f>'DRE + DCF'!$W$31</f>
        <v>2791623.3540418856</v>
      </c>
      <c r="H2056" s="359">
        <f>'DRE + DCF'!$W$32</f>
        <v>81081.931703745853</v>
      </c>
      <c r="I2056" s="359">
        <f>-H2056*('DRE + DCF'!$V$33+K2056)/'DRE + DCF'!$V$33</f>
        <v>-90858.801614444121</v>
      </c>
      <c r="J2056" s="359">
        <f>-'DRE + DCF'!$V$56*L2056</f>
        <v>-1188924.4255577971</v>
      </c>
      <c r="K2056" s="360">
        <f>(1+L2056)/(1+Ke!$O$12)-1</f>
        <v>2.0000000000000018E-2</v>
      </c>
      <c r="L2056" s="360">
        <f>'DRE + DCF'!$Y$31</f>
        <v>7.3550000000000004E-2</v>
      </c>
      <c r="M2056" s="361">
        <f>(1+D2056)^((5-Dashboard!$F$9)*3/12)</f>
        <v>1.202229365637139</v>
      </c>
      <c r="N2056" s="361">
        <f t="shared" ref="N2056:V2056" si="2107">M2056*(1+$D2056)</f>
        <v>1.536869909562218</v>
      </c>
      <c r="O2056" s="361">
        <f t="shared" si="2107"/>
        <v>1.9646576488888376</v>
      </c>
      <c r="P2056" s="361">
        <f t="shared" si="2107"/>
        <v>2.5115201054570151</v>
      </c>
      <c r="Q2056" s="361">
        <f t="shared" si="2107"/>
        <v>3.2106017268109364</v>
      </c>
      <c r="R2056" s="361">
        <f t="shared" si="2107"/>
        <v>4.104272717468711</v>
      </c>
      <c r="S2056" s="361">
        <f t="shared" si="2107"/>
        <v>5.2466970283760634</v>
      </c>
      <c r="T2056" s="361">
        <f t="shared" si="2107"/>
        <v>6.70711514622446</v>
      </c>
      <c r="U2056" s="361">
        <f t="shared" si="2107"/>
        <v>8.5740406471759343</v>
      </c>
      <c r="V2056" s="362">
        <f t="shared" si="2107"/>
        <v>10.960624861317223</v>
      </c>
      <c r="X2056" s="351"/>
    </row>
    <row r="2057" spans="3:24" ht="24.75" customHeight="1" x14ac:dyDescent="0.3">
      <c r="C2057" s="353">
        <f>ABS(E2057-Dashboard!$F$14)</f>
        <v>36.666067109632905</v>
      </c>
      <c r="D2057" s="350">
        <f t="shared" si="2049"/>
        <v>0.2784499999999846</v>
      </c>
      <c r="E2057" s="359" cm="1">
        <f t="array" ref="E2057">1000*SUM('DRE + DCF'!$L$36/M2057,'DRE + DCF'!$N$36:$V$36/N2057:V2057,F2057/V2057)/Dashboard!$F$11</f>
        <v>60.323932890367089</v>
      </c>
      <c r="F2057" s="359">
        <f t="shared" si="2047"/>
        <v>9554447.8894042131</v>
      </c>
      <c r="G2057" s="359">
        <f>'DRE + DCF'!$W$31</f>
        <v>2791623.3540418856</v>
      </c>
      <c r="H2057" s="359">
        <f>'DRE + DCF'!$W$32</f>
        <v>81081.931703745853</v>
      </c>
      <c r="I2057" s="359">
        <f>-H2057*('DRE + DCF'!$V$33+K2057)/'DRE + DCF'!$V$33</f>
        <v>-90858.801614444121</v>
      </c>
      <c r="J2057" s="359">
        <f>-'DRE + DCF'!$V$56*L2057</f>
        <v>-1188924.4255577971</v>
      </c>
      <c r="K2057" s="360">
        <f>(1+L2057)/(1+Ke!$O$12)-1</f>
        <v>2.0000000000000018E-2</v>
      </c>
      <c r="L2057" s="360">
        <f>'DRE + DCF'!$Y$31</f>
        <v>7.3550000000000004E-2</v>
      </c>
      <c r="M2057" s="361">
        <f>(1+D2057)^((5-Dashboard!$F$9)*3/12)</f>
        <v>1.2022998989971545</v>
      </c>
      <c r="N2057" s="361">
        <f t="shared" ref="N2057:V2057" si="2108">M2057*(1+$D2057)</f>
        <v>1.5370803058728937</v>
      </c>
      <c r="O2057" s="361">
        <f t="shared" si="2108"/>
        <v>1.9650803170431772</v>
      </c>
      <c r="P2057" s="361">
        <f t="shared" si="2108"/>
        <v>2.5122569313238197</v>
      </c>
      <c r="Q2057" s="361">
        <f t="shared" si="2108"/>
        <v>3.2117948738508986</v>
      </c>
      <c r="R2057" s="361">
        <f t="shared" si="2108"/>
        <v>4.106119156474632</v>
      </c>
      <c r="S2057" s="361">
        <f t="shared" si="2108"/>
        <v>5.2494680355949299</v>
      </c>
      <c r="T2057" s="361">
        <f t="shared" si="2108"/>
        <v>6.7111824101062574</v>
      </c>
      <c r="U2057" s="361">
        <f t="shared" si="2108"/>
        <v>8.5799111522002409</v>
      </c>
      <c r="V2057" s="362">
        <f t="shared" si="2108"/>
        <v>10.968987412530266</v>
      </c>
      <c r="X2057" s="351"/>
    </row>
    <row r="2058" spans="3:24" ht="24.75" customHeight="1" x14ac:dyDescent="0.3">
      <c r="C2058" s="353">
        <f>ABS(E2058-Dashboard!$F$14)</f>
        <v>36.700155643080926</v>
      </c>
      <c r="D2058" s="350">
        <f t="shared" si="2049"/>
        <v>0.27854999999998459</v>
      </c>
      <c r="E2058" s="359" cm="1">
        <f t="array" ref="E2058">1000*SUM('DRE + DCF'!$L$36/M2058,'DRE + DCF'!$N$36:$V$36/N2058:V2058,F2058/V2058)/Dashboard!$F$11</f>
        <v>60.289844356919069</v>
      </c>
      <c r="F2058" s="359">
        <f t="shared" si="2047"/>
        <v>9550480.3336065076</v>
      </c>
      <c r="G2058" s="359">
        <f>'DRE + DCF'!$W$31</f>
        <v>2791623.3540418856</v>
      </c>
      <c r="H2058" s="359">
        <f>'DRE + DCF'!$W$32</f>
        <v>81081.931703745853</v>
      </c>
      <c r="I2058" s="359">
        <f>-H2058*('DRE + DCF'!$V$33+K2058)/'DRE + DCF'!$V$33</f>
        <v>-90858.801614444121</v>
      </c>
      <c r="J2058" s="359">
        <f>-'DRE + DCF'!$V$56*L2058</f>
        <v>-1188924.4255577971</v>
      </c>
      <c r="K2058" s="360">
        <f>(1+L2058)/(1+Ke!$O$12)-1</f>
        <v>2.0000000000000018E-2</v>
      </c>
      <c r="L2058" s="360">
        <f>'DRE + DCF'!$Y$31</f>
        <v>7.3550000000000004E-2</v>
      </c>
      <c r="M2058" s="361">
        <f>(1+D2058)^((5-Dashboard!$F$9)*3/12)</f>
        <v>1.2023704309779086</v>
      </c>
      <c r="N2058" s="361">
        <f t="shared" ref="N2058:V2058" si="2109">M2058*(1+$D2058)</f>
        <v>1.5372907145267865</v>
      </c>
      <c r="O2058" s="361">
        <f t="shared" si="2109"/>
        <v>1.965503043058199</v>
      </c>
      <c r="P2058" s="361">
        <f t="shared" si="2109"/>
        <v>2.51299391570203</v>
      </c>
      <c r="Q2058" s="361">
        <f t="shared" si="2109"/>
        <v>3.2129883709207916</v>
      </c>
      <c r="R2058" s="361">
        <f t="shared" si="2109"/>
        <v>4.1079662816407287</v>
      </c>
      <c r="S2058" s="361">
        <f t="shared" si="2109"/>
        <v>5.2522402893916906</v>
      </c>
      <c r="T2058" s="361">
        <f t="shared" si="2109"/>
        <v>6.7152518220016644</v>
      </c>
      <c r="U2058" s="361">
        <f t="shared" si="2109"/>
        <v>8.5857852170201241</v>
      </c>
      <c r="V2058" s="362">
        <f t="shared" si="2109"/>
        <v>10.977355689220946</v>
      </c>
      <c r="X2058" s="351"/>
    </row>
    <row r="2059" spans="3:24" ht="24.75" customHeight="1" x14ac:dyDescent="0.3">
      <c r="C2059" s="353">
        <f>ABS(E2059-Dashboard!$F$14)</f>
        <v>36.734210144232804</v>
      </c>
      <c r="D2059" s="350">
        <f t="shared" si="2049"/>
        <v>0.27864999999998458</v>
      </c>
      <c r="E2059" s="359" cm="1">
        <f t="array" ref="E2059">1000*SUM('DRE + DCF'!$L$36/M2059,'DRE + DCF'!$N$36:$V$36/N2059:V2059,F2059/V2059)/Dashboard!$F$11</f>
        <v>60.25578985576719</v>
      </c>
      <c r="F2059" s="359">
        <f t="shared" si="2047"/>
        <v>9546516.1494440585</v>
      </c>
      <c r="G2059" s="359">
        <f>'DRE + DCF'!$W$31</f>
        <v>2791623.3540418856</v>
      </c>
      <c r="H2059" s="359">
        <f>'DRE + DCF'!$W$32</f>
        <v>81081.931703745853</v>
      </c>
      <c r="I2059" s="359">
        <f>-H2059*('DRE + DCF'!$V$33+K2059)/'DRE + DCF'!$V$33</f>
        <v>-90858.801614444121</v>
      </c>
      <c r="J2059" s="359">
        <f>-'DRE + DCF'!$V$56*L2059</f>
        <v>-1188924.4255577971</v>
      </c>
      <c r="K2059" s="360">
        <f>(1+L2059)/(1+Ke!$O$12)-1</f>
        <v>2.0000000000000018E-2</v>
      </c>
      <c r="L2059" s="360">
        <f>'DRE + DCF'!$Y$31</f>
        <v>7.3550000000000004E-2</v>
      </c>
      <c r="M2059" s="361">
        <f>(1+D2059)^((5-Dashboard!$F$9)*3/12)</f>
        <v>1.2024409615795364</v>
      </c>
      <c r="N2059" s="361">
        <f t="shared" ref="N2059:V2059" si="2110">M2059*(1+$D2059)</f>
        <v>1.5375011355236556</v>
      </c>
      <c r="O2059" s="361">
        <f t="shared" si="2110"/>
        <v>1.9659258269372986</v>
      </c>
      <c r="P2059" s="361">
        <f t="shared" si="2110"/>
        <v>2.5137310586133466</v>
      </c>
      <c r="Q2059" s="361">
        <f t="shared" si="2110"/>
        <v>3.2141822180959165</v>
      </c>
      <c r="R2059" s="361">
        <f t="shared" si="2110"/>
        <v>4.1098140931682936</v>
      </c>
      <c r="S2059" s="361">
        <f t="shared" si="2110"/>
        <v>5.255013790229575</v>
      </c>
      <c r="T2059" s="361">
        <f t="shared" si="2110"/>
        <v>6.719323382876965</v>
      </c>
      <c r="U2059" s="361">
        <f t="shared" si="2110"/>
        <v>8.5916628435155271</v>
      </c>
      <c r="V2059" s="362">
        <f t="shared" si="2110"/>
        <v>10.985729694860996</v>
      </c>
      <c r="X2059" s="351"/>
    </row>
    <row r="2060" spans="3:24" ht="24.75" customHeight="1" x14ac:dyDescent="0.3">
      <c r="C2060" s="353">
        <f>ABS(E2060-Dashboard!$F$14)</f>
        <v>36.768230660409749</v>
      </c>
      <c r="D2060" s="350">
        <f t="shared" si="2049"/>
        <v>0.27874999999998457</v>
      </c>
      <c r="E2060" s="359" cm="1">
        <f t="array" ref="E2060">1000*SUM('DRE + DCF'!$L$36/M2060,'DRE + DCF'!$N$36:$V$36/N2060:V2060,F2060/V2060)/Dashboard!$F$11</f>
        <v>60.221769339590246</v>
      </c>
      <c r="F2060" s="359">
        <f t="shared" si="2047"/>
        <v>9542555.3325224929</v>
      </c>
      <c r="G2060" s="359">
        <f>'DRE + DCF'!$W$31</f>
        <v>2791623.3540418856</v>
      </c>
      <c r="H2060" s="359">
        <f>'DRE + DCF'!$W$32</f>
        <v>81081.931703745853</v>
      </c>
      <c r="I2060" s="359">
        <f>-H2060*('DRE + DCF'!$V$33+K2060)/'DRE + DCF'!$V$33</f>
        <v>-90858.801614444121</v>
      </c>
      <c r="J2060" s="359">
        <f>-'DRE + DCF'!$V$56*L2060</f>
        <v>-1188924.4255577971</v>
      </c>
      <c r="K2060" s="360">
        <f>(1+L2060)/(1+Ke!$O$12)-1</f>
        <v>2.0000000000000018E-2</v>
      </c>
      <c r="L2060" s="360">
        <f>'DRE + DCF'!$Y$31</f>
        <v>7.3550000000000004E-2</v>
      </c>
      <c r="M2060" s="361">
        <f>(1+D2060)^((5-Dashboard!$F$9)*3/12)</f>
        <v>1.2025114908021721</v>
      </c>
      <c r="N2060" s="361">
        <f t="shared" ref="N2060:V2060" si="2111">M2060*(1+$D2060)</f>
        <v>1.537711568863259</v>
      </c>
      <c r="O2060" s="361">
        <f t="shared" si="2111"/>
        <v>1.9663486686838687</v>
      </c>
      <c r="P2060" s="361">
        <f t="shared" si="2111"/>
        <v>2.5144683600794666</v>
      </c>
      <c r="Q2060" s="361">
        <f t="shared" si="2111"/>
        <v>3.2153764154515789</v>
      </c>
      <c r="R2060" s="361">
        <f t="shared" si="2111"/>
        <v>4.1116625912586571</v>
      </c>
      <c r="S2060" s="361">
        <f t="shared" si="2111"/>
        <v>5.2577885385719441</v>
      </c>
      <c r="T2060" s="361">
        <f t="shared" si="2111"/>
        <v>6.7233970936987921</v>
      </c>
      <c r="U2060" s="361">
        <f t="shared" si="2111"/>
        <v>8.5975440335672264</v>
      </c>
      <c r="V2060" s="362">
        <f t="shared" si="2111"/>
        <v>10.994109432923958</v>
      </c>
      <c r="X2060" s="351"/>
    </row>
    <row r="2061" spans="3:24" ht="24.75" customHeight="1" x14ac:dyDescent="0.3">
      <c r="C2061" s="353">
        <f>ABS(E2061-Dashboard!$F$14)</f>
        <v>36.80221723884825</v>
      </c>
      <c r="D2061" s="350">
        <f t="shared" si="2049"/>
        <v>0.27884999999998455</v>
      </c>
      <c r="E2061" s="359" cm="1">
        <f t="array" ref="E2061">1000*SUM('DRE + DCF'!$L$36/M2061,'DRE + DCF'!$N$36:$V$36/N2061:V2061,F2061/V2061)/Dashboard!$F$11</f>
        <v>60.187782761151745</v>
      </c>
      <c r="F2061" s="359">
        <f t="shared" si="2047"/>
        <v>9538597.8784552198</v>
      </c>
      <c r="G2061" s="359">
        <f>'DRE + DCF'!$W$31</f>
        <v>2791623.3540418856</v>
      </c>
      <c r="H2061" s="359">
        <f>'DRE + DCF'!$W$32</f>
        <v>81081.931703745853</v>
      </c>
      <c r="I2061" s="359">
        <f>-H2061*('DRE + DCF'!$V$33+K2061)/'DRE + DCF'!$V$33</f>
        <v>-90858.801614444121</v>
      </c>
      <c r="J2061" s="359">
        <f>-'DRE + DCF'!$V$56*L2061</f>
        <v>-1188924.4255577971</v>
      </c>
      <c r="K2061" s="360">
        <f>(1+L2061)/(1+Ke!$O$12)-1</f>
        <v>2.0000000000000018E-2</v>
      </c>
      <c r="L2061" s="360">
        <f>'DRE + DCF'!$Y$31</f>
        <v>7.3550000000000004E-2</v>
      </c>
      <c r="M2061" s="361">
        <f>(1+D2061)^((5-Dashboard!$F$9)*3/12)</f>
        <v>1.202582018645951</v>
      </c>
      <c r="N2061" s="361">
        <f t="shared" ref="N2061:V2061" si="2112">M2061*(1+$D2061)</f>
        <v>1.5379220145453558</v>
      </c>
      <c r="O2061" s="361">
        <f t="shared" si="2112"/>
        <v>1.9667715683013045</v>
      </c>
      <c r="P2061" s="361">
        <f t="shared" si="2112"/>
        <v>2.5152058201220928</v>
      </c>
      <c r="Q2061" s="361">
        <f t="shared" si="2112"/>
        <v>3.2165709630630994</v>
      </c>
      <c r="R2061" s="361">
        <f t="shared" si="2112"/>
        <v>4.113511776113195</v>
      </c>
      <c r="S2061" s="361">
        <f t="shared" si="2112"/>
        <v>5.2605645348822954</v>
      </c>
      <c r="T2061" s="361">
        <f t="shared" si="2112"/>
        <v>6.7274729554341421</v>
      </c>
      <c r="U2061" s="361">
        <f t="shared" si="2112"/>
        <v>8.6034287890568493</v>
      </c>
      <c r="V2061" s="362">
        <f t="shared" si="2112"/>
        <v>11.002494906885218</v>
      </c>
      <c r="X2061" s="351"/>
    </row>
    <row r="2062" spans="3:24" ht="24.75" customHeight="1" x14ac:dyDescent="0.3">
      <c r="C2062" s="353">
        <f>ABS(E2062-Dashboard!$F$14)</f>
        <v>36.836169926700236</v>
      </c>
      <c r="D2062" s="350">
        <f t="shared" si="2049"/>
        <v>0.27894999999998454</v>
      </c>
      <c r="E2062" s="359" cm="1">
        <f t="array" ref="E2062">1000*SUM('DRE + DCF'!$L$36/M2062,'DRE + DCF'!$N$36:$V$36/N2062:V2062,F2062/V2062)/Dashboard!$F$11</f>
        <v>60.153830073299758</v>
      </c>
      <c r="F2062" s="359">
        <f t="shared" ref="F2062:F2125" si="2113">AVERAGE(SUM(G2062:J2062)*(1+L2062)/(D2062-L2062),G2062*(1+L2062)*(1-L2062/D2062)/(D2062-L2062))</f>
        <v>9534643.7828634344</v>
      </c>
      <c r="G2062" s="359">
        <f>'DRE + DCF'!$W$31</f>
        <v>2791623.3540418856</v>
      </c>
      <c r="H2062" s="359">
        <f>'DRE + DCF'!$W$32</f>
        <v>81081.931703745853</v>
      </c>
      <c r="I2062" s="359">
        <f>-H2062*('DRE + DCF'!$V$33+K2062)/'DRE + DCF'!$V$33</f>
        <v>-90858.801614444121</v>
      </c>
      <c r="J2062" s="359">
        <f>-'DRE + DCF'!$V$56*L2062</f>
        <v>-1188924.4255577971</v>
      </c>
      <c r="K2062" s="360">
        <f>(1+L2062)/(1+Ke!$O$12)-1</f>
        <v>2.0000000000000018E-2</v>
      </c>
      <c r="L2062" s="360">
        <f>'DRE + DCF'!$Y$31</f>
        <v>7.3550000000000004E-2</v>
      </c>
      <c r="M2062" s="361">
        <f>(1+D2062)^((5-Dashboard!$F$9)*3/12)</f>
        <v>1.2026525451110077</v>
      </c>
      <c r="N2062" s="361">
        <f t="shared" ref="N2062:V2062" si="2114">M2062*(1+$D2062)</f>
        <v>1.5381324725697048</v>
      </c>
      <c r="O2062" s="361">
        <f t="shared" si="2114"/>
        <v>1.9671945257930001</v>
      </c>
      <c r="P2062" s="361">
        <f t="shared" si="2114"/>
        <v>2.5159434387629269</v>
      </c>
      <c r="Q2062" s="361">
        <f t="shared" si="2114"/>
        <v>3.2177658610058062</v>
      </c>
      <c r="R2062" s="361">
        <f t="shared" si="2114"/>
        <v>4.1153616479333257</v>
      </c>
      <c r="S2062" s="361">
        <f t="shared" si="2114"/>
        <v>5.2633417796242634</v>
      </c>
      <c r="T2062" s="361">
        <f t="shared" si="2114"/>
        <v>6.7315509690503701</v>
      </c>
      <c r="U2062" s="361">
        <f t="shared" si="2114"/>
        <v>8.6093171118668668</v>
      </c>
      <c r="V2062" s="362">
        <f t="shared" si="2114"/>
        <v>11.010886120221995</v>
      </c>
      <c r="X2062" s="351"/>
    </row>
    <row r="2063" spans="3:24" ht="24.75" customHeight="1" x14ac:dyDescent="0.3">
      <c r="C2063" s="353">
        <f>ABS(E2063-Dashboard!$F$14)</f>
        <v>36.870088771033309</v>
      </c>
      <c r="D2063" s="350">
        <f t="shared" ref="D2063:D2126" si="2115">D2062+0.0001</f>
        <v>0.27904999999998453</v>
      </c>
      <c r="E2063" s="359" cm="1">
        <f t="array" ref="E2063">1000*SUM('DRE + DCF'!$L$36/M2063,'DRE + DCF'!$N$36:$V$36/N2063:V2063,F2063/V2063)/Dashboard!$F$11</f>
        <v>60.119911228966686</v>
      </c>
      <c r="F2063" s="359">
        <f t="shared" si="2113"/>
        <v>9530693.0413760878</v>
      </c>
      <c r="G2063" s="359">
        <f>'DRE + DCF'!$W$31</f>
        <v>2791623.3540418856</v>
      </c>
      <c r="H2063" s="359">
        <f>'DRE + DCF'!$W$32</f>
        <v>81081.931703745853</v>
      </c>
      <c r="I2063" s="359">
        <f>-H2063*('DRE + DCF'!$V$33+K2063)/'DRE + DCF'!$V$33</f>
        <v>-90858.801614444121</v>
      </c>
      <c r="J2063" s="359">
        <f>-'DRE + DCF'!$V$56*L2063</f>
        <v>-1188924.4255577971</v>
      </c>
      <c r="K2063" s="360">
        <f>(1+L2063)/(1+Ke!$O$12)-1</f>
        <v>2.0000000000000018E-2</v>
      </c>
      <c r="L2063" s="360">
        <f>'DRE + DCF'!$Y$31</f>
        <v>7.3550000000000004E-2</v>
      </c>
      <c r="M2063" s="361">
        <f>(1+D2063)^((5-Dashboard!$F$9)*3/12)</f>
        <v>1.2027230701974769</v>
      </c>
      <c r="N2063" s="361">
        <f t="shared" ref="N2063:V2063" si="2116">M2063*(1+$D2063)</f>
        <v>1.5383429429360642</v>
      </c>
      <c r="O2063" s="361">
        <f t="shared" si="2116"/>
        <v>1.9676175411623491</v>
      </c>
      <c r="P2063" s="361">
        <f t="shared" si="2116"/>
        <v>2.516681216023672</v>
      </c>
      <c r="Q2063" s="361">
        <f t="shared" si="2116"/>
        <v>3.2189611093550385</v>
      </c>
      <c r="R2063" s="361">
        <f t="shared" si="2116"/>
        <v>4.1172122069205122</v>
      </c>
      <c r="S2063" s="361">
        <f t="shared" si="2116"/>
        <v>5.2661202732616168</v>
      </c>
      <c r="T2063" s="361">
        <f t="shared" si="2116"/>
        <v>6.735631135515189</v>
      </c>
      <c r="U2063" s="361">
        <f t="shared" si="2116"/>
        <v>8.6152090038805973</v>
      </c>
      <c r="V2063" s="362">
        <f t="shared" si="2116"/>
        <v>11.019283076413345</v>
      </c>
      <c r="X2063" s="351"/>
    </row>
    <row r="2064" spans="3:24" ht="24.75" customHeight="1" x14ac:dyDescent="0.3">
      <c r="C2064" s="353">
        <f>ABS(E2064-Dashboard!$F$14)</f>
        <v>36.903973818830863</v>
      </c>
      <c r="D2064" s="350">
        <f t="shared" si="2115"/>
        <v>0.27914999999998452</v>
      </c>
      <c r="E2064" s="359" cm="1">
        <f t="array" ref="E2064">1000*SUM('DRE + DCF'!$L$36/M2064,'DRE + DCF'!$N$36:$V$36/N2064:V2064,F2064/V2064)/Dashboard!$F$11</f>
        <v>60.086026181169132</v>
      </c>
      <c r="F2064" s="359">
        <f t="shared" si="2113"/>
        <v>9526745.6496298686</v>
      </c>
      <c r="G2064" s="359">
        <f>'DRE + DCF'!$W$31</f>
        <v>2791623.3540418856</v>
      </c>
      <c r="H2064" s="359">
        <f>'DRE + DCF'!$W$32</f>
        <v>81081.931703745853</v>
      </c>
      <c r="I2064" s="359">
        <f>-H2064*('DRE + DCF'!$V$33+K2064)/'DRE + DCF'!$V$33</f>
        <v>-90858.801614444121</v>
      </c>
      <c r="J2064" s="359">
        <f>-'DRE + DCF'!$V$56*L2064</f>
        <v>-1188924.4255577971</v>
      </c>
      <c r="K2064" s="360">
        <f>(1+L2064)/(1+Ke!$O$12)-1</f>
        <v>2.0000000000000018E-2</v>
      </c>
      <c r="L2064" s="360">
        <f>'DRE + DCF'!$Y$31</f>
        <v>7.3550000000000004E-2</v>
      </c>
      <c r="M2064" s="361">
        <f>(1+D2064)^((5-Dashboard!$F$9)*3/12)</f>
        <v>1.2027935939054935</v>
      </c>
      <c r="N2064" s="361">
        <f t="shared" ref="N2064:V2064" si="2117">M2064*(1+$D2064)</f>
        <v>1.5385534256441933</v>
      </c>
      <c r="O2064" s="361">
        <f t="shared" si="2117"/>
        <v>1.968040614412746</v>
      </c>
      <c r="P2064" s="361">
        <f t="shared" si="2117"/>
        <v>2.5174191519260334</v>
      </c>
      <c r="Q2064" s="361">
        <f t="shared" si="2117"/>
        <v>3.2201567081861464</v>
      </c>
      <c r="R2064" s="361">
        <f t="shared" si="2117"/>
        <v>4.1190634532762589</v>
      </c>
      <c r="S2064" s="361">
        <f t="shared" si="2117"/>
        <v>5.2689000162582627</v>
      </c>
      <c r="T2064" s="361">
        <f t="shared" si="2117"/>
        <v>6.7397134557966751</v>
      </c>
      <c r="U2064" s="361">
        <f t="shared" si="2117"/>
        <v>8.6211044669822119</v>
      </c>
      <c r="V2064" s="362">
        <f t="shared" si="2117"/>
        <v>11.027685778940162</v>
      </c>
      <c r="X2064" s="351"/>
    </row>
    <row r="2065" spans="3:24" ht="24.75" customHeight="1" x14ac:dyDescent="0.3">
      <c r="C2065" s="353">
        <f>ABS(E2065-Dashboard!$F$14)</f>
        <v>36.937825116992308</v>
      </c>
      <c r="D2065" s="350">
        <f t="shared" si="2115"/>
        <v>0.27924999999998451</v>
      </c>
      <c r="E2065" s="359" cm="1">
        <f t="array" ref="E2065">1000*SUM('DRE + DCF'!$L$36/M2065,'DRE + DCF'!$N$36:$V$36/N2065:V2065,F2065/V2065)/Dashboard!$F$11</f>
        <v>60.052174883007687</v>
      </c>
      <c r="F2065" s="359">
        <f t="shared" si="2113"/>
        <v>9522801.6032692045</v>
      </c>
      <c r="G2065" s="359">
        <f>'DRE + DCF'!$W$31</f>
        <v>2791623.3540418856</v>
      </c>
      <c r="H2065" s="359">
        <f>'DRE + DCF'!$W$32</f>
        <v>81081.931703745853</v>
      </c>
      <c r="I2065" s="359">
        <f>-H2065*('DRE + DCF'!$V$33+K2065)/'DRE + DCF'!$V$33</f>
        <v>-90858.801614444121</v>
      </c>
      <c r="J2065" s="359">
        <f>-'DRE + DCF'!$V$56*L2065</f>
        <v>-1188924.4255577971</v>
      </c>
      <c r="K2065" s="360">
        <f>(1+L2065)/(1+Ke!$O$12)-1</f>
        <v>2.0000000000000018E-2</v>
      </c>
      <c r="L2065" s="360">
        <f>'DRE + DCF'!$Y$31</f>
        <v>7.3550000000000004E-2</v>
      </c>
      <c r="M2065" s="361">
        <f>(1+D2065)^((5-Dashboard!$F$9)*3/12)</f>
        <v>1.2028641162351921</v>
      </c>
      <c r="N2065" s="361">
        <f t="shared" ref="N2065:V2065" si="2118">M2065*(1+$D2065)</f>
        <v>1.5387639206938508</v>
      </c>
      <c r="O2065" s="361">
        <f t="shared" si="2118"/>
        <v>1.9684637455475846</v>
      </c>
      <c r="P2065" s="361">
        <f t="shared" si="2118"/>
        <v>2.5181572464917172</v>
      </c>
      <c r="Q2065" s="361">
        <f t="shared" si="2118"/>
        <v>3.22135265757449</v>
      </c>
      <c r="R2065" s="361">
        <f t="shared" si="2118"/>
        <v>4.1209153872021158</v>
      </c>
      <c r="S2065" s="361">
        <f t="shared" si="2118"/>
        <v>5.2716810090782422</v>
      </c>
      <c r="T2065" s="361">
        <f t="shared" si="2118"/>
        <v>6.7437979308632592</v>
      </c>
      <c r="U2065" s="361">
        <f t="shared" si="2118"/>
        <v>8.62700350305672</v>
      </c>
      <c r="V2065" s="362">
        <f t="shared" si="2118"/>
        <v>11.036094231285174</v>
      </c>
      <c r="X2065" s="351"/>
    </row>
    <row r="2066" spans="3:24" ht="24.75" customHeight="1" x14ac:dyDescent="0.3">
      <c r="C2066" s="353">
        <f>ABS(E2066-Dashboard!$F$14)</f>
        <v>36.971642712333285</v>
      </c>
      <c r="D2066" s="350">
        <f t="shared" si="2115"/>
        <v>0.2793499999999845</v>
      </c>
      <c r="E2066" s="359" cm="1">
        <f t="array" ref="E2066">1000*SUM('DRE + DCF'!$L$36/M2066,'DRE + DCF'!$N$36:$V$36/N2066:V2066,F2066/V2066)/Dashboard!$F$11</f>
        <v>60.01835728766671</v>
      </c>
      <c r="F2066" s="359">
        <f t="shared" si="2113"/>
        <v>9518860.8979462162</v>
      </c>
      <c r="G2066" s="359">
        <f>'DRE + DCF'!$W$31</f>
        <v>2791623.3540418856</v>
      </c>
      <c r="H2066" s="359">
        <f>'DRE + DCF'!$W$32</f>
        <v>81081.931703745853</v>
      </c>
      <c r="I2066" s="359">
        <f>-H2066*('DRE + DCF'!$V$33+K2066)/'DRE + DCF'!$V$33</f>
        <v>-90858.801614444121</v>
      </c>
      <c r="J2066" s="359">
        <f>-'DRE + DCF'!$V$56*L2066</f>
        <v>-1188924.4255577971</v>
      </c>
      <c r="K2066" s="360">
        <f>(1+L2066)/(1+Ke!$O$12)-1</f>
        <v>2.0000000000000018E-2</v>
      </c>
      <c r="L2066" s="360">
        <f>'DRE + DCF'!$Y$31</f>
        <v>7.3550000000000004E-2</v>
      </c>
      <c r="M2066" s="361">
        <f>(1+D2066)^((5-Dashboard!$F$9)*3/12)</f>
        <v>1.2029346371867071</v>
      </c>
      <c r="N2066" s="361">
        <f t="shared" ref="N2066:V2066" si="2119">M2066*(1+$D2066)</f>
        <v>1.538974428084795</v>
      </c>
      <c r="O2066" s="361">
        <f t="shared" si="2119"/>
        <v>1.9688869345702587</v>
      </c>
      <c r="P2066" s="361">
        <f t="shared" si="2119"/>
        <v>2.5188954997424298</v>
      </c>
      <c r="Q2066" s="361">
        <f t="shared" si="2119"/>
        <v>3.2225489575954382</v>
      </c>
      <c r="R2066" s="361">
        <f t="shared" si="2119"/>
        <v>4.1227680088996737</v>
      </c>
      <c r="S2066" s="361">
        <f t="shared" si="2119"/>
        <v>5.2744632521857335</v>
      </c>
      <c r="T2066" s="361">
        <f t="shared" si="2119"/>
        <v>6.747884561683736</v>
      </c>
      <c r="U2066" s="361">
        <f t="shared" si="2119"/>
        <v>8.6329061139899821</v>
      </c>
      <c r="V2066" s="362">
        <f t="shared" si="2119"/>
        <v>11.044508436932949</v>
      </c>
      <c r="X2066" s="351"/>
    </row>
    <row r="2067" spans="3:24" ht="24.75" customHeight="1" x14ac:dyDescent="0.3">
      <c r="C2067" s="353">
        <f>ABS(E2067-Dashboard!$F$14)</f>
        <v>37.005426651585822</v>
      </c>
      <c r="D2067" s="350">
        <f t="shared" si="2115"/>
        <v>0.27944999999998449</v>
      </c>
      <c r="E2067" s="359" cm="1">
        <f t="array" ref="E2067">1000*SUM('DRE + DCF'!$L$36/M2067,'DRE + DCF'!$N$36:$V$36/N2067:V2067,F2067/V2067)/Dashboard!$F$11</f>
        <v>59.984573348414173</v>
      </c>
      <c r="F2067" s="359">
        <f t="shared" si="2113"/>
        <v>9514923.5293207169</v>
      </c>
      <c r="G2067" s="359">
        <f>'DRE + DCF'!$W$31</f>
        <v>2791623.3540418856</v>
      </c>
      <c r="H2067" s="359">
        <f>'DRE + DCF'!$W$32</f>
        <v>81081.931703745853</v>
      </c>
      <c r="I2067" s="359">
        <f>-H2067*('DRE + DCF'!$V$33+K2067)/'DRE + DCF'!$V$33</f>
        <v>-90858.801614444121</v>
      </c>
      <c r="J2067" s="359">
        <f>-'DRE + DCF'!$V$56*L2067</f>
        <v>-1188924.4255577971</v>
      </c>
      <c r="K2067" s="360">
        <f>(1+L2067)/(1+Ke!$O$12)-1</f>
        <v>2.0000000000000018E-2</v>
      </c>
      <c r="L2067" s="360">
        <f>'DRE + DCF'!$Y$31</f>
        <v>7.3550000000000004E-2</v>
      </c>
      <c r="M2067" s="361">
        <f>(1+D2067)^((5-Dashboard!$F$9)*3/12)</f>
        <v>1.2030051567601738</v>
      </c>
      <c r="N2067" s="361">
        <f t="shared" ref="N2067:V2067" si="2120">M2067*(1+$D2067)</f>
        <v>1.5391849478167856</v>
      </c>
      <c r="O2067" s="361">
        <f t="shared" si="2120"/>
        <v>1.9693101814841625</v>
      </c>
      <c r="P2067" s="361">
        <f t="shared" si="2120"/>
        <v>2.5196339116998812</v>
      </c>
      <c r="Q2067" s="361">
        <f t="shared" si="2120"/>
        <v>3.2237456083243736</v>
      </c>
      <c r="R2067" s="361">
        <f t="shared" si="2120"/>
        <v>4.1246213185705694</v>
      </c>
      <c r="S2067" s="361">
        <f t="shared" si="2120"/>
        <v>5.2772467460450505</v>
      </c>
      <c r="T2067" s="361">
        <f t="shared" si="2120"/>
        <v>6.7519733492272573</v>
      </c>
      <c r="U2067" s="361">
        <f t="shared" si="2120"/>
        <v>8.6388123016687093</v>
      </c>
      <c r="V2067" s="362">
        <f t="shared" si="2120"/>
        <v>11.052928399369895</v>
      </c>
      <c r="X2067" s="351"/>
    </row>
    <row r="2068" spans="3:24" ht="24.75" customHeight="1" x14ac:dyDescent="0.3">
      <c r="C2068" s="353">
        <f>ABS(E2068-Dashboard!$F$14)</f>
        <v>37.039176981398484</v>
      </c>
      <c r="D2068" s="350">
        <f t="shared" si="2115"/>
        <v>0.27954999999998448</v>
      </c>
      <c r="E2068" s="359" cm="1">
        <f t="array" ref="E2068">1000*SUM('DRE + DCF'!$L$36/M2068,'DRE + DCF'!$N$36:$V$36/N2068:V2068,F2068/V2068)/Dashboard!$F$11</f>
        <v>59.950823018601511</v>
      </c>
      <c r="F2068" s="359">
        <f t="shared" si="2113"/>
        <v>9510989.4930602033</v>
      </c>
      <c r="G2068" s="359">
        <f>'DRE + DCF'!$W$31</f>
        <v>2791623.3540418856</v>
      </c>
      <c r="H2068" s="359">
        <f>'DRE + DCF'!$W$32</f>
        <v>81081.931703745853</v>
      </c>
      <c r="I2068" s="359">
        <f>-H2068*('DRE + DCF'!$V$33+K2068)/'DRE + DCF'!$V$33</f>
        <v>-90858.801614444121</v>
      </c>
      <c r="J2068" s="359">
        <f>-'DRE + DCF'!$V$56*L2068</f>
        <v>-1188924.4255577971</v>
      </c>
      <c r="K2068" s="360">
        <f>(1+L2068)/(1+Ke!$O$12)-1</f>
        <v>2.0000000000000018E-2</v>
      </c>
      <c r="L2068" s="360">
        <f>'DRE + DCF'!$Y$31</f>
        <v>7.3550000000000004E-2</v>
      </c>
      <c r="M2068" s="361">
        <f>(1+D2068)^((5-Dashboard!$F$9)*3/12)</f>
        <v>1.2030756749557263</v>
      </c>
      <c r="N2068" s="361">
        <f t="shared" ref="N2068:V2068" si="2121">M2068*(1+$D2068)</f>
        <v>1.5393954798895808</v>
      </c>
      <c r="O2068" s="361">
        <f t="shared" si="2121"/>
        <v>1.9697334862926892</v>
      </c>
      <c r="P2068" s="361">
        <f t="shared" si="2121"/>
        <v>2.5203724823857798</v>
      </c>
      <c r="Q2068" s="361">
        <f t="shared" si="2121"/>
        <v>3.2249426098366851</v>
      </c>
      <c r="R2068" s="361">
        <f t="shared" si="2121"/>
        <v>4.1264753164164798</v>
      </c>
      <c r="S2068" s="361">
        <f t="shared" si="2121"/>
        <v>5.2800314911206421</v>
      </c>
      <c r="T2068" s="361">
        <f t="shared" si="2121"/>
        <v>6.7560642944633349</v>
      </c>
      <c r="U2068" s="361">
        <f t="shared" si="2121"/>
        <v>8.6447220679804548</v>
      </c>
      <c r="V2068" s="362">
        <f t="shared" si="2121"/>
        <v>11.061354122084257</v>
      </c>
      <c r="X2068" s="351"/>
    </row>
    <row r="2069" spans="3:24" ht="24.75" customHeight="1" x14ac:dyDescent="0.3">
      <c r="C2069" s="353">
        <f>ABS(E2069-Dashboard!$F$14)</f>
        <v>37.072893748336597</v>
      </c>
      <c r="D2069" s="350">
        <f t="shared" si="2115"/>
        <v>0.27964999999998447</v>
      </c>
      <c r="E2069" s="359" cm="1">
        <f t="array" ref="E2069">1000*SUM('DRE + DCF'!$L$36/M2069,'DRE + DCF'!$N$36:$V$36/N2069:V2069,F2069/V2069)/Dashboard!$F$11</f>
        <v>59.917106251663398</v>
      </c>
      <c r="F2069" s="359">
        <f t="shared" si="2113"/>
        <v>9507058.7848398127</v>
      </c>
      <c r="G2069" s="359">
        <f>'DRE + DCF'!$W$31</f>
        <v>2791623.3540418856</v>
      </c>
      <c r="H2069" s="359">
        <f>'DRE + DCF'!$W$32</f>
        <v>81081.931703745853</v>
      </c>
      <c r="I2069" s="359">
        <f>-H2069*('DRE + DCF'!$V$33+K2069)/'DRE + DCF'!$V$33</f>
        <v>-90858.801614444121</v>
      </c>
      <c r="J2069" s="359">
        <f>-'DRE + DCF'!$V$56*L2069</f>
        <v>-1188924.4255577971</v>
      </c>
      <c r="K2069" s="360">
        <f>(1+L2069)/(1+Ke!$O$12)-1</f>
        <v>2.0000000000000018E-2</v>
      </c>
      <c r="L2069" s="360">
        <f>'DRE + DCF'!$Y$31</f>
        <v>7.3550000000000004E-2</v>
      </c>
      <c r="M2069" s="361">
        <f>(1+D2069)^((5-Dashboard!$F$9)*3/12)</f>
        <v>1.2031461917734994</v>
      </c>
      <c r="N2069" s="361">
        <f t="shared" ref="N2069:V2069" si="2122">M2069*(1+$D2069)</f>
        <v>1.5396060243029397</v>
      </c>
      <c r="O2069" s="361">
        <f t="shared" si="2122"/>
        <v>1.9701568489992327</v>
      </c>
      <c r="P2069" s="361">
        <f t="shared" si="2122"/>
        <v>2.5211112118218373</v>
      </c>
      <c r="Q2069" s="361">
        <f t="shared" si="2122"/>
        <v>3.2261399622077747</v>
      </c>
      <c r="R2069" s="361">
        <f t="shared" si="2122"/>
        <v>4.128330002639129</v>
      </c>
      <c r="S2069" s="361">
        <f t="shared" si="2122"/>
        <v>5.2828174878770966</v>
      </c>
      <c r="T2069" s="361">
        <f t="shared" si="2122"/>
        <v>6.7601573983618444</v>
      </c>
      <c r="U2069" s="361">
        <f t="shared" si="2122"/>
        <v>8.6506354148136282</v>
      </c>
      <c r="V2069" s="362">
        <f t="shared" si="2122"/>
        <v>11.069785608566125</v>
      </c>
      <c r="X2069" s="351"/>
    </row>
    <row r="2070" spans="3:24" ht="24.75" customHeight="1" x14ac:dyDescent="0.3">
      <c r="C2070" s="353">
        <f>ABS(E2070-Dashboard!$F$14)</f>
        <v>37.106576998882467</v>
      </c>
      <c r="D2070" s="350">
        <f t="shared" si="2115"/>
        <v>0.27974999999998446</v>
      </c>
      <c r="E2070" s="359" cm="1">
        <f t="array" ref="E2070">1000*SUM('DRE + DCF'!$L$36/M2070,'DRE + DCF'!$N$36:$V$36/N2070:V2070,F2070/V2070)/Dashboard!$F$11</f>
        <v>59.883423001117528</v>
      </c>
      <c r="F2070" s="359">
        <f t="shared" si="2113"/>
        <v>9503131.4003423303</v>
      </c>
      <c r="G2070" s="359">
        <f>'DRE + DCF'!$W$31</f>
        <v>2791623.3540418856</v>
      </c>
      <c r="H2070" s="359">
        <f>'DRE + DCF'!$W$32</f>
        <v>81081.931703745853</v>
      </c>
      <c r="I2070" s="359">
        <f>-H2070*('DRE + DCF'!$V$33+K2070)/'DRE + DCF'!$V$33</f>
        <v>-90858.801614444121</v>
      </c>
      <c r="J2070" s="359">
        <f>-'DRE + DCF'!$V$56*L2070</f>
        <v>-1188924.4255577971</v>
      </c>
      <c r="K2070" s="360">
        <f>(1+L2070)/(1+Ke!$O$12)-1</f>
        <v>2.0000000000000018E-2</v>
      </c>
      <c r="L2070" s="360">
        <f>'DRE + DCF'!$Y$31</f>
        <v>7.3550000000000004E-2</v>
      </c>
      <c r="M2070" s="361">
        <f>(1+D2070)^((5-Dashboard!$F$9)*3/12)</f>
        <v>1.2032167072136275</v>
      </c>
      <c r="N2070" s="361">
        <f t="shared" ref="N2070:V2070" si="2123">M2070*(1+$D2070)</f>
        <v>1.5398165810566211</v>
      </c>
      <c r="O2070" s="361">
        <f t="shared" si="2123"/>
        <v>1.9705802696071868</v>
      </c>
      <c r="P2070" s="361">
        <f t="shared" si="2123"/>
        <v>2.5218501000297664</v>
      </c>
      <c r="Q2070" s="361">
        <f t="shared" si="2123"/>
        <v>3.2273376655130543</v>
      </c>
      <c r="R2070" s="361">
        <f t="shared" si="2123"/>
        <v>4.1301853774402808</v>
      </c>
      <c r="S2070" s="361">
        <f t="shared" si="2123"/>
        <v>5.2856047367791348</v>
      </c>
      <c r="T2070" s="361">
        <f t="shared" si="2123"/>
        <v>6.764252661893015</v>
      </c>
      <c r="U2070" s="361">
        <f t="shared" si="2123"/>
        <v>8.6565523440574808</v>
      </c>
      <c r="V2070" s="362">
        <f t="shared" si="2123"/>
        <v>11.078222862307426</v>
      </c>
      <c r="X2070" s="351"/>
    </row>
    <row r="2071" spans="3:24" ht="24.75" customHeight="1" x14ac:dyDescent="0.3">
      <c r="C2071" s="353">
        <f>ABS(E2071-Dashboard!$F$14)</f>
        <v>37.140226779435473</v>
      </c>
      <c r="D2071" s="350">
        <f t="shared" si="2115"/>
        <v>0.27984999999998444</v>
      </c>
      <c r="E2071" s="359" cm="1">
        <f t="array" ref="E2071">1000*SUM('DRE + DCF'!$L$36/M2071,'DRE + DCF'!$N$36:$V$36/N2071:V2071,F2071/V2071)/Dashboard!$F$11</f>
        <v>59.849773220564522</v>
      </c>
      <c r="F2071" s="359">
        <f t="shared" si="2113"/>
        <v>9499207.3352581598</v>
      </c>
      <c r="G2071" s="359">
        <f>'DRE + DCF'!$W$31</f>
        <v>2791623.3540418856</v>
      </c>
      <c r="H2071" s="359">
        <f>'DRE + DCF'!$W$32</f>
        <v>81081.931703745853</v>
      </c>
      <c r="I2071" s="359">
        <f>-H2071*('DRE + DCF'!$V$33+K2071)/'DRE + DCF'!$V$33</f>
        <v>-90858.801614444121</v>
      </c>
      <c r="J2071" s="359">
        <f>-'DRE + DCF'!$V$56*L2071</f>
        <v>-1188924.4255577971</v>
      </c>
      <c r="K2071" s="360">
        <f>(1+L2071)/(1+Ke!$O$12)-1</f>
        <v>2.0000000000000018E-2</v>
      </c>
      <c r="L2071" s="360">
        <f>'DRE + DCF'!$Y$31</f>
        <v>7.3550000000000004E-2</v>
      </c>
      <c r="M2071" s="361">
        <f>(1+D2071)^((5-Dashboard!$F$9)*3/12)</f>
        <v>1.2032872212762455</v>
      </c>
      <c r="N2071" s="361">
        <f t="shared" ref="N2071:V2071" si="2124">M2071*(1+$D2071)</f>
        <v>1.5400271501503842</v>
      </c>
      <c r="O2071" s="361">
        <f t="shared" si="2124"/>
        <v>1.9710037481199452</v>
      </c>
      <c r="P2071" s="361">
        <f t="shared" si="2124"/>
        <v>2.5225891470312809</v>
      </c>
      <c r="Q2071" s="361">
        <f t="shared" si="2124"/>
        <v>3.2285357198279456</v>
      </c>
      <c r="R2071" s="361">
        <f t="shared" si="2124"/>
        <v>4.1320414410217454</v>
      </c>
      <c r="S2071" s="361">
        <f t="shared" si="2124"/>
        <v>5.2883932382916168</v>
      </c>
      <c r="T2071" s="361">
        <f t="shared" si="2124"/>
        <v>6.7683500860274428</v>
      </c>
      <c r="U2071" s="361">
        <f t="shared" si="2124"/>
        <v>8.6624728576021166</v>
      </c>
      <c r="V2071" s="362">
        <f t="shared" si="2124"/>
        <v>11.086665886801933</v>
      </c>
      <c r="X2071" s="351"/>
    </row>
    <row r="2072" spans="3:24" ht="24.75" customHeight="1" x14ac:dyDescent="0.3">
      <c r="C2072" s="353">
        <f>ABS(E2072-Dashboard!$F$14)</f>
        <v>37.173843136312314</v>
      </c>
      <c r="D2072" s="350">
        <f t="shared" si="2115"/>
        <v>0.27994999999998443</v>
      </c>
      <c r="E2072" s="359" cm="1">
        <f t="array" ref="E2072">1000*SUM('DRE + DCF'!$L$36/M2072,'DRE + DCF'!$N$36:$V$36/N2072:V2072,F2072/V2072)/Dashboard!$F$11</f>
        <v>59.816156863687681</v>
      </c>
      <c r="F2072" s="359">
        <f t="shared" si="2113"/>
        <v>9495286.5852853097</v>
      </c>
      <c r="G2072" s="359">
        <f>'DRE + DCF'!$W$31</f>
        <v>2791623.3540418856</v>
      </c>
      <c r="H2072" s="359">
        <f>'DRE + DCF'!$W$32</f>
        <v>81081.931703745853</v>
      </c>
      <c r="I2072" s="359">
        <f>-H2072*('DRE + DCF'!$V$33+K2072)/'DRE + DCF'!$V$33</f>
        <v>-90858.801614444121</v>
      </c>
      <c r="J2072" s="359">
        <f>-'DRE + DCF'!$V$56*L2072</f>
        <v>-1188924.4255577971</v>
      </c>
      <c r="K2072" s="360">
        <f>(1+L2072)/(1+Ke!$O$12)-1</f>
        <v>2.0000000000000018E-2</v>
      </c>
      <c r="L2072" s="360">
        <f>'DRE + DCF'!$Y$31</f>
        <v>7.3550000000000004E-2</v>
      </c>
      <c r="M2072" s="361">
        <f>(1+D2072)^((5-Dashboard!$F$9)*3/12)</f>
        <v>1.2033577339614876</v>
      </c>
      <c r="N2072" s="361">
        <f t="shared" ref="N2072:V2072" si="2125">M2072*(1+$D2072)</f>
        <v>1.5402377315839872</v>
      </c>
      <c r="O2072" s="361">
        <f t="shared" si="2125"/>
        <v>1.9714272845409004</v>
      </c>
      <c r="P2072" s="361">
        <f t="shared" si="2125"/>
        <v>2.5233283528480945</v>
      </c>
      <c r="Q2072" s="361">
        <f t="shared" si="2125"/>
        <v>3.2297341252278793</v>
      </c>
      <c r="R2072" s="361">
        <f t="shared" si="2125"/>
        <v>4.1338981935853738</v>
      </c>
      <c r="S2072" s="361">
        <f t="shared" si="2125"/>
        <v>5.2911829928795342</v>
      </c>
      <c r="T2072" s="361">
        <f t="shared" si="2125"/>
        <v>6.7724496717360774</v>
      </c>
      <c r="U2072" s="361">
        <f t="shared" si="2125"/>
        <v>8.6683969573384871</v>
      </c>
      <c r="V2072" s="362">
        <f t="shared" si="2125"/>
        <v>11.095114685545262</v>
      </c>
      <c r="X2072" s="351"/>
    </row>
    <row r="2073" spans="3:24" ht="24.75" customHeight="1" x14ac:dyDescent="0.3">
      <c r="C2073" s="353">
        <f>ABS(E2073-Dashboard!$F$14)</f>
        <v>37.207426115747218</v>
      </c>
      <c r="D2073" s="350">
        <f t="shared" si="2115"/>
        <v>0.28004999999998442</v>
      </c>
      <c r="E2073" s="359" cm="1">
        <f t="array" ref="E2073">1000*SUM('DRE + DCF'!$L$36/M2073,'DRE + DCF'!$N$36:$V$36/N2073:V2073,F2073/V2073)/Dashboard!$F$11</f>
        <v>59.782573884252777</v>
      </c>
      <c r="F2073" s="359">
        <f t="shared" si="2113"/>
        <v>9491369.1461293735</v>
      </c>
      <c r="G2073" s="359">
        <f>'DRE + DCF'!$W$31</f>
        <v>2791623.3540418856</v>
      </c>
      <c r="H2073" s="359">
        <f>'DRE + DCF'!$W$32</f>
        <v>81081.931703745853</v>
      </c>
      <c r="I2073" s="359">
        <f>-H2073*('DRE + DCF'!$V$33+K2073)/'DRE + DCF'!$V$33</f>
        <v>-90858.801614444121</v>
      </c>
      <c r="J2073" s="359">
        <f>-'DRE + DCF'!$V$56*L2073</f>
        <v>-1188924.4255577971</v>
      </c>
      <c r="K2073" s="360">
        <f>(1+L2073)/(1+Ke!$O$12)-1</f>
        <v>2.0000000000000018E-2</v>
      </c>
      <c r="L2073" s="360">
        <f>'DRE + DCF'!$Y$31</f>
        <v>7.3550000000000004E-2</v>
      </c>
      <c r="M2073" s="361">
        <f>(1+D2073)^((5-Dashboard!$F$9)*3/12)</f>
        <v>1.2034282452694887</v>
      </c>
      <c r="N2073" s="361">
        <f t="shared" ref="N2073:V2073" si="2126">M2073*(1+$D2073)</f>
        <v>1.5404483253571901</v>
      </c>
      <c r="O2073" s="361">
        <f t="shared" si="2126"/>
        <v>1.9718508788734472</v>
      </c>
      <c r="P2073" s="361">
        <f t="shared" si="2126"/>
        <v>2.5240677175019255</v>
      </c>
      <c r="Q2073" s="361">
        <f t="shared" si="2126"/>
        <v>3.2309328817883003</v>
      </c>
      <c r="R2073" s="361">
        <f t="shared" si="2126"/>
        <v>4.1357556353330631</v>
      </c>
      <c r="S2073" s="361">
        <f t="shared" si="2126"/>
        <v>5.2939740010080225</v>
      </c>
      <c r="T2073" s="361">
        <f t="shared" si="2126"/>
        <v>6.7765514199902368</v>
      </c>
      <c r="U2073" s="361">
        <f t="shared" si="2126"/>
        <v>8.6743246451583964</v>
      </c>
      <c r="V2073" s="362">
        <f t="shared" si="2126"/>
        <v>11.10356926203487</v>
      </c>
      <c r="X2073" s="351"/>
    </row>
    <row r="2074" spans="3:24" ht="24.75" customHeight="1" x14ac:dyDescent="0.3">
      <c r="C2074" s="353">
        <f>ABS(E2074-Dashboard!$F$14)</f>
        <v>37.240975763892017</v>
      </c>
      <c r="D2074" s="350">
        <f t="shared" si="2115"/>
        <v>0.28014999999998441</v>
      </c>
      <c r="E2074" s="359" cm="1">
        <f t="array" ref="E2074">1000*SUM('DRE + DCF'!$L$36/M2074,'DRE + DCF'!$N$36:$V$36/N2074:V2074,F2074/V2074)/Dashboard!$F$11</f>
        <v>59.749024236107978</v>
      </c>
      <c r="F2074" s="359">
        <f t="shared" si="2113"/>
        <v>9487455.0135035161</v>
      </c>
      <c r="G2074" s="359">
        <f>'DRE + DCF'!$W$31</f>
        <v>2791623.3540418856</v>
      </c>
      <c r="H2074" s="359">
        <f>'DRE + DCF'!$W$32</f>
        <v>81081.931703745853</v>
      </c>
      <c r="I2074" s="359">
        <f>-H2074*('DRE + DCF'!$V$33+K2074)/'DRE + DCF'!$V$33</f>
        <v>-90858.801614444121</v>
      </c>
      <c r="J2074" s="359">
        <f>-'DRE + DCF'!$V$56*L2074</f>
        <v>-1188924.4255577971</v>
      </c>
      <c r="K2074" s="360">
        <f>(1+L2074)/(1+Ke!$O$12)-1</f>
        <v>2.0000000000000018E-2</v>
      </c>
      <c r="L2074" s="360">
        <f>'DRE + DCF'!$Y$31</f>
        <v>7.3550000000000004E-2</v>
      </c>
      <c r="M2074" s="361">
        <f>(1+D2074)^((5-Dashboard!$F$9)*3/12)</f>
        <v>1.2034987552003829</v>
      </c>
      <c r="N2074" s="361">
        <f t="shared" ref="N2074:V2074" si="2127">M2074*(1+$D2074)</f>
        <v>1.5406589314697512</v>
      </c>
      <c r="O2074" s="361">
        <f t="shared" si="2127"/>
        <v>1.9722745311209779</v>
      </c>
      <c r="P2074" s="361">
        <f t="shared" si="2127"/>
        <v>2.5248072410144893</v>
      </c>
      <c r="Q2074" s="361">
        <f t="shared" si="2127"/>
        <v>3.232131989584659</v>
      </c>
      <c r="R2074" s="361">
        <f t="shared" si="2127"/>
        <v>4.1376137664667505</v>
      </c>
      <c r="S2074" s="361">
        <f t="shared" si="2127"/>
        <v>5.296766263142346</v>
      </c>
      <c r="T2074" s="361">
        <f t="shared" si="2127"/>
        <v>6.780655331761591</v>
      </c>
      <c r="U2074" s="361">
        <f t="shared" si="2127"/>
        <v>8.680255922954494</v>
      </c>
      <c r="V2074" s="362">
        <f t="shared" si="2127"/>
        <v>11.112029619770059</v>
      </c>
      <c r="X2074" s="351"/>
    </row>
    <row r="2075" spans="3:24" ht="24.75" customHeight="1" x14ac:dyDescent="0.3">
      <c r="C2075" s="353">
        <f>ABS(E2075-Dashboard!$F$14)</f>
        <v>37.274492126816462</v>
      </c>
      <c r="D2075" s="350">
        <f t="shared" si="2115"/>
        <v>0.2802499999999844</v>
      </c>
      <c r="E2075" s="359" cm="1">
        <f t="array" ref="E2075">1000*SUM('DRE + DCF'!$L$36/M2075,'DRE + DCF'!$N$36:$V$36/N2075:V2075,F2075/V2075)/Dashboard!$F$11</f>
        <v>59.715507873183533</v>
      </c>
      <c r="F2075" s="359">
        <f t="shared" si="2113"/>
        <v>9483544.1831284538</v>
      </c>
      <c r="G2075" s="359">
        <f>'DRE + DCF'!$W$31</f>
        <v>2791623.3540418856</v>
      </c>
      <c r="H2075" s="359">
        <f>'DRE + DCF'!$W$32</f>
        <v>81081.931703745853</v>
      </c>
      <c r="I2075" s="359">
        <f>-H2075*('DRE + DCF'!$V$33+K2075)/'DRE + DCF'!$V$33</f>
        <v>-90858.801614444121</v>
      </c>
      <c r="J2075" s="359">
        <f>-'DRE + DCF'!$V$56*L2075</f>
        <v>-1188924.4255577971</v>
      </c>
      <c r="K2075" s="360">
        <f>(1+L2075)/(1+Ke!$O$12)-1</f>
        <v>2.0000000000000018E-2</v>
      </c>
      <c r="L2075" s="360">
        <f>'DRE + DCF'!$Y$31</f>
        <v>7.3550000000000004E-2</v>
      </c>
      <c r="M2075" s="361">
        <f>(1+D2075)^((5-Dashboard!$F$9)*3/12)</f>
        <v>1.2035692637543047</v>
      </c>
      <c r="N2075" s="361">
        <f t="shared" ref="N2075:V2075" si="2128">M2075*(1+$D2075)</f>
        <v>1.5408695499214298</v>
      </c>
      <c r="O2075" s="361">
        <f t="shared" si="2128"/>
        <v>1.9726982412868863</v>
      </c>
      <c r="P2075" s="361">
        <f t="shared" si="2128"/>
        <v>2.5255469234075054</v>
      </c>
      <c r="Q2075" s="361">
        <f t="shared" si="2128"/>
        <v>3.2333314486924194</v>
      </c>
      <c r="R2075" s="361">
        <f t="shared" si="2128"/>
        <v>4.1394725871884193</v>
      </c>
      <c r="S2075" s="361">
        <f t="shared" si="2128"/>
        <v>5.2995597797479093</v>
      </c>
      <c r="T2075" s="361">
        <f t="shared" si="2128"/>
        <v>6.7847614080221783</v>
      </c>
      <c r="U2075" s="361">
        <f t="shared" si="2128"/>
        <v>8.6861907926202875</v>
      </c>
      <c r="V2075" s="362">
        <f t="shared" si="2128"/>
        <v>11.120495762251988</v>
      </c>
      <c r="X2075" s="351"/>
    </row>
    <row r="2076" spans="3:24" ht="24.75" customHeight="1" x14ac:dyDescent="0.3">
      <c r="C2076" s="353">
        <f>ABS(E2076-Dashboard!$F$14)</f>
        <v>37.307975250508264</v>
      </c>
      <c r="D2076" s="350">
        <f t="shared" si="2115"/>
        <v>0.28034999999998439</v>
      </c>
      <c r="E2076" s="359" cm="1">
        <f t="array" ref="E2076">1000*SUM('DRE + DCF'!$L$36/M2076,'DRE + DCF'!$N$36:$V$36/N2076:V2076,F2076/V2076)/Dashboard!$F$11</f>
        <v>59.682024749491731</v>
      </c>
      <c r="F2076" s="359">
        <f t="shared" si="2113"/>
        <v>9479636.6507324409</v>
      </c>
      <c r="G2076" s="359">
        <f>'DRE + DCF'!$W$31</f>
        <v>2791623.3540418856</v>
      </c>
      <c r="H2076" s="359">
        <f>'DRE + DCF'!$W$32</f>
        <v>81081.931703745853</v>
      </c>
      <c r="I2076" s="359">
        <f>-H2076*('DRE + DCF'!$V$33+K2076)/'DRE + DCF'!$V$33</f>
        <v>-90858.801614444121</v>
      </c>
      <c r="J2076" s="359">
        <f>-'DRE + DCF'!$V$56*L2076</f>
        <v>-1188924.4255577971</v>
      </c>
      <c r="K2076" s="360">
        <f>(1+L2076)/(1+Ke!$O$12)-1</f>
        <v>2.0000000000000018E-2</v>
      </c>
      <c r="L2076" s="360">
        <f>'DRE + DCF'!$Y$31</f>
        <v>7.3550000000000004E-2</v>
      </c>
      <c r="M2076" s="361">
        <f>(1+D2076)^((5-Dashboard!$F$9)*3/12)</f>
        <v>1.2036397709313889</v>
      </c>
      <c r="N2076" s="361">
        <f t="shared" ref="N2076:V2076" si="2129">M2076*(1+$D2076)</f>
        <v>1.5410801807119849</v>
      </c>
      <c r="O2076" s="361">
        <f t="shared" si="2129"/>
        <v>1.9731220093745658</v>
      </c>
      <c r="P2076" s="361">
        <f t="shared" si="2129"/>
        <v>2.5262867647026943</v>
      </c>
      <c r="Q2076" s="361">
        <f t="shared" si="2129"/>
        <v>3.234531259187055</v>
      </c>
      <c r="R2076" s="361">
        <f t="shared" si="2129"/>
        <v>4.1413320977000954</v>
      </c>
      <c r="S2076" s="361">
        <f t="shared" si="2129"/>
        <v>5.3023545512902519</v>
      </c>
      <c r="T2076" s="361">
        <f t="shared" si="2129"/>
        <v>6.7888696497443908</v>
      </c>
      <c r="U2076" s="361">
        <f t="shared" si="2129"/>
        <v>8.6921292560501247</v>
      </c>
      <c r="V2076" s="362">
        <f t="shared" si="2129"/>
        <v>11.128967692983641</v>
      </c>
      <c r="X2076" s="351"/>
    </row>
    <row r="2077" spans="3:24" ht="24.75" customHeight="1" x14ac:dyDescent="0.3">
      <c r="C2077" s="353">
        <f>ABS(E2077-Dashboard!$F$14)</f>
        <v>37.341425180873429</v>
      </c>
      <c r="D2077" s="350">
        <f t="shared" si="2115"/>
        <v>0.28044999999998438</v>
      </c>
      <c r="E2077" s="359" cm="1">
        <f t="array" ref="E2077">1000*SUM('DRE + DCF'!$L$36/M2077,'DRE + DCF'!$N$36:$V$36/N2077:V2077,F2077/V2077)/Dashboard!$F$11</f>
        <v>59.648574819126566</v>
      </c>
      <c r="F2077" s="359">
        <f t="shared" si="2113"/>
        <v>9475732.4120512474</v>
      </c>
      <c r="G2077" s="359">
        <f>'DRE + DCF'!$W$31</f>
        <v>2791623.3540418856</v>
      </c>
      <c r="H2077" s="359">
        <f>'DRE + DCF'!$W$32</f>
        <v>81081.931703745853</v>
      </c>
      <c r="I2077" s="359">
        <f>-H2077*('DRE + DCF'!$V$33+K2077)/'DRE + DCF'!$V$33</f>
        <v>-90858.801614444121</v>
      </c>
      <c r="J2077" s="359">
        <f>-'DRE + DCF'!$V$56*L2077</f>
        <v>-1188924.4255577971</v>
      </c>
      <c r="K2077" s="360">
        <f>(1+L2077)/(1+Ke!$O$12)-1</f>
        <v>2.0000000000000018E-2</v>
      </c>
      <c r="L2077" s="360">
        <f>'DRE + DCF'!$Y$31</f>
        <v>7.3550000000000004E-2</v>
      </c>
      <c r="M2077" s="361">
        <f>(1+D2077)^((5-Dashboard!$F$9)*3/12)</f>
        <v>1.2037102767317696</v>
      </c>
      <c r="N2077" s="361">
        <f t="shared" ref="N2077:V2077" si="2130">M2077*(1+$D2077)</f>
        <v>1.5412908238411756</v>
      </c>
      <c r="O2077" s="361">
        <f t="shared" si="2130"/>
        <v>1.9735458353874091</v>
      </c>
      <c r="P2077" s="361">
        <f t="shared" si="2130"/>
        <v>2.5270267649217772</v>
      </c>
      <c r="Q2077" s="361">
        <f t="shared" si="2130"/>
        <v>3.2357314211440502</v>
      </c>
      <c r="R2077" s="361">
        <f t="shared" si="2130"/>
        <v>4.1431922982038483</v>
      </c>
      <c r="S2077" s="361">
        <f t="shared" si="2130"/>
        <v>5.305150578235053</v>
      </c>
      <c r="T2077" s="361">
        <f t="shared" si="2130"/>
        <v>6.7929800579009907</v>
      </c>
      <c r="U2077" s="361">
        <f t="shared" si="2130"/>
        <v>8.6980713151392166</v>
      </c>
      <c r="V2077" s="362">
        <f t="shared" si="2130"/>
        <v>11.137445415469873</v>
      </c>
      <c r="X2077" s="351"/>
    </row>
    <row r="2078" spans="3:24" ht="24.75" customHeight="1" x14ac:dyDescent="0.3">
      <c r="C2078" s="353">
        <f>ABS(E2078-Dashboard!$F$14)</f>
        <v>37.374841963736301</v>
      </c>
      <c r="D2078" s="350">
        <f t="shared" si="2115"/>
        <v>0.28054999999998437</v>
      </c>
      <c r="E2078" s="359" cm="1">
        <f t="array" ref="E2078">1000*SUM('DRE + DCF'!$L$36/M2078,'DRE + DCF'!$N$36:$V$36/N2078:V2078,F2078/V2078)/Dashboard!$F$11</f>
        <v>59.615158036263693</v>
      </c>
      <c r="F2078" s="359">
        <f t="shared" si="2113"/>
        <v>9471831.4628281519</v>
      </c>
      <c r="G2078" s="359">
        <f>'DRE + DCF'!$W$31</f>
        <v>2791623.3540418856</v>
      </c>
      <c r="H2078" s="359">
        <f>'DRE + DCF'!$W$32</f>
        <v>81081.931703745853</v>
      </c>
      <c r="I2078" s="359">
        <f>-H2078*('DRE + DCF'!$V$33+K2078)/'DRE + DCF'!$V$33</f>
        <v>-90858.801614444121</v>
      </c>
      <c r="J2078" s="359">
        <f>-'DRE + DCF'!$V$56*L2078</f>
        <v>-1188924.4255577971</v>
      </c>
      <c r="K2078" s="360">
        <f>(1+L2078)/(1+Ke!$O$12)-1</f>
        <v>2.0000000000000018E-2</v>
      </c>
      <c r="L2078" s="360">
        <f>'DRE + DCF'!$Y$31</f>
        <v>7.3550000000000004E-2</v>
      </c>
      <c r="M2078" s="361">
        <f>(1+D2078)^((5-Dashboard!$F$9)*3/12)</f>
        <v>1.2037807811555812</v>
      </c>
      <c r="N2078" s="361">
        <f t="shared" ref="N2078:V2078" si="2131">M2078*(1+$D2078)</f>
        <v>1.5415014793087607</v>
      </c>
      <c r="O2078" s="361">
        <f t="shared" si="2131"/>
        <v>1.9739697193288093</v>
      </c>
      <c r="P2078" s="361">
        <f t="shared" si="2131"/>
        <v>2.527766924086476</v>
      </c>
      <c r="Q2078" s="361">
        <f t="shared" si="2131"/>
        <v>3.2369319346388972</v>
      </c>
      <c r="R2078" s="361">
        <f t="shared" si="2131"/>
        <v>4.1450531889017892</v>
      </c>
      <c r="S2078" s="361">
        <f t="shared" si="2131"/>
        <v>5.3079478610481212</v>
      </c>
      <c r="T2078" s="361">
        <f t="shared" si="2131"/>
        <v>6.7970926334650885</v>
      </c>
      <c r="U2078" s="361">
        <f t="shared" si="2131"/>
        <v>8.7040169717836129</v>
      </c>
      <c r="V2078" s="362">
        <f t="shared" si="2131"/>
        <v>11.14592893321737</v>
      </c>
      <c r="X2078" s="351"/>
    </row>
    <row r="2079" spans="3:24" ht="24.75" customHeight="1" x14ac:dyDescent="0.3">
      <c r="C2079" s="353">
        <f>ABS(E2079-Dashboard!$F$14)</f>
        <v>37.408225644839781</v>
      </c>
      <c r="D2079" s="350">
        <f t="shared" si="2115"/>
        <v>0.28064999999998436</v>
      </c>
      <c r="E2079" s="359" cm="1">
        <f t="array" ref="E2079">1000*SUM('DRE + DCF'!$L$36/M2079,'DRE + DCF'!$N$36:$V$36/N2079:V2079,F2079/V2079)/Dashboard!$F$11</f>
        <v>59.581774355160213</v>
      </c>
      <c r="F2079" s="359">
        <f t="shared" si="2113"/>
        <v>9467933.7988139093</v>
      </c>
      <c r="G2079" s="359">
        <f>'DRE + DCF'!$W$31</f>
        <v>2791623.3540418856</v>
      </c>
      <c r="H2079" s="359">
        <f>'DRE + DCF'!$W$32</f>
        <v>81081.931703745853</v>
      </c>
      <c r="I2079" s="359">
        <f>-H2079*('DRE + DCF'!$V$33+K2079)/'DRE + DCF'!$V$33</f>
        <v>-90858.801614444121</v>
      </c>
      <c r="J2079" s="359">
        <f>-'DRE + DCF'!$V$56*L2079</f>
        <v>-1188924.4255577971</v>
      </c>
      <c r="K2079" s="360">
        <f>(1+L2079)/(1+Ke!$O$12)-1</f>
        <v>2.0000000000000018E-2</v>
      </c>
      <c r="L2079" s="360">
        <f>'DRE + DCF'!$Y$31</f>
        <v>7.3550000000000004E-2</v>
      </c>
      <c r="M2079" s="361">
        <f>(1+D2079)^((5-Dashboard!$F$9)*3/12)</f>
        <v>1.2038512842029583</v>
      </c>
      <c r="N2079" s="361">
        <f t="shared" ref="N2079:V2079" si="2132">M2079*(1+$D2079)</f>
        <v>1.5417121471144997</v>
      </c>
      <c r="O2079" s="361">
        <f t="shared" si="2132"/>
        <v>1.9743936612021598</v>
      </c>
      <c r="P2079" s="361">
        <f t="shared" si="2132"/>
        <v>2.5285072422185149</v>
      </c>
      <c r="Q2079" s="361">
        <f t="shared" si="2132"/>
        <v>3.2381327997471012</v>
      </c>
      <c r="R2079" s="361">
        <f t="shared" si="2132"/>
        <v>4.1469147699960747</v>
      </c>
      <c r="S2079" s="361">
        <f t="shared" si="2132"/>
        <v>5.3107464001954083</v>
      </c>
      <c r="T2079" s="361">
        <f t="shared" si="2132"/>
        <v>6.801207377410166</v>
      </c>
      <c r="U2079" s="361">
        <f t="shared" si="2132"/>
        <v>8.7099662278802228</v>
      </c>
      <c r="V2079" s="362">
        <f t="shared" si="2132"/>
        <v>11.15441824973467</v>
      </c>
      <c r="X2079" s="351"/>
    </row>
    <row r="2080" spans="3:24" ht="24.75" customHeight="1" x14ac:dyDescent="0.3">
      <c r="C2080" s="353">
        <f>ABS(E2080-Dashboard!$F$14)</f>
        <v>37.441576269845577</v>
      </c>
      <c r="D2080" s="350">
        <f t="shared" si="2115"/>
        <v>0.28074999999998435</v>
      </c>
      <c r="E2080" s="359" cm="1">
        <f t="array" ref="E2080">1000*SUM('DRE + DCF'!$L$36/M2080,'DRE + DCF'!$N$36:$V$36/N2080:V2080,F2080/V2080)/Dashboard!$F$11</f>
        <v>59.548423730154418</v>
      </c>
      <c r="F2080" s="359">
        <f t="shared" si="2113"/>
        <v>9464039.4157667495</v>
      </c>
      <c r="G2080" s="359">
        <f>'DRE + DCF'!$W$31</f>
        <v>2791623.3540418856</v>
      </c>
      <c r="H2080" s="359">
        <f>'DRE + DCF'!$W$32</f>
        <v>81081.931703745853</v>
      </c>
      <c r="I2080" s="359">
        <f>-H2080*('DRE + DCF'!$V$33+K2080)/'DRE + DCF'!$V$33</f>
        <v>-90858.801614444121</v>
      </c>
      <c r="J2080" s="359">
        <f>-'DRE + DCF'!$V$56*L2080</f>
        <v>-1188924.4255577971</v>
      </c>
      <c r="K2080" s="360">
        <f>(1+L2080)/(1+Ke!$O$12)-1</f>
        <v>2.0000000000000018E-2</v>
      </c>
      <c r="L2080" s="360">
        <f>'DRE + DCF'!$Y$31</f>
        <v>7.3550000000000004E-2</v>
      </c>
      <c r="M2080" s="361">
        <f>(1+D2080)^((5-Dashboard!$F$9)*3/12)</f>
        <v>1.203921785874035</v>
      </c>
      <c r="N2080" s="361">
        <f t="shared" ref="N2080:V2080" si="2133">M2080*(1+$D2080)</f>
        <v>1.5419228272581513</v>
      </c>
      <c r="O2080" s="361">
        <f t="shared" si="2133"/>
        <v>1.974817661010853</v>
      </c>
      <c r="P2080" s="361">
        <f t="shared" si="2133"/>
        <v>2.5292477193396188</v>
      </c>
      <c r="Q2080" s="361">
        <f t="shared" si="2133"/>
        <v>3.2393340165441771</v>
      </c>
      <c r="R2080" s="361">
        <f t="shared" si="2133"/>
        <v>4.1487770416889038</v>
      </c>
      <c r="S2080" s="361">
        <f t="shared" si="2133"/>
        <v>5.3135461961429984</v>
      </c>
      <c r="T2080" s="361">
        <f t="shared" si="2133"/>
        <v>6.805324290710062</v>
      </c>
      <c r="U2080" s="361">
        <f t="shared" si="2133"/>
        <v>8.7159190853268047</v>
      </c>
      <c r="V2080" s="362">
        <f t="shared" si="2133"/>
        <v>11.162913368532168</v>
      </c>
      <c r="X2080" s="351"/>
    </row>
    <row r="2081" spans="3:24" ht="24.75" customHeight="1" x14ac:dyDescent="0.3">
      <c r="C2081" s="353">
        <f>ABS(E2081-Dashboard!$F$14)</f>
        <v>37.474893884334335</v>
      </c>
      <c r="D2081" s="350">
        <f t="shared" si="2115"/>
        <v>0.28084999999998433</v>
      </c>
      <c r="E2081" s="359" cm="1">
        <f t="array" ref="E2081">1000*SUM('DRE + DCF'!$L$36/M2081,'DRE + DCF'!$N$36:$V$36/N2081:V2081,F2081/V2081)/Dashboard!$F$11</f>
        <v>59.51510611566566</v>
      </c>
      <c r="F2081" s="359">
        <f t="shared" si="2113"/>
        <v>9460148.3094523549</v>
      </c>
      <c r="G2081" s="359">
        <f>'DRE + DCF'!$W$31</f>
        <v>2791623.3540418856</v>
      </c>
      <c r="H2081" s="359">
        <f>'DRE + DCF'!$W$32</f>
        <v>81081.931703745853</v>
      </c>
      <c r="I2081" s="359">
        <f>-H2081*('DRE + DCF'!$V$33+K2081)/'DRE + DCF'!$V$33</f>
        <v>-90858.801614444121</v>
      </c>
      <c r="J2081" s="359">
        <f>-'DRE + DCF'!$V$56*L2081</f>
        <v>-1188924.4255577971</v>
      </c>
      <c r="K2081" s="360">
        <f>(1+L2081)/(1+Ke!$O$12)-1</f>
        <v>2.0000000000000018E-2</v>
      </c>
      <c r="L2081" s="360">
        <f>'DRE + DCF'!$Y$31</f>
        <v>7.3550000000000004E-2</v>
      </c>
      <c r="M2081" s="361">
        <f>(1+D2081)^((5-Dashboard!$F$9)*3/12)</f>
        <v>1.2039922861689458</v>
      </c>
      <c r="N2081" s="361">
        <f t="shared" ref="N2081:V2081" si="2134">M2081*(1+$D2081)</f>
        <v>1.5421335197394754</v>
      </c>
      <c r="O2081" s="361">
        <f t="shared" si="2134"/>
        <v>1.9752417187582829</v>
      </c>
      <c r="P2081" s="361">
        <f t="shared" si="2134"/>
        <v>2.5299883554715157</v>
      </c>
      <c r="Q2081" s="361">
        <f t="shared" si="2134"/>
        <v>3.240535585105651</v>
      </c>
      <c r="R2081" s="361">
        <f t="shared" si="2134"/>
        <v>4.150640004182522</v>
      </c>
      <c r="S2081" s="361">
        <f t="shared" si="2134"/>
        <v>5.3163472493571184</v>
      </c>
      <c r="T2081" s="361">
        <f t="shared" si="2134"/>
        <v>6.8094433743389819</v>
      </c>
      <c r="U2081" s="361">
        <f t="shared" si="2134"/>
        <v>8.7218755460219786</v>
      </c>
      <c r="V2081" s="362">
        <f t="shared" si="2134"/>
        <v>11.171414293122114</v>
      </c>
      <c r="X2081" s="351"/>
    </row>
    <row r="2082" spans="3:24" ht="24.75" customHeight="1" x14ac:dyDescent="0.3">
      <c r="C2082" s="353">
        <f>ABS(E2082-Dashboard!$F$14)</f>
        <v>37.508178533805705</v>
      </c>
      <c r="D2082" s="350">
        <f t="shared" si="2115"/>
        <v>0.28094999999998432</v>
      </c>
      <c r="E2082" s="359" cm="1">
        <f t="array" ref="E2082">1000*SUM('DRE + DCF'!$L$36/M2082,'DRE + DCF'!$N$36:$V$36/N2082:V2082,F2082/V2082)/Dashboard!$F$11</f>
        <v>59.48182146619429</v>
      </c>
      <c r="F2082" s="359">
        <f t="shared" si="2113"/>
        <v>9456260.4756438434</v>
      </c>
      <c r="G2082" s="359">
        <f>'DRE + DCF'!$W$31</f>
        <v>2791623.3540418856</v>
      </c>
      <c r="H2082" s="359">
        <f>'DRE + DCF'!$W$32</f>
        <v>81081.931703745853</v>
      </c>
      <c r="I2082" s="359">
        <f>-H2082*('DRE + DCF'!$V$33+K2082)/'DRE + DCF'!$V$33</f>
        <v>-90858.801614444121</v>
      </c>
      <c r="J2082" s="359">
        <f>-'DRE + DCF'!$V$56*L2082</f>
        <v>-1188924.4255577971</v>
      </c>
      <c r="K2082" s="360">
        <f>(1+L2082)/(1+Ke!$O$12)-1</f>
        <v>2.0000000000000018E-2</v>
      </c>
      <c r="L2082" s="360">
        <f>'DRE + DCF'!$Y$31</f>
        <v>7.3550000000000004E-2</v>
      </c>
      <c r="M2082" s="361">
        <f>(1+D2082)^((5-Dashboard!$F$9)*3/12)</f>
        <v>1.2040627850878247</v>
      </c>
      <c r="N2082" s="361">
        <f t="shared" ref="N2082:V2082" si="2135">M2082*(1+$D2082)</f>
        <v>1.5423442245582302</v>
      </c>
      <c r="O2082" s="361">
        <f t="shared" si="2135"/>
        <v>1.9756658344478406</v>
      </c>
      <c r="P2082" s="361">
        <f t="shared" si="2135"/>
        <v>2.5307291506359304</v>
      </c>
      <c r="Q2082" s="361">
        <f t="shared" si="2135"/>
        <v>3.2417375055070554</v>
      </c>
      <c r="R2082" s="361">
        <f t="shared" si="2135"/>
        <v>4.1525036576792118</v>
      </c>
      <c r="S2082" s="361">
        <f t="shared" si="2135"/>
        <v>5.3191495603041208</v>
      </c>
      <c r="T2082" s="361">
        <f t="shared" si="2135"/>
        <v>6.8135646292714798</v>
      </c>
      <c r="U2082" s="361">
        <f t="shared" si="2135"/>
        <v>8.7278356118651956</v>
      </c>
      <c r="V2082" s="362">
        <f t="shared" si="2135"/>
        <v>11.179921027018585</v>
      </c>
      <c r="X2082" s="351"/>
    </row>
    <row r="2083" spans="3:24" ht="24.75" customHeight="1" x14ac:dyDescent="0.3">
      <c r="C2083" s="353">
        <f>ABS(E2083-Dashboard!$F$14)</f>
        <v>37.541430263678755</v>
      </c>
      <c r="D2083" s="350">
        <f t="shared" si="2115"/>
        <v>0.28104999999998431</v>
      </c>
      <c r="E2083" s="359" cm="1">
        <f t="array" ref="E2083">1000*SUM('DRE + DCF'!$L$36/M2083,'DRE + DCF'!$N$36:$V$36/N2083:V2083,F2083/V2083)/Dashboard!$F$11</f>
        <v>59.44856973632124</v>
      </c>
      <c r="F2083" s="359">
        <f t="shared" si="2113"/>
        <v>9452375.9101217426</v>
      </c>
      <c r="G2083" s="359">
        <f>'DRE + DCF'!$W$31</f>
        <v>2791623.3540418856</v>
      </c>
      <c r="H2083" s="359">
        <f>'DRE + DCF'!$W$32</f>
        <v>81081.931703745853</v>
      </c>
      <c r="I2083" s="359">
        <f>-H2083*('DRE + DCF'!$V$33+K2083)/'DRE + DCF'!$V$33</f>
        <v>-90858.801614444121</v>
      </c>
      <c r="J2083" s="359">
        <f>-'DRE + DCF'!$V$56*L2083</f>
        <v>-1188924.4255577971</v>
      </c>
      <c r="K2083" s="360">
        <f>(1+L2083)/(1+Ke!$O$12)-1</f>
        <v>2.0000000000000018E-2</v>
      </c>
      <c r="L2083" s="360">
        <f>'DRE + DCF'!$Y$31</f>
        <v>7.3550000000000004E-2</v>
      </c>
      <c r="M2083" s="361">
        <f>(1+D2083)^((5-Dashboard!$F$9)*3/12)</f>
        <v>1.2041332826308064</v>
      </c>
      <c r="N2083" s="361">
        <f t="shared" ref="N2083:V2083" si="2136">M2083*(1+$D2083)</f>
        <v>1.5425549417141757</v>
      </c>
      <c r="O2083" s="361">
        <f t="shared" si="2136"/>
        <v>1.9760900080829205</v>
      </c>
      <c r="P2083" s="361">
        <f t="shared" si="2136"/>
        <v>2.531470104854594</v>
      </c>
      <c r="Q2083" s="361">
        <f t="shared" si="2136"/>
        <v>3.2429397778239379</v>
      </c>
      <c r="R2083" s="361">
        <f t="shared" si="2136"/>
        <v>4.1543680023813048</v>
      </c>
      <c r="S2083" s="361">
        <f t="shared" si="2136"/>
        <v>5.3219531294505051</v>
      </c>
      <c r="T2083" s="361">
        <f t="shared" si="2136"/>
        <v>6.8176880564824858</v>
      </c>
      <c r="U2083" s="361">
        <f t="shared" si="2136"/>
        <v>8.7337992847567811</v>
      </c>
      <c r="V2083" s="362">
        <f t="shared" si="2136"/>
        <v>11.188433573737537</v>
      </c>
      <c r="X2083" s="351"/>
    </row>
    <row r="2084" spans="3:24" ht="24.75" customHeight="1" x14ac:dyDescent="0.3">
      <c r="C2084" s="353">
        <f>ABS(E2084-Dashboard!$F$14)</f>
        <v>37.574649119291948</v>
      </c>
      <c r="D2084" s="350">
        <f t="shared" si="2115"/>
        <v>0.2811499999999843</v>
      </c>
      <c r="E2084" s="359" cm="1">
        <f t="array" ref="E2084">1000*SUM('DRE + DCF'!$L$36/M2084,'DRE + DCF'!$N$36:$V$36/N2084:V2084,F2084/V2084)/Dashboard!$F$11</f>
        <v>59.415350880708047</v>
      </c>
      <c r="F2084" s="359">
        <f t="shared" si="2113"/>
        <v>9448494.6086739916</v>
      </c>
      <c r="G2084" s="359">
        <f>'DRE + DCF'!$W$31</f>
        <v>2791623.3540418856</v>
      </c>
      <c r="H2084" s="359">
        <f>'DRE + DCF'!$W$32</f>
        <v>81081.931703745853</v>
      </c>
      <c r="I2084" s="359">
        <f>-H2084*('DRE + DCF'!$V$33+K2084)/'DRE + DCF'!$V$33</f>
        <v>-90858.801614444121</v>
      </c>
      <c r="J2084" s="359">
        <f>-'DRE + DCF'!$V$56*L2084</f>
        <v>-1188924.4255577971</v>
      </c>
      <c r="K2084" s="360">
        <f>(1+L2084)/(1+Ke!$O$12)-1</f>
        <v>2.0000000000000018E-2</v>
      </c>
      <c r="L2084" s="360">
        <f>'DRE + DCF'!$Y$31</f>
        <v>7.3550000000000004E-2</v>
      </c>
      <c r="M2084" s="361">
        <f>(1+D2084)^((5-Dashboard!$F$9)*3/12)</f>
        <v>1.2042037787980251</v>
      </c>
      <c r="N2084" s="361">
        <f t="shared" ref="N2084:V2084" si="2137">M2084*(1+$D2084)</f>
        <v>1.542765671207071</v>
      </c>
      <c r="O2084" s="361">
        <f t="shared" si="2137"/>
        <v>1.9765142396669146</v>
      </c>
      <c r="P2084" s="361">
        <f t="shared" si="2137"/>
        <v>2.5322112181492367</v>
      </c>
      <c r="Q2084" s="361">
        <f t="shared" si="2137"/>
        <v>3.2441424021318546</v>
      </c>
      <c r="R2084" s="361">
        <f t="shared" si="2137"/>
        <v>4.1562330384911741</v>
      </c>
      <c r="S2084" s="361">
        <f t="shared" si="2137"/>
        <v>5.3247579572629018</v>
      </c>
      <c r="T2084" s="361">
        <f t="shared" si="2137"/>
        <v>6.8218136569472829</v>
      </c>
      <c r="U2084" s="361">
        <f t="shared" si="2137"/>
        <v>8.7397665665979041</v>
      </c>
      <c r="V2084" s="362">
        <f t="shared" si="2137"/>
        <v>11.196951936796767</v>
      </c>
      <c r="X2084" s="351"/>
    </row>
    <row r="2085" spans="3:24" ht="24.75" customHeight="1" x14ac:dyDescent="0.3">
      <c r="C2085" s="353">
        <f>ABS(E2085-Dashboard!$F$14)</f>
        <v>37.607835145903351</v>
      </c>
      <c r="D2085" s="350">
        <f t="shared" si="2115"/>
        <v>0.28124999999998429</v>
      </c>
      <c r="E2085" s="359" cm="1">
        <f t="array" ref="E2085">1000*SUM('DRE + DCF'!$L$36/M2085,'DRE + DCF'!$N$36:$V$36/N2085:V2085,F2085/V2085)/Dashboard!$F$11</f>
        <v>59.382164854096644</v>
      </c>
      <c r="F2085" s="359">
        <f t="shared" si="2113"/>
        <v>9444616.5670959167</v>
      </c>
      <c r="G2085" s="359">
        <f>'DRE + DCF'!$W$31</f>
        <v>2791623.3540418856</v>
      </c>
      <c r="H2085" s="359">
        <f>'DRE + DCF'!$W$32</f>
        <v>81081.931703745853</v>
      </c>
      <c r="I2085" s="359">
        <f>-H2085*('DRE + DCF'!$V$33+K2085)/'DRE + DCF'!$V$33</f>
        <v>-90858.801614444121</v>
      </c>
      <c r="J2085" s="359">
        <f>-'DRE + DCF'!$V$56*L2085</f>
        <v>-1188924.4255577971</v>
      </c>
      <c r="K2085" s="360">
        <f>(1+L2085)/(1+Ke!$O$12)-1</f>
        <v>2.0000000000000018E-2</v>
      </c>
      <c r="L2085" s="360">
        <f>'DRE + DCF'!$Y$31</f>
        <v>7.3550000000000004E-2</v>
      </c>
      <c r="M2085" s="361">
        <f>(1+D2085)^((5-Dashboard!$F$9)*3/12)</f>
        <v>1.2042742735896146</v>
      </c>
      <c r="N2085" s="361">
        <f t="shared" ref="N2085:V2085" si="2138">M2085*(1+$D2085)</f>
        <v>1.5429764130366748</v>
      </c>
      <c r="O2085" s="361">
        <f t="shared" si="2138"/>
        <v>1.9769385292032151</v>
      </c>
      <c r="P2085" s="361">
        <f t="shared" si="2138"/>
        <v>2.5329524905415881</v>
      </c>
      <c r="Q2085" s="361">
        <f t="shared" si="2138"/>
        <v>3.2453453785063697</v>
      </c>
      <c r="R2085" s="361">
        <f t="shared" si="2138"/>
        <v>4.1580987662112348</v>
      </c>
      <c r="S2085" s="361">
        <f t="shared" si="2138"/>
        <v>5.3275640442080787</v>
      </c>
      <c r="T2085" s="361">
        <f t="shared" si="2138"/>
        <v>6.8259414316415166</v>
      </c>
      <c r="U2085" s="361">
        <f t="shared" si="2138"/>
        <v>8.7457374592905861</v>
      </c>
      <c r="V2085" s="362">
        <f t="shared" si="2138"/>
        <v>11.205476119715925</v>
      </c>
      <c r="X2085" s="351"/>
    </row>
    <row r="2086" spans="3:24" ht="24.75" customHeight="1" x14ac:dyDescent="0.3">
      <c r="C2086" s="353">
        <f>ABS(E2086-Dashboard!$F$14)</f>
        <v>37.640988388690964</v>
      </c>
      <c r="D2086" s="350">
        <f t="shared" si="2115"/>
        <v>0.28134999999998428</v>
      </c>
      <c r="E2086" s="359" cm="1">
        <f t="array" ref="E2086">1000*SUM('DRE + DCF'!$L$36/M2086,'DRE + DCF'!$N$36:$V$36/N2086:V2086,F2086/V2086)/Dashboard!$F$11</f>
        <v>59.349011611309031</v>
      </c>
      <c r="F2086" s="359">
        <f t="shared" si="2113"/>
        <v>9440741.7811902016</v>
      </c>
      <c r="G2086" s="359">
        <f>'DRE + DCF'!$W$31</f>
        <v>2791623.3540418856</v>
      </c>
      <c r="H2086" s="359">
        <f>'DRE + DCF'!$W$32</f>
        <v>81081.931703745853</v>
      </c>
      <c r="I2086" s="359">
        <f>-H2086*('DRE + DCF'!$V$33+K2086)/'DRE + DCF'!$V$33</f>
        <v>-90858.801614444121</v>
      </c>
      <c r="J2086" s="359">
        <f>-'DRE + DCF'!$V$56*L2086</f>
        <v>-1188924.4255577971</v>
      </c>
      <c r="K2086" s="360">
        <f>(1+L2086)/(1+Ke!$O$12)-1</f>
        <v>2.0000000000000018E-2</v>
      </c>
      <c r="L2086" s="360">
        <f>'DRE + DCF'!$Y$31</f>
        <v>7.3550000000000004E-2</v>
      </c>
      <c r="M2086" s="361">
        <f>(1+D2086)^((5-Dashboard!$F$9)*3/12)</f>
        <v>1.2043447670057095</v>
      </c>
      <c r="N2086" s="361">
        <f t="shared" ref="N2086:V2086" si="2139">M2086*(1+$D2086)</f>
        <v>1.5431871672027468</v>
      </c>
      <c r="O2086" s="361">
        <f t="shared" si="2139"/>
        <v>1.9773628766952154</v>
      </c>
      <c r="P2086" s="361">
        <f t="shared" si="2139"/>
        <v>2.533693922053383</v>
      </c>
      <c r="Q2086" s="361">
        <f t="shared" si="2139"/>
        <v>3.2465487070230621</v>
      </c>
      <c r="R2086" s="361">
        <f t="shared" si="2139"/>
        <v>4.1599651857439497</v>
      </c>
      <c r="S2086" s="361">
        <f t="shared" si="2139"/>
        <v>5.3303713907529442</v>
      </c>
      <c r="T2086" s="361">
        <f t="shared" si="2139"/>
        <v>6.8300713815412006</v>
      </c>
      <c r="U2086" s="361">
        <f t="shared" si="2139"/>
        <v>8.7517119647377104</v>
      </c>
      <c r="V2086" s="362">
        <f t="shared" si="2139"/>
        <v>11.214006126016526</v>
      </c>
      <c r="X2086" s="351"/>
    </row>
    <row r="2087" spans="3:24" ht="24.75" customHeight="1" x14ac:dyDescent="0.3">
      <c r="C2087" s="353">
        <f>ABS(E2087-Dashboard!$F$14)</f>
        <v>37.67410889275267</v>
      </c>
      <c r="D2087" s="350">
        <f t="shared" si="2115"/>
        <v>0.28144999999998427</v>
      </c>
      <c r="E2087" s="359" cm="1">
        <f t="array" ref="E2087">1000*SUM('DRE + DCF'!$L$36/M2087,'DRE + DCF'!$N$36:$V$36/N2087:V2087,F2087/V2087)/Dashboard!$F$11</f>
        <v>59.315891107247324</v>
      </c>
      <c r="F2087" s="359">
        <f t="shared" si="2113"/>
        <v>9436870.2467668969</v>
      </c>
      <c r="G2087" s="359">
        <f>'DRE + DCF'!$W$31</f>
        <v>2791623.3540418856</v>
      </c>
      <c r="H2087" s="359">
        <f>'DRE + DCF'!$W$32</f>
        <v>81081.931703745853</v>
      </c>
      <c r="I2087" s="359">
        <f>-H2087*('DRE + DCF'!$V$33+K2087)/'DRE + DCF'!$V$33</f>
        <v>-90858.801614444121</v>
      </c>
      <c r="J2087" s="359">
        <f>-'DRE + DCF'!$V$56*L2087</f>
        <v>-1188924.4255577971</v>
      </c>
      <c r="K2087" s="360">
        <f>(1+L2087)/(1+Ke!$O$12)-1</f>
        <v>2.0000000000000018E-2</v>
      </c>
      <c r="L2087" s="360">
        <f>'DRE + DCF'!$Y$31</f>
        <v>7.3550000000000004E-2</v>
      </c>
      <c r="M2087" s="361">
        <f>(1+D2087)^((5-Dashboard!$F$9)*3/12)</f>
        <v>1.2044152590464439</v>
      </c>
      <c r="N2087" s="361">
        <f t="shared" ref="N2087:V2087" si="2140">M2087*(1+$D2087)</f>
        <v>1.5433979337050465</v>
      </c>
      <c r="O2087" s="361">
        <f t="shared" si="2140"/>
        <v>1.9777872821463074</v>
      </c>
      <c r="P2087" s="361">
        <f t="shared" si="2140"/>
        <v>2.5344355127063545</v>
      </c>
      <c r="Q2087" s="361">
        <f t="shared" si="2140"/>
        <v>3.2477523877575178</v>
      </c>
      <c r="R2087" s="361">
        <f t="shared" si="2140"/>
        <v>4.16183229729182</v>
      </c>
      <c r="S2087" s="361">
        <f t="shared" si="2140"/>
        <v>5.3331799973645371</v>
      </c>
      <c r="T2087" s="361">
        <f t="shared" si="2140"/>
        <v>6.8342035076227017</v>
      </c>
      <c r="U2087" s="361">
        <f t="shared" si="2140"/>
        <v>8.7576900848430039</v>
      </c>
      <c r="V2087" s="362">
        <f t="shared" si="2140"/>
        <v>11.22254195922193</v>
      </c>
      <c r="X2087" s="351"/>
    </row>
    <row r="2088" spans="3:24" ht="24.75" customHeight="1" x14ac:dyDescent="0.3">
      <c r="C2088" s="353">
        <f>ABS(E2088-Dashboard!$F$14)</f>
        <v>37.707196703106554</v>
      </c>
      <c r="D2088" s="350">
        <f t="shared" si="2115"/>
        <v>0.28154999999998426</v>
      </c>
      <c r="E2088" s="359" cm="1">
        <f t="array" ref="E2088">1000*SUM('DRE + DCF'!$L$36/M2088,'DRE + DCF'!$N$36:$V$36/N2088:V2088,F2088/V2088)/Dashboard!$F$11</f>
        <v>59.282803296893441</v>
      </c>
      <c r="F2088" s="359">
        <f t="shared" si="2113"/>
        <v>9433001.9596433789</v>
      </c>
      <c r="G2088" s="359">
        <f>'DRE + DCF'!$W$31</f>
        <v>2791623.3540418856</v>
      </c>
      <c r="H2088" s="359">
        <f>'DRE + DCF'!$W$32</f>
        <v>81081.931703745853</v>
      </c>
      <c r="I2088" s="359">
        <f>-H2088*('DRE + DCF'!$V$33+K2088)/'DRE + DCF'!$V$33</f>
        <v>-90858.801614444121</v>
      </c>
      <c r="J2088" s="359">
        <f>-'DRE + DCF'!$V$56*L2088</f>
        <v>-1188924.4255577971</v>
      </c>
      <c r="K2088" s="360">
        <f>(1+L2088)/(1+Ke!$O$12)-1</f>
        <v>2.0000000000000018E-2</v>
      </c>
      <c r="L2088" s="360">
        <f>'DRE + DCF'!$Y$31</f>
        <v>7.3550000000000004E-2</v>
      </c>
      <c r="M2088" s="361">
        <f>(1+D2088)^((5-Dashboard!$F$9)*3/12)</f>
        <v>1.2044857497119519</v>
      </c>
      <c r="N2088" s="361">
        <f t="shared" ref="N2088:V2088" si="2141">M2088*(1+$D2088)</f>
        <v>1.5436087125433329</v>
      </c>
      <c r="O2088" s="361">
        <f t="shared" si="2141"/>
        <v>1.9782117455598838</v>
      </c>
      <c r="P2088" s="361">
        <f t="shared" si="2141"/>
        <v>2.5351772625222377</v>
      </c>
      <c r="Q2088" s="361">
        <f t="shared" si="2141"/>
        <v>3.2489564207853339</v>
      </c>
      <c r="R2088" s="361">
        <f t="shared" si="2141"/>
        <v>4.1637001010573931</v>
      </c>
      <c r="S2088" s="361">
        <f t="shared" si="2141"/>
        <v>5.3359898645100365</v>
      </c>
      <c r="T2088" s="361">
        <f t="shared" si="2141"/>
        <v>6.8383378108627531</v>
      </c>
      <c r="U2088" s="361">
        <f t="shared" si="2141"/>
        <v>8.7636718215110534</v>
      </c>
      <c r="V2088" s="362">
        <f t="shared" si="2141"/>
        <v>11.231083622857351</v>
      </c>
      <c r="X2088" s="351"/>
    </row>
    <row r="2089" spans="3:24" ht="24.75" customHeight="1" x14ac:dyDescent="0.3">
      <c r="C2089" s="353">
        <f>ABS(E2089-Dashboard!$F$14)</f>
        <v>37.740251864691082</v>
      </c>
      <c r="D2089" s="350">
        <f t="shared" si="2115"/>
        <v>0.28164999999998425</v>
      </c>
      <c r="E2089" s="359" cm="1">
        <f t="array" ref="E2089">1000*SUM('DRE + DCF'!$L$36/M2089,'DRE + DCF'!$N$36:$V$36/N2089:V2089,F2089/V2089)/Dashboard!$F$11</f>
        <v>59.249748135308913</v>
      </c>
      <c r="F2089" s="359">
        <f t="shared" si="2113"/>
        <v>9429136.9156443495</v>
      </c>
      <c r="G2089" s="359">
        <f>'DRE + DCF'!$W$31</f>
        <v>2791623.3540418856</v>
      </c>
      <c r="H2089" s="359">
        <f>'DRE + DCF'!$W$32</f>
        <v>81081.931703745853</v>
      </c>
      <c r="I2089" s="359">
        <f>-H2089*('DRE + DCF'!$V$33+K2089)/'DRE + DCF'!$V$33</f>
        <v>-90858.801614444121</v>
      </c>
      <c r="J2089" s="359">
        <f>-'DRE + DCF'!$V$56*L2089</f>
        <v>-1188924.4255577971</v>
      </c>
      <c r="K2089" s="360">
        <f>(1+L2089)/(1+Ke!$O$12)-1</f>
        <v>2.0000000000000018E-2</v>
      </c>
      <c r="L2089" s="360">
        <f>'DRE + DCF'!$Y$31</f>
        <v>7.3550000000000004E-2</v>
      </c>
      <c r="M2089" s="361">
        <f>(1+D2089)^((5-Dashboard!$F$9)*3/12)</f>
        <v>1.2045562390023676</v>
      </c>
      <c r="N2089" s="361">
        <f t="shared" ref="N2089:V2089" si="2142">M2089*(1+$D2089)</f>
        <v>1.5438195037173654</v>
      </c>
      <c r="O2089" s="361">
        <f t="shared" si="2142"/>
        <v>1.9786362669393369</v>
      </c>
      <c r="P2089" s="361">
        <f t="shared" si="2142"/>
        <v>2.53591917152277</v>
      </c>
      <c r="Q2089" s="361">
        <f t="shared" si="2142"/>
        <v>3.2501608061821181</v>
      </c>
      <c r="R2089" s="361">
        <f t="shared" si="2142"/>
        <v>4.1655685972432606</v>
      </c>
      <c r="S2089" s="361">
        <f t="shared" si="2142"/>
        <v>5.3388009926567594</v>
      </c>
      <c r="T2089" s="361">
        <f t="shared" si="2142"/>
        <v>6.8424742922384514</v>
      </c>
      <c r="U2089" s="361">
        <f t="shared" si="2142"/>
        <v>8.7696571766473035</v>
      </c>
      <c r="V2089" s="362">
        <f t="shared" si="2142"/>
        <v>11.239631120449879</v>
      </c>
      <c r="X2089" s="351"/>
    </row>
    <row r="2090" spans="3:24" ht="24.75" customHeight="1" x14ac:dyDescent="0.3">
      <c r="C2090" s="353">
        <f>ABS(E2090-Dashboard!$F$14)</f>
        <v>37.773274422365184</v>
      </c>
      <c r="D2090" s="350">
        <f t="shared" si="2115"/>
        <v>0.28174999999998424</v>
      </c>
      <c r="E2090" s="359" cm="1">
        <f t="array" ref="E2090">1000*SUM('DRE + DCF'!$L$36/M2090,'DRE + DCF'!$N$36:$V$36/N2090:V2090,F2090/V2090)/Dashboard!$F$11</f>
        <v>59.216725577634811</v>
      </c>
      <c r="F2090" s="359">
        <f t="shared" si="2113"/>
        <v>9425275.1106018089</v>
      </c>
      <c r="G2090" s="359">
        <f>'DRE + DCF'!$W$31</f>
        <v>2791623.3540418856</v>
      </c>
      <c r="H2090" s="359">
        <f>'DRE + DCF'!$W$32</f>
        <v>81081.931703745853</v>
      </c>
      <c r="I2090" s="359">
        <f>-H2090*('DRE + DCF'!$V$33+K2090)/'DRE + DCF'!$V$33</f>
        <v>-90858.801614444121</v>
      </c>
      <c r="J2090" s="359">
        <f>-'DRE + DCF'!$V$56*L2090</f>
        <v>-1188924.4255577971</v>
      </c>
      <c r="K2090" s="360">
        <f>(1+L2090)/(1+Ke!$O$12)-1</f>
        <v>2.0000000000000018E-2</v>
      </c>
      <c r="L2090" s="360">
        <f>'DRE + DCF'!$Y$31</f>
        <v>7.3550000000000004E-2</v>
      </c>
      <c r="M2090" s="361">
        <f>(1+D2090)^((5-Dashboard!$F$9)*3/12)</f>
        <v>1.2046267269178252</v>
      </c>
      <c r="N2090" s="361">
        <f t="shared" ref="N2090:V2090" si="2143">M2090*(1+$D2090)</f>
        <v>1.5440303072269035</v>
      </c>
      <c r="O2090" s="361">
        <f t="shared" si="2143"/>
        <v>1.9790608462880592</v>
      </c>
      <c r="P2090" s="361">
        <f t="shared" si="2143"/>
        <v>2.5366612397296886</v>
      </c>
      <c r="Q2090" s="361">
        <f t="shared" si="2143"/>
        <v>3.2513655440234883</v>
      </c>
      <c r="R2090" s="361">
        <f t="shared" si="2143"/>
        <v>4.1674377860520551</v>
      </c>
      <c r="S2090" s="361">
        <f t="shared" si="2143"/>
        <v>5.3416133822721559</v>
      </c>
      <c r="T2090" s="361">
        <f t="shared" si="2143"/>
        <v>6.8466129527272512</v>
      </c>
      <c r="U2090" s="361">
        <f t="shared" si="2143"/>
        <v>8.7756461521580462</v>
      </c>
      <c r="V2090" s="362">
        <f t="shared" si="2143"/>
        <v>11.248184455528436</v>
      </c>
      <c r="X2090" s="351"/>
    </row>
    <row r="2091" spans="3:24" ht="24.75" customHeight="1" x14ac:dyDescent="0.3">
      <c r="C2091" s="353">
        <f>ABS(E2091-Dashboard!$F$14)</f>
        <v>37.806264420908491</v>
      </c>
      <c r="D2091" s="350">
        <f t="shared" si="2115"/>
        <v>0.28184999999998422</v>
      </c>
      <c r="E2091" s="359" cm="1">
        <f t="array" ref="E2091">1000*SUM('DRE + DCF'!$L$36/M2091,'DRE + DCF'!$N$36:$V$36/N2091:V2091,F2091/V2091)/Dashboard!$F$11</f>
        <v>59.183735579091504</v>
      </c>
      <c r="F2091" s="359">
        <f t="shared" si="2113"/>
        <v>9421416.5403550491</v>
      </c>
      <c r="G2091" s="359">
        <f>'DRE + DCF'!$W$31</f>
        <v>2791623.3540418856</v>
      </c>
      <c r="H2091" s="359">
        <f>'DRE + DCF'!$W$32</f>
        <v>81081.931703745853</v>
      </c>
      <c r="I2091" s="359">
        <f>-H2091*('DRE + DCF'!$V$33+K2091)/'DRE + DCF'!$V$33</f>
        <v>-90858.801614444121</v>
      </c>
      <c r="J2091" s="359">
        <f>-'DRE + DCF'!$V$56*L2091</f>
        <v>-1188924.4255577971</v>
      </c>
      <c r="K2091" s="360">
        <f>(1+L2091)/(1+Ke!$O$12)-1</f>
        <v>2.0000000000000018E-2</v>
      </c>
      <c r="L2091" s="360">
        <f>'DRE + DCF'!$Y$31</f>
        <v>7.3550000000000004E-2</v>
      </c>
      <c r="M2091" s="361">
        <f>(1+D2091)^((5-Dashboard!$F$9)*3/12)</f>
        <v>1.2046972134584588</v>
      </c>
      <c r="N2091" s="361">
        <f t="shared" ref="N2091:V2091" si="2144">M2091*(1+$D2091)</f>
        <v>1.5442411230717064</v>
      </c>
      <c r="O2091" s="361">
        <f t="shared" si="2144"/>
        <v>1.9794854836094424</v>
      </c>
      <c r="P2091" s="361">
        <f t="shared" si="2144"/>
        <v>2.5374034671647325</v>
      </c>
      <c r="Q2091" s="361">
        <f t="shared" si="2144"/>
        <v>3.2525706343850724</v>
      </c>
      <c r="R2091" s="361">
        <f t="shared" si="2144"/>
        <v>4.1693076676864536</v>
      </c>
      <c r="S2091" s="361">
        <f t="shared" si="2144"/>
        <v>5.3444270338238145</v>
      </c>
      <c r="T2091" s="361">
        <f t="shared" si="2144"/>
        <v>6.8507537933069722</v>
      </c>
      <c r="U2091" s="361">
        <f t="shared" si="2144"/>
        <v>8.7816387499504334</v>
      </c>
      <c r="V2091" s="362">
        <f t="shared" si="2144"/>
        <v>11.256743631623824</v>
      </c>
      <c r="X2091" s="351"/>
    </row>
    <row r="2092" spans="3:24" ht="24.75" customHeight="1" x14ac:dyDescent="0.3">
      <c r="C2092" s="353">
        <f>ABS(E2092-Dashboard!$F$14)</f>
        <v>37.83922190502151</v>
      </c>
      <c r="D2092" s="350">
        <f t="shared" si="2115"/>
        <v>0.28194999999998421</v>
      </c>
      <c r="E2092" s="359" cm="1">
        <f t="array" ref="E2092">1000*SUM('DRE + DCF'!$L$36/M2092,'DRE + DCF'!$N$36:$V$36/N2092:V2092,F2092/V2092)/Dashboard!$F$11</f>
        <v>59.150778094978484</v>
      </c>
      <c r="F2092" s="359">
        <f t="shared" si="2113"/>
        <v>9417561.2007506359</v>
      </c>
      <c r="G2092" s="359">
        <f>'DRE + DCF'!$W$31</f>
        <v>2791623.3540418856</v>
      </c>
      <c r="H2092" s="359">
        <f>'DRE + DCF'!$W$32</f>
        <v>81081.931703745853</v>
      </c>
      <c r="I2092" s="359">
        <f>-H2092*('DRE + DCF'!$V$33+K2092)/'DRE + DCF'!$V$33</f>
        <v>-90858.801614444121</v>
      </c>
      <c r="J2092" s="359">
        <f>-'DRE + DCF'!$V$56*L2092</f>
        <v>-1188924.4255577971</v>
      </c>
      <c r="K2092" s="360">
        <f>(1+L2092)/(1+Ke!$O$12)-1</f>
        <v>2.0000000000000018E-2</v>
      </c>
      <c r="L2092" s="360">
        <f>'DRE + DCF'!$Y$31</f>
        <v>7.3550000000000004E-2</v>
      </c>
      <c r="M2092" s="361">
        <f>(1+D2092)^((5-Dashboard!$F$9)*3/12)</f>
        <v>1.2047676986244025</v>
      </c>
      <c r="N2092" s="361">
        <f t="shared" ref="N2092:V2092" si="2145">M2092*(1+$D2092)</f>
        <v>1.5444519512515336</v>
      </c>
      <c r="O2092" s="361">
        <f t="shared" si="2145"/>
        <v>1.9799101789068789</v>
      </c>
      <c r="P2092" s="361">
        <f t="shared" si="2145"/>
        <v>2.5381458538496422</v>
      </c>
      <c r="Q2092" s="361">
        <f t="shared" si="2145"/>
        <v>3.2537760773425086</v>
      </c>
      <c r="R2092" s="361">
        <f t="shared" si="2145"/>
        <v>4.1711782423491774</v>
      </c>
      <c r="S2092" s="361">
        <f t="shared" si="2145"/>
        <v>5.3472419477794624</v>
      </c>
      <c r="T2092" s="361">
        <f t="shared" si="2145"/>
        <v>6.8548968149557972</v>
      </c>
      <c r="U2092" s="361">
        <f t="shared" si="2145"/>
        <v>8.7876349719324764</v>
      </c>
      <c r="V2092" s="362">
        <f t="shared" si="2145"/>
        <v>11.265308652268699</v>
      </c>
      <c r="X2092" s="351"/>
    </row>
    <row r="2093" spans="3:24" ht="24.75" customHeight="1" x14ac:dyDescent="0.3">
      <c r="C2093" s="353">
        <f>ABS(E2093-Dashboard!$F$14)</f>
        <v>37.872146919325807</v>
      </c>
      <c r="D2093" s="350">
        <f t="shared" si="2115"/>
        <v>0.2820499999999842</v>
      </c>
      <c r="E2093" s="359" cm="1">
        <f t="array" ref="E2093">1000*SUM('DRE + DCF'!$L$36/M2093,'DRE + DCF'!$N$36:$V$36/N2093:V2093,F2093/V2093)/Dashboard!$F$11</f>
        <v>59.117853080674188</v>
      </c>
      <c r="F2093" s="359">
        <f t="shared" si="2113"/>
        <v>9413709.087642381</v>
      </c>
      <c r="G2093" s="359">
        <f>'DRE + DCF'!$W$31</f>
        <v>2791623.3540418856</v>
      </c>
      <c r="H2093" s="359">
        <f>'DRE + DCF'!$W$32</f>
        <v>81081.931703745853</v>
      </c>
      <c r="I2093" s="359">
        <f>-H2093*('DRE + DCF'!$V$33+K2093)/'DRE + DCF'!$V$33</f>
        <v>-90858.801614444121</v>
      </c>
      <c r="J2093" s="359">
        <f>-'DRE + DCF'!$V$56*L2093</f>
        <v>-1188924.4255577971</v>
      </c>
      <c r="K2093" s="360">
        <f>(1+L2093)/(1+Ke!$O$12)-1</f>
        <v>2.0000000000000018E-2</v>
      </c>
      <c r="L2093" s="360">
        <f>'DRE + DCF'!$Y$31</f>
        <v>7.3550000000000004E-2</v>
      </c>
      <c r="M2093" s="361">
        <f>(1+D2093)^((5-Dashboard!$F$9)*3/12)</f>
        <v>1.2048381824157901</v>
      </c>
      <c r="N2093" s="361">
        <f t="shared" ref="N2093:V2093" si="2146">M2093*(1+$D2093)</f>
        <v>1.5446627917661446</v>
      </c>
      <c r="O2093" s="361">
        <f t="shared" si="2146"/>
        <v>1.9803349321837613</v>
      </c>
      <c r="P2093" s="361">
        <f t="shared" si="2146"/>
        <v>2.5388883998061598</v>
      </c>
      <c r="Q2093" s="361">
        <f t="shared" si="2146"/>
        <v>3.254981872971447</v>
      </c>
      <c r="R2093" s="361">
        <f t="shared" si="2146"/>
        <v>4.1730495102429916</v>
      </c>
      <c r="S2093" s="361">
        <f t="shared" si="2146"/>
        <v>5.350058124606961</v>
      </c>
      <c r="T2093" s="361">
        <f t="shared" si="2146"/>
        <v>6.8590420186522696</v>
      </c>
      <c r="U2093" s="361">
        <f t="shared" si="2146"/>
        <v>8.7936348200130343</v>
      </c>
      <c r="V2093" s="362">
        <f t="shared" si="2146"/>
        <v>11.273879520997571</v>
      </c>
      <c r="X2093" s="351"/>
    </row>
    <row r="2094" spans="3:24" ht="24.75" customHeight="1" x14ac:dyDescent="0.3">
      <c r="C2094" s="353">
        <f>ABS(E2094-Dashboard!$F$14)</f>
        <v>37.905039508364133</v>
      </c>
      <c r="D2094" s="350">
        <f t="shared" si="2115"/>
        <v>0.28214999999998419</v>
      </c>
      <c r="E2094" s="359" cm="1">
        <f t="array" ref="E2094">1000*SUM('DRE + DCF'!$L$36/M2094,'DRE + DCF'!$N$36:$V$36/N2094:V2094,F2094/V2094)/Dashboard!$F$11</f>
        <v>59.084960491635862</v>
      </c>
      <c r="F2094" s="359">
        <f t="shared" si="2113"/>
        <v>9409860.1968913451</v>
      </c>
      <c r="G2094" s="359">
        <f>'DRE + DCF'!$W$31</f>
        <v>2791623.3540418856</v>
      </c>
      <c r="H2094" s="359">
        <f>'DRE + DCF'!$W$32</f>
        <v>81081.931703745853</v>
      </c>
      <c r="I2094" s="359">
        <f>-H2094*('DRE + DCF'!$V$33+K2094)/'DRE + DCF'!$V$33</f>
        <v>-90858.801614444121</v>
      </c>
      <c r="J2094" s="359">
        <f>-'DRE + DCF'!$V$56*L2094</f>
        <v>-1188924.4255577971</v>
      </c>
      <c r="K2094" s="360">
        <f>(1+L2094)/(1+Ke!$O$12)-1</f>
        <v>2.0000000000000018E-2</v>
      </c>
      <c r="L2094" s="360">
        <f>'DRE + DCF'!$Y$31</f>
        <v>7.3550000000000004E-2</v>
      </c>
      <c r="M2094" s="361">
        <f>(1+D2094)^((5-Dashboard!$F$9)*3/12)</f>
        <v>1.2049086648327558</v>
      </c>
      <c r="N2094" s="361">
        <f t="shared" ref="N2094:V2094" si="2147">M2094*(1+$D2094)</f>
        <v>1.5448736446152989</v>
      </c>
      <c r="O2094" s="361">
        <f t="shared" si="2147"/>
        <v>1.9807597434434809</v>
      </c>
      <c r="P2094" s="361">
        <f t="shared" si="2147"/>
        <v>2.5396311050560278</v>
      </c>
      <c r="Q2094" s="361">
        <f t="shared" si="2147"/>
        <v>3.2561880213475458</v>
      </c>
      <c r="R2094" s="361">
        <f t="shared" si="2147"/>
        <v>4.1749214715707046</v>
      </c>
      <c r="S2094" s="361">
        <f t="shared" si="2147"/>
        <v>5.3528755647743127</v>
      </c>
      <c r="T2094" s="361">
        <f t="shared" si="2147"/>
        <v>6.8631894053752998</v>
      </c>
      <c r="U2094" s="361">
        <f t="shared" si="2147"/>
        <v>8.7996382961018309</v>
      </c>
      <c r="V2094" s="362">
        <f t="shared" si="2147"/>
        <v>11.282456241346823</v>
      </c>
      <c r="X2094" s="351"/>
    </row>
    <row r="2095" spans="3:24" ht="24.75" customHeight="1" x14ac:dyDescent="0.3">
      <c r="C2095" s="353">
        <f>ABS(E2095-Dashboard!$F$14)</f>
        <v>37.937899716600626</v>
      </c>
      <c r="D2095" s="350">
        <f t="shared" si="2115"/>
        <v>0.28224999999998418</v>
      </c>
      <c r="E2095" s="359" cm="1">
        <f t="array" ref="E2095">1000*SUM('DRE + DCF'!$L$36/M2095,'DRE + DCF'!$N$36:$V$36/N2095:V2095,F2095/V2095)/Dashboard!$F$11</f>
        <v>59.052100283399369</v>
      </c>
      <c r="F2095" s="359">
        <f t="shared" si="2113"/>
        <v>9406014.5243658032</v>
      </c>
      <c r="G2095" s="359">
        <f>'DRE + DCF'!$W$31</f>
        <v>2791623.3540418856</v>
      </c>
      <c r="H2095" s="359">
        <f>'DRE + DCF'!$W$32</f>
        <v>81081.931703745853</v>
      </c>
      <c r="I2095" s="359">
        <f>-H2095*('DRE + DCF'!$V$33+K2095)/'DRE + DCF'!$V$33</f>
        <v>-90858.801614444121</v>
      </c>
      <c r="J2095" s="359">
        <f>-'DRE + DCF'!$V$56*L2095</f>
        <v>-1188924.4255577971</v>
      </c>
      <c r="K2095" s="360">
        <f>(1+L2095)/(1+Ke!$O$12)-1</f>
        <v>2.0000000000000018E-2</v>
      </c>
      <c r="L2095" s="360">
        <f>'DRE + DCF'!$Y$31</f>
        <v>7.3550000000000004E-2</v>
      </c>
      <c r="M2095" s="361">
        <f>(1+D2095)^((5-Dashboard!$F$9)*3/12)</f>
        <v>1.2049791458754338</v>
      </c>
      <c r="N2095" s="361">
        <f t="shared" ref="N2095:V2095" si="2148">M2095*(1+$D2095)</f>
        <v>1.5450845097987558</v>
      </c>
      <c r="O2095" s="361">
        <f t="shared" si="2148"/>
        <v>1.9811846126894301</v>
      </c>
      <c r="P2095" s="361">
        <f t="shared" si="2148"/>
        <v>2.5403739696209904</v>
      </c>
      <c r="Q2095" s="361">
        <f t="shared" si="2148"/>
        <v>3.2573945225464747</v>
      </c>
      <c r="R2095" s="361">
        <f t="shared" si="2148"/>
        <v>4.1767941265351656</v>
      </c>
      <c r="S2095" s="361">
        <f t="shared" si="2148"/>
        <v>5.3556942687496498</v>
      </c>
      <c r="T2095" s="361">
        <f t="shared" si="2148"/>
        <v>6.8673389761041532</v>
      </c>
      <c r="U2095" s="361">
        <f t="shared" si="2148"/>
        <v>8.805645402109441</v>
      </c>
      <c r="V2095" s="362">
        <f t="shared" si="2148"/>
        <v>11.291038816854691</v>
      </c>
      <c r="X2095" s="351"/>
    </row>
    <row r="2096" spans="3:24" ht="24.75" customHeight="1" x14ac:dyDescent="0.3">
      <c r="C2096" s="353">
        <f>ABS(E2096-Dashboard!$F$14)</f>
        <v>37.970727588420949</v>
      </c>
      <c r="D2096" s="350">
        <f t="shared" si="2115"/>
        <v>0.28234999999998417</v>
      </c>
      <c r="E2096" s="359" cm="1">
        <f t="array" ref="E2096">1000*SUM('DRE + DCF'!$L$36/M2096,'DRE + DCF'!$N$36:$V$36/N2096:V2096,F2096/V2096)/Dashboard!$F$11</f>
        <v>59.019272411579045</v>
      </c>
      <c r="F2096" s="359">
        <f t="shared" si="2113"/>
        <v>9402172.0659412406</v>
      </c>
      <c r="G2096" s="359">
        <f>'DRE + DCF'!$W$31</f>
        <v>2791623.3540418856</v>
      </c>
      <c r="H2096" s="359">
        <f>'DRE + DCF'!$W$32</f>
        <v>81081.931703745853</v>
      </c>
      <c r="I2096" s="359">
        <f>-H2096*('DRE + DCF'!$V$33+K2096)/'DRE + DCF'!$V$33</f>
        <v>-90858.801614444121</v>
      </c>
      <c r="J2096" s="359">
        <f>-'DRE + DCF'!$V$56*L2096</f>
        <v>-1188924.4255577971</v>
      </c>
      <c r="K2096" s="360">
        <f>(1+L2096)/(1+Ke!$O$12)-1</f>
        <v>2.0000000000000018E-2</v>
      </c>
      <c r="L2096" s="360">
        <f>'DRE + DCF'!$Y$31</f>
        <v>7.3550000000000004E-2</v>
      </c>
      <c r="M2096" s="361">
        <f>(1+D2096)^((5-Dashboard!$F$9)*3/12)</f>
        <v>1.2050496255439578</v>
      </c>
      <c r="N2096" s="361">
        <f t="shared" ref="N2096:V2096" si="2149">M2096*(1+$D2096)</f>
        <v>1.5452953873162751</v>
      </c>
      <c r="O2096" s="361">
        <f t="shared" si="2149"/>
        <v>1.9816095399250009</v>
      </c>
      <c r="P2096" s="361">
        <f t="shared" si="2149"/>
        <v>2.5411169935227935</v>
      </c>
      <c r="Q2096" s="361">
        <f t="shared" si="2149"/>
        <v>3.2586013766439139</v>
      </c>
      <c r="R2096" s="361">
        <f t="shared" si="2149"/>
        <v>4.178667475339271</v>
      </c>
      <c r="S2096" s="361">
        <f t="shared" si="2149"/>
        <v>5.3585142370012475</v>
      </c>
      <c r="T2096" s="361">
        <f t="shared" si="2149"/>
        <v>6.871490731818465</v>
      </c>
      <c r="U2096" s="361">
        <f t="shared" si="2149"/>
        <v>8.8116561399472992</v>
      </c>
      <c r="V2096" s="362">
        <f t="shared" si="2149"/>
        <v>11.299627251061279</v>
      </c>
      <c r="X2096" s="351"/>
    </row>
    <row r="2097" spans="3:24" ht="24.75" customHeight="1" x14ac:dyDescent="0.3">
      <c r="C2097" s="353">
        <f>ABS(E2097-Dashboard!$F$14)</f>
        <v>38.003523168132546</v>
      </c>
      <c r="D2097" s="350">
        <f t="shared" si="2115"/>
        <v>0.28244999999998416</v>
      </c>
      <c r="E2097" s="359" cm="1">
        <f t="array" ref="E2097">1000*SUM('DRE + DCF'!$L$36/M2097,'DRE + DCF'!$N$36:$V$36/N2097:V2097,F2097/V2097)/Dashboard!$F$11</f>
        <v>58.986476831867449</v>
      </c>
      <c r="F2097" s="359">
        <f t="shared" si="2113"/>
        <v>9398332.817500338</v>
      </c>
      <c r="G2097" s="359">
        <f>'DRE + DCF'!$W$31</f>
        <v>2791623.3540418856</v>
      </c>
      <c r="H2097" s="359">
        <f>'DRE + DCF'!$W$32</f>
        <v>81081.931703745853</v>
      </c>
      <c r="I2097" s="359">
        <f>-H2097*('DRE + DCF'!$V$33+K2097)/'DRE + DCF'!$V$33</f>
        <v>-90858.801614444121</v>
      </c>
      <c r="J2097" s="359">
        <f>-'DRE + DCF'!$V$56*L2097</f>
        <v>-1188924.4255577971</v>
      </c>
      <c r="K2097" s="360">
        <f>(1+L2097)/(1+Ke!$O$12)-1</f>
        <v>2.0000000000000018E-2</v>
      </c>
      <c r="L2097" s="360">
        <f>'DRE + DCF'!$Y$31</f>
        <v>7.3550000000000004E-2</v>
      </c>
      <c r="M2097" s="361">
        <f>(1+D2097)^((5-Dashboard!$F$9)*3/12)</f>
        <v>1.2051201038384618</v>
      </c>
      <c r="N2097" s="361">
        <f t="shared" ref="N2097:V2097" si="2150">M2097*(1+$D2097)</f>
        <v>1.5455062771676162</v>
      </c>
      <c r="O2097" s="361">
        <f t="shared" si="2150"/>
        <v>1.9820345251535849</v>
      </c>
      <c r="P2097" s="361">
        <f t="shared" si="2150"/>
        <v>2.5418601767831834</v>
      </c>
      <c r="Q2097" s="361">
        <f t="shared" si="2150"/>
        <v>3.2598085837155533</v>
      </c>
      <c r="R2097" s="361">
        <f t="shared" si="2150"/>
        <v>4.1805415181859598</v>
      </c>
      <c r="S2097" s="361">
        <f t="shared" si="2150"/>
        <v>5.3613354699975178</v>
      </c>
      <c r="T2097" s="361">
        <f t="shared" si="2150"/>
        <v>6.8756446734982317</v>
      </c>
      <c r="U2097" s="361">
        <f t="shared" si="2150"/>
        <v>8.8176705115276981</v>
      </c>
      <c r="V2097" s="362">
        <f t="shared" si="2150"/>
        <v>11.308221547508555</v>
      </c>
      <c r="X2097" s="351"/>
    </row>
    <row r="2098" spans="3:24" ht="24.75" customHeight="1" x14ac:dyDescent="0.3">
      <c r="C2098" s="353">
        <f>ABS(E2098-Dashboard!$F$14)</f>
        <v>38.036286499964703</v>
      </c>
      <c r="D2098" s="350">
        <f t="shared" si="2115"/>
        <v>0.28254999999998415</v>
      </c>
      <c r="E2098" s="359" cm="1">
        <f t="array" ref="E2098">1000*SUM('DRE + DCF'!$L$36/M2098,'DRE + DCF'!$N$36:$V$36/N2098:V2098,F2098/V2098)/Dashboard!$F$11</f>
        <v>58.953713500035292</v>
      </c>
      <c r="F2098" s="359">
        <f t="shared" si="2113"/>
        <v>9394496.7749329414</v>
      </c>
      <c r="G2098" s="359">
        <f>'DRE + DCF'!$W$31</f>
        <v>2791623.3540418856</v>
      </c>
      <c r="H2098" s="359">
        <f>'DRE + DCF'!$W$32</f>
        <v>81081.931703745853</v>
      </c>
      <c r="I2098" s="359">
        <f>-H2098*('DRE + DCF'!$V$33+K2098)/'DRE + DCF'!$V$33</f>
        <v>-90858.801614444121</v>
      </c>
      <c r="J2098" s="359">
        <f>-'DRE + DCF'!$V$56*L2098</f>
        <v>-1188924.4255577971</v>
      </c>
      <c r="K2098" s="360">
        <f>(1+L2098)/(1+Ke!$O$12)-1</f>
        <v>2.0000000000000018E-2</v>
      </c>
      <c r="L2098" s="360">
        <f>'DRE + DCF'!$Y$31</f>
        <v>7.3550000000000004E-2</v>
      </c>
      <c r="M2098" s="361">
        <f>(1+D2098)^((5-Dashboard!$F$9)*3/12)</f>
        <v>1.2051905807590797</v>
      </c>
      <c r="N2098" s="361">
        <f t="shared" ref="N2098:V2098" si="2151">M2098*(1+$D2098)</f>
        <v>1.5457171793525386</v>
      </c>
      <c r="O2098" s="361">
        <f t="shared" si="2151"/>
        <v>1.9824595683785737</v>
      </c>
      <c r="P2098" s="361">
        <f t="shared" si="2151"/>
        <v>2.5426035194239081</v>
      </c>
      <c r="Q2098" s="361">
        <f t="shared" si="2151"/>
        <v>3.261016143837093</v>
      </c>
      <c r="R2098" s="361">
        <f t="shared" si="2151"/>
        <v>4.1824162552782118</v>
      </c>
      <c r="S2098" s="361">
        <f t="shared" si="2151"/>
        <v>5.364157968207004</v>
      </c>
      <c r="T2098" s="361">
        <f t="shared" si="2151"/>
        <v>6.8798008021238077</v>
      </c>
      <c r="U2098" s="361">
        <f t="shared" si="2151"/>
        <v>8.823688518763781</v>
      </c>
      <c r="V2098" s="362">
        <f t="shared" si="2151"/>
        <v>11.316821709740347</v>
      </c>
      <c r="X2098" s="351"/>
    </row>
    <row r="2099" spans="3:24" ht="24.75" customHeight="1" x14ac:dyDescent="0.3">
      <c r="C2099" s="353">
        <f>ABS(E2099-Dashboard!$F$14)</f>
        <v>38.069017628068835</v>
      </c>
      <c r="D2099" s="350">
        <f t="shared" si="2115"/>
        <v>0.28264999999998414</v>
      </c>
      <c r="E2099" s="359" cm="1">
        <f t="array" ref="E2099">1000*SUM('DRE + DCF'!$L$36/M2099,'DRE + DCF'!$N$36:$V$36/N2099:V2099,F2099/V2099)/Dashboard!$F$11</f>
        <v>58.92098237193116</v>
      </c>
      <c r="F2099" s="359">
        <f t="shared" si="2113"/>
        <v>9390663.934136061</v>
      </c>
      <c r="G2099" s="359">
        <f>'DRE + DCF'!$W$31</f>
        <v>2791623.3540418856</v>
      </c>
      <c r="H2099" s="359">
        <f>'DRE + DCF'!$W$32</f>
        <v>81081.931703745853</v>
      </c>
      <c r="I2099" s="359">
        <f>-H2099*('DRE + DCF'!$V$33+K2099)/'DRE + DCF'!$V$33</f>
        <v>-90858.801614444121</v>
      </c>
      <c r="J2099" s="359">
        <f>-'DRE + DCF'!$V$56*L2099</f>
        <v>-1188924.4255577971</v>
      </c>
      <c r="K2099" s="360">
        <f>(1+L2099)/(1+Ke!$O$12)-1</f>
        <v>2.0000000000000018E-2</v>
      </c>
      <c r="L2099" s="360">
        <f>'DRE + DCF'!$Y$31</f>
        <v>7.3550000000000004E-2</v>
      </c>
      <c r="M2099" s="361">
        <f>(1+D2099)^((5-Dashboard!$F$9)*3/12)</f>
        <v>1.2052610563059454</v>
      </c>
      <c r="N2099" s="361">
        <f t="shared" ref="N2099:V2099" si="2152">M2099*(1+$D2099)</f>
        <v>1.5459280938708015</v>
      </c>
      <c r="O2099" s="361">
        <f t="shared" si="2152"/>
        <v>1.9828846696033591</v>
      </c>
      <c r="P2099" s="361">
        <f t="shared" si="2152"/>
        <v>2.5433470214667171</v>
      </c>
      <c r="Q2099" s="361">
        <f t="shared" si="2152"/>
        <v>3.2622240570842442</v>
      </c>
      <c r="R2099" s="361">
        <f t="shared" si="2152"/>
        <v>4.1842916868190541</v>
      </c>
      <c r="S2099" s="361">
        <f t="shared" si="2152"/>
        <v>5.3669817320983935</v>
      </c>
      <c r="T2099" s="361">
        <f t="shared" si="2152"/>
        <v>6.8839591186759188</v>
      </c>
      <c r="U2099" s="361">
        <f t="shared" si="2152"/>
        <v>8.8297101635695583</v>
      </c>
      <c r="V2099" s="362">
        <f t="shared" si="2152"/>
        <v>11.325427741302354</v>
      </c>
      <c r="X2099" s="351"/>
    </row>
    <row r="2100" spans="3:24" ht="24.75" customHeight="1" x14ac:dyDescent="0.3">
      <c r="C2100" s="353">
        <f>ABS(E2100-Dashboard!$F$14)</f>
        <v>38.101716596518536</v>
      </c>
      <c r="D2100" s="350">
        <f t="shared" si="2115"/>
        <v>0.28274999999998413</v>
      </c>
      <c r="E2100" s="359" cm="1">
        <f t="array" ref="E2100">1000*SUM('DRE + DCF'!$L$36/M2100,'DRE + DCF'!$N$36:$V$36/N2100:V2100,F2100/V2100)/Dashboard!$F$11</f>
        <v>58.888283403481459</v>
      </c>
      <c r="F2100" s="359">
        <f t="shared" si="2113"/>
        <v>9386834.2910138499</v>
      </c>
      <c r="G2100" s="359">
        <f>'DRE + DCF'!$W$31</f>
        <v>2791623.3540418856</v>
      </c>
      <c r="H2100" s="359">
        <f>'DRE + DCF'!$W$32</f>
        <v>81081.931703745853</v>
      </c>
      <c r="I2100" s="359">
        <f>-H2100*('DRE + DCF'!$V$33+K2100)/'DRE + DCF'!$V$33</f>
        <v>-90858.801614444121</v>
      </c>
      <c r="J2100" s="359">
        <f>-'DRE + DCF'!$V$56*L2100</f>
        <v>-1188924.4255577971</v>
      </c>
      <c r="K2100" s="360">
        <f>(1+L2100)/(1+Ke!$O$12)-1</f>
        <v>2.0000000000000018E-2</v>
      </c>
      <c r="L2100" s="360">
        <f>'DRE + DCF'!$Y$31</f>
        <v>7.3550000000000004E-2</v>
      </c>
      <c r="M2100" s="361">
        <f>(1+D2100)^((5-Dashboard!$F$9)*3/12)</f>
        <v>1.2053315304791927</v>
      </c>
      <c r="N2100" s="361">
        <f t="shared" ref="N2100:V2100" si="2153">M2100*(1+$D2100)</f>
        <v>1.5461390207221652</v>
      </c>
      <c r="O2100" s="361">
        <f t="shared" si="2153"/>
        <v>1.9833098288313329</v>
      </c>
      <c r="P2100" s="361">
        <f t="shared" si="2153"/>
        <v>2.5440906829333607</v>
      </c>
      <c r="Q2100" s="361">
        <f t="shared" si="2153"/>
        <v>3.2634323235327281</v>
      </c>
      <c r="R2100" s="361">
        <f t="shared" si="2153"/>
        <v>4.1861678130115552</v>
      </c>
      <c r="S2100" s="361">
        <f t="shared" si="2153"/>
        <v>5.3698067621405059</v>
      </c>
      <c r="T2100" s="361">
        <f t="shared" si="2153"/>
        <v>6.8881196241356486</v>
      </c>
      <c r="U2100" s="361">
        <f t="shared" si="2153"/>
        <v>8.8357354478598928</v>
      </c>
      <c r="V2100" s="362">
        <f t="shared" si="2153"/>
        <v>11.334039645742136</v>
      </c>
      <c r="X2100" s="351"/>
    </row>
    <row r="2101" spans="3:24" ht="24.75" customHeight="1" x14ac:dyDescent="0.3">
      <c r="C2101" s="353">
        <f>ABS(E2101-Dashboard!$F$14)</f>
        <v>38.134383449309794</v>
      </c>
      <c r="D2101" s="350">
        <f t="shared" si="2115"/>
        <v>0.28284999999998411</v>
      </c>
      <c r="E2101" s="359" cm="1">
        <f t="array" ref="E2101">1000*SUM('DRE + DCF'!$L$36/M2101,'DRE + DCF'!$N$36:$V$36/N2101:V2101,F2101/V2101)/Dashboard!$F$11</f>
        <v>58.8556165506902</v>
      </c>
      <c r="F2101" s="359">
        <f t="shared" si="2113"/>
        <v>9383007.8414775878</v>
      </c>
      <c r="G2101" s="359">
        <f>'DRE + DCF'!$W$31</f>
        <v>2791623.3540418856</v>
      </c>
      <c r="H2101" s="359">
        <f>'DRE + DCF'!$W$32</f>
        <v>81081.931703745853</v>
      </c>
      <c r="I2101" s="359">
        <f>-H2101*('DRE + DCF'!$V$33+K2101)/'DRE + DCF'!$V$33</f>
        <v>-90858.801614444121</v>
      </c>
      <c r="J2101" s="359">
        <f>-'DRE + DCF'!$V$56*L2101</f>
        <v>-1188924.4255577971</v>
      </c>
      <c r="K2101" s="360">
        <f>(1+L2101)/(1+Ke!$O$12)-1</f>
        <v>2.0000000000000018E-2</v>
      </c>
      <c r="L2101" s="360">
        <f>'DRE + DCF'!$Y$31</f>
        <v>7.3550000000000004E-2</v>
      </c>
      <c r="M2101" s="361">
        <f>(1+D2101)^((5-Dashboard!$F$9)*3/12)</f>
        <v>1.2054020032789556</v>
      </c>
      <c r="N2101" s="361">
        <f t="shared" ref="N2101:V2101" si="2154">M2101*(1+$D2101)</f>
        <v>1.546349959906389</v>
      </c>
      <c r="O2101" s="361">
        <f t="shared" si="2154"/>
        <v>1.9837350460658865</v>
      </c>
      <c r="P2101" s="361">
        <f t="shared" si="2154"/>
        <v>2.5448345038455908</v>
      </c>
      <c r="Q2101" s="361">
        <f t="shared" si="2154"/>
        <v>3.2646409432582755</v>
      </c>
      <c r="R2101" s="361">
        <f t="shared" si="2154"/>
        <v>4.1880446340588264</v>
      </c>
      <c r="S2101" s="361">
        <f t="shared" si="2154"/>
        <v>5.3726330588022986</v>
      </c>
      <c r="T2101" s="361">
        <f t="shared" si="2154"/>
        <v>6.8922823194844431</v>
      </c>
      <c r="U2101" s="361">
        <f t="shared" si="2154"/>
        <v>8.8417643735505074</v>
      </c>
      <c r="V2101" s="362">
        <f t="shared" si="2154"/>
        <v>11.342657426609128</v>
      </c>
      <c r="X2101" s="351"/>
    </row>
    <row r="2102" spans="3:24" ht="24.75" customHeight="1" x14ac:dyDescent="0.3">
      <c r="C2102" s="353">
        <f>ABS(E2102-Dashboard!$F$14)</f>
        <v>38.167018230361258</v>
      </c>
      <c r="D2102" s="350">
        <f t="shared" si="2115"/>
        <v>0.2829499999999841</v>
      </c>
      <c r="E2102" s="359" cm="1">
        <f t="array" ref="E2102">1000*SUM('DRE + DCF'!$L$36/M2102,'DRE + DCF'!$N$36:$V$36/N2102:V2102,F2102/V2102)/Dashboard!$F$11</f>
        <v>58.822981769638737</v>
      </c>
      <c r="F2102" s="359">
        <f t="shared" si="2113"/>
        <v>9379184.5814456698</v>
      </c>
      <c r="G2102" s="359">
        <f>'DRE + DCF'!$W$31</f>
        <v>2791623.3540418856</v>
      </c>
      <c r="H2102" s="359">
        <f>'DRE + DCF'!$W$32</f>
        <v>81081.931703745853</v>
      </c>
      <c r="I2102" s="359">
        <f>-H2102*('DRE + DCF'!$V$33+K2102)/'DRE + DCF'!$V$33</f>
        <v>-90858.801614444121</v>
      </c>
      <c r="J2102" s="359">
        <f>-'DRE + DCF'!$V$56*L2102</f>
        <v>-1188924.4255577971</v>
      </c>
      <c r="K2102" s="360">
        <f>(1+L2102)/(1+Ke!$O$12)-1</f>
        <v>2.0000000000000018E-2</v>
      </c>
      <c r="L2102" s="360">
        <f>'DRE + DCF'!$Y$31</f>
        <v>7.3550000000000004E-2</v>
      </c>
      <c r="M2102" s="361">
        <f>(1+D2102)^((5-Dashboard!$F$9)*3/12)</f>
        <v>1.205472474705368</v>
      </c>
      <c r="N2102" s="361">
        <f t="shared" ref="N2102:V2102" si="2155">M2102*(1+$D2102)</f>
        <v>1.5465609114232326</v>
      </c>
      <c r="O2102" s="361">
        <f t="shared" si="2155"/>
        <v>1.9841603213104115</v>
      </c>
      <c r="P2102" s="361">
        <f t="shared" si="2155"/>
        <v>2.5455784842251608</v>
      </c>
      <c r="Q2102" s="361">
        <f t="shared" si="2155"/>
        <v>3.2658499163366295</v>
      </c>
      <c r="R2102" s="361">
        <f t="shared" si="2155"/>
        <v>4.1899221501640262</v>
      </c>
      <c r="S2102" s="361">
        <f t="shared" si="2155"/>
        <v>5.3754606225528709</v>
      </c>
      <c r="T2102" s="361">
        <f t="shared" si="2155"/>
        <v>6.8964472057041197</v>
      </c>
      <c r="U2102" s="361">
        <f t="shared" si="2155"/>
        <v>8.8477969425579897</v>
      </c>
      <c r="V2102" s="362">
        <f t="shared" si="2155"/>
        <v>11.351281087454632</v>
      </c>
      <c r="X2102" s="351"/>
    </row>
    <row r="2103" spans="3:24" ht="24.75" customHeight="1" x14ac:dyDescent="0.3">
      <c r="C2103" s="353">
        <f>ABS(E2103-Dashboard!$F$14)</f>
        <v>38.199620983514265</v>
      </c>
      <c r="D2103" s="350">
        <f t="shared" si="2115"/>
        <v>0.28304999999998409</v>
      </c>
      <c r="E2103" s="359" cm="1">
        <f t="array" ref="E2103">1000*SUM('DRE + DCF'!$L$36/M2103,'DRE + DCF'!$N$36:$V$36/N2103:V2103,F2103/V2103)/Dashboard!$F$11</f>
        <v>58.79037901648573</v>
      </c>
      <c r="F2103" s="359">
        <f t="shared" si="2113"/>
        <v>9375364.5068435781</v>
      </c>
      <c r="G2103" s="359">
        <f>'DRE + DCF'!$W$31</f>
        <v>2791623.3540418856</v>
      </c>
      <c r="H2103" s="359">
        <f>'DRE + DCF'!$W$32</f>
        <v>81081.931703745853</v>
      </c>
      <c r="I2103" s="359">
        <f>-H2103*('DRE + DCF'!$V$33+K2103)/'DRE + DCF'!$V$33</f>
        <v>-90858.801614444121</v>
      </c>
      <c r="J2103" s="359">
        <f>-'DRE + DCF'!$V$56*L2103</f>
        <v>-1188924.4255577971</v>
      </c>
      <c r="K2103" s="360">
        <f>(1+L2103)/(1+Ke!$O$12)-1</f>
        <v>2.0000000000000018E-2</v>
      </c>
      <c r="L2103" s="360">
        <f>'DRE + DCF'!$Y$31</f>
        <v>7.3550000000000004E-2</v>
      </c>
      <c r="M2103" s="361">
        <f>(1+D2103)^((5-Dashboard!$F$9)*3/12)</f>
        <v>1.2055429447585637</v>
      </c>
      <c r="N2103" s="361">
        <f t="shared" ref="N2103:V2103" si="2156">M2103*(1+$D2103)</f>
        <v>1.546771875272456</v>
      </c>
      <c r="O2103" s="361">
        <f t="shared" si="2156"/>
        <v>1.9845856545682998</v>
      </c>
      <c r="P2103" s="361">
        <f t="shared" si="2156"/>
        <v>2.5463226240938255</v>
      </c>
      <c r="Q2103" s="361">
        <f t="shared" si="2156"/>
        <v>3.2670592428435423</v>
      </c>
      <c r="R2103" s="361">
        <f t="shared" si="2156"/>
        <v>4.1918003615303547</v>
      </c>
      <c r="S2103" s="361">
        <f t="shared" si="2156"/>
        <v>5.3782894538614547</v>
      </c>
      <c r="T2103" s="361">
        <f t="shared" si="2156"/>
        <v>6.9006142837768536</v>
      </c>
      <c r="U2103" s="361">
        <f t="shared" si="2156"/>
        <v>8.8538331567997819</v>
      </c>
      <c r="V2103" s="362">
        <f t="shared" si="2156"/>
        <v>11.359910631831818</v>
      </c>
      <c r="X2103" s="351"/>
    </row>
    <row r="2104" spans="3:24" ht="24.75" customHeight="1" x14ac:dyDescent="0.3">
      <c r="C2104" s="353">
        <f>ABS(E2104-Dashboard!$F$14)</f>
        <v>38.232191752533026</v>
      </c>
      <c r="D2104" s="350">
        <f t="shared" si="2115"/>
        <v>0.28314999999998408</v>
      </c>
      <c r="E2104" s="359" cm="1">
        <f t="array" ref="E2104">1000*SUM('DRE + DCF'!$L$36/M2104,'DRE + DCF'!$N$36:$V$36/N2104:V2104,F2104/V2104)/Dashboard!$F$11</f>
        <v>58.757808247466969</v>
      </c>
      <c r="F2104" s="359">
        <f t="shared" si="2113"/>
        <v>9371547.6136038788</v>
      </c>
      <c r="G2104" s="359">
        <f>'DRE + DCF'!$W$31</f>
        <v>2791623.3540418856</v>
      </c>
      <c r="H2104" s="359">
        <f>'DRE + DCF'!$W$32</f>
        <v>81081.931703745853</v>
      </c>
      <c r="I2104" s="359">
        <f>-H2104*('DRE + DCF'!$V$33+K2104)/'DRE + DCF'!$V$33</f>
        <v>-90858.801614444121</v>
      </c>
      <c r="J2104" s="359">
        <f>-'DRE + DCF'!$V$56*L2104</f>
        <v>-1188924.4255577971</v>
      </c>
      <c r="K2104" s="360">
        <f>(1+L2104)/(1+Ke!$O$12)-1</f>
        <v>2.0000000000000018E-2</v>
      </c>
      <c r="L2104" s="360">
        <f>'DRE + DCF'!$Y$31</f>
        <v>7.3550000000000004E-2</v>
      </c>
      <c r="M2104" s="361">
        <f>(1+D2104)^((5-Dashboard!$F$9)*3/12)</f>
        <v>1.2056134134386762</v>
      </c>
      <c r="N2104" s="361">
        <f t="shared" ref="N2104:V2104" si="2157">M2104*(1+$D2104)</f>
        <v>1.5469828514538182</v>
      </c>
      <c r="O2104" s="361">
        <f t="shared" si="2157"/>
        <v>1.9850110458429422</v>
      </c>
      <c r="P2104" s="361">
        <f t="shared" si="2157"/>
        <v>2.5470669234733396</v>
      </c>
      <c r="Q2104" s="361">
        <f t="shared" si="2157"/>
        <v>3.2682689228547752</v>
      </c>
      <c r="R2104" s="361">
        <f t="shared" si="2157"/>
        <v>4.1936792683610529</v>
      </c>
      <c r="S2104" s="361">
        <f t="shared" si="2157"/>
        <v>5.3811195531974176</v>
      </c>
      <c r="T2104" s="361">
        <f t="shared" si="2157"/>
        <v>6.9047835546851806</v>
      </c>
      <c r="U2104" s="361">
        <f t="shared" si="2157"/>
        <v>8.8598730181941789</v>
      </c>
      <c r="V2104" s="362">
        <f t="shared" si="2157"/>
        <v>11.368546063295719</v>
      </c>
      <c r="X2104" s="351"/>
    </row>
    <row r="2105" spans="3:24" ht="24.75" customHeight="1" x14ac:dyDescent="0.3">
      <c r="C2105" s="353">
        <f>ABS(E2105-Dashboard!$F$14)</f>
        <v>38.264730581104864</v>
      </c>
      <c r="D2105" s="350">
        <f t="shared" si="2115"/>
        <v>0.28324999999998407</v>
      </c>
      <c r="E2105" s="359" cm="1">
        <f t="array" ref="E2105">1000*SUM('DRE + DCF'!$L$36/M2105,'DRE + DCF'!$N$36:$V$36/N2105:V2105,F2105/V2105)/Dashboard!$F$11</f>
        <v>58.725269418895131</v>
      </c>
      <c r="F2105" s="359">
        <f t="shared" si="2113"/>
        <v>9367733.8976662084</v>
      </c>
      <c r="G2105" s="359">
        <f>'DRE + DCF'!$W$31</f>
        <v>2791623.3540418856</v>
      </c>
      <c r="H2105" s="359">
        <f>'DRE + DCF'!$W$32</f>
        <v>81081.931703745853</v>
      </c>
      <c r="I2105" s="359">
        <f>-H2105*('DRE + DCF'!$V$33+K2105)/'DRE + DCF'!$V$33</f>
        <v>-90858.801614444121</v>
      </c>
      <c r="J2105" s="359">
        <f>-'DRE + DCF'!$V$56*L2105</f>
        <v>-1188924.4255577971</v>
      </c>
      <c r="K2105" s="360">
        <f>(1+L2105)/(1+Ke!$O$12)-1</f>
        <v>2.0000000000000018E-2</v>
      </c>
      <c r="L2105" s="360">
        <f>'DRE + DCF'!$Y$31</f>
        <v>7.3550000000000004E-2</v>
      </c>
      <c r="M2105" s="361">
        <f>(1+D2105)^((5-Dashboard!$F$9)*3/12)</f>
        <v>1.2056838807458394</v>
      </c>
      <c r="N2105" s="361">
        <f t="shared" ref="N2105:V2105" si="2158">M2105*(1+$D2105)</f>
        <v>1.5471938399670793</v>
      </c>
      <c r="O2105" s="361">
        <f t="shared" si="2158"/>
        <v>1.9854364951377297</v>
      </c>
      <c r="P2105" s="361">
        <f t="shared" si="2158"/>
        <v>2.54781138238546</v>
      </c>
      <c r="Q2105" s="361">
        <f t="shared" si="2158"/>
        <v>3.2694789564461009</v>
      </c>
      <c r="R2105" s="361">
        <f t="shared" si="2158"/>
        <v>4.1955588708594069</v>
      </c>
      <c r="S2105" s="361">
        <f t="shared" si="2158"/>
        <v>5.3839509210302667</v>
      </c>
      <c r="T2105" s="361">
        <f t="shared" si="2158"/>
        <v>6.9089550194120033</v>
      </c>
      <c r="U2105" s="361">
        <f t="shared" si="2158"/>
        <v>8.8659165286603425</v>
      </c>
      <c r="V2105" s="362">
        <f t="shared" si="2158"/>
        <v>11.377187385403243</v>
      </c>
      <c r="X2105" s="351"/>
    </row>
    <row r="2106" spans="3:24" ht="24.75" customHeight="1" x14ac:dyDescent="0.3">
      <c r="C2106" s="353">
        <f>ABS(E2106-Dashboard!$F$14)</f>
        <v>38.297237512840383</v>
      </c>
      <c r="D2106" s="350">
        <f t="shared" si="2115"/>
        <v>0.28334999999998406</v>
      </c>
      <c r="E2106" s="359" cm="1">
        <f t="array" ref="E2106">1000*SUM('DRE + DCF'!$L$36/M2106,'DRE + DCF'!$N$36:$V$36/N2106:V2106,F2106/V2106)/Dashboard!$F$11</f>
        <v>58.692762487159612</v>
      </c>
      <c r="F2106" s="359">
        <f t="shared" si="2113"/>
        <v>9363923.3549772408</v>
      </c>
      <c r="G2106" s="359">
        <f>'DRE + DCF'!$W$31</f>
        <v>2791623.3540418856</v>
      </c>
      <c r="H2106" s="359">
        <f>'DRE + DCF'!$W$32</f>
        <v>81081.931703745853</v>
      </c>
      <c r="I2106" s="359">
        <f>-H2106*('DRE + DCF'!$V$33+K2106)/'DRE + DCF'!$V$33</f>
        <v>-90858.801614444121</v>
      </c>
      <c r="J2106" s="359">
        <f>-'DRE + DCF'!$V$56*L2106</f>
        <v>-1188924.4255577971</v>
      </c>
      <c r="K2106" s="360">
        <f>(1+L2106)/(1+Ke!$O$12)-1</f>
        <v>2.0000000000000018E-2</v>
      </c>
      <c r="L2106" s="360">
        <f>'DRE + DCF'!$Y$31</f>
        <v>7.3550000000000004E-2</v>
      </c>
      <c r="M2106" s="361">
        <f>(1+D2106)^((5-Dashboard!$F$9)*3/12)</f>
        <v>1.2057543466801872</v>
      </c>
      <c r="N2106" s="361">
        <f t="shared" ref="N2106:V2106" si="2159">M2106*(1+$D2106)</f>
        <v>1.5474048408119989</v>
      </c>
      <c r="O2106" s="361">
        <f t="shared" si="2159"/>
        <v>1.985862002456054</v>
      </c>
      <c r="P2106" s="361">
        <f t="shared" si="2159"/>
        <v>2.5485560008519452</v>
      </c>
      <c r="Q2106" s="361">
        <f t="shared" si="2159"/>
        <v>3.2706893436933031</v>
      </c>
      <c r="R2106" s="361">
        <f t="shared" si="2159"/>
        <v>4.1974391692287485</v>
      </c>
      <c r="S2106" s="361">
        <f t="shared" si="2159"/>
        <v>5.3867835578296468</v>
      </c>
      <c r="T2106" s="361">
        <f t="shared" si="2159"/>
        <v>6.9131286789405912</v>
      </c>
      <c r="U2106" s="361">
        <f t="shared" si="2159"/>
        <v>8.8719636901182977</v>
      </c>
      <c r="V2106" s="362">
        <f t="shared" si="2159"/>
        <v>11.385834601713176</v>
      </c>
      <c r="X2106" s="351"/>
    </row>
    <row r="2107" spans="3:24" ht="24.75" customHeight="1" x14ac:dyDescent="0.3">
      <c r="C2107" s="353">
        <f>ABS(E2107-Dashboard!$F$14)</f>
        <v>38.329712591273555</v>
      </c>
      <c r="D2107" s="350">
        <f t="shared" si="2115"/>
        <v>0.28344999999998405</v>
      </c>
      <c r="E2107" s="359" cm="1">
        <f t="array" ref="E2107">1000*SUM('DRE + DCF'!$L$36/M2107,'DRE + DCF'!$N$36:$V$36/N2107:V2107,F2107/V2107)/Dashboard!$F$11</f>
        <v>58.66028740872644</v>
      </c>
      <c r="F2107" s="359">
        <f t="shared" si="2113"/>
        <v>9360115.9814906921</v>
      </c>
      <c r="G2107" s="359">
        <f>'DRE + DCF'!$W$31</f>
        <v>2791623.3540418856</v>
      </c>
      <c r="H2107" s="359">
        <f>'DRE + DCF'!$W$32</f>
        <v>81081.931703745853</v>
      </c>
      <c r="I2107" s="359">
        <f>-H2107*('DRE + DCF'!$V$33+K2107)/'DRE + DCF'!$V$33</f>
        <v>-90858.801614444121</v>
      </c>
      <c r="J2107" s="359">
        <f>-'DRE + DCF'!$V$56*L2107</f>
        <v>-1188924.4255577971</v>
      </c>
      <c r="K2107" s="360">
        <f>(1+L2107)/(1+Ke!$O$12)-1</f>
        <v>2.0000000000000018E-2</v>
      </c>
      <c r="L2107" s="360">
        <f>'DRE + DCF'!$Y$31</f>
        <v>7.3550000000000004E-2</v>
      </c>
      <c r="M2107" s="361">
        <f>(1+D2107)^((5-Dashboard!$F$9)*3/12)</f>
        <v>1.2058248112418533</v>
      </c>
      <c r="N2107" s="361">
        <f t="shared" ref="N2107:V2107" si="2160">M2107*(1+$D2107)</f>
        <v>1.5476158539883373</v>
      </c>
      <c r="O2107" s="361">
        <f t="shared" si="2160"/>
        <v>1.9862875678013068</v>
      </c>
      <c r="P2107" s="361">
        <f t="shared" si="2160"/>
        <v>2.5493007788945552</v>
      </c>
      <c r="Q2107" s="361">
        <f t="shared" si="2160"/>
        <v>3.271900084672176</v>
      </c>
      <c r="R2107" s="361">
        <f t="shared" si="2160"/>
        <v>4.1993201636724518</v>
      </c>
      <c r="S2107" s="361">
        <f t="shared" si="2160"/>
        <v>5.3896174640653411</v>
      </c>
      <c r="T2107" s="361">
        <f t="shared" si="2160"/>
        <v>6.9173045342545763</v>
      </c>
      <c r="U2107" s="361">
        <f t="shared" si="2160"/>
        <v>8.8780145044889256</v>
      </c>
      <c r="V2107" s="362">
        <f t="shared" si="2160"/>
        <v>11.39448771578617</v>
      </c>
      <c r="X2107" s="351"/>
    </row>
    <row r="2108" spans="3:24" ht="24.75" customHeight="1" x14ac:dyDescent="0.3">
      <c r="C2108" s="353">
        <f>ABS(E2108-Dashboard!$F$14)</f>
        <v>38.362155859861943</v>
      </c>
      <c r="D2108" s="350">
        <f t="shared" si="2115"/>
        <v>0.28354999999998404</v>
      </c>
      <c r="E2108" s="359" cm="1">
        <f t="array" ref="E2108">1000*SUM('DRE + DCF'!$L$36/M2108,'DRE + DCF'!$N$36:$V$36/N2108:V2108,F2108/V2108)/Dashboard!$F$11</f>
        <v>58.627844140138052</v>
      </c>
      <c r="F2108" s="359">
        <f t="shared" si="2113"/>
        <v>9356311.7731672935</v>
      </c>
      <c r="G2108" s="359">
        <f>'DRE + DCF'!$W$31</f>
        <v>2791623.3540418856</v>
      </c>
      <c r="H2108" s="359">
        <f>'DRE + DCF'!$W$32</f>
        <v>81081.931703745853</v>
      </c>
      <c r="I2108" s="359">
        <f>-H2108*('DRE + DCF'!$V$33+K2108)/'DRE + DCF'!$V$33</f>
        <v>-90858.801614444121</v>
      </c>
      <c r="J2108" s="359">
        <f>-'DRE + DCF'!$V$56*L2108</f>
        <v>-1188924.4255577971</v>
      </c>
      <c r="K2108" s="360">
        <f>(1+L2108)/(1+Ke!$O$12)-1</f>
        <v>2.0000000000000018E-2</v>
      </c>
      <c r="L2108" s="360">
        <f>'DRE + DCF'!$Y$31</f>
        <v>7.3550000000000004E-2</v>
      </c>
      <c r="M2108" s="361">
        <f>(1+D2108)^((5-Dashboard!$F$9)*3/12)</f>
        <v>1.205895274430971</v>
      </c>
      <c r="N2108" s="361">
        <f t="shared" ref="N2108:V2108" si="2161">M2108*(1+$D2108)</f>
        <v>1.5478268794958534</v>
      </c>
      <c r="O2108" s="361">
        <f t="shared" si="2161"/>
        <v>1.9867131911768778</v>
      </c>
      <c r="P2108" s="361">
        <f t="shared" si="2161"/>
        <v>2.5500457165350499</v>
      </c>
      <c r="Q2108" s="361">
        <f t="shared" si="2161"/>
        <v>3.2731111794585224</v>
      </c>
      <c r="R2108" s="361">
        <f t="shared" si="2161"/>
        <v>4.2012018543939336</v>
      </c>
      <c r="S2108" s="361">
        <f t="shared" si="2161"/>
        <v>5.3924526402072663</v>
      </c>
      <c r="T2108" s="361">
        <f t="shared" si="2161"/>
        <v>6.9214825863379499</v>
      </c>
      <c r="U2108" s="361">
        <f t="shared" si="2161"/>
        <v>8.8840689736939655</v>
      </c>
      <c r="V2108" s="362">
        <f t="shared" si="2161"/>
        <v>11.403146731184748</v>
      </c>
      <c r="X2108" s="351"/>
    </row>
    <row r="2109" spans="3:24" ht="24.75" customHeight="1" x14ac:dyDescent="0.3">
      <c r="C2109" s="353">
        <f>ABS(E2109-Dashboard!$F$14)</f>
        <v>38.394567361986873</v>
      </c>
      <c r="D2109" s="350">
        <f t="shared" si="2115"/>
        <v>0.28364999999998403</v>
      </c>
      <c r="E2109" s="359" cm="1">
        <f t="array" ref="E2109">1000*SUM('DRE + DCF'!$L$36/M2109,'DRE + DCF'!$N$36:$V$36/N2109:V2109,F2109/V2109)/Dashboard!$F$11</f>
        <v>58.595432638013122</v>
      </c>
      <c r="F2109" s="359">
        <f t="shared" si="2113"/>
        <v>9352510.7259747759</v>
      </c>
      <c r="G2109" s="359">
        <f>'DRE + DCF'!$W$31</f>
        <v>2791623.3540418856</v>
      </c>
      <c r="H2109" s="359">
        <f>'DRE + DCF'!$W$32</f>
        <v>81081.931703745853</v>
      </c>
      <c r="I2109" s="359">
        <f>-H2109*('DRE + DCF'!$V$33+K2109)/'DRE + DCF'!$V$33</f>
        <v>-90858.801614444121</v>
      </c>
      <c r="J2109" s="359">
        <f>-'DRE + DCF'!$V$56*L2109</f>
        <v>-1188924.4255577971</v>
      </c>
      <c r="K2109" s="360">
        <f>(1+L2109)/(1+Ke!$O$12)-1</f>
        <v>2.0000000000000018E-2</v>
      </c>
      <c r="L2109" s="360">
        <f>'DRE + DCF'!$Y$31</f>
        <v>7.3550000000000004E-2</v>
      </c>
      <c r="M2109" s="361">
        <f>(1+D2109)^((5-Dashboard!$F$9)*3/12)</f>
        <v>1.2059657362476743</v>
      </c>
      <c r="N2109" s="361">
        <f t="shared" ref="N2109:V2109" si="2162">M2109*(1+$D2109)</f>
        <v>1.5480379173343077</v>
      </c>
      <c r="O2109" s="361">
        <f t="shared" si="2162"/>
        <v>1.9871388725861594</v>
      </c>
      <c r="P2109" s="361">
        <f t="shared" si="2162"/>
        <v>2.5507908137951918</v>
      </c>
      <c r="Q2109" s="361">
        <f t="shared" si="2162"/>
        <v>3.2743226281281572</v>
      </c>
      <c r="R2109" s="361">
        <f t="shared" si="2162"/>
        <v>4.2030842415966569</v>
      </c>
      <c r="S2109" s="361">
        <f t="shared" si="2162"/>
        <v>5.395289086725481</v>
      </c>
      <c r="T2109" s="361">
        <f t="shared" si="2162"/>
        <v>6.9256628361750776</v>
      </c>
      <c r="U2109" s="361">
        <f t="shared" si="2162"/>
        <v>8.8901270996560271</v>
      </c>
      <c r="V2109" s="362">
        <f t="shared" si="2162"/>
        <v>11.411811651473316</v>
      </c>
      <c r="X2109" s="351"/>
    </row>
    <row r="2110" spans="3:24" ht="24.75" customHeight="1" x14ac:dyDescent="0.3">
      <c r="C2110" s="353">
        <f>ABS(E2110-Dashboard!$F$14)</f>
        <v>38.426947140953558</v>
      </c>
      <c r="D2110" s="350">
        <f t="shared" si="2115"/>
        <v>0.28374999999998402</v>
      </c>
      <c r="E2110" s="359" cm="1">
        <f t="array" ref="E2110">1000*SUM('DRE + DCF'!$L$36/M2110,'DRE + DCF'!$N$36:$V$36/N2110:V2110,F2110/V2110)/Dashboard!$F$11</f>
        <v>58.563052859046437</v>
      </c>
      <c r="F2110" s="359">
        <f t="shared" si="2113"/>
        <v>9348712.8358878586</v>
      </c>
      <c r="G2110" s="359">
        <f>'DRE + DCF'!$W$31</f>
        <v>2791623.3540418856</v>
      </c>
      <c r="H2110" s="359">
        <f>'DRE + DCF'!$W$32</f>
        <v>81081.931703745853</v>
      </c>
      <c r="I2110" s="359">
        <f>-H2110*('DRE + DCF'!$V$33+K2110)/'DRE + DCF'!$V$33</f>
        <v>-90858.801614444121</v>
      </c>
      <c r="J2110" s="359">
        <f>-'DRE + DCF'!$V$56*L2110</f>
        <v>-1188924.4255577971</v>
      </c>
      <c r="K2110" s="360">
        <f>(1+L2110)/(1+Ke!$O$12)-1</f>
        <v>2.0000000000000018E-2</v>
      </c>
      <c r="L2110" s="360">
        <f>'DRE + DCF'!$Y$31</f>
        <v>7.3550000000000004E-2</v>
      </c>
      <c r="M2110" s="361">
        <f>(1+D2110)^((5-Dashboard!$F$9)*3/12)</f>
        <v>1.2060361966920969</v>
      </c>
      <c r="N2110" s="361">
        <f t="shared" ref="N2110:V2110" si="2163">M2110*(1+$D2110)</f>
        <v>1.5482489675034601</v>
      </c>
      <c r="O2110" s="361">
        <f t="shared" si="2163"/>
        <v>1.9875646120325421</v>
      </c>
      <c r="P2110" s="361">
        <f t="shared" si="2163"/>
        <v>2.551536070696744</v>
      </c>
      <c r="Q2110" s="361">
        <f t="shared" si="2163"/>
        <v>3.2755344307569043</v>
      </c>
      <c r="R2110" s="361">
        <f t="shared" si="2163"/>
        <v>4.2049673254841231</v>
      </c>
      <c r="S2110" s="361">
        <f t="shared" si="2163"/>
        <v>5.3981268040901753</v>
      </c>
      <c r="T2110" s="361">
        <f t="shared" si="2163"/>
        <v>6.9298452847506757</v>
      </c>
      <c r="U2110" s="361">
        <f t="shared" si="2163"/>
        <v>8.896188884298569</v>
      </c>
      <c r="V2110" s="362">
        <f t="shared" si="2163"/>
        <v>11.420482480218146</v>
      </c>
      <c r="X2110" s="351"/>
    </row>
    <row r="2111" spans="3:24" ht="24.75" customHeight="1" x14ac:dyDescent="0.3">
      <c r="C2111" s="353">
        <f>ABS(E2111-Dashboard!$F$14)</f>
        <v>38.459295239991285</v>
      </c>
      <c r="D2111" s="350">
        <f t="shared" si="2115"/>
        <v>0.283849999999984</v>
      </c>
      <c r="E2111" s="359" cm="1">
        <f t="array" ref="E2111">1000*SUM('DRE + DCF'!$L$36/M2111,'DRE + DCF'!$N$36:$V$36/N2111:V2111,F2111/V2111)/Dashboard!$F$11</f>
        <v>58.53070476000871</v>
      </c>
      <c r="F2111" s="359">
        <f t="shared" si="2113"/>
        <v>9344918.0988882333</v>
      </c>
      <c r="G2111" s="359">
        <f>'DRE + DCF'!$W$31</f>
        <v>2791623.3540418856</v>
      </c>
      <c r="H2111" s="359">
        <f>'DRE + DCF'!$W$32</f>
        <v>81081.931703745853</v>
      </c>
      <c r="I2111" s="359">
        <f>-H2111*('DRE + DCF'!$V$33+K2111)/'DRE + DCF'!$V$33</f>
        <v>-90858.801614444121</v>
      </c>
      <c r="J2111" s="359">
        <f>-'DRE + DCF'!$V$56*L2111</f>
        <v>-1188924.4255577971</v>
      </c>
      <c r="K2111" s="360">
        <f>(1+L2111)/(1+Ke!$O$12)-1</f>
        <v>2.0000000000000018E-2</v>
      </c>
      <c r="L2111" s="360">
        <f>'DRE + DCF'!$Y$31</f>
        <v>7.3550000000000004E-2</v>
      </c>
      <c r="M2111" s="361">
        <f>(1+D2111)^((5-Dashboard!$F$9)*3/12)</f>
        <v>1.2061066557643723</v>
      </c>
      <c r="N2111" s="361">
        <f t="shared" ref="N2111:V2111" si="2164">M2111*(1+$D2111)</f>
        <v>1.54846003000307</v>
      </c>
      <c r="O2111" s="361">
        <f t="shared" si="2164"/>
        <v>1.9879904095194165</v>
      </c>
      <c r="P2111" s="361">
        <f t="shared" si="2164"/>
        <v>2.552281487261471</v>
      </c>
      <c r="Q2111" s="361">
        <f t="shared" si="2164"/>
        <v>3.2767465874205985</v>
      </c>
      <c r="R2111" s="361">
        <f t="shared" si="2164"/>
        <v>4.206851106259883</v>
      </c>
      <c r="S2111" s="361">
        <f t="shared" si="2164"/>
        <v>5.4009657927716832</v>
      </c>
      <c r="T2111" s="361">
        <f t="shared" si="2164"/>
        <v>6.9340299330498389</v>
      </c>
      <c r="U2111" s="361">
        <f t="shared" si="2164"/>
        <v>8.902254329545924</v>
      </c>
      <c r="V2111" s="362">
        <f t="shared" si="2164"/>
        <v>11.429159220987392</v>
      </c>
      <c r="X2111" s="351"/>
    </row>
    <row r="2112" spans="3:24" ht="24.75" customHeight="1" x14ac:dyDescent="0.3">
      <c r="C2112" s="353">
        <f>ABS(E2112-Dashboard!$F$14)</f>
        <v>38.491611702253614</v>
      </c>
      <c r="D2112" s="350">
        <f t="shared" si="2115"/>
        <v>0.28394999999998399</v>
      </c>
      <c r="E2112" s="359" cm="1">
        <f t="array" ref="E2112">1000*SUM('DRE + DCF'!$L$36/M2112,'DRE + DCF'!$N$36:$V$36/N2112:V2112,F2112/V2112)/Dashboard!$F$11</f>
        <v>58.498388297746381</v>
      </c>
      <c r="F2112" s="359">
        <f t="shared" si="2113"/>
        <v>9341126.5109645464</v>
      </c>
      <c r="G2112" s="359">
        <f>'DRE + DCF'!$W$31</f>
        <v>2791623.3540418856</v>
      </c>
      <c r="H2112" s="359">
        <f>'DRE + DCF'!$W$32</f>
        <v>81081.931703745853</v>
      </c>
      <c r="I2112" s="359">
        <f>-H2112*('DRE + DCF'!$V$33+K2112)/'DRE + DCF'!$V$33</f>
        <v>-90858.801614444121</v>
      </c>
      <c r="J2112" s="359">
        <f>-'DRE + DCF'!$V$56*L2112</f>
        <v>-1188924.4255577971</v>
      </c>
      <c r="K2112" s="360">
        <f>(1+L2112)/(1+Ke!$O$12)-1</f>
        <v>2.0000000000000018E-2</v>
      </c>
      <c r="L2112" s="360">
        <f>'DRE + DCF'!$Y$31</f>
        <v>7.3550000000000004E-2</v>
      </c>
      <c r="M2112" s="361">
        <f>(1+D2112)^((5-Dashboard!$F$9)*3/12)</f>
        <v>1.2061771134646342</v>
      </c>
      <c r="N2112" s="361">
        <f t="shared" ref="N2112:V2112" si="2165">M2112*(1+$D2112)</f>
        <v>1.5486711048328976</v>
      </c>
      <c r="O2112" s="361">
        <f t="shared" si="2165"/>
        <v>1.988416265050174</v>
      </c>
      <c r="P2112" s="361">
        <f t="shared" si="2165"/>
        <v>2.5530270635111392</v>
      </c>
      <c r="Q2112" s="361">
        <f t="shared" si="2165"/>
        <v>3.2779590981950864</v>
      </c>
      <c r="R2112" s="361">
        <f t="shared" si="2165"/>
        <v>4.2087355841275285</v>
      </c>
      <c r="S2112" s="361">
        <f t="shared" si="2165"/>
        <v>5.4038060532404728</v>
      </c>
      <c r="T2112" s="361">
        <f t="shared" si="2165"/>
        <v>6.9382167820580181</v>
      </c>
      <c r="U2112" s="361">
        <f t="shared" si="2165"/>
        <v>8.9083234373232809</v>
      </c>
      <c r="V2112" s="362">
        <f t="shared" si="2165"/>
        <v>11.437841877351083</v>
      </c>
      <c r="X2112" s="351"/>
    </row>
    <row r="2113" spans="3:24" ht="24.75" customHeight="1" x14ac:dyDescent="0.3">
      <c r="C2113" s="353">
        <f>ABS(E2113-Dashboard!$F$14)</f>
        <v>38.523896570818458</v>
      </c>
      <c r="D2113" s="350">
        <f t="shared" si="2115"/>
        <v>0.28404999999998398</v>
      </c>
      <c r="E2113" s="359" cm="1">
        <f t="array" ref="E2113">1000*SUM('DRE + DCF'!$L$36/M2113,'DRE + DCF'!$N$36:$V$36/N2113:V2113,F2113/V2113)/Dashboard!$F$11</f>
        <v>58.466103429181537</v>
      </c>
      <c r="F2113" s="359">
        <f t="shared" si="2113"/>
        <v>9337338.0681123845</v>
      </c>
      <c r="G2113" s="359">
        <f>'DRE + DCF'!$W$31</f>
        <v>2791623.3540418856</v>
      </c>
      <c r="H2113" s="359">
        <f>'DRE + DCF'!$W$32</f>
        <v>81081.931703745853</v>
      </c>
      <c r="I2113" s="359">
        <f>-H2113*('DRE + DCF'!$V$33+K2113)/'DRE + DCF'!$V$33</f>
        <v>-90858.801614444121</v>
      </c>
      <c r="J2113" s="359">
        <f>-'DRE + DCF'!$V$56*L2113</f>
        <v>-1188924.4255577971</v>
      </c>
      <c r="K2113" s="360">
        <f>(1+L2113)/(1+Ke!$O$12)-1</f>
        <v>2.0000000000000018E-2</v>
      </c>
      <c r="L2113" s="360">
        <f>'DRE + DCF'!$Y$31</f>
        <v>7.3550000000000004E-2</v>
      </c>
      <c r="M2113" s="361">
        <f>(1+D2113)^((5-Dashboard!$F$9)*3/12)</f>
        <v>1.206247569793016</v>
      </c>
      <c r="N2113" s="361">
        <f t="shared" ref="N2113:V2113" si="2166">M2113*(1+$D2113)</f>
        <v>1.5488821919927027</v>
      </c>
      <c r="O2113" s="361">
        <f t="shared" si="2166"/>
        <v>1.9888421786282051</v>
      </c>
      <c r="P2113" s="361">
        <f t="shared" si="2166"/>
        <v>2.5537727994675148</v>
      </c>
      <c r="Q2113" s="361">
        <f t="shared" si="2166"/>
        <v>3.2791719631562213</v>
      </c>
      <c r="R2113" s="361">
        <f t="shared" si="2166"/>
        <v>4.210620759290693</v>
      </c>
      <c r="S2113" s="361">
        <f t="shared" si="2166"/>
        <v>5.4066475859671463</v>
      </c>
      <c r="T2113" s="361">
        <f t="shared" si="2166"/>
        <v>6.9424058327610272</v>
      </c>
      <c r="U2113" s="361">
        <f t="shared" si="2166"/>
        <v>8.9143962095566849</v>
      </c>
      <c r="V2113" s="362">
        <f t="shared" si="2166"/>
        <v>11.446530452881118</v>
      </c>
      <c r="X2113" s="351"/>
    </row>
    <row r="2114" spans="3:24" ht="24.75" customHeight="1" x14ac:dyDescent="0.3">
      <c r="C2114" s="353">
        <f>ABS(E2114-Dashboard!$F$14)</f>
        <v>38.556149888688353</v>
      </c>
      <c r="D2114" s="350">
        <f t="shared" si="2115"/>
        <v>0.28414999999998397</v>
      </c>
      <c r="E2114" s="359" cm="1">
        <f t="array" ref="E2114">1000*SUM('DRE + DCF'!$L$36/M2114,'DRE + DCF'!$N$36:$V$36/N2114:V2114,F2114/V2114)/Dashboard!$F$11</f>
        <v>58.433850111311642</v>
      </c>
      <c r="F2114" s="359">
        <f t="shared" si="2113"/>
        <v>9333552.7663342599</v>
      </c>
      <c r="G2114" s="359">
        <f>'DRE + DCF'!$W$31</f>
        <v>2791623.3540418856</v>
      </c>
      <c r="H2114" s="359">
        <f>'DRE + DCF'!$W$32</f>
        <v>81081.931703745853</v>
      </c>
      <c r="I2114" s="359">
        <f>-H2114*('DRE + DCF'!$V$33+K2114)/'DRE + DCF'!$V$33</f>
        <v>-90858.801614444121</v>
      </c>
      <c r="J2114" s="359">
        <f>-'DRE + DCF'!$V$56*L2114</f>
        <v>-1188924.4255577971</v>
      </c>
      <c r="K2114" s="360">
        <f>(1+L2114)/(1+Ke!$O$12)-1</f>
        <v>2.0000000000000018E-2</v>
      </c>
      <c r="L2114" s="360">
        <f>'DRE + DCF'!$Y$31</f>
        <v>7.3550000000000004E-2</v>
      </c>
      <c r="M2114" s="361">
        <f>(1+D2114)^((5-Dashboard!$F$9)*3/12)</f>
        <v>1.2063180247496512</v>
      </c>
      <c r="N2114" s="361">
        <f t="shared" ref="N2114:V2114" si="2167">M2114*(1+$D2114)</f>
        <v>1.5490932914822453</v>
      </c>
      <c r="O2114" s="361">
        <f t="shared" si="2167"/>
        <v>1.9892681502569003</v>
      </c>
      <c r="P2114" s="361">
        <f t="shared" si="2167"/>
        <v>2.5545186951523666</v>
      </c>
      <c r="Q2114" s="361">
        <f t="shared" si="2167"/>
        <v>3.2803851823798706</v>
      </c>
      <c r="R2114" s="361">
        <f t="shared" si="2167"/>
        <v>4.2125066319530582</v>
      </c>
      <c r="S2114" s="361">
        <f t="shared" si="2167"/>
        <v>5.4094903914224517</v>
      </c>
      <c r="T2114" s="361">
        <f t="shared" si="2167"/>
        <v>6.9465970861450543</v>
      </c>
      <c r="U2114" s="361">
        <f t="shared" si="2167"/>
        <v>8.9204726481730603</v>
      </c>
      <c r="V2114" s="362">
        <f t="shared" si="2167"/>
        <v>11.455224951151292</v>
      </c>
      <c r="X2114" s="351"/>
    </row>
    <row r="2115" spans="3:24" ht="24.75" customHeight="1" x14ac:dyDescent="0.3">
      <c r="C2115" s="353">
        <f>ABS(E2115-Dashboard!$F$14)</f>
        <v>38.588371698790496</v>
      </c>
      <c r="D2115" s="350">
        <f t="shared" si="2115"/>
        <v>0.28424999999998396</v>
      </c>
      <c r="E2115" s="359" cm="1">
        <f t="array" ref="E2115">1000*SUM('DRE + DCF'!$L$36/M2115,'DRE + DCF'!$N$36:$V$36/N2115:V2115,F2115/V2115)/Dashboard!$F$11</f>
        <v>58.401628301209499</v>
      </c>
      <c r="F2115" s="359">
        <f t="shared" si="2113"/>
        <v>9329770.6016395949</v>
      </c>
      <c r="G2115" s="359">
        <f>'DRE + DCF'!$W$31</f>
        <v>2791623.3540418856</v>
      </c>
      <c r="H2115" s="359">
        <f>'DRE + DCF'!$W$32</f>
        <v>81081.931703745853</v>
      </c>
      <c r="I2115" s="359">
        <f>-H2115*('DRE + DCF'!$V$33+K2115)/'DRE + DCF'!$V$33</f>
        <v>-90858.801614444121</v>
      </c>
      <c r="J2115" s="359">
        <f>-'DRE + DCF'!$V$56*L2115</f>
        <v>-1188924.4255577971</v>
      </c>
      <c r="K2115" s="360">
        <f>(1+L2115)/(1+Ke!$O$12)-1</f>
        <v>2.0000000000000018E-2</v>
      </c>
      <c r="L2115" s="360">
        <f>'DRE + DCF'!$Y$31</f>
        <v>7.3550000000000004E-2</v>
      </c>
      <c r="M2115" s="361">
        <f>(1+D2115)^((5-Dashboard!$F$9)*3/12)</f>
        <v>1.2063884783346734</v>
      </c>
      <c r="N2115" s="361">
        <f t="shared" ref="N2115:V2115" si="2168">M2115*(1+$D2115)</f>
        <v>1.549304403301285</v>
      </c>
      <c r="O2115" s="361">
        <f t="shared" si="2168"/>
        <v>1.9896941799396504</v>
      </c>
      <c r="P2115" s="361">
        <f t="shared" si="2168"/>
        <v>2.5552647505874639</v>
      </c>
      <c r="Q2115" s="361">
        <f t="shared" si="2168"/>
        <v>3.2815987559419093</v>
      </c>
      <c r="R2115" s="361">
        <f t="shared" si="2168"/>
        <v>4.2143932023183446</v>
      </c>
      <c r="S2115" s="361">
        <f t="shared" si="2168"/>
        <v>5.4123344700772664</v>
      </c>
      <c r="T2115" s="361">
        <f t="shared" si="2168"/>
        <v>6.9507905431966419</v>
      </c>
      <c r="U2115" s="361">
        <f t="shared" si="2168"/>
        <v>8.9265527551001753</v>
      </c>
      <c r="V2115" s="362">
        <f t="shared" si="2168"/>
        <v>11.463925375737256</v>
      </c>
      <c r="X2115" s="351"/>
    </row>
    <row r="2116" spans="3:24" ht="24.75" customHeight="1" x14ac:dyDescent="0.3">
      <c r="C2116" s="353">
        <f>ABS(E2116-Dashboard!$F$14)</f>
        <v>38.620562043977067</v>
      </c>
      <c r="D2116" s="350">
        <f t="shared" si="2115"/>
        <v>0.28434999999998395</v>
      </c>
      <c r="E2116" s="359" cm="1">
        <f t="array" ref="E2116">1000*SUM('DRE + DCF'!$L$36/M2116,'DRE + DCF'!$N$36:$V$36/N2116:V2116,F2116/V2116)/Dashboard!$F$11</f>
        <v>58.369437956022928</v>
      </c>
      <c r="F2116" s="359">
        <f t="shared" si="2113"/>
        <v>9325991.5700447094</v>
      </c>
      <c r="G2116" s="359">
        <f>'DRE + DCF'!$W$31</f>
        <v>2791623.3540418856</v>
      </c>
      <c r="H2116" s="359">
        <f>'DRE + DCF'!$W$32</f>
        <v>81081.931703745853</v>
      </c>
      <c r="I2116" s="359">
        <f>-H2116*('DRE + DCF'!$V$33+K2116)/'DRE + DCF'!$V$33</f>
        <v>-90858.801614444121</v>
      </c>
      <c r="J2116" s="359">
        <f>-'DRE + DCF'!$V$56*L2116</f>
        <v>-1188924.4255577971</v>
      </c>
      <c r="K2116" s="360">
        <f>(1+L2116)/(1+Ke!$O$12)-1</f>
        <v>2.0000000000000018E-2</v>
      </c>
      <c r="L2116" s="360">
        <f>'DRE + DCF'!$Y$31</f>
        <v>7.3550000000000004E-2</v>
      </c>
      <c r="M2116" s="361">
        <f>(1+D2116)^((5-Dashboard!$F$9)*3/12)</f>
        <v>1.2064589305482163</v>
      </c>
      <c r="N2116" s="361">
        <f t="shared" ref="N2116:V2116" si="2169">M2116*(1+$D2116)</f>
        <v>1.5495155274495822</v>
      </c>
      <c r="O2116" s="361">
        <f t="shared" si="2169"/>
        <v>1.990120267679846</v>
      </c>
      <c r="P2116" s="361">
        <f t="shared" si="2169"/>
        <v>2.5560109657945782</v>
      </c>
      <c r="Q2116" s="361">
        <f t="shared" si="2169"/>
        <v>3.2828126839182254</v>
      </c>
      <c r="R2116" s="361">
        <f t="shared" si="2169"/>
        <v>4.2162804705903199</v>
      </c>
      <c r="S2116" s="361">
        <f t="shared" si="2169"/>
        <v>5.4151798224026093</v>
      </c>
      <c r="T2116" s="361">
        <f t="shared" si="2169"/>
        <v>6.9549862049027045</v>
      </c>
      <c r="U2116" s="361">
        <f t="shared" si="2169"/>
        <v>8.9326365322666756</v>
      </c>
      <c r="V2116" s="362">
        <f t="shared" si="2169"/>
        <v>11.472631730216561</v>
      </c>
      <c r="X2116" s="351"/>
    </row>
    <row r="2117" spans="3:24" ht="24.75" customHeight="1" x14ac:dyDescent="0.3">
      <c r="C2117" s="353">
        <f>ABS(E2117-Dashboard!$F$14)</f>
        <v>38.652720967025232</v>
      </c>
      <c r="D2117" s="350">
        <f t="shared" si="2115"/>
        <v>0.28444999999998394</v>
      </c>
      <c r="E2117" s="359" cm="1">
        <f t="array" ref="E2117">1000*SUM('DRE + DCF'!$L$36/M2117,'DRE + DCF'!$N$36:$V$36/N2117:V2117,F2117/V2117)/Dashboard!$F$11</f>
        <v>58.337279032974763</v>
      </c>
      <c r="F2117" s="359">
        <f t="shared" si="2113"/>
        <v>9322215.6675727945</v>
      </c>
      <c r="G2117" s="359">
        <f>'DRE + DCF'!$W$31</f>
        <v>2791623.3540418856</v>
      </c>
      <c r="H2117" s="359">
        <f>'DRE + DCF'!$W$32</f>
        <v>81081.931703745853</v>
      </c>
      <c r="I2117" s="359">
        <f>-H2117*('DRE + DCF'!$V$33+K2117)/'DRE + DCF'!$V$33</f>
        <v>-90858.801614444121</v>
      </c>
      <c r="J2117" s="359">
        <f>-'DRE + DCF'!$V$56*L2117</f>
        <v>-1188924.4255577971</v>
      </c>
      <c r="K2117" s="360">
        <f>(1+L2117)/(1+Ke!$O$12)-1</f>
        <v>2.0000000000000018E-2</v>
      </c>
      <c r="L2117" s="360">
        <f>'DRE + DCF'!$Y$31</f>
        <v>7.3550000000000004E-2</v>
      </c>
      <c r="M2117" s="361">
        <f>(1+D2117)^((5-Dashboard!$F$9)*3/12)</f>
        <v>1.2065293813904132</v>
      </c>
      <c r="N2117" s="361">
        <f t="shared" ref="N2117:V2117" si="2170">M2117*(1+$D2117)</f>
        <v>1.5497266639268967</v>
      </c>
      <c r="O2117" s="361">
        <f t="shared" si="2170"/>
        <v>1.9905464134808775</v>
      </c>
      <c r="P2117" s="361">
        <f t="shared" si="2170"/>
        <v>2.5567573407954809</v>
      </c>
      <c r="Q2117" s="361">
        <f t="shared" si="2170"/>
        <v>3.2840269663847144</v>
      </c>
      <c r="R2117" s="361">
        <f t="shared" si="2170"/>
        <v>4.2181684369727934</v>
      </c>
      <c r="S2117" s="361">
        <f t="shared" si="2170"/>
        <v>5.4180264488696368</v>
      </c>
      <c r="T2117" s="361">
        <f t="shared" si="2170"/>
        <v>6.959184072250518</v>
      </c>
      <c r="U2117" s="361">
        <f t="shared" si="2170"/>
        <v>8.9387239816020649</v>
      </c>
      <c r="V2117" s="362">
        <f t="shared" si="2170"/>
        <v>11.481344018168627</v>
      </c>
      <c r="X2117" s="351"/>
    </row>
    <row r="2118" spans="3:24" ht="24.75" customHeight="1" x14ac:dyDescent="0.3">
      <c r="C2118" s="353">
        <f>ABS(E2118-Dashboard!$F$14)</f>
        <v>38.684848510637416</v>
      </c>
      <c r="D2118" s="350">
        <f t="shared" si="2115"/>
        <v>0.28454999999998393</v>
      </c>
      <c r="E2118" s="359" cm="1">
        <f t="array" ref="E2118">1000*SUM('DRE + DCF'!$L$36/M2118,'DRE + DCF'!$N$36:$V$36/N2118:V2118,F2118/V2118)/Dashboard!$F$11</f>
        <v>58.305151489362579</v>
      </c>
      <c r="F2118" s="359">
        <f t="shared" si="2113"/>
        <v>9318442.8902539201</v>
      </c>
      <c r="G2118" s="359">
        <f>'DRE + DCF'!$W$31</f>
        <v>2791623.3540418856</v>
      </c>
      <c r="H2118" s="359">
        <f>'DRE + DCF'!$W$32</f>
        <v>81081.931703745853</v>
      </c>
      <c r="I2118" s="359">
        <f>-H2118*('DRE + DCF'!$V$33+K2118)/'DRE + DCF'!$V$33</f>
        <v>-90858.801614444121</v>
      </c>
      <c r="J2118" s="359">
        <f>-'DRE + DCF'!$V$56*L2118</f>
        <v>-1188924.4255577971</v>
      </c>
      <c r="K2118" s="360">
        <f>(1+L2118)/(1+Ke!$O$12)-1</f>
        <v>2.0000000000000018E-2</v>
      </c>
      <c r="L2118" s="360">
        <f>'DRE + DCF'!$Y$31</f>
        <v>7.3550000000000004E-2</v>
      </c>
      <c r="M2118" s="361">
        <f>(1+D2118)^((5-Dashboard!$F$9)*3/12)</f>
        <v>1.2065998308613977</v>
      </c>
      <c r="N2118" s="361">
        <f t="shared" ref="N2118:V2118" si="2171">M2118*(1+$D2118)</f>
        <v>1.5499378127329888</v>
      </c>
      <c r="O2118" s="361">
        <f t="shared" si="2171"/>
        <v>1.9909726173461357</v>
      </c>
      <c r="P2118" s="361">
        <f t="shared" si="2171"/>
        <v>2.5575038756119466</v>
      </c>
      <c r="Q2118" s="361">
        <f t="shared" si="2171"/>
        <v>3.2852416034172847</v>
      </c>
      <c r="R2118" s="361">
        <f t="shared" si="2171"/>
        <v>4.22005710166962</v>
      </c>
      <c r="S2118" s="361">
        <f t="shared" si="2171"/>
        <v>5.4208743499496421</v>
      </c>
      <c r="T2118" s="361">
        <f t="shared" si="2171"/>
        <v>6.9633841462277255</v>
      </c>
      <c r="U2118" s="361">
        <f t="shared" si="2171"/>
        <v>8.944815105036712</v>
      </c>
      <c r="V2118" s="362">
        <f t="shared" si="2171"/>
        <v>11.490062243174764</v>
      </c>
      <c r="X2118" s="351"/>
    </row>
    <row r="2119" spans="3:24" ht="24.75" customHeight="1" x14ac:dyDescent="0.3">
      <c r="C2119" s="353">
        <f>ABS(E2119-Dashboard!$F$14)</f>
        <v>38.716944717441407</v>
      </c>
      <c r="D2119" s="350">
        <f t="shared" si="2115"/>
        <v>0.28464999999998392</v>
      </c>
      <c r="E2119" s="359" cm="1">
        <f t="array" ref="E2119">1000*SUM('DRE + DCF'!$L$36/M2119,'DRE + DCF'!$N$36:$V$36/N2119:V2119,F2119/V2119)/Dashboard!$F$11</f>
        <v>58.273055282558587</v>
      </c>
      <c r="F2119" s="359">
        <f t="shared" si="2113"/>
        <v>9314673.2341249902</v>
      </c>
      <c r="G2119" s="359">
        <f>'DRE + DCF'!$W$31</f>
        <v>2791623.3540418856</v>
      </c>
      <c r="H2119" s="359">
        <f>'DRE + DCF'!$W$32</f>
        <v>81081.931703745853</v>
      </c>
      <c r="I2119" s="359">
        <f>-H2119*('DRE + DCF'!$V$33+K2119)/'DRE + DCF'!$V$33</f>
        <v>-90858.801614444121</v>
      </c>
      <c r="J2119" s="359">
        <f>-'DRE + DCF'!$V$56*L2119</f>
        <v>-1188924.4255577971</v>
      </c>
      <c r="K2119" s="360">
        <f>(1+L2119)/(1+Ke!$O$12)-1</f>
        <v>2.0000000000000018E-2</v>
      </c>
      <c r="L2119" s="360">
        <f>'DRE + DCF'!$Y$31</f>
        <v>7.3550000000000004E-2</v>
      </c>
      <c r="M2119" s="361">
        <f>(1+D2119)^((5-Dashboard!$F$9)*3/12)</f>
        <v>1.2066702789613029</v>
      </c>
      <c r="N2119" s="361">
        <f t="shared" ref="N2119:V2119" si="2172">M2119*(1+$D2119)</f>
        <v>1.5501489738676182</v>
      </c>
      <c r="O2119" s="361">
        <f t="shared" si="2172"/>
        <v>1.9913988792790107</v>
      </c>
      <c r="P2119" s="361">
        <f t="shared" si="2172"/>
        <v>2.558250570265749</v>
      </c>
      <c r="Q2119" s="361">
        <f t="shared" si="2172"/>
        <v>3.286456595091853</v>
      </c>
      <c r="R2119" s="361">
        <f t="shared" si="2172"/>
        <v>4.221946464884696</v>
      </c>
      <c r="S2119" s="361">
        <f t="shared" si="2172"/>
        <v>5.4237235261140571</v>
      </c>
      <c r="T2119" s="361">
        <f t="shared" si="2172"/>
        <v>6.9675864278223356</v>
      </c>
      <c r="U2119" s="361">
        <f t="shared" si="2172"/>
        <v>8.9509099045018505</v>
      </c>
      <c r="V2119" s="362">
        <f t="shared" si="2172"/>
        <v>11.498786408818157</v>
      </c>
      <c r="X2119" s="351"/>
    </row>
    <row r="2120" spans="3:24" ht="24.75" customHeight="1" x14ac:dyDescent="0.3">
      <c r="C2120" s="353">
        <f>ABS(E2120-Dashboard!$F$14)</f>
        <v>38.749009629990553</v>
      </c>
      <c r="D2120" s="350">
        <f t="shared" si="2115"/>
        <v>0.2847499999999839</v>
      </c>
      <c r="E2120" s="359" cm="1">
        <f t="array" ref="E2120">1000*SUM('DRE + DCF'!$L$36/M2120,'DRE + DCF'!$N$36:$V$36/N2120:V2120,F2120/V2120)/Dashboard!$F$11</f>
        <v>58.240990370009442</v>
      </c>
      <c r="F2120" s="359">
        <f t="shared" si="2113"/>
        <v>9310906.6952297539</v>
      </c>
      <c r="G2120" s="359">
        <f>'DRE + DCF'!$W$31</f>
        <v>2791623.3540418856</v>
      </c>
      <c r="H2120" s="359">
        <f>'DRE + DCF'!$W$32</f>
        <v>81081.931703745853</v>
      </c>
      <c r="I2120" s="359">
        <f>-H2120*('DRE + DCF'!$V$33+K2120)/'DRE + DCF'!$V$33</f>
        <v>-90858.801614444121</v>
      </c>
      <c r="J2120" s="359">
        <f>-'DRE + DCF'!$V$56*L2120</f>
        <v>-1188924.4255577971</v>
      </c>
      <c r="K2120" s="360">
        <f>(1+L2120)/(1+Ke!$O$12)-1</f>
        <v>2.0000000000000018E-2</v>
      </c>
      <c r="L2120" s="360">
        <f>'DRE + DCF'!$Y$31</f>
        <v>7.3550000000000004E-2</v>
      </c>
      <c r="M2120" s="361">
        <f>(1+D2120)^((5-Dashboard!$F$9)*3/12)</f>
        <v>1.2067407256902625</v>
      </c>
      <c r="N2120" s="361">
        <f t="shared" ref="N2120:V2120" si="2173">M2120*(1+$D2120)</f>
        <v>1.5503601473305453</v>
      </c>
      <c r="O2120" s="361">
        <f t="shared" si="2173"/>
        <v>1.991825199282893</v>
      </c>
      <c r="P2120" s="361">
        <f t="shared" si="2173"/>
        <v>2.5589974247786649</v>
      </c>
      <c r="Q2120" s="361">
        <f t="shared" si="2173"/>
        <v>3.2876719414843483</v>
      </c>
      <c r="R2120" s="361">
        <f t="shared" si="2173"/>
        <v>4.2238365268219633</v>
      </c>
      <c r="S2120" s="361">
        <f t="shared" si="2173"/>
        <v>5.4265739778344493</v>
      </c>
      <c r="T2120" s="361">
        <f t="shared" si="2173"/>
        <v>6.9717909180227213</v>
      </c>
      <c r="U2120" s="361">
        <f t="shared" si="2173"/>
        <v>8.9570083819295778</v>
      </c>
      <c r="V2120" s="362">
        <f t="shared" si="2173"/>
        <v>11.507516518683881</v>
      </c>
      <c r="X2120" s="351"/>
    </row>
    <row r="2121" spans="3:24" ht="24.75" customHeight="1" x14ac:dyDescent="0.3">
      <c r="C2121" s="353">
        <f>ABS(E2121-Dashboard!$F$14)</f>
        <v>38.781043290763847</v>
      </c>
      <c r="D2121" s="350">
        <f t="shared" si="2115"/>
        <v>0.28484999999998389</v>
      </c>
      <c r="E2121" s="359" cm="1">
        <f t="array" ref="E2121">1000*SUM('DRE + DCF'!$L$36/M2121,'DRE + DCF'!$N$36:$V$36/N2121:V2121,F2121/V2121)/Dashboard!$F$11</f>
        <v>58.208956709236148</v>
      </c>
      <c r="F2121" s="359">
        <f t="shared" si="2113"/>
        <v>9307143.2696187757</v>
      </c>
      <c r="G2121" s="359">
        <f>'DRE + DCF'!$W$31</f>
        <v>2791623.3540418856</v>
      </c>
      <c r="H2121" s="359">
        <f>'DRE + DCF'!$W$32</f>
        <v>81081.931703745853</v>
      </c>
      <c r="I2121" s="359">
        <f>-H2121*('DRE + DCF'!$V$33+K2121)/'DRE + DCF'!$V$33</f>
        <v>-90858.801614444121</v>
      </c>
      <c r="J2121" s="359">
        <f>-'DRE + DCF'!$V$56*L2121</f>
        <v>-1188924.4255577971</v>
      </c>
      <c r="K2121" s="360">
        <f>(1+L2121)/(1+Ke!$O$12)-1</f>
        <v>2.0000000000000018E-2</v>
      </c>
      <c r="L2121" s="360">
        <f>'DRE + DCF'!$Y$31</f>
        <v>7.3550000000000004E-2</v>
      </c>
      <c r="M2121" s="361">
        <f>(1+D2121)^((5-Dashboard!$F$9)*3/12)</f>
        <v>1.2068111710484097</v>
      </c>
      <c r="N2121" s="361">
        <f t="shared" ref="N2121:V2121" si="2174">M2121*(1+$D2121)</f>
        <v>1.5505713331215298</v>
      </c>
      <c r="O2121" s="361">
        <f t="shared" si="2174"/>
        <v>1.9922515773611726</v>
      </c>
      <c r="P2121" s="361">
        <f t="shared" si="2174"/>
        <v>2.5597444391724706</v>
      </c>
      <c r="Q2121" s="361">
        <f t="shared" si="2174"/>
        <v>3.2888876426707077</v>
      </c>
      <c r="R2121" s="361">
        <f t="shared" si="2174"/>
        <v>4.2257272876854053</v>
      </c>
      <c r="S2121" s="361">
        <f t="shared" si="2174"/>
        <v>5.429425705582525</v>
      </c>
      <c r="T2121" s="361">
        <f t="shared" si="2174"/>
        <v>6.9759976178176197</v>
      </c>
      <c r="U2121" s="361">
        <f t="shared" si="2174"/>
        <v>8.9631105392528561</v>
      </c>
      <c r="V2121" s="362">
        <f t="shared" si="2174"/>
        <v>11.516252576358887</v>
      </c>
      <c r="X2121" s="351"/>
    </row>
    <row r="2122" spans="3:24" ht="24.75" customHeight="1" x14ac:dyDescent="0.3">
      <c r="C2122" s="353">
        <f>ABS(E2122-Dashboard!$F$14)</f>
        <v>38.813045742166203</v>
      </c>
      <c r="D2122" s="350">
        <f t="shared" si="2115"/>
        <v>0.28494999999998388</v>
      </c>
      <c r="E2122" s="359" cm="1">
        <f t="array" ref="E2122">1000*SUM('DRE + DCF'!$L$36/M2122,'DRE + DCF'!$N$36:$V$36/N2122:V2122,F2122/V2122)/Dashboard!$F$11</f>
        <v>58.176954257833792</v>
      </c>
      <c r="F2122" s="359">
        <f t="shared" si="2113"/>
        <v>9303382.9533494245</v>
      </c>
      <c r="G2122" s="359">
        <f>'DRE + DCF'!$W$31</f>
        <v>2791623.3540418856</v>
      </c>
      <c r="H2122" s="359">
        <f>'DRE + DCF'!$W$32</f>
        <v>81081.931703745853</v>
      </c>
      <c r="I2122" s="359">
        <f>-H2122*('DRE + DCF'!$V$33+K2122)/'DRE + DCF'!$V$33</f>
        <v>-90858.801614444121</v>
      </c>
      <c r="J2122" s="359">
        <f>-'DRE + DCF'!$V$56*L2122</f>
        <v>-1188924.4255577971</v>
      </c>
      <c r="K2122" s="360">
        <f>(1+L2122)/(1+Ke!$O$12)-1</f>
        <v>2.0000000000000018E-2</v>
      </c>
      <c r="L2122" s="360">
        <f>'DRE + DCF'!$Y$31</f>
        <v>7.3550000000000004E-2</v>
      </c>
      <c r="M2122" s="361">
        <f>(1+D2122)^((5-Dashboard!$F$9)*3/12)</f>
        <v>1.2068816150358781</v>
      </c>
      <c r="N2122" s="361">
        <f t="shared" ref="N2122:V2122" si="2175">M2122*(1+$D2122)</f>
        <v>1.5507825312403321</v>
      </c>
      <c r="O2122" s="361">
        <f t="shared" si="2175"/>
        <v>1.9926780135172395</v>
      </c>
      <c r="P2122" s="361">
        <f t="shared" si="2175"/>
        <v>2.5604916134689448</v>
      </c>
      <c r="Q2122" s="361">
        <f t="shared" si="2175"/>
        <v>3.2901036987268792</v>
      </c>
      <c r="R2122" s="361">
        <f t="shared" si="2175"/>
        <v>4.2276187476790499</v>
      </c>
      <c r="S2122" s="361">
        <f t="shared" si="2175"/>
        <v>5.4322787098301264</v>
      </c>
      <c r="T2122" s="361">
        <f t="shared" si="2175"/>
        <v>6.980206528196133</v>
      </c>
      <c r="U2122" s="361">
        <f t="shared" si="2175"/>
        <v>8.969216378405509</v>
      </c>
      <c r="V2122" s="362">
        <f t="shared" si="2175"/>
        <v>11.524994585432013</v>
      </c>
      <c r="X2122" s="351"/>
    </row>
    <row r="2123" spans="3:24" ht="24.75" customHeight="1" x14ac:dyDescent="0.3">
      <c r="C2123" s="353">
        <f>ABS(E2123-Dashboard!$F$14)</f>
        <v>38.845017026528566</v>
      </c>
      <c r="D2123" s="350">
        <f t="shared" si="2115"/>
        <v>0.28504999999998387</v>
      </c>
      <c r="E2123" s="359" cm="1">
        <f t="array" ref="E2123">1000*SUM('DRE + DCF'!$L$36/M2123,'DRE + DCF'!$N$36:$V$36/N2123:V2123,F2123/V2123)/Dashboard!$F$11</f>
        <v>58.144982973471429</v>
      </c>
      <c r="F2123" s="359">
        <f t="shared" si="2113"/>
        <v>9299625.7424858604</v>
      </c>
      <c r="G2123" s="359">
        <f>'DRE + DCF'!$W$31</f>
        <v>2791623.3540418856</v>
      </c>
      <c r="H2123" s="359">
        <f>'DRE + DCF'!$W$32</f>
        <v>81081.931703745853</v>
      </c>
      <c r="I2123" s="359">
        <f>-H2123*('DRE + DCF'!$V$33+K2123)/'DRE + DCF'!$V$33</f>
        <v>-90858.801614444121</v>
      </c>
      <c r="J2123" s="359">
        <f>-'DRE + DCF'!$V$56*L2123</f>
        <v>-1188924.4255577971</v>
      </c>
      <c r="K2123" s="360">
        <f>(1+L2123)/(1+Ke!$O$12)-1</f>
        <v>2.0000000000000018E-2</v>
      </c>
      <c r="L2123" s="360">
        <f>'DRE + DCF'!$Y$31</f>
        <v>7.3550000000000004E-2</v>
      </c>
      <c r="M2123" s="361">
        <f>(1+D2123)^((5-Dashboard!$F$9)*3/12)</f>
        <v>1.206952057652801</v>
      </c>
      <c r="N2123" s="361">
        <f t="shared" ref="N2123:V2123" si="2176">M2123*(1+$D2123)</f>
        <v>1.5509937416867123</v>
      </c>
      <c r="O2123" s="361">
        <f t="shared" si="2176"/>
        <v>1.9931045077544847</v>
      </c>
      <c r="P2123" s="361">
        <f t="shared" si="2176"/>
        <v>2.5612389476898683</v>
      </c>
      <c r="Q2123" s="361">
        <f t="shared" si="2176"/>
        <v>3.2913201097288236</v>
      </c>
      <c r="R2123" s="361">
        <f t="shared" si="2176"/>
        <v>4.2295109070069712</v>
      </c>
      <c r="S2123" s="361">
        <f t="shared" si="2176"/>
        <v>5.4351329910492403</v>
      </c>
      <c r="T2123" s="361">
        <f t="shared" si="2176"/>
        <v>6.984417650147738</v>
      </c>
      <c r="U2123" s="361">
        <f t="shared" si="2176"/>
        <v>8.975325901322238</v>
      </c>
      <c r="V2123" s="362">
        <f t="shared" si="2176"/>
        <v>11.533742549493997</v>
      </c>
      <c r="X2123" s="351"/>
    </row>
    <row r="2124" spans="3:24" ht="24.75" customHeight="1" x14ac:dyDescent="0.3">
      <c r="C2124" s="353">
        <f>ABS(E2124-Dashboard!$F$14)</f>
        <v>38.876957186108001</v>
      </c>
      <c r="D2124" s="350">
        <f t="shared" si="2115"/>
        <v>0.28514999999998386</v>
      </c>
      <c r="E2124" s="359" cm="1">
        <f t="array" ref="E2124">1000*SUM('DRE + DCF'!$L$36/M2124,'DRE + DCF'!$N$36:$V$36/N2124:V2124,F2124/V2124)/Dashboard!$F$11</f>
        <v>58.113042813891994</v>
      </c>
      <c r="F2124" s="359">
        <f t="shared" si="2113"/>
        <v>9295871.6330990195</v>
      </c>
      <c r="G2124" s="359">
        <f>'DRE + DCF'!$W$31</f>
        <v>2791623.3540418856</v>
      </c>
      <c r="H2124" s="359">
        <f>'DRE + DCF'!$W$32</f>
        <v>81081.931703745853</v>
      </c>
      <c r="I2124" s="359">
        <f>-H2124*('DRE + DCF'!$V$33+K2124)/'DRE + DCF'!$V$33</f>
        <v>-90858.801614444121</v>
      </c>
      <c r="J2124" s="359">
        <f>-'DRE + DCF'!$V$56*L2124</f>
        <v>-1188924.4255577971</v>
      </c>
      <c r="K2124" s="360">
        <f>(1+L2124)/(1+Ke!$O$12)-1</f>
        <v>2.0000000000000018E-2</v>
      </c>
      <c r="L2124" s="360">
        <f>'DRE + DCF'!$Y$31</f>
        <v>7.3550000000000004E-2</v>
      </c>
      <c r="M2124" s="361">
        <f>(1+D2124)^((5-Dashboard!$F$9)*3/12)</f>
        <v>1.2070224988993115</v>
      </c>
      <c r="N2124" s="361">
        <f t="shared" ref="N2124:V2124" si="2177">M2124*(1+$D2124)</f>
        <v>1.5512049644604307</v>
      </c>
      <c r="O2124" s="361">
        <f t="shared" si="2177"/>
        <v>1.9935310600762974</v>
      </c>
      <c r="P2124" s="361">
        <f t="shared" si="2177"/>
        <v>2.5619864418570213</v>
      </c>
      <c r="Q2124" s="361">
        <f t="shared" si="2177"/>
        <v>3.2925368757525093</v>
      </c>
      <c r="R2124" s="361">
        <f t="shared" si="2177"/>
        <v>4.2314037658732842</v>
      </c>
      <c r="S2124" s="361">
        <f t="shared" si="2177"/>
        <v>5.4379885497119824</v>
      </c>
      <c r="T2124" s="361">
        <f t="shared" si="2177"/>
        <v>6.9886309846622661</v>
      </c>
      <c r="U2124" s="361">
        <f t="shared" si="2177"/>
        <v>8.9814391099385986</v>
      </c>
      <c r="V2124" s="362">
        <f t="shared" si="2177"/>
        <v>11.542496472137445</v>
      </c>
      <c r="X2124" s="351"/>
    </row>
    <row r="2125" spans="3:24" ht="24.75" customHeight="1" x14ac:dyDescent="0.3">
      <c r="C2125" s="353">
        <f>ABS(E2125-Dashboard!$F$14)</f>
        <v>38.90886626308798</v>
      </c>
      <c r="D2125" s="350">
        <f t="shared" si="2115"/>
        <v>0.28524999999998385</v>
      </c>
      <c r="E2125" s="359" cm="1">
        <f t="array" ref="E2125">1000*SUM('DRE + DCF'!$L$36/M2125,'DRE + DCF'!$N$36:$V$36/N2125:V2125,F2125/V2125)/Dashboard!$F$11</f>
        <v>58.081133736912015</v>
      </c>
      <c r="F2125" s="359">
        <f t="shared" si="2113"/>
        <v>9292120.6212665904</v>
      </c>
      <c r="G2125" s="359">
        <f>'DRE + DCF'!$W$31</f>
        <v>2791623.3540418856</v>
      </c>
      <c r="H2125" s="359">
        <f>'DRE + DCF'!$W$32</f>
        <v>81081.931703745853</v>
      </c>
      <c r="I2125" s="359">
        <f>-H2125*('DRE + DCF'!$V$33+K2125)/'DRE + DCF'!$V$33</f>
        <v>-90858.801614444121</v>
      </c>
      <c r="J2125" s="359">
        <f>-'DRE + DCF'!$V$56*L2125</f>
        <v>-1188924.4255577971</v>
      </c>
      <c r="K2125" s="360">
        <f>(1+L2125)/(1+Ke!$O$12)-1</f>
        <v>2.0000000000000018E-2</v>
      </c>
      <c r="L2125" s="360">
        <f>'DRE + DCF'!$Y$31</f>
        <v>7.3550000000000004E-2</v>
      </c>
      <c r="M2125" s="361">
        <f>(1+D2125)^((5-Dashboard!$F$9)*3/12)</f>
        <v>1.2070929387755431</v>
      </c>
      <c r="N2125" s="361">
        <f t="shared" ref="N2125:V2125" si="2178">M2125*(1+$D2125)</f>
        <v>1.5514161995612472</v>
      </c>
      <c r="O2125" s="361">
        <f t="shared" si="2178"/>
        <v>1.9939576704860678</v>
      </c>
      <c r="P2125" s="361">
        <f t="shared" si="2178"/>
        <v>2.5627340959921865</v>
      </c>
      <c r="Q2125" s="361">
        <f t="shared" si="2178"/>
        <v>3.293753996873916</v>
      </c>
      <c r="R2125" s="361">
        <f t="shared" si="2178"/>
        <v>4.2332973244821472</v>
      </c>
      <c r="S2125" s="361">
        <f t="shared" si="2178"/>
        <v>5.4408453862906114</v>
      </c>
      <c r="T2125" s="361">
        <f t="shared" si="2178"/>
        <v>6.9928465327299199</v>
      </c>
      <c r="U2125" s="361">
        <f t="shared" si="2178"/>
        <v>8.9875560061910154</v>
      </c>
      <c r="V2125" s="362">
        <f t="shared" si="2178"/>
        <v>11.551256356956857</v>
      </c>
      <c r="X2125" s="351"/>
    </row>
    <row r="2126" spans="3:24" ht="24.75" customHeight="1" x14ac:dyDescent="0.3">
      <c r="C2126" s="353">
        <f>ABS(E2126-Dashboard!$F$14)</f>
        <v>38.940744299578448</v>
      </c>
      <c r="D2126" s="350">
        <f t="shared" si="2115"/>
        <v>0.28534999999998384</v>
      </c>
      <c r="E2126" s="359" cm="1">
        <f t="array" ref="E2126">1000*SUM('DRE + DCF'!$L$36/M2126,'DRE + DCF'!$N$36:$V$36/N2126:V2126,F2126/V2126)/Dashboard!$F$11</f>
        <v>58.049255700421547</v>
      </c>
      <c r="F2126" s="359">
        <f t="shared" ref="F2126:F2189" si="2179">AVERAGE(SUM(G2126:J2126)*(1+L2126)/(D2126-L2126),G2126*(1+L2126)*(1-L2126/D2126)/(D2126-L2126))</f>
        <v>9288372.7030730173</v>
      </c>
      <c r="G2126" s="359">
        <f>'DRE + DCF'!$W$31</f>
        <v>2791623.3540418856</v>
      </c>
      <c r="H2126" s="359">
        <f>'DRE + DCF'!$W$32</f>
        <v>81081.931703745853</v>
      </c>
      <c r="I2126" s="359">
        <f>-H2126*('DRE + DCF'!$V$33+K2126)/'DRE + DCF'!$V$33</f>
        <v>-90858.801614444121</v>
      </c>
      <c r="J2126" s="359">
        <f>-'DRE + DCF'!$V$56*L2126</f>
        <v>-1188924.4255577971</v>
      </c>
      <c r="K2126" s="360">
        <f>(1+L2126)/(1+Ke!$O$12)-1</f>
        <v>2.0000000000000018E-2</v>
      </c>
      <c r="L2126" s="360">
        <f>'DRE + DCF'!$Y$31</f>
        <v>7.3550000000000004E-2</v>
      </c>
      <c r="M2126" s="361">
        <f>(1+D2126)^((5-Dashboard!$F$9)*3/12)</f>
        <v>1.2071633772816288</v>
      </c>
      <c r="N2126" s="361">
        <f t="shared" ref="N2126:V2126" si="2180">M2126*(1+$D2126)</f>
        <v>1.551627446988922</v>
      </c>
      <c r="O2126" s="361">
        <f t="shared" si="2180"/>
        <v>1.9943843389871856</v>
      </c>
      <c r="P2126" s="361">
        <f t="shared" si="2180"/>
        <v>2.5634819101171464</v>
      </c>
      <c r="Q2126" s="361">
        <f t="shared" si="2180"/>
        <v>3.2949714731690327</v>
      </c>
      <c r="R2126" s="361">
        <f t="shared" si="2180"/>
        <v>4.2351915830377624</v>
      </c>
      <c r="S2126" s="361">
        <f t="shared" si="2180"/>
        <v>5.4437035012575192</v>
      </c>
      <c r="T2126" s="361">
        <f t="shared" si="2180"/>
        <v>6.9970642953412643</v>
      </c>
      <c r="U2126" s="361">
        <f t="shared" si="2180"/>
        <v>8.9936765920167812</v>
      </c>
      <c r="V2126" s="362">
        <f t="shared" si="2180"/>
        <v>11.560022207548624</v>
      </c>
      <c r="X2126" s="351"/>
    </row>
    <row r="2127" spans="3:24" ht="24.75" customHeight="1" x14ac:dyDescent="0.3">
      <c r="C2127" s="353">
        <f>ABS(E2127-Dashboard!$F$14)</f>
        <v>38.972591337615981</v>
      </c>
      <c r="D2127" s="350">
        <f t="shared" ref="D2127:D2190" si="2181">D2126+0.0001</f>
        <v>0.28544999999998383</v>
      </c>
      <c r="E2127" s="359" cm="1">
        <f t="array" ref="E2127">1000*SUM('DRE + DCF'!$L$36/M2127,'DRE + DCF'!$N$36:$V$36/N2127:V2127,F2127/V2127)/Dashboard!$F$11</f>
        <v>58.017408662384014</v>
      </c>
      <c r="F2127" s="359">
        <f t="shared" si="2179"/>
        <v>9284627.8746094666</v>
      </c>
      <c r="G2127" s="359">
        <f>'DRE + DCF'!$W$31</f>
        <v>2791623.3540418856</v>
      </c>
      <c r="H2127" s="359">
        <f>'DRE + DCF'!$W$32</f>
        <v>81081.931703745853</v>
      </c>
      <c r="I2127" s="359">
        <f>-H2127*('DRE + DCF'!$V$33+K2127)/'DRE + DCF'!$V$33</f>
        <v>-90858.801614444121</v>
      </c>
      <c r="J2127" s="359">
        <f>-'DRE + DCF'!$V$56*L2127</f>
        <v>-1188924.4255577971</v>
      </c>
      <c r="K2127" s="360">
        <f>(1+L2127)/(1+Ke!$O$12)-1</f>
        <v>2.0000000000000018E-2</v>
      </c>
      <c r="L2127" s="360">
        <f>'DRE + DCF'!$Y$31</f>
        <v>7.3550000000000004E-2</v>
      </c>
      <c r="M2127" s="361">
        <f>(1+D2127)^((5-Dashboard!$F$9)*3/12)</f>
        <v>1.2072338144177022</v>
      </c>
      <c r="N2127" s="361">
        <f t="shared" ref="N2127:V2127" si="2182">M2127*(1+$D2127)</f>
        <v>1.5518387067432156</v>
      </c>
      <c r="O2127" s="361">
        <f t="shared" si="2182"/>
        <v>1.9948110655830413</v>
      </c>
      <c r="P2127" s="361">
        <f t="shared" si="2182"/>
        <v>2.5642298842536881</v>
      </c>
      <c r="Q2127" s="361">
        <f t="shared" si="2182"/>
        <v>3.2961893047138617</v>
      </c>
      <c r="R2127" s="361">
        <f t="shared" si="2182"/>
        <v>4.2370865417443797</v>
      </c>
      <c r="S2127" s="361">
        <f t="shared" si="2182"/>
        <v>5.4465628950852443</v>
      </c>
      <c r="T2127" s="361">
        <f t="shared" si="2182"/>
        <v>7.0012842734872391</v>
      </c>
      <c r="U2127" s="361">
        <f t="shared" si="2182"/>
        <v>8.9998008693540577</v>
      </c>
      <c r="V2127" s="362">
        <f t="shared" si="2182"/>
        <v>11.568794027511027</v>
      </c>
      <c r="X2127" s="351"/>
    </row>
    <row r="2128" spans="3:24" ht="24.75" customHeight="1" x14ac:dyDescent="0.3">
      <c r="C2128" s="353">
        <f>ABS(E2128-Dashboard!$F$14)</f>
        <v>39.004407419164018</v>
      </c>
      <c r="D2128" s="350">
        <f t="shared" si="2181"/>
        <v>0.28554999999998382</v>
      </c>
      <c r="E2128" s="359" cm="1">
        <f t="array" ref="E2128">1000*SUM('DRE + DCF'!$L$36/M2128,'DRE + DCF'!$N$36:$V$36/N2128:V2128,F2128/V2128)/Dashboard!$F$11</f>
        <v>57.985592580835977</v>
      </c>
      <c r="F2128" s="359">
        <f t="shared" si="2179"/>
        <v>9280886.1319738254</v>
      </c>
      <c r="G2128" s="359">
        <f>'DRE + DCF'!$W$31</f>
        <v>2791623.3540418856</v>
      </c>
      <c r="H2128" s="359">
        <f>'DRE + DCF'!$W$32</f>
        <v>81081.931703745853</v>
      </c>
      <c r="I2128" s="359">
        <f>-H2128*('DRE + DCF'!$V$33+K2128)/'DRE + DCF'!$V$33</f>
        <v>-90858.801614444121</v>
      </c>
      <c r="J2128" s="359">
        <f>-'DRE + DCF'!$V$56*L2128</f>
        <v>-1188924.4255577971</v>
      </c>
      <c r="K2128" s="360">
        <f>(1+L2128)/(1+Ke!$O$12)-1</f>
        <v>2.0000000000000018E-2</v>
      </c>
      <c r="L2128" s="360">
        <f>'DRE + DCF'!$Y$31</f>
        <v>7.3550000000000004E-2</v>
      </c>
      <c r="M2128" s="361">
        <f>(1+D2128)^((5-Dashboard!$F$9)*3/12)</f>
        <v>1.2073042501838964</v>
      </c>
      <c r="N2128" s="361">
        <f t="shared" ref="N2128:V2128" si="2183">M2128*(1+$D2128)</f>
        <v>1.5520499788238884</v>
      </c>
      <c r="O2128" s="361">
        <f t="shared" si="2183"/>
        <v>1.9952378502770245</v>
      </c>
      <c r="P2128" s="361">
        <f t="shared" si="2183"/>
        <v>2.5649780184235964</v>
      </c>
      <c r="Q2128" s="361">
        <f t="shared" si="2183"/>
        <v>3.2974074915844125</v>
      </c>
      <c r="R2128" s="361">
        <f t="shared" si="2183"/>
        <v>4.2389822008062881</v>
      </c>
      <c r="S2128" s="361">
        <f t="shared" si="2183"/>
        <v>5.4494235682464547</v>
      </c>
      <c r="T2128" s="361">
        <f t="shared" si="2183"/>
        <v>7.0055064681591412</v>
      </c>
      <c r="U2128" s="361">
        <f t="shared" si="2183"/>
        <v>9.0059288401418698</v>
      </c>
      <c r="V2128" s="362">
        <f t="shared" si="2183"/>
        <v>11.577571820444234</v>
      </c>
      <c r="X2128" s="351"/>
    </row>
    <row r="2129" spans="3:24" ht="24.75" customHeight="1" x14ac:dyDescent="0.3">
      <c r="C2129" s="353">
        <f>ABS(E2129-Dashboard!$F$14)</f>
        <v>39.036192586112954</v>
      </c>
      <c r="D2129" s="350">
        <f t="shared" si="2181"/>
        <v>0.28564999999998381</v>
      </c>
      <c r="E2129" s="359" cm="1">
        <f t="array" ref="E2129">1000*SUM('DRE + DCF'!$L$36/M2129,'DRE + DCF'!$N$36:$V$36/N2129:V2129,F2129/V2129)/Dashboard!$F$11</f>
        <v>57.953807413887041</v>
      </c>
      <c r="F2129" s="359">
        <f t="shared" si="2179"/>
        <v>9277147.4712706767</v>
      </c>
      <c r="G2129" s="359">
        <f>'DRE + DCF'!$W$31</f>
        <v>2791623.3540418856</v>
      </c>
      <c r="H2129" s="359">
        <f>'DRE + DCF'!$W$32</f>
        <v>81081.931703745853</v>
      </c>
      <c r="I2129" s="359">
        <f>-H2129*('DRE + DCF'!$V$33+K2129)/'DRE + DCF'!$V$33</f>
        <v>-90858.801614444121</v>
      </c>
      <c r="J2129" s="359">
        <f>-'DRE + DCF'!$V$56*L2129</f>
        <v>-1188924.4255577971</v>
      </c>
      <c r="K2129" s="360">
        <f>(1+L2129)/(1+Ke!$O$12)-1</f>
        <v>2.0000000000000018E-2</v>
      </c>
      <c r="L2129" s="360">
        <f>'DRE + DCF'!$Y$31</f>
        <v>7.3550000000000004E-2</v>
      </c>
      <c r="M2129" s="361">
        <f>(1+D2129)^((5-Dashboard!$F$9)*3/12)</f>
        <v>1.2073746845803444</v>
      </c>
      <c r="N2129" s="361">
        <f t="shared" ref="N2129:V2129" si="2184">M2129*(1+$D2129)</f>
        <v>1.5522612632307</v>
      </c>
      <c r="O2129" s="361">
        <f t="shared" si="2184"/>
        <v>1.9956646930725241</v>
      </c>
      <c r="P2129" s="361">
        <f t="shared" si="2184"/>
        <v>2.5657263126486582</v>
      </c>
      <c r="Q2129" s="361">
        <f t="shared" si="2184"/>
        <v>3.2986260338567059</v>
      </c>
      <c r="R2129" s="361">
        <f t="shared" si="2184"/>
        <v>4.2408785604278201</v>
      </c>
      <c r="S2129" s="361">
        <f t="shared" si="2184"/>
        <v>5.452285521213958</v>
      </c>
      <c r="T2129" s="361">
        <f t="shared" si="2184"/>
        <v>7.0097308803486369</v>
      </c>
      <c r="U2129" s="361">
        <f t="shared" si="2184"/>
        <v>9.0120605063201111</v>
      </c>
      <c r="V2129" s="362">
        <f t="shared" si="2184"/>
        <v>11.586355589950305</v>
      </c>
      <c r="X2129" s="351"/>
    </row>
    <row r="2130" spans="3:24" ht="24.75" customHeight="1" x14ac:dyDescent="0.3">
      <c r="C2130" s="353">
        <f>ABS(E2130-Dashboard!$F$14)</f>
        <v>39.067946880280317</v>
      </c>
      <c r="D2130" s="350">
        <f t="shared" si="2181"/>
        <v>0.28574999999998379</v>
      </c>
      <c r="E2130" s="359" cm="1">
        <f t="array" ref="E2130">1000*SUM('DRE + DCF'!$L$36/M2130,'DRE + DCF'!$N$36:$V$36/N2130:V2130,F2130/V2130)/Dashboard!$F$11</f>
        <v>57.922053119719678</v>
      </c>
      <c r="F2130" s="359">
        <f t="shared" si="2179"/>
        <v>9273411.8886112999</v>
      </c>
      <c r="G2130" s="359">
        <f>'DRE + DCF'!$W$31</f>
        <v>2791623.3540418856</v>
      </c>
      <c r="H2130" s="359">
        <f>'DRE + DCF'!$W$32</f>
        <v>81081.931703745853</v>
      </c>
      <c r="I2130" s="359">
        <f>-H2130*('DRE + DCF'!$V$33+K2130)/'DRE + DCF'!$V$33</f>
        <v>-90858.801614444121</v>
      </c>
      <c r="J2130" s="359">
        <f>-'DRE + DCF'!$V$56*L2130</f>
        <v>-1188924.4255577971</v>
      </c>
      <c r="K2130" s="360">
        <f>(1+L2130)/(1+Ke!$O$12)-1</f>
        <v>2.0000000000000018E-2</v>
      </c>
      <c r="L2130" s="360">
        <f>'DRE + DCF'!$Y$31</f>
        <v>7.3550000000000004E-2</v>
      </c>
      <c r="M2130" s="361">
        <f>(1+D2130)^((5-Dashboard!$F$9)*3/12)</f>
        <v>1.2074451176071797</v>
      </c>
      <c r="N2130" s="361">
        <f t="shared" ref="N2130:V2130" si="2185">M2130*(1+$D2130)</f>
        <v>1.5524725599634117</v>
      </c>
      <c r="O2130" s="361">
        <f t="shared" si="2185"/>
        <v>1.9960915939729313</v>
      </c>
      <c r="P2130" s="361">
        <f t="shared" si="2185"/>
        <v>2.5664747669506642</v>
      </c>
      <c r="Q2130" s="361">
        <f t="shared" si="2185"/>
        <v>3.2998449316067746</v>
      </c>
      <c r="R2130" s="361">
        <f t="shared" si="2185"/>
        <v>4.2427756208133571</v>
      </c>
      <c r="S2130" s="361">
        <f t="shared" si="2185"/>
        <v>5.4551487544607049</v>
      </c>
      <c r="T2130" s="361">
        <f t="shared" si="2185"/>
        <v>7.0139575110477628</v>
      </c>
      <c r="U2130" s="361">
        <f t="shared" si="2185"/>
        <v>9.0181958698295475</v>
      </c>
      <c r="V2130" s="362">
        <f t="shared" si="2185"/>
        <v>11.595145339633193</v>
      </c>
      <c r="X2130" s="351"/>
    </row>
    <row r="2131" spans="3:24" ht="24.75" customHeight="1" x14ac:dyDescent="0.3">
      <c r="C2131" s="353">
        <f>ABS(E2131-Dashboard!$F$14)</f>
        <v>39.099670343410871</v>
      </c>
      <c r="D2131" s="350">
        <f t="shared" si="2181"/>
        <v>0.28584999999998378</v>
      </c>
      <c r="E2131" s="359" cm="1">
        <f t="array" ref="E2131">1000*SUM('DRE + DCF'!$L$36/M2131,'DRE + DCF'!$N$36:$V$36/N2131:V2131,F2131/V2131)/Dashboard!$F$11</f>
        <v>57.890329656589124</v>
      </c>
      <c r="F2131" s="359">
        <f t="shared" si="2179"/>
        <v>9269679.3801136315</v>
      </c>
      <c r="G2131" s="359">
        <f>'DRE + DCF'!$W$31</f>
        <v>2791623.3540418856</v>
      </c>
      <c r="H2131" s="359">
        <f>'DRE + DCF'!$W$32</f>
        <v>81081.931703745853</v>
      </c>
      <c r="I2131" s="359">
        <f>-H2131*('DRE + DCF'!$V$33+K2131)/'DRE + DCF'!$V$33</f>
        <v>-90858.801614444121</v>
      </c>
      <c r="J2131" s="359">
        <f>-'DRE + DCF'!$V$56*L2131</f>
        <v>-1188924.4255577971</v>
      </c>
      <c r="K2131" s="360">
        <f>(1+L2131)/(1+Ke!$O$12)-1</f>
        <v>2.0000000000000018E-2</v>
      </c>
      <c r="L2131" s="360">
        <f>'DRE + DCF'!$Y$31</f>
        <v>7.3550000000000004E-2</v>
      </c>
      <c r="M2131" s="361">
        <f>(1+D2131)^((5-Dashboard!$F$9)*3/12)</f>
        <v>1.2075155492645351</v>
      </c>
      <c r="N2131" s="361">
        <f t="shared" ref="N2131:V2131" si="2186">M2131*(1+$D2131)</f>
        <v>1.5526838690217828</v>
      </c>
      <c r="O2131" s="361">
        <f t="shared" si="2186"/>
        <v>1.9965185529816341</v>
      </c>
      <c r="P2131" s="361">
        <f t="shared" si="2186"/>
        <v>2.5672233813514018</v>
      </c>
      <c r="Q2131" s="361">
        <f t="shared" si="2186"/>
        <v>3.3010641849106581</v>
      </c>
      <c r="R2131" s="361">
        <f t="shared" si="2186"/>
        <v>4.2446733821673162</v>
      </c>
      <c r="S2131" s="361">
        <f t="shared" si="2186"/>
        <v>5.4580132684597746</v>
      </c>
      <c r="T2131" s="361">
        <f t="shared" si="2186"/>
        <v>7.0181863612489126</v>
      </c>
      <c r="U2131" s="361">
        <f t="shared" si="2186"/>
        <v>9.0243349326118008</v>
      </c>
      <c r="V2131" s="362">
        <f t="shared" si="2186"/>
        <v>11.603941073098737</v>
      </c>
      <c r="X2131" s="351"/>
    </row>
    <row r="2132" spans="3:24" ht="24.75" customHeight="1" x14ac:dyDescent="0.3">
      <c r="C2132" s="353">
        <f>ABS(E2132-Dashboard!$F$14)</f>
        <v>39.131363017176909</v>
      </c>
      <c r="D2132" s="350">
        <f t="shared" si="2181"/>
        <v>0.28594999999998377</v>
      </c>
      <c r="E2132" s="359" cm="1">
        <f t="array" ref="E2132">1000*SUM('DRE + DCF'!$L$36/M2132,'DRE + DCF'!$N$36:$V$36/N2132:V2132,F2132/V2132)/Dashboard!$F$11</f>
        <v>57.858636982823086</v>
      </c>
      <c r="F2132" s="359">
        <f t="shared" si="2179"/>
        <v>9265949.9419022761</v>
      </c>
      <c r="G2132" s="359">
        <f>'DRE + DCF'!$W$31</f>
        <v>2791623.3540418856</v>
      </c>
      <c r="H2132" s="359">
        <f>'DRE + DCF'!$W$32</f>
        <v>81081.931703745853</v>
      </c>
      <c r="I2132" s="359">
        <f>-H2132*('DRE + DCF'!$V$33+K2132)/'DRE + DCF'!$V$33</f>
        <v>-90858.801614444121</v>
      </c>
      <c r="J2132" s="359">
        <f>-'DRE + DCF'!$V$56*L2132</f>
        <v>-1188924.4255577971</v>
      </c>
      <c r="K2132" s="360">
        <f>(1+L2132)/(1+Ke!$O$12)-1</f>
        <v>2.0000000000000018E-2</v>
      </c>
      <c r="L2132" s="360">
        <f>'DRE + DCF'!$Y$31</f>
        <v>7.3550000000000004E-2</v>
      </c>
      <c r="M2132" s="361">
        <f>(1+D2132)^((5-Dashboard!$F$9)*3/12)</f>
        <v>1.2075859795525439</v>
      </c>
      <c r="N2132" s="361">
        <f t="shared" ref="N2132:V2132" si="2187">M2132*(1+$D2132)</f>
        <v>1.5528951904055741</v>
      </c>
      <c r="O2132" s="361">
        <f t="shared" si="2187"/>
        <v>1.9969455701020227</v>
      </c>
      <c r="P2132" s="361">
        <f t="shared" si="2187"/>
        <v>2.5679721558726634</v>
      </c>
      <c r="Q2132" s="361">
        <f t="shared" si="2187"/>
        <v>3.3022837938444098</v>
      </c>
      <c r="R2132" s="361">
        <f t="shared" si="2187"/>
        <v>4.2465718446941647</v>
      </c>
      <c r="S2132" s="361">
        <f t="shared" si="2187"/>
        <v>5.4608790636843922</v>
      </c>
      <c r="T2132" s="361">
        <f t="shared" si="2187"/>
        <v>7.0224174319448549</v>
      </c>
      <c r="U2132" s="361">
        <f t="shared" si="2187"/>
        <v>9.0304776966093723</v>
      </c>
      <c r="V2132" s="362">
        <f t="shared" si="2187"/>
        <v>11.612742793954675</v>
      </c>
      <c r="X2132" s="351"/>
    </row>
    <row r="2133" spans="3:24" ht="24.75" customHeight="1" x14ac:dyDescent="0.3">
      <c r="C2133" s="353">
        <f>ABS(E2133-Dashboard!$F$14)</f>
        <v>39.163024943178286</v>
      </c>
      <c r="D2133" s="350">
        <f t="shared" si="2181"/>
        <v>0.28604999999998376</v>
      </c>
      <c r="E2133" s="359" cm="1">
        <f t="array" ref="E2133">1000*SUM('DRE + DCF'!$L$36/M2133,'DRE + DCF'!$N$36:$V$36/N2133:V2133,F2133/V2133)/Dashboard!$F$11</f>
        <v>57.826975056821709</v>
      </c>
      <c r="F2133" s="359">
        <f t="shared" si="2179"/>
        <v>9262223.570108477</v>
      </c>
      <c r="G2133" s="359">
        <f>'DRE + DCF'!$W$31</f>
        <v>2791623.3540418856</v>
      </c>
      <c r="H2133" s="359">
        <f>'DRE + DCF'!$W$32</f>
        <v>81081.931703745853</v>
      </c>
      <c r="I2133" s="359">
        <f>-H2133*('DRE + DCF'!$V$33+K2133)/'DRE + DCF'!$V$33</f>
        <v>-90858.801614444121</v>
      </c>
      <c r="J2133" s="359">
        <f>-'DRE + DCF'!$V$56*L2133</f>
        <v>-1188924.4255577971</v>
      </c>
      <c r="K2133" s="360">
        <f>(1+L2133)/(1+Ke!$O$12)-1</f>
        <v>2.0000000000000018E-2</v>
      </c>
      <c r="L2133" s="360">
        <f>'DRE + DCF'!$Y$31</f>
        <v>7.3550000000000004E-2</v>
      </c>
      <c r="M2133" s="361">
        <f>(1+D2133)^((5-Dashboard!$F$9)*3/12)</f>
        <v>1.2076564084713393</v>
      </c>
      <c r="N2133" s="361">
        <f t="shared" ref="N2133:V2133" si="2188">M2133*(1+$D2133)</f>
        <v>1.5531065241145461</v>
      </c>
      <c r="O2133" s="361">
        <f t="shared" si="2188"/>
        <v>1.9973726453374867</v>
      </c>
      <c r="P2133" s="361">
        <f t="shared" si="2188"/>
        <v>2.5687210905362421</v>
      </c>
      <c r="Q2133" s="361">
        <f t="shared" si="2188"/>
        <v>3.3035037584840925</v>
      </c>
      <c r="R2133" s="361">
        <f t="shared" si="2188"/>
        <v>4.248471008598413</v>
      </c>
      <c r="S2133" s="361">
        <f t="shared" si="2188"/>
        <v>5.4637461406079195</v>
      </c>
      <c r="T2133" s="361">
        <f t="shared" si="2188"/>
        <v>7.0266507241287259</v>
      </c>
      <c r="U2133" s="361">
        <f t="shared" si="2188"/>
        <v>9.0366241637656337</v>
      </c>
      <c r="V2133" s="362">
        <f t="shared" si="2188"/>
        <v>11.621550505810646</v>
      </c>
      <c r="X2133" s="351"/>
    </row>
    <row r="2134" spans="3:24" ht="24.75" customHeight="1" x14ac:dyDescent="0.3">
      <c r="C2134" s="353">
        <f>ABS(E2134-Dashboard!$F$14)</f>
        <v>39.194656162942614</v>
      </c>
      <c r="D2134" s="350">
        <f t="shared" si="2181"/>
        <v>0.28614999999998375</v>
      </c>
      <c r="E2134" s="359" cm="1">
        <f t="array" ref="E2134">1000*SUM('DRE + DCF'!$L$36/M2134,'DRE + DCF'!$N$36:$V$36/N2134:V2134,F2134/V2134)/Dashboard!$F$11</f>
        <v>57.795343837057381</v>
      </c>
      <c r="F2134" s="359">
        <f t="shared" si="2179"/>
        <v>9258500.2608701047</v>
      </c>
      <c r="G2134" s="359">
        <f>'DRE + DCF'!$W$31</f>
        <v>2791623.3540418856</v>
      </c>
      <c r="H2134" s="359">
        <f>'DRE + DCF'!$W$32</f>
        <v>81081.931703745853</v>
      </c>
      <c r="I2134" s="359">
        <f>-H2134*('DRE + DCF'!$V$33+K2134)/'DRE + DCF'!$V$33</f>
        <v>-90858.801614444121</v>
      </c>
      <c r="J2134" s="359">
        <f>-'DRE + DCF'!$V$56*L2134</f>
        <v>-1188924.4255577971</v>
      </c>
      <c r="K2134" s="360">
        <f>(1+L2134)/(1+Ke!$O$12)-1</f>
        <v>2.0000000000000018E-2</v>
      </c>
      <c r="L2134" s="360">
        <f>'DRE + DCF'!$Y$31</f>
        <v>7.3550000000000004E-2</v>
      </c>
      <c r="M2134" s="361">
        <f>(1+D2134)^((5-Dashboard!$F$9)*3/12)</f>
        <v>1.2077268360210542</v>
      </c>
      <c r="N2134" s="361">
        <f t="shared" ref="N2134:V2134" si="2189">M2134*(1+$D2134)</f>
        <v>1.5533178701484591</v>
      </c>
      <c r="O2134" s="361">
        <f t="shared" si="2189"/>
        <v>1.9977997786914155</v>
      </c>
      <c r="P2134" s="361">
        <f t="shared" si="2189"/>
        <v>2.5694701853639312</v>
      </c>
      <c r="Q2134" s="361">
        <f t="shared" si="2189"/>
        <v>3.3047240789057781</v>
      </c>
      <c r="R2134" s="361">
        <f t="shared" si="2189"/>
        <v>4.2503708740846129</v>
      </c>
      <c r="S2134" s="361">
        <f t="shared" si="2189"/>
        <v>5.4666144997038559</v>
      </c>
      <c r="T2134" s="361">
        <f t="shared" si="2189"/>
        <v>7.0308862387940252</v>
      </c>
      <c r="U2134" s="361">
        <f t="shared" si="2189"/>
        <v>9.0427743360248201</v>
      </c>
      <c r="V2134" s="362">
        <f t="shared" si="2189"/>
        <v>11.630364212278176</v>
      </c>
      <c r="X2134" s="351"/>
    </row>
    <row r="2135" spans="3:24" ht="24.75" customHeight="1" x14ac:dyDescent="0.3">
      <c r="C2135" s="353">
        <f>ABS(E2135-Dashboard!$F$14)</f>
        <v>39.226256717925388</v>
      </c>
      <c r="D2135" s="350">
        <f t="shared" si="2181"/>
        <v>0.28624999999998374</v>
      </c>
      <c r="E2135" s="359" cm="1">
        <f t="array" ref="E2135">1000*SUM('DRE + DCF'!$L$36/M2135,'DRE + DCF'!$N$36:$V$36/N2135:V2135,F2135/V2135)/Dashboard!$F$11</f>
        <v>57.763743282074607</v>
      </c>
      <c r="F2135" s="359">
        <f t="shared" si="2179"/>
        <v>9254780.0103316512</v>
      </c>
      <c r="G2135" s="359">
        <f>'DRE + DCF'!$W$31</f>
        <v>2791623.3540418856</v>
      </c>
      <c r="H2135" s="359">
        <f>'DRE + DCF'!$W$32</f>
        <v>81081.931703745853</v>
      </c>
      <c r="I2135" s="359">
        <f>-H2135*('DRE + DCF'!$V$33+K2135)/'DRE + DCF'!$V$33</f>
        <v>-90858.801614444121</v>
      </c>
      <c r="J2135" s="359">
        <f>-'DRE + DCF'!$V$56*L2135</f>
        <v>-1188924.4255577971</v>
      </c>
      <c r="K2135" s="360">
        <f>(1+L2135)/(1+Ke!$O$12)-1</f>
        <v>2.0000000000000018E-2</v>
      </c>
      <c r="L2135" s="360">
        <f>'DRE + DCF'!$Y$31</f>
        <v>7.3550000000000004E-2</v>
      </c>
      <c r="M2135" s="361">
        <f>(1+D2135)^((5-Dashboard!$F$9)*3/12)</f>
        <v>1.2077972622018218</v>
      </c>
      <c r="N2135" s="361">
        <f t="shared" ref="N2135:V2135" si="2190">M2135*(1+$D2135)</f>
        <v>1.5535292285070736</v>
      </c>
      <c r="O2135" s="361">
        <f t="shared" si="2190"/>
        <v>1.9982269701671982</v>
      </c>
      <c r="P2135" s="361">
        <f t="shared" si="2190"/>
        <v>2.5702194403775263</v>
      </c>
      <c r="Q2135" s="361">
        <f t="shared" si="2190"/>
        <v>3.3059447551855512</v>
      </c>
      <c r="R2135" s="361">
        <f t="shared" si="2190"/>
        <v>4.2522714413573617</v>
      </c>
      <c r="S2135" s="361">
        <f t="shared" si="2190"/>
        <v>5.4694841414458368</v>
      </c>
      <c r="T2135" s="361">
        <f t="shared" si="2190"/>
        <v>7.0351239769346181</v>
      </c>
      <c r="U2135" s="361">
        <f t="shared" si="2190"/>
        <v>9.0489282153320385</v>
      </c>
      <c r="V2135" s="362">
        <f t="shared" si="2190"/>
        <v>11.639183916970687</v>
      </c>
      <c r="X2135" s="351"/>
    </row>
    <row r="2136" spans="3:24" ht="24.75" customHeight="1" x14ac:dyDescent="0.3">
      <c r="C2136" s="353">
        <f>ABS(E2136-Dashboard!$F$14)</f>
        <v>39.257826649510207</v>
      </c>
      <c r="D2136" s="350">
        <f t="shared" si="2181"/>
        <v>0.28634999999998373</v>
      </c>
      <c r="E2136" s="359" cm="1">
        <f t="array" ref="E2136">1000*SUM('DRE + DCF'!$L$36/M2136,'DRE + DCF'!$N$36:$V$36/N2136:V2136,F2136/V2136)/Dashboard!$F$11</f>
        <v>57.732173350489788</v>
      </c>
      <c r="F2136" s="359">
        <f t="shared" si="2179"/>
        <v>9251062.8146441951</v>
      </c>
      <c r="G2136" s="359">
        <f>'DRE + DCF'!$W$31</f>
        <v>2791623.3540418856</v>
      </c>
      <c r="H2136" s="359">
        <f>'DRE + DCF'!$W$32</f>
        <v>81081.931703745853</v>
      </c>
      <c r="I2136" s="359">
        <f>-H2136*('DRE + DCF'!$V$33+K2136)/'DRE + DCF'!$V$33</f>
        <v>-90858.801614444121</v>
      </c>
      <c r="J2136" s="359">
        <f>-'DRE + DCF'!$V$56*L2136</f>
        <v>-1188924.4255577971</v>
      </c>
      <c r="K2136" s="360">
        <f>(1+L2136)/(1+Ke!$O$12)-1</f>
        <v>2.0000000000000018E-2</v>
      </c>
      <c r="L2136" s="360">
        <f>'DRE + DCF'!$Y$31</f>
        <v>7.3550000000000004E-2</v>
      </c>
      <c r="M2136" s="361">
        <f>(1+D2136)^((5-Dashboard!$F$9)*3/12)</f>
        <v>1.2078676870137752</v>
      </c>
      <c r="N2136" s="361">
        <f t="shared" ref="N2136:V2136" si="2191">M2136*(1+$D2136)</f>
        <v>1.5537405991901501</v>
      </c>
      <c r="O2136" s="361">
        <f t="shared" si="2191"/>
        <v>1.9986542197682242</v>
      </c>
      <c r="P2136" s="361">
        <f t="shared" si="2191"/>
        <v>2.5709688555988226</v>
      </c>
      <c r="Q2136" s="361">
        <f t="shared" si="2191"/>
        <v>3.3071657873995033</v>
      </c>
      <c r="R2136" s="361">
        <f t="shared" si="2191"/>
        <v>4.2541727106212974</v>
      </c>
      <c r="S2136" s="361">
        <f t="shared" si="2191"/>
        <v>5.4723550663076361</v>
      </c>
      <c r="T2136" s="361">
        <f t="shared" si="2191"/>
        <v>7.0393639395447387</v>
      </c>
      <c r="U2136" s="361">
        <f t="shared" si="2191"/>
        <v>9.0550858036332595</v>
      </c>
      <c r="V2136" s="362">
        <f t="shared" si="2191"/>
        <v>11.648009623503496</v>
      </c>
      <c r="X2136" s="351"/>
    </row>
    <row r="2137" spans="3:24" ht="24.75" customHeight="1" x14ac:dyDescent="0.3">
      <c r="C2137" s="353">
        <f>ABS(E2137-Dashboard!$F$14)</f>
        <v>39.289365999008872</v>
      </c>
      <c r="D2137" s="350">
        <f t="shared" si="2181"/>
        <v>0.28644999999998372</v>
      </c>
      <c r="E2137" s="359" cm="1">
        <f t="array" ref="E2137">1000*SUM('DRE + DCF'!$L$36/M2137,'DRE + DCF'!$N$36:$V$36/N2137:V2137,F2137/V2137)/Dashboard!$F$11</f>
        <v>57.700634000991123</v>
      </c>
      <c r="F2137" s="359">
        <f t="shared" si="2179"/>
        <v>9247348.6699654087</v>
      </c>
      <c r="G2137" s="359">
        <f>'DRE + DCF'!$W$31</f>
        <v>2791623.3540418856</v>
      </c>
      <c r="H2137" s="359">
        <f>'DRE + DCF'!$W$32</f>
        <v>81081.931703745853</v>
      </c>
      <c r="I2137" s="359">
        <f>-H2137*('DRE + DCF'!$V$33+K2137)/'DRE + DCF'!$V$33</f>
        <v>-90858.801614444121</v>
      </c>
      <c r="J2137" s="359">
        <f>-'DRE + DCF'!$V$56*L2137</f>
        <v>-1188924.4255577971</v>
      </c>
      <c r="K2137" s="360">
        <f>(1+L2137)/(1+Ke!$O$12)-1</f>
        <v>2.0000000000000018E-2</v>
      </c>
      <c r="L2137" s="360">
        <f>'DRE + DCF'!$Y$31</f>
        <v>7.3550000000000004E-2</v>
      </c>
      <c r="M2137" s="361">
        <f>(1+D2137)^((5-Dashboard!$F$9)*3/12)</f>
        <v>1.2079381104570472</v>
      </c>
      <c r="N2137" s="361">
        <f t="shared" ref="N2137:V2137" si="2192">M2137*(1+$D2137)</f>
        <v>1.5539519821974488</v>
      </c>
      <c r="O2137" s="361">
        <f t="shared" si="2192"/>
        <v>1.9990815274978826</v>
      </c>
      <c r="P2137" s="361">
        <f t="shared" si="2192"/>
        <v>2.5717184310496184</v>
      </c>
      <c r="Q2137" s="361">
        <f t="shared" si="2192"/>
        <v>3.3083871756237397</v>
      </c>
      <c r="R2137" s="361">
        <f t="shared" si="2192"/>
        <v>4.2560746820811062</v>
      </c>
      <c r="S2137" s="361">
        <f t="shared" si="2192"/>
        <v>5.4752272747631698</v>
      </c>
      <c r="T2137" s="361">
        <f t="shared" si="2192"/>
        <v>7.0436061276189905</v>
      </c>
      <c r="U2137" s="361">
        <f t="shared" si="2192"/>
        <v>9.0612471028753347</v>
      </c>
      <c r="V2137" s="362">
        <f t="shared" si="2192"/>
        <v>11.656841335493827</v>
      </c>
      <c r="X2137" s="351"/>
    </row>
    <row r="2138" spans="3:24" ht="24.75" customHeight="1" x14ac:dyDescent="0.3">
      <c r="C2138" s="353">
        <f>ABS(E2138-Dashboard!$F$14)</f>
        <v>39.320874807661539</v>
      </c>
      <c r="D2138" s="350">
        <f t="shared" si="2181"/>
        <v>0.28654999999998371</v>
      </c>
      <c r="E2138" s="359" cm="1">
        <f t="array" ref="E2138">1000*SUM('DRE + DCF'!$L$36/M2138,'DRE + DCF'!$N$36:$V$36/N2138:V2138,F2138/V2138)/Dashboard!$F$11</f>
        <v>57.669125192338456</v>
      </c>
      <c r="F2138" s="359">
        <f t="shared" si="2179"/>
        <v>9243637.5724595319</v>
      </c>
      <c r="G2138" s="359">
        <f>'DRE + DCF'!$W$31</f>
        <v>2791623.3540418856</v>
      </c>
      <c r="H2138" s="359">
        <f>'DRE + DCF'!$W$32</f>
        <v>81081.931703745853</v>
      </c>
      <c r="I2138" s="359">
        <f>-H2138*('DRE + DCF'!$V$33+K2138)/'DRE + DCF'!$V$33</f>
        <v>-90858.801614444121</v>
      </c>
      <c r="J2138" s="359">
        <f>-'DRE + DCF'!$V$56*L2138</f>
        <v>-1188924.4255577971</v>
      </c>
      <c r="K2138" s="360">
        <f>(1+L2138)/(1+Ke!$O$12)-1</f>
        <v>2.0000000000000018E-2</v>
      </c>
      <c r="L2138" s="360">
        <f>'DRE + DCF'!$Y$31</f>
        <v>7.3550000000000004E-2</v>
      </c>
      <c r="M2138" s="361">
        <f>(1+D2138)^((5-Dashboard!$F$9)*3/12)</f>
        <v>1.2080085325317709</v>
      </c>
      <c r="N2138" s="361">
        <f t="shared" ref="N2138:V2138" si="2193">M2138*(1+$D2138)</f>
        <v>1.55416337752873</v>
      </c>
      <c r="O2138" s="361">
        <f t="shared" si="2193"/>
        <v>1.9995088933595622</v>
      </c>
      <c r="P2138" s="361">
        <f t="shared" si="2193"/>
        <v>2.5724681667517122</v>
      </c>
      <c r="Q2138" s="361">
        <f t="shared" si="2193"/>
        <v>3.3096089199343734</v>
      </c>
      <c r="R2138" s="361">
        <f t="shared" si="2193"/>
        <v>4.2579773559415139</v>
      </c>
      <c r="S2138" s="361">
        <f t="shared" si="2193"/>
        <v>5.4781007672864854</v>
      </c>
      <c r="T2138" s="361">
        <f t="shared" si="2193"/>
        <v>7.0478505421523385</v>
      </c>
      <c r="U2138" s="361">
        <f t="shared" si="2193"/>
        <v>9.0674121150059754</v>
      </c>
      <c r="V2138" s="362">
        <f t="shared" si="2193"/>
        <v>11.665679056560789</v>
      </c>
      <c r="X2138" s="351"/>
    </row>
    <row r="2139" spans="3:24" ht="24.75" customHeight="1" x14ac:dyDescent="0.3">
      <c r="C2139" s="353">
        <f>ABS(E2139-Dashboard!$F$14)</f>
        <v>39.352353116636934</v>
      </c>
      <c r="D2139" s="350">
        <f t="shared" si="2181"/>
        <v>0.2866499999999837</v>
      </c>
      <c r="E2139" s="359" cm="1">
        <f t="array" ref="E2139">1000*SUM('DRE + DCF'!$L$36/M2139,'DRE + DCF'!$N$36:$V$36/N2139:V2139,F2139/V2139)/Dashboard!$F$11</f>
        <v>57.637646883363061</v>
      </c>
      <c r="F2139" s="359">
        <f t="shared" si="2179"/>
        <v>9239929.5182973649</v>
      </c>
      <c r="G2139" s="359">
        <f>'DRE + DCF'!$W$31</f>
        <v>2791623.3540418856</v>
      </c>
      <c r="H2139" s="359">
        <f>'DRE + DCF'!$W$32</f>
        <v>81081.931703745853</v>
      </c>
      <c r="I2139" s="359">
        <f>-H2139*('DRE + DCF'!$V$33+K2139)/'DRE + DCF'!$V$33</f>
        <v>-90858.801614444121</v>
      </c>
      <c r="J2139" s="359">
        <f>-'DRE + DCF'!$V$56*L2139</f>
        <v>-1188924.4255577971</v>
      </c>
      <c r="K2139" s="360">
        <f>(1+L2139)/(1+Ke!$O$12)-1</f>
        <v>2.0000000000000018E-2</v>
      </c>
      <c r="L2139" s="360">
        <f>'DRE + DCF'!$Y$31</f>
        <v>7.3550000000000004E-2</v>
      </c>
      <c r="M2139" s="361">
        <f>(1+D2139)^((5-Dashboard!$F$9)*3/12)</f>
        <v>1.2080789532380793</v>
      </c>
      <c r="N2139" s="361">
        <f t="shared" ref="N2139:V2139" si="2194">M2139*(1+$D2139)</f>
        <v>1.554374785183755</v>
      </c>
      <c r="O2139" s="361">
        <f t="shared" si="2194"/>
        <v>1.9999363173566529</v>
      </c>
      <c r="P2139" s="361">
        <f t="shared" si="2194"/>
        <v>2.5732180627269048</v>
      </c>
      <c r="Q2139" s="361">
        <f t="shared" si="2194"/>
        <v>3.3108310204075297</v>
      </c>
      <c r="R2139" s="361">
        <f t="shared" si="2194"/>
        <v>4.2598807324072938</v>
      </c>
      <c r="S2139" s="361">
        <f t="shared" si="2194"/>
        <v>5.4809755443517751</v>
      </c>
      <c r="T2139" s="361">
        <f t="shared" si="2194"/>
        <v>7.0520971841401217</v>
      </c>
      <c r="U2139" s="361">
        <f t="shared" si="2194"/>
        <v>9.0735808419737722</v>
      </c>
      <c r="V2139" s="362">
        <f t="shared" si="2194"/>
        <v>11.674522790325405</v>
      </c>
      <c r="X2139" s="351"/>
    </row>
    <row r="2140" spans="3:24" ht="24.75" customHeight="1" x14ac:dyDescent="0.3">
      <c r="C2140" s="353">
        <f>ABS(E2140-Dashboard!$F$14)</f>
        <v>39.383800967032428</v>
      </c>
      <c r="D2140" s="350">
        <f t="shared" si="2181"/>
        <v>0.28674999999998368</v>
      </c>
      <c r="E2140" s="359" cm="1">
        <f t="array" ref="E2140">1000*SUM('DRE + DCF'!$L$36/M2140,'DRE + DCF'!$N$36:$V$36/N2140:V2140,F2140/V2140)/Dashboard!$F$11</f>
        <v>57.606199032967567</v>
      </c>
      <c r="F2140" s="359">
        <f t="shared" si="2179"/>
        <v>9236224.5036562439</v>
      </c>
      <c r="G2140" s="359">
        <f>'DRE + DCF'!$W$31</f>
        <v>2791623.3540418856</v>
      </c>
      <c r="H2140" s="359">
        <f>'DRE + DCF'!$W$32</f>
        <v>81081.931703745853</v>
      </c>
      <c r="I2140" s="359">
        <f>-H2140*('DRE + DCF'!$V$33+K2140)/'DRE + DCF'!$V$33</f>
        <v>-90858.801614444121</v>
      </c>
      <c r="J2140" s="359">
        <f>-'DRE + DCF'!$V$56*L2140</f>
        <v>-1188924.4255577971</v>
      </c>
      <c r="K2140" s="360">
        <f>(1+L2140)/(1+Ke!$O$12)-1</f>
        <v>2.0000000000000018E-2</v>
      </c>
      <c r="L2140" s="360">
        <f>'DRE + DCF'!$Y$31</f>
        <v>7.3550000000000004E-2</v>
      </c>
      <c r="M2140" s="361">
        <f>(1+D2140)^((5-Dashboard!$F$9)*3/12)</f>
        <v>1.2081493725761052</v>
      </c>
      <c r="N2140" s="361">
        <f t="shared" ref="N2140:V2140" si="2195">M2140*(1+$D2140)</f>
        <v>1.5545862051622836</v>
      </c>
      <c r="O2140" s="361">
        <f t="shared" si="2195"/>
        <v>2.0003637994925429</v>
      </c>
      <c r="P2140" s="361">
        <f t="shared" si="2195"/>
        <v>2.573968118996997</v>
      </c>
      <c r="Q2140" s="361">
        <f t="shared" si="2195"/>
        <v>3.3120534771193437</v>
      </c>
      <c r="R2140" s="361">
        <f t="shared" si="2195"/>
        <v>4.2617848116832615</v>
      </c>
      <c r="S2140" s="361">
        <f t="shared" si="2195"/>
        <v>5.4838516064333671</v>
      </c>
      <c r="T2140" s="361">
        <f t="shared" si="2195"/>
        <v>7.0563460545780456</v>
      </c>
      <c r="U2140" s="361">
        <f t="shared" si="2195"/>
        <v>9.0797532857281844</v>
      </c>
      <c r="V2140" s="362">
        <f t="shared" si="2195"/>
        <v>11.683372540410593</v>
      </c>
      <c r="X2140" s="351"/>
    </row>
    <row r="2141" spans="3:24" ht="24.75" customHeight="1" x14ac:dyDescent="0.3">
      <c r="C2141" s="353">
        <f>ABS(E2141-Dashboard!$F$14)</f>
        <v>39.415218399874242</v>
      </c>
      <c r="D2141" s="350">
        <f t="shared" si="2181"/>
        <v>0.28684999999998367</v>
      </c>
      <c r="E2141" s="359" cm="1">
        <f t="array" ref="E2141">1000*SUM('DRE + DCF'!$L$36/M2141,'DRE + DCF'!$N$36:$V$36/N2141:V2141,F2141/V2141)/Dashboard!$F$11</f>
        <v>57.574781600125753</v>
      </c>
      <c r="F2141" s="359">
        <f t="shared" si="2179"/>
        <v>9232522.5247200355</v>
      </c>
      <c r="G2141" s="359">
        <f>'DRE + DCF'!$W$31</f>
        <v>2791623.3540418856</v>
      </c>
      <c r="H2141" s="359">
        <f>'DRE + DCF'!$W$32</f>
        <v>81081.931703745853</v>
      </c>
      <c r="I2141" s="359">
        <f>-H2141*('DRE + DCF'!$V$33+K2141)/'DRE + DCF'!$V$33</f>
        <v>-90858.801614444121</v>
      </c>
      <c r="J2141" s="359">
        <f>-'DRE + DCF'!$V$56*L2141</f>
        <v>-1188924.4255577971</v>
      </c>
      <c r="K2141" s="360">
        <f>(1+L2141)/(1+Ke!$O$12)-1</f>
        <v>2.0000000000000018E-2</v>
      </c>
      <c r="L2141" s="360">
        <f>'DRE + DCF'!$Y$31</f>
        <v>7.3550000000000004E-2</v>
      </c>
      <c r="M2141" s="361">
        <f>(1+D2141)^((5-Dashboard!$F$9)*3/12)</f>
        <v>1.2082197905459817</v>
      </c>
      <c r="N2141" s="361">
        <f t="shared" ref="N2141:V2141" si="2196">M2141*(1+$D2141)</f>
        <v>1.5547976374640768</v>
      </c>
      <c r="O2141" s="361">
        <f t="shared" si="2196"/>
        <v>2.0007913397706218</v>
      </c>
      <c r="P2141" s="361">
        <f t="shared" si="2196"/>
        <v>2.5747183355837922</v>
      </c>
      <c r="Q2141" s="361">
        <f t="shared" si="2196"/>
        <v>3.3132762901459607</v>
      </c>
      <c r="R2141" s="361">
        <f t="shared" si="2196"/>
        <v>4.2636895939742754</v>
      </c>
      <c r="S2141" s="361">
        <f t="shared" si="2196"/>
        <v>5.4867289540057262</v>
      </c>
      <c r="T2141" s="361">
        <f t="shared" si="2196"/>
        <v>7.0605971544621786</v>
      </c>
      <c r="U2141" s="361">
        <f t="shared" si="2196"/>
        <v>9.0859294482195381</v>
      </c>
      <c r="V2141" s="362">
        <f t="shared" si="2196"/>
        <v>11.692228310441164</v>
      </c>
      <c r="X2141" s="351"/>
    </row>
    <row r="2142" spans="3:24" ht="24.75" customHeight="1" x14ac:dyDescent="0.3">
      <c r="C2142" s="353">
        <f>ABS(E2142-Dashboard!$F$14)</f>
        <v>39.446605456117531</v>
      </c>
      <c r="D2142" s="350">
        <f t="shared" si="2181"/>
        <v>0.28694999999998366</v>
      </c>
      <c r="E2142" s="359" cm="1">
        <f t="array" ref="E2142">1000*SUM('DRE + DCF'!$L$36/M2142,'DRE + DCF'!$N$36:$V$36/N2142:V2142,F2142/V2142)/Dashboard!$F$11</f>
        <v>57.543394543882464</v>
      </c>
      <c r="F2142" s="359">
        <f t="shared" si="2179"/>
        <v>9228823.5776791237</v>
      </c>
      <c r="G2142" s="359">
        <f>'DRE + DCF'!$W$31</f>
        <v>2791623.3540418856</v>
      </c>
      <c r="H2142" s="359">
        <f>'DRE + DCF'!$W$32</f>
        <v>81081.931703745853</v>
      </c>
      <c r="I2142" s="359">
        <f>-H2142*('DRE + DCF'!$V$33+K2142)/'DRE + DCF'!$V$33</f>
        <v>-90858.801614444121</v>
      </c>
      <c r="J2142" s="359">
        <f>-'DRE + DCF'!$V$56*L2142</f>
        <v>-1188924.4255577971</v>
      </c>
      <c r="K2142" s="360">
        <f>(1+L2142)/(1+Ke!$O$12)-1</f>
        <v>2.0000000000000018E-2</v>
      </c>
      <c r="L2142" s="360">
        <f>'DRE + DCF'!$Y$31</f>
        <v>7.3550000000000004E-2</v>
      </c>
      <c r="M2142" s="361">
        <f>(1+D2142)^((5-Dashboard!$F$9)*3/12)</f>
        <v>1.2082902071478414</v>
      </c>
      <c r="N2142" s="361">
        <f t="shared" ref="N2142:V2142" si="2197">M2142*(1+$D2142)</f>
        <v>1.5550090820888947</v>
      </c>
      <c r="O2142" s="361">
        <f t="shared" si="2197"/>
        <v>2.0012189381942775</v>
      </c>
      <c r="P2142" s="361">
        <f t="shared" si="2197"/>
        <v>2.5754687125090925</v>
      </c>
      <c r="Q2142" s="361">
        <f t="shared" si="2197"/>
        <v>3.3144994595635344</v>
      </c>
      <c r="R2142" s="361">
        <f t="shared" si="2197"/>
        <v>4.2655950794852364</v>
      </c>
      <c r="S2142" s="361">
        <f t="shared" si="2197"/>
        <v>5.4896075875434551</v>
      </c>
      <c r="T2142" s="361">
        <f t="shared" si="2197"/>
        <v>7.0648504847889599</v>
      </c>
      <c r="U2142" s="361">
        <f t="shared" si="2197"/>
        <v>9.0921093313990369</v>
      </c>
      <c r="V2142" s="362">
        <f t="shared" si="2197"/>
        <v>11.701090104043841</v>
      </c>
      <c r="X2142" s="351"/>
    </row>
    <row r="2143" spans="3:24" ht="24.75" customHeight="1" x14ac:dyDescent="0.3">
      <c r="C2143" s="353">
        <f>ABS(E2143-Dashboard!$F$14)</f>
        <v>39.477962176646699</v>
      </c>
      <c r="D2143" s="350">
        <f t="shared" si="2181"/>
        <v>0.28704999999998365</v>
      </c>
      <c r="E2143" s="359" cm="1">
        <f t="array" ref="E2143">1000*SUM('DRE + DCF'!$L$36/M2143,'DRE + DCF'!$N$36:$V$36/N2143:V2143,F2143/V2143)/Dashboard!$F$11</f>
        <v>57.512037823353296</v>
      </c>
      <c r="F2143" s="359">
        <f t="shared" si="2179"/>
        <v>9225127.658730384</v>
      </c>
      <c r="G2143" s="359">
        <f>'DRE + DCF'!$W$31</f>
        <v>2791623.3540418856</v>
      </c>
      <c r="H2143" s="359">
        <f>'DRE + DCF'!$W$32</f>
        <v>81081.931703745853</v>
      </c>
      <c r="I2143" s="359">
        <f>-H2143*('DRE + DCF'!$V$33+K2143)/'DRE + DCF'!$V$33</f>
        <v>-90858.801614444121</v>
      </c>
      <c r="J2143" s="359">
        <f>-'DRE + DCF'!$V$56*L2143</f>
        <v>-1188924.4255577971</v>
      </c>
      <c r="K2143" s="360">
        <f>(1+L2143)/(1+Ke!$O$12)-1</f>
        <v>2.0000000000000018E-2</v>
      </c>
      <c r="L2143" s="360">
        <f>'DRE + DCF'!$Y$31</f>
        <v>7.3550000000000004E-2</v>
      </c>
      <c r="M2143" s="361">
        <f>(1+D2143)^((5-Dashboard!$F$9)*3/12)</f>
        <v>1.2083606223818177</v>
      </c>
      <c r="N2143" s="361">
        <f t="shared" ref="N2143:V2143" si="2198">M2143*(1+$D2143)</f>
        <v>1.5552205390364986</v>
      </c>
      <c r="O2143" s="361">
        <f t="shared" si="2198"/>
        <v>2.0016465947669002</v>
      </c>
      <c r="P2143" s="361">
        <f t="shared" si="2198"/>
        <v>2.5762192497947063</v>
      </c>
      <c r="Q2143" s="361">
        <f t="shared" si="2198"/>
        <v>3.3157229854482346</v>
      </c>
      <c r="R2143" s="361">
        <f t="shared" si="2198"/>
        <v>4.2675012684210962</v>
      </c>
      <c r="S2143" s="361">
        <f t="shared" si="2198"/>
        <v>5.492487507521302</v>
      </c>
      <c r="T2143" s="361">
        <f t="shared" si="2198"/>
        <v>7.069106046555202</v>
      </c>
      <c r="U2143" s="361">
        <f t="shared" si="2198"/>
        <v>9.0982929372187566</v>
      </c>
      <c r="V2143" s="362">
        <f t="shared" si="2198"/>
        <v>11.709957924847252</v>
      </c>
      <c r="X2143" s="351"/>
    </row>
    <row r="2144" spans="3:24" ht="24.75" customHeight="1" x14ac:dyDescent="0.3">
      <c r="C2144" s="353">
        <f>ABS(E2144-Dashboard!$F$14)</f>
        <v>39.509288602275291</v>
      </c>
      <c r="D2144" s="350">
        <f t="shared" si="2181"/>
        <v>0.28714999999998364</v>
      </c>
      <c r="E2144" s="359" cm="1">
        <f t="array" ref="E2144">1000*SUM('DRE + DCF'!$L$36/M2144,'DRE + DCF'!$N$36:$V$36/N2144:V2144,F2144/V2144)/Dashboard!$F$11</f>
        <v>57.480711397724704</v>
      </c>
      <c r="F2144" s="359">
        <f t="shared" si="2179"/>
        <v>9221434.7640771847</v>
      </c>
      <c r="G2144" s="359">
        <f>'DRE + DCF'!$W$31</f>
        <v>2791623.3540418856</v>
      </c>
      <c r="H2144" s="359">
        <f>'DRE + DCF'!$W$32</f>
        <v>81081.931703745853</v>
      </c>
      <c r="I2144" s="359">
        <f>-H2144*('DRE + DCF'!$V$33+K2144)/'DRE + DCF'!$V$33</f>
        <v>-90858.801614444121</v>
      </c>
      <c r="J2144" s="359">
        <f>-'DRE + DCF'!$V$56*L2144</f>
        <v>-1188924.4255577971</v>
      </c>
      <c r="K2144" s="360">
        <f>(1+L2144)/(1+Ke!$O$12)-1</f>
        <v>2.0000000000000018E-2</v>
      </c>
      <c r="L2144" s="360">
        <f>'DRE + DCF'!$Y$31</f>
        <v>7.3550000000000004E-2</v>
      </c>
      <c r="M2144" s="361">
        <f>(1+D2144)^((5-Dashboard!$F$9)*3/12)</f>
        <v>1.208431036248043</v>
      </c>
      <c r="N2144" s="361">
        <f t="shared" ref="N2144:V2144" si="2199">M2144*(1+$D2144)</f>
        <v>1.5554320083066489</v>
      </c>
      <c r="O2144" s="361">
        <f t="shared" si="2199"/>
        <v>2.0020743094918774</v>
      </c>
      <c r="P2144" s="361">
        <f t="shared" si="2199"/>
        <v>2.576969947462437</v>
      </c>
      <c r="Q2144" s="361">
        <f t="shared" si="2199"/>
        <v>3.3169468678762337</v>
      </c>
      <c r="R2144" s="361">
        <f t="shared" si="2199"/>
        <v>4.2694081609868402</v>
      </c>
      <c r="S2144" s="361">
        <f t="shared" si="2199"/>
        <v>5.4953687144141412</v>
      </c>
      <c r="T2144" s="361">
        <f t="shared" si="2199"/>
        <v>7.0733638407580717</v>
      </c>
      <c r="U2144" s="361">
        <f t="shared" si="2199"/>
        <v>9.1044802676316365</v>
      </c>
      <c r="V2144" s="362">
        <f t="shared" si="2199"/>
        <v>11.718831776481911</v>
      </c>
      <c r="X2144" s="351"/>
    </row>
    <row r="2145" spans="3:24" ht="24.75" customHeight="1" x14ac:dyDescent="0.3">
      <c r="C2145" s="353">
        <f>ABS(E2145-Dashboard!$F$14)</f>
        <v>39.540584773746396</v>
      </c>
      <c r="D2145" s="350">
        <f t="shared" si="2181"/>
        <v>0.28724999999998363</v>
      </c>
      <c r="E2145" s="359" cm="1">
        <f t="array" ref="E2145">1000*SUM('DRE + DCF'!$L$36/M2145,'DRE + DCF'!$N$36:$V$36/N2145:V2145,F2145/V2145)/Dashboard!$F$11</f>
        <v>57.449415226253599</v>
      </c>
      <c r="F2145" s="359">
        <f t="shared" si="2179"/>
        <v>9217744.8899293635</v>
      </c>
      <c r="G2145" s="359">
        <f>'DRE + DCF'!$W$31</f>
        <v>2791623.3540418856</v>
      </c>
      <c r="H2145" s="359">
        <f>'DRE + DCF'!$W$32</f>
        <v>81081.931703745853</v>
      </c>
      <c r="I2145" s="359">
        <f>-H2145*('DRE + DCF'!$V$33+K2145)/'DRE + DCF'!$V$33</f>
        <v>-90858.801614444121</v>
      </c>
      <c r="J2145" s="359">
        <f>-'DRE + DCF'!$V$56*L2145</f>
        <v>-1188924.4255577971</v>
      </c>
      <c r="K2145" s="360">
        <f>(1+L2145)/(1+Ke!$O$12)-1</f>
        <v>2.0000000000000018E-2</v>
      </c>
      <c r="L2145" s="360">
        <f>'DRE + DCF'!$Y$31</f>
        <v>7.3550000000000004E-2</v>
      </c>
      <c r="M2145" s="361">
        <f>(1+D2145)^((5-Dashboard!$F$9)*3/12)</f>
        <v>1.2085014487466501</v>
      </c>
      <c r="N2145" s="361">
        <f t="shared" ref="N2145:V2145" si="2200">M2145*(1+$D2145)</f>
        <v>1.5556434898991054</v>
      </c>
      <c r="O2145" s="361">
        <f t="shared" si="2200"/>
        <v>2.0025020823725979</v>
      </c>
      <c r="P2145" s="361">
        <f t="shared" si="2200"/>
        <v>2.5777208055340939</v>
      </c>
      <c r="Q2145" s="361">
        <f t="shared" si="2200"/>
        <v>3.3181711069237201</v>
      </c>
      <c r="R2145" s="361">
        <f t="shared" si="2200"/>
        <v>4.2713157573875042</v>
      </c>
      <c r="S2145" s="361">
        <f t="shared" si="2200"/>
        <v>5.4982512086969946</v>
      </c>
      <c r="T2145" s="361">
        <f t="shared" si="2200"/>
        <v>7.0776238683951158</v>
      </c>
      <c r="U2145" s="361">
        <f t="shared" si="2200"/>
        <v>9.1106713245914968</v>
      </c>
      <c r="V2145" s="362">
        <f t="shared" si="2200"/>
        <v>11.727711662580255</v>
      </c>
      <c r="X2145" s="351"/>
    </row>
    <row r="2146" spans="3:24" ht="24.75" customHeight="1" x14ac:dyDescent="0.3">
      <c r="C2146" s="353">
        <f>ABS(E2146-Dashboard!$F$14)</f>
        <v>39.571850731732695</v>
      </c>
      <c r="D2146" s="350">
        <f t="shared" si="2181"/>
        <v>0.28734999999998362</v>
      </c>
      <c r="E2146" s="359" cm="1">
        <f t="array" ref="E2146">1000*SUM('DRE + DCF'!$L$36/M2146,'DRE + DCF'!$N$36:$V$36/N2146:V2146,F2146/V2146)/Dashboard!$F$11</f>
        <v>57.4181492682673</v>
      </c>
      <c r="F2146" s="359">
        <f t="shared" si="2179"/>
        <v>9214058.0325032137</v>
      </c>
      <c r="G2146" s="359">
        <f>'DRE + DCF'!$W$31</f>
        <v>2791623.3540418856</v>
      </c>
      <c r="H2146" s="359">
        <f>'DRE + DCF'!$W$32</f>
        <v>81081.931703745853</v>
      </c>
      <c r="I2146" s="359">
        <f>-H2146*('DRE + DCF'!$V$33+K2146)/'DRE + DCF'!$V$33</f>
        <v>-90858.801614444121</v>
      </c>
      <c r="J2146" s="359">
        <f>-'DRE + DCF'!$V$56*L2146</f>
        <v>-1188924.4255577971</v>
      </c>
      <c r="K2146" s="360">
        <f>(1+L2146)/(1+Ke!$O$12)-1</f>
        <v>2.0000000000000018E-2</v>
      </c>
      <c r="L2146" s="360">
        <f>'DRE + DCF'!$Y$31</f>
        <v>7.3550000000000004E-2</v>
      </c>
      <c r="M2146" s="361">
        <f>(1+D2146)^((5-Dashboard!$F$9)*3/12)</f>
        <v>1.2085718598777722</v>
      </c>
      <c r="N2146" s="361">
        <f t="shared" ref="N2146:V2146" si="2201">M2146*(1+$D2146)</f>
        <v>1.5558549838136302</v>
      </c>
      <c r="O2146" s="361">
        <f t="shared" si="2201"/>
        <v>2.0029299134124514</v>
      </c>
      <c r="P2146" s="361">
        <f t="shared" si="2201"/>
        <v>2.5784718240314866</v>
      </c>
      <c r="Q2146" s="361">
        <f t="shared" si="2201"/>
        <v>3.3193957026668919</v>
      </c>
      <c r="R2146" s="361">
        <f t="shared" si="2201"/>
        <v>4.2732240578281688</v>
      </c>
      <c r="S2146" s="361">
        <f t="shared" si="2201"/>
        <v>5.5011349908450233</v>
      </c>
      <c r="T2146" s="361">
        <f t="shared" si="2201"/>
        <v>7.08188613046425</v>
      </c>
      <c r="U2146" s="361">
        <f t="shared" si="2201"/>
        <v>9.116866110053035</v>
      </c>
      <c r="V2146" s="362">
        <f t="shared" si="2201"/>
        <v>11.736597586776625</v>
      </c>
      <c r="X2146" s="351"/>
    </row>
    <row r="2147" spans="3:24" ht="24.75" customHeight="1" x14ac:dyDescent="0.3">
      <c r="C2147" s="353">
        <f>ABS(E2147-Dashboard!$F$14)</f>
        <v>39.603086516836505</v>
      </c>
      <c r="D2147" s="350">
        <f t="shared" si="2181"/>
        <v>0.28744999999998361</v>
      </c>
      <c r="E2147" s="359" cm="1">
        <f t="array" ref="E2147">1000*SUM('DRE + DCF'!$L$36/M2147,'DRE + DCF'!$N$36:$V$36/N2147:V2147,F2147/V2147)/Dashboard!$F$11</f>
        <v>57.38691348316349</v>
      </c>
      <c r="F2147" s="359">
        <f t="shared" si="2179"/>
        <v>9210374.1880214717</v>
      </c>
      <c r="G2147" s="359">
        <f>'DRE + DCF'!$W$31</f>
        <v>2791623.3540418856</v>
      </c>
      <c r="H2147" s="359">
        <f>'DRE + DCF'!$W$32</f>
        <v>81081.931703745853</v>
      </c>
      <c r="I2147" s="359">
        <f>-H2147*('DRE + DCF'!$V$33+K2147)/'DRE + DCF'!$V$33</f>
        <v>-90858.801614444121</v>
      </c>
      <c r="J2147" s="359">
        <f>-'DRE + DCF'!$V$56*L2147</f>
        <v>-1188924.4255577971</v>
      </c>
      <c r="K2147" s="360">
        <f>(1+L2147)/(1+Ke!$O$12)-1</f>
        <v>2.0000000000000018E-2</v>
      </c>
      <c r="L2147" s="360">
        <f>'DRE + DCF'!$Y$31</f>
        <v>7.3550000000000004E-2</v>
      </c>
      <c r="M2147" s="361">
        <f>(1+D2147)^((5-Dashboard!$F$9)*3/12)</f>
        <v>1.2086422696415418</v>
      </c>
      <c r="N2147" s="361">
        <f t="shared" ref="N2147:V2147" si="2202">M2147*(1+$D2147)</f>
        <v>1.556066490049983</v>
      </c>
      <c r="O2147" s="361">
        <f t="shared" si="2202"/>
        <v>2.0033578026148251</v>
      </c>
      <c r="P2147" s="361">
        <f t="shared" si="2202"/>
        <v>2.5792230029764238</v>
      </c>
      <c r="Q2147" s="361">
        <f t="shared" si="2202"/>
        <v>3.3206206551819544</v>
      </c>
      <c r="R2147" s="361">
        <f t="shared" si="2202"/>
        <v>4.2751330625139525</v>
      </c>
      <c r="S2147" s="361">
        <f t="shared" si="2202"/>
        <v>5.5040200613335175</v>
      </c>
      <c r="T2147" s="361">
        <f t="shared" si="2202"/>
        <v>7.0861506279637467</v>
      </c>
      <c r="U2147" s="361">
        <f t="shared" si="2202"/>
        <v>9.1230646259718089</v>
      </c>
      <c r="V2147" s="362">
        <f t="shared" si="2202"/>
        <v>11.745489552707255</v>
      </c>
      <c r="X2147" s="351"/>
    </row>
    <row r="2148" spans="3:24" ht="24.75" customHeight="1" x14ac:dyDescent="0.3">
      <c r="C2148" s="353">
        <f>ABS(E2148-Dashboard!$F$14)</f>
        <v>39.634292169590161</v>
      </c>
      <c r="D2148" s="350">
        <f t="shared" si="2181"/>
        <v>0.2875499999999836</v>
      </c>
      <c r="E2148" s="359" cm="1">
        <f t="array" ref="E2148">1000*SUM('DRE + DCF'!$L$36/M2148,'DRE + DCF'!$N$36:$V$36/N2148:V2148,F2148/V2148)/Dashboard!$F$11</f>
        <v>57.355707830409834</v>
      </c>
      <c r="F2148" s="359">
        <f t="shared" si="2179"/>
        <v>9206693.3527133074</v>
      </c>
      <c r="G2148" s="359">
        <f>'DRE + DCF'!$W$31</f>
        <v>2791623.3540418856</v>
      </c>
      <c r="H2148" s="359">
        <f>'DRE + DCF'!$W$32</f>
        <v>81081.931703745853</v>
      </c>
      <c r="I2148" s="359">
        <f>-H2148*('DRE + DCF'!$V$33+K2148)/'DRE + DCF'!$V$33</f>
        <v>-90858.801614444121</v>
      </c>
      <c r="J2148" s="359">
        <f>-'DRE + DCF'!$V$56*L2148</f>
        <v>-1188924.4255577971</v>
      </c>
      <c r="K2148" s="360">
        <f>(1+L2148)/(1+Ke!$O$12)-1</f>
        <v>2.0000000000000018E-2</v>
      </c>
      <c r="L2148" s="360">
        <f>'DRE + DCF'!$Y$31</f>
        <v>7.3550000000000004E-2</v>
      </c>
      <c r="M2148" s="361">
        <f>(1+D2148)^((5-Dashboard!$F$9)*3/12)</f>
        <v>1.2087126780380915</v>
      </c>
      <c r="N2148" s="361">
        <f t="shared" ref="N2148:V2148" si="2203">M2148*(1+$D2148)</f>
        <v>1.5562780086079249</v>
      </c>
      <c r="O2148" s="361">
        <f t="shared" si="2203"/>
        <v>2.0037857499831082</v>
      </c>
      <c r="P2148" s="361">
        <f t="shared" si="2203"/>
        <v>2.579974342390718</v>
      </c>
      <c r="Q2148" s="361">
        <f t="shared" si="2203"/>
        <v>3.3218459645451266</v>
      </c>
      <c r="R2148" s="361">
        <f t="shared" si="2203"/>
        <v>4.2770427716500228</v>
      </c>
      <c r="S2148" s="361">
        <f t="shared" si="2203"/>
        <v>5.5069064206379164</v>
      </c>
      <c r="T2148" s="361">
        <f t="shared" si="2203"/>
        <v>7.0904173618922588</v>
      </c>
      <c r="U2148" s="361">
        <f t="shared" si="2203"/>
        <v>9.1292668743042604</v>
      </c>
      <c r="V2148" s="362">
        <f t="shared" si="2203"/>
        <v>11.754387564010301</v>
      </c>
      <c r="X2148" s="351"/>
    </row>
    <row r="2149" spans="3:24" ht="24.75" customHeight="1" x14ac:dyDescent="0.3">
      <c r="C2149" s="353">
        <f>ABS(E2149-Dashboard!$F$14)</f>
        <v>39.665467730455966</v>
      </c>
      <c r="D2149" s="350">
        <f t="shared" si="2181"/>
        <v>0.28764999999998359</v>
      </c>
      <c r="E2149" s="359" cm="1">
        <f t="array" ref="E2149">1000*SUM('DRE + DCF'!$L$36/M2149,'DRE + DCF'!$N$36:$V$36/N2149:V2149,F2149/V2149)/Dashboard!$F$11</f>
        <v>57.324532269544029</v>
      </c>
      <c r="F2149" s="359">
        <f t="shared" si="2179"/>
        <v>9203015.5228142999</v>
      </c>
      <c r="G2149" s="359">
        <f>'DRE + DCF'!$W$31</f>
        <v>2791623.3540418856</v>
      </c>
      <c r="H2149" s="359">
        <f>'DRE + DCF'!$W$32</f>
        <v>81081.931703745853</v>
      </c>
      <c r="I2149" s="359">
        <f>-H2149*('DRE + DCF'!$V$33+K2149)/'DRE + DCF'!$V$33</f>
        <v>-90858.801614444121</v>
      </c>
      <c r="J2149" s="359">
        <f>-'DRE + DCF'!$V$56*L2149</f>
        <v>-1188924.4255577971</v>
      </c>
      <c r="K2149" s="360">
        <f>(1+L2149)/(1+Ke!$O$12)-1</f>
        <v>2.0000000000000018E-2</v>
      </c>
      <c r="L2149" s="360">
        <f>'DRE + DCF'!$Y$31</f>
        <v>7.3550000000000004E-2</v>
      </c>
      <c r="M2149" s="361">
        <f>(1+D2149)^((5-Dashboard!$F$9)*3/12)</f>
        <v>1.2087830850675545</v>
      </c>
      <c r="N2149" s="361">
        <f t="shared" ref="N2149:V2149" si="2204">M2149*(1+$D2149)</f>
        <v>1.5564895394872167</v>
      </c>
      <c r="O2149" s="361">
        <f t="shared" si="2204"/>
        <v>2.0042137555206891</v>
      </c>
      <c r="P2149" s="361">
        <f t="shared" si="2204"/>
        <v>2.5807258422961823</v>
      </c>
      <c r="Q2149" s="361">
        <f t="shared" si="2204"/>
        <v>3.3230716308326365</v>
      </c>
      <c r="R2149" s="361">
        <f t="shared" si="2204"/>
        <v>4.2789531854415896</v>
      </c>
      <c r="S2149" s="361">
        <f t="shared" si="2204"/>
        <v>5.5097940692337923</v>
      </c>
      <c r="T2149" s="361">
        <f t="shared" si="2204"/>
        <v>7.0946863332488022</v>
      </c>
      <c r="U2149" s="361">
        <f t="shared" si="2204"/>
        <v>9.135472857007704</v>
      </c>
      <c r="V2149" s="362">
        <f t="shared" si="2204"/>
        <v>11.76329162432582</v>
      </c>
      <c r="X2149" s="351"/>
    </row>
    <row r="2150" spans="3:24" ht="24.75" customHeight="1" x14ac:dyDescent="0.3">
      <c r="C2150" s="353">
        <f>ABS(E2150-Dashboard!$F$14)</f>
        <v>39.696613239826398</v>
      </c>
      <c r="D2150" s="350">
        <f t="shared" si="2181"/>
        <v>0.28774999999998357</v>
      </c>
      <c r="E2150" s="359" cm="1">
        <f t="array" ref="E2150">1000*SUM('DRE + DCF'!$L$36/M2150,'DRE + DCF'!$N$36:$V$36/N2150:V2150,F2150/V2150)/Dashboard!$F$11</f>
        <v>57.293386760173597</v>
      </c>
      <c r="F2150" s="359">
        <f t="shared" si="2179"/>
        <v>9199340.6945664361</v>
      </c>
      <c r="G2150" s="359">
        <f>'DRE + DCF'!$W$31</f>
        <v>2791623.3540418856</v>
      </c>
      <c r="H2150" s="359">
        <f>'DRE + DCF'!$W$32</f>
        <v>81081.931703745853</v>
      </c>
      <c r="I2150" s="359">
        <f>-H2150*('DRE + DCF'!$V$33+K2150)/'DRE + DCF'!$V$33</f>
        <v>-90858.801614444121</v>
      </c>
      <c r="J2150" s="359">
        <f>-'DRE + DCF'!$V$56*L2150</f>
        <v>-1188924.4255577971</v>
      </c>
      <c r="K2150" s="360">
        <f>(1+L2150)/(1+Ke!$O$12)-1</f>
        <v>2.0000000000000018E-2</v>
      </c>
      <c r="L2150" s="360">
        <f>'DRE + DCF'!$Y$31</f>
        <v>7.3550000000000004E-2</v>
      </c>
      <c r="M2150" s="361">
        <f>(1+D2150)^((5-Dashboard!$F$9)*3/12)</f>
        <v>1.208853490730063</v>
      </c>
      <c r="N2150" s="361">
        <f t="shared" ref="N2150:V2150" si="2205">M2150*(1+$D2150)</f>
        <v>1.5567010826876186</v>
      </c>
      <c r="O2150" s="361">
        <f t="shared" si="2205"/>
        <v>2.0046418192309554</v>
      </c>
      <c r="P2150" s="361">
        <f t="shared" si="2205"/>
        <v>2.5814775027146299</v>
      </c>
      <c r="Q2150" s="361">
        <f t="shared" si="2205"/>
        <v>3.3242976541207221</v>
      </c>
      <c r="R2150" s="361">
        <f t="shared" si="2205"/>
        <v>4.2808643040939049</v>
      </c>
      <c r="S2150" s="361">
        <f t="shared" si="2205"/>
        <v>5.5126830075968556</v>
      </c>
      <c r="T2150" s="361">
        <f t="shared" si="2205"/>
        <v>7.0989575430327596</v>
      </c>
      <c r="U2150" s="361">
        <f t="shared" si="2205"/>
        <v>9.1416825760403189</v>
      </c>
      <c r="V2150" s="362">
        <f t="shared" si="2205"/>
        <v>11.77220173729577</v>
      </c>
      <c r="X2150" s="351"/>
    </row>
    <row r="2151" spans="3:24" ht="24.75" customHeight="1" x14ac:dyDescent="0.3">
      <c r="C2151" s="353">
        <f>ABS(E2151-Dashboard!$F$14)</f>
        <v>39.727728738024325</v>
      </c>
      <c r="D2151" s="350">
        <f t="shared" si="2181"/>
        <v>0.28784999999998356</v>
      </c>
      <c r="E2151" s="359" cm="1">
        <f t="array" ref="E2151">1000*SUM('DRE + DCF'!$L$36/M2151,'DRE + DCF'!$N$36:$V$36/N2151:V2151,F2151/V2151)/Dashboard!$F$11</f>
        <v>57.26227126197567</v>
      </c>
      <c r="F2151" s="359">
        <f t="shared" si="2179"/>
        <v>9195668.8642180879</v>
      </c>
      <c r="G2151" s="359">
        <f>'DRE + DCF'!$W$31</f>
        <v>2791623.3540418856</v>
      </c>
      <c r="H2151" s="359">
        <f>'DRE + DCF'!$W$32</f>
        <v>81081.931703745853</v>
      </c>
      <c r="I2151" s="359">
        <f>-H2151*('DRE + DCF'!$V$33+K2151)/'DRE + DCF'!$V$33</f>
        <v>-90858.801614444121</v>
      </c>
      <c r="J2151" s="359">
        <f>-'DRE + DCF'!$V$56*L2151</f>
        <v>-1188924.4255577971</v>
      </c>
      <c r="K2151" s="360">
        <f>(1+L2151)/(1+Ke!$O$12)-1</f>
        <v>2.0000000000000018E-2</v>
      </c>
      <c r="L2151" s="360">
        <f>'DRE + DCF'!$Y$31</f>
        <v>7.3550000000000004E-2</v>
      </c>
      <c r="M2151" s="361">
        <f>(1+D2151)^((5-Dashboard!$F$9)*3/12)</f>
        <v>1.2089238950257502</v>
      </c>
      <c r="N2151" s="361">
        <f t="shared" ref="N2151:V2151" si="2206">M2151*(1+$D2151)</f>
        <v>1.5569126382088925</v>
      </c>
      <c r="O2151" s="361">
        <f t="shared" si="2206"/>
        <v>2.0050699411172963</v>
      </c>
      <c r="P2151" s="361">
        <f t="shared" si="2206"/>
        <v>2.5822293236678768</v>
      </c>
      <c r="Q2151" s="361">
        <f t="shared" si="2206"/>
        <v>3.3255240344856327</v>
      </c>
      <c r="R2151" s="361">
        <f t="shared" si="2206"/>
        <v>4.2827761278122676</v>
      </c>
      <c r="S2151" s="361">
        <f t="shared" si="2206"/>
        <v>5.5155732362029584</v>
      </c>
      <c r="T2151" s="361">
        <f t="shared" si="2206"/>
        <v>7.1032309922438888</v>
      </c>
      <c r="U2151" s="361">
        <f t="shared" si="2206"/>
        <v>9.1478960333611745</v>
      </c>
      <c r="V2151" s="362">
        <f t="shared" si="2206"/>
        <v>11.781117906564038</v>
      </c>
      <c r="X2151" s="351"/>
    </row>
    <row r="2152" spans="3:24" ht="24.75" customHeight="1" x14ac:dyDescent="0.3">
      <c r="C2152" s="353">
        <f>ABS(E2152-Dashboard!$F$14)</f>
        <v>39.758814265303059</v>
      </c>
      <c r="D2152" s="350">
        <f t="shared" si="2181"/>
        <v>0.28794999999998355</v>
      </c>
      <c r="E2152" s="359" cm="1">
        <f t="array" ref="E2152">1000*SUM('DRE + DCF'!$L$36/M2152,'DRE + DCF'!$N$36:$V$36/N2152:V2152,F2152/V2152)/Dashboard!$F$11</f>
        <v>57.231185734696936</v>
      </c>
      <c r="F2152" s="359">
        <f t="shared" si="2179"/>
        <v>9192000.0280239992</v>
      </c>
      <c r="G2152" s="359">
        <f>'DRE + DCF'!$W$31</f>
        <v>2791623.3540418856</v>
      </c>
      <c r="H2152" s="359">
        <f>'DRE + DCF'!$W$32</f>
        <v>81081.931703745853</v>
      </c>
      <c r="I2152" s="359">
        <f>-H2152*('DRE + DCF'!$V$33+K2152)/'DRE + DCF'!$V$33</f>
        <v>-90858.801614444121</v>
      </c>
      <c r="J2152" s="359">
        <f>-'DRE + DCF'!$V$56*L2152</f>
        <v>-1188924.4255577971</v>
      </c>
      <c r="K2152" s="360">
        <f>(1+L2152)/(1+Ke!$O$12)-1</f>
        <v>2.0000000000000018E-2</v>
      </c>
      <c r="L2152" s="360">
        <f>'DRE + DCF'!$Y$31</f>
        <v>7.3550000000000004E-2</v>
      </c>
      <c r="M2152" s="361">
        <f>(1+D2152)^((5-Dashboard!$F$9)*3/12)</f>
        <v>1.2089942979547481</v>
      </c>
      <c r="N2152" s="361">
        <f t="shared" ref="N2152:V2152" si="2207">M2152*(1+$D2152)</f>
        <v>1.5571242060507979</v>
      </c>
      <c r="O2152" s="361">
        <f t="shared" si="2207"/>
        <v>2.0054981211830993</v>
      </c>
      <c r="P2152" s="361">
        <f t="shared" si="2207"/>
        <v>2.5829813051777397</v>
      </c>
      <c r="Q2152" s="361">
        <f t="shared" si="2207"/>
        <v>3.3267507720036273</v>
      </c>
      <c r="R2152" s="361">
        <f t="shared" si="2207"/>
        <v>4.2846886568020173</v>
      </c>
      <c r="S2152" s="361">
        <f t="shared" si="2207"/>
        <v>5.518464755528087</v>
      </c>
      <c r="T2152" s="361">
        <f t="shared" si="2207"/>
        <v>7.1075066818823087</v>
      </c>
      <c r="U2152" s="361">
        <f t="shared" si="2207"/>
        <v>9.1541132309302018</v>
      </c>
      <c r="V2152" s="362">
        <f t="shared" si="2207"/>
        <v>11.790040135776403</v>
      </c>
      <c r="X2152" s="351"/>
    </row>
    <row r="2153" spans="3:24" ht="24.75" customHeight="1" x14ac:dyDescent="0.3">
      <c r="C2153" s="353">
        <f>ABS(E2153-Dashboard!$F$14)</f>
        <v>39.789869861846576</v>
      </c>
      <c r="D2153" s="350">
        <f t="shared" si="2181"/>
        <v>0.28804999999998354</v>
      </c>
      <c r="E2153" s="359" cm="1">
        <f t="array" ref="E2153">1000*SUM('DRE + DCF'!$L$36/M2153,'DRE + DCF'!$N$36:$V$36/N2153:V2153,F2153/V2153)/Dashboard!$F$11</f>
        <v>57.200130138153419</v>
      </c>
      <c r="F2153" s="359">
        <f t="shared" si="2179"/>
        <v>9188334.182245275</v>
      </c>
      <c r="G2153" s="359">
        <f>'DRE + DCF'!$W$31</f>
        <v>2791623.3540418856</v>
      </c>
      <c r="H2153" s="359">
        <f>'DRE + DCF'!$W$32</f>
        <v>81081.931703745853</v>
      </c>
      <c r="I2153" s="359">
        <f>-H2153*('DRE + DCF'!$V$33+K2153)/'DRE + DCF'!$V$33</f>
        <v>-90858.801614444121</v>
      </c>
      <c r="J2153" s="359">
        <f>-'DRE + DCF'!$V$56*L2153</f>
        <v>-1188924.4255577971</v>
      </c>
      <c r="K2153" s="360">
        <f>(1+L2153)/(1+Ke!$O$12)-1</f>
        <v>2.0000000000000018E-2</v>
      </c>
      <c r="L2153" s="360">
        <f>'DRE + DCF'!$Y$31</f>
        <v>7.3550000000000004E-2</v>
      </c>
      <c r="M2153" s="361">
        <f>(1+D2153)^((5-Dashboard!$F$9)*3/12)</f>
        <v>1.2090646995171901</v>
      </c>
      <c r="N2153" s="361">
        <f t="shared" ref="N2153:V2153" si="2208">M2153*(1+$D2153)</f>
        <v>1.5573357862130968</v>
      </c>
      <c r="O2153" s="361">
        <f t="shared" si="2208"/>
        <v>2.0059263594317533</v>
      </c>
      <c r="P2153" s="361">
        <f t="shared" si="2208"/>
        <v>2.5837334472660367</v>
      </c>
      <c r="Q2153" s="361">
        <f t="shared" si="2208"/>
        <v>3.3279778667509761</v>
      </c>
      <c r="R2153" s="361">
        <f t="shared" si="2208"/>
        <v>4.28660189126854</v>
      </c>
      <c r="S2153" s="361">
        <f t="shared" si="2208"/>
        <v>5.5213575660483718</v>
      </c>
      <c r="T2153" s="361">
        <f t="shared" si="2208"/>
        <v>7.1117846129485143</v>
      </c>
      <c r="U2153" s="361">
        <f t="shared" si="2208"/>
        <v>9.1603341707082162</v>
      </c>
      <c r="V2153" s="362">
        <f t="shared" si="2208"/>
        <v>11.798968428580567</v>
      </c>
      <c r="X2153" s="351"/>
    </row>
    <row r="2154" spans="3:24" ht="24.75" customHeight="1" x14ac:dyDescent="0.3">
      <c r="C2154" s="353">
        <f>ABS(E2154-Dashboard!$F$14)</f>
        <v>39.820895567769583</v>
      </c>
      <c r="D2154" s="350">
        <f t="shared" si="2181"/>
        <v>0.28814999999998353</v>
      </c>
      <c r="E2154" s="359" cm="1">
        <f t="array" ref="E2154">1000*SUM('DRE + DCF'!$L$36/M2154,'DRE + DCF'!$N$36:$V$36/N2154:V2154,F2154/V2154)/Dashboard!$F$11</f>
        <v>57.169104432230412</v>
      </c>
      <c r="F2154" s="359">
        <f t="shared" si="2179"/>
        <v>9184671.32314937</v>
      </c>
      <c r="G2154" s="359">
        <f>'DRE + DCF'!$W$31</f>
        <v>2791623.3540418856</v>
      </c>
      <c r="H2154" s="359">
        <f>'DRE + DCF'!$W$32</f>
        <v>81081.931703745853</v>
      </c>
      <c r="I2154" s="359">
        <f>-H2154*('DRE + DCF'!$V$33+K2154)/'DRE + DCF'!$V$33</f>
        <v>-90858.801614444121</v>
      </c>
      <c r="J2154" s="359">
        <f>-'DRE + DCF'!$V$56*L2154</f>
        <v>-1188924.4255577971</v>
      </c>
      <c r="K2154" s="360">
        <f>(1+L2154)/(1+Ke!$O$12)-1</f>
        <v>2.0000000000000018E-2</v>
      </c>
      <c r="L2154" s="360">
        <f>'DRE + DCF'!$Y$31</f>
        <v>7.3550000000000004E-2</v>
      </c>
      <c r="M2154" s="361">
        <f>(1+D2154)^((5-Dashboard!$F$9)*3/12)</f>
        <v>1.2091350997132082</v>
      </c>
      <c r="N2154" s="361">
        <f t="shared" ref="N2154:V2154" si="2209">M2154*(1+$D2154)</f>
        <v>1.5575473786955492</v>
      </c>
      <c r="O2154" s="361">
        <f t="shared" si="2209"/>
        <v>2.0063546558666459</v>
      </c>
      <c r="P2154" s="361">
        <f t="shared" si="2209"/>
        <v>2.5844857499545868</v>
      </c>
      <c r="Q2154" s="361">
        <f t="shared" si="2209"/>
        <v>3.3292053188039583</v>
      </c>
      <c r="R2154" s="361">
        <f t="shared" si="2209"/>
        <v>4.2885158314172642</v>
      </c>
      <c r="S2154" s="361">
        <f t="shared" si="2209"/>
        <v>5.524251668240078</v>
      </c>
      <c r="T2154" s="361">
        <f t="shared" si="2209"/>
        <v>7.1160647864433653</v>
      </c>
      <c r="U2154" s="361">
        <f t="shared" si="2209"/>
        <v>9.1665588546569037</v>
      </c>
      <c r="V2154" s="362">
        <f t="shared" si="2209"/>
        <v>11.807902788626139</v>
      </c>
      <c r="X2154" s="351"/>
    </row>
    <row r="2155" spans="3:24" ht="24.75" customHeight="1" x14ac:dyDescent="0.3">
      <c r="C2155" s="353">
        <f>ABS(E2155-Dashboard!$F$14)</f>
        <v>39.851891423117785</v>
      </c>
      <c r="D2155" s="350">
        <f t="shared" si="2181"/>
        <v>0.28824999999998352</v>
      </c>
      <c r="E2155" s="359" cm="1">
        <f t="array" ref="E2155">1000*SUM('DRE + DCF'!$L$36/M2155,'DRE + DCF'!$N$36:$V$36/N2155:V2155,F2155/V2155)/Dashboard!$F$11</f>
        <v>57.13810857688221</v>
      </c>
      <c r="F2155" s="359">
        <f t="shared" si="2179"/>
        <v>9181011.4470100682</v>
      </c>
      <c r="G2155" s="359">
        <f>'DRE + DCF'!$W$31</f>
        <v>2791623.3540418856</v>
      </c>
      <c r="H2155" s="359">
        <f>'DRE + DCF'!$W$32</f>
        <v>81081.931703745853</v>
      </c>
      <c r="I2155" s="359">
        <f>-H2155*('DRE + DCF'!$V$33+K2155)/'DRE + DCF'!$V$33</f>
        <v>-90858.801614444121</v>
      </c>
      <c r="J2155" s="359">
        <f>-'DRE + DCF'!$V$56*L2155</f>
        <v>-1188924.4255577971</v>
      </c>
      <c r="K2155" s="360">
        <f>(1+L2155)/(1+Ke!$O$12)-1</f>
        <v>2.0000000000000018E-2</v>
      </c>
      <c r="L2155" s="360">
        <f>'DRE + DCF'!$Y$31</f>
        <v>7.3550000000000004E-2</v>
      </c>
      <c r="M2155" s="361">
        <f>(1+D2155)^((5-Dashboard!$F$9)*3/12)</f>
        <v>1.2092054985429355</v>
      </c>
      <c r="N2155" s="361">
        <f t="shared" ref="N2155:V2155" si="2210">M2155*(1+$D2155)</f>
        <v>1.5577589834979166</v>
      </c>
      <c r="O2155" s="361">
        <f t="shared" si="2210"/>
        <v>2.0067830104911653</v>
      </c>
      <c r="P2155" s="361">
        <f t="shared" si="2210"/>
        <v>2.5852382132652103</v>
      </c>
      <c r="Q2155" s="361">
        <f t="shared" si="2210"/>
        <v>3.3304331282388646</v>
      </c>
      <c r="R2155" s="361">
        <f t="shared" si="2210"/>
        <v>4.2904304774536621</v>
      </c>
      <c r="S2155" s="361">
        <f t="shared" si="2210"/>
        <v>5.5271470625796093</v>
      </c>
      <c r="T2155" s="361">
        <f t="shared" si="2210"/>
        <v>7.1203472033680901</v>
      </c>
      <c r="U2155" s="361">
        <f t="shared" si="2210"/>
        <v>9.1727872847388241</v>
      </c>
      <c r="V2155" s="362">
        <f t="shared" si="2210"/>
        <v>11.816843219564639</v>
      </c>
      <c r="X2155" s="351"/>
    </row>
    <row r="2156" spans="3:24" ht="24.75" customHeight="1" x14ac:dyDescent="0.3">
      <c r="C2156" s="353">
        <f>ABS(E2156-Dashboard!$F$14)</f>
        <v>39.882857467867922</v>
      </c>
      <c r="D2156" s="350">
        <f t="shared" si="2181"/>
        <v>0.28834999999998351</v>
      </c>
      <c r="E2156" s="359" cm="1">
        <f t="array" ref="E2156">1000*SUM('DRE + DCF'!$L$36/M2156,'DRE + DCF'!$N$36:$V$36/N2156:V2156,F2156/V2156)/Dashboard!$F$11</f>
        <v>57.107142532132073</v>
      </c>
      <c r="F2156" s="359">
        <f t="shared" si="2179"/>
        <v>9177354.5501074754</v>
      </c>
      <c r="G2156" s="359">
        <f>'DRE + DCF'!$W$31</f>
        <v>2791623.3540418856</v>
      </c>
      <c r="H2156" s="359">
        <f>'DRE + DCF'!$W$32</f>
        <v>81081.931703745853</v>
      </c>
      <c r="I2156" s="359">
        <f>-H2156*('DRE + DCF'!$V$33+K2156)/'DRE + DCF'!$V$33</f>
        <v>-90858.801614444121</v>
      </c>
      <c r="J2156" s="359">
        <f>-'DRE + DCF'!$V$56*L2156</f>
        <v>-1188924.4255577971</v>
      </c>
      <c r="K2156" s="360">
        <f>(1+L2156)/(1+Ke!$O$12)-1</f>
        <v>2.0000000000000018E-2</v>
      </c>
      <c r="L2156" s="360">
        <f>'DRE + DCF'!$Y$31</f>
        <v>7.3550000000000004E-2</v>
      </c>
      <c r="M2156" s="361">
        <f>(1+D2156)^((5-Dashboard!$F$9)*3/12)</f>
        <v>1.209275896006504</v>
      </c>
      <c r="N2156" s="361">
        <f t="shared" ref="N2156:V2156" si="2211">M2156*(1+$D2156)</f>
        <v>1.5579706006199594</v>
      </c>
      <c r="O2156" s="361">
        <f t="shared" si="2211"/>
        <v>2.0072114233086991</v>
      </c>
      <c r="P2156" s="361">
        <f t="shared" si="2211"/>
        <v>2.5859908372197293</v>
      </c>
      <c r="Q2156" s="361">
        <f t="shared" si="2211"/>
        <v>3.3316612951319957</v>
      </c>
      <c r="R2156" s="361">
        <f t="shared" si="2211"/>
        <v>4.2923458295832519</v>
      </c>
      <c r="S2156" s="361">
        <f t="shared" si="2211"/>
        <v>5.5300437495435117</v>
      </c>
      <c r="T2156" s="361">
        <f t="shared" si="2211"/>
        <v>7.1246318647242921</v>
      </c>
      <c r="U2156" s="361">
        <f t="shared" si="2211"/>
        <v>9.1790194629174238</v>
      </c>
      <c r="V2156" s="362">
        <f t="shared" si="2211"/>
        <v>11.825789725049511</v>
      </c>
      <c r="X2156" s="351"/>
    </row>
    <row r="2157" spans="3:24" ht="24.75" customHeight="1" x14ac:dyDescent="0.3">
      <c r="C2157" s="353">
        <f>ABS(E2157-Dashboard!$F$14)</f>
        <v>39.913793741927918</v>
      </c>
      <c r="D2157" s="350">
        <f t="shared" si="2181"/>
        <v>0.2884499999999835</v>
      </c>
      <c r="E2157" s="359" cm="1">
        <f t="array" ref="E2157">1000*SUM('DRE + DCF'!$L$36/M2157,'DRE + DCF'!$N$36:$V$36/N2157:V2157,F2157/V2157)/Dashboard!$F$11</f>
        <v>57.076206258072077</v>
      </c>
      <c r="F2157" s="359">
        <f t="shared" si="2179"/>
        <v>9173700.6287279986</v>
      </c>
      <c r="G2157" s="359">
        <f>'DRE + DCF'!$W$31</f>
        <v>2791623.3540418856</v>
      </c>
      <c r="H2157" s="359">
        <f>'DRE + DCF'!$W$32</f>
        <v>81081.931703745853</v>
      </c>
      <c r="I2157" s="359">
        <f>-H2157*('DRE + DCF'!$V$33+K2157)/'DRE + DCF'!$V$33</f>
        <v>-90858.801614444121</v>
      </c>
      <c r="J2157" s="359">
        <f>-'DRE + DCF'!$V$56*L2157</f>
        <v>-1188924.4255577971</v>
      </c>
      <c r="K2157" s="360">
        <f>(1+L2157)/(1+Ke!$O$12)-1</f>
        <v>2.0000000000000018E-2</v>
      </c>
      <c r="L2157" s="360">
        <f>'DRE + DCF'!$Y$31</f>
        <v>7.3550000000000004E-2</v>
      </c>
      <c r="M2157" s="361">
        <f>(1+D2157)^((5-Dashboard!$F$9)*3/12)</f>
        <v>1.2093462921040468</v>
      </c>
      <c r="N2157" s="361">
        <f t="shared" ref="N2157:V2157" si="2212">M2157*(1+$D2157)</f>
        <v>1.558182230061439</v>
      </c>
      <c r="O2157" s="361">
        <f t="shared" si="2212"/>
        <v>2.0076398943226352</v>
      </c>
      <c r="P2157" s="361">
        <f t="shared" si="2212"/>
        <v>2.586743621839966</v>
      </c>
      <c r="Q2157" s="361">
        <f t="shared" si="2212"/>
        <v>3.3328898195596612</v>
      </c>
      <c r="R2157" s="361">
        <f t="shared" si="2212"/>
        <v>4.2942618880115901</v>
      </c>
      <c r="S2157" s="361">
        <f t="shared" si="2212"/>
        <v>5.5329417296084626</v>
      </c>
      <c r="T2157" s="361">
        <f t="shared" si="2212"/>
        <v>7.1289187715139324</v>
      </c>
      <c r="U2157" s="361">
        <f t="shared" si="2212"/>
        <v>9.1852553911570087</v>
      </c>
      <c r="V2157" s="362">
        <f t="shared" si="2212"/>
        <v>11.834742308736097</v>
      </c>
      <c r="X2157" s="351"/>
    </row>
    <row r="2158" spans="3:24" ht="24.75" customHeight="1" x14ac:dyDescent="0.3">
      <c r="C2158" s="353">
        <f>ABS(E2158-Dashboard!$F$14)</f>
        <v>39.944700285137166</v>
      </c>
      <c r="D2158" s="350">
        <f t="shared" si="2181"/>
        <v>0.28854999999998349</v>
      </c>
      <c r="E2158" s="359" cm="1">
        <f t="array" ref="E2158">1000*SUM('DRE + DCF'!$L$36/M2158,'DRE + DCF'!$N$36:$V$36/N2158:V2158,F2158/V2158)/Dashboard!$F$11</f>
        <v>57.045299714862828</v>
      </c>
      <c r="F2158" s="359">
        <f t="shared" si="2179"/>
        <v>9170049.6791643389</v>
      </c>
      <c r="G2158" s="359">
        <f>'DRE + DCF'!$W$31</f>
        <v>2791623.3540418856</v>
      </c>
      <c r="H2158" s="359">
        <f>'DRE + DCF'!$W$32</f>
        <v>81081.931703745853</v>
      </c>
      <c r="I2158" s="359">
        <f>-H2158*('DRE + DCF'!$V$33+K2158)/'DRE + DCF'!$V$33</f>
        <v>-90858.801614444121</v>
      </c>
      <c r="J2158" s="359">
        <f>-'DRE + DCF'!$V$56*L2158</f>
        <v>-1188924.4255577971</v>
      </c>
      <c r="K2158" s="360">
        <f>(1+L2158)/(1+Ke!$O$12)-1</f>
        <v>2.0000000000000018E-2</v>
      </c>
      <c r="L2158" s="360">
        <f>'DRE + DCF'!$Y$31</f>
        <v>7.3550000000000004E-2</v>
      </c>
      <c r="M2158" s="361">
        <f>(1+D2158)^((5-Dashboard!$F$9)*3/12)</f>
        <v>1.2094166868356961</v>
      </c>
      <c r="N2158" s="361">
        <f t="shared" ref="N2158:V2158" si="2213">M2158*(1+$D2158)</f>
        <v>1.5583938718221162</v>
      </c>
      <c r="O2158" s="361">
        <f t="shared" si="2213"/>
        <v>2.0080684235363622</v>
      </c>
      <c r="P2158" s="361">
        <f t="shared" si="2213"/>
        <v>2.5874965671477463</v>
      </c>
      <c r="Q2158" s="361">
        <f t="shared" si="2213"/>
        <v>3.3341187015981855</v>
      </c>
      <c r="R2158" s="361">
        <f t="shared" si="2213"/>
        <v>4.2961786529442865</v>
      </c>
      <c r="S2158" s="361">
        <f t="shared" si="2213"/>
        <v>5.5358410032512895</v>
      </c>
      <c r="T2158" s="361">
        <f t="shared" si="2213"/>
        <v>7.1332079247393576</v>
      </c>
      <c r="U2158" s="361">
        <f t="shared" si="2213"/>
        <v>9.1914950714227803</v>
      </c>
      <c r="V2158" s="362">
        <f t="shared" si="2213"/>
        <v>11.843700974281671</v>
      </c>
      <c r="X2158" s="351"/>
    </row>
    <row r="2159" spans="3:24" ht="24.75" customHeight="1" x14ac:dyDescent="0.3">
      <c r="C2159" s="353">
        <f>ABS(E2159-Dashboard!$F$14)</f>
        <v>39.975577137266455</v>
      </c>
      <c r="D2159" s="350">
        <f t="shared" si="2181"/>
        <v>0.28864999999998348</v>
      </c>
      <c r="E2159" s="359" cm="1">
        <f t="array" ref="E2159">1000*SUM('DRE + DCF'!$L$36/M2159,'DRE + DCF'!$N$36:$V$36/N2159:V2159,F2159/V2159)/Dashboard!$F$11</f>
        <v>57.014422862733539</v>
      </c>
      <c r="F2159" s="359">
        <f t="shared" si="2179"/>
        <v>9166401.6977154799</v>
      </c>
      <c r="G2159" s="359">
        <f>'DRE + DCF'!$W$31</f>
        <v>2791623.3540418856</v>
      </c>
      <c r="H2159" s="359">
        <f>'DRE + DCF'!$W$32</f>
        <v>81081.931703745853</v>
      </c>
      <c r="I2159" s="359">
        <f>-H2159*('DRE + DCF'!$V$33+K2159)/'DRE + DCF'!$V$33</f>
        <v>-90858.801614444121</v>
      </c>
      <c r="J2159" s="359">
        <f>-'DRE + DCF'!$V$56*L2159</f>
        <v>-1188924.4255577971</v>
      </c>
      <c r="K2159" s="360">
        <f>(1+L2159)/(1+Ke!$O$12)-1</f>
        <v>2.0000000000000018E-2</v>
      </c>
      <c r="L2159" s="360">
        <f>'DRE + DCF'!$Y$31</f>
        <v>7.3550000000000004E-2</v>
      </c>
      <c r="M2159" s="361">
        <f>(1+D2159)^((5-Dashboard!$F$9)*3/12)</f>
        <v>1.2094870802015845</v>
      </c>
      <c r="N2159" s="361">
        <f t="shared" ref="N2159:V2159" si="2214">M2159*(1+$D2159)</f>
        <v>1.5586055259017517</v>
      </c>
      <c r="O2159" s="361">
        <f t="shared" si="2214"/>
        <v>2.0084970109532665</v>
      </c>
      <c r="P2159" s="361">
        <f t="shared" si="2214"/>
        <v>2.5882496731648934</v>
      </c>
      <c r="Q2159" s="361">
        <f t="shared" si="2214"/>
        <v>3.3353479413238971</v>
      </c>
      <c r="R2159" s="361">
        <f t="shared" si="2214"/>
        <v>4.2980961245869844</v>
      </c>
      <c r="S2159" s="361">
        <f t="shared" si="2214"/>
        <v>5.5387415709489458</v>
      </c>
      <c r="T2159" s="361">
        <f t="shared" si="2214"/>
        <v>7.137499325403267</v>
      </c>
      <c r="U2159" s="361">
        <f t="shared" si="2214"/>
        <v>9.1977385056808014</v>
      </c>
      <c r="V2159" s="362">
        <f t="shared" si="2214"/>
        <v>11.852665725345412</v>
      </c>
      <c r="X2159" s="351"/>
    </row>
    <row r="2160" spans="3:24" ht="24.75" customHeight="1" x14ac:dyDescent="0.3">
      <c r="C2160" s="353">
        <f>ABS(E2160-Dashboard!$F$14)</f>
        <v>40.006424338018356</v>
      </c>
      <c r="D2160" s="350">
        <f t="shared" si="2181"/>
        <v>0.28874999999998346</v>
      </c>
      <c r="E2160" s="359" cm="1">
        <f t="array" ref="E2160">1000*SUM('DRE + DCF'!$L$36/M2160,'DRE + DCF'!$N$36:$V$36/N2160:V2160,F2160/V2160)/Dashboard!$F$11</f>
        <v>56.983575661981639</v>
      </c>
      <c r="F2160" s="359">
        <f t="shared" si="2179"/>
        <v>9162756.6806866601</v>
      </c>
      <c r="G2160" s="359">
        <f>'DRE + DCF'!$W$31</f>
        <v>2791623.3540418856</v>
      </c>
      <c r="H2160" s="359">
        <f>'DRE + DCF'!$W$32</f>
        <v>81081.931703745853</v>
      </c>
      <c r="I2160" s="359">
        <f>-H2160*('DRE + DCF'!$V$33+K2160)/'DRE + DCF'!$V$33</f>
        <v>-90858.801614444121</v>
      </c>
      <c r="J2160" s="359">
        <f>-'DRE + DCF'!$V$56*L2160</f>
        <v>-1188924.4255577971</v>
      </c>
      <c r="K2160" s="360">
        <f>(1+L2160)/(1+Ke!$O$12)-1</f>
        <v>2.0000000000000018E-2</v>
      </c>
      <c r="L2160" s="360">
        <f>'DRE + DCF'!$Y$31</f>
        <v>7.3550000000000004E-2</v>
      </c>
      <c r="M2160" s="361">
        <f>(1+D2160)^((5-Dashboard!$F$9)*3/12)</f>
        <v>1.2095574722018445</v>
      </c>
      <c r="N2160" s="361">
        <f t="shared" ref="N2160:V2160" si="2215">M2160*(1+$D2160)</f>
        <v>1.5588171923001071</v>
      </c>
      <c r="O2160" s="361">
        <f t="shared" si="2215"/>
        <v>2.0089256565767371</v>
      </c>
      <c r="P2160" s="361">
        <f t="shared" si="2215"/>
        <v>2.5890029399132364</v>
      </c>
      <c r="Q2160" s="361">
        <f t="shared" si="2215"/>
        <v>3.3365775388131405</v>
      </c>
      <c r="R2160" s="361">
        <f t="shared" si="2215"/>
        <v>4.300014303145379</v>
      </c>
      <c r="S2160" s="361">
        <f t="shared" si="2215"/>
        <v>5.5416434331785362</v>
      </c>
      <c r="T2160" s="361">
        <f t="shared" si="2215"/>
        <v>7.1417929745087463</v>
      </c>
      <c r="U2160" s="361">
        <f t="shared" si="2215"/>
        <v>9.2039856958980284</v>
      </c>
      <c r="V2160" s="362">
        <f t="shared" si="2215"/>
        <v>11.861636565588432</v>
      </c>
      <c r="X2160" s="351"/>
    </row>
    <row r="2161" spans="3:24" ht="24.75" customHeight="1" x14ac:dyDescent="0.3">
      <c r="C2161" s="353">
        <f>ABS(E2161-Dashboard!$F$14)</f>
        <v>40.037241927027125</v>
      </c>
      <c r="D2161" s="350">
        <f t="shared" si="2181"/>
        <v>0.28884999999998345</v>
      </c>
      <c r="E2161" s="359" cm="1">
        <f t="array" ref="E2161">1000*SUM('DRE + DCF'!$L$36/M2161,'DRE + DCF'!$N$36:$V$36/N2161:V2161,F2161/V2161)/Dashboard!$F$11</f>
        <v>56.95275807297287</v>
      </c>
      <c r="F2161" s="359">
        <f t="shared" si="2179"/>
        <v>9159114.6243893821</v>
      </c>
      <c r="G2161" s="359">
        <f>'DRE + DCF'!$W$31</f>
        <v>2791623.3540418856</v>
      </c>
      <c r="H2161" s="359">
        <f>'DRE + DCF'!$W$32</f>
        <v>81081.931703745853</v>
      </c>
      <c r="I2161" s="359">
        <f>-H2161*('DRE + DCF'!$V$33+K2161)/'DRE + DCF'!$V$33</f>
        <v>-90858.801614444121</v>
      </c>
      <c r="J2161" s="359">
        <f>-'DRE + DCF'!$V$56*L2161</f>
        <v>-1188924.4255577971</v>
      </c>
      <c r="K2161" s="360">
        <f>(1+L2161)/(1+Ke!$O$12)-1</f>
        <v>2.0000000000000018E-2</v>
      </c>
      <c r="L2161" s="360">
        <f>'DRE + DCF'!$Y$31</f>
        <v>7.3550000000000004E-2</v>
      </c>
      <c r="M2161" s="361">
        <f>(1+D2161)^((5-Dashboard!$F$9)*3/12)</f>
        <v>1.2096278628366086</v>
      </c>
      <c r="N2161" s="361">
        <f t="shared" ref="N2161:V2161" si="2216">M2161*(1+$D2161)</f>
        <v>1.5590288710169429</v>
      </c>
      <c r="O2161" s="361">
        <f t="shared" si="2216"/>
        <v>2.0093543604101609</v>
      </c>
      <c r="P2161" s="361">
        <f t="shared" si="2216"/>
        <v>2.5897563674146027</v>
      </c>
      <c r="Q2161" s="361">
        <f t="shared" si="2216"/>
        <v>3.3378074941422677</v>
      </c>
      <c r="R2161" s="361">
        <f t="shared" si="2216"/>
        <v>4.3019331888252061</v>
      </c>
      <c r="S2161" s="361">
        <f t="shared" si="2216"/>
        <v>5.5445465904172959</v>
      </c>
      <c r="T2161" s="361">
        <f t="shared" si="2216"/>
        <v>7.1460888730592398</v>
      </c>
      <c r="U2161" s="361">
        <f t="shared" si="2216"/>
        <v>9.2102366440422827</v>
      </c>
      <c r="V2161" s="362">
        <f t="shared" si="2216"/>
        <v>11.870613498673743</v>
      </c>
      <c r="X2161" s="351"/>
    </row>
    <row r="2162" spans="3:24" ht="24.75" customHeight="1" x14ac:dyDescent="0.3">
      <c r="C2162" s="353">
        <f>ABS(E2162-Dashboard!$F$14)</f>
        <v>40.068029943859031</v>
      </c>
      <c r="D2162" s="350">
        <f t="shared" si="2181"/>
        <v>0.28894999999998344</v>
      </c>
      <c r="E2162" s="359" cm="1">
        <f t="array" ref="E2162">1000*SUM('DRE + DCF'!$L$36/M2162,'DRE + DCF'!$N$36:$V$36/N2162:V2162,F2162/V2162)/Dashboard!$F$11</f>
        <v>56.921970056140964</v>
      </c>
      <c r="F2162" s="359">
        <f t="shared" si="2179"/>
        <v>9155475.5251413733</v>
      </c>
      <c r="G2162" s="359">
        <f>'DRE + DCF'!$W$31</f>
        <v>2791623.3540418856</v>
      </c>
      <c r="H2162" s="359">
        <f>'DRE + DCF'!$W$32</f>
        <v>81081.931703745853</v>
      </c>
      <c r="I2162" s="359">
        <f>-H2162*('DRE + DCF'!$V$33+K2162)/'DRE + DCF'!$V$33</f>
        <v>-90858.801614444121</v>
      </c>
      <c r="J2162" s="359">
        <f>-'DRE + DCF'!$V$56*L2162</f>
        <v>-1188924.4255577971</v>
      </c>
      <c r="K2162" s="360">
        <f>(1+L2162)/(1+Ke!$O$12)-1</f>
        <v>2.0000000000000018E-2</v>
      </c>
      <c r="L2162" s="360">
        <f>'DRE + DCF'!$Y$31</f>
        <v>7.3550000000000004E-2</v>
      </c>
      <c r="M2162" s="361">
        <f>(1+D2162)^((5-Dashboard!$F$9)*3/12)</f>
        <v>1.2096982521060089</v>
      </c>
      <c r="N2162" s="361">
        <f t="shared" ref="N2162:V2162" si="2217">M2162*(1+$D2162)</f>
        <v>1.55924056205202</v>
      </c>
      <c r="O2162" s="361">
        <f t="shared" si="2217"/>
        <v>2.0097831224569251</v>
      </c>
      <c r="P2162" s="361">
        <f t="shared" si="2217"/>
        <v>2.5905099556908202</v>
      </c>
      <c r="Q2162" s="361">
        <f t="shared" si="2217"/>
        <v>3.3390378073876397</v>
      </c>
      <c r="R2162" s="361">
        <f t="shared" si="2217"/>
        <v>4.3038527818322425</v>
      </c>
      <c r="S2162" s="361">
        <f t="shared" si="2217"/>
        <v>5.5474510431425976</v>
      </c>
      <c r="T2162" s="361">
        <f t="shared" si="2217"/>
        <v>7.1503870220585588</v>
      </c>
      <c r="U2162" s="361">
        <f t="shared" si="2217"/>
        <v>9.2164913520822598</v>
      </c>
      <c r="V2162" s="362">
        <f t="shared" si="2217"/>
        <v>11.879596528266276</v>
      </c>
      <c r="X2162" s="351"/>
    </row>
    <row r="2163" spans="3:24" ht="24.75" customHeight="1" x14ac:dyDescent="0.3">
      <c r="C2163" s="353">
        <f>ABS(E2163-Dashboard!$F$14)</f>
        <v>40.098788428012462</v>
      </c>
      <c r="D2163" s="350">
        <f t="shared" si="2181"/>
        <v>0.28904999999998343</v>
      </c>
      <c r="E2163" s="359" cm="1">
        <f t="array" ref="E2163">1000*SUM('DRE + DCF'!$L$36/M2163,'DRE + DCF'!$N$36:$V$36/N2163:V2163,F2163/V2163)/Dashboard!$F$11</f>
        <v>56.891211571987533</v>
      </c>
      <c r="F2163" s="359">
        <f t="shared" si="2179"/>
        <v>9151839.3792665936</v>
      </c>
      <c r="G2163" s="359">
        <f>'DRE + DCF'!$W$31</f>
        <v>2791623.3540418856</v>
      </c>
      <c r="H2163" s="359">
        <f>'DRE + DCF'!$W$32</f>
        <v>81081.931703745853</v>
      </c>
      <c r="I2163" s="359">
        <f>-H2163*('DRE + DCF'!$V$33+K2163)/'DRE + DCF'!$V$33</f>
        <v>-90858.801614444121</v>
      </c>
      <c r="J2163" s="359">
        <f>-'DRE + DCF'!$V$56*L2163</f>
        <v>-1188924.4255577971</v>
      </c>
      <c r="K2163" s="360">
        <f>(1+L2163)/(1+Ke!$O$12)-1</f>
        <v>2.0000000000000018E-2</v>
      </c>
      <c r="L2163" s="360">
        <f>'DRE + DCF'!$Y$31</f>
        <v>7.3550000000000004E-2</v>
      </c>
      <c r="M2163" s="361">
        <f>(1+D2163)^((5-Dashboard!$F$9)*3/12)</f>
        <v>1.2097686400101784</v>
      </c>
      <c r="N2163" s="361">
        <f t="shared" ref="N2163:V2163" si="2218">M2163*(1+$D2163)</f>
        <v>1.5594522654051004</v>
      </c>
      <c r="O2163" s="361">
        <f t="shared" si="2218"/>
        <v>2.0102119427204186</v>
      </c>
      <c r="P2163" s="361">
        <f t="shared" si="2218"/>
        <v>2.5912637047637221</v>
      </c>
      <c r="Q2163" s="361">
        <f t="shared" si="2218"/>
        <v>3.3402684786256329</v>
      </c>
      <c r="R2163" s="361">
        <f t="shared" si="2218"/>
        <v>4.3057730823723164</v>
      </c>
      <c r="S2163" s="361">
        <f t="shared" si="2218"/>
        <v>5.5503567918319625</v>
      </c>
      <c r="T2163" s="361">
        <f t="shared" si="2218"/>
        <v>7.1546874225108992</v>
      </c>
      <c r="U2163" s="361">
        <f t="shared" si="2218"/>
        <v>9.2227498219875557</v>
      </c>
      <c r="V2163" s="362">
        <f t="shared" si="2218"/>
        <v>11.888585658032905</v>
      </c>
      <c r="X2163" s="351"/>
    </row>
    <row r="2164" spans="3:24" ht="24.75" customHeight="1" x14ac:dyDescent="0.3">
      <c r="C2164" s="353">
        <f>ABS(E2164-Dashboard!$F$14)</f>
        <v>40.129517418917949</v>
      </c>
      <c r="D2164" s="350">
        <f t="shared" si="2181"/>
        <v>0.28914999999998342</v>
      </c>
      <c r="E2164" s="359" cm="1">
        <f t="array" ref="E2164">1000*SUM('DRE + DCF'!$L$36/M2164,'DRE + DCF'!$N$36:$V$36/N2164:V2164,F2164/V2164)/Dashboard!$F$11</f>
        <v>56.860482581082046</v>
      </c>
      <c r="F2164" s="359">
        <f t="shared" si="2179"/>
        <v>9148206.183095213</v>
      </c>
      <c r="G2164" s="359">
        <f>'DRE + DCF'!$W$31</f>
        <v>2791623.3540418856</v>
      </c>
      <c r="H2164" s="359">
        <f>'DRE + DCF'!$W$32</f>
        <v>81081.931703745853</v>
      </c>
      <c r="I2164" s="359">
        <f>-H2164*('DRE + DCF'!$V$33+K2164)/'DRE + DCF'!$V$33</f>
        <v>-90858.801614444121</v>
      </c>
      <c r="J2164" s="359">
        <f>-'DRE + DCF'!$V$56*L2164</f>
        <v>-1188924.4255577971</v>
      </c>
      <c r="K2164" s="360">
        <f>(1+L2164)/(1+Ke!$O$12)-1</f>
        <v>2.0000000000000018E-2</v>
      </c>
      <c r="L2164" s="360">
        <f>'DRE + DCF'!$Y$31</f>
        <v>7.3550000000000004E-2</v>
      </c>
      <c r="M2164" s="361">
        <f>(1+D2164)^((5-Dashboard!$F$9)*3/12)</f>
        <v>1.2098390265492489</v>
      </c>
      <c r="N2164" s="361">
        <f t="shared" ref="N2164:V2164" si="2219">M2164*(1+$D2164)</f>
        <v>1.5596639810759441</v>
      </c>
      <c r="O2164" s="361">
        <f t="shared" si="2219"/>
        <v>2.0106408212040274</v>
      </c>
      <c r="P2164" s="361">
        <f t="shared" si="2219"/>
        <v>2.5920176146551386</v>
      </c>
      <c r="Q2164" s="361">
        <f t="shared" si="2219"/>
        <v>3.3414995079326286</v>
      </c>
      <c r="R2164" s="361">
        <f t="shared" si="2219"/>
        <v>4.3076940906512924</v>
      </c>
      <c r="S2164" s="361">
        <f t="shared" si="2219"/>
        <v>5.5532638369630423</v>
      </c>
      <c r="T2164" s="361">
        <f t="shared" si="2219"/>
        <v>7.1589900754208138</v>
      </c>
      <c r="U2164" s="361">
        <f t="shared" si="2219"/>
        <v>9.2290120557286226</v>
      </c>
      <c r="V2164" s="362">
        <f t="shared" si="2219"/>
        <v>11.8975808916424</v>
      </c>
      <c r="X2164" s="351"/>
    </row>
    <row r="2165" spans="3:24" ht="24.75" customHeight="1" x14ac:dyDescent="0.3">
      <c r="C2165" s="353">
        <f>ABS(E2165-Dashboard!$F$14)</f>
        <v>40.160216955938516</v>
      </c>
      <c r="D2165" s="350">
        <f t="shared" si="2181"/>
        <v>0.28924999999998341</v>
      </c>
      <c r="E2165" s="359" cm="1">
        <f t="array" ref="E2165">1000*SUM('DRE + DCF'!$L$36/M2165,'DRE + DCF'!$N$36:$V$36/N2165:V2165,F2165/V2165)/Dashboard!$F$11</f>
        <v>56.829783044061479</v>
      </c>
      <c r="F2165" s="359">
        <f t="shared" si="2179"/>
        <v>9144575.9329635985</v>
      </c>
      <c r="G2165" s="359">
        <f>'DRE + DCF'!$W$31</f>
        <v>2791623.3540418856</v>
      </c>
      <c r="H2165" s="359">
        <f>'DRE + DCF'!$W$32</f>
        <v>81081.931703745853</v>
      </c>
      <c r="I2165" s="359">
        <f>-H2165*('DRE + DCF'!$V$33+K2165)/'DRE + DCF'!$V$33</f>
        <v>-90858.801614444121</v>
      </c>
      <c r="J2165" s="359">
        <f>-'DRE + DCF'!$V$56*L2165</f>
        <v>-1188924.4255577971</v>
      </c>
      <c r="K2165" s="360">
        <f>(1+L2165)/(1+Ke!$O$12)-1</f>
        <v>2.0000000000000018E-2</v>
      </c>
      <c r="L2165" s="360">
        <f>'DRE + DCF'!$Y$31</f>
        <v>7.3550000000000004E-2</v>
      </c>
      <c r="M2165" s="361">
        <f>(1+D2165)^((5-Dashboard!$F$9)*3/12)</f>
        <v>1.2099094117233531</v>
      </c>
      <c r="N2165" s="361">
        <f t="shared" ref="N2165:V2165" si="2220">M2165*(1+$D2165)</f>
        <v>1.5598757090643127</v>
      </c>
      <c r="O2165" s="361">
        <f t="shared" si="2220"/>
        <v>2.0110697579111392</v>
      </c>
      <c r="P2165" s="361">
        <f t="shared" si="2220"/>
        <v>2.5927716853869027</v>
      </c>
      <c r="Q2165" s="361">
        <f t="shared" si="2220"/>
        <v>3.3427308953850212</v>
      </c>
      <c r="R2165" s="361">
        <f t="shared" si="2220"/>
        <v>4.3096158068750832</v>
      </c>
      <c r="S2165" s="361">
        <f t="shared" si="2220"/>
        <v>5.5561721790136289</v>
      </c>
      <c r="T2165" s="361">
        <f t="shared" si="2220"/>
        <v>7.1632949817932285</v>
      </c>
      <c r="U2165" s="361">
        <f t="shared" si="2220"/>
        <v>9.235278055276801</v>
      </c>
      <c r="V2165" s="362">
        <f t="shared" si="2220"/>
        <v>11.906582232765462</v>
      </c>
      <c r="X2165" s="351"/>
    </row>
    <row r="2166" spans="3:24" ht="24.75" customHeight="1" x14ac:dyDescent="0.3">
      <c r="C2166" s="353">
        <f>ABS(E2166-Dashboard!$F$14)</f>
        <v>40.190887078369578</v>
      </c>
      <c r="D2166" s="350">
        <f t="shared" si="2181"/>
        <v>0.2893499999999834</v>
      </c>
      <c r="E2166" s="359" cm="1">
        <f t="array" ref="E2166">1000*SUM('DRE + DCF'!$L$36/M2166,'DRE + DCF'!$N$36:$V$36/N2166:V2166,F2166/V2166)/Dashboard!$F$11</f>
        <v>56.799112921630417</v>
      </c>
      <c r="F2166" s="359">
        <f t="shared" si="2179"/>
        <v>9140948.625214301</v>
      </c>
      <c r="G2166" s="359">
        <f>'DRE + DCF'!$W$31</f>
        <v>2791623.3540418856</v>
      </c>
      <c r="H2166" s="359">
        <f>'DRE + DCF'!$W$32</f>
        <v>81081.931703745853</v>
      </c>
      <c r="I2166" s="359">
        <f>-H2166*('DRE + DCF'!$V$33+K2166)/'DRE + DCF'!$V$33</f>
        <v>-90858.801614444121</v>
      </c>
      <c r="J2166" s="359">
        <f>-'DRE + DCF'!$V$56*L2166</f>
        <v>-1188924.4255577971</v>
      </c>
      <c r="K2166" s="360">
        <f>(1+L2166)/(1+Ke!$O$12)-1</f>
        <v>2.0000000000000018E-2</v>
      </c>
      <c r="L2166" s="360">
        <f>'DRE + DCF'!$Y$31</f>
        <v>7.3550000000000004E-2</v>
      </c>
      <c r="M2166" s="361">
        <f>(1+D2166)^((5-Dashboard!$F$9)*3/12)</f>
        <v>1.2099797955326232</v>
      </c>
      <c r="N2166" s="361">
        <f t="shared" ref="N2166:V2166" si="2221">M2166*(1+$D2166)</f>
        <v>1.5600874493699677</v>
      </c>
      <c r="O2166" s="361">
        <f t="shared" si="2221"/>
        <v>2.0114987528451418</v>
      </c>
      <c r="P2166" s="361">
        <f t="shared" si="2221"/>
        <v>2.59352591698085</v>
      </c>
      <c r="Q2166" s="361">
        <f t="shared" si="2221"/>
        <v>3.3439626410592158</v>
      </c>
      <c r="R2166" s="361">
        <f t="shared" si="2221"/>
        <v>4.311538231249644</v>
      </c>
      <c r="S2166" s="361">
        <f t="shared" si="2221"/>
        <v>5.5590818184616566</v>
      </c>
      <c r="T2166" s="361">
        <f t="shared" si="2221"/>
        <v>7.1676021426334442</v>
      </c>
      <c r="U2166" s="361">
        <f t="shared" si="2221"/>
        <v>9.2415478226043124</v>
      </c>
      <c r="V2166" s="362">
        <f t="shared" si="2221"/>
        <v>11.915589685074716</v>
      </c>
      <c r="X2166" s="351"/>
    </row>
    <row r="2167" spans="3:24" ht="24.75" customHeight="1" x14ac:dyDescent="0.3">
      <c r="C2167" s="353">
        <f>ABS(E2167-Dashboard!$F$14)</f>
        <v>40.221527825439381</v>
      </c>
      <c r="D2167" s="350">
        <f t="shared" si="2181"/>
        <v>0.28944999999998339</v>
      </c>
      <c r="E2167" s="359" cm="1">
        <f t="array" ref="E2167">1000*SUM('DRE + DCF'!$L$36/M2167,'DRE + DCF'!$N$36:$V$36/N2167:V2167,F2167/V2167)/Dashboard!$F$11</f>
        <v>56.768472174560614</v>
      </c>
      <c r="F2167" s="359">
        <f t="shared" si="2179"/>
        <v>9137324.2561960388</v>
      </c>
      <c r="G2167" s="359">
        <f>'DRE + DCF'!$W$31</f>
        <v>2791623.3540418856</v>
      </c>
      <c r="H2167" s="359">
        <f>'DRE + DCF'!$W$32</f>
        <v>81081.931703745853</v>
      </c>
      <c r="I2167" s="359">
        <f>-H2167*('DRE + DCF'!$V$33+K2167)/'DRE + DCF'!$V$33</f>
        <v>-90858.801614444121</v>
      </c>
      <c r="J2167" s="359">
        <f>-'DRE + DCF'!$V$56*L2167</f>
        <v>-1188924.4255577971</v>
      </c>
      <c r="K2167" s="360">
        <f>(1+L2167)/(1+Ke!$O$12)-1</f>
        <v>2.0000000000000018E-2</v>
      </c>
      <c r="L2167" s="360">
        <f>'DRE + DCF'!$Y$31</f>
        <v>7.3550000000000004E-2</v>
      </c>
      <c r="M2167" s="361">
        <f>(1+D2167)^((5-Dashboard!$F$9)*3/12)</f>
        <v>1.2100501779771917</v>
      </c>
      <c r="N2167" s="361">
        <f t="shared" ref="N2167:V2167" si="2222">M2167*(1+$D2167)</f>
        <v>1.5602992019926698</v>
      </c>
      <c r="O2167" s="361">
        <f t="shared" si="2222"/>
        <v>2.0119278060094219</v>
      </c>
      <c r="P2167" s="361">
        <f t="shared" si="2222"/>
        <v>2.5942803094588154</v>
      </c>
      <c r="Q2167" s="361">
        <f t="shared" si="2222"/>
        <v>3.3451947450316264</v>
      </c>
      <c r="R2167" s="361">
        <f t="shared" si="2222"/>
        <v>4.3134613639809745</v>
      </c>
      <c r="S2167" s="361">
        <f t="shared" si="2222"/>
        <v>5.5619927557851954</v>
      </c>
      <c r="T2167" s="361">
        <f t="shared" si="2222"/>
        <v>7.1719115589471274</v>
      </c>
      <c r="U2167" s="361">
        <f t="shared" si="2222"/>
        <v>9.247821359684254</v>
      </c>
      <c r="V2167" s="362">
        <f t="shared" si="2222"/>
        <v>11.924603252244706</v>
      </c>
      <c r="X2167" s="351"/>
    </row>
    <row r="2168" spans="3:24" ht="24.75" customHeight="1" x14ac:dyDescent="0.3">
      <c r="C2168" s="353">
        <f>ABS(E2168-Dashboard!$F$14)</f>
        <v>40.252139236308857</v>
      </c>
      <c r="D2168" s="350">
        <f t="shared" si="2181"/>
        <v>0.28954999999998338</v>
      </c>
      <c r="E2168" s="359" cm="1">
        <f t="array" ref="E2168">1000*SUM('DRE + DCF'!$L$36/M2168,'DRE + DCF'!$N$36:$V$36/N2168:V2168,F2168/V2168)/Dashboard!$F$11</f>
        <v>56.737860763691138</v>
      </c>
      <c r="F2168" s="359">
        <f t="shared" si="2179"/>
        <v>9133702.8222636953</v>
      </c>
      <c r="G2168" s="359">
        <f>'DRE + DCF'!$W$31</f>
        <v>2791623.3540418856</v>
      </c>
      <c r="H2168" s="359">
        <f>'DRE + DCF'!$W$32</f>
        <v>81081.931703745853</v>
      </c>
      <c r="I2168" s="359">
        <f>-H2168*('DRE + DCF'!$V$33+K2168)/'DRE + DCF'!$V$33</f>
        <v>-90858.801614444121</v>
      </c>
      <c r="J2168" s="359">
        <f>-'DRE + DCF'!$V$56*L2168</f>
        <v>-1188924.4255577971</v>
      </c>
      <c r="K2168" s="360">
        <f>(1+L2168)/(1+Ke!$O$12)-1</f>
        <v>2.0000000000000018E-2</v>
      </c>
      <c r="L2168" s="360">
        <f>'DRE + DCF'!$Y$31</f>
        <v>7.3550000000000004E-2</v>
      </c>
      <c r="M2168" s="361">
        <f>(1+D2168)^((5-Dashboard!$F$9)*3/12)</f>
        <v>1.2101205590571906</v>
      </c>
      <c r="N2168" s="361">
        <f t="shared" ref="N2168:V2168" si="2223">M2168*(1+$D2168)</f>
        <v>1.5605109669321799</v>
      </c>
      <c r="O2168" s="361">
        <f t="shared" si="2223"/>
        <v>2.0123569174073666</v>
      </c>
      <c r="P2168" s="361">
        <f t="shared" si="2223"/>
        <v>2.5950348628426361</v>
      </c>
      <c r="Q2168" s="361">
        <f t="shared" si="2223"/>
        <v>3.346427207378678</v>
      </c>
      <c r="R2168" s="361">
        <f t="shared" si="2223"/>
        <v>4.3153852052751187</v>
      </c>
      <c r="S2168" s="361">
        <f t="shared" si="2223"/>
        <v>5.5649049914624573</v>
      </c>
      <c r="T2168" s="361">
        <f t="shared" si="2223"/>
        <v>7.1762232317403187</v>
      </c>
      <c r="U2168" s="361">
        <f t="shared" si="2223"/>
        <v>9.2540986684906077</v>
      </c>
      <c r="V2168" s="362">
        <f t="shared" si="2223"/>
        <v>11.93362293795191</v>
      </c>
      <c r="X2168" s="351"/>
    </row>
    <row r="2169" spans="3:24" ht="24.75" customHeight="1" x14ac:dyDescent="0.3">
      <c r="C2169" s="353">
        <f>ABS(E2169-Dashboard!$F$14)</f>
        <v>40.282721350071917</v>
      </c>
      <c r="D2169" s="350">
        <f t="shared" si="2181"/>
        <v>0.28964999999998337</v>
      </c>
      <c r="E2169" s="359" cm="1">
        <f t="array" ref="E2169">1000*SUM('DRE + DCF'!$L$36/M2169,'DRE + DCF'!$N$36:$V$36/N2169:V2169,F2169/V2169)/Dashboard!$F$11</f>
        <v>56.707278649928078</v>
      </c>
      <c r="F2169" s="359">
        <f t="shared" si="2179"/>
        <v>9130084.3197782952</v>
      </c>
      <c r="G2169" s="359">
        <f>'DRE + DCF'!$W$31</f>
        <v>2791623.3540418856</v>
      </c>
      <c r="H2169" s="359">
        <f>'DRE + DCF'!$W$32</f>
        <v>81081.931703745853</v>
      </c>
      <c r="I2169" s="359">
        <f>-H2169*('DRE + DCF'!$V$33+K2169)/'DRE + DCF'!$V$33</f>
        <v>-90858.801614444121</v>
      </c>
      <c r="J2169" s="359">
        <f>-'DRE + DCF'!$V$56*L2169</f>
        <v>-1188924.4255577971</v>
      </c>
      <c r="K2169" s="360">
        <f>(1+L2169)/(1+Ke!$O$12)-1</f>
        <v>2.0000000000000018E-2</v>
      </c>
      <c r="L2169" s="360">
        <f>'DRE + DCF'!$Y$31</f>
        <v>7.3550000000000004E-2</v>
      </c>
      <c r="M2169" s="361">
        <f>(1+D2169)^((5-Dashboard!$F$9)*3/12)</f>
        <v>1.2101909387727525</v>
      </c>
      <c r="N2169" s="361">
        <f t="shared" ref="N2169:V2169" si="2224">M2169*(1+$D2169)</f>
        <v>1.5607227441882601</v>
      </c>
      <c r="O2169" s="361">
        <f t="shared" si="2224"/>
        <v>2.0127860870423637</v>
      </c>
      <c r="P2169" s="361">
        <f t="shared" si="2224"/>
        <v>2.5957895771541506</v>
      </c>
      <c r="Q2169" s="361">
        <f t="shared" si="2224"/>
        <v>3.347660028176807</v>
      </c>
      <c r="R2169" s="361">
        <f t="shared" si="2224"/>
        <v>4.3173097553381634</v>
      </c>
      <c r="S2169" s="361">
        <f t="shared" si="2224"/>
        <v>5.5678185259717905</v>
      </c>
      <c r="T2169" s="361">
        <f t="shared" si="2224"/>
        <v>7.1805371620194265</v>
      </c>
      <c r="U2169" s="361">
        <f t="shared" si="2224"/>
        <v>9.2603797509982329</v>
      </c>
      <c r="V2169" s="362">
        <f t="shared" si="2224"/>
        <v>11.942648745874717</v>
      </c>
      <c r="X2169" s="351"/>
    </row>
    <row r="2170" spans="3:24" ht="24.75" customHeight="1" x14ac:dyDescent="0.3">
      <c r="C2170" s="353">
        <f>ABS(E2170-Dashboard!$F$14)</f>
        <v>40.313274205755569</v>
      </c>
      <c r="D2170" s="350">
        <f t="shared" si="2181"/>
        <v>0.28974999999998335</v>
      </c>
      <c r="E2170" s="359" cm="1">
        <f t="array" ref="E2170">1000*SUM('DRE + DCF'!$L$36/M2170,'DRE + DCF'!$N$36:$V$36/N2170:V2170,F2170/V2170)/Dashboard!$F$11</f>
        <v>56.676725794244426</v>
      </c>
      <c r="F2170" s="359">
        <f t="shared" si="2179"/>
        <v>9126468.7451069951</v>
      </c>
      <c r="G2170" s="359">
        <f>'DRE + DCF'!$W$31</f>
        <v>2791623.3540418856</v>
      </c>
      <c r="H2170" s="359">
        <f>'DRE + DCF'!$W$32</f>
        <v>81081.931703745853</v>
      </c>
      <c r="I2170" s="359">
        <f>-H2170*('DRE + DCF'!$V$33+K2170)/'DRE + DCF'!$V$33</f>
        <v>-90858.801614444121</v>
      </c>
      <c r="J2170" s="359">
        <f>-'DRE + DCF'!$V$56*L2170</f>
        <v>-1188924.4255577971</v>
      </c>
      <c r="K2170" s="360">
        <f>(1+L2170)/(1+Ke!$O$12)-1</f>
        <v>2.0000000000000018E-2</v>
      </c>
      <c r="L2170" s="360">
        <f>'DRE + DCF'!$Y$31</f>
        <v>7.3550000000000004E-2</v>
      </c>
      <c r="M2170" s="361">
        <f>(1+D2170)^((5-Dashboard!$F$9)*3/12)</f>
        <v>1.2102613171240093</v>
      </c>
      <c r="N2170" s="361">
        <f t="shared" ref="N2170:V2170" si="2225">M2170*(1+$D2170)</f>
        <v>1.5609345337606708</v>
      </c>
      <c r="O2170" s="361">
        <f t="shared" si="2225"/>
        <v>2.0132153149177991</v>
      </c>
      <c r="P2170" s="361">
        <f t="shared" si="2225"/>
        <v>2.5965444524151979</v>
      </c>
      <c r="Q2170" s="361">
        <f t="shared" si="2225"/>
        <v>3.3488932075024582</v>
      </c>
      <c r="R2170" s="361">
        <f t="shared" si="2225"/>
        <v>4.3192350143762397</v>
      </c>
      <c r="S2170" s="361">
        <f t="shared" si="2225"/>
        <v>5.5707333597916833</v>
      </c>
      <c r="T2170" s="361">
        <f t="shared" si="2225"/>
        <v>7.1848533507912302</v>
      </c>
      <c r="U2170" s="361">
        <f t="shared" si="2225"/>
        <v>9.2666646091828699</v>
      </c>
      <c r="V2170" s="362">
        <f t="shared" si="2225"/>
        <v>11.951680679693451</v>
      </c>
      <c r="X2170" s="351"/>
    </row>
    <row r="2171" spans="3:24" ht="24.75" customHeight="1" x14ac:dyDescent="0.3">
      <c r="C2171" s="353">
        <f>ABS(E2171-Dashboard!$F$14)</f>
        <v>40.343797842320058</v>
      </c>
      <c r="D2171" s="350">
        <f t="shared" si="2181"/>
        <v>0.28984999999998334</v>
      </c>
      <c r="E2171" s="359" cm="1">
        <f t="array" ref="E2171">1000*SUM('DRE + DCF'!$L$36/M2171,'DRE + DCF'!$N$36:$V$36/N2171:V2171,F2171/V2171)/Dashboard!$F$11</f>
        <v>56.646202157679937</v>
      </c>
      <c r="F2171" s="359">
        <f t="shared" si="2179"/>
        <v>9122856.0946230646</v>
      </c>
      <c r="G2171" s="359">
        <f>'DRE + DCF'!$W$31</f>
        <v>2791623.3540418856</v>
      </c>
      <c r="H2171" s="359">
        <f>'DRE + DCF'!$W$32</f>
        <v>81081.931703745853</v>
      </c>
      <c r="I2171" s="359">
        <f>-H2171*('DRE + DCF'!$V$33+K2171)/'DRE + DCF'!$V$33</f>
        <v>-90858.801614444121</v>
      </c>
      <c r="J2171" s="359">
        <f>-'DRE + DCF'!$V$56*L2171</f>
        <v>-1188924.4255577971</v>
      </c>
      <c r="K2171" s="360">
        <f>(1+L2171)/(1+Ke!$O$12)-1</f>
        <v>2.0000000000000018E-2</v>
      </c>
      <c r="L2171" s="360">
        <f>'DRE + DCF'!$Y$31</f>
        <v>7.3550000000000004E-2</v>
      </c>
      <c r="M2171" s="361">
        <f>(1+D2171)^((5-Dashboard!$F$9)*3/12)</f>
        <v>1.2103316941110935</v>
      </c>
      <c r="N2171" s="361">
        <f t="shared" ref="N2171:V2171" si="2226">M2171*(1+$D2171)</f>
        <v>1.5611463356491737</v>
      </c>
      <c r="O2171" s="361">
        <f t="shared" si="2226"/>
        <v>2.0136446010370608</v>
      </c>
      <c r="P2171" s="361">
        <f t="shared" si="2226"/>
        <v>2.5972994886476193</v>
      </c>
      <c r="Q2171" s="361">
        <f t="shared" si="2226"/>
        <v>3.3501267454320884</v>
      </c>
      <c r="R2171" s="361">
        <f t="shared" si="2226"/>
        <v>4.3211609825955231</v>
      </c>
      <c r="S2171" s="361">
        <f t="shared" si="2226"/>
        <v>5.5736494934007634</v>
      </c>
      <c r="T2171" s="361">
        <f t="shared" si="2226"/>
        <v>7.1891717990628816</v>
      </c>
      <c r="U2171" s="361">
        <f t="shared" si="2226"/>
        <v>9.2729532450211369</v>
      </c>
      <c r="V2171" s="362">
        <f t="shared" si="2226"/>
        <v>11.960718743090359</v>
      </c>
      <c r="X2171" s="351"/>
    </row>
    <row r="2172" spans="3:24" ht="24.75" customHeight="1" x14ac:dyDescent="0.3">
      <c r="C2172" s="353">
        <f>ABS(E2172-Dashboard!$F$14)</f>
        <v>40.374292298658986</v>
      </c>
      <c r="D2172" s="350">
        <f t="shared" si="2181"/>
        <v>0.28994999999998333</v>
      </c>
      <c r="E2172" s="359" cm="1">
        <f t="array" ref="E2172">1000*SUM('DRE + DCF'!$L$36/M2172,'DRE + DCF'!$N$36:$V$36/N2172:V2172,F2172/V2172)/Dashboard!$F$11</f>
        <v>56.615707701341009</v>
      </c>
      <c r="F2172" s="359">
        <f t="shared" si="2179"/>
        <v>9119246.3647058886</v>
      </c>
      <c r="G2172" s="359">
        <f>'DRE + DCF'!$W$31</f>
        <v>2791623.3540418856</v>
      </c>
      <c r="H2172" s="359">
        <f>'DRE + DCF'!$W$32</f>
        <v>81081.931703745853</v>
      </c>
      <c r="I2172" s="359">
        <f>-H2172*('DRE + DCF'!$V$33+K2172)/'DRE + DCF'!$V$33</f>
        <v>-90858.801614444121</v>
      </c>
      <c r="J2172" s="359">
        <f>-'DRE + DCF'!$V$56*L2172</f>
        <v>-1188924.4255577971</v>
      </c>
      <c r="K2172" s="360">
        <f>(1+L2172)/(1+Ke!$O$12)-1</f>
        <v>2.0000000000000018E-2</v>
      </c>
      <c r="L2172" s="360">
        <f>'DRE + DCF'!$Y$31</f>
        <v>7.3550000000000004E-2</v>
      </c>
      <c r="M2172" s="361">
        <f>(1+D2172)^((5-Dashboard!$F$9)*3/12)</f>
        <v>1.2104020697341371</v>
      </c>
      <c r="N2172" s="361">
        <f t="shared" ref="N2172:V2172" si="2227">M2172*(1+$D2172)</f>
        <v>1.5613581498535298</v>
      </c>
      <c r="O2172" s="361">
        <f t="shared" si="2227"/>
        <v>2.0140739454035348</v>
      </c>
      <c r="P2172" s="361">
        <f t="shared" si="2227"/>
        <v>2.5980546858732558</v>
      </c>
      <c r="Q2172" s="361">
        <f t="shared" si="2227"/>
        <v>3.3513606420421631</v>
      </c>
      <c r="R2172" s="361">
        <f t="shared" si="2227"/>
        <v>4.3230876602022326</v>
      </c>
      <c r="S2172" s="361">
        <f t="shared" si="2227"/>
        <v>5.5765669272777973</v>
      </c>
      <c r="T2172" s="361">
        <f t="shared" si="2227"/>
        <v>7.1934925078419019</v>
      </c>
      <c r="U2172" s="361">
        <f t="shared" si="2227"/>
        <v>9.2792456604905418</v>
      </c>
      <c r="V2172" s="362">
        <f t="shared" si="2227"/>
        <v>11.96976293974962</v>
      </c>
      <c r="X2172" s="351"/>
    </row>
    <row r="2173" spans="3:24" ht="24.75" customHeight="1" x14ac:dyDescent="0.3">
      <c r="C2173" s="353">
        <f>ABS(E2173-Dashboard!$F$14)</f>
        <v>40.40475761359955</v>
      </c>
      <c r="D2173" s="350">
        <f t="shared" si="2181"/>
        <v>0.29004999999998332</v>
      </c>
      <c r="E2173" s="359" cm="1">
        <f t="array" ref="E2173">1000*SUM('DRE + DCF'!$L$36/M2173,'DRE + DCF'!$N$36:$V$36/N2173:V2173,F2173/V2173)/Dashboard!$F$11</f>
        <v>56.585242386400445</v>
      </c>
      <c r="F2173" s="359">
        <f t="shared" si="2179"/>
        <v>9115639.5517409369</v>
      </c>
      <c r="G2173" s="359">
        <f>'DRE + DCF'!$W$31</f>
        <v>2791623.3540418856</v>
      </c>
      <c r="H2173" s="359">
        <f>'DRE + DCF'!$W$32</f>
        <v>81081.931703745853</v>
      </c>
      <c r="I2173" s="359">
        <f>-H2173*('DRE + DCF'!$V$33+K2173)/'DRE + DCF'!$V$33</f>
        <v>-90858.801614444121</v>
      </c>
      <c r="J2173" s="359">
        <f>-'DRE + DCF'!$V$56*L2173</f>
        <v>-1188924.4255577971</v>
      </c>
      <c r="K2173" s="360">
        <f>(1+L2173)/(1+Ke!$O$12)-1</f>
        <v>2.0000000000000018E-2</v>
      </c>
      <c r="L2173" s="360">
        <f>'DRE + DCF'!$Y$31</f>
        <v>7.3550000000000004E-2</v>
      </c>
      <c r="M2173" s="361">
        <f>(1+D2173)^((5-Dashboard!$F$9)*3/12)</f>
        <v>1.2104724439932726</v>
      </c>
      <c r="N2173" s="361">
        <f t="shared" ref="N2173:V2173" si="2228">M2173*(1+$D2173)</f>
        <v>1.5615699763735011</v>
      </c>
      <c r="O2173" s="361">
        <f t="shared" si="2228"/>
        <v>2.0145033480206092</v>
      </c>
      <c r="P2173" s="361">
        <f t="shared" si="2228"/>
        <v>2.5988100441139532</v>
      </c>
      <c r="Q2173" s="361">
        <f t="shared" si="2228"/>
        <v>3.3525948974091619</v>
      </c>
      <c r="R2173" s="361">
        <f t="shared" si="2228"/>
        <v>4.3250150474026334</v>
      </c>
      <c r="S2173" s="361">
        <f t="shared" si="2228"/>
        <v>5.5794856619016953</v>
      </c>
      <c r="T2173" s="361">
        <f t="shared" si="2228"/>
        <v>7.1978154781361887</v>
      </c>
      <c r="U2173" s="361">
        <f t="shared" si="2228"/>
        <v>9.2855418575694699</v>
      </c>
      <c r="V2173" s="362">
        <f t="shared" si="2228"/>
        <v>11.978813273357339</v>
      </c>
      <c r="X2173" s="351"/>
    </row>
    <row r="2174" spans="3:24" ht="24.75" customHeight="1" x14ac:dyDescent="0.3">
      <c r="C2174" s="353">
        <f>ABS(E2174-Dashboard!$F$14)</f>
        <v>40.435193825902481</v>
      </c>
      <c r="D2174" s="350">
        <f t="shared" si="2181"/>
        <v>0.29014999999998331</v>
      </c>
      <c r="E2174" s="359" cm="1">
        <f t="array" ref="E2174">1000*SUM('DRE + DCF'!$L$36/M2174,'DRE + DCF'!$N$36:$V$36/N2174:V2174,F2174/V2174)/Dashboard!$F$11</f>
        <v>56.554806174097514</v>
      </c>
      <c r="F2174" s="359">
        <f t="shared" si="2179"/>
        <v>9112035.6521197595</v>
      </c>
      <c r="G2174" s="359">
        <f>'DRE + DCF'!$W$31</f>
        <v>2791623.3540418856</v>
      </c>
      <c r="H2174" s="359">
        <f>'DRE + DCF'!$W$32</f>
        <v>81081.931703745853</v>
      </c>
      <c r="I2174" s="359">
        <f>-H2174*('DRE + DCF'!$V$33+K2174)/'DRE + DCF'!$V$33</f>
        <v>-90858.801614444121</v>
      </c>
      <c r="J2174" s="359">
        <f>-'DRE + DCF'!$V$56*L2174</f>
        <v>-1188924.4255577971</v>
      </c>
      <c r="K2174" s="360">
        <f>(1+L2174)/(1+Ke!$O$12)-1</f>
        <v>2.0000000000000018E-2</v>
      </c>
      <c r="L2174" s="360">
        <f>'DRE + DCF'!$Y$31</f>
        <v>7.3550000000000004E-2</v>
      </c>
      <c r="M2174" s="361">
        <f>(1+D2174)^((5-Dashboard!$F$9)*3/12)</f>
        <v>1.2105428168886319</v>
      </c>
      <c r="N2174" s="361">
        <f t="shared" ref="N2174:V2174" si="2229">M2174*(1+$D2174)</f>
        <v>1.5617818152088481</v>
      </c>
      <c r="O2174" s="361">
        <f t="shared" si="2229"/>
        <v>2.0149328088916691</v>
      </c>
      <c r="P2174" s="361">
        <f t="shared" si="2229"/>
        <v>2.5995655633915531</v>
      </c>
      <c r="Q2174" s="361">
        <f t="shared" si="2229"/>
        <v>3.3538295116095687</v>
      </c>
      <c r="R2174" s="361">
        <f t="shared" si="2229"/>
        <v>4.3269431444030291</v>
      </c>
      <c r="S2174" s="361">
        <f t="shared" si="2229"/>
        <v>5.5824056977514953</v>
      </c>
      <c r="T2174" s="361">
        <f t="shared" si="2229"/>
        <v>7.2021407109539979</v>
      </c>
      <c r="U2174" s="361">
        <f t="shared" si="2229"/>
        <v>9.291841838237179</v>
      </c>
      <c r="V2174" s="362">
        <f t="shared" si="2229"/>
        <v>11.987869747601541</v>
      </c>
      <c r="X2174" s="351"/>
    </row>
    <row r="2175" spans="3:24" ht="24.75" customHeight="1" x14ac:dyDescent="0.3">
      <c r="C2175" s="353">
        <f>ABS(E2175-Dashboard!$F$14)</f>
        <v>40.465600974262394</v>
      </c>
      <c r="D2175" s="350">
        <f t="shared" si="2181"/>
        <v>0.2902499999999833</v>
      </c>
      <c r="E2175" s="359" cm="1">
        <f t="array" ref="E2175">1000*SUM('DRE + DCF'!$L$36/M2175,'DRE + DCF'!$N$36:$V$36/N2175:V2175,F2175/V2175)/Dashboard!$F$11</f>
        <v>56.524399025737601</v>
      </c>
      <c r="F2175" s="359">
        <f t="shared" si="2179"/>
        <v>9108434.6622399762</v>
      </c>
      <c r="G2175" s="359">
        <f>'DRE + DCF'!$W$31</f>
        <v>2791623.3540418856</v>
      </c>
      <c r="H2175" s="359">
        <f>'DRE + DCF'!$W$32</f>
        <v>81081.931703745853</v>
      </c>
      <c r="I2175" s="359">
        <f>-H2175*('DRE + DCF'!$V$33+K2175)/'DRE + DCF'!$V$33</f>
        <v>-90858.801614444121</v>
      </c>
      <c r="J2175" s="359">
        <f>-'DRE + DCF'!$V$56*L2175</f>
        <v>-1188924.4255577971</v>
      </c>
      <c r="K2175" s="360">
        <f>(1+L2175)/(1+Ke!$O$12)-1</f>
        <v>2.0000000000000018E-2</v>
      </c>
      <c r="L2175" s="360">
        <f>'DRE + DCF'!$Y$31</f>
        <v>7.3550000000000004E-2</v>
      </c>
      <c r="M2175" s="361">
        <f>(1+D2175)^((5-Dashboard!$F$9)*3/12)</f>
        <v>1.210613188420347</v>
      </c>
      <c r="N2175" s="361">
        <f t="shared" ref="N2175:V2175" si="2230">M2175*(1+$D2175)</f>
        <v>1.5619936663593326</v>
      </c>
      <c r="O2175" s="361">
        <f t="shared" si="2230"/>
        <v>2.0153623280201027</v>
      </c>
      <c r="P2175" s="361">
        <f t="shared" si="2230"/>
        <v>2.6003212437279037</v>
      </c>
      <c r="Q2175" s="361">
        <f t="shared" si="2230"/>
        <v>3.3550644847198843</v>
      </c>
      <c r="R2175" s="361">
        <f t="shared" si="2230"/>
        <v>4.3288719514097744</v>
      </c>
      <c r="S2175" s="361">
        <f t="shared" si="2230"/>
        <v>5.5853270353063893</v>
      </c>
      <c r="T2175" s="361">
        <f t="shared" si="2230"/>
        <v>7.206468207303975</v>
      </c>
      <c r="U2175" s="361">
        <f t="shared" si="2230"/>
        <v>9.2981456044738326</v>
      </c>
      <c r="V2175" s="362">
        <f t="shared" si="2230"/>
        <v>11.996932366172206</v>
      </c>
      <c r="X2175" s="351"/>
    </row>
    <row r="2176" spans="3:24" ht="24.75" customHeight="1" x14ac:dyDescent="0.3">
      <c r="C2176" s="353">
        <f>ABS(E2176-Dashboard!$F$14)</f>
        <v>40.495979097307782</v>
      </c>
      <c r="D2176" s="350">
        <f t="shared" si="2181"/>
        <v>0.29034999999998329</v>
      </c>
      <c r="E2176" s="359" cm="1">
        <f t="array" ref="E2176">1000*SUM('DRE + DCF'!$L$36/M2176,'DRE + DCF'!$N$36:$V$36/N2176:V2176,F2176/V2176)/Dashboard!$F$11</f>
        <v>56.494020902692213</v>
      </c>
      <c r="F2176" s="359">
        <f t="shared" si="2179"/>
        <v>9104836.5785052553</v>
      </c>
      <c r="G2176" s="359">
        <f>'DRE + DCF'!$W$31</f>
        <v>2791623.3540418856</v>
      </c>
      <c r="H2176" s="359">
        <f>'DRE + DCF'!$W$32</f>
        <v>81081.931703745853</v>
      </c>
      <c r="I2176" s="359">
        <f>-H2176*('DRE + DCF'!$V$33+K2176)/'DRE + DCF'!$V$33</f>
        <v>-90858.801614444121</v>
      </c>
      <c r="J2176" s="359">
        <f>-'DRE + DCF'!$V$56*L2176</f>
        <v>-1188924.4255577971</v>
      </c>
      <c r="K2176" s="360">
        <f>(1+L2176)/(1+Ke!$O$12)-1</f>
        <v>2.0000000000000018E-2</v>
      </c>
      <c r="L2176" s="360">
        <f>'DRE + DCF'!$Y$31</f>
        <v>7.3550000000000004E-2</v>
      </c>
      <c r="M2176" s="361">
        <f>(1+D2176)^((5-Dashboard!$F$9)*3/12)</f>
        <v>1.2106835585885503</v>
      </c>
      <c r="N2176" s="361">
        <f t="shared" ref="N2176:V2176" si="2231">M2176*(1+$D2176)</f>
        <v>1.5622055298247155</v>
      </c>
      <c r="O2176" s="361">
        <f t="shared" si="2231"/>
        <v>2.0157919054092956</v>
      </c>
      <c r="P2176" s="361">
        <f t="shared" si="2231"/>
        <v>2.6010770851448508</v>
      </c>
      <c r="Q2176" s="361">
        <f t="shared" si="2231"/>
        <v>3.3562998168166147</v>
      </c>
      <c r="R2176" s="361">
        <f t="shared" si="2231"/>
        <v>4.3308014686292626</v>
      </c>
      <c r="S2176" s="361">
        <f t="shared" si="2231"/>
        <v>5.588249675045696</v>
      </c>
      <c r="T2176" s="361">
        <f t="shared" si="2231"/>
        <v>7.21079796819512</v>
      </c>
      <c r="U2176" s="361">
        <f t="shared" si="2231"/>
        <v>9.3044531582604524</v>
      </c>
      <c r="V2176" s="362">
        <f t="shared" si="2231"/>
        <v>12.006001132761218</v>
      </c>
      <c r="X2176" s="351"/>
    </row>
    <row r="2177" spans="3:24" ht="24.75" customHeight="1" x14ac:dyDescent="0.3">
      <c r="C2177" s="353">
        <f>ABS(E2177-Dashboard!$F$14)</f>
        <v>40.526328233601269</v>
      </c>
      <c r="D2177" s="350">
        <f t="shared" si="2181"/>
        <v>0.29044999999998328</v>
      </c>
      <c r="E2177" s="359" cm="1">
        <f t="array" ref="E2177">1000*SUM('DRE + DCF'!$L$36/M2177,'DRE + DCF'!$N$36:$V$36/N2177:V2177,F2177/V2177)/Dashboard!$F$11</f>
        <v>56.463671766398726</v>
      </c>
      <c r="F2177" s="359">
        <f t="shared" si="2179"/>
        <v>9101241.3973253071</v>
      </c>
      <c r="G2177" s="359">
        <f>'DRE + DCF'!$W$31</f>
        <v>2791623.3540418856</v>
      </c>
      <c r="H2177" s="359">
        <f>'DRE + DCF'!$W$32</f>
        <v>81081.931703745853</v>
      </c>
      <c r="I2177" s="359">
        <f>-H2177*('DRE + DCF'!$V$33+K2177)/'DRE + DCF'!$V$33</f>
        <v>-90858.801614444121</v>
      </c>
      <c r="J2177" s="359">
        <f>-'DRE + DCF'!$V$56*L2177</f>
        <v>-1188924.4255577971</v>
      </c>
      <c r="K2177" s="360">
        <f>(1+L2177)/(1+Ke!$O$12)-1</f>
        <v>2.0000000000000018E-2</v>
      </c>
      <c r="L2177" s="360">
        <f>'DRE + DCF'!$Y$31</f>
        <v>7.3550000000000004E-2</v>
      </c>
      <c r="M2177" s="361">
        <f>(1+D2177)^((5-Dashboard!$F$9)*3/12)</f>
        <v>1.2107539273933738</v>
      </c>
      <c r="N2177" s="361">
        <f t="shared" ref="N2177:V2177" si="2232">M2177*(1+$D2177)</f>
        <v>1.5624174056047591</v>
      </c>
      <c r="O2177" s="361">
        <f t="shared" si="2232"/>
        <v>2.016221541062635</v>
      </c>
      <c r="P2177" s="361">
        <f t="shared" si="2232"/>
        <v>2.6018330876642435</v>
      </c>
      <c r="Q2177" s="361">
        <f t="shared" si="2232"/>
        <v>3.3575355079762792</v>
      </c>
      <c r="R2177" s="361">
        <f t="shared" si="2232"/>
        <v>4.332731696267933</v>
      </c>
      <c r="S2177" s="361">
        <f t="shared" si="2232"/>
        <v>5.5911736174488817</v>
      </c>
      <c r="T2177" s="361">
        <f t="shared" si="2232"/>
        <v>7.2151299946368157</v>
      </c>
      <c r="U2177" s="361">
        <f t="shared" si="2232"/>
        <v>9.3107645015789586</v>
      </c>
      <c r="V2177" s="362">
        <f t="shared" si="2232"/>
        <v>12.015076051062412</v>
      </c>
      <c r="X2177" s="351"/>
    </row>
    <row r="2178" spans="3:24" ht="24.75" customHeight="1" x14ac:dyDescent="0.3">
      <c r="C2178" s="353">
        <f>ABS(E2178-Dashboard!$F$14)</f>
        <v>40.556648421639657</v>
      </c>
      <c r="D2178" s="350">
        <f t="shared" si="2181"/>
        <v>0.29054999999998327</v>
      </c>
      <c r="E2178" s="359" cm="1">
        <f t="array" ref="E2178">1000*SUM('DRE + DCF'!$L$36/M2178,'DRE + DCF'!$N$36:$V$36/N2178:V2178,F2178/V2178)/Dashboard!$F$11</f>
        <v>56.433351578360337</v>
      </c>
      <c r="F2178" s="359">
        <f t="shared" si="2179"/>
        <v>9097649.1151158698</v>
      </c>
      <c r="G2178" s="359">
        <f>'DRE + DCF'!$W$31</f>
        <v>2791623.3540418856</v>
      </c>
      <c r="H2178" s="359">
        <f>'DRE + DCF'!$W$32</f>
        <v>81081.931703745853</v>
      </c>
      <c r="I2178" s="359">
        <f>-H2178*('DRE + DCF'!$V$33+K2178)/'DRE + DCF'!$V$33</f>
        <v>-90858.801614444121</v>
      </c>
      <c r="J2178" s="359">
        <f>-'DRE + DCF'!$V$56*L2178</f>
        <v>-1188924.4255577971</v>
      </c>
      <c r="K2178" s="360">
        <f>(1+L2178)/(1+Ke!$O$12)-1</f>
        <v>2.0000000000000018E-2</v>
      </c>
      <c r="L2178" s="360">
        <f>'DRE + DCF'!$Y$31</f>
        <v>7.3550000000000004E-2</v>
      </c>
      <c r="M2178" s="361">
        <f>(1+D2178)^((5-Dashboard!$F$9)*3/12)</f>
        <v>1.2108242948349495</v>
      </c>
      <c r="N2178" s="361">
        <f t="shared" ref="N2178:V2178" si="2233">M2178*(1+$D2178)</f>
        <v>1.5626292936992237</v>
      </c>
      <c r="O2178" s="361">
        <f t="shared" si="2233"/>
        <v>2.0166512349835068</v>
      </c>
      <c r="P2178" s="361">
        <f t="shared" si="2233"/>
        <v>2.602589251307931</v>
      </c>
      <c r="Q2178" s="361">
        <f t="shared" si="2233"/>
        <v>3.3587715582754067</v>
      </c>
      <c r="R2178" s="361">
        <f t="shared" si="2233"/>
        <v>4.3346626345322701</v>
      </c>
      <c r="S2178" s="361">
        <f t="shared" si="2233"/>
        <v>5.5940988629955486</v>
      </c>
      <c r="T2178" s="361">
        <f t="shared" si="2233"/>
        <v>7.2194642876388109</v>
      </c>
      <c r="U2178" s="361">
        <f t="shared" si="2233"/>
        <v>9.3170796364121458</v>
      </c>
      <c r="V2178" s="362">
        <f t="shared" si="2233"/>
        <v>12.024157124771538</v>
      </c>
      <c r="X2178" s="351"/>
    </row>
    <row r="2179" spans="3:24" ht="24.75" customHeight="1" x14ac:dyDescent="0.3">
      <c r="C2179" s="353">
        <f>ABS(E2179-Dashboard!$F$14)</f>
        <v>40.586939699854106</v>
      </c>
      <c r="D2179" s="350">
        <f t="shared" si="2181"/>
        <v>0.29064999999998326</v>
      </c>
      <c r="E2179" s="359" cm="1">
        <f t="array" ref="E2179">1000*SUM('DRE + DCF'!$L$36/M2179,'DRE + DCF'!$N$36:$V$36/N2179:V2179,F2179/V2179)/Dashboard!$F$11</f>
        <v>56.403060300145889</v>
      </c>
      <c r="F2179" s="359">
        <f t="shared" si="2179"/>
        <v>9094059.7282986939</v>
      </c>
      <c r="G2179" s="359">
        <f>'DRE + DCF'!$W$31</f>
        <v>2791623.3540418856</v>
      </c>
      <c r="H2179" s="359">
        <f>'DRE + DCF'!$W$32</f>
        <v>81081.931703745853</v>
      </c>
      <c r="I2179" s="359">
        <f>-H2179*('DRE + DCF'!$V$33+K2179)/'DRE + DCF'!$V$33</f>
        <v>-90858.801614444121</v>
      </c>
      <c r="J2179" s="359">
        <f>-'DRE + DCF'!$V$56*L2179</f>
        <v>-1188924.4255577971</v>
      </c>
      <c r="K2179" s="360">
        <f>(1+L2179)/(1+Ke!$O$12)-1</f>
        <v>2.0000000000000018E-2</v>
      </c>
      <c r="L2179" s="360">
        <f>'DRE + DCF'!$Y$31</f>
        <v>7.3550000000000004E-2</v>
      </c>
      <c r="M2179" s="361">
        <f>(1+D2179)^((5-Dashboard!$F$9)*3/12)</f>
        <v>1.2108946609134095</v>
      </c>
      <c r="N2179" s="361">
        <f t="shared" ref="N2179:V2179" si="2234">M2179*(1+$D2179)</f>
        <v>1.5628411941078717</v>
      </c>
      <c r="O2179" s="361">
        <f t="shared" si="2234"/>
        <v>2.0170809871752984</v>
      </c>
      <c r="P2179" s="361">
        <f t="shared" si="2234"/>
        <v>2.6033455760977651</v>
      </c>
      <c r="Q2179" s="361">
        <f t="shared" si="2234"/>
        <v>3.3600079677905366</v>
      </c>
      <c r="R2179" s="361">
        <f t="shared" si="2234"/>
        <v>4.3365942836287994</v>
      </c>
      <c r="S2179" s="361">
        <f t="shared" si="2234"/>
        <v>5.5970254121654373</v>
      </c>
      <c r="T2179" s="361">
        <f t="shared" si="2234"/>
        <v>7.2238008482112273</v>
      </c>
      <c r="U2179" s="361">
        <f t="shared" si="2234"/>
        <v>9.3233985647436999</v>
      </c>
      <c r="V2179" s="362">
        <f t="shared" si="2234"/>
        <v>12.0332443575863</v>
      </c>
      <c r="X2179" s="351"/>
    </row>
    <row r="2180" spans="3:24" ht="24.75" customHeight="1" x14ac:dyDescent="0.3">
      <c r="C2180" s="353">
        <f>ABS(E2180-Dashboard!$F$14)</f>
        <v>40.617202106610264</v>
      </c>
      <c r="D2180" s="350">
        <f t="shared" si="2181"/>
        <v>0.29074999999998324</v>
      </c>
      <c r="E2180" s="359" cm="1">
        <f t="array" ref="E2180">1000*SUM('DRE + DCF'!$L$36/M2180,'DRE + DCF'!$N$36:$V$36/N2180:V2180,F2180/V2180)/Dashboard!$F$11</f>
        <v>56.37279789338973</v>
      </c>
      <c r="F2180" s="359">
        <f t="shared" si="2179"/>
        <v>9090473.2333015371</v>
      </c>
      <c r="G2180" s="359">
        <f>'DRE + DCF'!$W$31</f>
        <v>2791623.3540418856</v>
      </c>
      <c r="H2180" s="359">
        <f>'DRE + DCF'!$W$32</f>
        <v>81081.931703745853</v>
      </c>
      <c r="I2180" s="359">
        <f>-H2180*('DRE + DCF'!$V$33+K2180)/'DRE + DCF'!$V$33</f>
        <v>-90858.801614444121</v>
      </c>
      <c r="J2180" s="359">
        <f>-'DRE + DCF'!$V$56*L2180</f>
        <v>-1188924.4255577971</v>
      </c>
      <c r="K2180" s="360">
        <f>(1+L2180)/(1+Ke!$O$12)-1</f>
        <v>2.0000000000000018E-2</v>
      </c>
      <c r="L2180" s="360">
        <f>'DRE + DCF'!$Y$31</f>
        <v>7.3550000000000004E-2</v>
      </c>
      <c r="M2180" s="361">
        <f>(1+D2180)^((5-Dashboard!$F$9)*3/12)</f>
        <v>1.2109650256288857</v>
      </c>
      <c r="N2180" s="361">
        <f t="shared" ref="N2180:V2180" si="2235">M2180*(1+$D2180)</f>
        <v>1.5630531068304638</v>
      </c>
      <c r="O2180" s="361">
        <f t="shared" si="2235"/>
        <v>2.0175107976413948</v>
      </c>
      <c r="P2180" s="361">
        <f t="shared" si="2235"/>
        <v>2.6041020620555964</v>
      </c>
      <c r="Q2180" s="361">
        <f t="shared" si="2235"/>
        <v>3.3612447365982172</v>
      </c>
      <c r="R2180" s="361">
        <f t="shared" si="2235"/>
        <v>4.3385266437640926</v>
      </c>
      <c r="S2180" s="361">
        <f t="shared" si="2235"/>
        <v>5.5999532654384296</v>
      </c>
      <c r="T2180" s="361">
        <f t="shared" si="2235"/>
        <v>7.2281396773645588</v>
      </c>
      <c r="U2180" s="361">
        <f t="shared" si="2235"/>
        <v>9.3297212885581828</v>
      </c>
      <c r="V2180" s="362">
        <f t="shared" si="2235"/>
        <v>12.042337753206318</v>
      </c>
      <c r="X2180" s="351"/>
    </row>
    <row r="2181" spans="3:24" ht="24.75" customHeight="1" x14ac:dyDescent="0.3">
      <c r="C2181" s="353">
        <f>ABS(E2181-Dashboard!$F$14)</f>
        <v>40.647435680208382</v>
      </c>
      <c r="D2181" s="350">
        <f t="shared" si="2181"/>
        <v>0.29084999999998323</v>
      </c>
      <c r="E2181" s="359" cm="1">
        <f t="array" ref="E2181">1000*SUM('DRE + DCF'!$L$36/M2181,'DRE + DCF'!$N$36:$V$36/N2181:V2181,F2181/V2181)/Dashboard!$F$11</f>
        <v>56.342564319791613</v>
      </c>
      <c r="F2181" s="359">
        <f t="shared" si="2179"/>
        <v>9086889.6265581399</v>
      </c>
      <c r="G2181" s="359">
        <f>'DRE + DCF'!$W$31</f>
        <v>2791623.3540418856</v>
      </c>
      <c r="H2181" s="359">
        <f>'DRE + DCF'!$W$32</f>
        <v>81081.931703745853</v>
      </c>
      <c r="I2181" s="359">
        <f>-H2181*('DRE + DCF'!$V$33+K2181)/'DRE + DCF'!$V$33</f>
        <v>-90858.801614444121</v>
      </c>
      <c r="J2181" s="359">
        <f>-'DRE + DCF'!$V$56*L2181</f>
        <v>-1188924.4255577971</v>
      </c>
      <c r="K2181" s="360">
        <f>(1+L2181)/(1+Ke!$O$12)-1</f>
        <v>2.0000000000000018E-2</v>
      </c>
      <c r="L2181" s="360">
        <f>'DRE + DCF'!$Y$31</f>
        <v>7.3550000000000004E-2</v>
      </c>
      <c r="M2181" s="361">
        <f>(1+D2181)^((5-Dashboard!$F$9)*3/12)</f>
        <v>1.2110353889815102</v>
      </c>
      <c r="N2181" s="361">
        <f t="shared" ref="N2181:V2181" si="2236">M2181*(1+$D2181)</f>
        <v>1.563265031866762</v>
      </c>
      <c r="O2181" s="361">
        <f t="shared" si="2236"/>
        <v>2.0179406663851833</v>
      </c>
      <c r="P2181" s="361">
        <f t="shared" si="2236"/>
        <v>2.6048587092032798</v>
      </c>
      <c r="Q2181" s="361">
        <f t="shared" si="2236"/>
        <v>3.3624818647750101</v>
      </c>
      <c r="R2181" s="361">
        <f t="shared" si="2236"/>
        <v>4.3404597151447648</v>
      </c>
      <c r="S2181" s="361">
        <f t="shared" si="2236"/>
        <v>5.6028824232945462</v>
      </c>
      <c r="T2181" s="361">
        <f t="shared" si="2236"/>
        <v>7.2324807761096706</v>
      </c>
      <c r="U2181" s="361">
        <f t="shared" si="2236"/>
        <v>9.3360478098410464</v>
      </c>
      <c r="V2181" s="362">
        <f t="shared" si="2236"/>
        <v>12.051437315333157</v>
      </c>
      <c r="X2181" s="351"/>
    </row>
    <row r="2182" spans="3:24" ht="24.75" customHeight="1" x14ac:dyDescent="0.3">
      <c r="C2182" s="353">
        <f>ABS(E2182-Dashboard!$F$14)</f>
        <v>40.677640458883587</v>
      </c>
      <c r="D2182" s="350">
        <f t="shared" si="2181"/>
        <v>0.29094999999998322</v>
      </c>
      <c r="E2182" s="359" cm="1">
        <f t="array" ref="E2182">1000*SUM('DRE + DCF'!$L$36/M2182,'DRE + DCF'!$N$36:$V$36/N2182:V2182,F2182/V2182)/Dashboard!$F$11</f>
        <v>56.312359541116408</v>
      </c>
      <c r="F2182" s="359">
        <f t="shared" si="2179"/>
        <v>9083308.9045082219</v>
      </c>
      <c r="G2182" s="359">
        <f>'DRE + DCF'!$W$31</f>
        <v>2791623.3540418856</v>
      </c>
      <c r="H2182" s="359">
        <f>'DRE + DCF'!$W$32</f>
        <v>81081.931703745853</v>
      </c>
      <c r="I2182" s="359">
        <f>-H2182*('DRE + DCF'!$V$33+K2182)/'DRE + DCF'!$V$33</f>
        <v>-90858.801614444121</v>
      </c>
      <c r="J2182" s="359">
        <f>-'DRE + DCF'!$V$56*L2182</f>
        <v>-1188924.4255577971</v>
      </c>
      <c r="K2182" s="360">
        <f>(1+L2182)/(1+Ke!$O$12)-1</f>
        <v>2.0000000000000018E-2</v>
      </c>
      <c r="L2182" s="360">
        <f>'DRE + DCF'!$Y$31</f>
        <v>7.3550000000000004E-2</v>
      </c>
      <c r="M2182" s="361">
        <f>(1+D2182)^((5-Dashboard!$F$9)*3/12)</f>
        <v>1.2111057509714152</v>
      </c>
      <c r="N2182" s="361">
        <f t="shared" ref="N2182:V2182" si="2237">M2182*(1+$D2182)</f>
        <v>1.563476969216528</v>
      </c>
      <c r="O2182" s="361">
        <f t="shared" si="2237"/>
        <v>2.0183705934100504</v>
      </c>
      <c r="P2182" s="361">
        <f t="shared" si="2237"/>
        <v>2.6056155175626707</v>
      </c>
      <c r="Q2182" s="361">
        <f t="shared" si="2237"/>
        <v>3.363719352397486</v>
      </c>
      <c r="R2182" s="361">
        <f t="shared" si="2237"/>
        <v>4.3423934979774783</v>
      </c>
      <c r="S2182" s="361">
        <f t="shared" si="2237"/>
        <v>5.6058128862139522</v>
      </c>
      <c r="T2182" s="361">
        <f t="shared" si="2237"/>
        <v>7.2368241454578071</v>
      </c>
      <c r="U2182" s="361">
        <f t="shared" si="2237"/>
        <v>9.3423781305786342</v>
      </c>
      <c r="V2182" s="362">
        <f t="shared" si="2237"/>
        <v>12.060543047670331</v>
      </c>
      <c r="X2182" s="351"/>
    </row>
    <row r="2183" spans="3:24" ht="24.75" customHeight="1" x14ac:dyDescent="0.3">
      <c r="C2183" s="353">
        <f>ABS(E2183-Dashboard!$F$14)</f>
        <v>40.707816480805739</v>
      </c>
      <c r="D2183" s="350">
        <f t="shared" si="2181"/>
        <v>0.29104999999998321</v>
      </c>
      <c r="E2183" s="359" cm="1">
        <f t="array" ref="E2183">1000*SUM('DRE + DCF'!$L$36/M2183,'DRE + DCF'!$N$36:$V$36/N2183:V2183,F2183/V2183)/Dashboard!$F$11</f>
        <v>56.282183519194255</v>
      </c>
      <c r="F2183" s="359">
        <f t="shared" si="2179"/>
        <v>9079731.0635974649</v>
      </c>
      <c r="G2183" s="359">
        <f>'DRE + DCF'!$W$31</f>
        <v>2791623.3540418856</v>
      </c>
      <c r="H2183" s="359">
        <f>'DRE + DCF'!$W$32</f>
        <v>81081.931703745853</v>
      </c>
      <c r="I2183" s="359">
        <f>-H2183*('DRE + DCF'!$V$33+K2183)/'DRE + DCF'!$V$33</f>
        <v>-90858.801614444121</v>
      </c>
      <c r="J2183" s="359">
        <f>-'DRE + DCF'!$V$56*L2183</f>
        <v>-1188924.4255577971</v>
      </c>
      <c r="K2183" s="360">
        <f>(1+L2183)/(1+Ke!$O$12)-1</f>
        <v>2.0000000000000018E-2</v>
      </c>
      <c r="L2183" s="360">
        <f>'DRE + DCF'!$Y$31</f>
        <v>7.3550000000000004E-2</v>
      </c>
      <c r="M2183" s="361">
        <f>(1+D2183)^((5-Dashboard!$F$9)*3/12)</f>
        <v>1.2111761115987321</v>
      </c>
      <c r="N2183" s="361">
        <f t="shared" ref="N2183:V2183" si="2238">M2183*(1+$D2183)</f>
        <v>1.5636889188795227</v>
      </c>
      <c r="O2183" s="361">
        <f t="shared" si="2238"/>
        <v>2.0188005787193815</v>
      </c>
      <c r="P2183" s="361">
        <f t="shared" si="2238"/>
        <v>2.6063724871556233</v>
      </c>
      <c r="Q2183" s="361">
        <f t="shared" si="2238"/>
        <v>3.3649571995422236</v>
      </c>
      <c r="R2183" s="361">
        <f t="shared" si="2238"/>
        <v>4.3443279924689309</v>
      </c>
      <c r="S2183" s="361">
        <f t="shared" si="2238"/>
        <v>5.6087446546769399</v>
      </c>
      <c r="T2183" s="361">
        <f t="shared" si="2238"/>
        <v>7.2411697864205689</v>
      </c>
      <c r="U2183" s="361">
        <f t="shared" si="2238"/>
        <v>9.348712252758153</v>
      </c>
      <c r="V2183" s="362">
        <f t="shared" si="2238"/>
        <v>12.069654953923257</v>
      </c>
      <c r="X2183" s="351"/>
    </row>
    <row r="2184" spans="3:24" ht="24.75" customHeight="1" x14ac:dyDescent="0.3">
      <c r="C2184" s="353">
        <f>ABS(E2184-Dashboard!$F$14)</f>
        <v>40.737963784079888</v>
      </c>
      <c r="D2184" s="350">
        <f t="shared" si="2181"/>
        <v>0.2911499999999832</v>
      </c>
      <c r="E2184" s="359" cm="1">
        <f t="array" ref="E2184">1000*SUM('DRE + DCF'!$L$36/M2184,'DRE + DCF'!$N$36:$V$36/N2184:V2184,F2184/V2184)/Dashboard!$F$11</f>
        <v>56.252036215920107</v>
      </c>
      <c r="F2184" s="359">
        <f t="shared" si="2179"/>
        <v>9076156.1002774984</v>
      </c>
      <c r="G2184" s="359">
        <f>'DRE + DCF'!$W$31</f>
        <v>2791623.3540418856</v>
      </c>
      <c r="H2184" s="359">
        <f>'DRE + DCF'!$W$32</f>
        <v>81081.931703745853</v>
      </c>
      <c r="I2184" s="359">
        <f>-H2184*('DRE + DCF'!$V$33+K2184)/'DRE + DCF'!$V$33</f>
        <v>-90858.801614444121</v>
      </c>
      <c r="J2184" s="359">
        <f>-'DRE + DCF'!$V$56*L2184</f>
        <v>-1188924.4255577971</v>
      </c>
      <c r="K2184" s="360">
        <f>(1+L2184)/(1+Ke!$O$12)-1</f>
        <v>2.0000000000000018E-2</v>
      </c>
      <c r="L2184" s="360">
        <f>'DRE + DCF'!$Y$31</f>
        <v>7.3550000000000004E-2</v>
      </c>
      <c r="M2184" s="361">
        <f>(1+D2184)^((5-Dashboard!$F$9)*3/12)</f>
        <v>1.2112464708635933</v>
      </c>
      <c r="N2184" s="361">
        <f t="shared" ref="N2184:V2184" si="2239">M2184*(1+$D2184)</f>
        <v>1.5639008808555079</v>
      </c>
      <c r="O2184" s="361">
        <f t="shared" si="2239"/>
        <v>2.0192306223165626</v>
      </c>
      <c r="P2184" s="361">
        <f t="shared" si="2239"/>
        <v>2.6071296180039956</v>
      </c>
      <c r="Q2184" s="361">
        <f t="shared" si="2239"/>
        <v>3.366195406285815</v>
      </c>
      <c r="R2184" s="361">
        <f t="shared" si="2239"/>
        <v>4.3462631988258735</v>
      </c>
      <c r="S2184" s="361">
        <f t="shared" si="2239"/>
        <v>5.6116777291639535</v>
      </c>
      <c r="T2184" s="361">
        <f t="shared" si="2239"/>
        <v>7.2455177000099438</v>
      </c>
      <c r="U2184" s="361">
        <f t="shared" si="2239"/>
        <v>9.3550501783677174</v>
      </c>
      <c r="V2184" s="362">
        <f t="shared" si="2239"/>
        <v>12.078773037799321</v>
      </c>
      <c r="X2184" s="351"/>
    </row>
    <row r="2185" spans="3:24" ht="24.75" customHeight="1" x14ac:dyDescent="0.3">
      <c r="C2185" s="353">
        <f>ABS(E2185-Dashboard!$F$14)</f>
        <v>40.768082406746146</v>
      </c>
      <c r="D2185" s="350">
        <f t="shared" si="2181"/>
        <v>0.29124999999998319</v>
      </c>
      <c r="E2185" s="359" cm="1">
        <f t="array" ref="E2185">1000*SUM('DRE + DCF'!$L$36/M2185,'DRE + DCF'!$N$36:$V$36/N2185:V2185,F2185/V2185)/Dashboard!$F$11</f>
        <v>56.221917593253849</v>
      </c>
      <c r="F2185" s="359">
        <f t="shared" si="2179"/>
        <v>9072584.0110059008</v>
      </c>
      <c r="G2185" s="359">
        <f>'DRE + DCF'!$W$31</f>
        <v>2791623.3540418856</v>
      </c>
      <c r="H2185" s="359">
        <f>'DRE + DCF'!$W$32</f>
        <v>81081.931703745853</v>
      </c>
      <c r="I2185" s="359">
        <f>-H2185*('DRE + DCF'!$V$33+K2185)/'DRE + DCF'!$V$33</f>
        <v>-90858.801614444121</v>
      </c>
      <c r="J2185" s="359">
        <f>-'DRE + DCF'!$V$56*L2185</f>
        <v>-1188924.4255577971</v>
      </c>
      <c r="K2185" s="360">
        <f>(1+L2185)/(1+Ke!$O$12)-1</f>
        <v>2.0000000000000018E-2</v>
      </c>
      <c r="L2185" s="360">
        <f>'DRE + DCF'!$Y$31</f>
        <v>7.3550000000000004E-2</v>
      </c>
      <c r="M2185" s="361">
        <f>(1+D2185)^((5-Dashboard!$F$9)*3/12)</f>
        <v>1.2113168287661304</v>
      </c>
      <c r="N2185" s="361">
        <f t="shared" ref="N2185:V2185" si="2240">M2185*(1+$D2185)</f>
        <v>1.5641128551442456</v>
      </c>
      <c r="O2185" s="361">
        <f t="shared" si="2240"/>
        <v>2.0196607242049809</v>
      </c>
      <c r="P2185" s="361">
        <f t="shared" si="2240"/>
        <v>2.6078869101296474</v>
      </c>
      <c r="Q2185" s="361">
        <f t="shared" si="2240"/>
        <v>3.367433972704863</v>
      </c>
      <c r="R2185" s="361">
        <f t="shared" si="2240"/>
        <v>4.3481991172550973</v>
      </c>
      <c r="S2185" s="361">
        <f t="shared" si="2240"/>
        <v>5.614612110155571</v>
      </c>
      <c r="T2185" s="361">
        <f t="shared" si="2240"/>
        <v>7.2498678872382865</v>
      </c>
      <c r="U2185" s="361">
        <f t="shared" si="2240"/>
        <v>9.3613919093963158</v>
      </c>
      <c r="V2185" s="362">
        <f t="shared" si="2240"/>
        <v>12.087897303007836</v>
      </c>
      <c r="X2185" s="351"/>
    </row>
    <row r="2186" spans="3:24" ht="24.75" customHeight="1" x14ac:dyDescent="0.3">
      <c r="C2186" s="353">
        <f>ABS(E2186-Dashboard!$F$14)</f>
        <v>40.798172386779989</v>
      </c>
      <c r="D2186" s="350">
        <f t="shared" si="2181"/>
        <v>0.29134999999998318</v>
      </c>
      <c r="E2186" s="359" cm="1">
        <f t="array" ref="E2186">1000*SUM('DRE + DCF'!$L$36/M2186,'DRE + DCF'!$N$36:$V$36/N2186:V2186,F2186/V2186)/Dashboard!$F$11</f>
        <v>56.191827613220006</v>
      </c>
      <c r="F2186" s="359">
        <f t="shared" si="2179"/>
        <v>9069014.792246161</v>
      </c>
      <c r="G2186" s="359">
        <f>'DRE + DCF'!$W$31</f>
        <v>2791623.3540418856</v>
      </c>
      <c r="H2186" s="359">
        <f>'DRE + DCF'!$W$32</f>
        <v>81081.931703745853</v>
      </c>
      <c r="I2186" s="359">
        <f>-H2186*('DRE + DCF'!$V$33+K2186)/'DRE + DCF'!$V$33</f>
        <v>-90858.801614444121</v>
      </c>
      <c r="J2186" s="359">
        <f>-'DRE + DCF'!$V$56*L2186</f>
        <v>-1188924.4255577971</v>
      </c>
      <c r="K2186" s="360">
        <f>(1+L2186)/(1+Ke!$O$12)-1</f>
        <v>2.0000000000000018E-2</v>
      </c>
      <c r="L2186" s="360">
        <f>'DRE + DCF'!$Y$31</f>
        <v>7.3550000000000004E-2</v>
      </c>
      <c r="M2186" s="361">
        <f>(1+D2186)^((5-Dashboard!$F$9)*3/12)</f>
        <v>1.2113871853064755</v>
      </c>
      <c r="N2186" s="361">
        <f t="shared" ref="N2186:V2186" si="2241">M2186*(1+$D2186)</f>
        <v>1.5643248417454967</v>
      </c>
      <c r="O2186" s="361">
        <f t="shared" si="2241"/>
        <v>2.0200908843880208</v>
      </c>
      <c r="P2186" s="361">
        <f t="shared" si="2241"/>
        <v>2.6086443635544363</v>
      </c>
      <c r="Q2186" s="361">
        <f t="shared" si="2241"/>
        <v>3.3686728988759773</v>
      </c>
      <c r="R2186" s="361">
        <f t="shared" si="2241"/>
        <v>4.3501357479634368</v>
      </c>
      <c r="S2186" s="361">
        <f t="shared" si="2241"/>
        <v>5.6175477981325104</v>
      </c>
      <c r="T2186" s="361">
        <f t="shared" si="2241"/>
        <v>7.2542203491183228</v>
      </c>
      <c r="U2186" s="361">
        <f t="shared" si="2241"/>
        <v>9.3677374478338233</v>
      </c>
      <c r="V2186" s="362">
        <f t="shared" si="2241"/>
        <v>12.097027753260051</v>
      </c>
      <c r="X2186" s="351"/>
    </row>
    <row r="2187" spans="3:24" ht="24.75" customHeight="1" x14ac:dyDescent="0.3">
      <c r="C2187" s="353">
        <f>ABS(E2187-Dashboard!$F$14)</f>
        <v>40.828233762092388</v>
      </c>
      <c r="D2187" s="350">
        <f t="shared" si="2181"/>
        <v>0.29144999999998317</v>
      </c>
      <c r="E2187" s="359" cm="1">
        <f t="array" ref="E2187">1000*SUM('DRE + DCF'!$L$36/M2187,'DRE + DCF'!$N$36:$V$36/N2187:V2187,F2187/V2187)/Dashboard!$F$11</f>
        <v>56.161766237907607</v>
      </c>
      <c r="F2187" s="359">
        <f t="shared" si="2179"/>
        <v>9065448.440467691</v>
      </c>
      <c r="G2187" s="359">
        <f>'DRE + DCF'!$W$31</f>
        <v>2791623.3540418856</v>
      </c>
      <c r="H2187" s="359">
        <f>'DRE + DCF'!$W$32</f>
        <v>81081.931703745853</v>
      </c>
      <c r="I2187" s="359">
        <f>-H2187*('DRE + DCF'!$V$33+K2187)/'DRE + DCF'!$V$33</f>
        <v>-90858.801614444121</v>
      </c>
      <c r="J2187" s="359">
        <f>-'DRE + DCF'!$V$56*L2187</f>
        <v>-1188924.4255577971</v>
      </c>
      <c r="K2187" s="360">
        <f>(1+L2187)/(1+Ke!$O$12)-1</f>
        <v>2.0000000000000018E-2</v>
      </c>
      <c r="L2187" s="360">
        <f>'DRE + DCF'!$Y$31</f>
        <v>7.3550000000000004E-2</v>
      </c>
      <c r="M2187" s="361">
        <f>(1+D2187)^((5-Dashboard!$F$9)*3/12)</f>
        <v>1.2114575404847603</v>
      </c>
      <c r="N2187" s="361">
        <f t="shared" ref="N2187:V2187" si="2242">M2187*(1+$D2187)</f>
        <v>1.5645368406590232</v>
      </c>
      <c r="O2187" s="361">
        <f t="shared" si="2242"/>
        <v>2.0205211028690693</v>
      </c>
      <c r="P2187" s="361">
        <f t="shared" si="2242"/>
        <v>2.6094019783002254</v>
      </c>
      <c r="Q2187" s="361">
        <f t="shared" si="2242"/>
        <v>3.369912184875782</v>
      </c>
      <c r="R2187" s="361">
        <f t="shared" si="2242"/>
        <v>4.3520730911577719</v>
      </c>
      <c r="S2187" s="361">
        <f t="shared" si="2242"/>
        <v>5.6204847935756312</v>
      </c>
      <c r="T2187" s="361">
        <f t="shared" si="2242"/>
        <v>7.2585750866631544</v>
      </c>
      <c r="U2187" s="361">
        <f t="shared" si="2242"/>
        <v>9.3740867956710083</v>
      </c>
      <c r="V2187" s="362">
        <f t="shared" si="2242"/>
        <v>12.106164392269166</v>
      </c>
      <c r="X2187" s="351"/>
    </row>
    <row r="2188" spans="3:24" ht="24.75" customHeight="1" x14ac:dyDescent="0.3">
      <c r="C2188" s="353">
        <f>ABS(E2188-Dashboard!$F$14)</f>
        <v>40.858266570529786</v>
      </c>
      <c r="D2188" s="350">
        <f t="shared" si="2181"/>
        <v>0.29154999999998316</v>
      </c>
      <c r="E2188" s="359" cm="1">
        <f t="array" ref="E2188">1000*SUM('DRE + DCF'!$L$36/M2188,'DRE + DCF'!$N$36:$V$36/N2188:V2188,F2188/V2188)/Dashboard!$F$11</f>
        <v>56.131733429470209</v>
      </c>
      <c r="F2188" s="359">
        <f t="shared" si="2179"/>
        <v>9061884.9521458</v>
      </c>
      <c r="G2188" s="359">
        <f>'DRE + DCF'!$W$31</f>
        <v>2791623.3540418856</v>
      </c>
      <c r="H2188" s="359">
        <f>'DRE + DCF'!$W$32</f>
        <v>81081.931703745853</v>
      </c>
      <c r="I2188" s="359">
        <f>-H2188*('DRE + DCF'!$V$33+K2188)/'DRE + DCF'!$V$33</f>
        <v>-90858.801614444121</v>
      </c>
      <c r="J2188" s="359">
        <f>-'DRE + DCF'!$V$56*L2188</f>
        <v>-1188924.4255577971</v>
      </c>
      <c r="K2188" s="360">
        <f>(1+L2188)/(1+Ke!$O$12)-1</f>
        <v>2.0000000000000018E-2</v>
      </c>
      <c r="L2188" s="360">
        <f>'DRE + DCF'!$Y$31</f>
        <v>7.3550000000000004E-2</v>
      </c>
      <c r="M2188" s="361">
        <f>(1+D2188)^((5-Dashboard!$F$9)*3/12)</f>
        <v>1.2115278943011167</v>
      </c>
      <c r="N2188" s="361">
        <f t="shared" ref="N2188:V2188" si="2243">M2188*(1+$D2188)</f>
        <v>1.5647488518845869</v>
      </c>
      <c r="O2188" s="361">
        <f t="shared" si="2243"/>
        <v>2.0209513796515117</v>
      </c>
      <c r="P2188" s="361">
        <f t="shared" si="2243"/>
        <v>2.6101597543888757</v>
      </c>
      <c r="Q2188" s="361">
        <f t="shared" si="2243"/>
        <v>3.3711518307809083</v>
      </c>
      <c r="R2188" s="361">
        <f t="shared" si="2243"/>
        <v>4.3540111470450249</v>
      </c>
      <c r="S2188" s="361">
        <f t="shared" si="2243"/>
        <v>5.6234230969659285</v>
      </c>
      <c r="T2188" s="361">
        <f t="shared" si="2243"/>
        <v>7.2629321008862497</v>
      </c>
      <c r="U2188" s="361">
        <f t="shared" si="2243"/>
        <v>9.3804399548995132</v>
      </c>
      <c r="V2188" s="362">
        <f t="shared" si="2243"/>
        <v>12.115307223750309</v>
      </c>
      <c r="X2188" s="351"/>
    </row>
    <row r="2189" spans="3:24" ht="24.75" customHeight="1" x14ac:dyDescent="0.3">
      <c r="C2189" s="353">
        <f>ABS(E2189-Dashboard!$F$14)</f>
        <v>40.888270849874438</v>
      </c>
      <c r="D2189" s="350">
        <f t="shared" si="2181"/>
        <v>0.29164999999998314</v>
      </c>
      <c r="E2189" s="359" cm="1">
        <f t="array" ref="E2189">1000*SUM('DRE + DCF'!$L$36/M2189,'DRE + DCF'!$N$36:$V$36/N2189:V2189,F2189/V2189)/Dashboard!$F$11</f>
        <v>56.101729150125557</v>
      </c>
      <c r="F2189" s="359">
        <f t="shared" si="2179"/>
        <v>9058324.323761683</v>
      </c>
      <c r="G2189" s="359">
        <f>'DRE + DCF'!$W$31</f>
        <v>2791623.3540418856</v>
      </c>
      <c r="H2189" s="359">
        <f>'DRE + DCF'!$W$32</f>
        <v>81081.931703745853</v>
      </c>
      <c r="I2189" s="359">
        <f>-H2189*('DRE + DCF'!$V$33+K2189)/'DRE + DCF'!$V$33</f>
        <v>-90858.801614444121</v>
      </c>
      <c r="J2189" s="359">
        <f>-'DRE + DCF'!$V$56*L2189</f>
        <v>-1188924.4255577971</v>
      </c>
      <c r="K2189" s="360">
        <f>(1+L2189)/(1+Ke!$O$12)-1</f>
        <v>2.0000000000000018E-2</v>
      </c>
      <c r="L2189" s="360">
        <f>'DRE + DCF'!$Y$31</f>
        <v>7.3550000000000004E-2</v>
      </c>
      <c r="M2189" s="361">
        <f>(1+D2189)^((5-Dashboard!$F$9)*3/12)</f>
        <v>1.2115982467556765</v>
      </c>
      <c r="N2189" s="361">
        <f t="shared" ref="N2189:V2189" si="2244">M2189*(1+$D2189)</f>
        <v>1.5649608754219491</v>
      </c>
      <c r="O2189" s="361">
        <f t="shared" si="2244"/>
        <v>2.0213817147387338</v>
      </c>
      <c r="P2189" s="361">
        <f t="shared" si="2244"/>
        <v>2.6109176918422512</v>
      </c>
      <c r="Q2189" s="361">
        <f t="shared" si="2244"/>
        <v>3.3723918366679997</v>
      </c>
      <c r="R2189" s="361">
        <f t="shared" si="2244"/>
        <v>4.3559499158321646</v>
      </c>
      <c r="S2189" s="361">
        <f t="shared" si="2244"/>
        <v>5.6263627087845416</v>
      </c>
      <c r="T2189" s="361">
        <f t="shared" si="2244"/>
        <v>7.2672913928014582</v>
      </c>
      <c r="U2189" s="361">
        <f t="shared" si="2244"/>
        <v>9.386796927511881</v>
      </c>
      <c r="V2189" s="362">
        <f t="shared" si="2244"/>
        <v>12.124456251420563</v>
      </c>
      <c r="X2189" s="351"/>
    </row>
    <row r="2190" spans="3:24" ht="24.75" customHeight="1" x14ac:dyDescent="0.3">
      <c r="C2190" s="353">
        <f>ABS(E2190-Dashboard!$F$14)</f>
        <v>40.91824663784444</v>
      </c>
      <c r="D2190" s="350">
        <f t="shared" si="2181"/>
        <v>0.29174999999998313</v>
      </c>
      <c r="E2190" s="359" cm="1">
        <f t="array" ref="E2190">1000*SUM('DRE + DCF'!$L$36/M2190,'DRE + DCF'!$N$36:$V$36/N2190:V2190,F2190/V2190)/Dashboard!$F$11</f>
        <v>56.071753362155555</v>
      </c>
      <c r="F2190" s="359">
        <f t="shared" ref="F2190:F2253" si="2245">AVERAGE(SUM(G2190:J2190)*(1+L2190)/(D2190-L2190),G2190*(1+L2190)*(1-L2190/D2190)/(D2190-L2190))</f>
        <v>9054766.5518024135</v>
      </c>
      <c r="G2190" s="359">
        <f>'DRE + DCF'!$W$31</f>
        <v>2791623.3540418856</v>
      </c>
      <c r="H2190" s="359">
        <f>'DRE + DCF'!$W$32</f>
        <v>81081.931703745853</v>
      </c>
      <c r="I2190" s="359">
        <f>-H2190*('DRE + DCF'!$V$33+K2190)/'DRE + DCF'!$V$33</f>
        <v>-90858.801614444121</v>
      </c>
      <c r="J2190" s="359">
        <f>-'DRE + DCF'!$V$56*L2190</f>
        <v>-1188924.4255577971</v>
      </c>
      <c r="K2190" s="360">
        <f>(1+L2190)/(1+Ke!$O$12)-1</f>
        <v>2.0000000000000018E-2</v>
      </c>
      <c r="L2190" s="360">
        <f>'DRE + DCF'!$Y$31</f>
        <v>7.3550000000000004E-2</v>
      </c>
      <c r="M2190" s="361">
        <f>(1+D2190)^((5-Dashboard!$F$9)*3/12)</f>
        <v>1.2116685978485715</v>
      </c>
      <c r="N2190" s="361">
        <f t="shared" ref="N2190:V2190" si="2246">M2190*(1+$D2190)</f>
        <v>1.5651729112708717</v>
      </c>
      <c r="O2190" s="361">
        <f t="shared" si="2246"/>
        <v>2.0218121081341218</v>
      </c>
      <c r="P2190" s="361">
        <f t="shared" si="2246"/>
        <v>2.6116757906822174</v>
      </c>
      <c r="Q2190" s="361">
        <f t="shared" si="2246"/>
        <v>3.37363220261371</v>
      </c>
      <c r="R2190" s="361">
        <f t="shared" si="2246"/>
        <v>4.3578893977262032</v>
      </c>
      <c r="S2190" s="361">
        <f t="shared" si="2246"/>
        <v>5.6293036295127497</v>
      </c>
      <c r="T2190" s="361">
        <f t="shared" si="2246"/>
        <v>7.2716529634229987</v>
      </c>
      <c r="U2190" s="361">
        <f t="shared" si="2246"/>
        <v>9.3931577155015358</v>
      </c>
      <c r="V2190" s="362">
        <f t="shared" si="2246"/>
        <v>12.133611478998949</v>
      </c>
      <c r="X2190" s="351"/>
    </row>
    <row r="2191" spans="3:24" ht="24.75" customHeight="1" x14ac:dyDescent="0.3">
      <c r="C2191" s="353">
        <f>ABS(E2191-Dashboard!$F$14)</f>
        <v>40.948193972093812</v>
      </c>
      <c r="D2191" s="350">
        <f t="shared" ref="D2191:D2254" si="2247">D2190+0.0001</f>
        <v>0.29184999999998312</v>
      </c>
      <c r="E2191" s="359" cm="1">
        <f t="array" ref="E2191">1000*SUM('DRE + DCF'!$L$36/M2191,'DRE + DCF'!$N$36:$V$36/N2191:V2191,F2191/V2191)/Dashboard!$F$11</f>
        <v>56.041806027906183</v>
      </c>
      <c r="F2191" s="359">
        <f t="shared" si="2245"/>
        <v>9051211.6327609252</v>
      </c>
      <c r="G2191" s="359">
        <f>'DRE + DCF'!$W$31</f>
        <v>2791623.3540418856</v>
      </c>
      <c r="H2191" s="359">
        <f>'DRE + DCF'!$W$32</f>
        <v>81081.931703745853</v>
      </c>
      <c r="I2191" s="359">
        <f>-H2191*('DRE + DCF'!$V$33+K2191)/'DRE + DCF'!$V$33</f>
        <v>-90858.801614444121</v>
      </c>
      <c r="J2191" s="359">
        <f>-'DRE + DCF'!$V$56*L2191</f>
        <v>-1188924.4255577971</v>
      </c>
      <c r="K2191" s="360">
        <f>(1+L2191)/(1+Ke!$O$12)-1</f>
        <v>2.0000000000000018E-2</v>
      </c>
      <c r="L2191" s="360">
        <f>'DRE + DCF'!$Y$31</f>
        <v>7.3550000000000004E-2</v>
      </c>
      <c r="M2191" s="361">
        <f>(1+D2191)^((5-Dashboard!$F$9)*3/12)</f>
        <v>1.2117389475799334</v>
      </c>
      <c r="N2191" s="361">
        <f t="shared" ref="N2191:V2191" si="2248">M2191*(1+$D2191)</f>
        <v>1.5653849594311164</v>
      </c>
      <c r="O2191" s="361">
        <f t="shared" si="2248"/>
        <v>2.0222425598410614</v>
      </c>
      <c r="P2191" s="361">
        <f t="shared" si="2248"/>
        <v>2.612434050930641</v>
      </c>
      <c r="Q2191" s="361">
        <f t="shared" si="2248"/>
        <v>3.3748729286947041</v>
      </c>
      <c r="R2191" s="361">
        <f t="shared" si="2248"/>
        <v>4.3598295929341964</v>
      </c>
      <c r="S2191" s="361">
        <f t="shared" si="2248"/>
        <v>5.6322458596319676</v>
      </c>
      <c r="T2191" s="361">
        <f t="shared" si="2248"/>
        <v>7.2760168137654615</v>
      </c>
      <c r="U2191" s="361">
        <f t="shared" si="2248"/>
        <v>9.399522320862788</v>
      </c>
      <c r="V2191" s="362">
        <f t="shared" si="2248"/>
        <v>12.142772910206434</v>
      </c>
      <c r="X2191" s="351"/>
    </row>
    <row r="2192" spans="3:24" ht="24.75" customHeight="1" x14ac:dyDescent="0.3">
      <c r="C2192" s="353">
        <f>ABS(E2192-Dashboard!$F$14)</f>
        <v>40.978112890212742</v>
      </c>
      <c r="D2192" s="350">
        <f t="shared" si="2247"/>
        <v>0.29194999999998311</v>
      </c>
      <c r="E2192" s="359" cm="1">
        <f t="array" ref="E2192">1000*SUM('DRE + DCF'!$L$36/M2192,'DRE + DCF'!$N$36:$V$36/N2192:V2192,F2192/V2192)/Dashboard!$F$11</f>
        <v>56.011887109787253</v>
      </c>
      <c r="F2192" s="359">
        <f t="shared" si="2245"/>
        <v>9047659.5631360039</v>
      </c>
      <c r="G2192" s="359">
        <f>'DRE + DCF'!$W$31</f>
        <v>2791623.3540418856</v>
      </c>
      <c r="H2192" s="359">
        <f>'DRE + DCF'!$W$32</f>
        <v>81081.931703745853</v>
      </c>
      <c r="I2192" s="359">
        <f>-H2192*('DRE + DCF'!$V$33+K2192)/'DRE + DCF'!$V$33</f>
        <v>-90858.801614444121</v>
      </c>
      <c r="J2192" s="359">
        <f>-'DRE + DCF'!$V$56*L2192</f>
        <v>-1188924.4255577971</v>
      </c>
      <c r="K2192" s="360">
        <f>(1+L2192)/(1+Ke!$O$12)-1</f>
        <v>2.0000000000000018E-2</v>
      </c>
      <c r="L2192" s="360">
        <f>'DRE + DCF'!$Y$31</f>
        <v>7.3550000000000004E-2</v>
      </c>
      <c r="M2192" s="361">
        <f>(1+D2192)^((5-Dashboard!$F$9)*3/12)</f>
        <v>1.2118092959498941</v>
      </c>
      <c r="N2192" s="361">
        <f t="shared" ref="N2192:V2192" si="2249">M2192*(1+$D2192)</f>
        <v>1.5655970199024452</v>
      </c>
      <c r="O2192" s="361">
        <f t="shared" si="2249"/>
        <v>2.0226730698629374</v>
      </c>
      <c r="P2192" s="361">
        <f t="shared" si="2249"/>
        <v>2.6131924726093878</v>
      </c>
      <c r="Q2192" s="361">
        <f t="shared" si="2249"/>
        <v>3.3761140149876545</v>
      </c>
      <c r="R2192" s="361">
        <f t="shared" si="2249"/>
        <v>4.3617705016632433</v>
      </c>
      <c r="S2192" s="361">
        <f t="shared" si="2249"/>
        <v>5.6351893996237532</v>
      </c>
      <c r="T2192" s="361">
        <f t="shared" si="2249"/>
        <v>7.2803829448438124</v>
      </c>
      <c r="U2192" s="361">
        <f t="shared" si="2249"/>
        <v>9.40589074559084</v>
      </c>
      <c r="V2192" s="362">
        <f t="shared" si="2249"/>
        <v>12.151940548765927</v>
      </c>
      <c r="X2192" s="351"/>
    </row>
    <row r="2193" spans="3:24" ht="24.75" customHeight="1" x14ac:dyDescent="0.3">
      <c r="C2193" s="353">
        <f>ABS(E2193-Dashboard!$F$14)</f>
        <v>41.008003429727687</v>
      </c>
      <c r="D2193" s="350">
        <f t="shared" si="2247"/>
        <v>0.2920499999999831</v>
      </c>
      <c r="E2193" s="359" cm="1">
        <f t="array" ref="E2193">1000*SUM('DRE + DCF'!$L$36/M2193,'DRE + DCF'!$N$36:$V$36/N2193:V2193,F2193/V2193)/Dashboard!$F$11</f>
        <v>55.981996570272308</v>
      </c>
      <c r="F2193" s="359">
        <f t="shared" si="2245"/>
        <v>9044110.3394322693</v>
      </c>
      <c r="G2193" s="359">
        <f>'DRE + DCF'!$W$31</f>
        <v>2791623.3540418856</v>
      </c>
      <c r="H2193" s="359">
        <f>'DRE + DCF'!$W$32</f>
        <v>81081.931703745853</v>
      </c>
      <c r="I2193" s="359">
        <f>-H2193*('DRE + DCF'!$V$33+K2193)/'DRE + DCF'!$V$33</f>
        <v>-90858.801614444121</v>
      </c>
      <c r="J2193" s="359">
        <f>-'DRE + DCF'!$V$56*L2193</f>
        <v>-1188924.4255577971</v>
      </c>
      <c r="K2193" s="360">
        <f>(1+L2193)/(1+Ke!$O$12)-1</f>
        <v>2.0000000000000018E-2</v>
      </c>
      <c r="L2193" s="360">
        <f>'DRE + DCF'!$Y$31</f>
        <v>7.3550000000000004E-2</v>
      </c>
      <c r="M2193" s="361">
        <f>(1+D2193)^((5-Dashboard!$F$9)*3/12)</f>
        <v>1.2118796429585852</v>
      </c>
      <c r="N2193" s="361">
        <f t="shared" ref="N2193:V2193" si="2250">M2193*(1+$D2193)</f>
        <v>1.5658090926846195</v>
      </c>
      <c r="O2193" s="361">
        <f t="shared" si="2250"/>
        <v>2.023103638203136</v>
      </c>
      <c r="P2193" s="361">
        <f t="shared" si="2250"/>
        <v>2.6139510557403276</v>
      </c>
      <c r="Q2193" s="361">
        <f t="shared" si="2250"/>
        <v>3.377355461569246</v>
      </c>
      <c r="R2193" s="361">
        <f t="shared" si="2250"/>
        <v>4.3637121241204868</v>
      </c>
      <c r="S2193" s="361">
        <f t="shared" si="2250"/>
        <v>5.6381342499698013</v>
      </c>
      <c r="T2193" s="361">
        <f t="shared" si="2250"/>
        <v>7.284751357673386</v>
      </c>
      <c r="U2193" s="361">
        <f t="shared" si="2250"/>
        <v>9.412262991681775</v>
      </c>
      <c r="V2193" s="362">
        <f t="shared" si="2250"/>
        <v>12.161114398402278</v>
      </c>
      <c r="X2193" s="351"/>
    </row>
    <row r="2194" spans="3:24" ht="24.75" customHeight="1" x14ac:dyDescent="0.3">
      <c r="C2194" s="353">
        <f>ABS(E2194-Dashboard!$F$14)</f>
        <v>41.037865628101471</v>
      </c>
      <c r="D2194" s="350">
        <f t="shared" si="2247"/>
        <v>0.29214999999998309</v>
      </c>
      <c r="E2194" s="359" cm="1">
        <f t="array" ref="E2194">1000*SUM('DRE + DCF'!$L$36/M2194,'DRE + DCF'!$N$36:$V$36/N2194:V2194,F2194/V2194)/Dashboard!$F$11</f>
        <v>55.952134371898524</v>
      </c>
      <c r="F2194" s="359">
        <f t="shared" si="2245"/>
        <v>9040563.9581601731</v>
      </c>
      <c r="G2194" s="359">
        <f>'DRE + DCF'!$W$31</f>
        <v>2791623.3540418856</v>
      </c>
      <c r="H2194" s="359">
        <f>'DRE + DCF'!$W$32</f>
        <v>81081.931703745853</v>
      </c>
      <c r="I2194" s="359">
        <f>-H2194*('DRE + DCF'!$V$33+K2194)/'DRE + DCF'!$V$33</f>
        <v>-90858.801614444121</v>
      </c>
      <c r="J2194" s="359">
        <f>-'DRE + DCF'!$V$56*L2194</f>
        <v>-1188924.4255577971</v>
      </c>
      <c r="K2194" s="360">
        <f>(1+L2194)/(1+Ke!$O$12)-1</f>
        <v>2.0000000000000018E-2</v>
      </c>
      <c r="L2194" s="360">
        <f>'DRE + DCF'!$Y$31</f>
        <v>7.3550000000000004E-2</v>
      </c>
      <c r="M2194" s="361">
        <f>(1+D2194)^((5-Dashboard!$F$9)*3/12)</f>
        <v>1.2119499886061385</v>
      </c>
      <c r="N2194" s="361">
        <f t="shared" ref="N2194:V2194" si="2251">M2194*(1+$D2194)</f>
        <v>1.5660211777774011</v>
      </c>
      <c r="O2194" s="361">
        <f t="shared" si="2251"/>
        <v>2.0235342648650425</v>
      </c>
      <c r="P2194" s="361">
        <f t="shared" si="2251"/>
        <v>2.6147098003453304</v>
      </c>
      <c r="Q2194" s="361">
        <f t="shared" si="2251"/>
        <v>3.3785972685161743</v>
      </c>
      <c r="R2194" s="361">
        <f t="shared" si="2251"/>
        <v>4.3656544605131176</v>
      </c>
      <c r="S2194" s="361">
        <f t="shared" si="2251"/>
        <v>5.6410804111519504</v>
      </c>
      <c r="T2194" s="361">
        <f t="shared" si="2251"/>
        <v>7.2891220532698968</v>
      </c>
      <c r="U2194" s="361">
        <f t="shared" si="2251"/>
        <v>9.4186390611325734</v>
      </c>
      <c r="V2194" s="362">
        <f t="shared" si="2251"/>
        <v>12.170294462842294</v>
      </c>
      <c r="X2194" s="351"/>
    </row>
    <row r="2195" spans="3:24" ht="24.75" customHeight="1" x14ac:dyDescent="0.3">
      <c r="C2195" s="353">
        <f>ABS(E2195-Dashboard!$F$14)</f>
        <v>41.067699522733434</v>
      </c>
      <c r="D2195" s="350">
        <f t="shared" si="2247"/>
        <v>0.29224999999998308</v>
      </c>
      <c r="E2195" s="359" cm="1">
        <f t="array" ref="E2195">1000*SUM('DRE + DCF'!$L$36/M2195,'DRE + DCF'!$N$36:$V$36/N2195:V2195,F2195/V2195)/Dashboard!$F$11</f>
        <v>55.92230047726656</v>
      </c>
      <c r="F2195" s="359">
        <f t="shared" si="2245"/>
        <v>9037020.4158359692</v>
      </c>
      <c r="G2195" s="359">
        <f>'DRE + DCF'!$W$31</f>
        <v>2791623.3540418856</v>
      </c>
      <c r="H2195" s="359">
        <f>'DRE + DCF'!$W$32</f>
        <v>81081.931703745853</v>
      </c>
      <c r="I2195" s="359">
        <f>-H2195*('DRE + DCF'!$V$33+K2195)/'DRE + DCF'!$V$33</f>
        <v>-90858.801614444121</v>
      </c>
      <c r="J2195" s="359">
        <f>-'DRE + DCF'!$V$56*L2195</f>
        <v>-1188924.4255577971</v>
      </c>
      <c r="K2195" s="360">
        <f>(1+L2195)/(1+Ke!$O$12)-1</f>
        <v>2.0000000000000018E-2</v>
      </c>
      <c r="L2195" s="360">
        <f>'DRE + DCF'!$Y$31</f>
        <v>7.3550000000000004E-2</v>
      </c>
      <c r="M2195" s="361">
        <f>(1+D2195)^((5-Dashboard!$F$9)*3/12)</f>
        <v>1.2120203328926855</v>
      </c>
      <c r="N2195" s="361">
        <f t="shared" ref="N2195:V2195" si="2252">M2195*(1+$D2195)</f>
        <v>1.5662332751805523</v>
      </c>
      <c r="O2195" s="361">
        <f t="shared" si="2252"/>
        <v>2.0239649498520422</v>
      </c>
      <c r="P2195" s="361">
        <f t="shared" si="2252"/>
        <v>2.6154687064462672</v>
      </c>
      <c r="Q2195" s="361">
        <f t="shared" si="2252"/>
        <v>3.3798394359051445</v>
      </c>
      <c r="R2195" s="361">
        <f t="shared" si="2252"/>
        <v>4.3675975110483654</v>
      </c>
      <c r="S2195" s="361">
        <f t="shared" si="2252"/>
        <v>5.6440278836521758</v>
      </c>
      <c r="T2195" s="361">
        <f t="shared" si="2252"/>
        <v>7.2934950326494281</v>
      </c>
      <c r="U2195" s="361">
        <f t="shared" si="2252"/>
        <v>9.4250189559411002</v>
      </c>
      <c r="V2195" s="362">
        <f t="shared" si="2252"/>
        <v>12.179480745814727</v>
      </c>
      <c r="X2195" s="351"/>
    </row>
    <row r="2196" spans="3:24" ht="24.75" customHeight="1" x14ac:dyDescent="0.3">
      <c r="C2196" s="353">
        <f>ABS(E2196-Dashboard!$F$14)</f>
        <v>41.097505150959549</v>
      </c>
      <c r="D2196" s="350">
        <f t="shared" si="2247"/>
        <v>0.29234999999998307</v>
      </c>
      <c r="E2196" s="359" cm="1">
        <f t="array" ref="E2196">1000*SUM('DRE + DCF'!$L$36/M2196,'DRE + DCF'!$N$36:$V$36/N2196:V2196,F2196/V2196)/Dashboard!$F$11</f>
        <v>55.892494849040446</v>
      </c>
      <c r="F2196" s="359">
        <f t="shared" si="2245"/>
        <v>9033479.70898173</v>
      </c>
      <c r="G2196" s="359">
        <f>'DRE + DCF'!$W$31</f>
        <v>2791623.3540418856</v>
      </c>
      <c r="H2196" s="359">
        <f>'DRE + DCF'!$W$32</f>
        <v>81081.931703745853</v>
      </c>
      <c r="I2196" s="359">
        <f>-H2196*('DRE + DCF'!$V$33+K2196)/'DRE + DCF'!$V$33</f>
        <v>-90858.801614444121</v>
      </c>
      <c r="J2196" s="359">
        <f>-'DRE + DCF'!$V$56*L2196</f>
        <v>-1188924.4255577971</v>
      </c>
      <c r="K2196" s="360">
        <f>(1+L2196)/(1+Ke!$O$12)-1</f>
        <v>2.0000000000000018E-2</v>
      </c>
      <c r="L2196" s="360">
        <f>'DRE + DCF'!$Y$31</f>
        <v>7.3550000000000004E-2</v>
      </c>
      <c r="M2196" s="361">
        <f>(1+D2196)^((5-Dashboard!$F$9)*3/12)</f>
        <v>1.2120906758183578</v>
      </c>
      <c r="N2196" s="361">
        <f t="shared" ref="N2196:V2196" si="2253">M2196*(1+$D2196)</f>
        <v>1.5664453848938342</v>
      </c>
      <c r="O2196" s="361">
        <f t="shared" si="2253"/>
        <v>2.02439569316752</v>
      </c>
      <c r="P2196" s="361">
        <f t="shared" si="2253"/>
        <v>2.6162277740650102</v>
      </c>
      <c r="Q2196" s="361">
        <f t="shared" si="2253"/>
        <v>3.3810819638128713</v>
      </c>
      <c r="R2196" s="361">
        <f t="shared" si="2253"/>
        <v>4.3695412759335071</v>
      </c>
      <c r="S2196" s="361">
        <f t="shared" si="2253"/>
        <v>5.6469766679525932</v>
      </c>
      <c r="T2196" s="361">
        <f t="shared" si="2253"/>
        <v>7.2978702968284379</v>
      </c>
      <c r="U2196" s="361">
        <f t="shared" si="2253"/>
        <v>9.4314026781061084</v>
      </c>
      <c r="V2196" s="362">
        <f t="shared" si="2253"/>
        <v>12.188673251050268</v>
      </c>
      <c r="X2196" s="351"/>
    </row>
    <row r="2197" spans="3:24" ht="24.75" customHeight="1" x14ac:dyDescent="0.3">
      <c r="C2197" s="353">
        <f>ABS(E2197-Dashboard!$F$14)</f>
        <v>41.127282550052648</v>
      </c>
      <c r="D2197" s="350">
        <f t="shared" si="2247"/>
        <v>0.29244999999998306</v>
      </c>
      <c r="E2197" s="359" cm="1">
        <f t="array" ref="E2197">1000*SUM('DRE + DCF'!$L$36/M2197,'DRE + DCF'!$N$36:$V$36/N2197:V2197,F2197/V2197)/Dashboard!$F$11</f>
        <v>55.862717449947347</v>
      </c>
      <c r="F2197" s="359">
        <f t="shared" si="2245"/>
        <v>9029941.834125299</v>
      </c>
      <c r="G2197" s="359">
        <f>'DRE + DCF'!$W$31</f>
        <v>2791623.3540418856</v>
      </c>
      <c r="H2197" s="359">
        <f>'DRE + DCF'!$W$32</f>
        <v>81081.931703745853</v>
      </c>
      <c r="I2197" s="359">
        <f>-H2197*('DRE + DCF'!$V$33+K2197)/'DRE + DCF'!$V$33</f>
        <v>-90858.801614444121</v>
      </c>
      <c r="J2197" s="359">
        <f>-'DRE + DCF'!$V$56*L2197</f>
        <v>-1188924.4255577971</v>
      </c>
      <c r="K2197" s="360">
        <f>(1+L2197)/(1+Ke!$O$12)-1</f>
        <v>2.0000000000000018E-2</v>
      </c>
      <c r="L2197" s="360">
        <f>'DRE + DCF'!$Y$31</f>
        <v>7.3550000000000004E-2</v>
      </c>
      <c r="M2197" s="361">
        <f>(1+D2197)^((5-Dashboard!$F$9)*3/12)</f>
        <v>1.2121610173832875</v>
      </c>
      <c r="N2197" s="361">
        <f t="shared" ref="N2197:V2197" si="2254">M2197*(1+$D2197)</f>
        <v>1.5666575069170094</v>
      </c>
      <c r="O2197" s="361">
        <f t="shared" si="2254"/>
        <v>2.0248264948148624</v>
      </c>
      <c r="P2197" s="361">
        <f t="shared" si="2254"/>
        <v>2.6169870032234344</v>
      </c>
      <c r="Q2197" s="361">
        <f t="shared" si="2254"/>
        <v>3.3823248523160832</v>
      </c>
      <c r="R2197" s="361">
        <f t="shared" si="2254"/>
        <v>4.3714857553758639</v>
      </c>
      <c r="S2197" s="361">
        <f t="shared" si="2254"/>
        <v>5.6499267645354614</v>
      </c>
      <c r="T2197" s="361">
        <f t="shared" si="2254"/>
        <v>7.3022478468237608</v>
      </c>
      <c r="U2197" s="361">
        <f t="shared" si="2254"/>
        <v>9.4377902296272449</v>
      </c>
      <c r="V2197" s="362">
        <f t="shared" si="2254"/>
        <v>12.197871982281573</v>
      </c>
      <c r="X2197" s="351"/>
    </row>
    <row r="2198" spans="3:24" ht="24.75" customHeight="1" x14ac:dyDescent="0.3">
      <c r="C2198" s="353">
        <f>ABS(E2198-Dashboard!$F$14)</f>
        <v>41.157031757222413</v>
      </c>
      <c r="D2198" s="350">
        <f t="shared" si="2247"/>
        <v>0.29254999999998305</v>
      </c>
      <c r="E2198" s="359" cm="1">
        <f t="array" ref="E2198">1000*SUM('DRE + DCF'!$L$36/M2198,'DRE + DCF'!$N$36:$V$36/N2198:V2198,F2198/V2198)/Dashboard!$F$11</f>
        <v>55.832968242777582</v>
      </c>
      <c r="F2198" s="359">
        <f t="shared" si="2245"/>
        <v>9026406.7878003027</v>
      </c>
      <c r="G2198" s="359">
        <f>'DRE + DCF'!$W$31</f>
        <v>2791623.3540418856</v>
      </c>
      <c r="H2198" s="359">
        <f>'DRE + DCF'!$W$32</f>
        <v>81081.931703745853</v>
      </c>
      <c r="I2198" s="359">
        <f>-H2198*('DRE + DCF'!$V$33+K2198)/'DRE + DCF'!$V$33</f>
        <v>-90858.801614444121</v>
      </c>
      <c r="J2198" s="359">
        <f>-'DRE + DCF'!$V$56*L2198</f>
        <v>-1188924.4255577971</v>
      </c>
      <c r="K2198" s="360">
        <f>(1+L2198)/(1+Ke!$O$12)-1</f>
        <v>2.0000000000000018E-2</v>
      </c>
      <c r="L2198" s="360">
        <f>'DRE + DCF'!$Y$31</f>
        <v>7.3550000000000004E-2</v>
      </c>
      <c r="M2198" s="361">
        <f>(1+D2198)^((5-Dashboard!$F$9)*3/12)</f>
        <v>1.2122313575876056</v>
      </c>
      <c r="N2198" s="361">
        <f t="shared" ref="N2198:V2198" si="2255">M2198*(1+$D2198)</f>
        <v>1.5668696412498391</v>
      </c>
      <c r="O2198" s="361">
        <f t="shared" si="2255"/>
        <v>2.0252573547974531</v>
      </c>
      <c r="P2198" s="361">
        <f t="shared" si="2255"/>
        <v>2.6177463939434134</v>
      </c>
      <c r="Q2198" s="361">
        <f t="shared" si="2255"/>
        <v>3.3835681014915142</v>
      </c>
      <c r="R2198" s="361">
        <f t="shared" si="2255"/>
        <v>4.373430949582799</v>
      </c>
      <c r="S2198" s="361">
        <f t="shared" si="2255"/>
        <v>5.6528781738831722</v>
      </c>
      <c r="T2198" s="361">
        <f t="shared" si="2255"/>
        <v>7.3066276836525983</v>
      </c>
      <c r="U2198" s="361">
        <f t="shared" si="2255"/>
        <v>9.4441816125050408</v>
      </c>
      <c r="V2198" s="362">
        <f t="shared" si="2255"/>
        <v>12.20707694324323</v>
      </c>
      <c r="X2198" s="351"/>
    </row>
    <row r="2199" spans="3:24" ht="24.75" customHeight="1" x14ac:dyDescent="0.3">
      <c r="C2199" s="353">
        <f>ABS(E2199-Dashboard!$F$14)</f>
        <v>41.186752809615598</v>
      </c>
      <c r="D2199" s="350">
        <f t="shared" si="2247"/>
        <v>0.29264999999998303</v>
      </c>
      <c r="E2199" s="359" cm="1">
        <f t="array" ref="E2199">1000*SUM('DRE + DCF'!$L$36/M2199,'DRE + DCF'!$N$36:$V$36/N2199:V2199,F2199/V2199)/Dashboard!$F$11</f>
        <v>55.803247190384397</v>
      </c>
      <c r="F2199" s="359">
        <f t="shared" si="2245"/>
        <v>9022874.5665461347</v>
      </c>
      <c r="G2199" s="359">
        <f>'DRE + DCF'!$W$31</f>
        <v>2791623.3540418856</v>
      </c>
      <c r="H2199" s="359">
        <f>'DRE + DCF'!$W$32</f>
        <v>81081.931703745853</v>
      </c>
      <c r="I2199" s="359">
        <f>-H2199*('DRE + DCF'!$V$33+K2199)/'DRE + DCF'!$V$33</f>
        <v>-90858.801614444121</v>
      </c>
      <c r="J2199" s="359">
        <f>-'DRE + DCF'!$V$56*L2199</f>
        <v>-1188924.4255577971</v>
      </c>
      <c r="K2199" s="360">
        <f>(1+L2199)/(1+Ke!$O$12)-1</f>
        <v>2.0000000000000018E-2</v>
      </c>
      <c r="L2199" s="360">
        <f>'DRE + DCF'!$Y$31</f>
        <v>7.3550000000000004E-2</v>
      </c>
      <c r="M2199" s="361">
        <f>(1+D2199)^((5-Dashboard!$F$9)*3/12)</f>
        <v>1.2123016964314441</v>
      </c>
      <c r="N2199" s="361">
        <f t="shared" ref="N2199:V2199" si="2256">M2199*(1+$D2199)</f>
        <v>1.5670817878920857</v>
      </c>
      <c r="O2199" s="361">
        <f t="shared" si="2256"/>
        <v>2.0256882731186781</v>
      </c>
      <c r="P2199" s="361">
        <f t="shared" si="2256"/>
        <v>2.6185059462468248</v>
      </c>
      <c r="Q2199" s="361">
        <f t="shared" si="2256"/>
        <v>3.3848117114159133</v>
      </c>
      <c r="R2199" s="361">
        <f t="shared" si="2256"/>
        <v>4.3753768587617223</v>
      </c>
      <c r="S2199" s="361">
        <f t="shared" si="2256"/>
        <v>5.6558308964782658</v>
      </c>
      <c r="T2199" s="361">
        <f t="shared" si="2256"/>
        <v>7.3110098083325337</v>
      </c>
      <c r="U2199" s="361">
        <f t="shared" si="2256"/>
        <v>9.4505768287409246</v>
      </c>
      <c r="V2199" s="362">
        <f t="shared" si="2256"/>
        <v>12.216288137671796</v>
      </c>
      <c r="X2199" s="351"/>
    </row>
    <row r="2200" spans="3:24" ht="24.75" customHeight="1" x14ac:dyDescent="0.3">
      <c r="C2200" s="353">
        <f>ABS(E2200-Dashboard!$F$14)</f>
        <v>41.216445744316125</v>
      </c>
      <c r="D2200" s="350">
        <f t="shared" si="2247"/>
        <v>0.29274999999998302</v>
      </c>
      <c r="E2200" s="359" cm="1">
        <f t="array" ref="E2200">1000*SUM('DRE + DCF'!$L$36/M2200,'DRE + DCF'!$N$36:$V$36/N2200:V2200,F2200/V2200)/Dashboard!$F$11</f>
        <v>55.773554255683869</v>
      </c>
      <c r="F2200" s="359">
        <f t="shared" si="2245"/>
        <v>9019345.1669079345</v>
      </c>
      <c r="G2200" s="359">
        <f>'DRE + DCF'!$W$31</f>
        <v>2791623.3540418856</v>
      </c>
      <c r="H2200" s="359">
        <f>'DRE + DCF'!$W$32</f>
        <v>81081.931703745853</v>
      </c>
      <c r="I2200" s="359">
        <f>-H2200*('DRE + DCF'!$V$33+K2200)/'DRE + DCF'!$V$33</f>
        <v>-90858.801614444121</v>
      </c>
      <c r="J2200" s="359">
        <f>-'DRE + DCF'!$V$56*L2200</f>
        <v>-1188924.4255577971</v>
      </c>
      <c r="K2200" s="360">
        <f>(1+L2200)/(1+Ke!$O$12)-1</f>
        <v>2.0000000000000018E-2</v>
      </c>
      <c r="L2200" s="360">
        <f>'DRE + DCF'!$Y$31</f>
        <v>7.3550000000000004E-2</v>
      </c>
      <c r="M2200" s="361">
        <f>(1+D2200)^((5-Dashboard!$F$9)*3/12)</f>
        <v>1.2123720339149342</v>
      </c>
      <c r="N2200" s="361">
        <f t="shared" ref="N2200:V2200" si="2257">M2200*(1+$D2200)</f>
        <v>1.5672939468435105</v>
      </c>
      <c r="O2200" s="361">
        <f t="shared" si="2257"/>
        <v>2.0261192497819214</v>
      </c>
      <c r="P2200" s="361">
        <f t="shared" si="2257"/>
        <v>2.6192656601555444</v>
      </c>
      <c r="Q2200" s="361">
        <f t="shared" si="2257"/>
        <v>3.3860556821660355</v>
      </c>
      <c r="R2200" s="361">
        <f t="shared" si="2257"/>
        <v>4.3773234831200849</v>
      </c>
      <c r="S2200" s="361">
        <f t="shared" si="2257"/>
        <v>5.6587849328034148</v>
      </c>
      <c r="T2200" s="361">
        <f t="shared" si="2257"/>
        <v>7.315394221881518</v>
      </c>
      <c r="U2200" s="361">
        <f t="shared" si="2257"/>
        <v>9.4569758803372075</v>
      </c>
      <c r="V2200" s="362">
        <f t="shared" si="2257"/>
        <v>12.225505569305763</v>
      </c>
      <c r="X2200" s="351"/>
    </row>
    <row r="2201" spans="3:24" ht="24.75" customHeight="1" x14ac:dyDescent="0.3">
      <c r="C2201" s="353">
        <f>ABS(E2201-Dashboard!$F$14)</f>
        <v>41.24611059834529</v>
      </c>
      <c r="D2201" s="350">
        <f t="shared" si="2247"/>
        <v>0.29284999999998301</v>
      </c>
      <c r="E2201" s="359" cm="1">
        <f t="array" ref="E2201">1000*SUM('DRE + DCF'!$L$36/M2201,'DRE + DCF'!$N$36:$V$36/N2201:V2201,F2201/V2201)/Dashboard!$F$11</f>
        <v>55.743889401654705</v>
      </c>
      <c r="F2201" s="359">
        <f t="shared" si="2245"/>
        <v>9015818.5854365863</v>
      </c>
      <c r="G2201" s="359">
        <f>'DRE + DCF'!$W$31</f>
        <v>2791623.3540418856</v>
      </c>
      <c r="H2201" s="359">
        <f>'DRE + DCF'!$W$32</f>
        <v>81081.931703745853</v>
      </c>
      <c r="I2201" s="359">
        <f>-H2201*('DRE + DCF'!$V$33+K2201)/'DRE + DCF'!$V$33</f>
        <v>-90858.801614444121</v>
      </c>
      <c r="J2201" s="359">
        <f>-'DRE + DCF'!$V$56*L2201</f>
        <v>-1188924.4255577971</v>
      </c>
      <c r="K2201" s="360">
        <f>(1+L2201)/(1+Ke!$O$12)-1</f>
        <v>2.0000000000000018E-2</v>
      </c>
      <c r="L2201" s="360">
        <f>'DRE + DCF'!$Y$31</f>
        <v>7.3550000000000004E-2</v>
      </c>
      <c r="M2201" s="361">
        <f>(1+D2201)^((5-Dashboard!$F$9)*3/12)</f>
        <v>1.2124423700382079</v>
      </c>
      <c r="N2201" s="361">
        <f t="shared" ref="N2201:V2201" si="2258">M2201*(1+$D2201)</f>
        <v>1.5675061181038763</v>
      </c>
      <c r="O2201" s="361">
        <f t="shared" si="2258"/>
        <v>2.0265502847905696</v>
      </c>
      <c r="P2201" s="361">
        <f t="shared" si="2258"/>
        <v>2.6200255356914535</v>
      </c>
      <c r="Q2201" s="361">
        <f t="shared" si="2258"/>
        <v>3.3873000138186509</v>
      </c>
      <c r="R2201" s="361">
        <f t="shared" si="2258"/>
        <v>4.3792708228653847</v>
      </c>
      <c r="S2201" s="361">
        <f t="shared" si="2258"/>
        <v>5.6617402833414383</v>
      </c>
      <c r="T2201" s="361">
        <f t="shared" si="2258"/>
        <v>7.3197809253178816</v>
      </c>
      <c r="U2201" s="361">
        <f t="shared" si="2258"/>
        <v>9.4633787692970976</v>
      </c>
      <c r="V2201" s="362">
        <f t="shared" si="2258"/>
        <v>12.234729241885592</v>
      </c>
      <c r="X2201" s="351"/>
    </row>
    <row r="2202" spans="3:24" ht="24.75" customHeight="1" x14ac:dyDescent="0.3">
      <c r="C2202" s="353">
        <f>ABS(E2202-Dashboard!$F$14)</f>
        <v>41.275747408661736</v>
      </c>
      <c r="D2202" s="350">
        <f t="shared" si="2247"/>
        <v>0.292949999999983</v>
      </c>
      <c r="E2202" s="359" cm="1">
        <f t="array" ref="E2202">1000*SUM('DRE + DCF'!$L$36/M2202,'DRE + DCF'!$N$36:$V$36/N2202:V2202,F2202/V2202)/Dashboard!$F$11</f>
        <v>55.714252591338258</v>
      </c>
      <c r="F2202" s="359">
        <f t="shared" si="2245"/>
        <v>9012294.8186886981</v>
      </c>
      <c r="G2202" s="359">
        <f>'DRE + DCF'!$W$31</f>
        <v>2791623.3540418856</v>
      </c>
      <c r="H2202" s="359">
        <f>'DRE + DCF'!$W$32</f>
        <v>81081.931703745853</v>
      </c>
      <c r="I2202" s="359">
        <f>-H2202*('DRE + DCF'!$V$33+K2202)/'DRE + DCF'!$V$33</f>
        <v>-90858.801614444121</v>
      </c>
      <c r="J2202" s="359">
        <f>-'DRE + DCF'!$V$56*L2202</f>
        <v>-1188924.4255577971</v>
      </c>
      <c r="K2202" s="360">
        <f>(1+L2202)/(1+Ke!$O$12)-1</f>
        <v>2.0000000000000018E-2</v>
      </c>
      <c r="L2202" s="360">
        <f>'DRE + DCF'!$Y$31</f>
        <v>7.3550000000000004E-2</v>
      </c>
      <c r="M2202" s="361">
        <f>(1+D2202)^((5-Dashboard!$F$9)*3/12)</f>
        <v>1.2125127048013964</v>
      </c>
      <c r="N2202" s="361">
        <f t="shared" ref="N2202:V2202" si="2259">M2202*(1+$D2202)</f>
        <v>1.5677183016729448</v>
      </c>
      <c r="O2202" s="361">
        <f t="shared" si="2259"/>
        <v>2.0269813781480073</v>
      </c>
      <c r="P2202" s="361">
        <f t="shared" si="2259"/>
        <v>2.6207855728764313</v>
      </c>
      <c r="Q2202" s="361">
        <f t="shared" si="2259"/>
        <v>3.3885447064505372</v>
      </c>
      <c r="R2202" s="361">
        <f t="shared" si="2259"/>
        <v>4.3812188782051642</v>
      </c>
      <c r="S2202" s="361">
        <f t="shared" si="2259"/>
        <v>5.6646969485752923</v>
      </c>
      <c r="T2202" s="361">
        <f t="shared" si="2259"/>
        <v>7.3241699196603278</v>
      </c>
      <c r="U2202" s="361">
        <f t="shared" si="2259"/>
        <v>9.4697854976246951</v>
      </c>
      <c r="V2202" s="362">
        <f t="shared" si="2259"/>
        <v>12.243959159153688</v>
      </c>
      <c r="X2202" s="351"/>
    </row>
    <row r="2203" spans="3:24" ht="24.75" customHeight="1" x14ac:dyDescent="0.3">
      <c r="C2203" s="353">
        <f>ABS(E2203-Dashboard!$F$14)</f>
        <v>41.30535621216174</v>
      </c>
      <c r="D2203" s="350">
        <f t="shared" si="2247"/>
        <v>0.29304999999998299</v>
      </c>
      <c r="E2203" s="359" cm="1">
        <f t="array" ref="E2203">1000*SUM('DRE + DCF'!$L$36/M2203,'DRE + DCF'!$N$36:$V$36/N2203:V2203,F2203/V2203)/Dashboard!$F$11</f>
        <v>55.684643787838255</v>
      </c>
      <c r="F2203" s="359">
        <f t="shared" si="2245"/>
        <v>9008773.8632265981</v>
      </c>
      <c r="G2203" s="359">
        <f>'DRE + DCF'!$W$31</f>
        <v>2791623.3540418856</v>
      </c>
      <c r="H2203" s="359">
        <f>'DRE + DCF'!$W$32</f>
        <v>81081.931703745853</v>
      </c>
      <c r="I2203" s="359">
        <f>-H2203*('DRE + DCF'!$V$33+K2203)/'DRE + DCF'!$V$33</f>
        <v>-90858.801614444121</v>
      </c>
      <c r="J2203" s="359">
        <f>-'DRE + DCF'!$V$56*L2203</f>
        <v>-1188924.4255577971</v>
      </c>
      <c r="K2203" s="360">
        <f>(1+L2203)/(1+Ke!$O$12)-1</f>
        <v>2.0000000000000018E-2</v>
      </c>
      <c r="L2203" s="360">
        <f>'DRE + DCF'!$Y$31</f>
        <v>7.3550000000000004E-2</v>
      </c>
      <c r="M2203" s="361">
        <f>(1+D2203)^((5-Dashboard!$F$9)*3/12)</f>
        <v>1.212583038204631</v>
      </c>
      <c r="N2203" s="361">
        <f t="shared" ref="N2203:V2203" si="2260">M2203*(1+$D2203)</f>
        <v>1.5679304975504773</v>
      </c>
      <c r="O2203" s="361">
        <f t="shared" si="2260"/>
        <v>2.0274125298576178</v>
      </c>
      <c r="P2203" s="361">
        <f t="shared" si="2260"/>
        <v>2.6215457717323583</v>
      </c>
      <c r="Q2203" s="361">
        <f t="shared" si="2260"/>
        <v>3.389789760138481</v>
      </c>
      <c r="R2203" s="361">
        <f t="shared" si="2260"/>
        <v>4.3831676493470049</v>
      </c>
      <c r="S2203" s="361">
        <f t="shared" si="2260"/>
        <v>5.6676549289880702</v>
      </c>
      <c r="T2203" s="361">
        <f t="shared" si="2260"/>
        <v>7.3285612059279277</v>
      </c>
      <c r="U2203" s="361">
        <f t="shared" si="2260"/>
        <v>9.476196067324981</v>
      </c>
      <c r="V2203" s="362">
        <f t="shared" si="2260"/>
        <v>12.253195324854405</v>
      </c>
      <c r="X2203" s="351"/>
    </row>
    <row r="2204" spans="3:24" ht="24.75" customHeight="1" x14ac:dyDescent="0.3">
      <c r="C2204" s="353">
        <f>ABS(E2204-Dashboard!$F$14)</f>
        <v>41.334937045679276</v>
      </c>
      <c r="D2204" s="350">
        <f t="shared" si="2247"/>
        <v>0.29314999999998298</v>
      </c>
      <c r="E2204" s="359" cm="1">
        <f t="array" ref="E2204">1000*SUM('DRE + DCF'!$L$36/M2204,'DRE + DCF'!$N$36:$V$36/N2204:V2204,F2204/V2204)/Dashboard!$F$11</f>
        <v>55.655062954320719</v>
      </c>
      <c r="F2204" s="359">
        <f t="shared" si="2245"/>
        <v>9005255.7156183124</v>
      </c>
      <c r="G2204" s="359">
        <f>'DRE + DCF'!$W$31</f>
        <v>2791623.3540418856</v>
      </c>
      <c r="H2204" s="359">
        <f>'DRE + DCF'!$W$32</f>
        <v>81081.931703745853</v>
      </c>
      <c r="I2204" s="359">
        <f>-H2204*('DRE + DCF'!$V$33+K2204)/'DRE + DCF'!$V$33</f>
        <v>-90858.801614444121</v>
      </c>
      <c r="J2204" s="359">
        <f>-'DRE + DCF'!$V$56*L2204</f>
        <v>-1188924.4255577971</v>
      </c>
      <c r="K2204" s="360">
        <f>(1+L2204)/(1+Ke!$O$12)-1</f>
        <v>2.0000000000000018E-2</v>
      </c>
      <c r="L2204" s="360">
        <f>'DRE + DCF'!$Y$31</f>
        <v>7.3550000000000004E-2</v>
      </c>
      <c r="M2204" s="361">
        <f>(1+D2204)^((5-Dashboard!$F$9)*3/12)</f>
        <v>1.2126533702480435</v>
      </c>
      <c r="N2204" s="361">
        <f t="shared" ref="N2204:V2204" si="2261">M2204*(1+$D2204)</f>
        <v>1.5681427057362367</v>
      </c>
      <c r="O2204" s="361">
        <f t="shared" si="2261"/>
        <v>2.0278437399227878</v>
      </c>
      <c r="P2204" s="361">
        <f t="shared" si="2261"/>
        <v>2.6223061322811185</v>
      </c>
      <c r="Q2204" s="361">
        <f t="shared" si="2261"/>
        <v>3.3910351749592835</v>
      </c>
      <c r="R2204" s="361">
        <f t="shared" si="2261"/>
        <v>4.3851171364985397</v>
      </c>
      <c r="S2204" s="361">
        <f t="shared" si="2261"/>
        <v>5.6706142250630114</v>
      </c>
      <c r="T2204" s="361">
        <f t="shared" si="2261"/>
        <v>7.332954785140136</v>
      </c>
      <c r="U2204" s="361">
        <f t="shared" si="2261"/>
        <v>9.4826104804038422</v>
      </c>
      <c r="V2204" s="362">
        <f t="shared" si="2261"/>
        <v>12.262437742734067</v>
      </c>
      <c r="X2204" s="351"/>
    </row>
    <row r="2205" spans="3:24" ht="24.75" customHeight="1" x14ac:dyDescent="0.3">
      <c r="C2205" s="353">
        <f>ABS(E2205-Dashboard!$F$14)</f>
        <v>41.364489945986165</v>
      </c>
      <c r="D2205" s="350">
        <f t="shared" si="2247"/>
        <v>0.29324999999998297</v>
      </c>
      <c r="E2205" s="359" cm="1">
        <f t="array" ref="E2205">1000*SUM('DRE + DCF'!$L$36/M2205,'DRE + DCF'!$N$36:$V$36/N2205:V2205,F2205/V2205)/Dashboard!$F$11</f>
        <v>55.62551005401383</v>
      </c>
      <c r="F2205" s="359">
        <f t="shared" si="2245"/>
        <v>9001740.3724375628</v>
      </c>
      <c r="G2205" s="359">
        <f>'DRE + DCF'!$W$31</f>
        <v>2791623.3540418856</v>
      </c>
      <c r="H2205" s="359">
        <f>'DRE + DCF'!$W$32</f>
        <v>81081.931703745853</v>
      </c>
      <c r="I2205" s="359">
        <f>-H2205*('DRE + DCF'!$V$33+K2205)/'DRE + DCF'!$V$33</f>
        <v>-90858.801614444121</v>
      </c>
      <c r="J2205" s="359">
        <f>-'DRE + DCF'!$V$56*L2205</f>
        <v>-1188924.4255577971</v>
      </c>
      <c r="K2205" s="360">
        <f>(1+L2205)/(1+Ke!$O$12)-1</f>
        <v>2.0000000000000018E-2</v>
      </c>
      <c r="L2205" s="360">
        <f>'DRE + DCF'!$Y$31</f>
        <v>7.3550000000000004E-2</v>
      </c>
      <c r="M2205" s="361">
        <f>(1+D2205)^((5-Dashboard!$F$9)*3/12)</f>
        <v>1.2127237009317655</v>
      </c>
      <c r="N2205" s="361">
        <f t="shared" ref="N2205:V2205" si="2262">M2205*(1+$D2205)</f>
        <v>1.568354926229985</v>
      </c>
      <c r="O2205" s="361">
        <f t="shared" si="2262"/>
        <v>2.0282750083469012</v>
      </c>
      <c r="P2205" s="361">
        <f t="shared" si="2262"/>
        <v>2.6230666545445955</v>
      </c>
      <c r="Q2205" s="361">
        <f t="shared" si="2262"/>
        <v>3.3922809509897536</v>
      </c>
      <c r="R2205" s="361">
        <f t="shared" si="2262"/>
        <v>4.3870673398674409</v>
      </c>
      <c r="S2205" s="361">
        <f t="shared" si="2262"/>
        <v>5.6735748372834927</v>
      </c>
      <c r="T2205" s="361">
        <f t="shared" si="2262"/>
        <v>7.3373506583167796</v>
      </c>
      <c r="U2205" s="361">
        <f t="shared" si="2262"/>
        <v>9.4890287388680505</v>
      </c>
      <c r="V2205" s="362">
        <f t="shared" si="2262"/>
        <v>12.271686416540945</v>
      </c>
      <c r="X2205" s="351"/>
    </row>
    <row r="2206" spans="3:24" ht="24.75" customHeight="1" x14ac:dyDescent="0.3">
      <c r="C2206" s="353">
        <f>ABS(E2206-Dashboard!$F$14)</f>
        <v>41.394014949792123</v>
      </c>
      <c r="D2206" s="350">
        <f t="shared" si="2247"/>
        <v>0.29334999999998296</v>
      </c>
      <c r="E2206" s="359" cm="1">
        <f t="array" ref="E2206">1000*SUM('DRE + DCF'!$L$36/M2206,'DRE + DCF'!$N$36:$V$36/N2206:V2206,F2206/V2206)/Dashboard!$F$11</f>
        <v>55.595985050207872</v>
      </c>
      <c r="F2206" s="359">
        <f t="shared" si="2245"/>
        <v>8998227.830263745</v>
      </c>
      <c r="G2206" s="359">
        <f>'DRE + DCF'!$W$31</f>
        <v>2791623.3540418856</v>
      </c>
      <c r="H2206" s="359">
        <f>'DRE + DCF'!$W$32</f>
        <v>81081.931703745853</v>
      </c>
      <c r="I2206" s="359">
        <f>-H2206*('DRE + DCF'!$V$33+K2206)/'DRE + DCF'!$V$33</f>
        <v>-90858.801614444121</v>
      </c>
      <c r="J2206" s="359">
        <f>-'DRE + DCF'!$V$56*L2206</f>
        <v>-1188924.4255577971</v>
      </c>
      <c r="K2206" s="360">
        <f>(1+L2206)/(1+Ke!$O$12)-1</f>
        <v>2.0000000000000018E-2</v>
      </c>
      <c r="L2206" s="360">
        <f>'DRE + DCF'!$Y$31</f>
        <v>7.3550000000000004E-2</v>
      </c>
      <c r="M2206" s="361">
        <f>(1+D2206)^((5-Dashboard!$F$9)*3/12)</f>
        <v>1.2127940302559279</v>
      </c>
      <c r="N2206" s="361">
        <f t="shared" ref="N2206:V2206" si="2263">M2206*(1+$D2206)</f>
        <v>1.5685671590314836</v>
      </c>
      <c r="O2206" s="361">
        <f t="shared" si="2263"/>
        <v>2.0287063351333425</v>
      </c>
      <c r="P2206" s="361">
        <f t="shared" si="2263"/>
        <v>2.623827338544674</v>
      </c>
      <c r="Q2206" s="361">
        <f t="shared" si="2263"/>
        <v>3.3935270883067092</v>
      </c>
      <c r="R2206" s="361">
        <f t="shared" si="2263"/>
        <v>4.389018259661424</v>
      </c>
      <c r="S2206" s="361">
        <f t="shared" si="2263"/>
        <v>5.6765367661330277</v>
      </c>
      <c r="T2206" s="361">
        <f t="shared" si="2263"/>
        <v>7.3417488264780539</v>
      </c>
      <c r="U2206" s="361">
        <f t="shared" si="2263"/>
        <v>9.4954508447252657</v>
      </c>
      <c r="V2206" s="362">
        <f t="shared" si="2263"/>
        <v>12.280941350025261</v>
      </c>
      <c r="X2206" s="351"/>
    </row>
    <row r="2207" spans="3:24" ht="24.75" customHeight="1" x14ac:dyDescent="0.3">
      <c r="C2207" s="353">
        <f>ABS(E2207-Dashboard!$F$14)</f>
        <v>41.423512093745046</v>
      </c>
      <c r="D2207" s="350">
        <f t="shared" si="2247"/>
        <v>0.29344999999998295</v>
      </c>
      <c r="E2207" s="359" cm="1">
        <f t="array" ref="E2207">1000*SUM('DRE + DCF'!$L$36/M2207,'DRE + DCF'!$N$36:$V$36/N2207:V2207,F2207/V2207)/Dashboard!$F$11</f>
        <v>55.566487906254949</v>
      </c>
      <c r="F2207" s="359">
        <f t="shared" si="2245"/>
        <v>8994718.0856819302</v>
      </c>
      <c r="G2207" s="359">
        <f>'DRE + DCF'!$W$31</f>
        <v>2791623.3540418856</v>
      </c>
      <c r="H2207" s="359">
        <f>'DRE + DCF'!$W$32</f>
        <v>81081.931703745853</v>
      </c>
      <c r="I2207" s="359">
        <f>-H2207*('DRE + DCF'!$V$33+K2207)/'DRE + DCF'!$V$33</f>
        <v>-90858.801614444121</v>
      </c>
      <c r="J2207" s="359">
        <f>-'DRE + DCF'!$V$56*L2207</f>
        <v>-1188924.4255577971</v>
      </c>
      <c r="K2207" s="360">
        <f>(1+L2207)/(1+Ke!$O$12)-1</f>
        <v>2.0000000000000018E-2</v>
      </c>
      <c r="L2207" s="360">
        <f>'DRE + DCF'!$Y$31</f>
        <v>7.3550000000000004E-2</v>
      </c>
      <c r="M2207" s="361">
        <f>(1+D2207)^((5-Dashboard!$F$9)*3/12)</f>
        <v>1.2128643582206624</v>
      </c>
      <c r="N2207" s="361">
        <f t="shared" ref="N2207:V2207" si="2264">M2207*(1+$D2207)</f>
        <v>1.568779404140495</v>
      </c>
      <c r="O2207" s="361">
        <f t="shared" si="2264"/>
        <v>2.0291377202854965</v>
      </c>
      <c r="P2207" s="361">
        <f t="shared" si="2264"/>
        <v>2.6245881843032408</v>
      </c>
      <c r="Q2207" s="361">
        <f t="shared" si="2264"/>
        <v>3.394773586986982</v>
      </c>
      <c r="R2207" s="361">
        <f t="shared" si="2264"/>
        <v>4.3909698960882535</v>
      </c>
      <c r="S2207" s="361">
        <f t="shared" si="2264"/>
        <v>5.6795000120952768</v>
      </c>
      <c r="T2207" s="361">
        <f t="shared" si="2264"/>
        <v>7.3461492906445383</v>
      </c>
      <c r="U2207" s="361">
        <f t="shared" si="2264"/>
        <v>9.5018767999840517</v>
      </c>
      <c r="V2207" s="362">
        <f t="shared" si="2264"/>
        <v>12.290202546939209</v>
      </c>
      <c r="X2207" s="351"/>
    </row>
    <row r="2208" spans="3:24" ht="24.75" customHeight="1" x14ac:dyDescent="0.3">
      <c r="C2208" s="353">
        <f>ABS(E2208-Dashboard!$F$14)</f>
        <v>41.452981414430973</v>
      </c>
      <c r="D2208" s="350">
        <f t="shared" si="2247"/>
        <v>0.29354999999998294</v>
      </c>
      <c r="E2208" s="359" cm="1">
        <f t="array" ref="E2208">1000*SUM('DRE + DCF'!$L$36/M2208,'DRE + DCF'!$N$36:$V$36/N2208:V2208,F2208/V2208)/Dashboard!$F$11</f>
        <v>55.537018585569022</v>
      </c>
      <c r="F2208" s="359">
        <f t="shared" si="2245"/>
        <v>8991211.1352828406</v>
      </c>
      <c r="G2208" s="359">
        <f>'DRE + DCF'!$W$31</f>
        <v>2791623.3540418856</v>
      </c>
      <c r="H2208" s="359">
        <f>'DRE + DCF'!$W$32</f>
        <v>81081.931703745853</v>
      </c>
      <c r="I2208" s="359">
        <f>-H2208*('DRE + DCF'!$V$33+K2208)/'DRE + DCF'!$V$33</f>
        <v>-90858.801614444121</v>
      </c>
      <c r="J2208" s="359">
        <f>-'DRE + DCF'!$V$56*L2208</f>
        <v>-1188924.4255577971</v>
      </c>
      <c r="K2208" s="360">
        <f>(1+L2208)/(1+Ke!$O$12)-1</f>
        <v>2.0000000000000018E-2</v>
      </c>
      <c r="L2208" s="360">
        <f>'DRE + DCF'!$Y$31</f>
        <v>7.3550000000000004E-2</v>
      </c>
      <c r="M2208" s="361">
        <f>(1+D2208)^((5-Dashboard!$F$9)*3/12)</f>
        <v>1.2129346848261005</v>
      </c>
      <c r="N2208" s="361">
        <f t="shared" ref="N2208:V2208" si="2265">M2208*(1+$D2208)</f>
        <v>1.5689916615567814</v>
      </c>
      <c r="O2208" s="361">
        <f t="shared" si="2265"/>
        <v>2.0295691638067477</v>
      </c>
      <c r="P2208" s="361">
        <f t="shared" si="2265"/>
        <v>2.6253491918421838</v>
      </c>
      <c r="Q2208" s="361">
        <f t="shared" si="2265"/>
        <v>3.396020447107412</v>
      </c>
      <c r="R2208" s="361">
        <f t="shared" si="2265"/>
        <v>4.3929222493557347</v>
      </c>
      <c r="S2208" s="361">
        <f t="shared" si="2265"/>
        <v>5.6824645756540351</v>
      </c>
      <c r="T2208" s="361">
        <f t="shared" si="2265"/>
        <v>7.3505520518371794</v>
      </c>
      <c r="U2208" s="361">
        <f t="shared" si="2265"/>
        <v>9.5083066066538571</v>
      </c>
      <c r="V2208" s="362">
        <f t="shared" si="2265"/>
        <v>12.299470011036934</v>
      </c>
      <c r="X2208" s="351"/>
    </row>
    <row r="2209" spans="3:24" ht="24.75" customHeight="1" x14ac:dyDescent="0.3">
      <c r="C2209" s="353">
        <f>ABS(E2209-Dashboard!$F$14)</f>
        <v>41.482422948374378</v>
      </c>
      <c r="D2209" s="350">
        <f t="shared" si="2247"/>
        <v>0.29364999999998292</v>
      </c>
      <c r="E2209" s="359" cm="1">
        <f t="array" ref="E2209">1000*SUM('DRE + DCF'!$L$36/M2209,'DRE + DCF'!$N$36:$V$36/N2209:V2209,F2209/V2209)/Dashboard!$F$11</f>
        <v>55.507577051625617</v>
      </c>
      <c r="F2209" s="359">
        <f t="shared" si="2245"/>
        <v>8987706.9756628405</v>
      </c>
      <c r="G2209" s="359">
        <f>'DRE + DCF'!$W$31</f>
        <v>2791623.3540418856</v>
      </c>
      <c r="H2209" s="359">
        <f>'DRE + DCF'!$W$32</f>
        <v>81081.931703745853</v>
      </c>
      <c r="I2209" s="359">
        <f>-H2209*('DRE + DCF'!$V$33+K2209)/'DRE + DCF'!$V$33</f>
        <v>-90858.801614444121</v>
      </c>
      <c r="J2209" s="359">
        <f>-'DRE + DCF'!$V$56*L2209</f>
        <v>-1188924.4255577971</v>
      </c>
      <c r="K2209" s="360">
        <f>(1+L2209)/(1+Ke!$O$12)-1</f>
        <v>2.0000000000000018E-2</v>
      </c>
      <c r="L2209" s="360">
        <f>'DRE + DCF'!$Y$31</f>
        <v>7.3550000000000004E-2</v>
      </c>
      <c r="M2209" s="361">
        <f>(1+D2209)^((5-Dashboard!$F$9)*3/12)</f>
        <v>1.2130050100723733</v>
      </c>
      <c r="N2209" s="361">
        <f t="shared" ref="N2209:V2209" si="2266">M2209*(1+$D2209)</f>
        <v>1.5692039312801049</v>
      </c>
      <c r="O2209" s="361">
        <f t="shared" si="2266"/>
        <v>2.0300006657004808</v>
      </c>
      <c r="P2209" s="361">
        <f t="shared" si="2266"/>
        <v>2.6261103611833922</v>
      </c>
      <c r="Q2209" s="361">
        <f t="shared" si="2266"/>
        <v>3.3972676687448504</v>
      </c>
      <c r="R2209" s="361">
        <f t="shared" si="2266"/>
        <v>4.3948753196717174</v>
      </c>
      <c r="S2209" s="361">
        <f t="shared" si="2266"/>
        <v>5.6854304572932417</v>
      </c>
      <c r="T2209" s="361">
        <f t="shared" si="2266"/>
        <v>7.3549571110773044</v>
      </c>
      <c r="U2209" s="361">
        <f t="shared" si="2266"/>
        <v>9.5147402667450294</v>
      </c>
      <c r="V2209" s="362">
        <f t="shared" si="2266"/>
        <v>12.308743746074544</v>
      </c>
      <c r="X2209" s="351"/>
    </row>
    <row r="2210" spans="3:24" ht="24.75" customHeight="1" x14ac:dyDescent="0.3">
      <c r="C2210" s="353">
        <f>ABS(E2210-Dashboard!$F$14)</f>
        <v>41.511836732038141</v>
      </c>
      <c r="D2210" s="350">
        <f t="shared" si="2247"/>
        <v>0.29374999999998291</v>
      </c>
      <c r="E2210" s="359" cm="1">
        <f t="array" ref="E2210">1000*SUM('DRE + DCF'!$L$36/M2210,'DRE + DCF'!$N$36:$V$36/N2210:V2210,F2210/V2210)/Dashboard!$F$11</f>
        <v>55.478163267961854</v>
      </c>
      <c r="F2210" s="359">
        <f t="shared" si="2245"/>
        <v>8984205.603423927</v>
      </c>
      <c r="G2210" s="359">
        <f>'DRE + DCF'!$W$31</f>
        <v>2791623.3540418856</v>
      </c>
      <c r="H2210" s="359">
        <f>'DRE + DCF'!$W$32</f>
        <v>81081.931703745853</v>
      </c>
      <c r="I2210" s="359">
        <f>-H2210*('DRE + DCF'!$V$33+K2210)/'DRE + DCF'!$V$33</f>
        <v>-90858.801614444121</v>
      </c>
      <c r="J2210" s="359">
        <f>-'DRE + DCF'!$V$56*L2210</f>
        <v>-1188924.4255577971</v>
      </c>
      <c r="K2210" s="360">
        <f>(1+L2210)/(1+Ke!$O$12)-1</f>
        <v>2.0000000000000018E-2</v>
      </c>
      <c r="L2210" s="360">
        <f>'DRE + DCF'!$Y$31</f>
        <v>7.3550000000000004E-2</v>
      </c>
      <c r="M2210" s="361">
        <f>(1+D2210)^((5-Dashboard!$F$9)*3/12)</f>
        <v>1.2130753339596123</v>
      </c>
      <c r="N2210" s="361">
        <f t="shared" ref="N2210:V2210" si="2267">M2210*(1+$D2210)</f>
        <v>1.5694162133102276</v>
      </c>
      <c r="O2210" s="361">
        <f t="shared" si="2267"/>
        <v>2.0304322259700802</v>
      </c>
      <c r="P2210" s="361">
        <f t="shared" si="2267"/>
        <v>2.6268716923487565</v>
      </c>
      <c r="Q2210" s="361">
        <f t="shared" si="2267"/>
        <v>3.3985152519761588</v>
      </c>
      <c r="R2210" s="361">
        <f t="shared" si="2267"/>
        <v>4.3968291072440975</v>
      </c>
      <c r="S2210" s="361">
        <f t="shared" si="2267"/>
        <v>5.6883976574969761</v>
      </c>
      <c r="T2210" s="361">
        <f t="shared" si="2267"/>
        <v>7.3593644693866151</v>
      </c>
      <c r="U2210" s="361">
        <f t="shared" si="2267"/>
        <v>9.5211777822688077</v>
      </c>
      <c r="V2210" s="362">
        <f t="shared" si="2267"/>
        <v>12.318023755810106</v>
      </c>
      <c r="X2210" s="351"/>
    </row>
    <row r="2211" spans="3:24" ht="24.75" customHeight="1" x14ac:dyDescent="0.3">
      <c r="C2211" s="353">
        <f>ABS(E2211-Dashboard!$F$14)</f>
        <v>41.541222801823722</v>
      </c>
      <c r="D2211" s="350">
        <f t="shared" si="2247"/>
        <v>0.2938499999999829</v>
      </c>
      <c r="E2211" s="359" cm="1">
        <f t="array" ref="E2211">1000*SUM('DRE + DCF'!$L$36/M2211,'DRE + DCF'!$N$36:$V$36/N2211:V2211,F2211/V2211)/Dashboard!$F$11</f>
        <v>55.448777198176273</v>
      </c>
      <c r="F2211" s="359">
        <f t="shared" si="2245"/>
        <v>8980707.0151737202</v>
      </c>
      <c r="G2211" s="359">
        <f>'DRE + DCF'!$W$31</f>
        <v>2791623.3540418856</v>
      </c>
      <c r="H2211" s="359">
        <f>'DRE + DCF'!$W$32</f>
        <v>81081.931703745853</v>
      </c>
      <c r="I2211" s="359">
        <f>-H2211*('DRE + DCF'!$V$33+K2211)/'DRE + DCF'!$V$33</f>
        <v>-90858.801614444121</v>
      </c>
      <c r="J2211" s="359">
        <f>-'DRE + DCF'!$V$56*L2211</f>
        <v>-1188924.4255577971</v>
      </c>
      <c r="K2211" s="360">
        <f>(1+L2211)/(1+Ke!$O$12)-1</f>
        <v>2.0000000000000018E-2</v>
      </c>
      <c r="L2211" s="360">
        <f>'DRE + DCF'!$Y$31</f>
        <v>7.3550000000000004E-2</v>
      </c>
      <c r="M2211" s="361">
        <f>(1+D2211)^((5-Dashboard!$F$9)*3/12)</f>
        <v>1.2131456564879486</v>
      </c>
      <c r="N2211" s="361">
        <f t="shared" ref="N2211:V2211" si="2268">M2211*(1+$D2211)</f>
        <v>1.5696285076469114</v>
      </c>
      <c r="O2211" s="361">
        <f t="shared" si="2268"/>
        <v>2.0308638446189295</v>
      </c>
      <c r="P2211" s="361">
        <f t="shared" si="2268"/>
        <v>2.6276331853601671</v>
      </c>
      <c r="Q2211" s="361">
        <f t="shared" si="2268"/>
        <v>3.3997631968782072</v>
      </c>
      <c r="R2211" s="361">
        <f t="shared" si="2268"/>
        <v>4.3987836122808099</v>
      </c>
      <c r="S2211" s="361">
        <f t="shared" si="2268"/>
        <v>5.6913661767494501</v>
      </c>
      <c r="T2211" s="361">
        <f t="shared" si="2268"/>
        <v>7.3637741277871784</v>
      </c>
      <c r="U2211" s="361">
        <f t="shared" si="2268"/>
        <v>9.5276191552373142</v>
      </c>
      <c r="V2211" s="362">
        <f t="shared" si="2268"/>
        <v>12.327310044003635</v>
      </c>
      <c r="X2211" s="351"/>
    </row>
    <row r="2212" spans="3:24" ht="24.75" customHeight="1" x14ac:dyDescent="0.3">
      <c r="C2212" s="353">
        <f>ABS(E2212-Dashboard!$F$14)</f>
        <v>41.570581194071437</v>
      </c>
      <c r="D2212" s="350">
        <f t="shared" si="2247"/>
        <v>0.29394999999998289</v>
      </c>
      <c r="E2212" s="359" cm="1">
        <f t="array" ref="E2212">1000*SUM('DRE + DCF'!$L$36/M2212,'DRE + DCF'!$N$36:$V$36/N2212:V2212,F2212/V2212)/Dashboard!$F$11</f>
        <v>55.419418805928558</v>
      </c>
      <c r="F2212" s="359">
        <f t="shared" si="2245"/>
        <v>8977211.2075254451</v>
      </c>
      <c r="G2212" s="359">
        <f>'DRE + DCF'!$W$31</f>
        <v>2791623.3540418856</v>
      </c>
      <c r="H2212" s="359">
        <f>'DRE + DCF'!$W$32</f>
        <v>81081.931703745853</v>
      </c>
      <c r="I2212" s="359">
        <f>-H2212*('DRE + DCF'!$V$33+K2212)/'DRE + DCF'!$V$33</f>
        <v>-90858.801614444121</v>
      </c>
      <c r="J2212" s="359">
        <f>-'DRE + DCF'!$V$56*L2212</f>
        <v>-1188924.4255577971</v>
      </c>
      <c r="K2212" s="360">
        <f>(1+L2212)/(1+Ke!$O$12)-1</f>
        <v>2.0000000000000018E-2</v>
      </c>
      <c r="L2212" s="360">
        <f>'DRE + DCF'!$Y$31</f>
        <v>7.3550000000000004E-2</v>
      </c>
      <c r="M2212" s="361">
        <f>(1+D2212)^((5-Dashboard!$F$9)*3/12)</f>
        <v>1.2132159776575138</v>
      </c>
      <c r="N2212" s="361">
        <f t="shared" ref="N2212:V2212" si="2269">M2212*(1+$D2212)</f>
        <v>1.5698408142899192</v>
      </c>
      <c r="O2212" s="361">
        <f t="shared" si="2269"/>
        <v>2.031295521650414</v>
      </c>
      <c r="P2212" s="361">
        <f t="shared" si="2269"/>
        <v>2.6283948402395185</v>
      </c>
      <c r="Q2212" s="361">
        <f t="shared" si="2269"/>
        <v>3.4010115035278798</v>
      </c>
      <c r="R2212" s="361">
        <f t="shared" si="2269"/>
        <v>4.4007388349898413</v>
      </c>
      <c r="S2212" s="361">
        <f t="shared" si="2269"/>
        <v>5.69433601553503</v>
      </c>
      <c r="T2212" s="361">
        <f t="shared" si="2269"/>
        <v>7.3681860873014546</v>
      </c>
      <c r="U2212" s="361">
        <f t="shared" si="2269"/>
        <v>9.5340643876635909</v>
      </c>
      <c r="V2212" s="362">
        <f t="shared" si="2269"/>
        <v>12.33660261441714</v>
      </c>
      <c r="X2212" s="351"/>
    </row>
    <row r="2213" spans="3:24" ht="24.75" customHeight="1" x14ac:dyDescent="0.3">
      <c r="C2213" s="353">
        <f>ABS(E2213-Dashboard!$F$14)</f>
        <v>41.599911945060306</v>
      </c>
      <c r="D2213" s="350">
        <f t="shared" si="2247"/>
        <v>0.29404999999998288</v>
      </c>
      <c r="E2213" s="359" cm="1">
        <f t="array" ref="E2213">1000*SUM('DRE + DCF'!$L$36/M2213,'DRE + DCF'!$N$36:$V$36/N2213:V2213,F2213/V2213)/Dashboard!$F$11</f>
        <v>55.390088054939689</v>
      </c>
      <c r="F2213" s="359">
        <f t="shared" si="2245"/>
        <v>8973718.1770979241</v>
      </c>
      <c r="G2213" s="359">
        <f>'DRE + DCF'!$W$31</f>
        <v>2791623.3540418856</v>
      </c>
      <c r="H2213" s="359">
        <f>'DRE + DCF'!$W$32</f>
        <v>81081.931703745853</v>
      </c>
      <c r="I2213" s="359">
        <f>-H2213*('DRE + DCF'!$V$33+K2213)/'DRE + DCF'!$V$33</f>
        <v>-90858.801614444121</v>
      </c>
      <c r="J2213" s="359">
        <f>-'DRE + DCF'!$V$56*L2213</f>
        <v>-1188924.4255577971</v>
      </c>
      <c r="K2213" s="360">
        <f>(1+L2213)/(1+Ke!$O$12)-1</f>
        <v>2.0000000000000018E-2</v>
      </c>
      <c r="L2213" s="360">
        <f>'DRE + DCF'!$Y$31</f>
        <v>7.3550000000000004E-2</v>
      </c>
      <c r="M2213" s="361">
        <f>(1+D2213)^((5-Dashboard!$F$9)*3/12)</f>
        <v>1.2132862974684389</v>
      </c>
      <c r="N2213" s="361">
        <f t="shared" ref="N2213:V2213" si="2270">M2213*(1+$D2213)</f>
        <v>1.5700531332390124</v>
      </c>
      <c r="O2213" s="361">
        <f t="shared" si="2270"/>
        <v>2.0317272570679172</v>
      </c>
      <c r="P2213" s="361">
        <f t="shared" si="2270"/>
        <v>2.6291566570087035</v>
      </c>
      <c r="Q2213" s="361">
        <f t="shared" si="2270"/>
        <v>3.4022601720020678</v>
      </c>
      <c r="R2213" s="361">
        <f t="shared" si="2270"/>
        <v>4.4026947755792172</v>
      </c>
      <c r="S2213" s="361">
        <f t="shared" si="2270"/>
        <v>5.69730717433821</v>
      </c>
      <c r="T2213" s="361">
        <f t="shared" si="2270"/>
        <v>7.3726003489522629</v>
      </c>
      <c r="U2213" s="361">
        <f t="shared" si="2270"/>
        <v>9.5405134815615487</v>
      </c>
      <c r="V2213" s="362">
        <f t="shared" si="2270"/>
        <v>12.345901470814558</v>
      </c>
      <c r="X2213" s="351"/>
    </row>
    <row r="2214" spans="3:24" ht="24.75" customHeight="1" x14ac:dyDescent="0.3">
      <c r="C2214" s="353">
        <f>ABS(E2214-Dashboard!$F$14)</f>
        <v>41.629215091008469</v>
      </c>
      <c r="D2214" s="350">
        <f t="shared" si="2247"/>
        <v>0.29414999999998287</v>
      </c>
      <c r="E2214" s="359" cm="1">
        <f t="array" ref="E2214">1000*SUM('DRE + DCF'!$L$36/M2214,'DRE + DCF'!$N$36:$V$36/N2214:V2214,F2214/V2214)/Dashboard!$F$11</f>
        <v>55.360784908991526</v>
      </c>
      <c r="F2214" s="359">
        <f t="shared" si="2245"/>
        <v>8970227.9205155596</v>
      </c>
      <c r="G2214" s="359">
        <f>'DRE + DCF'!$W$31</f>
        <v>2791623.3540418856</v>
      </c>
      <c r="H2214" s="359">
        <f>'DRE + DCF'!$W$32</f>
        <v>81081.931703745853</v>
      </c>
      <c r="I2214" s="359">
        <f>-H2214*('DRE + DCF'!$V$33+K2214)/'DRE + DCF'!$V$33</f>
        <v>-90858.801614444121</v>
      </c>
      <c r="J2214" s="359">
        <f>-'DRE + DCF'!$V$56*L2214</f>
        <v>-1188924.4255577971</v>
      </c>
      <c r="K2214" s="360">
        <f>(1+L2214)/(1+Ke!$O$12)-1</f>
        <v>2.0000000000000018E-2</v>
      </c>
      <c r="L2214" s="360">
        <f>'DRE + DCF'!$Y$31</f>
        <v>7.3550000000000004E-2</v>
      </c>
      <c r="M2214" s="361">
        <f>(1+D2214)^((5-Dashboard!$F$9)*3/12)</f>
        <v>1.2133566159208551</v>
      </c>
      <c r="N2214" s="361">
        <f t="shared" ref="N2214:V2214" si="2271">M2214*(1+$D2214)</f>
        <v>1.5702654644939538</v>
      </c>
      <c r="O2214" s="361">
        <f t="shared" si="2271"/>
        <v>2.0321590508748231</v>
      </c>
      <c r="P2214" s="361">
        <f t="shared" si="2271"/>
        <v>2.6299186356896174</v>
      </c>
      <c r="Q2214" s="361">
        <f t="shared" si="2271"/>
        <v>3.403509202377673</v>
      </c>
      <c r="R2214" s="361">
        <f t="shared" si="2271"/>
        <v>4.4046514342570067</v>
      </c>
      <c r="S2214" s="361">
        <f t="shared" si="2271"/>
        <v>5.7002796536436291</v>
      </c>
      <c r="T2214" s="361">
        <f t="shared" si="2271"/>
        <v>7.3770169137628043</v>
      </c>
      <c r="U2214" s="361">
        <f t="shared" si="2271"/>
        <v>9.5469664389460061</v>
      </c>
      <c r="V2214" s="362">
        <f t="shared" si="2271"/>
        <v>12.35520661696181</v>
      </c>
      <c r="X2214" s="351"/>
    </row>
    <row r="2215" spans="3:24" ht="24.75" customHeight="1" x14ac:dyDescent="0.3">
      <c r="C2215" s="353">
        <f>ABS(E2215-Dashboard!$F$14)</f>
        <v>41.6584906680731</v>
      </c>
      <c r="D2215" s="350">
        <f t="shared" si="2247"/>
        <v>0.29424999999998286</v>
      </c>
      <c r="E2215" s="359" cm="1">
        <f t="array" ref="E2215">1000*SUM('DRE + DCF'!$L$36/M2215,'DRE + DCF'!$N$36:$V$36/N2215:V2215,F2215/V2215)/Dashboard!$F$11</f>
        <v>55.331509331926895</v>
      </c>
      <c r="F2215" s="359">
        <f t="shared" si="2245"/>
        <v>8966740.4344083369</v>
      </c>
      <c r="G2215" s="359">
        <f>'DRE + DCF'!$W$31</f>
        <v>2791623.3540418856</v>
      </c>
      <c r="H2215" s="359">
        <f>'DRE + DCF'!$W$32</f>
        <v>81081.931703745853</v>
      </c>
      <c r="I2215" s="359">
        <f>-H2215*('DRE + DCF'!$V$33+K2215)/'DRE + DCF'!$V$33</f>
        <v>-90858.801614444121</v>
      </c>
      <c r="J2215" s="359">
        <f>-'DRE + DCF'!$V$56*L2215</f>
        <v>-1188924.4255577971</v>
      </c>
      <c r="K2215" s="360">
        <f>(1+L2215)/(1+Ke!$O$12)-1</f>
        <v>2.0000000000000018E-2</v>
      </c>
      <c r="L2215" s="360">
        <f>'DRE + DCF'!$Y$31</f>
        <v>7.3550000000000004E-2</v>
      </c>
      <c r="M2215" s="361">
        <f>(1+D2215)^((5-Dashboard!$F$9)*3/12)</f>
        <v>1.2134269330148937</v>
      </c>
      <c r="N2215" s="361">
        <f t="shared" ref="N2215:V2215" si="2272">M2215*(1+$D2215)</f>
        <v>1.5704778080545052</v>
      </c>
      <c r="O2215" s="361">
        <f t="shared" si="2272"/>
        <v>2.0325909030745164</v>
      </c>
      <c r="P2215" s="361">
        <f t="shared" si="2272"/>
        <v>2.6306807763041578</v>
      </c>
      <c r="Q2215" s="361">
        <f t="shared" si="2272"/>
        <v>3.4047585947316108</v>
      </c>
      <c r="R2215" s="361">
        <f t="shared" si="2272"/>
        <v>4.4066088112313286</v>
      </c>
      <c r="S2215" s="361">
        <f t="shared" si="2272"/>
        <v>5.7032534539360711</v>
      </c>
      <c r="T2215" s="361">
        <f t="shared" si="2272"/>
        <v>7.3814357827566619</v>
      </c>
      <c r="U2215" s="361">
        <f t="shared" si="2272"/>
        <v>9.5534232618326822</v>
      </c>
      <c r="V2215" s="362">
        <f t="shared" si="2272"/>
        <v>12.364518056626785</v>
      </c>
      <c r="X2215" s="351"/>
    </row>
    <row r="2216" spans="3:24" ht="24.75" customHeight="1" x14ac:dyDescent="0.3">
      <c r="C2216" s="353">
        <f>ABS(E2216-Dashboard!$F$14)</f>
        <v>41.687738712350658</v>
      </c>
      <c r="D2216" s="350">
        <f t="shared" si="2247"/>
        <v>0.29434999999998285</v>
      </c>
      <c r="E2216" s="359" cm="1">
        <f t="array" ref="E2216">1000*SUM('DRE + DCF'!$L$36/M2216,'DRE + DCF'!$N$36:$V$36/N2216:V2216,F2216/V2216)/Dashboard!$F$11</f>
        <v>55.302261287649337</v>
      </c>
      <c r="F2216" s="359">
        <f t="shared" si="2245"/>
        <v>8963255.7154117934</v>
      </c>
      <c r="G2216" s="359">
        <f>'DRE + DCF'!$W$31</f>
        <v>2791623.3540418856</v>
      </c>
      <c r="H2216" s="359">
        <f>'DRE + DCF'!$W$32</f>
        <v>81081.931703745853</v>
      </c>
      <c r="I2216" s="359">
        <f>-H2216*('DRE + DCF'!$V$33+K2216)/'DRE + DCF'!$V$33</f>
        <v>-90858.801614444121</v>
      </c>
      <c r="J2216" s="359">
        <f>-'DRE + DCF'!$V$56*L2216</f>
        <v>-1188924.4255577971</v>
      </c>
      <c r="K2216" s="360">
        <f>(1+L2216)/(1+Ke!$O$12)-1</f>
        <v>2.0000000000000018E-2</v>
      </c>
      <c r="L2216" s="360">
        <f>'DRE + DCF'!$Y$31</f>
        <v>7.3550000000000004E-2</v>
      </c>
      <c r="M2216" s="361">
        <f>(1+D2216)^((5-Dashboard!$F$9)*3/12)</f>
        <v>1.2134972487506861</v>
      </c>
      <c r="N2216" s="361">
        <f t="shared" ref="N2216:V2216" si="2273">M2216*(1+$D2216)</f>
        <v>1.5706901639204296</v>
      </c>
      <c r="O2216" s="361">
        <f t="shared" si="2273"/>
        <v>2.0330228136703812</v>
      </c>
      <c r="P2216" s="361">
        <f t="shared" si="2273"/>
        <v>2.6314430788742227</v>
      </c>
      <c r="Q2216" s="361">
        <f t="shared" si="2273"/>
        <v>3.4060083491408046</v>
      </c>
      <c r="R2216" s="361">
        <f t="shared" si="2273"/>
        <v>4.4085669067103419</v>
      </c>
      <c r="S2216" s="361">
        <f t="shared" si="2273"/>
        <v>5.7062285757004556</v>
      </c>
      <c r="T2216" s="361">
        <f t="shared" si="2273"/>
        <v>7.3858569569577863</v>
      </c>
      <c r="U2216" s="361">
        <f t="shared" si="2273"/>
        <v>9.5598839522381844</v>
      </c>
      <c r="V2216" s="362">
        <f t="shared" si="2273"/>
        <v>12.37383579357933</v>
      </c>
      <c r="X2216" s="351"/>
    </row>
    <row r="2217" spans="3:24" ht="24.75" customHeight="1" x14ac:dyDescent="0.3">
      <c r="C2217" s="353">
        <f>ABS(E2217-Dashboard!$F$14)</f>
        <v>41.716959259876901</v>
      </c>
      <c r="D2217" s="350">
        <f t="shared" si="2247"/>
        <v>0.29444999999998284</v>
      </c>
      <c r="E2217" s="359" cm="1">
        <f t="array" ref="E2217">1000*SUM('DRE + DCF'!$L$36/M2217,'DRE + DCF'!$N$36:$V$36/N2217:V2217,F2217/V2217)/Dashboard!$F$11</f>
        <v>55.273040740123093</v>
      </c>
      <c r="F2217" s="359">
        <f t="shared" si="2245"/>
        <v>8959773.7601670176</v>
      </c>
      <c r="G2217" s="359">
        <f>'DRE + DCF'!$W$31</f>
        <v>2791623.3540418856</v>
      </c>
      <c r="H2217" s="359">
        <f>'DRE + DCF'!$W$32</f>
        <v>81081.931703745853</v>
      </c>
      <c r="I2217" s="359">
        <f>-H2217*('DRE + DCF'!$V$33+K2217)/'DRE + DCF'!$V$33</f>
        <v>-90858.801614444121</v>
      </c>
      <c r="J2217" s="359">
        <f>-'DRE + DCF'!$V$56*L2217</f>
        <v>-1188924.4255577971</v>
      </c>
      <c r="K2217" s="360">
        <f>(1+L2217)/(1+Ke!$O$12)-1</f>
        <v>2.0000000000000018E-2</v>
      </c>
      <c r="L2217" s="360">
        <f>'DRE + DCF'!$Y$31</f>
        <v>7.3550000000000004E-2</v>
      </c>
      <c r="M2217" s="361">
        <f>(1+D2217)^((5-Dashboard!$F$9)*3/12)</f>
        <v>1.2135675631283631</v>
      </c>
      <c r="N2217" s="361">
        <f t="shared" ref="N2217:V2217" si="2274">M2217*(1+$D2217)</f>
        <v>1.5709025320914887</v>
      </c>
      <c r="O2217" s="361">
        <f t="shared" si="2274"/>
        <v>2.0334547826658005</v>
      </c>
      <c r="P2217" s="361">
        <f t="shared" si="2274"/>
        <v>2.6322055434217106</v>
      </c>
      <c r="Q2217" s="361">
        <f t="shared" si="2274"/>
        <v>3.407258465682188</v>
      </c>
      <c r="R2217" s="361">
        <f t="shared" si="2274"/>
        <v>4.4105257209022497</v>
      </c>
      <c r="S2217" s="361">
        <f t="shared" si="2274"/>
        <v>5.7092050194218409</v>
      </c>
      <c r="T2217" s="361">
        <f t="shared" si="2274"/>
        <v>7.390280437390504</v>
      </c>
      <c r="U2217" s="361">
        <f t="shared" si="2274"/>
        <v>9.56634851218001</v>
      </c>
      <c r="V2217" s="362">
        <f t="shared" si="2274"/>
        <v>12.38315983159125</v>
      </c>
      <c r="X2217" s="351"/>
    </row>
    <row r="2218" spans="3:24" ht="24.75" customHeight="1" x14ac:dyDescent="0.3">
      <c r="C2218" s="353">
        <f>ABS(E2218-Dashboard!$F$14)</f>
        <v>41.746152346627156</v>
      </c>
      <c r="D2218" s="350">
        <f t="shared" si="2247"/>
        <v>0.29454999999998283</v>
      </c>
      <c r="E2218" s="359" cm="1">
        <f t="array" ref="E2218">1000*SUM('DRE + DCF'!$L$36/M2218,'DRE + DCF'!$N$36:$V$36/N2218:V2218,F2218/V2218)/Dashboard!$F$11</f>
        <v>55.243847653372839</v>
      </c>
      <c r="F2218" s="359">
        <f t="shared" si="2245"/>
        <v>8956294.5653206389</v>
      </c>
      <c r="G2218" s="359">
        <f>'DRE + DCF'!$W$31</f>
        <v>2791623.3540418856</v>
      </c>
      <c r="H2218" s="359">
        <f>'DRE + DCF'!$W$32</f>
        <v>81081.931703745853</v>
      </c>
      <c r="I2218" s="359">
        <f>-H2218*('DRE + DCF'!$V$33+K2218)/'DRE + DCF'!$V$33</f>
        <v>-90858.801614444121</v>
      </c>
      <c r="J2218" s="359">
        <f>-'DRE + DCF'!$V$56*L2218</f>
        <v>-1188924.4255577971</v>
      </c>
      <c r="K2218" s="360">
        <f>(1+L2218)/(1+Ke!$O$12)-1</f>
        <v>2.0000000000000018E-2</v>
      </c>
      <c r="L2218" s="360">
        <f>'DRE + DCF'!$Y$31</f>
        <v>7.3550000000000004E-2</v>
      </c>
      <c r="M2218" s="361">
        <f>(1+D2218)^((5-Dashboard!$F$9)*3/12)</f>
        <v>1.2136378761480562</v>
      </c>
      <c r="N2218" s="361">
        <f t="shared" ref="N2218:V2218" si="2275">M2218*(1+$D2218)</f>
        <v>1.5711149125674453</v>
      </c>
      <c r="O2218" s="361">
        <f t="shared" si="2275"/>
        <v>2.0338868100641592</v>
      </c>
      <c r="P2218" s="361">
        <f t="shared" si="2275"/>
        <v>2.6329681699685223</v>
      </c>
      <c r="Q2218" s="361">
        <f t="shared" si="2275"/>
        <v>3.4085089444327052</v>
      </c>
      <c r="R2218" s="361">
        <f t="shared" si="2275"/>
        <v>4.4124852540152997</v>
      </c>
      <c r="S2218" s="361">
        <f t="shared" si="2275"/>
        <v>5.7121827855854299</v>
      </c>
      <c r="T2218" s="361">
        <f t="shared" si="2275"/>
        <v>7.3947062250795197</v>
      </c>
      <c r="U2218" s="361">
        <f t="shared" si="2275"/>
        <v>9.572816943676564</v>
      </c>
      <c r="V2218" s="362">
        <f t="shared" si="2275"/>
        <v>12.392490174436331</v>
      </c>
      <c r="X2218" s="351"/>
    </row>
    <row r="2219" spans="3:24" ht="24.75" customHeight="1" x14ac:dyDescent="0.3">
      <c r="C2219" s="353">
        <f>ABS(E2219-Dashboard!$F$14)</f>
        <v>41.775318008516322</v>
      </c>
      <c r="D2219" s="350">
        <f t="shared" si="2247"/>
        <v>0.29464999999998281</v>
      </c>
      <c r="E2219" s="359" cm="1">
        <f t="array" ref="E2219">1000*SUM('DRE + DCF'!$L$36/M2219,'DRE + DCF'!$N$36:$V$36/N2219:V2219,F2219/V2219)/Dashboard!$F$11</f>
        <v>55.214681991483673</v>
      </c>
      <c r="F2219" s="359">
        <f t="shared" si="2245"/>
        <v>8952818.1275248118</v>
      </c>
      <c r="G2219" s="359">
        <f>'DRE + DCF'!$W$31</f>
        <v>2791623.3540418856</v>
      </c>
      <c r="H2219" s="359">
        <f>'DRE + DCF'!$W$32</f>
        <v>81081.931703745853</v>
      </c>
      <c r="I2219" s="359">
        <f>-H2219*('DRE + DCF'!$V$33+K2219)/'DRE + DCF'!$V$33</f>
        <v>-90858.801614444121</v>
      </c>
      <c r="J2219" s="359">
        <f>-'DRE + DCF'!$V$56*L2219</f>
        <v>-1188924.4255577971</v>
      </c>
      <c r="K2219" s="360">
        <f>(1+L2219)/(1+Ke!$O$12)-1</f>
        <v>2.0000000000000018E-2</v>
      </c>
      <c r="L2219" s="360">
        <f>'DRE + DCF'!$Y$31</f>
        <v>7.3550000000000004E-2</v>
      </c>
      <c r="M2219" s="361">
        <f>(1+D2219)^((5-Dashboard!$F$9)*3/12)</f>
        <v>1.2137081878098963</v>
      </c>
      <c r="N2219" s="361">
        <f t="shared" ref="N2219:V2219" si="2276">M2219*(1+$D2219)</f>
        <v>1.5713273053480614</v>
      </c>
      <c r="O2219" s="361">
        <f t="shared" si="2276"/>
        <v>2.0343188958688407</v>
      </c>
      <c r="P2219" s="361">
        <f t="shared" si="2276"/>
        <v>2.6337309585365598</v>
      </c>
      <c r="Q2219" s="361">
        <f t="shared" si="2276"/>
        <v>3.4097597854693116</v>
      </c>
      <c r="R2219" s="361">
        <f t="shared" si="2276"/>
        <v>4.4144455062577856</v>
      </c>
      <c r="S2219" s="361">
        <f t="shared" si="2276"/>
        <v>5.715161874676566</v>
      </c>
      <c r="T2219" s="361">
        <f t="shared" si="2276"/>
        <v>7.3991343210499174</v>
      </c>
      <c r="U2219" s="361">
        <f t="shared" si="2276"/>
        <v>9.5792892487471484</v>
      </c>
      <c r="V2219" s="362">
        <f t="shared" si="2276"/>
        <v>12.40182682589033</v>
      </c>
      <c r="X2219" s="351"/>
    </row>
    <row r="2220" spans="3:24" ht="24.75" customHeight="1" x14ac:dyDescent="0.3">
      <c r="C2220" s="353">
        <f>ABS(E2220-Dashboard!$F$14)</f>
        <v>41.804456281399005</v>
      </c>
      <c r="D2220" s="350">
        <f t="shared" si="2247"/>
        <v>0.2947499999999828</v>
      </c>
      <c r="E2220" s="359" cm="1">
        <f t="array" ref="E2220">1000*SUM('DRE + DCF'!$L$36/M2220,'DRE + DCF'!$N$36:$V$36/N2220:V2220,F2220/V2220)/Dashboard!$F$11</f>
        <v>55.185543718600989</v>
      </c>
      <c r="F2220" s="359">
        <f t="shared" si="2245"/>
        <v>8949344.4434372056</v>
      </c>
      <c r="G2220" s="359">
        <f>'DRE + DCF'!$W$31</f>
        <v>2791623.3540418856</v>
      </c>
      <c r="H2220" s="359">
        <f>'DRE + DCF'!$W$32</f>
        <v>81081.931703745853</v>
      </c>
      <c r="I2220" s="359">
        <f>-H2220*('DRE + DCF'!$V$33+K2220)/'DRE + DCF'!$V$33</f>
        <v>-90858.801614444121</v>
      </c>
      <c r="J2220" s="359">
        <f>-'DRE + DCF'!$V$56*L2220</f>
        <v>-1188924.4255577971</v>
      </c>
      <c r="K2220" s="360">
        <f>(1+L2220)/(1+Ke!$O$12)-1</f>
        <v>2.0000000000000018E-2</v>
      </c>
      <c r="L2220" s="360">
        <f>'DRE + DCF'!$Y$31</f>
        <v>7.3550000000000004E-2</v>
      </c>
      <c r="M2220" s="361">
        <f>(1+D2220)^((5-Dashboard!$F$9)*3/12)</f>
        <v>1.2137784981140145</v>
      </c>
      <c r="N2220" s="361">
        <f t="shared" ref="N2220:V2220" si="2277">M2220*(1+$D2220)</f>
        <v>1.5715397104330993</v>
      </c>
      <c r="O2220" s="361">
        <f t="shared" si="2277"/>
        <v>2.0347510400832283</v>
      </c>
      <c r="P2220" s="361">
        <f t="shared" si="2277"/>
        <v>2.6344939091477246</v>
      </c>
      <c r="Q2220" s="361">
        <f t="shared" si="2277"/>
        <v>3.4110109888689708</v>
      </c>
      <c r="R2220" s="361">
        <f t="shared" si="2277"/>
        <v>4.4164064778380414</v>
      </c>
      <c r="S2220" s="361">
        <f t="shared" si="2277"/>
        <v>5.7181422871807284</v>
      </c>
      <c r="T2220" s="361">
        <f t="shared" si="2277"/>
        <v>7.4035647263271498</v>
      </c>
      <c r="U2220" s="361">
        <f t="shared" si="2277"/>
        <v>9.5857654294119499</v>
      </c>
      <c r="V2220" s="362">
        <f t="shared" si="2277"/>
        <v>12.411169789730957</v>
      </c>
      <c r="X2220" s="351"/>
    </row>
    <row r="2221" spans="3:24" ht="24.75" customHeight="1" x14ac:dyDescent="0.3">
      <c r="C2221" s="353">
        <f>ABS(E2221-Dashboard!$F$14)</f>
        <v>41.833567201069783</v>
      </c>
      <c r="D2221" s="350">
        <f t="shared" si="2247"/>
        <v>0.29484999999998279</v>
      </c>
      <c r="E2221" s="359" cm="1">
        <f t="array" ref="E2221">1000*SUM('DRE + DCF'!$L$36/M2221,'DRE + DCF'!$N$36:$V$36/N2221:V2221,F2221/V2221)/Dashboard!$F$11</f>
        <v>55.156432798930211</v>
      </c>
      <c r="F2221" s="359">
        <f t="shared" si="2245"/>
        <v>8945873.5097209886</v>
      </c>
      <c r="G2221" s="359">
        <f>'DRE + DCF'!$W$31</f>
        <v>2791623.3540418856</v>
      </c>
      <c r="H2221" s="359">
        <f>'DRE + DCF'!$W$32</f>
        <v>81081.931703745853</v>
      </c>
      <c r="I2221" s="359">
        <f>-H2221*('DRE + DCF'!$V$33+K2221)/'DRE + DCF'!$V$33</f>
        <v>-90858.801614444121</v>
      </c>
      <c r="J2221" s="359">
        <f>-'DRE + DCF'!$V$56*L2221</f>
        <v>-1188924.4255577971</v>
      </c>
      <c r="K2221" s="360">
        <f>(1+L2221)/(1+Ke!$O$12)-1</f>
        <v>2.0000000000000018E-2</v>
      </c>
      <c r="L2221" s="360">
        <f>'DRE + DCF'!$Y$31</f>
        <v>7.3550000000000004E-2</v>
      </c>
      <c r="M2221" s="361">
        <f>(1+D2221)^((5-Dashboard!$F$9)*3/12)</f>
        <v>1.2138488070605422</v>
      </c>
      <c r="N2221" s="361">
        <f t="shared" ref="N2221:V2221" si="2278">M2221*(1+$D2221)</f>
        <v>1.5717521278223221</v>
      </c>
      <c r="O2221" s="361">
        <f t="shared" si="2278"/>
        <v>2.0351832427107066</v>
      </c>
      <c r="P2221" s="361">
        <f t="shared" si="2278"/>
        <v>2.6352570218239233</v>
      </c>
      <c r="Q2221" s="361">
        <f t="shared" si="2278"/>
        <v>3.4122625547086618</v>
      </c>
      <c r="R2221" s="361">
        <f t="shared" si="2278"/>
        <v>4.4183681689644514</v>
      </c>
      <c r="S2221" s="361">
        <f t="shared" si="2278"/>
        <v>5.7211240235835437</v>
      </c>
      <c r="T2221" s="361">
        <f t="shared" si="2278"/>
        <v>7.4079974419370531</v>
      </c>
      <c r="U2221" s="361">
        <f t="shared" si="2278"/>
        <v>9.5922454876920646</v>
      </c>
      <c r="V2221" s="362">
        <f t="shared" si="2278"/>
        <v>12.420519069737905</v>
      </c>
      <c r="X2221" s="351"/>
    </row>
    <row r="2222" spans="3:24" ht="24.75" customHeight="1" x14ac:dyDescent="0.3">
      <c r="C2222" s="353">
        <f>ABS(E2222-Dashboard!$F$14)</f>
        <v>41.862650803263094</v>
      </c>
      <c r="D2222" s="350">
        <f t="shared" si="2247"/>
        <v>0.29494999999998278</v>
      </c>
      <c r="E2222" s="359" cm="1">
        <f t="array" ref="E2222">1000*SUM('DRE + DCF'!$L$36/M2222,'DRE + DCF'!$N$36:$V$36/N2222:V2222,F2222/V2222)/Dashboard!$F$11</f>
        <v>55.127349196736901</v>
      </c>
      <c r="F2222" s="359">
        <f t="shared" si="2245"/>
        <v>8942405.3230448272</v>
      </c>
      <c r="G2222" s="359">
        <f>'DRE + DCF'!$W$31</f>
        <v>2791623.3540418856</v>
      </c>
      <c r="H2222" s="359">
        <f>'DRE + DCF'!$W$32</f>
        <v>81081.931703745853</v>
      </c>
      <c r="I2222" s="359">
        <f>-H2222*('DRE + DCF'!$V$33+K2222)/'DRE + DCF'!$V$33</f>
        <v>-90858.801614444121</v>
      </c>
      <c r="J2222" s="359">
        <f>-'DRE + DCF'!$V$56*L2222</f>
        <v>-1188924.4255577971</v>
      </c>
      <c r="K2222" s="360">
        <f>(1+L2222)/(1+Ke!$O$12)-1</f>
        <v>2.0000000000000018E-2</v>
      </c>
      <c r="L2222" s="360">
        <f>'DRE + DCF'!$Y$31</f>
        <v>7.3550000000000004E-2</v>
      </c>
      <c r="M2222" s="361">
        <f>(1+D2222)^((5-Dashboard!$F$9)*3/12)</f>
        <v>1.21391911464961</v>
      </c>
      <c r="N2222" s="361">
        <f t="shared" ref="N2222:V2222" si="2279">M2222*(1+$D2222)</f>
        <v>1.5719645575154915</v>
      </c>
      <c r="O2222" s="361">
        <f t="shared" si="2279"/>
        <v>2.0356155037546584</v>
      </c>
      <c r="P2222" s="361">
        <f t="shared" si="2279"/>
        <v>2.6360202965870596</v>
      </c>
      <c r="Q2222" s="361">
        <f t="shared" si="2279"/>
        <v>3.4135144830653674</v>
      </c>
      <c r="R2222" s="361">
        <f t="shared" si="2279"/>
        <v>4.4203305798454382</v>
      </c>
      <c r="S2222" s="361">
        <f t="shared" si="2279"/>
        <v>5.7241070843707735</v>
      </c>
      <c r="T2222" s="361">
        <f t="shared" si="2279"/>
        <v>7.4124324689058341</v>
      </c>
      <c r="U2222" s="361">
        <f t="shared" si="2279"/>
        <v>9.5987294256094824</v>
      </c>
      <c r="V2222" s="362">
        <f t="shared" si="2279"/>
        <v>12.429874669692833</v>
      </c>
      <c r="X2222" s="351"/>
    </row>
    <row r="2223" spans="3:24" ht="24.75" customHeight="1" x14ac:dyDescent="0.3">
      <c r="C2223" s="353">
        <f>ABS(E2223-Dashboard!$F$14)</f>
        <v>41.89170712365361</v>
      </c>
      <c r="D2223" s="350">
        <f t="shared" si="2247"/>
        <v>0.29504999999998277</v>
      </c>
      <c r="E2223" s="359" cm="1">
        <f t="array" ref="E2223">1000*SUM('DRE + DCF'!$L$36/M2223,'DRE + DCF'!$N$36:$V$36/N2223:V2223,F2223/V2223)/Dashboard!$F$11</f>
        <v>55.098292876346385</v>
      </c>
      <c r="F2223" s="359">
        <f t="shared" si="2245"/>
        <v>8938939.8800828625</v>
      </c>
      <c r="G2223" s="359">
        <f>'DRE + DCF'!$W$31</f>
        <v>2791623.3540418856</v>
      </c>
      <c r="H2223" s="359">
        <f>'DRE + DCF'!$W$32</f>
        <v>81081.931703745853</v>
      </c>
      <c r="I2223" s="359">
        <f>-H2223*('DRE + DCF'!$V$33+K2223)/'DRE + DCF'!$V$33</f>
        <v>-90858.801614444121</v>
      </c>
      <c r="J2223" s="359">
        <f>-'DRE + DCF'!$V$56*L2223</f>
        <v>-1188924.4255577971</v>
      </c>
      <c r="K2223" s="360">
        <f>(1+L2223)/(1+Ke!$O$12)-1</f>
        <v>2.0000000000000018E-2</v>
      </c>
      <c r="L2223" s="360">
        <f>'DRE + DCF'!$Y$31</f>
        <v>7.3550000000000004E-2</v>
      </c>
      <c r="M2223" s="361">
        <f>(1+D2223)^((5-Dashboard!$F$9)*3/12)</f>
        <v>1.2139894208813491</v>
      </c>
      <c r="N2223" s="361">
        <f t="shared" ref="N2223:V2223" si="2280">M2223*(1+$D2223)</f>
        <v>1.5721769995123702</v>
      </c>
      <c r="O2223" s="361">
        <f t="shared" si="2280"/>
        <v>2.036047823218468</v>
      </c>
      <c r="P2223" s="361">
        <f t="shared" si="2280"/>
        <v>2.6367837334590418</v>
      </c>
      <c r="Q2223" s="361">
        <f t="shared" si="2280"/>
        <v>3.4147667740160865</v>
      </c>
      <c r="R2223" s="361">
        <f t="shared" si="2280"/>
        <v>4.4222937106894742</v>
      </c>
      <c r="S2223" s="361">
        <f t="shared" si="2280"/>
        <v>5.7270914700283271</v>
      </c>
      <c r="T2223" s="361">
        <f t="shared" si="2280"/>
        <v>7.4168698082600857</v>
      </c>
      <c r="U2223" s="361">
        <f t="shared" si="2280"/>
        <v>9.6052172451870952</v>
      </c>
      <c r="V2223" s="362">
        <f t="shared" si="2280"/>
        <v>12.439236593379382</v>
      </c>
      <c r="X2223" s="351"/>
    </row>
    <row r="2224" spans="3:24" ht="24.75" customHeight="1" x14ac:dyDescent="0.3">
      <c r="C2224" s="353">
        <f>ABS(E2224-Dashboard!$F$14)</f>
        <v>41.920736197856137</v>
      </c>
      <c r="D2224" s="350">
        <f t="shared" si="2247"/>
        <v>0.29514999999998276</v>
      </c>
      <c r="E2224" s="359" cm="1">
        <f t="array" ref="E2224">1000*SUM('DRE + DCF'!$L$36/M2224,'DRE + DCF'!$N$36:$V$36/N2224:V2224,F2224/V2224)/Dashboard!$F$11</f>
        <v>55.069263802143858</v>
      </c>
      <c r="F2224" s="359">
        <f t="shared" si="2245"/>
        <v>8935477.1775147077</v>
      </c>
      <c r="G2224" s="359">
        <f>'DRE + DCF'!$W$31</f>
        <v>2791623.3540418856</v>
      </c>
      <c r="H2224" s="359">
        <f>'DRE + DCF'!$W$32</f>
        <v>81081.931703745853</v>
      </c>
      <c r="I2224" s="359">
        <f>-H2224*('DRE + DCF'!$V$33+K2224)/'DRE + DCF'!$V$33</f>
        <v>-90858.801614444121</v>
      </c>
      <c r="J2224" s="359">
        <f>-'DRE + DCF'!$V$56*L2224</f>
        <v>-1188924.4255577971</v>
      </c>
      <c r="K2224" s="360">
        <f>(1+L2224)/(1+Ke!$O$12)-1</f>
        <v>2.0000000000000018E-2</v>
      </c>
      <c r="L2224" s="360">
        <f>'DRE + DCF'!$Y$31</f>
        <v>7.3550000000000004E-2</v>
      </c>
      <c r="M2224" s="361">
        <f>(1+D2224)^((5-Dashboard!$F$9)*3/12)</f>
        <v>1.2140597257558905</v>
      </c>
      <c r="N2224" s="361">
        <f t="shared" ref="N2224:V2224" si="2281">M2224*(1+$D2224)</f>
        <v>1.5723894538127206</v>
      </c>
      <c r="O2224" s="361">
        <f t="shared" si="2281"/>
        <v>2.0364802011055176</v>
      </c>
      <c r="P2224" s="361">
        <f t="shared" si="2281"/>
        <v>2.637547332461776</v>
      </c>
      <c r="Q2224" s="361">
        <f t="shared" si="2281"/>
        <v>3.4160194276378237</v>
      </c>
      <c r="R2224" s="361">
        <f t="shared" si="2281"/>
        <v>4.4242575617050681</v>
      </c>
      <c r="S2224" s="361">
        <f t="shared" si="2281"/>
        <v>5.7300771810422422</v>
      </c>
      <c r="T2224" s="361">
        <f t="shared" si="2281"/>
        <v>7.4213094610267607</v>
      </c>
      <c r="U2224" s="361">
        <f t="shared" si="2281"/>
        <v>9.6117089484486815</v>
      </c>
      <c r="V2224" s="362">
        <f t="shared" si="2281"/>
        <v>12.448604844583144</v>
      </c>
      <c r="X2224" s="351"/>
    </row>
    <row r="2225" spans="3:24" ht="24.75" customHeight="1" x14ac:dyDescent="0.3">
      <c r="C2225" s="353">
        <f>ABS(E2225-Dashboard!$F$14)</f>
        <v>41.949738061425926</v>
      </c>
      <c r="D2225" s="350">
        <f t="shared" si="2247"/>
        <v>0.29524999999998275</v>
      </c>
      <c r="E2225" s="359" cm="1">
        <f t="array" ref="E2225">1000*SUM('DRE + DCF'!$L$36/M2225,'DRE + DCF'!$N$36:$V$36/N2225:V2225,F2225/V2225)/Dashboard!$F$11</f>
        <v>55.040261938574069</v>
      </c>
      <c r="F2225" s="359">
        <f t="shared" si="2245"/>
        <v>8932017.2120254301</v>
      </c>
      <c r="G2225" s="359">
        <f>'DRE + DCF'!$W$31</f>
        <v>2791623.3540418856</v>
      </c>
      <c r="H2225" s="359">
        <f>'DRE + DCF'!$W$32</f>
        <v>81081.931703745853</v>
      </c>
      <c r="I2225" s="359">
        <f>-H2225*('DRE + DCF'!$V$33+K2225)/'DRE + DCF'!$V$33</f>
        <v>-90858.801614444121</v>
      </c>
      <c r="J2225" s="359">
        <f>-'DRE + DCF'!$V$56*L2225</f>
        <v>-1188924.4255577971</v>
      </c>
      <c r="K2225" s="360">
        <f>(1+L2225)/(1+Ke!$O$12)-1</f>
        <v>2.0000000000000018E-2</v>
      </c>
      <c r="L2225" s="360">
        <f>'DRE + DCF'!$Y$31</f>
        <v>7.3550000000000004E-2</v>
      </c>
      <c r="M2225" s="361">
        <f>(1+D2225)^((5-Dashboard!$F$9)*3/12)</f>
        <v>1.2141300292733654</v>
      </c>
      <c r="N2225" s="361">
        <f t="shared" ref="N2225:V2225" si="2282">M2225*(1+$D2225)</f>
        <v>1.5726019204163055</v>
      </c>
      <c r="O2225" s="361">
        <f t="shared" si="2282"/>
        <v>2.0369126374191926</v>
      </c>
      <c r="P2225" s="361">
        <f t="shared" si="2282"/>
        <v>2.6383110936171739</v>
      </c>
      <c r="Q2225" s="361">
        <f t="shared" si="2282"/>
        <v>3.4172724440075988</v>
      </c>
      <c r="R2225" s="361">
        <f t="shared" si="2282"/>
        <v>4.4262221331007829</v>
      </c>
      <c r="S2225" s="361">
        <f t="shared" si="2282"/>
        <v>5.7330642178987121</v>
      </c>
      <c r="T2225" s="361">
        <f t="shared" si="2282"/>
        <v>7.425751428233208</v>
      </c>
      <c r="U2225" s="361">
        <f t="shared" si="2282"/>
        <v>9.6182045374189347</v>
      </c>
      <c r="V2225" s="362">
        <f t="shared" si="2282"/>
        <v>12.457979427091709</v>
      </c>
      <c r="X2225" s="351"/>
    </row>
    <row r="2226" spans="3:24" ht="24.75" customHeight="1" x14ac:dyDescent="0.3">
      <c r="C2226" s="353">
        <f>ABS(E2226-Dashboard!$F$14)</f>
        <v>41.97871274985863</v>
      </c>
      <c r="D2226" s="350">
        <f t="shared" si="2247"/>
        <v>0.29534999999998274</v>
      </c>
      <c r="E2226" s="359" cm="1">
        <f t="array" ref="E2226">1000*SUM('DRE + DCF'!$L$36/M2226,'DRE + DCF'!$N$36:$V$36/N2226:V2226,F2226/V2226)/Dashboard!$F$11</f>
        <v>55.011287250141365</v>
      </c>
      <c r="F2226" s="359">
        <f t="shared" si="2245"/>
        <v>8928559.9803055469</v>
      </c>
      <c r="G2226" s="359">
        <f>'DRE + DCF'!$W$31</f>
        <v>2791623.3540418856</v>
      </c>
      <c r="H2226" s="359">
        <f>'DRE + DCF'!$W$32</f>
        <v>81081.931703745853</v>
      </c>
      <c r="I2226" s="359">
        <f>-H2226*('DRE + DCF'!$V$33+K2226)/'DRE + DCF'!$V$33</f>
        <v>-90858.801614444121</v>
      </c>
      <c r="J2226" s="359">
        <f>-'DRE + DCF'!$V$56*L2226</f>
        <v>-1188924.4255577971</v>
      </c>
      <c r="K2226" s="360">
        <f>(1+L2226)/(1+Ke!$O$12)-1</f>
        <v>2.0000000000000018E-2</v>
      </c>
      <c r="L2226" s="360">
        <f>'DRE + DCF'!$Y$31</f>
        <v>7.3550000000000004E-2</v>
      </c>
      <c r="M2226" s="361">
        <f>(1+D2226)^((5-Dashboard!$F$9)*3/12)</f>
        <v>1.2142003314339045</v>
      </c>
      <c r="N2226" s="361">
        <f t="shared" ref="N2226:V2226" si="2283">M2226*(1+$D2226)</f>
        <v>1.5728143993228871</v>
      </c>
      <c r="O2226" s="361">
        <f t="shared" si="2283"/>
        <v>2.0373451321628746</v>
      </c>
      <c r="P2226" s="361">
        <f t="shared" si="2283"/>
        <v>2.6390750169471442</v>
      </c>
      <c r="Q2226" s="361">
        <f t="shared" si="2283"/>
        <v>3.4185258232024376</v>
      </c>
      <c r="R2226" s="361">
        <f t="shared" si="2283"/>
        <v>4.428187425085218</v>
      </c>
      <c r="S2226" s="361">
        <f t="shared" si="2283"/>
        <v>5.7360525810840608</v>
      </c>
      <c r="T2226" s="361">
        <f t="shared" si="2283"/>
        <v>7.4301957109071388</v>
      </c>
      <c r="U2226" s="361">
        <f t="shared" si="2283"/>
        <v>9.6247040141234343</v>
      </c>
      <c r="V2226" s="362">
        <f t="shared" si="2283"/>
        <v>12.467360344694624</v>
      </c>
      <c r="X2226" s="351"/>
    </row>
    <row r="2227" spans="3:24" ht="24.75" customHeight="1" x14ac:dyDescent="0.3">
      <c r="C2227" s="353">
        <f>ABS(E2227-Dashboard!$F$14)</f>
        <v>42.007660298590601</v>
      </c>
      <c r="D2227" s="350">
        <f t="shared" si="2247"/>
        <v>0.29544999999998273</v>
      </c>
      <c r="E2227" s="359" cm="1">
        <f t="array" ref="E2227">1000*SUM('DRE + DCF'!$L$36/M2227,'DRE + DCF'!$N$36:$V$36/N2227:V2227,F2227/V2227)/Dashboard!$F$11</f>
        <v>54.982339701409394</v>
      </c>
      <c r="F2227" s="359">
        <f t="shared" si="2245"/>
        <v>8925105.479051007</v>
      </c>
      <c r="G2227" s="359">
        <f>'DRE + DCF'!$W$31</f>
        <v>2791623.3540418856</v>
      </c>
      <c r="H2227" s="359">
        <f>'DRE + DCF'!$W$32</f>
        <v>81081.931703745853</v>
      </c>
      <c r="I2227" s="359">
        <f>-H2227*('DRE + DCF'!$V$33+K2227)/'DRE + DCF'!$V$33</f>
        <v>-90858.801614444121</v>
      </c>
      <c r="J2227" s="359">
        <f>-'DRE + DCF'!$V$56*L2227</f>
        <v>-1188924.4255577971</v>
      </c>
      <c r="K2227" s="360">
        <f>(1+L2227)/(1+Ke!$O$12)-1</f>
        <v>2.0000000000000018E-2</v>
      </c>
      <c r="L2227" s="360">
        <f>'DRE + DCF'!$Y$31</f>
        <v>7.3550000000000004E-2</v>
      </c>
      <c r="M2227" s="361">
        <f>(1+D2227)^((5-Dashboard!$F$9)*3/12)</f>
        <v>1.2142706322376389</v>
      </c>
      <c r="N2227" s="361">
        <f t="shared" ref="N2227:V2227" si="2284">M2227*(1+$D2227)</f>
        <v>1.5730268905322282</v>
      </c>
      <c r="O2227" s="361">
        <f t="shared" si="2284"/>
        <v>2.0377776853399476</v>
      </c>
      <c r="P2227" s="361">
        <f t="shared" si="2284"/>
        <v>2.6398391024735997</v>
      </c>
      <c r="Q2227" s="361">
        <f t="shared" si="2284"/>
        <v>3.419779565299379</v>
      </c>
      <c r="R2227" s="361">
        <f t="shared" si="2284"/>
        <v>4.4301534378670215</v>
      </c>
      <c r="S2227" s="361">
        <f t="shared" si="2284"/>
        <v>5.739042271084756</v>
      </c>
      <c r="T2227" s="361">
        <f t="shared" si="2284"/>
        <v>7.4346423100766472</v>
      </c>
      <c r="U2227" s="361">
        <f t="shared" si="2284"/>
        <v>9.6312073805886644</v>
      </c>
      <c r="V2227" s="362">
        <f t="shared" si="2284"/>
        <v>12.476747601183419</v>
      </c>
      <c r="X2227" s="351"/>
    </row>
    <row r="2228" spans="3:24" ht="24.75" customHeight="1" x14ac:dyDescent="0.3">
      <c r="C2228" s="353">
        <f>ABS(E2228-Dashboard!$F$14)</f>
        <v>42.036580742998829</v>
      </c>
      <c r="D2228" s="350">
        <f t="shared" si="2247"/>
        <v>0.29554999999998272</v>
      </c>
      <c r="E2228" s="359" cm="1">
        <f t="array" ref="E2228">1000*SUM('DRE + DCF'!$L$36/M2228,'DRE + DCF'!$N$36:$V$36/N2228:V2228,F2228/V2228)/Dashboard!$F$11</f>
        <v>54.953419257001165</v>
      </c>
      <c r="F2228" s="359">
        <f t="shared" si="2245"/>
        <v>8921653.7049631812</v>
      </c>
      <c r="G2228" s="359">
        <f>'DRE + DCF'!$W$31</f>
        <v>2791623.3540418856</v>
      </c>
      <c r="H2228" s="359">
        <f>'DRE + DCF'!$W$32</f>
        <v>81081.931703745853</v>
      </c>
      <c r="I2228" s="359">
        <f>-H2228*('DRE + DCF'!$V$33+K2228)/'DRE + DCF'!$V$33</f>
        <v>-90858.801614444121</v>
      </c>
      <c r="J2228" s="359">
        <f>-'DRE + DCF'!$V$56*L2228</f>
        <v>-1188924.4255577971</v>
      </c>
      <c r="K2228" s="360">
        <f>(1+L2228)/(1+Ke!$O$12)-1</f>
        <v>2.0000000000000018E-2</v>
      </c>
      <c r="L2228" s="360">
        <f>'DRE + DCF'!$Y$31</f>
        <v>7.3550000000000004E-2</v>
      </c>
      <c r="M2228" s="361">
        <f>(1+D2228)^((5-Dashboard!$F$9)*3/12)</f>
        <v>1.2143409316846994</v>
      </c>
      <c r="N2228" s="361">
        <f t="shared" ref="N2228:V2228" si="2285">M2228*(1+$D2228)</f>
        <v>1.5732393940440912</v>
      </c>
      <c r="O2228" s="361">
        <f t="shared" si="2285"/>
        <v>2.0382102969537952</v>
      </c>
      <c r="P2228" s="361">
        <f t="shared" si="2285"/>
        <v>2.6406033502184538</v>
      </c>
      <c r="Q2228" s="361">
        <f t="shared" si="2285"/>
        <v>3.421033670375472</v>
      </c>
      <c r="R2228" s="361">
        <f t="shared" si="2285"/>
        <v>4.4321201716548835</v>
      </c>
      <c r="S2228" s="361">
        <f t="shared" si="2285"/>
        <v>5.7420332883874075</v>
      </c>
      <c r="T2228" s="361">
        <f t="shared" si="2285"/>
        <v>7.4390912267702065</v>
      </c>
      <c r="U2228" s="361">
        <f t="shared" si="2285"/>
        <v>9.6377146388420112</v>
      </c>
      <c r="V2228" s="362">
        <f t="shared" si="2285"/>
        <v>12.4861412003516</v>
      </c>
      <c r="X2228" s="351"/>
    </row>
    <row r="2229" spans="3:24" ht="24.75" customHeight="1" x14ac:dyDescent="0.3">
      <c r="C2229" s="353">
        <f>ABS(E2229-Dashboard!$F$14)</f>
        <v>42.065474118401227</v>
      </c>
      <c r="D2229" s="350">
        <f t="shared" si="2247"/>
        <v>0.2956499999999827</v>
      </c>
      <c r="E2229" s="359" cm="1">
        <f t="array" ref="E2229">1000*SUM('DRE + DCF'!$L$36/M2229,'DRE + DCF'!$N$36:$V$36/N2229:V2229,F2229/V2229)/Dashboard!$F$11</f>
        <v>54.924525881598768</v>
      </c>
      <c r="F2229" s="359">
        <f t="shared" si="2245"/>
        <v>8918204.654748857</v>
      </c>
      <c r="G2229" s="359">
        <f>'DRE + DCF'!$W$31</f>
        <v>2791623.3540418856</v>
      </c>
      <c r="H2229" s="359">
        <f>'DRE + DCF'!$W$32</f>
        <v>81081.931703745853</v>
      </c>
      <c r="I2229" s="359">
        <f>-H2229*('DRE + DCF'!$V$33+K2229)/'DRE + DCF'!$V$33</f>
        <v>-90858.801614444121</v>
      </c>
      <c r="J2229" s="359">
        <f>-'DRE + DCF'!$V$56*L2229</f>
        <v>-1188924.4255577971</v>
      </c>
      <c r="K2229" s="360">
        <f>(1+L2229)/(1+Ke!$O$12)-1</f>
        <v>2.0000000000000018E-2</v>
      </c>
      <c r="L2229" s="360">
        <f>'DRE + DCF'!$Y$31</f>
        <v>7.3550000000000004E-2</v>
      </c>
      <c r="M2229" s="361">
        <f>(1+D2229)^((5-Dashboard!$F$9)*3/12)</f>
        <v>1.214411229775217</v>
      </c>
      <c r="N2229" s="361">
        <f t="shared" ref="N2229:V2229" si="2286">M2229*(1+$D2229)</f>
        <v>1.5734519098582389</v>
      </c>
      <c r="O2229" s="361">
        <f t="shared" si="2286"/>
        <v>2.0386429670077999</v>
      </c>
      <c r="P2229" s="361">
        <f t="shared" si="2286"/>
        <v>2.6413677602036207</v>
      </c>
      <c r="Q2229" s="361">
        <f t="shared" si="2286"/>
        <v>3.4222881385077755</v>
      </c>
      <c r="R2229" s="361">
        <f t="shared" si="2286"/>
        <v>4.43408762665754</v>
      </c>
      <c r="S2229" s="361">
        <f t="shared" si="2286"/>
        <v>5.7450256334787646</v>
      </c>
      <c r="T2229" s="361">
        <f t="shared" si="2286"/>
        <v>7.4435424620166613</v>
      </c>
      <c r="U2229" s="361">
        <f t="shared" si="2286"/>
        <v>9.6442257909117579</v>
      </c>
      <c r="V2229" s="362">
        <f t="shared" si="2286"/>
        <v>12.495541145994652</v>
      </c>
      <c r="X2229" s="351"/>
    </row>
    <row r="2230" spans="3:24" ht="24.75" customHeight="1" x14ac:dyDescent="0.3">
      <c r="C2230" s="353">
        <f>ABS(E2230-Dashboard!$F$14)</f>
        <v>42.094340460056642</v>
      </c>
      <c r="D2230" s="350">
        <f t="shared" si="2247"/>
        <v>0.29574999999998269</v>
      </c>
      <c r="E2230" s="359" cm="1">
        <f t="array" ref="E2230">1000*SUM('DRE + DCF'!$L$36/M2230,'DRE + DCF'!$N$36:$V$36/N2230:V2230,F2230/V2230)/Dashboard!$F$11</f>
        <v>54.895659539943352</v>
      </c>
      <c r="F2230" s="359">
        <f t="shared" si="2245"/>
        <v>8914758.3251202125</v>
      </c>
      <c r="G2230" s="359">
        <f>'DRE + DCF'!$W$31</f>
        <v>2791623.3540418856</v>
      </c>
      <c r="H2230" s="359">
        <f>'DRE + DCF'!$W$32</f>
        <v>81081.931703745853</v>
      </c>
      <c r="I2230" s="359">
        <f>-H2230*('DRE + DCF'!$V$33+K2230)/'DRE + DCF'!$V$33</f>
        <v>-90858.801614444121</v>
      </c>
      <c r="J2230" s="359">
        <f>-'DRE + DCF'!$V$56*L2230</f>
        <v>-1188924.4255577971</v>
      </c>
      <c r="K2230" s="360">
        <f>(1+L2230)/(1+Ke!$O$12)-1</f>
        <v>2.0000000000000018E-2</v>
      </c>
      <c r="L2230" s="360">
        <f>'DRE + DCF'!$Y$31</f>
        <v>7.3550000000000004E-2</v>
      </c>
      <c r="M2230" s="361">
        <f>(1+D2230)^((5-Dashboard!$F$9)*3/12)</f>
        <v>1.2144815265093223</v>
      </c>
      <c r="N2230" s="361">
        <f t="shared" ref="N2230:V2230" si="2287">M2230*(1+$D2230)</f>
        <v>1.5736644379744333</v>
      </c>
      <c r="O2230" s="361">
        <f t="shared" si="2287"/>
        <v>2.0390756955053448</v>
      </c>
      <c r="P2230" s="361">
        <f t="shared" si="2287"/>
        <v>2.6421323324510153</v>
      </c>
      <c r="Q2230" s="361">
        <f t="shared" si="2287"/>
        <v>3.423542969773357</v>
      </c>
      <c r="R2230" s="361">
        <f t="shared" si="2287"/>
        <v>4.436055803083768</v>
      </c>
      <c r="S2230" s="361">
        <f t="shared" si="2287"/>
        <v>5.7480193068457153</v>
      </c>
      <c r="T2230" s="361">
        <f t="shared" si="2287"/>
        <v>7.4479960168452362</v>
      </c>
      <c r="U2230" s="361">
        <f t="shared" si="2287"/>
        <v>9.650740838827085</v>
      </c>
      <c r="V2230" s="362">
        <f t="shared" si="2287"/>
        <v>12.504947441910028</v>
      </c>
      <c r="X2230" s="351"/>
    </row>
    <row r="2231" spans="3:24" ht="24.75" customHeight="1" x14ac:dyDescent="0.3">
      <c r="C2231" s="353">
        <f>ABS(E2231-Dashboard!$F$14)</f>
        <v>42.123179803165009</v>
      </c>
      <c r="D2231" s="350">
        <f t="shared" si="2247"/>
        <v>0.29584999999998268</v>
      </c>
      <c r="E2231" s="359" cm="1">
        <f t="array" ref="E2231">1000*SUM('DRE + DCF'!$L$36/M2231,'DRE + DCF'!$N$36:$V$36/N2231:V2231,F2231/V2231)/Dashboard!$F$11</f>
        <v>54.866820196834986</v>
      </c>
      <c r="F2231" s="359">
        <f t="shared" si="2245"/>
        <v>8911314.7127948292</v>
      </c>
      <c r="G2231" s="359">
        <f>'DRE + DCF'!$W$31</f>
        <v>2791623.3540418856</v>
      </c>
      <c r="H2231" s="359">
        <f>'DRE + DCF'!$W$32</f>
        <v>81081.931703745853</v>
      </c>
      <c r="I2231" s="359">
        <f>-H2231*('DRE + DCF'!$V$33+K2231)/'DRE + DCF'!$V$33</f>
        <v>-90858.801614444121</v>
      </c>
      <c r="J2231" s="359">
        <f>-'DRE + DCF'!$V$56*L2231</f>
        <v>-1188924.4255577971</v>
      </c>
      <c r="K2231" s="360">
        <f>(1+L2231)/(1+Ke!$O$12)-1</f>
        <v>2.0000000000000018E-2</v>
      </c>
      <c r="L2231" s="360">
        <f>'DRE + DCF'!$Y$31</f>
        <v>7.3550000000000004E-2</v>
      </c>
      <c r="M2231" s="361">
        <f>(1+D2231)^((5-Dashboard!$F$9)*3/12)</f>
        <v>1.2145518218871465</v>
      </c>
      <c r="N2231" s="361">
        <f t="shared" ref="N2231:V2231" si="2288">M2231*(1+$D2231)</f>
        <v>1.5738769783924378</v>
      </c>
      <c r="O2231" s="361">
        <f t="shared" si="2288"/>
        <v>2.0395084824498131</v>
      </c>
      <c r="P2231" s="361">
        <f t="shared" si="2288"/>
        <v>2.6428970669825547</v>
      </c>
      <c r="Q2231" s="361">
        <f t="shared" si="2288"/>
        <v>3.4247981642492977</v>
      </c>
      <c r="R2231" s="361">
        <f t="shared" si="2288"/>
        <v>4.4380247011423926</v>
      </c>
      <c r="S2231" s="361">
        <f t="shared" si="2288"/>
        <v>5.7510143089752921</v>
      </c>
      <c r="T2231" s="361">
        <f t="shared" si="2288"/>
        <v>7.4524518922855325</v>
      </c>
      <c r="U2231" s="361">
        <f t="shared" si="2288"/>
        <v>9.657259784618077</v>
      </c>
      <c r="V2231" s="362">
        <f t="shared" si="2288"/>
        <v>12.514360091897167</v>
      </c>
      <c r="X2231" s="351"/>
    </row>
    <row r="2232" spans="3:24" ht="24.75" customHeight="1" x14ac:dyDescent="0.3">
      <c r="C2232" s="353">
        <f>ABS(E2232-Dashboard!$F$14)</f>
        <v>42.151992182867531</v>
      </c>
      <c r="D2232" s="350">
        <f t="shared" si="2247"/>
        <v>0.29594999999998267</v>
      </c>
      <c r="E2232" s="359" cm="1">
        <f t="array" ref="E2232">1000*SUM('DRE + DCF'!$L$36/M2232,'DRE + DCF'!$N$36:$V$36/N2232:V2232,F2232/V2232)/Dashboard!$F$11</f>
        <v>54.838007817132464</v>
      </c>
      <c r="F2232" s="359">
        <f t="shared" si="2245"/>
        <v>8907873.8144956548</v>
      </c>
      <c r="G2232" s="359">
        <f>'DRE + DCF'!$W$31</f>
        <v>2791623.3540418856</v>
      </c>
      <c r="H2232" s="359">
        <f>'DRE + DCF'!$W$32</f>
        <v>81081.931703745853</v>
      </c>
      <c r="I2232" s="359">
        <f>-H2232*('DRE + DCF'!$V$33+K2232)/'DRE + DCF'!$V$33</f>
        <v>-90858.801614444121</v>
      </c>
      <c r="J2232" s="359">
        <f>-'DRE + DCF'!$V$56*L2232</f>
        <v>-1188924.4255577971</v>
      </c>
      <c r="K2232" s="360">
        <f>(1+L2232)/(1+Ke!$O$12)-1</f>
        <v>2.0000000000000018E-2</v>
      </c>
      <c r="L2232" s="360">
        <f>'DRE + DCF'!$Y$31</f>
        <v>7.3550000000000004E-2</v>
      </c>
      <c r="M2232" s="361">
        <f>(1+D2232)^((5-Dashboard!$F$9)*3/12)</f>
        <v>1.2146221159088204</v>
      </c>
      <c r="N2232" s="361">
        <f t="shared" ref="N2232:V2232" si="2289">M2232*(1+$D2232)</f>
        <v>1.5740895311120147</v>
      </c>
      <c r="O2232" s="361">
        <f t="shared" si="2289"/>
        <v>2.0399413278445881</v>
      </c>
      <c r="P2232" s="361">
        <f t="shared" si="2289"/>
        <v>2.6436619638201586</v>
      </c>
      <c r="Q2232" s="361">
        <f t="shared" si="2289"/>
        <v>3.4260537220126888</v>
      </c>
      <c r="R2232" s="361">
        <f t="shared" si="2289"/>
        <v>4.4399943210422848</v>
      </c>
      <c r="S2232" s="361">
        <f t="shared" si="2289"/>
        <v>5.7540106403546716</v>
      </c>
      <c r="T2232" s="361">
        <f t="shared" si="2289"/>
        <v>7.4569100893675362</v>
      </c>
      <c r="U2232" s="361">
        <f t="shared" si="2289"/>
        <v>9.6637826303157297</v>
      </c>
      <c r="V2232" s="362">
        <f t="shared" si="2289"/>
        <v>12.523779099757501</v>
      </c>
      <c r="X2232" s="351"/>
    </row>
    <row r="2233" spans="3:24" ht="24.75" customHeight="1" x14ac:dyDescent="0.3">
      <c r="C2233" s="353">
        <f>ABS(E2233-Dashboard!$F$14)</f>
        <v>42.180777634246681</v>
      </c>
      <c r="D2233" s="350">
        <f t="shared" si="2247"/>
        <v>0.29604999999998266</v>
      </c>
      <c r="E2233" s="359" cm="1">
        <f t="array" ref="E2233">1000*SUM('DRE + DCF'!$L$36/M2233,'DRE + DCF'!$N$36:$V$36/N2233:V2233,F2233/V2233)/Dashboard!$F$11</f>
        <v>54.809222365753314</v>
      </c>
      <c r="F2233" s="359">
        <f t="shared" si="2245"/>
        <v>8904435.6269510072</v>
      </c>
      <c r="G2233" s="359">
        <f>'DRE + DCF'!$W$31</f>
        <v>2791623.3540418856</v>
      </c>
      <c r="H2233" s="359">
        <f>'DRE + DCF'!$W$32</f>
        <v>81081.931703745853</v>
      </c>
      <c r="I2233" s="359">
        <f>-H2233*('DRE + DCF'!$V$33+K2233)/'DRE + DCF'!$V$33</f>
        <v>-90858.801614444121</v>
      </c>
      <c r="J2233" s="359">
        <f>-'DRE + DCF'!$V$56*L2233</f>
        <v>-1188924.4255577971</v>
      </c>
      <c r="K2233" s="360">
        <f>(1+L2233)/(1+Ke!$O$12)-1</f>
        <v>2.0000000000000018E-2</v>
      </c>
      <c r="L2233" s="360">
        <f>'DRE + DCF'!$Y$31</f>
        <v>7.3550000000000004E-2</v>
      </c>
      <c r="M2233" s="361">
        <f>(1+D2233)^((5-Dashboard!$F$9)*3/12)</f>
        <v>1.2146924085744746</v>
      </c>
      <c r="N2233" s="361">
        <f t="shared" ref="N2233:V2233" si="2290">M2233*(1+$D2233)</f>
        <v>1.5743020961329266</v>
      </c>
      <c r="O2233" s="361">
        <f t="shared" si="2290"/>
        <v>2.0403742316930522</v>
      </c>
      <c r="P2233" s="361">
        <f t="shared" si="2290"/>
        <v>2.6444270229857447</v>
      </c>
      <c r="Q2233" s="361">
        <f t="shared" si="2290"/>
        <v>3.4273096431406285</v>
      </c>
      <c r="R2233" s="361">
        <f t="shared" si="2290"/>
        <v>4.4419646629923522</v>
      </c>
      <c r="S2233" s="361">
        <f t="shared" si="2290"/>
        <v>5.7570083014711608</v>
      </c>
      <c r="T2233" s="361">
        <f t="shared" si="2290"/>
        <v>7.4613706091215981</v>
      </c>
      <c r="U2233" s="361">
        <f t="shared" si="2290"/>
        <v>9.6703093779519183</v>
      </c>
      <c r="V2233" s="362">
        <f t="shared" si="2290"/>
        <v>12.533204469294416</v>
      </c>
      <c r="X2233" s="351"/>
    </row>
    <row r="2234" spans="3:24" ht="24.75" customHeight="1" x14ac:dyDescent="0.3">
      <c r="C2234" s="353">
        <f>ABS(E2234-Dashboard!$F$14)</f>
        <v>42.209536192326425</v>
      </c>
      <c r="D2234" s="350">
        <f t="shared" si="2247"/>
        <v>0.29614999999998265</v>
      </c>
      <c r="E2234" s="359" cm="1">
        <f t="array" ref="E2234">1000*SUM('DRE + DCF'!$L$36/M2234,'DRE + DCF'!$N$36:$V$36/N2234:V2234,F2234/V2234)/Dashboard!$F$11</f>
        <v>54.78046380767357</v>
      </c>
      <c r="F2234" s="359">
        <f t="shared" si="2245"/>
        <v>8901000.146894563</v>
      </c>
      <c r="G2234" s="359">
        <f>'DRE + DCF'!$W$31</f>
        <v>2791623.3540418856</v>
      </c>
      <c r="H2234" s="359">
        <f>'DRE + DCF'!$W$32</f>
        <v>81081.931703745853</v>
      </c>
      <c r="I2234" s="359">
        <f>-H2234*('DRE + DCF'!$V$33+K2234)/'DRE + DCF'!$V$33</f>
        <v>-90858.801614444121</v>
      </c>
      <c r="J2234" s="359">
        <f>-'DRE + DCF'!$V$56*L2234</f>
        <v>-1188924.4255577971</v>
      </c>
      <c r="K2234" s="360">
        <f>(1+L2234)/(1+Ke!$O$12)-1</f>
        <v>2.0000000000000018E-2</v>
      </c>
      <c r="L2234" s="360">
        <f>'DRE + DCF'!$Y$31</f>
        <v>7.3550000000000004E-2</v>
      </c>
      <c r="M2234" s="361">
        <f>(1+D2234)^((5-Dashboard!$F$9)*3/12)</f>
        <v>1.21476269988424</v>
      </c>
      <c r="N2234" s="361">
        <f t="shared" ref="N2234:V2234" si="2291">M2234*(1+$D2234)</f>
        <v>1.5745146734549365</v>
      </c>
      <c r="O2234" s="361">
        <f t="shared" si="2291"/>
        <v>2.0408071939985883</v>
      </c>
      <c r="P2234" s="361">
        <f t="shared" si="2291"/>
        <v>2.6451922445012346</v>
      </c>
      <c r="Q2234" s="361">
        <f t="shared" si="2291"/>
        <v>3.4285659277102289</v>
      </c>
      <c r="R2234" s="361">
        <f t="shared" si="2291"/>
        <v>4.4439357272015538</v>
      </c>
      <c r="S2234" s="361">
        <f t="shared" si="2291"/>
        <v>5.760007292812217</v>
      </c>
      <c r="T2234" s="361">
        <f t="shared" si="2291"/>
        <v>7.4658334525784547</v>
      </c>
      <c r="U2234" s="361">
        <f t="shared" si="2291"/>
        <v>9.6768400295594343</v>
      </c>
      <c r="V2234" s="362">
        <f t="shared" si="2291"/>
        <v>12.542636204313292</v>
      </c>
      <c r="X2234" s="351"/>
    </row>
    <row r="2235" spans="3:24" ht="24.75" customHeight="1" x14ac:dyDescent="0.3">
      <c r="C2235" s="353">
        <f>ABS(E2235-Dashboard!$F$14)</f>
        <v>42.238267892072329</v>
      </c>
      <c r="D2235" s="350">
        <f t="shared" si="2247"/>
        <v>0.29624999999998264</v>
      </c>
      <c r="E2235" s="359" cm="1">
        <f t="array" ref="E2235">1000*SUM('DRE + DCF'!$L$36/M2235,'DRE + DCF'!$N$36:$V$36/N2235:V2235,F2235/V2235)/Dashboard!$F$11</f>
        <v>54.751732107927666</v>
      </c>
      <c r="F2235" s="359">
        <f t="shared" si="2245"/>
        <v>8897567.3710653409</v>
      </c>
      <c r="G2235" s="359">
        <f>'DRE + DCF'!$W$31</f>
        <v>2791623.3540418856</v>
      </c>
      <c r="H2235" s="359">
        <f>'DRE + DCF'!$W$32</f>
        <v>81081.931703745853</v>
      </c>
      <c r="I2235" s="359">
        <f>-H2235*('DRE + DCF'!$V$33+K2235)/'DRE + DCF'!$V$33</f>
        <v>-90858.801614444121</v>
      </c>
      <c r="J2235" s="359">
        <f>-'DRE + DCF'!$V$56*L2235</f>
        <v>-1188924.4255577971</v>
      </c>
      <c r="K2235" s="360">
        <f>(1+L2235)/(1+Ke!$O$12)-1</f>
        <v>2.0000000000000018E-2</v>
      </c>
      <c r="L2235" s="360">
        <f>'DRE + DCF'!$Y$31</f>
        <v>7.3550000000000004E-2</v>
      </c>
      <c r="M2235" s="361">
        <f>(1+D2235)^((5-Dashboard!$F$9)*3/12)</f>
        <v>1.2148329898382475</v>
      </c>
      <c r="N2235" s="361">
        <f t="shared" ref="N2235:V2235" si="2292">M2235*(1+$D2235)</f>
        <v>1.5747272630778071</v>
      </c>
      <c r="O2235" s="361">
        <f t="shared" si="2292"/>
        <v>2.0412402147645801</v>
      </c>
      <c r="P2235" s="361">
        <f t="shared" si="2292"/>
        <v>2.6459576283885515</v>
      </c>
      <c r="Q2235" s="361">
        <f t="shared" si="2292"/>
        <v>3.4298225757986138</v>
      </c>
      <c r="R2235" s="361">
        <f t="shared" si="2292"/>
        <v>4.4459075138788933</v>
      </c>
      <c r="S2235" s="361">
        <f t="shared" si="2292"/>
        <v>5.7630076148654377</v>
      </c>
      <c r="T2235" s="361">
        <f t="shared" si="2292"/>
        <v>7.4702986207692232</v>
      </c>
      <c r="U2235" s="361">
        <f t="shared" si="2292"/>
        <v>9.6833745871719756</v>
      </c>
      <c r="V2235" s="362">
        <f t="shared" si="2292"/>
        <v>12.552074308621505</v>
      </c>
      <c r="X2235" s="351"/>
    </row>
    <row r="2236" spans="3:24" ht="24.75" customHeight="1" x14ac:dyDescent="0.3">
      <c r="C2236" s="353">
        <f>ABS(E2236-Dashboard!$F$14)</f>
        <v>42.266972768391597</v>
      </c>
      <c r="D2236" s="350">
        <f t="shared" si="2247"/>
        <v>0.29634999999998263</v>
      </c>
      <c r="E2236" s="359" cm="1">
        <f t="array" ref="E2236">1000*SUM('DRE + DCF'!$L$36/M2236,'DRE + DCF'!$N$36:$V$36/N2236:V2236,F2236/V2236)/Dashboard!$F$11</f>
        <v>54.723027231608398</v>
      </c>
      <c r="F2236" s="359">
        <f t="shared" si="2245"/>
        <v>8894137.2962076943</v>
      </c>
      <c r="G2236" s="359">
        <f>'DRE + DCF'!$W$31</f>
        <v>2791623.3540418856</v>
      </c>
      <c r="H2236" s="359">
        <f>'DRE + DCF'!$W$32</f>
        <v>81081.931703745853</v>
      </c>
      <c r="I2236" s="359">
        <f>-H2236*('DRE + DCF'!$V$33+K2236)/'DRE + DCF'!$V$33</f>
        <v>-90858.801614444121</v>
      </c>
      <c r="J2236" s="359">
        <f>-'DRE + DCF'!$V$56*L2236</f>
        <v>-1188924.4255577971</v>
      </c>
      <c r="K2236" s="360">
        <f>(1+L2236)/(1+Ke!$O$12)-1</f>
        <v>2.0000000000000018E-2</v>
      </c>
      <c r="L2236" s="360">
        <f>'DRE + DCF'!$Y$31</f>
        <v>7.3550000000000004E-2</v>
      </c>
      <c r="M2236" s="361">
        <f>(1+D2236)^((5-Dashboard!$F$9)*3/12)</f>
        <v>1.2149032784366274</v>
      </c>
      <c r="N2236" s="361">
        <f t="shared" ref="N2236:V2236" si="2293">M2236*(1+$D2236)</f>
        <v>1.5749398650013007</v>
      </c>
      <c r="O2236" s="361">
        <f t="shared" si="2293"/>
        <v>2.0416732939944087</v>
      </c>
      <c r="P2236" s="361">
        <f t="shared" si="2293"/>
        <v>2.6467231746696163</v>
      </c>
      <c r="Q2236" s="361">
        <f t="shared" si="2293"/>
        <v>3.4310795874829108</v>
      </c>
      <c r="R2236" s="361">
        <f t="shared" si="2293"/>
        <v>4.4478800232334113</v>
      </c>
      <c r="S2236" s="361">
        <f t="shared" si="2293"/>
        <v>5.7660092681185553</v>
      </c>
      <c r="T2236" s="361">
        <f t="shared" si="2293"/>
        <v>7.474766114725389</v>
      </c>
      <c r="U2236" s="361">
        <f t="shared" si="2293"/>
        <v>9.689913052824128</v>
      </c>
      <c r="V2236" s="362">
        <f t="shared" si="2293"/>
        <v>12.561518786028389</v>
      </c>
      <c r="X2236" s="351"/>
    </row>
    <row r="2237" spans="3:24" ht="24.75" customHeight="1" x14ac:dyDescent="0.3">
      <c r="C2237" s="353">
        <f>ABS(E2237-Dashboard!$F$14)</f>
        <v>42.295650856133314</v>
      </c>
      <c r="D2237" s="350">
        <f t="shared" si="2247"/>
        <v>0.29644999999998262</v>
      </c>
      <c r="E2237" s="359" cm="1">
        <f t="array" ref="E2237">1000*SUM('DRE + DCF'!$L$36/M2237,'DRE + DCF'!$N$36:$V$36/N2237:V2237,F2237/V2237)/Dashboard!$F$11</f>
        <v>54.694349143866681</v>
      </c>
      <c r="F2237" s="359">
        <f t="shared" si="2245"/>
        <v>8890709.9190712944</v>
      </c>
      <c r="G2237" s="359">
        <f>'DRE + DCF'!$W$31</f>
        <v>2791623.3540418856</v>
      </c>
      <c r="H2237" s="359">
        <f>'DRE + DCF'!$W$32</f>
        <v>81081.931703745853</v>
      </c>
      <c r="I2237" s="359">
        <f>-H2237*('DRE + DCF'!$V$33+K2237)/'DRE + DCF'!$V$33</f>
        <v>-90858.801614444121</v>
      </c>
      <c r="J2237" s="359">
        <f>-'DRE + DCF'!$V$56*L2237</f>
        <v>-1188924.4255577971</v>
      </c>
      <c r="K2237" s="360">
        <f>(1+L2237)/(1+Ke!$O$12)-1</f>
        <v>2.0000000000000018E-2</v>
      </c>
      <c r="L2237" s="360">
        <f>'DRE + DCF'!$Y$31</f>
        <v>7.3550000000000004E-2</v>
      </c>
      <c r="M2237" s="361">
        <f>(1+D2237)^((5-Dashboard!$F$9)*3/12)</f>
        <v>1.2149735656795109</v>
      </c>
      <c r="N2237" s="361">
        <f t="shared" ref="N2237:V2237" si="2294">M2237*(1+$D2237)</f>
        <v>1.5751524792251808</v>
      </c>
      <c r="O2237" s="361">
        <f t="shared" si="2294"/>
        <v>2.0421064316914581</v>
      </c>
      <c r="P2237" s="361">
        <f t="shared" si="2294"/>
        <v>2.6474888833663552</v>
      </c>
      <c r="Q2237" s="361">
        <f t="shared" si="2294"/>
        <v>3.4323369628402651</v>
      </c>
      <c r="R2237" s="361">
        <f t="shared" si="2294"/>
        <v>4.4498532554742019</v>
      </c>
      <c r="S2237" s="361">
        <f t="shared" si="2294"/>
        <v>5.7690122530594516</v>
      </c>
      <c r="T2237" s="361">
        <f t="shared" si="2294"/>
        <v>7.4792359354788251</v>
      </c>
      <c r="U2237" s="361">
        <f t="shared" si="2294"/>
        <v>9.696455428551392</v>
      </c>
      <c r="V2237" s="362">
        <f t="shared" si="2294"/>
        <v>12.570969640345282</v>
      </c>
      <c r="X2237" s="351"/>
    </row>
    <row r="2238" spans="3:24" ht="24.75" customHeight="1" x14ac:dyDescent="0.3">
      <c r="C2238" s="353">
        <f>ABS(E2238-Dashboard!$F$14)</f>
        <v>42.324302190088474</v>
      </c>
      <c r="D2238" s="350">
        <f t="shared" si="2247"/>
        <v>0.29654999999998261</v>
      </c>
      <c r="E2238" s="359" cm="1">
        <f t="array" ref="E2238">1000*SUM('DRE + DCF'!$L$36/M2238,'DRE + DCF'!$N$36:$V$36/N2238:V2238,F2238/V2238)/Dashboard!$F$11</f>
        <v>54.665697809911521</v>
      </c>
      <c r="F2238" s="359">
        <f t="shared" si="2245"/>
        <v>8887285.2364111282</v>
      </c>
      <c r="G2238" s="359">
        <f>'DRE + DCF'!$W$31</f>
        <v>2791623.3540418856</v>
      </c>
      <c r="H2238" s="359">
        <f>'DRE + DCF'!$W$32</f>
        <v>81081.931703745853</v>
      </c>
      <c r="I2238" s="359">
        <f>-H2238*('DRE + DCF'!$V$33+K2238)/'DRE + DCF'!$V$33</f>
        <v>-90858.801614444121</v>
      </c>
      <c r="J2238" s="359">
        <f>-'DRE + DCF'!$V$56*L2238</f>
        <v>-1188924.4255577971</v>
      </c>
      <c r="K2238" s="360">
        <f>(1+L2238)/(1+Ke!$O$12)-1</f>
        <v>2.0000000000000018E-2</v>
      </c>
      <c r="L2238" s="360">
        <f>'DRE + DCF'!$Y$31</f>
        <v>7.3550000000000004E-2</v>
      </c>
      <c r="M2238" s="361">
        <f>(1+D2238)^((5-Dashboard!$F$9)*3/12)</f>
        <v>1.2150438515670285</v>
      </c>
      <c r="N2238" s="361">
        <f t="shared" ref="N2238:V2238" si="2295">M2238*(1+$D2238)</f>
        <v>1.5753651057492097</v>
      </c>
      <c r="O2238" s="361">
        <f t="shared" si="2295"/>
        <v>2.0425396278591106</v>
      </c>
      <c r="P2238" s="361">
        <f t="shared" si="2295"/>
        <v>2.648254754500694</v>
      </c>
      <c r="Q2238" s="361">
        <f t="shared" si="2295"/>
        <v>3.4335947019478286</v>
      </c>
      <c r="R2238" s="361">
        <f t="shared" si="2295"/>
        <v>4.4518272108103973</v>
      </c>
      <c r="S2238" s="361">
        <f t="shared" si="2295"/>
        <v>5.7720165701761426</v>
      </c>
      <c r="T2238" s="361">
        <f t="shared" si="2295"/>
        <v>7.4837080840617771</v>
      </c>
      <c r="U2238" s="361">
        <f t="shared" si="2295"/>
        <v>9.7030017163901672</v>
      </c>
      <c r="V2238" s="362">
        <f t="shared" si="2295"/>
        <v>12.580426875385502</v>
      </c>
      <c r="X2238" s="351"/>
    </row>
    <row r="2239" spans="3:24" ht="24.75" customHeight="1" x14ac:dyDescent="0.3">
      <c r="C2239" s="353">
        <f>ABS(E2239-Dashboard!$F$14)</f>
        <v>42.352926804990062</v>
      </c>
      <c r="D2239" s="350">
        <f t="shared" si="2247"/>
        <v>0.29664999999998259</v>
      </c>
      <c r="E2239" s="359" cm="1">
        <f t="array" ref="E2239">1000*SUM('DRE + DCF'!$L$36/M2239,'DRE + DCF'!$N$36:$V$36/N2239:V2239,F2239/V2239)/Dashboard!$F$11</f>
        <v>54.637073195009933</v>
      </c>
      <c r="F2239" s="359">
        <f t="shared" si="2245"/>
        <v>8883863.2449874841</v>
      </c>
      <c r="G2239" s="359">
        <f>'DRE + DCF'!$W$31</f>
        <v>2791623.3540418856</v>
      </c>
      <c r="H2239" s="359">
        <f>'DRE + DCF'!$W$32</f>
        <v>81081.931703745853</v>
      </c>
      <c r="I2239" s="359">
        <f>-H2239*('DRE + DCF'!$V$33+K2239)/'DRE + DCF'!$V$33</f>
        <v>-90858.801614444121</v>
      </c>
      <c r="J2239" s="359">
        <f>-'DRE + DCF'!$V$56*L2239</f>
        <v>-1188924.4255577971</v>
      </c>
      <c r="K2239" s="360">
        <f>(1+L2239)/(1+Ke!$O$12)-1</f>
        <v>2.0000000000000018E-2</v>
      </c>
      <c r="L2239" s="360">
        <f>'DRE + DCF'!$Y$31</f>
        <v>7.3550000000000004E-2</v>
      </c>
      <c r="M2239" s="361">
        <f>(1+D2239)^((5-Dashboard!$F$9)*3/12)</f>
        <v>1.2151141360993107</v>
      </c>
      <c r="N2239" s="361">
        <f t="shared" ref="N2239:V2239" si="2296">M2239*(1+$D2239)</f>
        <v>1.57557774457315</v>
      </c>
      <c r="O2239" s="361">
        <f t="shared" si="2296"/>
        <v>2.0429728825007474</v>
      </c>
      <c r="P2239" s="361">
        <f t="shared" si="2296"/>
        <v>2.6490207880945582</v>
      </c>
      <c r="Q2239" s="361">
        <f t="shared" si="2296"/>
        <v>3.4348528048827625</v>
      </c>
      <c r="R2239" s="361">
        <f t="shared" si="2296"/>
        <v>4.4538018894511744</v>
      </c>
      <c r="S2239" s="361">
        <f t="shared" si="2296"/>
        <v>5.7750222199567878</v>
      </c>
      <c r="T2239" s="361">
        <f t="shared" si="2296"/>
        <v>7.4881825615068678</v>
      </c>
      <c r="U2239" s="361">
        <f t="shared" si="2296"/>
        <v>9.7095519183777501</v>
      </c>
      <c r="V2239" s="362">
        <f t="shared" si="2296"/>
        <v>12.58989049496434</v>
      </c>
      <c r="X2239" s="351"/>
    </row>
    <row r="2240" spans="3:24" ht="24.75" customHeight="1" x14ac:dyDescent="0.3">
      <c r="C2240" s="353">
        <f>ABS(E2240-Dashboard!$F$14)</f>
        <v>42.381524735513416</v>
      </c>
      <c r="D2240" s="350">
        <f t="shared" si="2247"/>
        <v>0.29674999999998258</v>
      </c>
      <c r="E2240" s="359" cm="1">
        <f t="array" ref="E2240">1000*SUM('DRE + DCF'!$L$36/M2240,'DRE + DCF'!$N$36:$V$36/N2240:V2240,F2240/V2240)/Dashboard!$F$11</f>
        <v>54.608475264486579</v>
      </c>
      <c r="F2240" s="359">
        <f t="shared" si="2245"/>
        <v>8880443.9415659327</v>
      </c>
      <c r="G2240" s="359">
        <f>'DRE + DCF'!$W$31</f>
        <v>2791623.3540418856</v>
      </c>
      <c r="H2240" s="359">
        <f>'DRE + DCF'!$W$32</f>
        <v>81081.931703745853</v>
      </c>
      <c r="I2240" s="359">
        <f>-H2240*('DRE + DCF'!$V$33+K2240)/'DRE + DCF'!$V$33</f>
        <v>-90858.801614444121</v>
      </c>
      <c r="J2240" s="359">
        <f>-'DRE + DCF'!$V$56*L2240</f>
        <v>-1188924.4255577971</v>
      </c>
      <c r="K2240" s="360">
        <f>(1+L2240)/(1+Ke!$O$12)-1</f>
        <v>2.0000000000000018E-2</v>
      </c>
      <c r="L2240" s="360">
        <f>'DRE + DCF'!$Y$31</f>
        <v>7.3550000000000004E-2</v>
      </c>
      <c r="M2240" s="361">
        <f>(1+D2240)^((5-Dashboard!$F$9)*3/12)</f>
        <v>1.2151844192764885</v>
      </c>
      <c r="N2240" s="361">
        <f t="shared" ref="N2240:V2240" si="2297">M2240*(1+$D2240)</f>
        <v>1.5757903956967652</v>
      </c>
      <c r="O2240" s="361">
        <f t="shared" si="2297"/>
        <v>2.0434061956197529</v>
      </c>
      <c r="P2240" s="361">
        <f t="shared" si="2297"/>
        <v>2.6497869841698787</v>
      </c>
      <c r="Q2240" s="361">
        <f t="shared" si="2297"/>
        <v>3.4361112717222437</v>
      </c>
      <c r="R2240" s="361">
        <f t="shared" si="2297"/>
        <v>4.4557772916057594</v>
      </c>
      <c r="S2240" s="361">
        <f t="shared" si="2297"/>
        <v>5.7780292028896909</v>
      </c>
      <c r="T2240" s="361">
        <f t="shared" si="2297"/>
        <v>7.4926593688471055</v>
      </c>
      <c r="U2240" s="361">
        <f t="shared" si="2297"/>
        <v>9.7161060365523539</v>
      </c>
      <c r="V2240" s="362">
        <f t="shared" si="2297"/>
        <v>12.599360502899096</v>
      </c>
      <c r="X2240" s="351"/>
    </row>
    <row r="2241" spans="3:24" ht="24.75" customHeight="1" x14ac:dyDescent="0.3">
      <c r="C2241" s="353">
        <f>ABS(E2241-Dashboard!$F$14)</f>
        <v>42.410096016275979</v>
      </c>
      <c r="D2241" s="350">
        <f t="shared" si="2247"/>
        <v>0.29684999999998257</v>
      </c>
      <c r="E2241" s="359" cm="1">
        <f t="array" ref="E2241">1000*SUM('DRE + DCF'!$L$36/M2241,'DRE + DCF'!$N$36:$V$36/N2241:V2241,F2241/V2241)/Dashboard!$F$11</f>
        <v>54.579903983724016</v>
      </c>
      <c r="F2241" s="359">
        <f t="shared" si="2245"/>
        <v>8877027.322917331</v>
      </c>
      <c r="G2241" s="359">
        <f>'DRE + DCF'!$W$31</f>
        <v>2791623.3540418856</v>
      </c>
      <c r="H2241" s="359">
        <f>'DRE + DCF'!$W$32</f>
        <v>81081.931703745853</v>
      </c>
      <c r="I2241" s="359">
        <f>-H2241*('DRE + DCF'!$V$33+K2241)/'DRE + DCF'!$V$33</f>
        <v>-90858.801614444121</v>
      </c>
      <c r="J2241" s="359">
        <f>-'DRE + DCF'!$V$56*L2241</f>
        <v>-1188924.4255577971</v>
      </c>
      <c r="K2241" s="360">
        <f>(1+L2241)/(1+Ke!$O$12)-1</f>
        <v>2.0000000000000018E-2</v>
      </c>
      <c r="L2241" s="360">
        <f>'DRE + DCF'!$Y$31</f>
        <v>7.3550000000000004E-2</v>
      </c>
      <c r="M2241" s="361">
        <f>(1+D2241)^((5-Dashboard!$F$9)*3/12)</f>
        <v>1.2152547010986923</v>
      </c>
      <c r="N2241" s="361">
        <f t="shared" ref="N2241:V2241" si="2298">M2241*(1+$D2241)</f>
        <v>1.5760030591198178</v>
      </c>
      <c r="O2241" s="361">
        <f t="shared" si="2298"/>
        <v>2.043839567219508</v>
      </c>
      <c r="P2241" s="361">
        <f t="shared" si="2298"/>
        <v>2.6505533427485832</v>
      </c>
      <c r="Q2241" s="361">
        <f t="shared" si="2298"/>
        <v>3.4373701025434538</v>
      </c>
      <c r="R2241" s="361">
        <f t="shared" si="2298"/>
        <v>4.4577534174834179</v>
      </c>
      <c r="S2241" s="361">
        <f t="shared" si="2298"/>
        <v>5.7810375194632924</v>
      </c>
      <c r="T2241" s="361">
        <f t="shared" si="2298"/>
        <v>7.4971385071158698</v>
      </c>
      <c r="U2241" s="361">
        <f t="shared" si="2298"/>
        <v>9.7226640729530853</v>
      </c>
      <c r="V2241" s="362">
        <f t="shared" si="2298"/>
        <v>12.608836903009038</v>
      </c>
      <c r="X2241" s="351"/>
    </row>
    <row r="2242" spans="3:24" ht="24.75" customHeight="1" x14ac:dyDescent="0.3">
      <c r="C2242" s="353">
        <f>ABS(E2242-Dashboard!$F$14)</f>
        <v>42.438640681837718</v>
      </c>
      <c r="D2242" s="350">
        <f t="shared" si="2247"/>
        <v>0.29694999999998256</v>
      </c>
      <c r="E2242" s="359" cm="1">
        <f t="array" ref="E2242">1000*SUM('DRE + DCF'!$L$36/M2242,'DRE + DCF'!$N$36:$V$36/N2242:V2242,F2242/V2242)/Dashboard!$F$11</f>
        <v>54.551359318162277</v>
      </c>
      <c r="F2242" s="359">
        <f t="shared" si="2245"/>
        <v>8873613.3858177997</v>
      </c>
      <c r="G2242" s="359">
        <f>'DRE + DCF'!$W$31</f>
        <v>2791623.3540418856</v>
      </c>
      <c r="H2242" s="359">
        <f>'DRE + DCF'!$W$32</f>
        <v>81081.931703745853</v>
      </c>
      <c r="I2242" s="359">
        <f>-H2242*('DRE + DCF'!$V$33+K2242)/'DRE + DCF'!$V$33</f>
        <v>-90858.801614444121</v>
      </c>
      <c r="J2242" s="359">
        <f>-'DRE + DCF'!$V$56*L2242</f>
        <v>-1188924.4255577971</v>
      </c>
      <c r="K2242" s="360">
        <f>(1+L2242)/(1+Ke!$O$12)-1</f>
        <v>2.0000000000000018E-2</v>
      </c>
      <c r="L2242" s="360">
        <f>'DRE + DCF'!$Y$31</f>
        <v>7.3550000000000004E-2</v>
      </c>
      <c r="M2242" s="361">
        <f>(1+D2242)^((5-Dashboard!$F$9)*3/12)</f>
        <v>1.2153249815660527</v>
      </c>
      <c r="N2242" s="361">
        <f t="shared" ref="N2242:V2242" si="2299">M2242*(1+$D2242)</f>
        <v>1.5762157348420709</v>
      </c>
      <c r="O2242" s="361">
        <f t="shared" si="2299"/>
        <v>2.0442729973033962</v>
      </c>
      <c r="P2242" s="361">
        <f t="shared" si="2299"/>
        <v>2.6513198638526041</v>
      </c>
      <c r="Q2242" s="361">
        <f t="shared" si="2299"/>
        <v>3.4386292974235886</v>
      </c>
      <c r="R2242" s="361">
        <f t="shared" si="2299"/>
        <v>4.4597302672934633</v>
      </c>
      <c r="S2242" s="361">
        <f t="shared" si="2299"/>
        <v>5.7840471701661791</v>
      </c>
      <c r="T2242" s="361">
        <f t="shared" si="2299"/>
        <v>7.501619977346925</v>
      </c>
      <c r="U2242" s="361">
        <f t="shared" si="2299"/>
        <v>9.729226029619964</v>
      </c>
      <c r="V2242" s="362">
        <f t="shared" si="2299"/>
        <v>12.618319699115442</v>
      </c>
      <c r="X2242" s="351"/>
    </row>
    <row r="2243" spans="3:24" ht="24.75" customHeight="1" x14ac:dyDescent="0.3">
      <c r="C2243" s="353">
        <f>ABS(E2243-Dashboard!$F$14)</f>
        <v>42.467158766701047</v>
      </c>
      <c r="D2243" s="350">
        <f t="shared" si="2247"/>
        <v>0.29704999999998255</v>
      </c>
      <c r="E2243" s="359" cm="1">
        <f t="array" ref="E2243">1000*SUM('DRE + DCF'!$L$36/M2243,'DRE + DCF'!$N$36:$V$36/N2243:V2243,F2243/V2243)/Dashboard!$F$11</f>
        <v>54.522841233298948</v>
      </c>
      <c r="F2243" s="359">
        <f t="shared" si="2245"/>
        <v>8870202.1270487159</v>
      </c>
      <c r="G2243" s="359">
        <f>'DRE + DCF'!$W$31</f>
        <v>2791623.3540418856</v>
      </c>
      <c r="H2243" s="359">
        <f>'DRE + DCF'!$W$32</f>
        <v>81081.931703745853</v>
      </c>
      <c r="I2243" s="359">
        <f>-H2243*('DRE + DCF'!$V$33+K2243)/'DRE + DCF'!$V$33</f>
        <v>-90858.801614444121</v>
      </c>
      <c r="J2243" s="359">
        <f>-'DRE + DCF'!$V$56*L2243</f>
        <v>-1188924.4255577971</v>
      </c>
      <c r="K2243" s="360">
        <f>(1+L2243)/(1+Ke!$O$12)-1</f>
        <v>2.0000000000000018E-2</v>
      </c>
      <c r="L2243" s="360">
        <f>'DRE + DCF'!$Y$31</f>
        <v>7.3550000000000004E-2</v>
      </c>
      <c r="M2243" s="361">
        <f>(1+D2243)^((5-Dashboard!$F$9)*3/12)</f>
        <v>1.2153952606787002</v>
      </c>
      <c r="N2243" s="361">
        <f t="shared" ref="N2243:V2243" si="2300">M2243*(1+$D2243)</f>
        <v>1.5764284228632868</v>
      </c>
      <c r="O2243" s="361">
        <f t="shared" si="2300"/>
        <v>2.0447064858747983</v>
      </c>
      <c r="P2243" s="361">
        <f t="shared" si="2300"/>
        <v>2.6520865475038713</v>
      </c>
      <c r="Q2243" s="361">
        <f t="shared" si="2300"/>
        <v>3.43988885643985</v>
      </c>
      <c r="R2243" s="361">
        <f t="shared" si="2300"/>
        <v>4.4617078412452473</v>
      </c>
      <c r="S2243" s="361">
        <f t="shared" si="2300"/>
        <v>5.7870581554870704</v>
      </c>
      <c r="T2243" s="361">
        <f t="shared" si="2300"/>
        <v>7.5061037805744037</v>
      </c>
      <c r="U2243" s="361">
        <f t="shared" si="2300"/>
        <v>9.7357919085938995</v>
      </c>
      <c r="V2243" s="362">
        <f t="shared" si="2300"/>
        <v>12.627808895041547</v>
      </c>
      <c r="X2243" s="351"/>
    </row>
    <row r="2244" spans="3:24" ht="24.75" customHeight="1" x14ac:dyDescent="0.3">
      <c r="C2244" s="353">
        <f>ABS(E2244-Dashboard!$F$14)</f>
        <v>42.495650305311138</v>
      </c>
      <c r="D2244" s="350">
        <f t="shared" si="2247"/>
        <v>0.29714999999998254</v>
      </c>
      <c r="E2244" s="359" cm="1">
        <f t="array" ref="E2244">1000*SUM('DRE + DCF'!$L$36/M2244,'DRE + DCF'!$N$36:$V$36/N2244:V2244,F2244/V2244)/Dashboard!$F$11</f>
        <v>54.494349694688857</v>
      </c>
      <c r="F2244" s="359">
        <f t="shared" si="2245"/>
        <v>8866793.5433967002</v>
      </c>
      <c r="G2244" s="359">
        <f>'DRE + DCF'!$W$31</f>
        <v>2791623.3540418856</v>
      </c>
      <c r="H2244" s="359">
        <f>'DRE + DCF'!$W$32</f>
        <v>81081.931703745853</v>
      </c>
      <c r="I2244" s="359">
        <f>-H2244*('DRE + DCF'!$V$33+K2244)/'DRE + DCF'!$V$33</f>
        <v>-90858.801614444121</v>
      </c>
      <c r="J2244" s="359">
        <f>-'DRE + DCF'!$V$56*L2244</f>
        <v>-1188924.4255577971</v>
      </c>
      <c r="K2244" s="360">
        <f>(1+L2244)/(1+Ke!$O$12)-1</f>
        <v>2.0000000000000018E-2</v>
      </c>
      <c r="L2244" s="360">
        <f>'DRE + DCF'!$Y$31</f>
        <v>7.3550000000000004E-2</v>
      </c>
      <c r="M2244" s="361">
        <f>(1+D2244)^((5-Dashboard!$F$9)*3/12)</f>
        <v>1.2154655384367656</v>
      </c>
      <c r="N2244" s="361">
        <f t="shared" ref="N2244:V2244" si="2301">M2244*(1+$D2244)</f>
        <v>1.5766411231832294</v>
      </c>
      <c r="O2244" s="361">
        <f t="shared" si="2301"/>
        <v>2.0451400329370983</v>
      </c>
      <c r="P2244" s="361">
        <f t="shared" si="2301"/>
        <v>2.6528533937243215</v>
      </c>
      <c r="Q2244" s="361">
        <f t="shared" si="2301"/>
        <v>3.4411487796694571</v>
      </c>
      <c r="R2244" s="361">
        <f t="shared" si="2301"/>
        <v>4.4636861395481757</v>
      </c>
      <c r="S2244" s="361">
        <f t="shared" si="2301"/>
        <v>5.7900704759148383</v>
      </c>
      <c r="T2244" s="361">
        <f t="shared" si="2301"/>
        <v>7.5105899178328306</v>
      </c>
      <c r="U2244" s="361">
        <f t="shared" si="2301"/>
        <v>9.7423617119167254</v>
      </c>
      <c r="V2244" s="362">
        <f t="shared" si="2301"/>
        <v>12.637304494612609</v>
      </c>
      <c r="X2244" s="351"/>
    </row>
    <row r="2245" spans="3:24" ht="24.75" customHeight="1" x14ac:dyDescent="0.3">
      <c r="C2245" s="353">
        <f>ABS(E2245-Dashboard!$F$14)</f>
        <v>42.524115332055828</v>
      </c>
      <c r="D2245" s="350">
        <f t="shared" si="2247"/>
        <v>0.29724999999998253</v>
      </c>
      <c r="E2245" s="359" cm="1">
        <f t="array" ref="E2245">1000*SUM('DRE + DCF'!$L$36/M2245,'DRE + DCF'!$N$36:$V$36/N2245:V2245,F2245/V2245)/Dashboard!$F$11</f>
        <v>54.465884667944167</v>
      </c>
      <c r="F2245" s="359">
        <f t="shared" si="2245"/>
        <v>8863387.6316536125</v>
      </c>
      <c r="G2245" s="359">
        <f>'DRE + DCF'!$W$31</f>
        <v>2791623.3540418856</v>
      </c>
      <c r="H2245" s="359">
        <f>'DRE + DCF'!$W$32</f>
        <v>81081.931703745853</v>
      </c>
      <c r="I2245" s="359">
        <f>-H2245*('DRE + DCF'!$V$33+K2245)/'DRE + DCF'!$V$33</f>
        <v>-90858.801614444121</v>
      </c>
      <c r="J2245" s="359">
        <f>-'DRE + DCF'!$V$56*L2245</f>
        <v>-1188924.4255577971</v>
      </c>
      <c r="K2245" s="360">
        <f>(1+L2245)/(1+Ke!$O$12)-1</f>
        <v>2.0000000000000018E-2</v>
      </c>
      <c r="L2245" s="360">
        <f>'DRE + DCF'!$Y$31</f>
        <v>7.3550000000000004E-2</v>
      </c>
      <c r="M2245" s="361">
        <f>(1+D2245)^((5-Dashboard!$F$9)*3/12)</f>
        <v>1.2155358148403792</v>
      </c>
      <c r="N2245" s="361">
        <f t="shared" ref="N2245:V2245" si="2302">M2245*(1+$D2245)</f>
        <v>1.5768538358016606</v>
      </c>
      <c r="O2245" s="361">
        <f t="shared" si="2302"/>
        <v>2.0455736384936767</v>
      </c>
      <c r="P2245" s="361">
        <f t="shared" si="2302"/>
        <v>2.653620402535886</v>
      </c>
      <c r="Q2245" s="361">
        <f t="shared" si="2302"/>
        <v>3.4424090671896317</v>
      </c>
      <c r="R2245" s="361">
        <f t="shared" si="2302"/>
        <v>4.465665162411689</v>
      </c>
      <c r="S2245" s="361">
        <f t="shared" si="2302"/>
        <v>5.7930841319384854</v>
      </c>
      <c r="T2245" s="361">
        <f t="shared" si="2302"/>
        <v>7.5150783901570986</v>
      </c>
      <c r="U2245" s="361">
        <f t="shared" si="2302"/>
        <v>9.7489354416311649</v>
      </c>
      <c r="V2245" s="362">
        <f t="shared" si="2302"/>
        <v>12.646806501655858</v>
      </c>
      <c r="X2245" s="351"/>
    </row>
    <row r="2246" spans="3:24" ht="24.75" customHeight="1" x14ac:dyDescent="0.3">
      <c r="C2246" s="353">
        <f>ABS(E2246-Dashboard!$F$14)</f>
        <v>42.552553881265908</v>
      </c>
      <c r="D2246" s="350">
        <f t="shared" si="2247"/>
        <v>0.29734999999998252</v>
      </c>
      <c r="E2246" s="359" cm="1">
        <f t="array" ref="E2246">1000*SUM('DRE + DCF'!$L$36/M2246,'DRE + DCF'!$N$36:$V$36/N2246:V2246,F2246/V2246)/Dashboard!$F$11</f>
        <v>54.437446118734087</v>
      </c>
      <c r="F2246" s="359">
        <f t="shared" si="2245"/>
        <v>8859984.3886165302</v>
      </c>
      <c r="G2246" s="359">
        <f>'DRE + DCF'!$W$31</f>
        <v>2791623.3540418856</v>
      </c>
      <c r="H2246" s="359">
        <f>'DRE + DCF'!$W$32</f>
        <v>81081.931703745853</v>
      </c>
      <c r="I2246" s="359">
        <f>-H2246*('DRE + DCF'!$V$33+K2246)/'DRE + DCF'!$V$33</f>
        <v>-90858.801614444121</v>
      </c>
      <c r="J2246" s="359">
        <f>-'DRE + DCF'!$V$56*L2246</f>
        <v>-1188924.4255577971</v>
      </c>
      <c r="K2246" s="360">
        <f>(1+L2246)/(1+Ke!$O$12)-1</f>
        <v>2.0000000000000018E-2</v>
      </c>
      <c r="L2246" s="360">
        <f>'DRE + DCF'!$Y$31</f>
        <v>7.3550000000000004E-2</v>
      </c>
      <c r="M2246" s="361">
        <f>(1+D2246)^((5-Dashboard!$F$9)*3/12)</f>
        <v>1.2156060898896717</v>
      </c>
      <c r="N2246" s="361">
        <f t="shared" ref="N2246:V2246" si="2303">M2246*(1+$D2246)</f>
        <v>1.5770665607183443</v>
      </c>
      <c r="O2246" s="361">
        <f t="shared" si="2303"/>
        <v>2.0460073025479164</v>
      </c>
      <c r="P2246" s="361">
        <f t="shared" si="2303"/>
        <v>2.6543875739605034</v>
      </c>
      <c r="Q2246" s="361">
        <f t="shared" si="2303"/>
        <v>3.4436697190776124</v>
      </c>
      <c r="R2246" s="361">
        <f t="shared" si="2303"/>
        <v>4.46764491004528</v>
      </c>
      <c r="S2246" s="361">
        <f t="shared" si="2303"/>
        <v>5.7960991240471653</v>
      </c>
      <c r="T2246" s="361">
        <f t="shared" si="2303"/>
        <v>7.519569198582488</v>
      </c>
      <c r="U2246" s="361">
        <f t="shared" si="2303"/>
        <v>9.7555130997808597</v>
      </c>
      <c r="V2246" s="362">
        <f t="shared" si="2303"/>
        <v>12.656314920000527</v>
      </c>
      <c r="X2246" s="351"/>
    </row>
    <row r="2247" spans="3:24" ht="24.75" customHeight="1" x14ac:dyDescent="0.3">
      <c r="C2247" s="353">
        <f>ABS(E2247-Dashboard!$F$14)</f>
        <v>42.580965987215123</v>
      </c>
      <c r="D2247" s="350">
        <f t="shared" si="2247"/>
        <v>0.29744999999998251</v>
      </c>
      <c r="E2247" s="359" cm="1">
        <f t="array" ref="E2247">1000*SUM('DRE + DCF'!$L$36/M2247,'DRE + DCF'!$N$36:$V$36/N2247:V2247,F2247/V2247)/Dashboard!$F$11</f>
        <v>54.409034012784872</v>
      </c>
      <c r="F2247" s="359">
        <f t="shared" si="2245"/>
        <v>8856583.8110877499</v>
      </c>
      <c r="G2247" s="359">
        <f>'DRE + DCF'!$W$31</f>
        <v>2791623.3540418856</v>
      </c>
      <c r="H2247" s="359">
        <f>'DRE + DCF'!$W$32</f>
        <v>81081.931703745853</v>
      </c>
      <c r="I2247" s="359">
        <f>-H2247*('DRE + DCF'!$V$33+K2247)/'DRE + DCF'!$V$33</f>
        <v>-90858.801614444121</v>
      </c>
      <c r="J2247" s="359">
        <f>-'DRE + DCF'!$V$56*L2247</f>
        <v>-1188924.4255577971</v>
      </c>
      <c r="K2247" s="360">
        <f>(1+L2247)/(1+Ke!$O$12)-1</f>
        <v>2.0000000000000018E-2</v>
      </c>
      <c r="L2247" s="360">
        <f>'DRE + DCF'!$Y$31</f>
        <v>7.3550000000000004E-2</v>
      </c>
      <c r="M2247" s="361">
        <f>(1+D2247)^((5-Dashboard!$F$9)*3/12)</f>
        <v>1.2156763635847734</v>
      </c>
      <c r="N2247" s="361">
        <f t="shared" ref="N2247:V2247" si="2304">M2247*(1+$D2247)</f>
        <v>1.5772792979330428</v>
      </c>
      <c r="O2247" s="361">
        <f t="shared" si="2304"/>
        <v>2.0464410251031988</v>
      </c>
      <c r="P2247" s="361">
        <f t="shared" si="2304"/>
        <v>2.6551549080201093</v>
      </c>
      <c r="Q2247" s="361">
        <f t="shared" si="2304"/>
        <v>3.4449307354106442</v>
      </c>
      <c r="R2247" s="361">
        <f t="shared" si="2304"/>
        <v>4.4696253826584798</v>
      </c>
      <c r="S2247" s="361">
        <f t="shared" si="2304"/>
        <v>5.7991154527301658</v>
      </c>
      <c r="T2247" s="361">
        <f t="shared" si="2304"/>
        <v>7.5240623441446521</v>
      </c>
      <c r="U2247" s="361">
        <f t="shared" si="2304"/>
        <v>9.7620946884103468</v>
      </c>
      <c r="V2247" s="362">
        <f t="shared" si="2304"/>
        <v>12.665829753477833</v>
      </c>
      <c r="X2247" s="351"/>
    </row>
    <row r="2248" spans="3:24" ht="24.75" customHeight="1" x14ac:dyDescent="0.3">
      <c r="C2248" s="353">
        <f>ABS(E2248-Dashboard!$F$14)</f>
        <v>42.609351684120334</v>
      </c>
      <c r="D2248" s="350">
        <f t="shared" si="2247"/>
        <v>0.2975499999999825</v>
      </c>
      <c r="E2248" s="359" cm="1">
        <f t="array" ref="E2248">1000*SUM('DRE + DCF'!$L$36/M2248,'DRE + DCF'!$N$36:$V$36/N2248:V2248,F2248/V2248)/Dashboard!$F$11</f>
        <v>54.380648315879661</v>
      </c>
      <c r="F2248" s="359">
        <f t="shared" si="2245"/>
        <v>8853185.8958747685</v>
      </c>
      <c r="G2248" s="359">
        <f>'DRE + DCF'!$W$31</f>
        <v>2791623.3540418856</v>
      </c>
      <c r="H2248" s="359">
        <f>'DRE + DCF'!$W$32</f>
        <v>81081.931703745853</v>
      </c>
      <c r="I2248" s="359">
        <f>-H2248*('DRE + DCF'!$V$33+K2248)/'DRE + DCF'!$V$33</f>
        <v>-90858.801614444121</v>
      </c>
      <c r="J2248" s="359">
        <f>-'DRE + DCF'!$V$56*L2248</f>
        <v>-1188924.4255577971</v>
      </c>
      <c r="K2248" s="360">
        <f>(1+L2248)/(1+Ke!$O$12)-1</f>
        <v>2.0000000000000018E-2</v>
      </c>
      <c r="L2248" s="360">
        <f>'DRE + DCF'!$Y$31</f>
        <v>7.3550000000000004E-2</v>
      </c>
      <c r="M2248" s="361">
        <f>(1+D2248)^((5-Dashboard!$F$9)*3/12)</f>
        <v>1.2157466359258149</v>
      </c>
      <c r="N2248" s="361">
        <f t="shared" ref="N2248:V2248" si="2305">M2248*(1+$D2248)</f>
        <v>1.5774920474455199</v>
      </c>
      <c r="O2248" s="361">
        <f t="shared" si="2305"/>
        <v>2.0468748061629065</v>
      </c>
      <c r="P2248" s="361">
        <f t="shared" si="2305"/>
        <v>2.6559224047366432</v>
      </c>
      <c r="Q2248" s="361">
        <f t="shared" si="2305"/>
        <v>3.4461921162659848</v>
      </c>
      <c r="R2248" s="361">
        <f t="shared" si="2305"/>
        <v>4.4716065804608682</v>
      </c>
      <c r="S2248" s="361">
        <f t="shared" si="2305"/>
        <v>5.8021331184769211</v>
      </c>
      <c r="T2248" s="361">
        <f t="shared" si="2305"/>
        <v>7.5285578278796272</v>
      </c>
      <c r="U2248" s="361">
        <f t="shared" si="2305"/>
        <v>9.768680209565078</v>
      </c>
      <c r="V2248" s="362">
        <f t="shared" si="2305"/>
        <v>12.675351005920996</v>
      </c>
      <c r="X2248" s="351"/>
    </row>
    <row r="2249" spans="3:24" ht="24.75" customHeight="1" x14ac:dyDescent="0.3">
      <c r="C2249" s="353">
        <f>ABS(E2249-Dashboard!$F$14)</f>
        <v>42.637711006141679</v>
      </c>
      <c r="D2249" s="350">
        <f t="shared" si="2247"/>
        <v>0.29764999999998248</v>
      </c>
      <c r="E2249" s="359" cm="1">
        <f t="array" ref="E2249">1000*SUM('DRE + DCF'!$L$36/M2249,'DRE + DCF'!$N$36:$V$36/N2249:V2249,F2249/V2249)/Dashboard!$F$11</f>
        <v>54.352288993858316</v>
      </c>
      <c r="F2249" s="359">
        <f t="shared" si="2245"/>
        <v>8849790.6397902723</v>
      </c>
      <c r="G2249" s="359">
        <f>'DRE + DCF'!$W$31</f>
        <v>2791623.3540418856</v>
      </c>
      <c r="H2249" s="359">
        <f>'DRE + DCF'!$W$32</f>
        <v>81081.931703745853</v>
      </c>
      <c r="I2249" s="359">
        <f>-H2249*('DRE + DCF'!$V$33+K2249)/'DRE + DCF'!$V$33</f>
        <v>-90858.801614444121</v>
      </c>
      <c r="J2249" s="359">
        <f>-'DRE + DCF'!$V$56*L2249</f>
        <v>-1188924.4255577971</v>
      </c>
      <c r="K2249" s="360">
        <f>(1+L2249)/(1+Ke!$O$12)-1</f>
        <v>2.0000000000000018E-2</v>
      </c>
      <c r="L2249" s="360">
        <f>'DRE + DCF'!$Y$31</f>
        <v>7.3550000000000004E-2</v>
      </c>
      <c r="M2249" s="361">
        <f>(1+D2249)^((5-Dashboard!$F$9)*3/12)</f>
        <v>1.2158169069129268</v>
      </c>
      <c r="N2249" s="361">
        <f t="shared" ref="N2249:V2249" si="2306">M2249*(1+$D2249)</f>
        <v>1.5777048092555381</v>
      </c>
      <c r="O2249" s="361">
        <f t="shared" si="2306"/>
        <v>2.0473086457304213</v>
      </c>
      <c r="P2249" s="361">
        <f t="shared" si="2306"/>
        <v>2.6566900641320452</v>
      </c>
      <c r="Q2249" s="361">
        <f t="shared" si="2306"/>
        <v>3.4474538617209016</v>
      </c>
      <c r="R2249" s="361">
        <f t="shared" si="2306"/>
        <v>4.4735885036620671</v>
      </c>
      <c r="S2249" s="361">
        <f t="shared" si="2306"/>
        <v>5.8051521217770023</v>
      </c>
      <c r="T2249" s="361">
        <f t="shared" si="2306"/>
        <v>7.5330556508238251</v>
      </c>
      <c r="U2249" s="361">
        <f t="shared" si="2306"/>
        <v>9.775269665291404</v>
      </c>
      <c r="V2249" s="362">
        <f t="shared" si="2306"/>
        <v>12.684878681165218</v>
      </c>
      <c r="X2249" s="351"/>
    </row>
    <row r="2250" spans="3:24" ht="24.75" customHeight="1" x14ac:dyDescent="0.3">
      <c r="C2250" s="353">
        <f>ABS(E2250-Dashboard!$F$14)</f>
        <v>42.666043987382601</v>
      </c>
      <c r="D2250" s="350">
        <f t="shared" si="2247"/>
        <v>0.29774999999998247</v>
      </c>
      <c r="E2250" s="359" cm="1">
        <f t="array" ref="E2250">1000*SUM('DRE + DCF'!$L$36/M2250,'DRE + DCF'!$N$36:$V$36/N2250:V2250,F2250/V2250)/Dashboard!$F$11</f>
        <v>54.323956012617394</v>
      </c>
      <c r="F2250" s="359">
        <f t="shared" si="2245"/>
        <v>8846398.0396521296</v>
      </c>
      <c r="G2250" s="359">
        <f>'DRE + DCF'!$W$31</f>
        <v>2791623.3540418856</v>
      </c>
      <c r="H2250" s="359">
        <f>'DRE + DCF'!$W$32</f>
        <v>81081.931703745853</v>
      </c>
      <c r="I2250" s="359">
        <f>-H2250*('DRE + DCF'!$V$33+K2250)/'DRE + DCF'!$V$33</f>
        <v>-90858.801614444121</v>
      </c>
      <c r="J2250" s="359">
        <f>-'DRE + DCF'!$V$56*L2250</f>
        <v>-1188924.4255577971</v>
      </c>
      <c r="K2250" s="360">
        <f>(1+L2250)/(1+Ke!$O$12)-1</f>
        <v>2.0000000000000018E-2</v>
      </c>
      <c r="L2250" s="360">
        <f>'DRE + DCF'!$Y$31</f>
        <v>7.3550000000000004E-2</v>
      </c>
      <c r="M2250" s="361">
        <f>(1+D2250)^((5-Dashboard!$F$9)*3/12)</f>
        <v>1.2158871765462391</v>
      </c>
      <c r="N2250" s="361">
        <f t="shared" ref="N2250:V2250" si="2307">M2250*(1+$D2250)</f>
        <v>1.5779175833628605</v>
      </c>
      <c r="O2250" s="361">
        <f t="shared" si="2307"/>
        <v>2.0477425438091243</v>
      </c>
      <c r="P2250" s="361">
        <f t="shared" si="2307"/>
        <v>2.6574578862282552</v>
      </c>
      <c r="Q2250" s="361">
        <f t="shared" si="2307"/>
        <v>3.4487159718526716</v>
      </c>
      <c r="R2250" s="361">
        <f t="shared" si="2307"/>
        <v>4.4755711524717441</v>
      </c>
      <c r="S2250" s="361">
        <f t="shared" si="2307"/>
        <v>5.808172463120127</v>
      </c>
      <c r="T2250" s="361">
        <f t="shared" si="2307"/>
        <v>7.5375558140140431</v>
      </c>
      <c r="U2250" s="361">
        <f t="shared" si="2307"/>
        <v>9.7818630576365919</v>
      </c>
      <c r="V2250" s="362">
        <f t="shared" si="2307"/>
        <v>12.694412783047715</v>
      </c>
      <c r="X2250" s="351"/>
    </row>
    <row r="2251" spans="3:24" ht="24.75" customHeight="1" x14ac:dyDescent="0.3">
      <c r="C2251" s="353">
        <f>ABS(E2251-Dashboard!$F$14)</f>
        <v>42.694350661890013</v>
      </c>
      <c r="D2251" s="350">
        <f t="shared" si="2247"/>
        <v>0.29784999999998246</v>
      </c>
      <c r="E2251" s="359" cm="1">
        <f t="array" ref="E2251">1000*SUM('DRE + DCF'!$L$36/M2251,'DRE + DCF'!$N$36:$V$36/N2251:V2251,F2251/V2251)/Dashboard!$F$11</f>
        <v>54.295649338109982</v>
      </c>
      <c r="F2251" s="359">
        <f t="shared" si="2245"/>
        <v>8843008.0922833793</v>
      </c>
      <c r="G2251" s="359">
        <f>'DRE + DCF'!$W$31</f>
        <v>2791623.3540418856</v>
      </c>
      <c r="H2251" s="359">
        <f>'DRE + DCF'!$W$32</f>
        <v>81081.931703745853</v>
      </c>
      <c r="I2251" s="359">
        <f>-H2251*('DRE + DCF'!$V$33+K2251)/'DRE + DCF'!$V$33</f>
        <v>-90858.801614444121</v>
      </c>
      <c r="J2251" s="359">
        <f>-'DRE + DCF'!$V$56*L2251</f>
        <v>-1188924.4255577971</v>
      </c>
      <c r="K2251" s="360">
        <f>(1+L2251)/(1+Ke!$O$12)-1</f>
        <v>2.0000000000000018E-2</v>
      </c>
      <c r="L2251" s="360">
        <f>'DRE + DCF'!$Y$31</f>
        <v>7.3550000000000004E-2</v>
      </c>
      <c r="M2251" s="361">
        <f>(1+D2251)^((5-Dashboard!$F$9)*3/12)</f>
        <v>1.2159574448258825</v>
      </c>
      <c r="N2251" s="361">
        <f t="shared" ref="N2251:V2251" si="2308">M2251*(1+$D2251)</f>
        <v>1.5781303697672502</v>
      </c>
      <c r="O2251" s="361">
        <f t="shared" si="2308"/>
        <v>2.048176500402398</v>
      </c>
      <c r="P2251" s="361">
        <f t="shared" si="2308"/>
        <v>2.658225871047216</v>
      </c>
      <c r="Q2251" s="361">
        <f t="shared" si="2308"/>
        <v>3.4499784467385823</v>
      </c>
      <c r="R2251" s="361">
        <f t="shared" si="2308"/>
        <v>4.477554527099608</v>
      </c>
      <c r="S2251" s="361">
        <f t="shared" si="2308"/>
        <v>5.8111941429961478</v>
      </c>
      <c r="T2251" s="361">
        <f t="shared" si="2308"/>
        <v>7.5420583184874479</v>
      </c>
      <c r="U2251" s="361">
        <f t="shared" si="2308"/>
        <v>9.7884603886488009</v>
      </c>
      <c r="V2251" s="362">
        <f t="shared" si="2308"/>
        <v>12.703953315407674</v>
      </c>
      <c r="X2251" s="351"/>
    </row>
    <row r="2252" spans="3:24" ht="24.75" customHeight="1" x14ac:dyDescent="0.3">
      <c r="C2252" s="353">
        <f>ABS(E2252-Dashboard!$F$14)</f>
        <v>42.722631063654454</v>
      </c>
      <c r="D2252" s="350">
        <f t="shared" si="2247"/>
        <v>0.29794999999998245</v>
      </c>
      <c r="E2252" s="359" cm="1">
        <f t="array" ref="E2252">1000*SUM('DRE + DCF'!$L$36/M2252,'DRE + DCF'!$N$36:$V$36/N2252:V2252,F2252/V2252)/Dashboard!$F$11</f>
        <v>54.267368936345541</v>
      </c>
      <c r="F2252" s="359">
        <f t="shared" si="2245"/>
        <v>8839620.7945122197</v>
      </c>
      <c r="G2252" s="359">
        <f>'DRE + DCF'!$W$31</f>
        <v>2791623.3540418856</v>
      </c>
      <c r="H2252" s="359">
        <f>'DRE + DCF'!$W$32</f>
        <v>81081.931703745853</v>
      </c>
      <c r="I2252" s="359">
        <f>-H2252*('DRE + DCF'!$V$33+K2252)/'DRE + DCF'!$V$33</f>
        <v>-90858.801614444121</v>
      </c>
      <c r="J2252" s="359">
        <f>-'DRE + DCF'!$V$56*L2252</f>
        <v>-1188924.4255577971</v>
      </c>
      <c r="K2252" s="360">
        <f>(1+L2252)/(1+Ke!$O$12)-1</f>
        <v>2.0000000000000018E-2</v>
      </c>
      <c r="L2252" s="360">
        <f>'DRE + DCF'!$Y$31</f>
        <v>7.3550000000000004E-2</v>
      </c>
      <c r="M2252" s="361">
        <f>(1+D2252)^((5-Dashboard!$F$9)*3/12)</f>
        <v>1.2160277117519873</v>
      </c>
      <c r="N2252" s="361">
        <f t="shared" ref="N2252:V2252" si="2309">M2252*(1+$D2252)</f>
        <v>1.5783431684684706</v>
      </c>
      <c r="O2252" s="361">
        <f t="shared" si="2309"/>
        <v>2.0486105155136234</v>
      </c>
      <c r="P2252" s="361">
        <f t="shared" si="2309"/>
        <v>2.6589940186108714</v>
      </c>
      <c r="Q2252" s="361">
        <f t="shared" si="2309"/>
        <v>3.4512412864559336</v>
      </c>
      <c r="R2252" s="361">
        <f t="shared" si="2309"/>
        <v>4.4795386277554181</v>
      </c>
      <c r="S2252" s="361">
        <f t="shared" si="2309"/>
        <v>5.8142171618950664</v>
      </c>
      <c r="T2252" s="361">
        <f t="shared" si="2309"/>
        <v>7.546563165281599</v>
      </c>
      <c r="U2252" s="361">
        <f t="shared" si="2309"/>
        <v>9.7950616603771188</v>
      </c>
      <c r="V2252" s="362">
        <f t="shared" si="2309"/>
        <v>12.71350028208631</v>
      </c>
      <c r="X2252" s="351"/>
    </row>
    <row r="2253" spans="3:24" ht="24.75" customHeight="1" x14ac:dyDescent="0.3">
      <c r="C2253" s="353">
        <f>ABS(E2253-Dashboard!$F$14)</f>
        <v>42.750885226610094</v>
      </c>
      <c r="D2253" s="350">
        <f t="shared" si="2247"/>
        <v>0.29804999999998244</v>
      </c>
      <c r="E2253" s="359" cm="1">
        <f t="array" ref="E2253">1000*SUM('DRE + DCF'!$L$36/M2253,'DRE + DCF'!$N$36:$V$36/N2253:V2253,F2253/V2253)/Dashboard!$F$11</f>
        <v>54.2391147733899</v>
      </c>
      <c r="F2253" s="359">
        <f t="shared" si="2245"/>
        <v>8836236.1431719959</v>
      </c>
      <c r="G2253" s="359">
        <f>'DRE + DCF'!$W$31</f>
        <v>2791623.3540418856</v>
      </c>
      <c r="H2253" s="359">
        <f>'DRE + DCF'!$W$32</f>
        <v>81081.931703745853</v>
      </c>
      <c r="I2253" s="359">
        <f>-H2253*('DRE + DCF'!$V$33+K2253)/'DRE + DCF'!$V$33</f>
        <v>-90858.801614444121</v>
      </c>
      <c r="J2253" s="359">
        <f>-'DRE + DCF'!$V$56*L2253</f>
        <v>-1188924.4255577971</v>
      </c>
      <c r="K2253" s="360">
        <f>(1+L2253)/(1+Ke!$O$12)-1</f>
        <v>2.0000000000000018E-2</v>
      </c>
      <c r="L2253" s="360">
        <f>'DRE + DCF'!$Y$31</f>
        <v>7.3550000000000004E-2</v>
      </c>
      <c r="M2253" s="361">
        <f>(1+D2253)^((5-Dashboard!$F$9)*3/12)</f>
        <v>1.2160979773246838</v>
      </c>
      <c r="N2253" s="361">
        <f t="shared" ref="N2253:V2253" si="2310">M2253*(1+$D2253)</f>
        <v>1.5785559794662845</v>
      </c>
      <c r="O2253" s="361">
        <f t="shared" si="2310"/>
        <v>2.0490445891461828</v>
      </c>
      <c r="P2253" s="361">
        <f t="shared" si="2310"/>
        <v>2.6597623289411665</v>
      </c>
      <c r="Q2253" s="361">
        <f t="shared" si="2310"/>
        <v>3.4525044910820344</v>
      </c>
      <c r="R2253" s="361">
        <f t="shared" si="2310"/>
        <v>4.4815234546489737</v>
      </c>
      <c r="S2253" s="361">
        <f t="shared" si="2310"/>
        <v>5.8172415203070216</v>
      </c>
      <c r="T2253" s="361">
        <f t="shared" si="2310"/>
        <v>7.551070355434427</v>
      </c>
      <c r="U2253" s="361">
        <f t="shared" si="2310"/>
        <v>9.8016668748715254</v>
      </c>
      <c r="V2253" s="362">
        <f t="shared" si="2310"/>
        <v>12.723053686926811</v>
      </c>
      <c r="X2253" s="351"/>
    </row>
    <row r="2254" spans="3:24" ht="24.75" customHeight="1" x14ac:dyDescent="0.3">
      <c r="C2254" s="353">
        <f>ABS(E2254-Dashboard!$F$14)</f>
        <v>42.77911318463493</v>
      </c>
      <c r="D2254" s="350">
        <f t="shared" si="2247"/>
        <v>0.29814999999998243</v>
      </c>
      <c r="E2254" s="359" cm="1">
        <f t="array" ref="E2254">1000*SUM('DRE + DCF'!$L$36/M2254,'DRE + DCF'!$N$36:$V$36/N2254:V2254,F2254/V2254)/Dashboard!$F$11</f>
        <v>54.210886815365065</v>
      </c>
      <c r="F2254" s="359">
        <f t="shared" ref="F2254:F2317" si="2311">AVERAGE(SUM(G2254:J2254)*(1+L2254)/(D2254-L2254),G2254*(1+L2254)*(1-L2254/D2254)/(D2254-L2254))</f>
        <v>8832854.1351011917</v>
      </c>
      <c r="G2254" s="359">
        <f>'DRE + DCF'!$W$31</f>
        <v>2791623.3540418856</v>
      </c>
      <c r="H2254" s="359">
        <f>'DRE + DCF'!$W$32</f>
        <v>81081.931703745853</v>
      </c>
      <c r="I2254" s="359">
        <f>-H2254*('DRE + DCF'!$V$33+K2254)/'DRE + DCF'!$V$33</f>
        <v>-90858.801614444121</v>
      </c>
      <c r="J2254" s="359">
        <f>-'DRE + DCF'!$V$56*L2254</f>
        <v>-1188924.4255577971</v>
      </c>
      <c r="K2254" s="360">
        <f>(1+L2254)/(1+Ke!$O$12)-1</f>
        <v>2.0000000000000018E-2</v>
      </c>
      <c r="L2254" s="360">
        <f>'DRE + DCF'!$Y$31</f>
        <v>7.3550000000000004E-2</v>
      </c>
      <c r="M2254" s="361">
        <f>(1+D2254)^((5-Dashboard!$F$9)*3/12)</f>
        <v>1.2161682415441024</v>
      </c>
      <c r="N2254" s="361">
        <f t="shared" ref="N2254:V2254" si="2312">M2254*(1+$D2254)</f>
        <v>1.5787688027604552</v>
      </c>
      <c r="O2254" s="361">
        <f t="shared" si="2312"/>
        <v>2.0494787213034571</v>
      </c>
      <c r="P2254" s="361">
        <f t="shared" si="2312"/>
        <v>2.6605308020600469</v>
      </c>
      <c r="Q2254" s="361">
        <f t="shared" si="2312"/>
        <v>3.4537680606942032</v>
      </c>
      <c r="R2254" s="361">
        <f t="shared" si="2312"/>
        <v>4.4835090079901185</v>
      </c>
      <c r="S2254" s="361">
        <f t="shared" si="2312"/>
        <v>5.820267218722293</v>
      </c>
      <c r="T2254" s="361">
        <f t="shared" si="2312"/>
        <v>7.5555798899842417</v>
      </c>
      <c r="U2254" s="361">
        <f t="shared" si="2312"/>
        <v>9.8082760341829101</v>
      </c>
      <c r="V2254" s="362">
        <f t="shared" si="2312"/>
        <v>12.732613533774371</v>
      </c>
      <c r="X2254" s="351"/>
    </row>
    <row r="2255" spans="3:24" ht="24.75" customHeight="1" x14ac:dyDescent="0.3">
      <c r="C2255" s="353">
        <f>ABS(E2255-Dashboard!$F$14)</f>
        <v>42.807314971550902</v>
      </c>
      <c r="D2255" s="350">
        <f t="shared" ref="D2255:D2318" si="2313">D2254+0.0001</f>
        <v>0.29824999999998242</v>
      </c>
      <c r="E2255" s="359" cm="1">
        <f t="array" ref="E2255">1000*SUM('DRE + DCF'!$L$36/M2255,'DRE + DCF'!$N$36:$V$36/N2255:V2255,F2255/V2255)/Dashboard!$F$11</f>
        <v>54.182685028449093</v>
      </c>
      <c r="F2255" s="359">
        <f t="shared" si="2311"/>
        <v>8829474.7671434227</v>
      </c>
      <c r="G2255" s="359">
        <f>'DRE + DCF'!$W$31</f>
        <v>2791623.3540418856</v>
      </c>
      <c r="H2255" s="359">
        <f>'DRE + DCF'!$W$32</f>
        <v>81081.931703745853</v>
      </c>
      <c r="I2255" s="359">
        <f>-H2255*('DRE + DCF'!$V$33+K2255)/'DRE + DCF'!$V$33</f>
        <v>-90858.801614444121</v>
      </c>
      <c r="J2255" s="359">
        <f>-'DRE + DCF'!$V$56*L2255</f>
        <v>-1188924.4255577971</v>
      </c>
      <c r="K2255" s="360">
        <f>(1+L2255)/(1+Ke!$O$12)-1</f>
        <v>2.0000000000000018E-2</v>
      </c>
      <c r="L2255" s="360">
        <f>'DRE + DCF'!$Y$31</f>
        <v>7.3550000000000004E-2</v>
      </c>
      <c r="M2255" s="361">
        <f>(1+D2255)^((5-Dashboard!$F$9)*3/12)</f>
        <v>1.2162385044103734</v>
      </c>
      <c r="N2255" s="361">
        <f t="shared" ref="N2255:V2255" si="2314">M2255*(1+$D2255)</f>
        <v>1.5789816383507458</v>
      </c>
      <c r="O2255" s="361">
        <f t="shared" si="2314"/>
        <v>2.049912911988828</v>
      </c>
      <c r="P2255" s="361">
        <f t="shared" si="2314"/>
        <v>2.6612994379894599</v>
      </c>
      <c r="Q2255" s="361">
        <f t="shared" si="2314"/>
        <v>3.4550319953697692</v>
      </c>
      <c r="R2255" s="361">
        <f t="shared" si="2314"/>
        <v>4.4854952879887424</v>
      </c>
      <c r="S2255" s="361">
        <f t="shared" si="2314"/>
        <v>5.8232942576313054</v>
      </c>
      <c r="T2255" s="361">
        <f t="shared" si="2314"/>
        <v>7.5600917699697394</v>
      </c>
      <c r="U2255" s="361">
        <f t="shared" si="2314"/>
        <v>9.8148891403630802</v>
      </c>
      <c r="V2255" s="362">
        <f t="shared" si="2314"/>
        <v>12.742179826476196</v>
      </c>
      <c r="X2255" s="351"/>
    </row>
    <row r="2256" spans="3:24" ht="24.75" customHeight="1" x14ac:dyDescent="0.3">
      <c r="C2256" s="353">
        <f>ABS(E2256-Dashboard!$F$14)</f>
        <v>42.835490621124002</v>
      </c>
      <c r="D2256" s="350">
        <f t="shared" si="2313"/>
        <v>0.29834999999998241</v>
      </c>
      <c r="E2256" s="359" cm="1">
        <f t="array" ref="E2256">1000*SUM('DRE + DCF'!$L$36/M2256,'DRE + DCF'!$N$36:$V$36/N2256:V2256,F2256/V2256)/Dashboard!$F$11</f>
        <v>54.154509378875993</v>
      </c>
      <c r="F2256" s="359">
        <f t="shared" si="2311"/>
        <v>8826098.0361474138</v>
      </c>
      <c r="G2256" s="359">
        <f>'DRE + DCF'!$W$31</f>
        <v>2791623.3540418856</v>
      </c>
      <c r="H2256" s="359">
        <f>'DRE + DCF'!$W$32</f>
        <v>81081.931703745853</v>
      </c>
      <c r="I2256" s="359">
        <f>-H2256*('DRE + DCF'!$V$33+K2256)/'DRE + DCF'!$V$33</f>
        <v>-90858.801614444121</v>
      </c>
      <c r="J2256" s="359">
        <f>-'DRE + DCF'!$V$56*L2256</f>
        <v>-1188924.4255577971</v>
      </c>
      <c r="K2256" s="360">
        <f>(1+L2256)/(1+Ke!$O$12)-1</f>
        <v>2.0000000000000018E-2</v>
      </c>
      <c r="L2256" s="360">
        <f>'DRE + DCF'!$Y$31</f>
        <v>7.3550000000000004E-2</v>
      </c>
      <c r="M2256" s="361">
        <f>(1+D2256)^((5-Dashboard!$F$9)*3/12)</f>
        <v>1.2163087659236271</v>
      </c>
      <c r="N2256" s="361">
        <f t="shared" ref="N2256:V2256" si="2315">M2256*(1+$D2256)</f>
        <v>1.5791944862369198</v>
      </c>
      <c r="O2256" s="361">
        <f t="shared" si="2315"/>
        <v>2.0503471612056772</v>
      </c>
      <c r="P2256" s="361">
        <f t="shared" si="2315"/>
        <v>2.6620682367513546</v>
      </c>
      <c r="Q2256" s="361">
        <f t="shared" si="2315"/>
        <v>3.4562962951860743</v>
      </c>
      <c r="R2256" s="361">
        <f t="shared" si="2315"/>
        <v>4.4874822948547788</v>
      </c>
      <c r="S2256" s="361">
        <f t="shared" si="2315"/>
        <v>5.8263226375246226</v>
      </c>
      <c r="T2256" s="361">
        <f t="shared" si="2315"/>
        <v>7.5646059964299912</v>
      </c>
      <c r="U2256" s="361">
        <f t="shared" si="2315"/>
        <v>9.821506195464746</v>
      </c>
      <c r="V2256" s="362">
        <f t="shared" si="2315"/>
        <v>12.75175256888148</v>
      </c>
      <c r="X2256" s="351"/>
    </row>
    <row r="2257" spans="3:24" ht="24.75" customHeight="1" x14ac:dyDescent="0.3">
      <c r="C2257" s="353">
        <f>ABS(E2257-Dashboard!$F$14)</f>
        <v>42.863640167064311</v>
      </c>
      <c r="D2257" s="350">
        <f t="shared" si="2313"/>
        <v>0.2984499999999824</v>
      </c>
      <c r="E2257" s="359" cm="1">
        <f t="array" ref="E2257">1000*SUM('DRE + DCF'!$L$36/M2257,'DRE + DCF'!$N$36:$V$36/N2257:V2257,F2257/V2257)/Dashboard!$F$11</f>
        <v>54.126359832935684</v>
      </c>
      <c r="F2257" s="359">
        <f t="shared" si="2311"/>
        <v>8822723.9389670044</v>
      </c>
      <c r="G2257" s="359">
        <f>'DRE + DCF'!$W$31</f>
        <v>2791623.3540418856</v>
      </c>
      <c r="H2257" s="359">
        <f>'DRE + DCF'!$W$32</f>
        <v>81081.931703745853</v>
      </c>
      <c r="I2257" s="359">
        <f>-H2257*('DRE + DCF'!$V$33+K2257)/'DRE + DCF'!$V$33</f>
        <v>-90858.801614444121</v>
      </c>
      <c r="J2257" s="359">
        <f>-'DRE + DCF'!$V$56*L2257</f>
        <v>-1188924.4255577971</v>
      </c>
      <c r="K2257" s="360">
        <f>(1+L2257)/(1+Ke!$O$12)-1</f>
        <v>2.0000000000000018E-2</v>
      </c>
      <c r="L2257" s="360">
        <f>'DRE + DCF'!$Y$31</f>
        <v>7.3550000000000004E-2</v>
      </c>
      <c r="M2257" s="361">
        <f>(1+D2257)^((5-Dashboard!$F$9)*3/12)</f>
        <v>1.2163790260839937</v>
      </c>
      <c r="N2257" s="361">
        <f t="shared" ref="N2257:V2257" si="2316">M2257*(1+$D2257)</f>
        <v>1.5794073464187401</v>
      </c>
      <c r="O2257" s="361">
        <f t="shared" si="2316"/>
        <v>2.0507814689573851</v>
      </c>
      <c r="P2257" s="361">
        <f t="shared" si="2316"/>
        <v>2.6628371983676806</v>
      </c>
      <c r="Q2257" s="361">
        <f t="shared" si="2316"/>
        <v>3.457560960220468</v>
      </c>
      <c r="R2257" s="361">
        <f t="shared" si="2316"/>
        <v>4.4894700287982054</v>
      </c>
      <c r="S2257" s="361">
        <f t="shared" si="2316"/>
        <v>5.829352358892951</v>
      </c>
      <c r="T2257" s="361">
        <f t="shared" si="2316"/>
        <v>7.5691225704044491</v>
      </c>
      <c r="U2257" s="361">
        <f t="shared" si="2316"/>
        <v>9.8281272015415233</v>
      </c>
      <c r="V2257" s="362">
        <f t="shared" si="2316"/>
        <v>12.761331764841417</v>
      </c>
      <c r="X2257" s="351"/>
    </row>
    <row r="2258" spans="3:24" ht="24.75" customHeight="1" x14ac:dyDescent="0.3">
      <c r="C2258" s="353">
        <f>ABS(E2258-Dashboard!$F$14)</f>
        <v>42.891763643026266</v>
      </c>
      <c r="D2258" s="350">
        <f t="shared" si="2313"/>
        <v>0.29854999999998239</v>
      </c>
      <c r="E2258" s="359" cm="1">
        <f t="array" ref="E2258">1000*SUM('DRE + DCF'!$L$36/M2258,'DRE + DCF'!$N$36:$V$36/N2258:V2258,F2258/V2258)/Dashboard!$F$11</f>
        <v>54.098236356973729</v>
      </c>
      <c r="F2258" s="359">
        <f t="shared" si="2311"/>
        <v>8819352.4724611212</v>
      </c>
      <c r="G2258" s="359">
        <f>'DRE + DCF'!$W$31</f>
        <v>2791623.3540418856</v>
      </c>
      <c r="H2258" s="359">
        <f>'DRE + DCF'!$W$32</f>
        <v>81081.931703745853</v>
      </c>
      <c r="I2258" s="359">
        <f>-H2258*('DRE + DCF'!$V$33+K2258)/'DRE + DCF'!$V$33</f>
        <v>-90858.801614444121</v>
      </c>
      <c r="J2258" s="359">
        <f>-'DRE + DCF'!$V$56*L2258</f>
        <v>-1188924.4255577971</v>
      </c>
      <c r="K2258" s="360">
        <f>(1+L2258)/(1+Ke!$O$12)-1</f>
        <v>2.0000000000000018E-2</v>
      </c>
      <c r="L2258" s="360">
        <f>'DRE + DCF'!$Y$31</f>
        <v>7.3550000000000004E-2</v>
      </c>
      <c r="M2258" s="361">
        <f>(1+D2258)^((5-Dashboard!$F$9)*3/12)</f>
        <v>1.2164492848916035</v>
      </c>
      <c r="N2258" s="361">
        <f t="shared" ref="N2258:V2258" si="2317">M2258*(1+$D2258)</f>
        <v>1.5796202188959703</v>
      </c>
      <c r="O2258" s="361">
        <f t="shared" si="2317"/>
        <v>2.0512158352473344</v>
      </c>
      <c r="P2258" s="361">
        <f t="shared" si="2317"/>
        <v>2.6636063228603897</v>
      </c>
      <c r="Q2258" s="361">
        <f t="shared" si="2317"/>
        <v>3.458825990550312</v>
      </c>
      <c r="R2258" s="361">
        <f t="shared" si="2317"/>
        <v>4.4914584900290464</v>
      </c>
      <c r="S2258" s="361">
        <f t="shared" si="2317"/>
        <v>5.8323834222271387</v>
      </c>
      <c r="T2258" s="361">
        <f t="shared" si="2317"/>
        <v>7.5736414929329481</v>
      </c>
      <c r="U2258" s="361">
        <f t="shared" si="2317"/>
        <v>9.8347521606479464</v>
      </c>
      <c r="V2258" s="362">
        <f t="shared" si="2317"/>
        <v>12.770917418209217</v>
      </c>
      <c r="X2258" s="351"/>
    </row>
    <row r="2259" spans="3:24" ht="24.75" customHeight="1" x14ac:dyDescent="0.3">
      <c r="C2259" s="353">
        <f>ABS(E2259-Dashboard!$F$14)</f>
        <v>42.919861082608605</v>
      </c>
      <c r="D2259" s="350">
        <f t="shared" si="2313"/>
        <v>0.29864999999998237</v>
      </c>
      <c r="E2259" s="359" cm="1">
        <f t="array" ref="E2259">1000*SUM('DRE + DCF'!$L$36/M2259,'DRE + DCF'!$N$36:$V$36/N2259:V2259,F2259/V2259)/Dashboard!$F$11</f>
        <v>54.07013891739139</v>
      </c>
      <c r="F2259" s="359">
        <f t="shared" si="2311"/>
        <v>8815983.633493783</v>
      </c>
      <c r="G2259" s="359">
        <f>'DRE + DCF'!$W$31</f>
        <v>2791623.3540418856</v>
      </c>
      <c r="H2259" s="359">
        <f>'DRE + DCF'!$W$32</f>
        <v>81081.931703745853</v>
      </c>
      <c r="I2259" s="359">
        <f>-H2259*('DRE + DCF'!$V$33+K2259)/'DRE + DCF'!$V$33</f>
        <v>-90858.801614444121</v>
      </c>
      <c r="J2259" s="359">
        <f>-'DRE + DCF'!$V$56*L2259</f>
        <v>-1188924.4255577971</v>
      </c>
      <c r="K2259" s="360">
        <f>(1+L2259)/(1+Ke!$O$12)-1</f>
        <v>2.0000000000000018E-2</v>
      </c>
      <c r="L2259" s="360">
        <f>'DRE + DCF'!$Y$31</f>
        <v>7.3550000000000004E-2</v>
      </c>
      <c r="M2259" s="361">
        <f>(1+D2259)^((5-Dashboard!$F$9)*3/12)</f>
        <v>1.2165195423465867</v>
      </c>
      <c r="N2259" s="361">
        <f t="shared" ref="N2259:V2259" si="2318">M2259*(1+$D2259)</f>
        <v>1.5798331036683733</v>
      </c>
      <c r="O2259" s="361">
        <f t="shared" si="2318"/>
        <v>2.0516502600789051</v>
      </c>
      <c r="P2259" s="361">
        <f t="shared" si="2318"/>
        <v>2.664375610251434</v>
      </c>
      <c r="Q2259" s="361">
        <f t="shared" si="2318"/>
        <v>3.4600913862529779</v>
      </c>
      <c r="R2259" s="361">
        <f t="shared" si="2318"/>
        <v>4.4934476787573683</v>
      </c>
      <c r="S2259" s="361">
        <f t="shared" si="2318"/>
        <v>5.8354158280181769</v>
      </c>
      <c r="T2259" s="361">
        <f t="shared" si="2318"/>
        <v>7.5781627650557022</v>
      </c>
      <c r="U2259" s="361">
        <f t="shared" si="2318"/>
        <v>9.8413810748394539</v>
      </c>
      <c r="V2259" s="362">
        <f t="shared" si="2318"/>
        <v>12.780509532840084</v>
      </c>
      <c r="X2259" s="351"/>
    </row>
    <row r="2260" spans="3:24" ht="24.75" customHeight="1" x14ac:dyDescent="0.3">
      <c r="C2260" s="353">
        <f>ABS(E2260-Dashboard!$F$14)</f>
        <v>42.947932519354609</v>
      </c>
      <c r="D2260" s="350">
        <f t="shared" si="2313"/>
        <v>0.29874999999998236</v>
      </c>
      <c r="E2260" s="359" cm="1">
        <f t="array" ref="E2260">1000*SUM('DRE + DCF'!$L$36/M2260,'DRE + DCF'!$N$36:$V$36/N2260:V2260,F2260/V2260)/Dashboard!$F$11</f>
        <v>54.042067480645386</v>
      </c>
      <c r="F2260" s="359">
        <f t="shared" si="2311"/>
        <v>8812617.4189340807</v>
      </c>
      <c r="G2260" s="359">
        <f>'DRE + DCF'!$W$31</f>
        <v>2791623.3540418856</v>
      </c>
      <c r="H2260" s="359">
        <f>'DRE + DCF'!$W$32</f>
        <v>81081.931703745853</v>
      </c>
      <c r="I2260" s="359">
        <f>-H2260*('DRE + DCF'!$V$33+K2260)/'DRE + DCF'!$V$33</f>
        <v>-90858.801614444121</v>
      </c>
      <c r="J2260" s="359">
        <f>-'DRE + DCF'!$V$56*L2260</f>
        <v>-1188924.4255577971</v>
      </c>
      <c r="K2260" s="360">
        <f>(1+L2260)/(1+Ke!$O$12)-1</f>
        <v>2.0000000000000018E-2</v>
      </c>
      <c r="L2260" s="360">
        <f>'DRE + DCF'!$Y$31</f>
        <v>7.3550000000000004E-2</v>
      </c>
      <c r="M2260" s="361">
        <f>(1+D2260)^((5-Dashboard!$F$9)*3/12)</f>
        <v>1.2165897984490734</v>
      </c>
      <c r="N2260" s="361">
        <f t="shared" ref="N2260:V2260" si="2319">M2260*(1+$D2260)</f>
        <v>1.5800460007357127</v>
      </c>
      <c r="O2260" s="361">
        <f t="shared" si="2319"/>
        <v>2.0520847434554788</v>
      </c>
      <c r="P2260" s="361">
        <f t="shared" si="2319"/>
        <v>2.6651450605627667</v>
      </c>
      <c r="Q2260" s="361">
        <f t="shared" si="2319"/>
        <v>3.4613571474058462</v>
      </c>
      <c r="R2260" s="361">
        <f t="shared" si="2319"/>
        <v>4.4954375951932812</v>
      </c>
      <c r="S2260" s="361">
        <f t="shared" si="2319"/>
        <v>5.8384495767571947</v>
      </c>
      <c r="T2260" s="361">
        <f t="shared" si="2319"/>
        <v>7.5826863878133031</v>
      </c>
      <c r="U2260" s="361">
        <f t="shared" si="2319"/>
        <v>9.8480139461723937</v>
      </c>
      <c r="V2260" s="362">
        <f t="shared" si="2319"/>
        <v>12.790108112591222</v>
      </c>
      <c r="X2260" s="351"/>
    </row>
    <row r="2261" spans="3:24" ht="24.75" customHeight="1" x14ac:dyDescent="0.3">
      <c r="C2261" s="353">
        <f>ABS(E2261-Dashboard!$F$14)</f>
        <v>42.975977986752142</v>
      </c>
      <c r="D2261" s="350">
        <f t="shared" si="2313"/>
        <v>0.29884999999998235</v>
      </c>
      <c r="E2261" s="359" cm="1">
        <f t="array" ref="E2261">1000*SUM('DRE + DCF'!$L$36/M2261,'DRE + DCF'!$N$36:$V$36/N2261:V2261,F2261/V2261)/Dashboard!$F$11</f>
        <v>54.014022013247853</v>
      </c>
      <c r="F2261" s="359">
        <f t="shared" si="2311"/>
        <v>8809253.8256561719</v>
      </c>
      <c r="G2261" s="359">
        <f>'DRE + DCF'!$W$31</f>
        <v>2791623.3540418856</v>
      </c>
      <c r="H2261" s="359">
        <f>'DRE + DCF'!$W$32</f>
        <v>81081.931703745853</v>
      </c>
      <c r="I2261" s="359">
        <f>-H2261*('DRE + DCF'!$V$33+K2261)/'DRE + DCF'!$V$33</f>
        <v>-90858.801614444121</v>
      </c>
      <c r="J2261" s="359">
        <f>-'DRE + DCF'!$V$56*L2261</f>
        <v>-1188924.4255577971</v>
      </c>
      <c r="K2261" s="360">
        <f>(1+L2261)/(1+Ke!$O$12)-1</f>
        <v>2.0000000000000018E-2</v>
      </c>
      <c r="L2261" s="360">
        <f>'DRE + DCF'!$Y$31</f>
        <v>7.3550000000000004E-2</v>
      </c>
      <c r="M2261" s="361">
        <f>(1+D2261)^((5-Dashboard!$F$9)*3/12)</f>
        <v>1.216660053199194</v>
      </c>
      <c r="N2261" s="361">
        <f t="shared" ref="N2261:V2261" si="2320">M2261*(1+$D2261)</f>
        <v>1.5802589100977515</v>
      </c>
      <c r="O2261" s="361">
        <f t="shared" si="2320"/>
        <v>2.0525192853804368</v>
      </c>
      <c r="P2261" s="361">
        <f t="shared" si="2320"/>
        <v>2.6659146738163439</v>
      </c>
      <c r="Q2261" s="361">
        <f t="shared" si="2320"/>
        <v>3.4626232740863112</v>
      </c>
      <c r="R2261" s="361">
        <f t="shared" si="2320"/>
        <v>4.4974282395469443</v>
      </c>
      <c r="S2261" s="361">
        <f t="shared" si="2320"/>
        <v>5.8414846689354691</v>
      </c>
      <c r="T2261" s="361">
        <f t="shared" si="2320"/>
        <v>7.5872123622467305</v>
      </c>
      <c r="U2261" s="361">
        <f t="shared" si="2320"/>
        <v>9.8546507767040321</v>
      </c>
      <c r="V2261" s="362">
        <f t="shared" si="2320"/>
        <v>12.799713161321858</v>
      </c>
      <c r="X2261" s="351"/>
    </row>
    <row r="2262" spans="3:24" ht="24.75" customHeight="1" x14ac:dyDescent="0.3">
      <c r="C2262" s="353">
        <f>ABS(E2262-Dashboard!$F$14)</f>
        <v>43.003997518233774</v>
      </c>
      <c r="D2262" s="350">
        <f t="shared" si="2313"/>
        <v>0.29894999999998234</v>
      </c>
      <c r="E2262" s="359" cm="1">
        <f t="array" ref="E2262">1000*SUM('DRE + DCF'!$L$36/M2262,'DRE + DCF'!$N$36:$V$36/N2262:V2262,F2262/V2262)/Dashboard!$F$11</f>
        <v>53.986002481766221</v>
      </c>
      <c r="F2262" s="359">
        <f t="shared" si="2311"/>
        <v>8805892.8505392633</v>
      </c>
      <c r="G2262" s="359">
        <f>'DRE + DCF'!$W$31</f>
        <v>2791623.3540418856</v>
      </c>
      <c r="H2262" s="359">
        <f>'DRE + DCF'!$W$32</f>
        <v>81081.931703745853</v>
      </c>
      <c r="I2262" s="359">
        <f>-H2262*('DRE + DCF'!$V$33+K2262)/'DRE + DCF'!$V$33</f>
        <v>-90858.801614444121</v>
      </c>
      <c r="J2262" s="359">
        <f>-'DRE + DCF'!$V$56*L2262</f>
        <v>-1188924.4255577971</v>
      </c>
      <c r="K2262" s="360">
        <f>(1+L2262)/(1+Ke!$O$12)-1</f>
        <v>2.0000000000000018E-2</v>
      </c>
      <c r="L2262" s="360">
        <f>'DRE + DCF'!$Y$31</f>
        <v>7.3550000000000004E-2</v>
      </c>
      <c r="M2262" s="361">
        <f>(1+D2262)^((5-Dashboard!$F$9)*3/12)</f>
        <v>1.2167303065970783</v>
      </c>
      <c r="N2262" s="361">
        <f t="shared" ref="N2262:V2262" si="2321">M2262*(1+$D2262)</f>
        <v>1.5804718317542532</v>
      </c>
      <c r="O2262" s="361">
        <f t="shared" si="2321"/>
        <v>2.0529538858571592</v>
      </c>
      <c r="P2262" s="361">
        <f t="shared" si="2321"/>
        <v>2.6666844500341207</v>
      </c>
      <c r="Q2262" s="361">
        <f t="shared" si="2321"/>
        <v>3.463889766371774</v>
      </c>
      <c r="R2262" s="361">
        <f t="shared" si="2321"/>
        <v>4.4994196120285546</v>
      </c>
      <c r="S2262" s="361">
        <f t="shared" si="2321"/>
        <v>5.8445211050444108</v>
      </c>
      <c r="T2262" s="361">
        <f t="shared" si="2321"/>
        <v>7.5917406893973336</v>
      </c>
      <c r="U2262" s="361">
        <f t="shared" si="2321"/>
        <v>9.8612915684925326</v>
      </c>
      <c r="V2262" s="362">
        <f t="shared" si="2321"/>
        <v>12.8093246828932</v>
      </c>
      <c r="X2262" s="351"/>
    </row>
    <row r="2263" spans="3:24" ht="24.75" customHeight="1" x14ac:dyDescent="0.3">
      <c r="C2263" s="353">
        <f>ABS(E2263-Dashboard!$F$14)</f>
        <v>43.031991147176967</v>
      </c>
      <c r="D2263" s="350">
        <f t="shared" si="2313"/>
        <v>0.29904999999998233</v>
      </c>
      <c r="E2263" s="359" cm="1">
        <f t="array" ref="E2263">1000*SUM('DRE + DCF'!$L$36/M2263,'DRE + DCF'!$N$36:$V$36/N2263:V2263,F2263/V2263)/Dashboard!$F$11</f>
        <v>53.958008852823028</v>
      </c>
      <c r="F2263" s="359">
        <f t="shared" si="2311"/>
        <v>8802534.4904676136</v>
      </c>
      <c r="G2263" s="359">
        <f>'DRE + DCF'!$W$31</f>
        <v>2791623.3540418856</v>
      </c>
      <c r="H2263" s="359">
        <f>'DRE + DCF'!$W$32</f>
        <v>81081.931703745853</v>
      </c>
      <c r="I2263" s="359">
        <f>-H2263*('DRE + DCF'!$V$33+K2263)/'DRE + DCF'!$V$33</f>
        <v>-90858.801614444121</v>
      </c>
      <c r="J2263" s="359">
        <f>-'DRE + DCF'!$V$56*L2263</f>
        <v>-1188924.4255577971</v>
      </c>
      <c r="K2263" s="360">
        <f>(1+L2263)/(1+Ke!$O$12)-1</f>
        <v>2.0000000000000018E-2</v>
      </c>
      <c r="L2263" s="360">
        <f>'DRE + DCF'!$Y$31</f>
        <v>7.3550000000000004E-2</v>
      </c>
      <c r="M2263" s="361">
        <f>(1+D2263)^((5-Dashboard!$F$9)*3/12)</f>
        <v>1.2168005586428567</v>
      </c>
      <c r="N2263" s="361">
        <f t="shared" ref="N2263:V2263" si="2322">M2263*(1+$D2263)</f>
        <v>1.5806847657049814</v>
      </c>
      <c r="O2263" s="361">
        <f t="shared" si="2322"/>
        <v>2.0533885448890281</v>
      </c>
      <c r="P2263" s="361">
        <f t="shared" si="2322"/>
        <v>2.6674543892380558</v>
      </c>
      <c r="Q2263" s="361">
        <f t="shared" si="2322"/>
        <v>3.4651566243396492</v>
      </c>
      <c r="R2263" s="361">
        <f t="shared" si="2322"/>
        <v>4.5014117128483599</v>
      </c>
      <c r="S2263" s="361">
        <f t="shared" si="2322"/>
        <v>5.847558885575582</v>
      </c>
      <c r="T2263" s="361">
        <f t="shared" si="2322"/>
        <v>7.5962713703068561</v>
      </c>
      <c r="U2263" s="361">
        <f t="shared" si="2322"/>
        <v>9.8679363235969859</v>
      </c>
      <c r="V2263" s="362">
        <f t="shared" si="2322"/>
        <v>12.81894268116849</v>
      </c>
      <c r="X2263" s="351"/>
    </row>
    <row r="2264" spans="3:24" ht="24.75" customHeight="1" x14ac:dyDescent="0.3">
      <c r="C2264" s="353">
        <f>ABS(E2264-Dashboard!$F$14)</f>
        <v>43.059958906904043</v>
      </c>
      <c r="D2264" s="350">
        <f t="shared" si="2313"/>
        <v>0.29914999999998232</v>
      </c>
      <c r="E2264" s="359" cm="1">
        <f t="array" ref="E2264">1000*SUM('DRE + DCF'!$L$36/M2264,'DRE + DCF'!$N$36:$V$36/N2264:V2264,F2264/V2264)/Dashboard!$F$11</f>
        <v>53.930041093095952</v>
      </c>
      <c r="F2264" s="359">
        <f t="shared" si="2311"/>
        <v>8799178.7423305046</v>
      </c>
      <c r="G2264" s="359">
        <f>'DRE + DCF'!$W$31</f>
        <v>2791623.3540418856</v>
      </c>
      <c r="H2264" s="359">
        <f>'DRE + DCF'!$W$32</f>
        <v>81081.931703745853</v>
      </c>
      <c r="I2264" s="359">
        <f>-H2264*('DRE + DCF'!$V$33+K2264)/'DRE + DCF'!$V$33</f>
        <v>-90858.801614444121</v>
      </c>
      <c r="J2264" s="359">
        <f>-'DRE + DCF'!$V$56*L2264</f>
        <v>-1188924.4255577971</v>
      </c>
      <c r="K2264" s="360">
        <f>(1+L2264)/(1+Ke!$O$12)-1</f>
        <v>2.0000000000000018E-2</v>
      </c>
      <c r="L2264" s="360">
        <f>'DRE + DCF'!$Y$31</f>
        <v>7.3550000000000004E-2</v>
      </c>
      <c r="M2264" s="361">
        <f>(1+D2264)^((5-Dashboard!$F$9)*3/12)</f>
        <v>1.2168708093366594</v>
      </c>
      <c r="N2264" s="361">
        <f t="shared" ref="N2264:V2264" si="2323">M2264*(1+$D2264)</f>
        <v>1.5808977119496994</v>
      </c>
      <c r="O2264" s="361">
        <f t="shared" si="2323"/>
        <v>2.0538232624794239</v>
      </c>
      <c r="P2264" s="361">
        <f t="shared" si="2323"/>
        <v>2.6682244914501072</v>
      </c>
      <c r="Q2264" s="361">
        <f t="shared" si="2323"/>
        <v>3.4664238480673593</v>
      </c>
      <c r="R2264" s="361">
        <f t="shared" si="2323"/>
        <v>4.5034045422166482</v>
      </c>
      <c r="S2264" s="361">
        <f t="shared" si="2323"/>
        <v>5.8505980110206783</v>
      </c>
      <c r="T2264" s="361">
        <f t="shared" si="2323"/>
        <v>7.6008044060174109</v>
      </c>
      <c r="U2264" s="361">
        <f t="shared" si="2323"/>
        <v>9.874585044077385</v>
      </c>
      <c r="V2264" s="362">
        <f t="shared" si="2323"/>
        <v>12.828567160012959</v>
      </c>
      <c r="X2264" s="351"/>
    </row>
    <row r="2265" spans="3:24" ht="24.75" customHeight="1" x14ac:dyDescent="0.3">
      <c r="C2265" s="353">
        <f>ABS(E2265-Dashboard!$F$14)</f>
        <v>43.08790083068245</v>
      </c>
      <c r="D2265" s="350">
        <f t="shared" si="2313"/>
        <v>0.29924999999998231</v>
      </c>
      <c r="E2265" s="359" cm="1">
        <f t="array" ref="E2265">1000*SUM('DRE + DCF'!$L$36/M2265,'DRE + DCF'!$N$36:$V$36/N2265:V2265,F2265/V2265)/Dashboard!$F$11</f>
        <v>53.902099169317545</v>
      </c>
      <c r="F2265" s="359">
        <f t="shared" si="2311"/>
        <v>8795825.6030222513</v>
      </c>
      <c r="G2265" s="359">
        <f>'DRE + DCF'!$W$31</f>
        <v>2791623.3540418856</v>
      </c>
      <c r="H2265" s="359">
        <f>'DRE + DCF'!$W$32</f>
        <v>81081.931703745853</v>
      </c>
      <c r="I2265" s="359">
        <f>-H2265*('DRE + DCF'!$V$33+K2265)/'DRE + DCF'!$V$33</f>
        <v>-90858.801614444121</v>
      </c>
      <c r="J2265" s="359">
        <f>-'DRE + DCF'!$V$56*L2265</f>
        <v>-1188924.4255577971</v>
      </c>
      <c r="K2265" s="360">
        <f>(1+L2265)/(1+Ke!$O$12)-1</f>
        <v>2.0000000000000018E-2</v>
      </c>
      <c r="L2265" s="360">
        <f>'DRE + DCF'!$Y$31</f>
        <v>7.3550000000000004E-2</v>
      </c>
      <c r="M2265" s="361">
        <f>(1+D2265)^((5-Dashboard!$F$9)*3/12)</f>
        <v>1.2169410586786162</v>
      </c>
      <c r="N2265" s="361">
        <f t="shared" ref="N2265:V2265" si="2324">M2265*(1+$D2265)</f>
        <v>1.5811106704881706</v>
      </c>
      <c r="O2265" s="361">
        <f t="shared" si="2324"/>
        <v>2.0542580386317275</v>
      </c>
      <c r="P2265" s="361">
        <f t="shared" si="2324"/>
        <v>2.6689947566922356</v>
      </c>
      <c r="Q2265" s="361">
        <f t="shared" si="2324"/>
        <v>3.4676914376323396</v>
      </c>
      <c r="R2265" s="361">
        <f t="shared" si="2324"/>
        <v>4.505398100343756</v>
      </c>
      <c r="S2265" s="361">
        <f t="shared" si="2324"/>
        <v>5.8536384818715446</v>
      </c>
      <c r="T2265" s="361">
        <f t="shared" si="2324"/>
        <v>7.6053397975715002</v>
      </c>
      <c r="U2265" s="361">
        <f t="shared" si="2324"/>
        <v>9.8812377319946361</v>
      </c>
      <c r="V2265" s="362">
        <f t="shared" si="2324"/>
        <v>12.838198123293855</v>
      </c>
      <c r="X2265" s="351"/>
    </row>
    <row r="2266" spans="3:24" ht="24.75" customHeight="1" x14ac:dyDescent="0.3">
      <c r="C2266" s="353">
        <f>ABS(E2266-Dashboard!$F$14)</f>
        <v>43.11581695172476</v>
      </c>
      <c r="D2266" s="350">
        <f t="shared" si="2313"/>
        <v>0.2993499999999823</v>
      </c>
      <c r="E2266" s="359" cm="1">
        <f t="array" ref="E2266">1000*SUM('DRE + DCF'!$L$36/M2266,'DRE + DCF'!$N$36:$V$36/N2266:V2266,F2266/V2266)/Dashboard!$F$11</f>
        <v>53.874183048275235</v>
      </c>
      <c r="F2266" s="359">
        <f t="shared" si="2311"/>
        <v>8792475.0694421716</v>
      </c>
      <c r="G2266" s="359">
        <f>'DRE + DCF'!$W$31</f>
        <v>2791623.3540418856</v>
      </c>
      <c r="H2266" s="359">
        <f>'DRE + DCF'!$W$32</f>
        <v>81081.931703745853</v>
      </c>
      <c r="I2266" s="359">
        <f>-H2266*('DRE + DCF'!$V$33+K2266)/'DRE + DCF'!$V$33</f>
        <v>-90858.801614444121</v>
      </c>
      <c r="J2266" s="359">
        <f>-'DRE + DCF'!$V$56*L2266</f>
        <v>-1188924.4255577971</v>
      </c>
      <c r="K2266" s="360">
        <f>(1+L2266)/(1+Ke!$O$12)-1</f>
        <v>2.0000000000000018E-2</v>
      </c>
      <c r="L2266" s="360">
        <f>'DRE + DCF'!$Y$31</f>
        <v>7.3550000000000004E-2</v>
      </c>
      <c r="M2266" s="361">
        <f>(1+D2266)^((5-Dashboard!$F$9)*3/12)</f>
        <v>1.2170113066688573</v>
      </c>
      <c r="N2266" s="361">
        <f t="shared" ref="N2266:V2266" si="2325">M2266*(1+$D2266)</f>
        <v>1.5813236413201581</v>
      </c>
      <c r="O2266" s="361">
        <f t="shared" si="2325"/>
        <v>2.0546928733493193</v>
      </c>
      <c r="P2266" s="361">
        <f t="shared" si="2325"/>
        <v>2.6697651849864017</v>
      </c>
      <c r="Q2266" s="361">
        <f t="shared" si="2325"/>
        <v>3.4689593931120335</v>
      </c>
      <c r="R2266" s="361">
        <f t="shared" si="2325"/>
        <v>4.507392387440059</v>
      </c>
      <c r="S2266" s="361">
        <f t="shared" si="2325"/>
        <v>5.8566802986201605</v>
      </c>
      <c r="T2266" s="361">
        <f t="shared" si="2325"/>
        <v>7.6098775460120018</v>
      </c>
      <c r="U2266" s="361">
        <f t="shared" si="2325"/>
        <v>9.88789438941056</v>
      </c>
      <c r="V2266" s="362">
        <f t="shared" si="2325"/>
        <v>12.847835574880435</v>
      </c>
      <c r="X2266" s="351"/>
    </row>
    <row r="2267" spans="3:24" ht="24.75" customHeight="1" x14ac:dyDescent="0.3">
      <c r="C2267" s="353">
        <f>ABS(E2267-Dashboard!$F$14)</f>
        <v>43.143707303188833</v>
      </c>
      <c r="D2267" s="350">
        <f t="shared" si="2313"/>
        <v>0.29944999999998229</v>
      </c>
      <c r="E2267" s="359" cm="1">
        <f t="array" ref="E2267">1000*SUM('DRE + DCF'!$L$36/M2267,'DRE + DCF'!$N$36:$V$36/N2267:V2267,F2267/V2267)/Dashboard!$F$11</f>
        <v>53.846292696811162</v>
      </c>
      <c r="F2267" s="359">
        <f t="shared" si="2311"/>
        <v>8789127.138494594</v>
      </c>
      <c r="G2267" s="359">
        <f>'DRE + DCF'!$W$31</f>
        <v>2791623.3540418856</v>
      </c>
      <c r="H2267" s="359">
        <f>'DRE + DCF'!$W$32</f>
        <v>81081.931703745853</v>
      </c>
      <c r="I2267" s="359">
        <f>-H2267*('DRE + DCF'!$V$33+K2267)/'DRE + DCF'!$V$33</f>
        <v>-90858.801614444121</v>
      </c>
      <c r="J2267" s="359">
        <f>-'DRE + DCF'!$V$56*L2267</f>
        <v>-1188924.4255577971</v>
      </c>
      <c r="K2267" s="360">
        <f>(1+L2267)/(1+Ke!$O$12)-1</f>
        <v>2.0000000000000018E-2</v>
      </c>
      <c r="L2267" s="360">
        <f>'DRE + DCF'!$Y$31</f>
        <v>7.3550000000000004E-2</v>
      </c>
      <c r="M2267" s="361">
        <f>(1+D2267)^((5-Dashboard!$F$9)*3/12)</f>
        <v>1.2170815533075126</v>
      </c>
      <c r="N2267" s="361">
        <f t="shared" ref="N2267:V2267" si="2326">M2267*(1+$D2267)</f>
        <v>1.5815366244454256</v>
      </c>
      <c r="O2267" s="361">
        <f t="shared" si="2326"/>
        <v>2.0551277666355801</v>
      </c>
      <c r="P2267" s="361">
        <f t="shared" si="2326"/>
        <v>2.6705357763545678</v>
      </c>
      <c r="Q2267" s="361">
        <f t="shared" si="2326"/>
        <v>3.4702277145838956</v>
      </c>
      <c r="R2267" s="361">
        <f t="shared" si="2326"/>
        <v>4.5093874037159818</v>
      </c>
      <c r="S2267" s="361">
        <f t="shared" si="2326"/>
        <v>5.8597234617586524</v>
      </c>
      <c r="T2267" s="361">
        <f t="shared" si="2326"/>
        <v>7.6144176523821772</v>
      </c>
      <c r="U2267" s="361">
        <f t="shared" si="2326"/>
        <v>9.8945550183878854</v>
      </c>
      <c r="V2267" s="362">
        <f t="shared" si="2326"/>
        <v>12.857479518643961</v>
      </c>
      <c r="X2267" s="351"/>
    </row>
    <row r="2268" spans="3:24" ht="24.75" customHeight="1" x14ac:dyDescent="0.3">
      <c r="C2268" s="353">
        <f>ABS(E2268-Dashboard!$F$14)</f>
        <v>43.171571918177918</v>
      </c>
      <c r="D2268" s="350">
        <f t="shared" si="2313"/>
        <v>0.29954999999998227</v>
      </c>
      <c r="E2268" s="359" cm="1">
        <f t="array" ref="E2268">1000*SUM('DRE + DCF'!$L$36/M2268,'DRE + DCF'!$N$36:$V$36/N2268:V2268,F2268/V2268)/Dashboard!$F$11</f>
        <v>53.818428081822077</v>
      </c>
      <c r="F2268" s="359">
        <f t="shared" si="2311"/>
        <v>8785781.8070888352</v>
      </c>
      <c r="G2268" s="359">
        <f>'DRE + DCF'!$W$31</f>
        <v>2791623.3540418856</v>
      </c>
      <c r="H2268" s="359">
        <f>'DRE + DCF'!$W$32</f>
        <v>81081.931703745853</v>
      </c>
      <c r="I2268" s="359">
        <f>-H2268*('DRE + DCF'!$V$33+K2268)/'DRE + DCF'!$V$33</f>
        <v>-90858.801614444121</v>
      </c>
      <c r="J2268" s="359">
        <f>-'DRE + DCF'!$V$56*L2268</f>
        <v>-1188924.4255577971</v>
      </c>
      <c r="K2268" s="360">
        <f>(1+L2268)/(1+Ke!$O$12)-1</f>
        <v>2.0000000000000018E-2</v>
      </c>
      <c r="L2268" s="360">
        <f>'DRE + DCF'!$Y$31</f>
        <v>7.3550000000000004E-2</v>
      </c>
      <c r="M2268" s="361">
        <f>(1+D2268)^((5-Dashboard!$F$9)*3/12)</f>
        <v>1.2171517985947125</v>
      </c>
      <c r="N2268" s="361">
        <f t="shared" ref="N2268:V2268" si="2327">M2268*(1+$D2268)</f>
        <v>1.5817496198637369</v>
      </c>
      <c r="O2268" s="361">
        <f t="shared" si="2327"/>
        <v>2.0555627184938912</v>
      </c>
      <c r="P2268" s="361">
        <f t="shared" si="2327"/>
        <v>2.6713065308186996</v>
      </c>
      <c r="Q2268" s="361">
        <f t="shared" si="2327"/>
        <v>3.4714964021253936</v>
      </c>
      <c r="R2268" s="361">
        <f t="shared" si="2327"/>
        <v>4.5113831493819934</v>
      </c>
      <c r="S2268" s="361">
        <f t="shared" si="2327"/>
        <v>5.8627679717792889</v>
      </c>
      <c r="T2268" s="361">
        <f t="shared" si="2327"/>
        <v>7.6189601177256705</v>
      </c>
      <c r="U2268" s="361">
        <f t="shared" si="2327"/>
        <v>9.9012196209902594</v>
      </c>
      <c r="V2268" s="362">
        <f t="shared" si="2327"/>
        <v>12.867129958457715</v>
      </c>
      <c r="X2268" s="351"/>
    </row>
    <row r="2269" spans="3:24" ht="24.75" customHeight="1" x14ac:dyDescent="0.3">
      <c r="C2269" s="353">
        <f>ABS(E2269-Dashboard!$F$14)</f>
        <v>43.199410829740813</v>
      </c>
      <c r="D2269" s="350">
        <f t="shared" si="2313"/>
        <v>0.29964999999998226</v>
      </c>
      <c r="E2269" s="359" cm="1">
        <f t="array" ref="E2269">1000*SUM('DRE + DCF'!$L$36/M2269,'DRE + DCF'!$N$36:$V$36/N2269:V2269,F2269/V2269)/Dashboard!$F$11</f>
        <v>53.790589170259182</v>
      </c>
      <c r="F2269" s="359">
        <f t="shared" si="2311"/>
        <v>8782439.0721391924</v>
      </c>
      <c r="G2269" s="359">
        <f>'DRE + DCF'!$W$31</f>
        <v>2791623.3540418856</v>
      </c>
      <c r="H2269" s="359">
        <f>'DRE + DCF'!$W$32</f>
        <v>81081.931703745853</v>
      </c>
      <c r="I2269" s="359">
        <f>-H2269*('DRE + DCF'!$V$33+K2269)/'DRE + DCF'!$V$33</f>
        <v>-90858.801614444121</v>
      </c>
      <c r="J2269" s="359">
        <f>-'DRE + DCF'!$V$56*L2269</f>
        <v>-1188924.4255577971</v>
      </c>
      <c r="K2269" s="360">
        <f>(1+L2269)/(1+Ke!$O$12)-1</f>
        <v>2.0000000000000018E-2</v>
      </c>
      <c r="L2269" s="360">
        <f>'DRE + DCF'!$Y$31</f>
        <v>7.3550000000000004E-2</v>
      </c>
      <c r="M2269" s="361">
        <f>(1+D2269)^((5-Dashboard!$F$9)*3/12)</f>
        <v>1.2172220425305864</v>
      </c>
      <c r="N2269" s="361">
        <f t="shared" ref="N2269:V2269" si="2328">M2269*(1+$D2269)</f>
        <v>1.5819626275748551</v>
      </c>
      <c r="O2269" s="361">
        <f t="shared" si="2328"/>
        <v>2.0559977289276321</v>
      </c>
      <c r="P2269" s="361">
        <f t="shared" si="2328"/>
        <v>2.6720774484007603</v>
      </c>
      <c r="Q2269" s="361">
        <f t="shared" si="2328"/>
        <v>3.4727654558140006</v>
      </c>
      <c r="R2269" s="361">
        <f t="shared" si="2328"/>
        <v>4.5133796246486044</v>
      </c>
      <c r="S2269" s="361">
        <f t="shared" si="2328"/>
        <v>5.8658138291744786</v>
      </c>
      <c r="T2269" s="361">
        <f t="shared" si="2328"/>
        <v>7.6235049430865063</v>
      </c>
      <c r="U2269" s="361">
        <f t="shared" si="2328"/>
        <v>9.9078881992822421</v>
      </c>
      <c r="V2269" s="362">
        <f t="shared" si="2328"/>
        <v>12.87678689819699</v>
      </c>
      <c r="X2269" s="351"/>
    </row>
    <row r="2270" spans="3:24" ht="24.75" customHeight="1" x14ac:dyDescent="0.3">
      <c r="C2270" s="353">
        <f>ABS(E2270-Dashboard!$F$14)</f>
        <v>43.227224070871813</v>
      </c>
      <c r="D2270" s="350">
        <f t="shared" si="2313"/>
        <v>0.29974999999998225</v>
      </c>
      <c r="E2270" s="359" cm="1">
        <f t="array" ref="E2270">1000*SUM('DRE + DCF'!$L$36/M2270,'DRE + DCF'!$N$36:$V$36/N2270:V2270,F2270/V2270)/Dashboard!$F$11</f>
        <v>53.762775929128182</v>
      </c>
      <c r="F2270" s="359">
        <f t="shared" si="2311"/>
        <v>8779098.93056494</v>
      </c>
      <c r="G2270" s="359">
        <f>'DRE + DCF'!$W$31</f>
        <v>2791623.3540418856</v>
      </c>
      <c r="H2270" s="359">
        <f>'DRE + DCF'!$W$32</f>
        <v>81081.931703745853</v>
      </c>
      <c r="I2270" s="359">
        <f>-H2270*('DRE + DCF'!$V$33+K2270)/'DRE + DCF'!$V$33</f>
        <v>-90858.801614444121</v>
      </c>
      <c r="J2270" s="359">
        <f>-'DRE + DCF'!$V$56*L2270</f>
        <v>-1188924.4255577971</v>
      </c>
      <c r="K2270" s="360">
        <f>(1+L2270)/(1+Ke!$O$12)-1</f>
        <v>2.0000000000000018E-2</v>
      </c>
      <c r="L2270" s="360">
        <f>'DRE + DCF'!$Y$31</f>
        <v>7.3550000000000004E-2</v>
      </c>
      <c r="M2270" s="361">
        <f>(1+D2270)^((5-Dashboard!$F$9)*3/12)</f>
        <v>1.2172922851152648</v>
      </c>
      <c r="N2270" s="361">
        <f t="shared" ref="N2270:V2270" si="2329">M2270*(1+$D2270)</f>
        <v>1.5821756475785438</v>
      </c>
      <c r="O2270" s="361">
        <f t="shared" si="2329"/>
        <v>2.0564327979401842</v>
      </c>
      <c r="P2270" s="361">
        <f t="shared" si="2329"/>
        <v>2.6728485291227178</v>
      </c>
      <c r="Q2270" s="361">
        <f t="shared" si="2329"/>
        <v>3.4740348757272046</v>
      </c>
      <c r="R2270" s="361">
        <f t="shared" si="2329"/>
        <v>4.5153768297263719</v>
      </c>
      <c r="S2270" s="361">
        <f t="shared" si="2329"/>
        <v>5.8688610344367715</v>
      </c>
      <c r="T2270" s="361">
        <f t="shared" si="2329"/>
        <v>7.6280521295090891</v>
      </c>
      <c r="U2270" s="361">
        <f t="shared" si="2329"/>
        <v>9.9145607553293029</v>
      </c>
      <c r="V2270" s="362">
        <f t="shared" si="2329"/>
        <v>12.886450341739085</v>
      </c>
      <c r="X2270" s="351"/>
    </row>
    <row r="2271" spans="3:24" ht="24.75" customHeight="1" x14ac:dyDescent="0.3">
      <c r="C2271" s="353">
        <f>ABS(E2271-Dashboard!$F$14)</f>
        <v>43.255011674511032</v>
      </c>
      <c r="D2271" s="350">
        <f t="shared" si="2313"/>
        <v>0.29984999999998224</v>
      </c>
      <c r="E2271" s="359" cm="1">
        <f t="array" ref="E2271">1000*SUM('DRE + DCF'!$L$36/M2271,'DRE + DCF'!$N$36:$V$36/N2271:V2271,F2271/V2271)/Dashboard!$F$11</f>
        <v>53.734988325488963</v>
      </c>
      <c r="F2271" s="359">
        <f t="shared" si="2311"/>
        <v>8775761.3792903088</v>
      </c>
      <c r="G2271" s="359">
        <f>'DRE + DCF'!$W$31</f>
        <v>2791623.3540418856</v>
      </c>
      <c r="H2271" s="359">
        <f>'DRE + DCF'!$W$32</f>
        <v>81081.931703745853</v>
      </c>
      <c r="I2271" s="359">
        <f>-H2271*('DRE + DCF'!$V$33+K2271)/'DRE + DCF'!$V$33</f>
        <v>-90858.801614444121</v>
      </c>
      <c r="J2271" s="359">
        <f>-'DRE + DCF'!$V$56*L2271</f>
        <v>-1188924.4255577971</v>
      </c>
      <c r="K2271" s="360">
        <f>(1+L2271)/(1+Ke!$O$12)-1</f>
        <v>2.0000000000000018E-2</v>
      </c>
      <c r="L2271" s="360">
        <f>'DRE + DCF'!$Y$31</f>
        <v>7.3550000000000004E-2</v>
      </c>
      <c r="M2271" s="361">
        <f>(1+D2271)^((5-Dashboard!$F$9)*3/12)</f>
        <v>1.2173625263488774</v>
      </c>
      <c r="N2271" s="361">
        <f t="shared" ref="N2271:V2271" si="2330">M2271*(1+$D2271)</f>
        <v>1.5823886798745666</v>
      </c>
      <c r="O2271" s="361">
        <f t="shared" si="2330"/>
        <v>2.0568679255349269</v>
      </c>
      <c r="P2271" s="361">
        <f t="shared" si="2330"/>
        <v>2.6736197730065383</v>
      </c>
      <c r="Q2271" s="361">
        <f t="shared" si="2330"/>
        <v>3.4753046619425012</v>
      </c>
      <c r="R2271" s="361">
        <f t="shared" si="2330"/>
        <v>4.5173747648258979</v>
      </c>
      <c r="S2271" s="361">
        <f t="shared" si="2330"/>
        <v>5.8719095880588625</v>
      </c>
      <c r="T2271" s="361">
        <f t="shared" si="2330"/>
        <v>7.632601678038208</v>
      </c>
      <c r="U2271" s="361">
        <f t="shared" si="2330"/>
        <v>9.9212372911978282</v>
      </c>
      <c r="V2271" s="362">
        <f t="shared" si="2330"/>
        <v>12.896120292963321</v>
      </c>
      <c r="X2271" s="351"/>
    </row>
    <row r="2272" spans="3:24" ht="24.75" customHeight="1" x14ac:dyDescent="0.3">
      <c r="C2272" s="353">
        <f>ABS(E2272-Dashboard!$F$14)</f>
        <v>43.282773673544384</v>
      </c>
      <c r="D2272" s="350">
        <f t="shared" si="2313"/>
        <v>0.29994999999998223</v>
      </c>
      <c r="E2272" s="359" cm="1">
        <f t="array" ref="E2272">1000*SUM('DRE + DCF'!$L$36/M2272,'DRE + DCF'!$N$36:$V$36/N2272:V2272,F2272/V2272)/Dashboard!$F$11</f>
        <v>53.707226326455611</v>
      </c>
      <c r="F2272" s="359">
        <f t="shared" si="2311"/>
        <v>8772426.4152444843</v>
      </c>
      <c r="G2272" s="359">
        <f>'DRE + DCF'!$W$31</f>
        <v>2791623.3540418856</v>
      </c>
      <c r="H2272" s="359">
        <f>'DRE + DCF'!$W$32</f>
        <v>81081.931703745853</v>
      </c>
      <c r="I2272" s="359">
        <f>-H2272*('DRE + DCF'!$V$33+K2272)/'DRE + DCF'!$V$33</f>
        <v>-90858.801614444121</v>
      </c>
      <c r="J2272" s="359">
        <f>-'DRE + DCF'!$V$56*L2272</f>
        <v>-1188924.4255577971</v>
      </c>
      <c r="K2272" s="360">
        <f>(1+L2272)/(1+Ke!$O$12)-1</f>
        <v>2.0000000000000018E-2</v>
      </c>
      <c r="L2272" s="360">
        <f>'DRE + DCF'!$Y$31</f>
        <v>7.3550000000000004E-2</v>
      </c>
      <c r="M2272" s="361">
        <f>(1+D2272)^((5-Dashboard!$F$9)*3/12)</f>
        <v>1.2174327662315541</v>
      </c>
      <c r="N2272" s="361">
        <f t="shared" ref="N2272:V2272" si="2331">M2272*(1+$D2272)</f>
        <v>1.5826017244626871</v>
      </c>
      <c r="O2272" s="361">
        <f t="shared" si="2331"/>
        <v>2.057303111715242</v>
      </c>
      <c r="P2272" s="361">
        <f t="shared" si="2331"/>
        <v>2.6743911800741924</v>
      </c>
      <c r="Q2272" s="361">
        <f t="shared" si="2331"/>
        <v>3.4765748145373987</v>
      </c>
      <c r="R2272" s="361">
        <f t="shared" si="2331"/>
        <v>4.5193734301578292</v>
      </c>
      <c r="S2272" s="361">
        <f t="shared" si="2331"/>
        <v>5.8749594905335893</v>
      </c>
      <c r="T2272" s="361">
        <f t="shared" si="2331"/>
        <v>7.637153589719035</v>
      </c>
      <c r="U2272" s="361">
        <f t="shared" si="2331"/>
        <v>9.9279178089551241</v>
      </c>
      <c r="V2272" s="362">
        <f t="shared" si="2331"/>
        <v>12.905796755751037</v>
      </c>
      <c r="X2272" s="351"/>
    </row>
    <row r="2273" spans="3:24" ht="24.75" customHeight="1" x14ac:dyDescent="0.3">
      <c r="C2273" s="353">
        <f>ABS(E2273-Dashboard!$F$14)</f>
        <v>43.310510100803725</v>
      </c>
      <c r="D2273" s="350">
        <f t="shared" si="2313"/>
        <v>0.30004999999998222</v>
      </c>
      <c r="E2273" s="359" cm="1">
        <f t="array" ref="E2273">1000*SUM('DRE + DCF'!$L$36/M2273,'DRE + DCF'!$N$36:$V$36/N2273:V2273,F2273/V2273)/Dashboard!$F$11</f>
        <v>53.67948989919627</v>
      </c>
      <c r="F2273" s="359">
        <f t="shared" si="2311"/>
        <v>8769094.035361588</v>
      </c>
      <c r="G2273" s="359">
        <f>'DRE + DCF'!$W$31</f>
        <v>2791623.3540418856</v>
      </c>
      <c r="H2273" s="359">
        <f>'DRE + DCF'!$W$32</f>
        <v>81081.931703745853</v>
      </c>
      <c r="I2273" s="359">
        <f>-H2273*('DRE + DCF'!$V$33+K2273)/'DRE + DCF'!$V$33</f>
        <v>-90858.801614444121</v>
      </c>
      <c r="J2273" s="359">
        <f>-'DRE + DCF'!$V$56*L2273</f>
        <v>-1188924.4255577971</v>
      </c>
      <c r="K2273" s="360">
        <f>(1+L2273)/(1+Ke!$O$12)-1</f>
        <v>2.0000000000000018E-2</v>
      </c>
      <c r="L2273" s="360">
        <f>'DRE + DCF'!$Y$31</f>
        <v>7.3550000000000004E-2</v>
      </c>
      <c r="M2273" s="361">
        <f>(1+D2273)^((5-Dashboard!$F$9)*3/12)</f>
        <v>1.2175030047634248</v>
      </c>
      <c r="N2273" s="361">
        <f t="shared" ref="N2273:V2273" si="2332">M2273*(1+$D2273)</f>
        <v>1.5828147813426687</v>
      </c>
      <c r="O2273" s="361">
        <f t="shared" si="2332"/>
        <v>2.0577383564845082</v>
      </c>
      <c r="P2273" s="361">
        <f t="shared" si="2332"/>
        <v>2.6751627503476483</v>
      </c>
      <c r="Q2273" s="361">
        <f t="shared" si="2332"/>
        <v>3.4778453335894124</v>
      </c>
      <c r="R2273" s="361">
        <f t="shared" si="2332"/>
        <v>4.5213728259328532</v>
      </c>
      <c r="S2273" s="361">
        <f t="shared" si="2332"/>
        <v>5.8780107423539247</v>
      </c>
      <c r="T2273" s="361">
        <f t="shared" si="2332"/>
        <v>7.6417078655971151</v>
      </c>
      <c r="U2273" s="361">
        <f t="shared" si="2332"/>
        <v>9.9346023106693924</v>
      </c>
      <c r="V2273" s="362">
        <f t="shared" si="2332"/>
        <v>12.915479733985567</v>
      </c>
      <c r="X2273" s="351"/>
    </row>
    <row r="2274" spans="3:24" ht="24.75" customHeight="1" x14ac:dyDescent="0.3">
      <c r="C2274" s="353">
        <f>ABS(E2274-Dashboard!$F$14)</f>
        <v>43.338220989066954</v>
      </c>
      <c r="D2274" s="350">
        <f t="shared" si="2313"/>
        <v>0.30014999999998221</v>
      </c>
      <c r="E2274" s="359" cm="1">
        <f t="array" ref="E2274">1000*SUM('DRE + DCF'!$L$36/M2274,'DRE + DCF'!$N$36:$V$36/N2274:V2274,F2274/V2274)/Dashboard!$F$11</f>
        <v>53.651779010933041</v>
      </c>
      <c r="F2274" s="359">
        <f t="shared" si="2311"/>
        <v>8765764.2365806811</v>
      </c>
      <c r="G2274" s="359">
        <f>'DRE + DCF'!$W$31</f>
        <v>2791623.3540418856</v>
      </c>
      <c r="H2274" s="359">
        <f>'DRE + DCF'!$W$32</f>
        <v>81081.931703745853</v>
      </c>
      <c r="I2274" s="359">
        <f>-H2274*('DRE + DCF'!$V$33+K2274)/'DRE + DCF'!$V$33</f>
        <v>-90858.801614444121</v>
      </c>
      <c r="J2274" s="359">
        <f>-'DRE + DCF'!$V$56*L2274</f>
        <v>-1188924.4255577971</v>
      </c>
      <c r="K2274" s="360">
        <f>(1+L2274)/(1+Ke!$O$12)-1</f>
        <v>2.0000000000000018E-2</v>
      </c>
      <c r="L2274" s="360">
        <f>'DRE + DCF'!$Y$31</f>
        <v>7.3550000000000004E-2</v>
      </c>
      <c r="M2274" s="361">
        <f>(1+D2274)^((5-Dashboard!$F$9)*3/12)</f>
        <v>1.2175732419446195</v>
      </c>
      <c r="N2274" s="361">
        <f t="shared" ref="N2274:V2274" si="2333">M2274*(1+$D2274)</f>
        <v>1.5830278505142752</v>
      </c>
      <c r="O2274" s="361">
        <f t="shared" si="2333"/>
        <v>2.0581736598461067</v>
      </c>
      <c r="P2274" s="361">
        <f t="shared" si="2333"/>
        <v>2.675934483848879</v>
      </c>
      <c r="Q2274" s="361">
        <f t="shared" si="2333"/>
        <v>3.4791162191760723</v>
      </c>
      <c r="R2274" s="361">
        <f t="shared" si="2333"/>
        <v>4.5233729523617079</v>
      </c>
      <c r="S2274" s="361">
        <f t="shared" si="2333"/>
        <v>5.8810633440129934</v>
      </c>
      <c r="T2274" s="361">
        <f t="shared" si="2333"/>
        <v>7.6462645067183885</v>
      </c>
      <c r="U2274" s="361">
        <f t="shared" si="2333"/>
        <v>9.941290798409776</v>
      </c>
      <c r="V2274" s="362">
        <f t="shared" si="2333"/>
        <v>12.925169231552292</v>
      </c>
      <c r="X2274" s="351"/>
    </row>
    <row r="2275" spans="3:24" ht="24.75" customHeight="1" x14ac:dyDescent="0.3">
      <c r="C2275" s="353">
        <f>ABS(E2275-Dashboard!$F$14)</f>
        <v>43.365906371058145</v>
      </c>
      <c r="D2275" s="350">
        <f t="shared" si="2313"/>
        <v>0.3002499999999822</v>
      </c>
      <c r="E2275" s="359" cm="1">
        <f t="array" ref="E2275">1000*SUM('DRE + DCF'!$L$36/M2275,'DRE + DCF'!$N$36:$V$36/N2275:V2275,F2275/V2275)/Dashboard!$F$11</f>
        <v>53.62409362894185</v>
      </c>
      <c r="F2275" s="359">
        <f t="shared" si="2311"/>
        <v>8762437.0158457402</v>
      </c>
      <c r="G2275" s="359">
        <f>'DRE + DCF'!$W$31</f>
        <v>2791623.3540418856</v>
      </c>
      <c r="H2275" s="359">
        <f>'DRE + DCF'!$W$32</f>
        <v>81081.931703745853</v>
      </c>
      <c r="I2275" s="359">
        <f>-H2275*('DRE + DCF'!$V$33+K2275)/'DRE + DCF'!$V$33</f>
        <v>-90858.801614444121</v>
      </c>
      <c r="J2275" s="359">
        <f>-'DRE + DCF'!$V$56*L2275</f>
        <v>-1188924.4255577971</v>
      </c>
      <c r="K2275" s="360">
        <f>(1+L2275)/(1+Ke!$O$12)-1</f>
        <v>2.0000000000000018E-2</v>
      </c>
      <c r="L2275" s="360">
        <f>'DRE + DCF'!$Y$31</f>
        <v>7.3550000000000004E-2</v>
      </c>
      <c r="M2275" s="361">
        <f>(1+D2275)^((5-Dashboard!$F$9)*3/12)</f>
        <v>1.217643477775268</v>
      </c>
      <c r="N2275" s="361">
        <f t="shared" ref="N2275:V2275" si="2334">M2275*(1+$D2275)</f>
        <v>1.5832409319772704</v>
      </c>
      <c r="O2275" s="361">
        <f t="shared" si="2334"/>
        <v>2.0586090218034174</v>
      </c>
      <c r="P2275" s="361">
        <f t="shared" si="2334"/>
        <v>2.6767063805998568</v>
      </c>
      <c r="Q2275" s="361">
        <f t="shared" si="2334"/>
        <v>3.4803874713749159</v>
      </c>
      <c r="R2275" s="361">
        <f t="shared" si="2334"/>
        <v>4.5253738096551723</v>
      </c>
      <c r="S2275" s="361">
        <f t="shared" si="2334"/>
        <v>5.8841172960040566</v>
      </c>
      <c r="T2275" s="361">
        <f t="shared" si="2334"/>
        <v>7.6508235141291694</v>
      </c>
      <c r="U2275" s="361">
        <f t="shared" si="2334"/>
        <v>9.9479832742463152</v>
      </c>
      <c r="V2275" s="362">
        <f t="shared" si="2334"/>
        <v>12.934865252338593</v>
      </c>
      <c r="X2275" s="351"/>
    </row>
    <row r="2276" spans="3:24" ht="24.75" customHeight="1" x14ac:dyDescent="0.3">
      <c r="C2276" s="353">
        <f>ABS(E2276-Dashboard!$F$14)</f>
        <v>43.393566279447626</v>
      </c>
      <c r="D2276" s="350">
        <f t="shared" si="2313"/>
        <v>0.30034999999998219</v>
      </c>
      <c r="E2276" s="359" cm="1">
        <f t="array" ref="E2276">1000*SUM('DRE + DCF'!$L$36/M2276,'DRE + DCF'!$N$36:$V$36/N2276:V2276,F2276/V2276)/Dashboard!$F$11</f>
        <v>53.596433720552369</v>
      </c>
      <c r="F2276" s="359">
        <f t="shared" si="2311"/>
        <v>8759112.3701056503</v>
      </c>
      <c r="G2276" s="359">
        <f>'DRE + DCF'!$W$31</f>
        <v>2791623.3540418856</v>
      </c>
      <c r="H2276" s="359">
        <f>'DRE + DCF'!$W$32</f>
        <v>81081.931703745853</v>
      </c>
      <c r="I2276" s="359">
        <f>-H2276*('DRE + DCF'!$V$33+K2276)/'DRE + DCF'!$V$33</f>
        <v>-90858.801614444121</v>
      </c>
      <c r="J2276" s="359">
        <f>-'DRE + DCF'!$V$56*L2276</f>
        <v>-1188924.4255577971</v>
      </c>
      <c r="K2276" s="360">
        <f>(1+L2276)/(1+Ke!$O$12)-1</f>
        <v>2.0000000000000018E-2</v>
      </c>
      <c r="L2276" s="360">
        <f>'DRE + DCF'!$Y$31</f>
        <v>7.3550000000000004E-2</v>
      </c>
      <c r="M2276" s="361">
        <f>(1+D2276)^((5-Dashboard!$F$9)*3/12)</f>
        <v>1.2177137122555002</v>
      </c>
      <c r="N2276" s="361">
        <f t="shared" ref="N2276:V2276" si="2335">M2276*(1+$D2276)</f>
        <v>1.5834540257314178</v>
      </c>
      <c r="O2276" s="361">
        <f t="shared" si="2335"/>
        <v>2.0590444423598209</v>
      </c>
      <c r="P2276" s="361">
        <f t="shared" si="2335"/>
        <v>2.6774784406225565</v>
      </c>
      <c r="Q2276" s="361">
        <f t="shared" si="2335"/>
        <v>3.4816590902634936</v>
      </c>
      <c r="R2276" s="361">
        <f t="shared" si="2335"/>
        <v>4.5273753980240716</v>
      </c>
      <c r="S2276" s="361">
        <f t="shared" si="2335"/>
        <v>5.8871725988205208</v>
      </c>
      <c r="T2276" s="361">
        <f t="shared" si="2335"/>
        <v>7.6553848888761591</v>
      </c>
      <c r="U2276" s="361">
        <f t="shared" si="2335"/>
        <v>9.9546797402499774</v>
      </c>
      <c r="V2276" s="362">
        <f t="shared" si="2335"/>
        <v>12.94456780023388</v>
      </c>
      <c r="X2276" s="351"/>
    </row>
    <row r="2277" spans="3:24" ht="24.75" customHeight="1" x14ac:dyDescent="0.3">
      <c r="C2277" s="353">
        <f>ABS(E2277-Dashboard!$F$14)</f>
        <v>43.421200746852065</v>
      </c>
      <c r="D2277" s="350">
        <f t="shared" si="2313"/>
        <v>0.30044999999998218</v>
      </c>
      <c r="E2277" s="359" cm="1">
        <f t="array" ref="E2277">1000*SUM('DRE + DCF'!$L$36/M2277,'DRE + DCF'!$N$36:$V$36/N2277:V2277,F2277/V2277)/Dashboard!$F$11</f>
        <v>53.56879925314793</v>
      </c>
      <c r="F2277" s="359">
        <f t="shared" si="2311"/>
        <v>8755790.296314206</v>
      </c>
      <c r="G2277" s="359">
        <f>'DRE + DCF'!$W$31</f>
        <v>2791623.3540418856</v>
      </c>
      <c r="H2277" s="359">
        <f>'DRE + DCF'!$W$32</f>
        <v>81081.931703745853</v>
      </c>
      <c r="I2277" s="359">
        <f>-H2277*('DRE + DCF'!$V$33+K2277)/'DRE + DCF'!$V$33</f>
        <v>-90858.801614444121</v>
      </c>
      <c r="J2277" s="359">
        <f>-'DRE + DCF'!$V$56*L2277</f>
        <v>-1188924.4255577971</v>
      </c>
      <c r="K2277" s="360">
        <f>(1+L2277)/(1+Ke!$O$12)-1</f>
        <v>2.0000000000000018E-2</v>
      </c>
      <c r="L2277" s="360">
        <f>'DRE + DCF'!$Y$31</f>
        <v>7.3550000000000004E-2</v>
      </c>
      <c r="M2277" s="361">
        <f>(1+D2277)^((5-Dashboard!$F$9)*3/12)</f>
        <v>1.2177839453854458</v>
      </c>
      <c r="N2277" s="361">
        <f t="shared" ref="N2277:V2277" si="2336">M2277*(1+$D2277)</f>
        <v>1.5836671317764812</v>
      </c>
      <c r="O2277" s="361">
        <f t="shared" si="2336"/>
        <v>2.0594799215186965</v>
      </c>
      <c r="P2277" s="361">
        <f t="shared" si="2336"/>
        <v>2.6782506639389521</v>
      </c>
      <c r="Q2277" s="361">
        <f t="shared" si="2336"/>
        <v>3.4829310759193621</v>
      </c>
      <c r="R2277" s="361">
        <f t="shared" si="2336"/>
        <v>4.5293777176792718</v>
      </c>
      <c r="S2277" s="361">
        <f t="shared" si="2336"/>
        <v>5.8902292529559279</v>
      </c>
      <c r="T2277" s="361">
        <f t="shared" si="2336"/>
        <v>7.6599486320064312</v>
      </c>
      <c r="U2277" s="361">
        <f t="shared" si="2336"/>
        <v>9.9613801984926269</v>
      </c>
      <c r="V2277" s="362">
        <f t="shared" si="2336"/>
        <v>12.954276879129559</v>
      </c>
      <c r="X2277" s="351"/>
    </row>
    <row r="2278" spans="3:24" ht="24.75" customHeight="1" x14ac:dyDescent="0.3">
      <c r="C2278" s="353">
        <f>ABS(E2278-Dashboard!$F$14)</f>
        <v>43.448809805834699</v>
      </c>
      <c r="D2278" s="350">
        <f t="shared" si="2313"/>
        <v>0.30054999999998216</v>
      </c>
      <c r="E2278" s="359" cm="1">
        <f t="array" ref="E2278">1000*SUM('DRE + DCF'!$L$36/M2278,'DRE + DCF'!$N$36:$V$36/N2278:V2278,F2278/V2278)/Dashboard!$F$11</f>
        <v>53.541190194165296</v>
      </c>
      <c r="F2278" s="359">
        <f t="shared" si="2311"/>
        <v>8752470.7914300859</v>
      </c>
      <c r="G2278" s="359">
        <f>'DRE + DCF'!$W$31</f>
        <v>2791623.3540418856</v>
      </c>
      <c r="H2278" s="359">
        <f>'DRE + DCF'!$W$32</f>
        <v>81081.931703745853</v>
      </c>
      <c r="I2278" s="359">
        <f>-H2278*('DRE + DCF'!$V$33+K2278)/'DRE + DCF'!$V$33</f>
        <v>-90858.801614444121</v>
      </c>
      <c r="J2278" s="359">
        <f>-'DRE + DCF'!$V$56*L2278</f>
        <v>-1188924.4255577971</v>
      </c>
      <c r="K2278" s="360">
        <f>(1+L2278)/(1+Ke!$O$12)-1</f>
        <v>2.0000000000000018E-2</v>
      </c>
      <c r="L2278" s="360">
        <f>'DRE + DCF'!$Y$31</f>
        <v>7.3550000000000004E-2</v>
      </c>
      <c r="M2278" s="361">
        <f>(1+D2278)^((5-Dashboard!$F$9)*3/12)</f>
        <v>1.2178541771652345</v>
      </c>
      <c r="N2278" s="361">
        <f t="shared" ref="N2278:V2278" si="2337">M2278*(1+$D2278)</f>
        <v>1.583880250112224</v>
      </c>
      <c r="O2278" s="361">
        <f t="shared" si="2337"/>
        <v>2.0599154592834248</v>
      </c>
      <c r="P2278" s="361">
        <f t="shared" si="2337"/>
        <v>2.6790230505710211</v>
      </c>
      <c r="Q2278" s="361">
        <f t="shared" si="2337"/>
        <v>3.4842034284200936</v>
      </c>
      <c r="R2278" s="361">
        <f t="shared" si="2337"/>
        <v>4.5313807688316903</v>
      </c>
      <c r="S2278" s="361">
        <f t="shared" si="2337"/>
        <v>5.8932872589039738</v>
      </c>
      <c r="T2278" s="361">
        <f t="shared" si="2337"/>
        <v>7.664514744567458</v>
      </c>
      <c r="U2278" s="361">
        <f t="shared" si="2337"/>
        <v>9.9680846510470698</v>
      </c>
      <c r="V2278" s="362">
        <f t="shared" si="2337"/>
        <v>12.963992492919088</v>
      </c>
      <c r="X2278" s="351"/>
    </row>
    <row r="2279" spans="3:24" ht="24.75" customHeight="1" x14ac:dyDescent="0.3">
      <c r="C2279" s="353">
        <f>ABS(E2279-Dashboard!$F$14)</f>
        <v>43.476393488905273</v>
      </c>
      <c r="D2279" s="350">
        <f t="shared" si="2313"/>
        <v>0.30064999999998215</v>
      </c>
      <c r="E2279" s="359" cm="1">
        <f t="array" ref="E2279">1000*SUM('DRE + DCF'!$L$36/M2279,'DRE + DCF'!$N$36:$V$36/N2279:V2279,F2279/V2279)/Dashboard!$F$11</f>
        <v>53.513606511094721</v>
      </c>
      <c r="F2279" s="359">
        <f t="shared" si="2311"/>
        <v>8749153.8524168506</v>
      </c>
      <c r="G2279" s="359">
        <f>'DRE + DCF'!$W$31</f>
        <v>2791623.3540418856</v>
      </c>
      <c r="H2279" s="359">
        <f>'DRE + DCF'!$W$32</f>
        <v>81081.931703745853</v>
      </c>
      <c r="I2279" s="359">
        <f>-H2279*('DRE + DCF'!$V$33+K2279)/'DRE + DCF'!$V$33</f>
        <v>-90858.801614444121</v>
      </c>
      <c r="J2279" s="359">
        <f>-'DRE + DCF'!$V$56*L2279</f>
        <v>-1188924.4255577971</v>
      </c>
      <c r="K2279" s="360">
        <f>(1+L2279)/(1+Ke!$O$12)-1</f>
        <v>2.0000000000000018E-2</v>
      </c>
      <c r="L2279" s="360">
        <f>'DRE + DCF'!$Y$31</f>
        <v>7.3550000000000004E-2</v>
      </c>
      <c r="M2279" s="361">
        <f>(1+D2279)^((5-Dashboard!$F$9)*3/12)</f>
        <v>1.2179244075949962</v>
      </c>
      <c r="N2279" s="361">
        <f t="shared" ref="N2279:V2279" si="2338">M2279*(1+$D2279)</f>
        <v>1.5840933807384101</v>
      </c>
      <c r="O2279" s="361">
        <f t="shared" si="2338"/>
        <v>2.0603510556573847</v>
      </c>
      <c r="P2279" s="361">
        <f t="shared" si="2338"/>
        <v>2.6797956005407406</v>
      </c>
      <c r="Q2279" s="361">
        <f t="shared" si="2338"/>
        <v>3.4854761478432663</v>
      </c>
      <c r="R2279" s="361">
        <f t="shared" si="2338"/>
        <v>4.5333845516922819</v>
      </c>
      <c r="S2279" s="361">
        <f t="shared" si="2338"/>
        <v>5.8963466171584855</v>
      </c>
      <c r="T2279" s="361">
        <f t="shared" si="2338"/>
        <v>7.6690832276070786</v>
      </c>
      <c r="U2279" s="361">
        <f t="shared" si="2338"/>
        <v>9.9747930999870089</v>
      </c>
      <c r="V2279" s="362">
        <f t="shared" si="2338"/>
        <v>12.973714645497925</v>
      </c>
      <c r="X2279" s="351"/>
    </row>
    <row r="2280" spans="3:24" ht="24.75" customHeight="1" x14ac:dyDescent="0.3">
      <c r="C2280" s="353">
        <f>ABS(E2280-Dashboard!$F$14)</f>
        <v>43.503951828520321</v>
      </c>
      <c r="D2280" s="350">
        <f t="shared" si="2313"/>
        <v>0.30074999999998214</v>
      </c>
      <c r="E2280" s="359" cm="1">
        <f t="array" ref="E2280">1000*SUM('DRE + DCF'!$L$36/M2280,'DRE + DCF'!$N$36:$V$36/N2280:V2280,F2280/V2280)/Dashboard!$F$11</f>
        <v>53.486048171479673</v>
      </c>
      <c r="F2280" s="359">
        <f t="shared" si="2311"/>
        <v>8745839.4762429353</v>
      </c>
      <c r="G2280" s="359">
        <f>'DRE + DCF'!$W$31</f>
        <v>2791623.3540418856</v>
      </c>
      <c r="H2280" s="359">
        <f>'DRE + DCF'!$W$32</f>
        <v>81081.931703745853</v>
      </c>
      <c r="I2280" s="359">
        <f>-H2280*('DRE + DCF'!$V$33+K2280)/'DRE + DCF'!$V$33</f>
        <v>-90858.801614444121</v>
      </c>
      <c r="J2280" s="359">
        <f>-'DRE + DCF'!$V$56*L2280</f>
        <v>-1188924.4255577971</v>
      </c>
      <c r="K2280" s="360">
        <f>(1+L2280)/(1+Ke!$O$12)-1</f>
        <v>2.0000000000000018E-2</v>
      </c>
      <c r="L2280" s="360">
        <f>'DRE + DCF'!$Y$31</f>
        <v>7.3550000000000004E-2</v>
      </c>
      <c r="M2280" s="361">
        <f>(1+D2280)^((5-Dashboard!$F$9)*3/12)</f>
        <v>1.2179946366748609</v>
      </c>
      <c r="N2280" s="361">
        <f t="shared" ref="N2280:V2280" si="2339">M2280*(1+$D2280)</f>
        <v>1.5843065236548035</v>
      </c>
      <c r="O2280" s="361">
        <f t="shared" si="2339"/>
        <v>2.0607867106439572</v>
      </c>
      <c r="P2280" s="361">
        <f t="shared" si="2339"/>
        <v>2.6805683138700904</v>
      </c>
      <c r="Q2280" s="361">
        <f t="shared" si="2339"/>
        <v>3.4867492342664721</v>
      </c>
      <c r="R2280" s="361">
        <f t="shared" si="2339"/>
        <v>4.5353890664720513</v>
      </c>
      <c r="S2280" s="361">
        <f t="shared" si="2339"/>
        <v>5.8994073282134396</v>
      </c>
      <c r="T2280" s="361">
        <f t="shared" si="2339"/>
        <v>7.6736540821735257</v>
      </c>
      <c r="U2280" s="361">
        <f t="shared" si="2339"/>
        <v>9.9815055473870764</v>
      </c>
      <c r="V2280" s="362">
        <f t="shared" si="2339"/>
        <v>12.983443340763561</v>
      </c>
      <c r="X2280" s="351"/>
    </row>
    <row r="2281" spans="3:24" ht="24.75" customHeight="1" x14ac:dyDescent="0.3">
      <c r="C2281" s="353">
        <f>ABS(E2281-Dashboard!$F$14)</f>
        <v>43.531484857083079</v>
      </c>
      <c r="D2281" s="350">
        <f t="shared" si="2313"/>
        <v>0.30084999999998213</v>
      </c>
      <c r="E2281" s="359" cm="1">
        <f t="array" ref="E2281">1000*SUM('DRE + DCF'!$L$36/M2281,'DRE + DCF'!$N$36:$V$36/N2281:V2281,F2281/V2281)/Dashboard!$F$11</f>
        <v>53.458515142916916</v>
      </c>
      <c r="F2281" s="359">
        <f t="shared" si="2311"/>
        <v>8742527.6598816309</v>
      </c>
      <c r="G2281" s="359">
        <f>'DRE + DCF'!$W$31</f>
        <v>2791623.3540418856</v>
      </c>
      <c r="H2281" s="359">
        <f>'DRE + DCF'!$W$32</f>
        <v>81081.931703745853</v>
      </c>
      <c r="I2281" s="359">
        <f>-H2281*('DRE + DCF'!$V$33+K2281)/'DRE + DCF'!$V$33</f>
        <v>-90858.801614444121</v>
      </c>
      <c r="J2281" s="359">
        <f>-'DRE + DCF'!$V$56*L2281</f>
        <v>-1188924.4255577971</v>
      </c>
      <c r="K2281" s="360">
        <f>(1+L2281)/(1+Ke!$O$12)-1</f>
        <v>2.0000000000000018E-2</v>
      </c>
      <c r="L2281" s="360">
        <f>'DRE + DCF'!$Y$31</f>
        <v>7.3550000000000004E-2</v>
      </c>
      <c r="M2281" s="361">
        <f>(1+D2281)^((5-Dashboard!$F$9)*3/12)</f>
        <v>1.2180648644049579</v>
      </c>
      <c r="N2281" s="361">
        <f t="shared" ref="N2281:V2281" si="2340">M2281*(1+$D2281)</f>
        <v>1.5845196788611675</v>
      </c>
      <c r="O2281" s="361">
        <f t="shared" si="2340"/>
        <v>2.0612224242465214</v>
      </c>
      <c r="P2281" s="361">
        <f t="shared" si="2340"/>
        <v>2.6813411905810502</v>
      </c>
      <c r="Q2281" s="361">
        <f t="shared" si="2340"/>
        <v>3.4880226877673111</v>
      </c>
      <c r="R2281" s="361">
        <f t="shared" si="2340"/>
        <v>4.5373943133820438</v>
      </c>
      <c r="S2281" s="361">
        <f t="shared" si="2340"/>
        <v>5.9024693925629501</v>
      </c>
      <c r="T2281" s="361">
        <f t="shared" si="2340"/>
        <v>7.6782273093154076</v>
      </c>
      <c r="U2281" s="361">
        <f t="shared" si="2340"/>
        <v>9.9882219953228102</v>
      </c>
      <c r="V2281" s="362">
        <f t="shared" si="2340"/>
        <v>12.993178582615499</v>
      </c>
      <c r="X2281" s="351"/>
    </row>
    <row r="2282" spans="3:24" ht="24.75" customHeight="1" x14ac:dyDescent="0.3">
      <c r="C2282" s="353">
        <f>ABS(E2282-Dashboard!$F$14)</f>
        <v>43.558992606943768</v>
      </c>
      <c r="D2282" s="350">
        <f t="shared" si="2313"/>
        <v>0.30094999999998212</v>
      </c>
      <c r="E2282" s="359" cm="1">
        <f t="array" ref="E2282">1000*SUM('DRE + DCF'!$L$36/M2282,'DRE + DCF'!$N$36:$V$36/N2282:V2282,F2282/V2282)/Dashboard!$F$11</f>
        <v>53.431007393056227</v>
      </c>
      <c r="F2282" s="359">
        <f t="shared" si="2311"/>
        <v>8739218.4003110882</v>
      </c>
      <c r="G2282" s="359">
        <f>'DRE + DCF'!$W$31</f>
        <v>2791623.3540418856</v>
      </c>
      <c r="H2282" s="359">
        <f>'DRE + DCF'!$W$32</f>
        <v>81081.931703745853</v>
      </c>
      <c r="I2282" s="359">
        <f>-H2282*('DRE + DCF'!$V$33+K2282)/'DRE + DCF'!$V$33</f>
        <v>-90858.801614444121</v>
      </c>
      <c r="J2282" s="359">
        <f>-'DRE + DCF'!$V$56*L2282</f>
        <v>-1188924.4255577971</v>
      </c>
      <c r="K2282" s="360">
        <f>(1+L2282)/(1+Ke!$O$12)-1</f>
        <v>2.0000000000000018E-2</v>
      </c>
      <c r="L2282" s="360">
        <f>'DRE + DCF'!$Y$31</f>
        <v>7.3550000000000004E-2</v>
      </c>
      <c r="M2282" s="361">
        <f>(1+D2282)^((5-Dashboard!$F$9)*3/12)</f>
        <v>1.2181350907854169</v>
      </c>
      <c r="N2282" s="361">
        <f t="shared" ref="N2282:V2282" si="2341">M2282*(1+$D2282)</f>
        <v>1.5847328463572663</v>
      </c>
      <c r="O2282" s="361">
        <f t="shared" si="2341"/>
        <v>2.061658196468457</v>
      </c>
      <c r="P2282" s="361">
        <f t="shared" si="2341"/>
        <v>2.6821142306956021</v>
      </c>
      <c r="Q2282" s="361">
        <f t="shared" si="2341"/>
        <v>3.4892965084233953</v>
      </c>
      <c r="R2282" s="361">
        <f t="shared" si="2341"/>
        <v>4.5394002926333537</v>
      </c>
      <c r="S2282" s="361">
        <f t="shared" si="2341"/>
        <v>5.9055328107012803</v>
      </c>
      <c r="T2282" s="361">
        <f t="shared" si="2341"/>
        <v>7.6828029100817243</v>
      </c>
      <c r="U2282" s="361">
        <f t="shared" si="2341"/>
        <v>9.9949424458706808</v>
      </c>
      <c r="V2282" s="362">
        <f t="shared" si="2341"/>
        <v>13.002920374955282</v>
      </c>
      <c r="X2282" s="351"/>
    </row>
    <row r="2283" spans="3:24" ht="24.75" customHeight="1" x14ac:dyDescent="0.3">
      <c r="C2283" s="353">
        <f>ABS(E2283-Dashboard!$F$14)</f>
        <v>43.586475110399654</v>
      </c>
      <c r="D2283" s="350">
        <f t="shared" si="2313"/>
        <v>0.30104999999998211</v>
      </c>
      <c r="E2283" s="359" cm="1">
        <f t="array" ref="E2283">1000*SUM('DRE + DCF'!$L$36/M2283,'DRE + DCF'!$N$36:$V$36/N2283:V2283,F2283/V2283)/Dashboard!$F$11</f>
        <v>53.403524889600341</v>
      </c>
      <c r="F2283" s="359">
        <f t="shared" si="2311"/>
        <v>8735911.6945142876</v>
      </c>
      <c r="G2283" s="359">
        <f>'DRE + DCF'!$W$31</f>
        <v>2791623.3540418856</v>
      </c>
      <c r="H2283" s="359">
        <f>'DRE + DCF'!$W$32</f>
        <v>81081.931703745853</v>
      </c>
      <c r="I2283" s="359">
        <f>-H2283*('DRE + DCF'!$V$33+K2283)/'DRE + DCF'!$V$33</f>
        <v>-90858.801614444121</v>
      </c>
      <c r="J2283" s="359">
        <f>-'DRE + DCF'!$V$56*L2283</f>
        <v>-1188924.4255577971</v>
      </c>
      <c r="K2283" s="360">
        <f>(1+L2283)/(1+Ke!$O$12)-1</f>
        <v>2.0000000000000018E-2</v>
      </c>
      <c r="L2283" s="360">
        <f>'DRE + DCF'!$Y$31</f>
        <v>7.3550000000000004E-2</v>
      </c>
      <c r="M2283" s="361">
        <f>(1+D2283)^((5-Dashboard!$F$9)*3/12)</f>
        <v>1.2182053158163679</v>
      </c>
      <c r="N2283" s="361">
        <f t="shared" ref="N2283:V2283" si="2342">M2283*(1+$D2283)</f>
        <v>1.5849460261428636</v>
      </c>
      <c r="O2283" s="361">
        <f t="shared" si="2342"/>
        <v>2.0620940273131443</v>
      </c>
      <c r="P2283" s="361">
        <f t="shared" si="2342"/>
        <v>2.6828874342357292</v>
      </c>
      <c r="Q2283" s="361">
        <f t="shared" si="2342"/>
        <v>3.4905706963123473</v>
      </c>
      <c r="R2283" s="361">
        <f t="shared" si="2342"/>
        <v>4.5414070044371169</v>
      </c>
      <c r="S2283" s="361">
        <f t="shared" si="2342"/>
        <v>5.9085975831228295</v>
      </c>
      <c r="T2283" s="361">
        <f t="shared" si="2342"/>
        <v>7.6873808855218515</v>
      </c>
      <c r="U2283" s="361">
        <f t="shared" si="2342"/>
        <v>10.001666901108067</v>
      </c>
      <c r="V2283" s="362">
        <f t="shared" si="2342"/>
        <v>13.01266872168647</v>
      </c>
      <c r="X2283" s="351"/>
    </row>
    <row r="2284" spans="3:24" ht="24.75" customHeight="1" x14ac:dyDescent="0.3">
      <c r="C2284" s="353">
        <f>ABS(E2284-Dashboard!$F$14)</f>
        <v>43.613932399695038</v>
      </c>
      <c r="D2284" s="350">
        <f t="shared" si="2313"/>
        <v>0.3011499999999821</v>
      </c>
      <c r="E2284" s="359" cm="1">
        <f t="array" ref="E2284">1000*SUM('DRE + DCF'!$L$36/M2284,'DRE + DCF'!$N$36:$V$36/N2284:V2284,F2284/V2284)/Dashboard!$F$11</f>
        <v>53.376067600304957</v>
      </c>
      <c r="F2284" s="359">
        <f t="shared" si="2311"/>
        <v>8732607.5394790526</v>
      </c>
      <c r="G2284" s="359">
        <f>'DRE + DCF'!$W$31</f>
        <v>2791623.3540418856</v>
      </c>
      <c r="H2284" s="359">
        <f>'DRE + DCF'!$W$32</f>
        <v>81081.931703745853</v>
      </c>
      <c r="I2284" s="359">
        <f>-H2284*('DRE + DCF'!$V$33+K2284)/'DRE + DCF'!$V$33</f>
        <v>-90858.801614444121</v>
      </c>
      <c r="J2284" s="359">
        <f>-'DRE + DCF'!$V$56*L2284</f>
        <v>-1188924.4255577971</v>
      </c>
      <c r="K2284" s="360">
        <f>(1+L2284)/(1+Ke!$O$12)-1</f>
        <v>2.0000000000000018E-2</v>
      </c>
      <c r="L2284" s="360">
        <f>'DRE + DCF'!$Y$31</f>
        <v>7.3550000000000004E-2</v>
      </c>
      <c r="M2284" s="361">
        <f>(1+D2284)^((5-Dashboard!$F$9)*3/12)</f>
        <v>1.2182755394979403</v>
      </c>
      <c r="N2284" s="361">
        <f t="shared" ref="N2284:V2284" si="2343">M2284*(1+$D2284)</f>
        <v>1.5851592182177232</v>
      </c>
      <c r="O2284" s="361">
        <f t="shared" si="2343"/>
        <v>2.0625299167839621</v>
      </c>
      <c r="P2284" s="361">
        <f t="shared" si="2343"/>
        <v>2.6836608012234153</v>
      </c>
      <c r="Q2284" s="361">
        <f t="shared" si="2343"/>
        <v>3.4918452515117986</v>
      </c>
      <c r="R2284" s="361">
        <f t="shared" si="2343"/>
        <v>4.5434144490045139</v>
      </c>
      <c r="S2284" s="361">
        <f t="shared" si="2343"/>
        <v>5.9116637103221414</v>
      </c>
      <c r="T2284" s="361">
        <f t="shared" si="2343"/>
        <v>7.6919612366855485</v>
      </c>
      <c r="U2284" s="361">
        <f t="shared" si="2343"/>
        <v>10.008395363113264</v>
      </c>
      <c r="V2284" s="362">
        <f t="shared" si="2343"/>
        <v>13.022423626714644</v>
      </c>
      <c r="X2284" s="351"/>
    </row>
    <row r="2285" spans="3:24" ht="24.75" customHeight="1" x14ac:dyDescent="0.3">
      <c r="C2285" s="353">
        <f>ABS(E2285-Dashboard!$F$14)</f>
        <v>43.641364507021549</v>
      </c>
      <c r="D2285" s="350">
        <f t="shared" si="2313"/>
        <v>0.30124999999998209</v>
      </c>
      <c r="E2285" s="359" cm="1">
        <f t="array" ref="E2285">1000*SUM('DRE + DCF'!$L$36/M2285,'DRE + DCF'!$N$36:$V$36/N2285:V2285,F2285/V2285)/Dashboard!$F$11</f>
        <v>53.348635492978445</v>
      </c>
      <c r="F2285" s="359">
        <f t="shared" si="2311"/>
        <v>8729305.9321980197</v>
      </c>
      <c r="G2285" s="359">
        <f>'DRE + DCF'!$W$31</f>
        <v>2791623.3540418856</v>
      </c>
      <c r="H2285" s="359">
        <f>'DRE + DCF'!$W$32</f>
        <v>81081.931703745853</v>
      </c>
      <c r="I2285" s="359">
        <f>-H2285*('DRE + DCF'!$V$33+K2285)/'DRE + DCF'!$V$33</f>
        <v>-90858.801614444121</v>
      </c>
      <c r="J2285" s="359">
        <f>-'DRE + DCF'!$V$56*L2285</f>
        <v>-1188924.4255577971</v>
      </c>
      <c r="K2285" s="360">
        <f>(1+L2285)/(1+Ke!$O$12)-1</f>
        <v>2.0000000000000018E-2</v>
      </c>
      <c r="L2285" s="360">
        <f>'DRE + DCF'!$Y$31</f>
        <v>7.3550000000000004E-2</v>
      </c>
      <c r="M2285" s="361">
        <f>(1+D2285)^((5-Dashboard!$F$9)*3/12)</f>
        <v>1.218345761830264</v>
      </c>
      <c r="N2285" s="361">
        <f t="shared" ref="N2285:V2285" si="2344">M2285*(1+$D2285)</f>
        <v>1.585372422581609</v>
      </c>
      <c r="O2285" s="361">
        <f t="shared" si="2344"/>
        <v>2.0629658648842901</v>
      </c>
      <c r="P2285" s="361">
        <f t="shared" si="2344"/>
        <v>2.6844343316806456</v>
      </c>
      <c r="Q2285" s="361">
        <f t="shared" si="2344"/>
        <v>3.493120174099392</v>
      </c>
      <c r="R2285" s="361">
        <f t="shared" si="2344"/>
        <v>4.5454226265467712</v>
      </c>
      <c r="S2285" s="361">
        <f t="shared" si="2344"/>
        <v>5.9147311927939041</v>
      </c>
      <c r="T2285" s="361">
        <f t="shared" si="2344"/>
        <v>7.6965439646229612</v>
      </c>
      <c r="U2285" s="361">
        <f t="shared" si="2344"/>
        <v>10.01512783396549</v>
      </c>
      <c r="V2285" s="362">
        <f t="shared" si="2344"/>
        <v>13.032185093947414</v>
      </c>
      <c r="X2285" s="351"/>
    </row>
    <row r="2286" spans="3:24" ht="24.75" customHeight="1" x14ac:dyDescent="0.3">
      <c r="C2286" s="353">
        <f>ABS(E2286-Dashboard!$F$14)</f>
        <v>43.668771464518116</v>
      </c>
      <c r="D2286" s="350">
        <f t="shared" si="2313"/>
        <v>0.30134999999998208</v>
      </c>
      <c r="E2286" s="359" cm="1">
        <f t="array" ref="E2286">1000*SUM('DRE + DCF'!$L$36/M2286,'DRE + DCF'!$N$36:$V$36/N2286:V2286,F2286/V2286)/Dashboard!$F$11</f>
        <v>53.321228535481879</v>
      </c>
      <c r="F2286" s="359">
        <f t="shared" si="2311"/>
        <v>8726006.8696686439</v>
      </c>
      <c r="G2286" s="359">
        <f>'DRE + DCF'!$W$31</f>
        <v>2791623.3540418856</v>
      </c>
      <c r="H2286" s="359">
        <f>'DRE + DCF'!$W$32</f>
        <v>81081.931703745853</v>
      </c>
      <c r="I2286" s="359">
        <f>-H2286*('DRE + DCF'!$V$33+K2286)/'DRE + DCF'!$V$33</f>
        <v>-90858.801614444121</v>
      </c>
      <c r="J2286" s="359">
        <f>-'DRE + DCF'!$V$56*L2286</f>
        <v>-1188924.4255577971</v>
      </c>
      <c r="K2286" s="360">
        <f>(1+L2286)/(1+Ke!$O$12)-1</f>
        <v>2.0000000000000018E-2</v>
      </c>
      <c r="L2286" s="360">
        <f>'DRE + DCF'!$Y$31</f>
        <v>7.3550000000000004E-2</v>
      </c>
      <c r="M2286" s="361">
        <f>(1+D2286)^((5-Dashboard!$F$9)*3/12)</f>
        <v>1.2184159828134684</v>
      </c>
      <c r="N2286" s="361">
        <f t="shared" ref="N2286:V2286" si="2345">M2286*(1+$D2286)</f>
        <v>1.5855856392342853</v>
      </c>
      <c r="O2286" s="361">
        <f t="shared" si="2345"/>
        <v>2.0634018716175087</v>
      </c>
      <c r="P2286" s="361">
        <f t="shared" si="2345"/>
        <v>2.6852080256294077</v>
      </c>
      <c r="Q2286" s="361">
        <f t="shared" si="2345"/>
        <v>3.4943954641527815</v>
      </c>
      <c r="R2286" s="361">
        <f t="shared" si="2345"/>
        <v>4.547431537275159</v>
      </c>
      <c r="S2286" s="361">
        <f t="shared" si="2345"/>
        <v>5.9178000310329466</v>
      </c>
      <c r="T2286" s="361">
        <f t="shared" si="2345"/>
        <v>7.7011290703846189</v>
      </c>
      <c r="U2286" s="361">
        <f t="shared" si="2345"/>
        <v>10.021864315744885</v>
      </c>
      <c r="V2286" s="362">
        <f t="shared" si="2345"/>
        <v>13.041953127294427</v>
      </c>
      <c r="X2286" s="351"/>
    </row>
    <row r="2287" spans="3:24" ht="24.75" customHeight="1" x14ac:dyDescent="0.3">
      <c r="C2287" s="353">
        <f>ABS(E2287-Dashboard!$F$14)</f>
        <v>43.696153304271121</v>
      </c>
      <c r="D2287" s="350">
        <f t="shared" si="2313"/>
        <v>0.30144999999998207</v>
      </c>
      <c r="E2287" s="359" cm="1">
        <f t="array" ref="E2287">1000*SUM('DRE + DCF'!$L$36/M2287,'DRE + DCF'!$N$36:$V$36/N2287:V2287,F2287/V2287)/Dashboard!$F$11</f>
        <v>53.293846695728874</v>
      </c>
      <c r="F2287" s="359">
        <f t="shared" si="2311"/>
        <v>8722710.3488931768</v>
      </c>
      <c r="G2287" s="359">
        <f>'DRE + DCF'!$W$31</f>
        <v>2791623.3540418856</v>
      </c>
      <c r="H2287" s="359">
        <f>'DRE + DCF'!$W$32</f>
        <v>81081.931703745853</v>
      </c>
      <c r="I2287" s="359">
        <f>-H2287*('DRE + DCF'!$V$33+K2287)/'DRE + DCF'!$V$33</f>
        <v>-90858.801614444121</v>
      </c>
      <c r="J2287" s="359">
        <f>-'DRE + DCF'!$V$56*L2287</f>
        <v>-1188924.4255577971</v>
      </c>
      <c r="K2287" s="360">
        <f>(1+L2287)/(1+Ke!$O$12)-1</f>
        <v>2.0000000000000018E-2</v>
      </c>
      <c r="L2287" s="360">
        <f>'DRE + DCF'!$Y$31</f>
        <v>7.3550000000000004E-2</v>
      </c>
      <c r="M2287" s="361">
        <f>(1+D2287)^((5-Dashboard!$F$9)*3/12)</f>
        <v>1.218486202447683</v>
      </c>
      <c r="N2287" s="361">
        <f t="shared" ref="N2287:V2287" si="2346">M2287*(1+$D2287)</f>
        <v>1.5857988681755151</v>
      </c>
      <c r="O2287" s="361">
        <f t="shared" si="2346"/>
        <v>2.0638379369869955</v>
      </c>
      <c r="P2287" s="361">
        <f t="shared" si="2346"/>
        <v>2.6859818830916882</v>
      </c>
      <c r="Q2287" s="361">
        <f t="shared" si="2346"/>
        <v>3.4956711217496292</v>
      </c>
      <c r="R2287" s="361">
        <f t="shared" si="2346"/>
        <v>4.5494411814009919</v>
      </c>
      <c r="S2287" s="361">
        <f t="shared" si="2346"/>
        <v>5.9208702255342391</v>
      </c>
      <c r="T2287" s="361">
        <f t="shared" si="2346"/>
        <v>7.7057165550214286</v>
      </c>
      <c r="U2287" s="361">
        <f t="shared" si="2346"/>
        <v>10.028604810532499</v>
      </c>
      <c r="V2287" s="362">
        <f t="shared" si="2346"/>
        <v>13.051727730667341</v>
      </c>
      <c r="X2287" s="351"/>
    </row>
    <row r="2288" spans="3:24" ht="24.75" customHeight="1" x14ac:dyDescent="0.3">
      <c r="C2288" s="353">
        <f>ABS(E2288-Dashboard!$F$14)</f>
        <v>43.723510058314503</v>
      </c>
      <c r="D2288" s="350">
        <f t="shared" si="2313"/>
        <v>0.30154999999998205</v>
      </c>
      <c r="E2288" s="359" cm="1">
        <f t="array" ref="E2288">1000*SUM('DRE + DCF'!$L$36/M2288,'DRE + DCF'!$N$36:$V$36/N2288:V2288,F2288/V2288)/Dashboard!$F$11</f>
        <v>53.266489941685492</v>
      </c>
      <c r="F2288" s="359">
        <f t="shared" si="2311"/>
        <v>8719416.366878666</v>
      </c>
      <c r="G2288" s="359">
        <f>'DRE + DCF'!$W$31</f>
        <v>2791623.3540418856</v>
      </c>
      <c r="H2288" s="359">
        <f>'DRE + DCF'!$W$32</f>
        <v>81081.931703745853</v>
      </c>
      <c r="I2288" s="359">
        <f>-H2288*('DRE + DCF'!$V$33+K2288)/'DRE + DCF'!$V$33</f>
        <v>-90858.801614444121</v>
      </c>
      <c r="J2288" s="359">
        <f>-'DRE + DCF'!$V$56*L2288</f>
        <v>-1188924.4255577971</v>
      </c>
      <c r="K2288" s="360">
        <f>(1+L2288)/(1+Ke!$O$12)-1</f>
        <v>2.0000000000000018E-2</v>
      </c>
      <c r="L2288" s="360">
        <f>'DRE + DCF'!$Y$31</f>
        <v>7.3550000000000004E-2</v>
      </c>
      <c r="M2288" s="361">
        <f>(1+D2288)^((5-Dashboard!$F$9)*3/12)</f>
        <v>1.2185564207330375</v>
      </c>
      <c r="N2288" s="361">
        <f t="shared" ref="N2288:V2288" si="2347">M2288*(1+$D2288)</f>
        <v>1.586012109405063</v>
      </c>
      <c r="O2288" s="361">
        <f t="shared" si="2347"/>
        <v>2.064274060996131</v>
      </c>
      <c r="P2288" s="361">
        <f t="shared" si="2347"/>
        <v>2.6867559040894773</v>
      </c>
      <c r="Q2288" s="361">
        <f t="shared" si="2347"/>
        <v>3.496947146967611</v>
      </c>
      <c r="R2288" s="361">
        <f t="shared" si="2347"/>
        <v>4.5514515591356313</v>
      </c>
      <c r="S2288" s="361">
        <f t="shared" si="2347"/>
        <v>5.9239417767928986</v>
      </c>
      <c r="T2288" s="361">
        <f t="shared" si="2347"/>
        <v>7.7103064195846907</v>
      </c>
      <c r="U2288" s="361">
        <f t="shared" si="2347"/>
        <v>10.035349320410315</v>
      </c>
      <c r="V2288" s="362">
        <f t="shared" si="2347"/>
        <v>13.061508907979865</v>
      </c>
      <c r="X2288" s="351"/>
    </row>
    <row r="2289" spans="3:24" ht="24.75" customHeight="1" x14ac:dyDescent="0.3">
      <c r="C2289" s="353">
        <f>ABS(E2289-Dashboard!$F$14)</f>
        <v>43.750841758629861</v>
      </c>
      <c r="D2289" s="350">
        <f t="shared" si="2313"/>
        <v>0.30164999999998204</v>
      </c>
      <c r="E2289" s="359" cm="1">
        <f t="array" ref="E2289">1000*SUM('DRE + DCF'!$L$36/M2289,'DRE + DCF'!$N$36:$V$36/N2289:V2289,F2289/V2289)/Dashboard!$F$11</f>
        <v>53.239158241370134</v>
      </c>
      <c r="F2289" s="359">
        <f t="shared" si="2311"/>
        <v>8716124.9206369407</v>
      </c>
      <c r="G2289" s="359">
        <f>'DRE + DCF'!$W$31</f>
        <v>2791623.3540418856</v>
      </c>
      <c r="H2289" s="359">
        <f>'DRE + DCF'!$W$32</f>
        <v>81081.931703745853</v>
      </c>
      <c r="I2289" s="359">
        <f>-H2289*('DRE + DCF'!$V$33+K2289)/'DRE + DCF'!$V$33</f>
        <v>-90858.801614444121</v>
      </c>
      <c r="J2289" s="359">
        <f>-'DRE + DCF'!$V$56*L2289</f>
        <v>-1188924.4255577971</v>
      </c>
      <c r="K2289" s="360">
        <f>(1+L2289)/(1+Ke!$O$12)-1</f>
        <v>2.0000000000000018E-2</v>
      </c>
      <c r="L2289" s="360">
        <f>'DRE + DCF'!$Y$31</f>
        <v>7.3550000000000004E-2</v>
      </c>
      <c r="M2289" s="361">
        <f>(1+D2289)^((5-Dashboard!$F$9)*3/12)</f>
        <v>1.2186266376696615</v>
      </c>
      <c r="N2289" s="361">
        <f t="shared" ref="N2289:V2289" si="2348">M2289*(1+$D2289)</f>
        <v>1.586225362922693</v>
      </c>
      <c r="O2289" s="361">
        <f t="shared" si="2348"/>
        <v>2.0647102436482947</v>
      </c>
      <c r="P2289" s="361">
        <f t="shared" si="2348"/>
        <v>2.6875300886447655</v>
      </c>
      <c r="Q2289" s="361">
        <f t="shared" si="2348"/>
        <v>3.4982235398844108</v>
      </c>
      <c r="R2289" s="361">
        <f t="shared" si="2348"/>
        <v>4.5534626706904806</v>
      </c>
      <c r="S2289" s="361">
        <f t="shared" si="2348"/>
        <v>5.9270146853041821</v>
      </c>
      <c r="T2289" s="361">
        <f t="shared" si="2348"/>
        <v>7.714898665126082</v>
      </c>
      <c r="U2289" s="361">
        <f t="shared" si="2348"/>
        <v>10.042097847461227</v>
      </c>
      <c r="V2289" s="362">
        <f t="shared" si="2348"/>
        <v>13.071296663147725</v>
      </c>
      <c r="X2289" s="351"/>
    </row>
    <row r="2290" spans="3:24" ht="24.75" customHeight="1" x14ac:dyDescent="0.3">
      <c r="C2290" s="353">
        <f>ABS(E2290-Dashboard!$F$14)</f>
        <v>43.778148437146534</v>
      </c>
      <c r="D2290" s="350">
        <f t="shared" si="2313"/>
        <v>0.30174999999998203</v>
      </c>
      <c r="E2290" s="359" cm="1">
        <f t="array" ref="E2290">1000*SUM('DRE + DCF'!$L$36/M2290,'DRE + DCF'!$N$36:$V$36/N2290:V2290,F2290/V2290)/Dashboard!$F$11</f>
        <v>53.211851562853461</v>
      </c>
      <c r="F2290" s="359">
        <f t="shared" si="2311"/>
        <v>8712836.0071846023</v>
      </c>
      <c r="G2290" s="359">
        <f>'DRE + DCF'!$W$31</f>
        <v>2791623.3540418856</v>
      </c>
      <c r="H2290" s="359">
        <f>'DRE + DCF'!$W$32</f>
        <v>81081.931703745853</v>
      </c>
      <c r="I2290" s="359">
        <f>-H2290*('DRE + DCF'!$V$33+K2290)/'DRE + DCF'!$V$33</f>
        <v>-90858.801614444121</v>
      </c>
      <c r="J2290" s="359">
        <f>-'DRE + DCF'!$V$56*L2290</f>
        <v>-1188924.4255577971</v>
      </c>
      <c r="K2290" s="360">
        <f>(1+L2290)/(1+Ke!$O$12)-1</f>
        <v>2.0000000000000018E-2</v>
      </c>
      <c r="L2290" s="360">
        <f>'DRE + DCF'!$Y$31</f>
        <v>7.3550000000000004E-2</v>
      </c>
      <c r="M2290" s="361">
        <f>(1+D2290)^((5-Dashboard!$F$9)*3/12)</f>
        <v>1.2186968532576845</v>
      </c>
      <c r="N2290" s="361">
        <f t="shared" ref="N2290:V2290" si="2349">M2290*(1+$D2290)</f>
        <v>1.5864386287281689</v>
      </c>
      <c r="O2290" s="361">
        <f t="shared" si="2349"/>
        <v>2.0651464849468653</v>
      </c>
      <c r="P2290" s="361">
        <f t="shared" si="2349"/>
        <v>2.6883044367795446</v>
      </c>
      <c r="Q2290" s="361">
        <f t="shared" si="2349"/>
        <v>3.4995003005777239</v>
      </c>
      <c r="R2290" s="361">
        <f t="shared" si="2349"/>
        <v>4.5554745162769894</v>
      </c>
      <c r="S2290" s="361">
        <f t="shared" si="2349"/>
        <v>5.9300889515634889</v>
      </c>
      <c r="T2290" s="361">
        <f t="shared" si="2349"/>
        <v>7.7194932926976652</v>
      </c>
      <c r="U2290" s="361">
        <f t="shared" si="2349"/>
        <v>10.048850393769046</v>
      </c>
      <c r="V2290" s="362">
        <f t="shared" si="2349"/>
        <v>13.081091000088675</v>
      </c>
      <c r="X2290" s="351"/>
    </row>
    <row r="2291" spans="3:24" ht="24.75" customHeight="1" x14ac:dyDescent="0.3">
      <c r="C2291" s="353">
        <f>ABS(E2291-Dashboard!$F$14)</f>
        <v>43.805430125741758</v>
      </c>
      <c r="D2291" s="350">
        <f t="shared" si="2313"/>
        <v>0.30184999999998202</v>
      </c>
      <c r="E2291" s="359" cm="1">
        <f t="array" ref="E2291">1000*SUM('DRE + DCF'!$L$36/M2291,'DRE + DCF'!$N$36:$V$36/N2291:V2291,F2291/V2291)/Dashboard!$F$11</f>
        <v>53.184569874258237</v>
      </c>
      <c r="F2291" s="359">
        <f t="shared" si="2311"/>
        <v>8709549.6235430166</v>
      </c>
      <c r="G2291" s="359">
        <f>'DRE + DCF'!$W$31</f>
        <v>2791623.3540418856</v>
      </c>
      <c r="H2291" s="359">
        <f>'DRE + DCF'!$W$32</f>
        <v>81081.931703745853</v>
      </c>
      <c r="I2291" s="359">
        <f>-H2291*('DRE + DCF'!$V$33+K2291)/'DRE + DCF'!$V$33</f>
        <v>-90858.801614444121</v>
      </c>
      <c r="J2291" s="359">
        <f>-'DRE + DCF'!$V$56*L2291</f>
        <v>-1188924.4255577971</v>
      </c>
      <c r="K2291" s="360">
        <f>(1+L2291)/(1+Ke!$O$12)-1</f>
        <v>2.0000000000000018E-2</v>
      </c>
      <c r="L2291" s="360">
        <f>'DRE + DCF'!$Y$31</f>
        <v>7.3550000000000004E-2</v>
      </c>
      <c r="M2291" s="361">
        <f>(1+D2291)^((5-Dashboard!$F$9)*3/12)</f>
        <v>1.2187670674972357</v>
      </c>
      <c r="N2291" s="361">
        <f t="shared" ref="N2291:V2291" si="2350">M2291*(1+$D2291)</f>
        <v>1.5866519068212543</v>
      </c>
      <c r="O2291" s="361">
        <f t="shared" si="2350"/>
        <v>2.0655827848952213</v>
      </c>
      <c r="P2291" s="361">
        <f t="shared" si="2350"/>
        <v>2.6890789485158066</v>
      </c>
      <c r="Q2291" s="361">
        <f t="shared" si="2350"/>
        <v>3.5007774291252542</v>
      </c>
      <c r="R2291" s="361">
        <f t="shared" si="2350"/>
        <v>4.5574870961066489</v>
      </c>
      <c r="S2291" s="361">
        <f t="shared" si="2350"/>
        <v>5.9331645760663587</v>
      </c>
      <c r="T2291" s="361">
        <f t="shared" si="2350"/>
        <v>7.7240903033518817</v>
      </c>
      <c r="U2291" s="361">
        <f t="shared" si="2350"/>
        <v>10.055606961418508</v>
      </c>
      <c r="V2291" s="362">
        <f t="shared" si="2350"/>
        <v>13.090891922722504</v>
      </c>
      <c r="X2291" s="351"/>
    </row>
    <row r="2292" spans="3:24" ht="24.75" customHeight="1" x14ac:dyDescent="0.3">
      <c r="C2292" s="353">
        <f>ABS(E2292-Dashboard!$F$14)</f>
        <v>43.832686856240763</v>
      </c>
      <c r="D2292" s="350">
        <f t="shared" si="2313"/>
        <v>0.30194999999998201</v>
      </c>
      <c r="E2292" s="359" cm="1">
        <f t="array" ref="E2292">1000*SUM('DRE + DCF'!$L$36/M2292,'DRE + DCF'!$N$36:$V$36/N2292:V2292,F2292/V2292)/Dashboard!$F$11</f>
        <v>53.157313143759232</v>
      </c>
      <c r="F2292" s="359">
        <f t="shared" si="2311"/>
        <v>8706265.766738303</v>
      </c>
      <c r="G2292" s="359">
        <f>'DRE + DCF'!$W$31</f>
        <v>2791623.3540418856</v>
      </c>
      <c r="H2292" s="359">
        <f>'DRE + DCF'!$W$32</f>
        <v>81081.931703745853</v>
      </c>
      <c r="I2292" s="359">
        <f>-H2292*('DRE + DCF'!$V$33+K2292)/'DRE + DCF'!$V$33</f>
        <v>-90858.801614444121</v>
      </c>
      <c r="J2292" s="359">
        <f>-'DRE + DCF'!$V$56*L2292</f>
        <v>-1188924.4255577971</v>
      </c>
      <c r="K2292" s="360">
        <f>(1+L2292)/(1+Ke!$O$12)-1</f>
        <v>2.0000000000000018E-2</v>
      </c>
      <c r="L2292" s="360">
        <f>'DRE + DCF'!$Y$31</f>
        <v>7.3550000000000004E-2</v>
      </c>
      <c r="M2292" s="361">
        <f>(1+D2292)^((5-Dashboard!$F$9)*3/12)</f>
        <v>1.2188372803884451</v>
      </c>
      <c r="N2292" s="361">
        <f t="shared" ref="N2292:V2292" si="2351">M2292*(1+$D2292)</f>
        <v>1.586865197201714</v>
      </c>
      <c r="O2292" s="361">
        <f t="shared" si="2351"/>
        <v>2.0660191434967428</v>
      </c>
      <c r="P2292" s="361">
        <f t="shared" si="2351"/>
        <v>2.6898536238755471</v>
      </c>
      <c r="Q2292" s="361">
        <f t="shared" si="2351"/>
        <v>3.5020549256047198</v>
      </c>
      <c r="R2292" s="361">
        <f t="shared" si="2351"/>
        <v>4.559500410391002</v>
      </c>
      <c r="S2292" s="361">
        <f t="shared" si="2351"/>
        <v>5.936241559308483</v>
      </c>
      <c r="T2292" s="361">
        <f t="shared" si="2351"/>
        <v>7.7286896981415723</v>
      </c>
      <c r="U2292" s="361">
        <f t="shared" si="2351"/>
        <v>10.06236755249528</v>
      </c>
      <c r="V2292" s="362">
        <f t="shared" si="2351"/>
        <v>13.100699434971048</v>
      </c>
      <c r="X2292" s="351"/>
    </row>
    <row r="2293" spans="3:24" ht="24.75" customHeight="1" x14ac:dyDescent="0.3">
      <c r="C2293" s="353">
        <f>ABS(E2293-Dashboard!$F$14)</f>
        <v>43.85991866041681</v>
      </c>
      <c r="D2293" s="350">
        <f t="shared" si="2313"/>
        <v>0.302049999999982</v>
      </c>
      <c r="E2293" s="359" cm="1">
        <f t="array" ref="E2293">1000*SUM('DRE + DCF'!$L$36/M2293,'DRE + DCF'!$N$36:$V$36/N2293:V2293,F2293/V2293)/Dashboard!$F$11</f>
        <v>53.130081339583185</v>
      </c>
      <c r="F2293" s="359">
        <f t="shared" si="2311"/>
        <v>8702984.4338013232</v>
      </c>
      <c r="G2293" s="359">
        <f>'DRE + DCF'!$W$31</f>
        <v>2791623.3540418856</v>
      </c>
      <c r="H2293" s="359">
        <f>'DRE + DCF'!$W$32</f>
        <v>81081.931703745853</v>
      </c>
      <c r="I2293" s="359">
        <f>-H2293*('DRE + DCF'!$V$33+K2293)/'DRE + DCF'!$V$33</f>
        <v>-90858.801614444121</v>
      </c>
      <c r="J2293" s="359">
        <f>-'DRE + DCF'!$V$56*L2293</f>
        <v>-1188924.4255577971</v>
      </c>
      <c r="K2293" s="360">
        <f>(1+L2293)/(1+Ke!$O$12)-1</f>
        <v>2.0000000000000018E-2</v>
      </c>
      <c r="L2293" s="360">
        <f>'DRE + DCF'!$Y$31</f>
        <v>7.3550000000000004E-2</v>
      </c>
      <c r="M2293" s="361">
        <f>(1+D2293)^((5-Dashboard!$F$9)*3/12)</f>
        <v>1.2189074919314418</v>
      </c>
      <c r="N2293" s="361">
        <f t="shared" ref="N2293:V2293" si="2352">M2293*(1+$D2293)</f>
        <v>1.5870784998693117</v>
      </c>
      <c r="O2293" s="361">
        <f t="shared" si="2352"/>
        <v>2.0664555607548087</v>
      </c>
      <c r="P2293" s="361">
        <f t="shared" si="2352"/>
        <v>2.6906284628807615</v>
      </c>
      <c r="Q2293" s="361">
        <f t="shared" si="2352"/>
        <v>3.5033327900938471</v>
      </c>
      <c r="R2293" s="361">
        <f t="shared" si="2352"/>
        <v>4.5615144593416304</v>
      </c>
      <c r="S2293" s="361">
        <f t="shared" si="2352"/>
        <v>5.9393199017856873</v>
      </c>
      <c r="T2293" s="361">
        <f t="shared" si="2352"/>
        <v>7.7332914781199467</v>
      </c>
      <c r="U2293" s="361">
        <f t="shared" si="2352"/>
        <v>10.069132169085936</v>
      </c>
      <c r="V2293" s="362">
        <f t="shared" si="2352"/>
        <v>13.110513540758161</v>
      </c>
      <c r="X2293" s="351"/>
    </row>
    <row r="2294" spans="3:24" ht="24.75" customHeight="1" x14ac:dyDescent="0.3">
      <c r="C2294" s="353">
        <f>ABS(E2294-Dashboard!$F$14)</f>
        <v>43.887125569991362</v>
      </c>
      <c r="D2294" s="350">
        <f t="shared" si="2313"/>
        <v>0.30214999999998199</v>
      </c>
      <c r="E2294" s="359" cm="1">
        <f t="array" ref="E2294">1000*SUM('DRE + DCF'!$L$36/M2294,'DRE + DCF'!$N$36:$V$36/N2294:V2294,F2294/V2294)/Dashboard!$F$11</f>
        <v>53.102874430008633</v>
      </c>
      <c r="F2294" s="359">
        <f t="shared" si="2311"/>
        <v>8699705.6217676755</v>
      </c>
      <c r="G2294" s="359">
        <f>'DRE + DCF'!$W$31</f>
        <v>2791623.3540418856</v>
      </c>
      <c r="H2294" s="359">
        <f>'DRE + DCF'!$W$32</f>
        <v>81081.931703745853</v>
      </c>
      <c r="I2294" s="359">
        <f>-H2294*('DRE + DCF'!$V$33+K2294)/'DRE + DCF'!$V$33</f>
        <v>-90858.801614444121</v>
      </c>
      <c r="J2294" s="359">
        <f>-'DRE + DCF'!$V$56*L2294</f>
        <v>-1188924.4255577971</v>
      </c>
      <c r="K2294" s="360">
        <f>(1+L2294)/(1+Ke!$O$12)-1</f>
        <v>2.0000000000000018E-2</v>
      </c>
      <c r="L2294" s="360">
        <f>'DRE + DCF'!$Y$31</f>
        <v>7.3550000000000004E-2</v>
      </c>
      <c r="M2294" s="361">
        <f>(1+D2294)^((5-Dashboard!$F$9)*3/12)</f>
        <v>1.2189777021263553</v>
      </c>
      <c r="N2294" s="361">
        <f t="shared" ref="N2294:V2294" si="2353">M2294*(1+$D2294)</f>
        <v>1.5872918148238115</v>
      </c>
      <c r="O2294" s="361">
        <f t="shared" si="2353"/>
        <v>2.0668920366727974</v>
      </c>
      <c r="P2294" s="361">
        <f t="shared" si="2353"/>
        <v>2.6914034655534458</v>
      </c>
      <c r="Q2294" s="361">
        <f t="shared" si="2353"/>
        <v>3.5046110226703706</v>
      </c>
      <c r="R2294" s="361">
        <f t="shared" si="2353"/>
        <v>4.5635292431701595</v>
      </c>
      <c r="S2294" s="361">
        <f t="shared" si="2353"/>
        <v>5.9423996039939411</v>
      </c>
      <c r="T2294" s="361">
        <f t="shared" si="2353"/>
        <v>7.7378956443406031</v>
      </c>
      <c r="U2294" s="361">
        <f t="shared" si="2353"/>
        <v>10.075900813277977</v>
      </c>
      <c r="V2294" s="362">
        <f t="shared" si="2353"/>
        <v>13.120334244009737</v>
      </c>
      <c r="X2294" s="351"/>
    </row>
    <row r="2295" spans="3:24" ht="24.75" customHeight="1" x14ac:dyDescent="0.3">
      <c r="C2295" s="353">
        <f>ABS(E2295-Dashboard!$F$14)</f>
        <v>43.914307616634176</v>
      </c>
      <c r="D2295" s="350">
        <f t="shared" si="2313"/>
        <v>0.30224999999998198</v>
      </c>
      <c r="E2295" s="359" cm="1">
        <f t="array" ref="E2295">1000*SUM('DRE + DCF'!$L$36/M2295,'DRE + DCF'!$N$36:$V$36/N2295:V2295,F2295/V2295)/Dashboard!$F$11</f>
        <v>53.075692383365819</v>
      </c>
      <c r="F2295" s="359">
        <f t="shared" si="2311"/>
        <v>8696429.327677682</v>
      </c>
      <c r="G2295" s="359">
        <f>'DRE + DCF'!$W$31</f>
        <v>2791623.3540418856</v>
      </c>
      <c r="H2295" s="359">
        <f>'DRE + DCF'!$W$32</f>
        <v>81081.931703745853</v>
      </c>
      <c r="I2295" s="359">
        <f>-H2295*('DRE + DCF'!$V$33+K2295)/'DRE + DCF'!$V$33</f>
        <v>-90858.801614444121</v>
      </c>
      <c r="J2295" s="359">
        <f>-'DRE + DCF'!$V$56*L2295</f>
        <v>-1188924.4255577971</v>
      </c>
      <c r="K2295" s="360">
        <f>(1+L2295)/(1+Ke!$O$12)-1</f>
        <v>2.0000000000000018E-2</v>
      </c>
      <c r="L2295" s="360">
        <f>'DRE + DCF'!$Y$31</f>
        <v>7.3550000000000004E-2</v>
      </c>
      <c r="M2295" s="361">
        <f>(1+D2295)^((5-Dashboard!$F$9)*3/12)</f>
        <v>1.219047910973315</v>
      </c>
      <c r="N2295" s="361">
        <f t="shared" ref="N2295:V2295" si="2354">M2295*(1+$D2295)</f>
        <v>1.5875051420649775</v>
      </c>
      <c r="O2295" s="361">
        <f t="shared" si="2354"/>
        <v>2.0673285712540883</v>
      </c>
      <c r="P2295" s="361">
        <f t="shared" si="2354"/>
        <v>2.6921786319155991</v>
      </c>
      <c r="Q2295" s="361">
        <f t="shared" si="2354"/>
        <v>3.5058896234120405</v>
      </c>
      <c r="R2295" s="361">
        <f t="shared" si="2354"/>
        <v>4.5655447620882663</v>
      </c>
      <c r="S2295" s="361">
        <f t="shared" si="2354"/>
        <v>5.9454806664293622</v>
      </c>
      <c r="T2295" s="361">
        <f t="shared" si="2354"/>
        <v>7.7425021978575295</v>
      </c>
      <c r="U2295" s="361">
        <f t="shared" si="2354"/>
        <v>10.082673487159827</v>
      </c>
      <c r="V2295" s="362">
        <f t="shared" si="2354"/>
        <v>13.130161548653703</v>
      </c>
      <c r="X2295" s="351"/>
    </row>
    <row r="2296" spans="3:24" ht="24.75" customHeight="1" x14ac:dyDescent="0.3">
      <c r="C2296" s="353">
        <f>ABS(E2296-Dashboard!$F$14)</f>
        <v>43.941464831963408</v>
      </c>
      <c r="D2296" s="350">
        <f t="shared" si="2313"/>
        <v>0.30234999999998197</v>
      </c>
      <c r="E2296" s="359" cm="1">
        <f t="array" ref="E2296">1000*SUM('DRE + DCF'!$L$36/M2296,'DRE + DCF'!$N$36:$V$36/N2296:V2296,F2296/V2296)/Dashboard!$F$11</f>
        <v>53.048535168036587</v>
      </c>
      <c r="F2296" s="359">
        <f t="shared" si="2311"/>
        <v>8693155.5485763773</v>
      </c>
      <c r="G2296" s="359">
        <f>'DRE + DCF'!$W$31</f>
        <v>2791623.3540418856</v>
      </c>
      <c r="H2296" s="359">
        <f>'DRE + DCF'!$W$32</f>
        <v>81081.931703745853</v>
      </c>
      <c r="I2296" s="359">
        <f>-H2296*('DRE + DCF'!$V$33+K2296)/'DRE + DCF'!$V$33</f>
        <v>-90858.801614444121</v>
      </c>
      <c r="J2296" s="359">
        <f>-'DRE + DCF'!$V$56*L2296</f>
        <v>-1188924.4255577971</v>
      </c>
      <c r="K2296" s="360">
        <f>(1+L2296)/(1+Ke!$O$12)-1</f>
        <v>2.0000000000000018E-2</v>
      </c>
      <c r="L2296" s="360">
        <f>'DRE + DCF'!$Y$31</f>
        <v>7.3550000000000004E-2</v>
      </c>
      <c r="M2296" s="361">
        <f>(1+D2296)^((5-Dashboard!$F$9)*3/12)</f>
        <v>1.2191181184724502</v>
      </c>
      <c r="N2296" s="361">
        <f t="shared" ref="N2296:V2296" si="2355">M2296*(1+$D2296)</f>
        <v>1.5877184815925736</v>
      </c>
      <c r="O2296" s="361">
        <f t="shared" si="2355"/>
        <v>2.0677651645020596</v>
      </c>
      <c r="P2296" s="361">
        <f t="shared" si="2355"/>
        <v>2.69295396198922</v>
      </c>
      <c r="Q2296" s="361">
        <f t="shared" si="2355"/>
        <v>3.5071685923966118</v>
      </c>
      <c r="R2296" s="361">
        <f t="shared" si="2355"/>
        <v>4.5675610163076641</v>
      </c>
      <c r="S2296" s="361">
        <f t="shared" si="2355"/>
        <v>5.9485630895882036</v>
      </c>
      <c r="T2296" s="361">
        <f t="shared" si="2355"/>
        <v>7.7471111397250896</v>
      </c>
      <c r="U2296" s="361">
        <f t="shared" si="2355"/>
        <v>10.089450192820831</v>
      </c>
      <c r="V2296" s="362">
        <f t="shared" si="2355"/>
        <v>13.139995458620026</v>
      </c>
      <c r="X2296" s="351"/>
    </row>
    <row r="2297" spans="3:24" ht="24.75" customHeight="1" x14ac:dyDescent="0.3">
      <c r="C2297" s="353">
        <f>ABS(E2297-Dashboard!$F$14)</f>
        <v>43.968597247545645</v>
      </c>
      <c r="D2297" s="350">
        <f t="shared" si="2313"/>
        <v>0.30244999999998196</v>
      </c>
      <c r="E2297" s="359" cm="1">
        <f t="array" ref="E2297">1000*SUM('DRE + DCF'!$L$36/M2297,'DRE + DCF'!$N$36:$V$36/N2297:V2297,F2297/V2297)/Dashboard!$F$11</f>
        <v>53.02140275245435</v>
      </c>
      <c r="F2297" s="359">
        <f t="shared" si="2311"/>
        <v>8689884.2815135084</v>
      </c>
      <c r="G2297" s="359">
        <f>'DRE + DCF'!$W$31</f>
        <v>2791623.3540418856</v>
      </c>
      <c r="H2297" s="359">
        <f>'DRE + DCF'!$W$32</f>
        <v>81081.931703745853</v>
      </c>
      <c r="I2297" s="359">
        <f>-H2297*('DRE + DCF'!$V$33+K2297)/'DRE + DCF'!$V$33</f>
        <v>-90858.801614444121</v>
      </c>
      <c r="J2297" s="359">
        <f>-'DRE + DCF'!$V$56*L2297</f>
        <v>-1188924.4255577971</v>
      </c>
      <c r="K2297" s="360">
        <f>(1+L2297)/(1+Ke!$O$12)-1</f>
        <v>2.0000000000000018E-2</v>
      </c>
      <c r="L2297" s="360">
        <f>'DRE + DCF'!$Y$31</f>
        <v>7.3550000000000004E-2</v>
      </c>
      <c r="M2297" s="361">
        <f>(1+D2297)^((5-Dashboard!$F$9)*3/12)</f>
        <v>1.2191883246238904</v>
      </c>
      <c r="N2297" s="361">
        <f t="shared" ref="N2297:V2297" si="2356">M2297*(1+$D2297)</f>
        <v>1.5879318334063639</v>
      </c>
      <c r="O2297" s="361">
        <f t="shared" si="2356"/>
        <v>2.0682018164200899</v>
      </c>
      <c r="P2297" s="361">
        <f t="shared" si="2356"/>
        <v>2.6937294557963085</v>
      </c>
      <c r="Q2297" s="361">
        <f t="shared" si="2356"/>
        <v>3.5084479297018532</v>
      </c>
      <c r="R2297" s="361">
        <f t="shared" si="2356"/>
        <v>4.569578006040115</v>
      </c>
      <c r="S2297" s="361">
        <f t="shared" si="2356"/>
        <v>5.9516468739668653</v>
      </c>
      <c r="T2297" s="361">
        <f t="shared" si="2356"/>
        <v>7.7517224709980361</v>
      </c>
      <c r="U2297" s="361">
        <f t="shared" si="2356"/>
        <v>10.096230932351252</v>
      </c>
      <c r="V2297" s="362">
        <f t="shared" si="2356"/>
        <v>13.149835977840706</v>
      </c>
      <c r="X2297" s="351"/>
    </row>
    <row r="2298" spans="3:24" ht="24.75" customHeight="1" x14ac:dyDescent="0.3">
      <c r="C2298" s="353">
        <f>ABS(E2298-Dashboard!$F$14)</f>
        <v>43.995704894896178</v>
      </c>
      <c r="D2298" s="350">
        <f t="shared" si="2313"/>
        <v>0.30254999999998194</v>
      </c>
      <c r="E2298" s="359" cm="1">
        <f t="array" ref="E2298">1000*SUM('DRE + DCF'!$L$36/M2298,'DRE + DCF'!$N$36:$V$36/N2298:V2298,F2298/V2298)/Dashboard!$F$11</f>
        <v>52.994295105103816</v>
      </c>
      <c r="F2298" s="359">
        <f t="shared" si="2311"/>
        <v>8686615.5235435124</v>
      </c>
      <c r="G2298" s="359">
        <f>'DRE + DCF'!$W$31</f>
        <v>2791623.3540418856</v>
      </c>
      <c r="H2298" s="359">
        <f>'DRE + DCF'!$W$32</f>
        <v>81081.931703745853</v>
      </c>
      <c r="I2298" s="359">
        <f>-H2298*('DRE + DCF'!$V$33+K2298)/'DRE + DCF'!$V$33</f>
        <v>-90858.801614444121</v>
      </c>
      <c r="J2298" s="359">
        <f>-'DRE + DCF'!$V$56*L2298</f>
        <v>-1188924.4255577971</v>
      </c>
      <c r="K2298" s="360">
        <f>(1+L2298)/(1+Ke!$O$12)-1</f>
        <v>2.0000000000000018E-2</v>
      </c>
      <c r="L2298" s="360">
        <f>'DRE + DCF'!$Y$31</f>
        <v>7.3550000000000004E-2</v>
      </c>
      <c r="M2298" s="361">
        <f>(1+D2298)^((5-Dashboard!$F$9)*3/12)</f>
        <v>1.2192585294277649</v>
      </c>
      <c r="N2298" s="361">
        <f t="shared" ref="N2298:V2298" si="2357">M2298*(1+$D2298)</f>
        <v>1.5881451975061132</v>
      </c>
      <c r="O2298" s="361">
        <f t="shared" si="2357"/>
        <v>2.0686385270115588</v>
      </c>
      <c r="P2298" s="361">
        <f t="shared" si="2357"/>
        <v>2.6945051133588684</v>
      </c>
      <c r="Q2298" s="361">
        <f t="shared" si="2357"/>
        <v>3.5097276354055453</v>
      </c>
      <c r="R2298" s="361">
        <f t="shared" si="2357"/>
        <v>4.5715957314974291</v>
      </c>
      <c r="S2298" s="361">
        <f t="shared" si="2357"/>
        <v>5.9547320200618934</v>
      </c>
      <c r="T2298" s="361">
        <f t="shared" si="2357"/>
        <v>7.7563361927315118</v>
      </c>
      <c r="U2298" s="361">
        <f t="shared" si="2357"/>
        <v>10.103015707842291</v>
      </c>
      <c r="V2298" s="362">
        <f t="shared" si="2357"/>
        <v>13.159683110249793</v>
      </c>
      <c r="X2298" s="351"/>
    </row>
    <row r="2299" spans="3:24" ht="24.75" customHeight="1" x14ac:dyDescent="0.3">
      <c r="C2299" s="353">
        <f>ABS(E2299-Dashboard!$F$14)</f>
        <v>44.022787805478913</v>
      </c>
      <c r="D2299" s="350">
        <f t="shared" si="2313"/>
        <v>0.30264999999998193</v>
      </c>
      <c r="E2299" s="359" cm="1">
        <f t="array" ref="E2299">1000*SUM('DRE + DCF'!$L$36/M2299,'DRE + DCF'!$N$36:$V$36/N2299:V2299,F2299/V2299)/Dashboard!$F$11</f>
        <v>52.967212194521082</v>
      </c>
      <c r="F2299" s="359">
        <f t="shared" si="2311"/>
        <v>8683349.271725513</v>
      </c>
      <c r="G2299" s="359">
        <f>'DRE + DCF'!$W$31</f>
        <v>2791623.3540418856</v>
      </c>
      <c r="H2299" s="359">
        <f>'DRE + DCF'!$W$32</f>
        <v>81081.931703745853</v>
      </c>
      <c r="I2299" s="359">
        <f>-H2299*('DRE + DCF'!$V$33+K2299)/'DRE + DCF'!$V$33</f>
        <v>-90858.801614444121</v>
      </c>
      <c r="J2299" s="359">
        <f>-'DRE + DCF'!$V$56*L2299</f>
        <v>-1188924.4255577971</v>
      </c>
      <c r="K2299" s="360">
        <f>(1+L2299)/(1+Ke!$O$12)-1</f>
        <v>2.0000000000000018E-2</v>
      </c>
      <c r="L2299" s="360">
        <f>'DRE + DCF'!$Y$31</f>
        <v>7.3550000000000004E-2</v>
      </c>
      <c r="M2299" s="361">
        <f>(1+D2299)^((5-Dashboard!$F$9)*3/12)</f>
        <v>1.2193287328842031</v>
      </c>
      <c r="N2299" s="361">
        <f t="shared" ref="N2299:V2299" si="2358">M2299*(1+$D2299)</f>
        <v>1.5883585738915851</v>
      </c>
      <c r="O2299" s="361">
        <f t="shared" si="2358"/>
        <v>2.0690752962798444</v>
      </c>
      <c r="P2299" s="361">
        <f t="shared" si="2358"/>
        <v>2.6952809346989017</v>
      </c>
      <c r="Q2299" s="361">
        <f t="shared" si="2358"/>
        <v>3.5110077095854755</v>
      </c>
      <c r="R2299" s="361">
        <f t="shared" si="2358"/>
        <v>4.5736141928914558</v>
      </c>
      <c r="S2299" s="361">
        <f t="shared" si="2358"/>
        <v>5.9578185283699723</v>
      </c>
      <c r="T2299" s="361">
        <f t="shared" si="2358"/>
        <v>7.7609523059810366</v>
      </c>
      <c r="U2299" s="361">
        <f t="shared" si="2358"/>
        <v>10.109804521386057</v>
      </c>
      <c r="V2299" s="362">
        <f t="shared" si="2358"/>
        <v>13.169536859783364</v>
      </c>
      <c r="X2299" s="351"/>
    </row>
    <row r="2300" spans="3:24" ht="24.75" customHeight="1" x14ac:dyDescent="0.3">
      <c r="C2300" s="353">
        <f>ABS(E2300-Dashboard!$F$14)</f>
        <v>44.049846010706595</v>
      </c>
      <c r="D2300" s="350">
        <f t="shared" si="2313"/>
        <v>0.30274999999998192</v>
      </c>
      <c r="E2300" s="359" cm="1">
        <f t="array" ref="E2300">1000*SUM('DRE + DCF'!$L$36/M2300,'DRE + DCF'!$N$36:$V$36/N2300:V2300,F2300/V2300)/Dashboard!$F$11</f>
        <v>52.9401539892934</v>
      </c>
      <c r="F2300" s="359">
        <f t="shared" si="2311"/>
        <v>8680085.5231233165</v>
      </c>
      <c r="G2300" s="359">
        <f>'DRE + DCF'!$W$31</f>
        <v>2791623.3540418856</v>
      </c>
      <c r="H2300" s="359">
        <f>'DRE + DCF'!$W$32</f>
        <v>81081.931703745853</v>
      </c>
      <c r="I2300" s="359">
        <f>-H2300*('DRE + DCF'!$V$33+K2300)/'DRE + DCF'!$V$33</f>
        <v>-90858.801614444121</v>
      </c>
      <c r="J2300" s="359">
        <f>-'DRE + DCF'!$V$56*L2300</f>
        <v>-1188924.4255577971</v>
      </c>
      <c r="K2300" s="360">
        <f>(1+L2300)/(1+Ke!$O$12)-1</f>
        <v>2.0000000000000018E-2</v>
      </c>
      <c r="L2300" s="360">
        <f>'DRE + DCF'!$Y$31</f>
        <v>7.3550000000000004E-2</v>
      </c>
      <c r="M2300" s="361">
        <f>(1+D2300)^((5-Dashboard!$F$9)*3/12)</f>
        <v>1.2193989349933341</v>
      </c>
      <c r="N2300" s="361">
        <f t="shared" ref="N2300:V2300" si="2359">M2300*(1+$D2300)</f>
        <v>1.5885719625625438</v>
      </c>
      <c r="O2300" s="361">
        <f t="shared" si="2359"/>
        <v>2.069512124228325</v>
      </c>
      <c r="P2300" s="361">
        <f t="shared" si="2359"/>
        <v>2.696056919838413</v>
      </c>
      <c r="Q2300" s="361">
        <f t="shared" si="2359"/>
        <v>3.5122881523194436</v>
      </c>
      <c r="R2300" s="361">
        <f t="shared" si="2359"/>
        <v>4.5756333904340911</v>
      </c>
      <c r="S2300" s="361">
        <f t="shared" si="2359"/>
        <v>5.9609063993879294</v>
      </c>
      <c r="T2300" s="361">
        <f t="shared" si="2359"/>
        <v>7.7655708118025171</v>
      </c>
      <c r="U2300" s="361">
        <f t="shared" si="2359"/>
        <v>10.116597375075589</v>
      </c>
      <c r="V2300" s="362">
        <f t="shared" si="2359"/>
        <v>13.179397230379539</v>
      </c>
      <c r="X2300" s="351"/>
    </row>
    <row r="2301" spans="3:24" ht="24.75" customHeight="1" x14ac:dyDescent="0.3">
      <c r="C2301" s="353">
        <f>ABS(E2301-Dashboard!$F$14)</f>
        <v>44.076879541940876</v>
      </c>
      <c r="D2301" s="350">
        <f t="shared" si="2313"/>
        <v>0.30284999999998191</v>
      </c>
      <c r="E2301" s="359" cm="1">
        <f t="array" ref="E2301">1000*SUM('DRE + DCF'!$L$36/M2301,'DRE + DCF'!$N$36:$V$36/N2301:V2301,F2301/V2301)/Dashboard!$F$11</f>
        <v>52.913120458059119</v>
      </c>
      <c r="F2301" s="359">
        <f t="shared" si="2311"/>
        <v>8676824.2748053912</v>
      </c>
      <c r="G2301" s="359">
        <f>'DRE + DCF'!$W$31</f>
        <v>2791623.3540418856</v>
      </c>
      <c r="H2301" s="359">
        <f>'DRE + DCF'!$W$32</f>
        <v>81081.931703745853</v>
      </c>
      <c r="I2301" s="359">
        <f>-H2301*('DRE + DCF'!$V$33+K2301)/'DRE + DCF'!$V$33</f>
        <v>-90858.801614444121</v>
      </c>
      <c r="J2301" s="359">
        <f>-'DRE + DCF'!$V$56*L2301</f>
        <v>-1188924.4255577971</v>
      </c>
      <c r="K2301" s="360">
        <f>(1+L2301)/(1+Ke!$O$12)-1</f>
        <v>2.0000000000000018E-2</v>
      </c>
      <c r="L2301" s="360">
        <f>'DRE + DCF'!$Y$31</f>
        <v>7.3550000000000004E-2</v>
      </c>
      <c r="M2301" s="361">
        <f>(1+D2301)^((5-Dashboard!$F$9)*3/12)</f>
        <v>1.2194691357552874</v>
      </c>
      <c r="N2301" s="361">
        <f t="shared" ref="N2301:V2301" si="2360">M2301*(1+$D2301)</f>
        <v>1.5887853635187541</v>
      </c>
      <c r="O2301" s="361">
        <f t="shared" si="2360"/>
        <v>2.06994901086038</v>
      </c>
      <c r="P2301" s="361">
        <f t="shared" si="2360"/>
        <v>2.6968330687994087</v>
      </c>
      <c r="Q2301" s="361">
        <f t="shared" si="2360"/>
        <v>3.5135689636852607</v>
      </c>
      <c r="R2301" s="361">
        <f t="shared" si="2360"/>
        <v>4.5776533243372786</v>
      </c>
      <c r="S2301" s="361">
        <f t="shared" si="2360"/>
        <v>5.9639956336127407</v>
      </c>
      <c r="T2301" s="361">
        <f t="shared" si="2360"/>
        <v>7.7701917112522514</v>
      </c>
      <c r="U2301" s="361">
        <f t="shared" si="2360"/>
        <v>10.123394271004855</v>
      </c>
      <c r="V2301" s="362">
        <f t="shared" si="2360"/>
        <v>13.189264225978492</v>
      </c>
      <c r="X2301" s="351"/>
    </row>
    <row r="2302" spans="3:24" ht="24.75" customHeight="1" x14ac:dyDescent="0.3">
      <c r="C2302" s="353">
        <f>ABS(E2302-Dashboard!$F$14)</f>
        <v>44.103888430492354</v>
      </c>
      <c r="D2302" s="350">
        <f t="shared" si="2313"/>
        <v>0.3029499999999819</v>
      </c>
      <c r="E2302" s="359" cm="1">
        <f t="array" ref="E2302">1000*SUM('DRE + DCF'!$L$36/M2302,'DRE + DCF'!$N$36:$V$36/N2302:V2302,F2302/V2302)/Dashboard!$F$11</f>
        <v>52.886111569507641</v>
      </c>
      <c r="F2302" s="359">
        <f t="shared" si="2311"/>
        <v>8673565.5238448661</v>
      </c>
      <c r="G2302" s="359">
        <f>'DRE + DCF'!$W$31</f>
        <v>2791623.3540418856</v>
      </c>
      <c r="H2302" s="359">
        <f>'DRE + DCF'!$W$32</f>
        <v>81081.931703745853</v>
      </c>
      <c r="I2302" s="359">
        <f>-H2302*('DRE + DCF'!$V$33+K2302)/'DRE + DCF'!$V$33</f>
        <v>-90858.801614444121</v>
      </c>
      <c r="J2302" s="359">
        <f>-'DRE + DCF'!$V$56*L2302</f>
        <v>-1188924.4255577971</v>
      </c>
      <c r="K2302" s="360">
        <f>(1+L2302)/(1+Ke!$O$12)-1</f>
        <v>2.0000000000000018E-2</v>
      </c>
      <c r="L2302" s="360">
        <f>'DRE + DCF'!$Y$31</f>
        <v>7.3550000000000004E-2</v>
      </c>
      <c r="M2302" s="361">
        <f>(1+D2302)^((5-Dashboard!$F$9)*3/12)</f>
        <v>1.2195393351701922</v>
      </c>
      <c r="N2302" s="361">
        <f t="shared" ref="N2302:V2302" si="2361">M2302*(1+$D2302)</f>
        <v>1.5889987767599798</v>
      </c>
      <c r="O2302" s="361">
        <f t="shared" si="2361"/>
        <v>2.0703859561793867</v>
      </c>
      <c r="P2302" s="361">
        <f t="shared" si="2361"/>
        <v>2.6976093816038942</v>
      </c>
      <c r="Q2302" s="361">
        <f t="shared" si="2361"/>
        <v>3.5148501437607451</v>
      </c>
      <c r="R2302" s="361">
        <f t="shared" si="2361"/>
        <v>4.5796739948129987</v>
      </c>
      <c r="S2302" s="361">
        <f t="shared" si="2361"/>
        <v>5.9670862315415132</v>
      </c>
      <c r="T2302" s="361">
        <f t="shared" si="2361"/>
        <v>7.7748150053869063</v>
      </c>
      <c r="U2302" s="361">
        <f t="shared" si="2361"/>
        <v>10.130195211268729</v>
      </c>
      <c r="V2302" s="362">
        <f t="shared" si="2361"/>
        <v>13.199137850522407</v>
      </c>
      <c r="X2302" s="351"/>
    </row>
    <row r="2303" spans="3:24" ht="24.75" customHeight="1" x14ac:dyDescent="0.3">
      <c r="C2303" s="353">
        <f>ABS(E2303-Dashboard!$F$14)</f>
        <v>44.130872707620874</v>
      </c>
      <c r="D2303" s="350">
        <f t="shared" si="2313"/>
        <v>0.30304999999998189</v>
      </c>
      <c r="E2303" s="359" cm="1">
        <f t="array" ref="E2303">1000*SUM('DRE + DCF'!$L$36/M2303,'DRE + DCF'!$N$36:$V$36/N2303:V2303,F2303/V2303)/Dashboard!$F$11</f>
        <v>52.859127292379121</v>
      </c>
      <c r="F2303" s="359">
        <f t="shared" si="2311"/>
        <v>8670309.2673195191</v>
      </c>
      <c r="G2303" s="359">
        <f>'DRE + DCF'!$W$31</f>
        <v>2791623.3540418856</v>
      </c>
      <c r="H2303" s="359">
        <f>'DRE + DCF'!$W$32</f>
        <v>81081.931703745853</v>
      </c>
      <c r="I2303" s="359">
        <f>-H2303*('DRE + DCF'!$V$33+K2303)/'DRE + DCF'!$V$33</f>
        <v>-90858.801614444121</v>
      </c>
      <c r="J2303" s="359">
        <f>-'DRE + DCF'!$V$56*L2303</f>
        <v>-1188924.4255577971</v>
      </c>
      <c r="K2303" s="360">
        <f>(1+L2303)/(1+Ke!$O$12)-1</f>
        <v>2.0000000000000018E-2</v>
      </c>
      <c r="L2303" s="360">
        <f>'DRE + DCF'!$Y$31</f>
        <v>7.3550000000000004E-2</v>
      </c>
      <c r="M2303" s="361">
        <f>(1+D2303)^((5-Dashboard!$F$9)*3/12)</f>
        <v>1.2196095332381776</v>
      </c>
      <c r="N2303" s="361">
        <f t="shared" ref="N2303:V2303" si="2362">M2303*(1+$D2303)</f>
        <v>1.5892122022859851</v>
      </c>
      <c r="O2303" s="361">
        <f t="shared" si="2362"/>
        <v>2.0708229601887242</v>
      </c>
      <c r="P2303" s="361">
        <f t="shared" si="2362"/>
        <v>2.6983858582738796</v>
      </c>
      <c r="Q2303" s="361">
        <f t="shared" si="2362"/>
        <v>3.5161316926237296</v>
      </c>
      <c r="R2303" s="361">
        <f t="shared" si="2362"/>
        <v>4.5816954020732874</v>
      </c>
      <c r="S2303" s="361">
        <f t="shared" si="2362"/>
        <v>5.9701781936715141</v>
      </c>
      <c r="T2303" s="361">
        <f t="shared" si="2362"/>
        <v>7.779440695263558</v>
      </c>
      <c r="U2303" s="361">
        <f t="shared" si="2362"/>
        <v>10.137000197963038</v>
      </c>
      <c r="V2303" s="362">
        <f t="shared" si="2362"/>
        <v>13.209018107955552</v>
      </c>
      <c r="X2303" s="351"/>
    </row>
    <row r="2304" spans="3:24" ht="24.75" customHeight="1" x14ac:dyDescent="0.3">
      <c r="C2304" s="353">
        <f>ABS(E2304-Dashboard!$F$14)</f>
        <v>44.157832404535327</v>
      </c>
      <c r="D2304" s="350">
        <f t="shared" si="2313"/>
        <v>0.30314999999998188</v>
      </c>
      <c r="E2304" s="359" cm="1">
        <f t="array" ref="E2304">1000*SUM('DRE + DCF'!$L$36/M2304,'DRE + DCF'!$N$36:$V$36/N2304:V2304,F2304/V2304)/Dashboard!$F$11</f>
        <v>52.832167595464668</v>
      </c>
      <c r="F2304" s="359">
        <f t="shared" si="2311"/>
        <v>8667055.502311768</v>
      </c>
      <c r="G2304" s="359">
        <f>'DRE + DCF'!$W$31</f>
        <v>2791623.3540418856</v>
      </c>
      <c r="H2304" s="359">
        <f>'DRE + DCF'!$W$32</f>
        <v>81081.931703745853</v>
      </c>
      <c r="I2304" s="359">
        <f>-H2304*('DRE + DCF'!$V$33+K2304)/'DRE + DCF'!$V$33</f>
        <v>-90858.801614444121</v>
      </c>
      <c r="J2304" s="359">
        <f>-'DRE + DCF'!$V$56*L2304</f>
        <v>-1188924.4255577971</v>
      </c>
      <c r="K2304" s="360">
        <f>(1+L2304)/(1+Ke!$O$12)-1</f>
        <v>2.0000000000000018E-2</v>
      </c>
      <c r="L2304" s="360">
        <f>'DRE + DCF'!$Y$31</f>
        <v>7.3550000000000004E-2</v>
      </c>
      <c r="M2304" s="361">
        <f>(1+D2304)^((5-Dashboard!$F$9)*3/12)</f>
        <v>1.2196797299593727</v>
      </c>
      <c r="N2304" s="361">
        <f t="shared" ref="N2304:V2304" si="2363">M2304*(1+$D2304)</f>
        <v>1.5894256400965343</v>
      </c>
      <c r="O2304" s="361">
        <f t="shared" si="2363"/>
        <v>2.0712600228917699</v>
      </c>
      <c r="P2304" s="361">
        <f t="shared" si="2363"/>
        <v>2.6991624988313725</v>
      </c>
      <c r="Q2304" s="361">
        <f t="shared" si="2363"/>
        <v>3.5174136103520541</v>
      </c>
      <c r="R2304" s="361">
        <f t="shared" si="2363"/>
        <v>4.5837175463302158</v>
      </c>
      <c r="S2304" s="361">
        <f t="shared" si="2363"/>
        <v>5.9732715205001377</v>
      </c>
      <c r="T2304" s="361">
        <f t="shared" si="2363"/>
        <v>7.7840687819396459</v>
      </c>
      <c r="U2304" s="361">
        <f t="shared" si="2363"/>
        <v>10.143809233184507</v>
      </c>
      <c r="V2304" s="362">
        <f t="shared" si="2363"/>
        <v>13.218905002224206</v>
      </c>
      <c r="X2304" s="351"/>
    </row>
    <row r="2305" spans="3:24" ht="24.75" customHeight="1" x14ac:dyDescent="0.3">
      <c r="C2305" s="353">
        <f>ABS(E2305-Dashboard!$F$14)</f>
        <v>44.184767552394028</v>
      </c>
      <c r="D2305" s="350">
        <f t="shared" si="2313"/>
        <v>0.30324999999998187</v>
      </c>
      <c r="E2305" s="359" cm="1">
        <f t="array" ref="E2305">1000*SUM('DRE + DCF'!$L$36/M2305,'DRE + DCF'!$N$36:$V$36/N2305:V2305,F2305/V2305)/Dashboard!$F$11</f>
        <v>52.805232447605967</v>
      </c>
      <c r="F2305" s="359">
        <f t="shared" si="2311"/>
        <v>8663804.2259086594</v>
      </c>
      <c r="G2305" s="359">
        <f>'DRE + DCF'!$W$31</f>
        <v>2791623.3540418856</v>
      </c>
      <c r="H2305" s="359">
        <f>'DRE + DCF'!$W$32</f>
        <v>81081.931703745853</v>
      </c>
      <c r="I2305" s="359">
        <f>-H2305*('DRE + DCF'!$V$33+K2305)/'DRE + DCF'!$V$33</f>
        <v>-90858.801614444121</v>
      </c>
      <c r="J2305" s="359">
        <f>-'DRE + DCF'!$V$56*L2305</f>
        <v>-1188924.4255577971</v>
      </c>
      <c r="K2305" s="360">
        <f>(1+L2305)/(1+Ke!$O$12)-1</f>
        <v>2.0000000000000018E-2</v>
      </c>
      <c r="L2305" s="360">
        <f>'DRE + DCF'!$Y$31</f>
        <v>7.3550000000000004E-2</v>
      </c>
      <c r="M2305" s="361">
        <f>(1+D2305)^((5-Dashboard!$F$9)*3/12)</f>
        <v>1.219749925333907</v>
      </c>
      <c r="N2305" s="361">
        <f t="shared" ref="N2305:V2305" si="2364">M2305*(1+$D2305)</f>
        <v>1.5896390901913922</v>
      </c>
      <c r="O2305" s="361">
        <f t="shared" si="2364"/>
        <v>2.0716971442919028</v>
      </c>
      <c r="P2305" s="361">
        <f t="shared" si="2364"/>
        <v>2.6999393032983847</v>
      </c>
      <c r="Q2305" s="361">
        <f t="shared" si="2364"/>
        <v>3.5186958970235707</v>
      </c>
      <c r="R2305" s="361">
        <f t="shared" si="2364"/>
        <v>4.5857404277959048</v>
      </c>
      <c r="S2305" s="361">
        <f t="shared" si="2364"/>
        <v>5.9763662125249297</v>
      </c>
      <c r="T2305" s="361">
        <f t="shared" si="2364"/>
        <v>7.7886992664730057</v>
      </c>
      <c r="U2305" s="361">
        <f t="shared" si="2364"/>
        <v>10.150622319030804</v>
      </c>
      <c r="V2305" s="362">
        <f t="shared" si="2364"/>
        <v>13.22879853727671</v>
      </c>
      <c r="X2305" s="351"/>
    </row>
    <row r="2306" spans="3:24" ht="24.75" customHeight="1" x14ac:dyDescent="0.3">
      <c r="C2306" s="353">
        <f>ABS(E2306-Dashboard!$F$14)</f>
        <v>44.211678182304688</v>
      </c>
      <c r="D2306" s="350">
        <f t="shared" si="2313"/>
        <v>0.30334999999998186</v>
      </c>
      <c r="E2306" s="359" cm="1">
        <f t="array" ref="E2306">1000*SUM('DRE + DCF'!$L$36/M2306,'DRE + DCF'!$N$36:$V$36/N2306:V2306,F2306/V2306)/Dashboard!$F$11</f>
        <v>52.778321817695307</v>
      </c>
      <c r="F2306" s="359">
        <f t="shared" si="2311"/>
        <v>8660555.4352018647</v>
      </c>
      <c r="G2306" s="359">
        <f>'DRE + DCF'!$W$31</f>
        <v>2791623.3540418856</v>
      </c>
      <c r="H2306" s="359">
        <f>'DRE + DCF'!$W$32</f>
        <v>81081.931703745853</v>
      </c>
      <c r="I2306" s="359">
        <f>-H2306*('DRE + DCF'!$V$33+K2306)/'DRE + DCF'!$V$33</f>
        <v>-90858.801614444121</v>
      </c>
      <c r="J2306" s="359">
        <f>-'DRE + DCF'!$V$56*L2306</f>
        <v>-1188924.4255577971</v>
      </c>
      <c r="K2306" s="360">
        <f>(1+L2306)/(1+Ke!$O$12)-1</f>
        <v>2.0000000000000018E-2</v>
      </c>
      <c r="L2306" s="360">
        <f>'DRE + DCF'!$Y$31</f>
        <v>7.3550000000000004E-2</v>
      </c>
      <c r="M2306" s="361">
        <f>(1+D2306)^((5-Dashboard!$F$9)*3/12)</f>
        <v>1.2198201193619096</v>
      </c>
      <c r="N2306" s="361">
        <f t="shared" ref="N2306:V2306" si="2365">M2306*(1+$D2306)</f>
        <v>1.5898525525703227</v>
      </c>
      <c r="O2306" s="361">
        <f t="shared" si="2365"/>
        <v>2.072134324392501</v>
      </c>
      <c r="P2306" s="361">
        <f t="shared" si="2365"/>
        <v>2.7007162716969284</v>
      </c>
      <c r="Q2306" s="361">
        <f t="shared" si="2365"/>
        <v>3.5199785527161427</v>
      </c>
      <c r="R2306" s="361">
        <f t="shared" si="2365"/>
        <v>4.5877640466825209</v>
      </c>
      <c r="S2306" s="361">
        <f t="shared" si="2365"/>
        <v>5.9794622702435802</v>
      </c>
      <c r="T2306" s="361">
        <f t="shared" si="2365"/>
        <v>7.7933321499218611</v>
      </c>
      <c r="U2306" s="361">
        <f t="shared" si="2365"/>
        <v>10.157439457600516</v>
      </c>
      <c r="V2306" s="362">
        <f t="shared" si="2365"/>
        <v>13.238698717063448</v>
      </c>
      <c r="X2306" s="351"/>
    </row>
    <row r="2307" spans="3:24" ht="24.75" customHeight="1" x14ac:dyDescent="0.3">
      <c r="C2307" s="353">
        <f>ABS(E2307-Dashboard!$F$14)</f>
        <v>44.238564325324504</v>
      </c>
      <c r="D2307" s="350">
        <f t="shared" si="2313"/>
        <v>0.30344999999998185</v>
      </c>
      <c r="E2307" s="359" cm="1">
        <f t="array" ref="E2307">1000*SUM('DRE + DCF'!$L$36/M2307,'DRE + DCF'!$N$36:$V$36/N2307:V2307,F2307/V2307)/Dashboard!$F$11</f>
        <v>52.751435674675491</v>
      </c>
      <c r="F2307" s="359">
        <f t="shared" si="2311"/>
        <v>8657309.1272876579</v>
      </c>
      <c r="G2307" s="359">
        <f>'DRE + DCF'!$W$31</f>
        <v>2791623.3540418856</v>
      </c>
      <c r="H2307" s="359">
        <f>'DRE + DCF'!$W$32</f>
        <v>81081.931703745853</v>
      </c>
      <c r="I2307" s="359">
        <f>-H2307*('DRE + DCF'!$V$33+K2307)/'DRE + DCF'!$V$33</f>
        <v>-90858.801614444121</v>
      </c>
      <c r="J2307" s="359">
        <f>-'DRE + DCF'!$V$56*L2307</f>
        <v>-1188924.4255577971</v>
      </c>
      <c r="K2307" s="360">
        <f>(1+L2307)/(1+Ke!$O$12)-1</f>
        <v>2.0000000000000018E-2</v>
      </c>
      <c r="L2307" s="360">
        <f>'DRE + DCF'!$Y$31</f>
        <v>7.3550000000000004E-2</v>
      </c>
      <c r="M2307" s="361">
        <f>(1+D2307)^((5-Dashboard!$F$9)*3/12)</f>
        <v>1.2198903120435096</v>
      </c>
      <c r="N2307" s="361">
        <f t="shared" ref="N2307:V2307" si="2366">M2307*(1+$D2307)</f>
        <v>1.5900660272330904</v>
      </c>
      <c r="O2307" s="361">
        <f t="shared" si="2366"/>
        <v>2.0725715631969428</v>
      </c>
      <c r="P2307" s="361">
        <f t="shared" si="2366"/>
        <v>2.7014934040490175</v>
      </c>
      <c r="Q2307" s="361">
        <f t="shared" si="2366"/>
        <v>3.5212615775076426</v>
      </c>
      <c r="R2307" s="361">
        <f t="shared" si="2366"/>
        <v>4.5897884032022729</v>
      </c>
      <c r="S2307" s="361">
        <f t="shared" si="2366"/>
        <v>5.9825596941539194</v>
      </c>
      <c r="T2307" s="361">
        <f t="shared" si="2366"/>
        <v>7.7979674333448177</v>
      </c>
      <c r="U2307" s="361">
        <f t="shared" si="2366"/>
        <v>10.16426065099316</v>
      </c>
      <c r="V2307" s="362">
        <f t="shared" si="2366"/>
        <v>13.248605545536849</v>
      </c>
      <c r="X2307" s="351"/>
    </row>
    <row r="2308" spans="3:24" ht="24.75" customHeight="1" x14ac:dyDescent="0.3">
      <c r="C2308" s="353">
        <f>ABS(E2308-Dashboard!$F$14)</f>
        <v>44.265426012460303</v>
      </c>
      <c r="D2308" s="350">
        <f t="shared" si="2313"/>
        <v>0.30354999999998183</v>
      </c>
      <c r="E2308" s="359" cm="1">
        <f t="array" ref="E2308">1000*SUM('DRE + DCF'!$L$36/M2308,'DRE + DCF'!$N$36:$V$36/N2308:V2308,F2308/V2308)/Dashboard!$F$11</f>
        <v>52.724573987539692</v>
      </c>
      <c r="F2308" s="359">
        <f t="shared" si="2311"/>
        <v>8654065.2992669251</v>
      </c>
      <c r="G2308" s="359">
        <f>'DRE + DCF'!$W$31</f>
        <v>2791623.3540418856</v>
      </c>
      <c r="H2308" s="359">
        <f>'DRE + DCF'!$W$32</f>
        <v>81081.931703745853</v>
      </c>
      <c r="I2308" s="359">
        <f>-H2308*('DRE + DCF'!$V$33+K2308)/'DRE + DCF'!$V$33</f>
        <v>-90858.801614444121</v>
      </c>
      <c r="J2308" s="359">
        <f>-'DRE + DCF'!$V$56*L2308</f>
        <v>-1188924.4255577971</v>
      </c>
      <c r="K2308" s="360">
        <f>(1+L2308)/(1+Ke!$O$12)-1</f>
        <v>2.0000000000000018E-2</v>
      </c>
      <c r="L2308" s="360">
        <f>'DRE + DCF'!$Y$31</f>
        <v>7.3550000000000004E-2</v>
      </c>
      <c r="M2308" s="361">
        <f>(1+D2308)^((5-Dashboard!$F$9)*3/12)</f>
        <v>1.2199605033788359</v>
      </c>
      <c r="N2308" s="361">
        <f t="shared" ref="N2308:V2308" si="2367">M2308*(1+$D2308)</f>
        <v>1.5902795141794592</v>
      </c>
      <c r="O2308" s="361">
        <f t="shared" si="2367"/>
        <v>2.073008860708605</v>
      </c>
      <c r="P2308" s="361">
        <f t="shared" si="2367"/>
        <v>2.7022707003766642</v>
      </c>
      <c r="Q2308" s="361">
        <f t="shared" si="2367"/>
        <v>3.5225449714759511</v>
      </c>
      <c r="R2308" s="361">
        <f t="shared" si="2367"/>
        <v>4.5918134975674123</v>
      </c>
      <c r="S2308" s="361">
        <f t="shared" si="2367"/>
        <v>5.9856584847539169</v>
      </c>
      <c r="T2308" s="361">
        <f t="shared" si="2367"/>
        <v>7.8026051178008595</v>
      </c>
      <c r="U2308" s="361">
        <f t="shared" si="2367"/>
        <v>10.171085901309167</v>
      </c>
      <c r="V2308" s="362">
        <f t="shared" si="2367"/>
        <v>13.258519026651379</v>
      </c>
      <c r="X2308" s="351"/>
    </row>
    <row r="2309" spans="3:24" ht="24.75" customHeight="1" x14ac:dyDescent="0.3">
      <c r="C2309" s="353">
        <f>ABS(E2309-Dashboard!$F$14)</f>
        <v>44.292263274668649</v>
      </c>
      <c r="D2309" s="350">
        <f t="shared" si="2313"/>
        <v>0.30364999999998182</v>
      </c>
      <c r="E2309" s="359" cm="1">
        <f t="array" ref="E2309">1000*SUM('DRE + DCF'!$L$36/M2309,'DRE + DCF'!$N$36:$V$36/N2309:V2309,F2309/V2309)/Dashboard!$F$11</f>
        <v>52.697736725331346</v>
      </c>
      <c r="F2309" s="359">
        <f t="shared" si="2311"/>
        <v>8650823.9482451417</v>
      </c>
      <c r="G2309" s="359">
        <f>'DRE + DCF'!$W$31</f>
        <v>2791623.3540418856</v>
      </c>
      <c r="H2309" s="359">
        <f>'DRE + DCF'!$W$32</f>
        <v>81081.931703745853</v>
      </c>
      <c r="I2309" s="359">
        <f>-H2309*('DRE + DCF'!$V$33+K2309)/'DRE + DCF'!$V$33</f>
        <v>-90858.801614444121</v>
      </c>
      <c r="J2309" s="359">
        <f>-'DRE + DCF'!$V$56*L2309</f>
        <v>-1188924.4255577971</v>
      </c>
      <c r="K2309" s="360">
        <f>(1+L2309)/(1+Ke!$O$12)-1</f>
        <v>2.0000000000000018E-2</v>
      </c>
      <c r="L2309" s="360">
        <f>'DRE + DCF'!$Y$31</f>
        <v>7.3550000000000004E-2</v>
      </c>
      <c r="M2309" s="361">
        <f>(1+D2309)^((5-Dashboard!$F$9)*3/12)</f>
        <v>1.2200306933680178</v>
      </c>
      <c r="N2309" s="361">
        <f t="shared" ref="N2309:V2309" si="2368">M2309*(1+$D2309)</f>
        <v>1.5904930134091941</v>
      </c>
      <c r="O2309" s="361">
        <f t="shared" si="2368"/>
        <v>2.0734462169308667</v>
      </c>
      <c r="P2309" s="361">
        <f t="shared" si="2368"/>
        <v>2.7030481607018868</v>
      </c>
      <c r="Q2309" s="361">
        <f t="shared" si="2368"/>
        <v>3.5238287346989656</v>
      </c>
      <c r="R2309" s="361">
        <f t="shared" si="2368"/>
        <v>4.5938393299902422</v>
      </c>
      <c r="S2309" s="361">
        <f t="shared" si="2368"/>
        <v>5.9887586425416952</v>
      </c>
      <c r="T2309" s="361">
        <f t="shared" si="2368"/>
        <v>7.8072452043493721</v>
      </c>
      <c r="U2309" s="361">
        <f t="shared" si="2368"/>
        <v>10.177915210649916</v>
      </c>
      <c r="V2309" s="362">
        <f t="shared" si="2368"/>
        <v>13.268439164363578</v>
      </c>
      <c r="X2309" s="351"/>
    </row>
    <row r="2310" spans="3:24" ht="24.75" customHeight="1" x14ac:dyDescent="0.3">
      <c r="C2310" s="353">
        <f>ABS(E2310-Dashboard!$F$14)</f>
        <v>44.319076142855891</v>
      </c>
      <c r="D2310" s="350">
        <f t="shared" si="2313"/>
        <v>0.30374999999998181</v>
      </c>
      <c r="E2310" s="359" cm="1">
        <f t="array" ref="E2310">1000*SUM('DRE + DCF'!$L$36/M2310,'DRE + DCF'!$N$36:$V$36/N2310:V2310,F2310/V2310)/Dashboard!$F$11</f>
        <v>52.670923857144103</v>
      </c>
      <c r="F2310" s="359">
        <f t="shared" si="2311"/>
        <v>8647585.0713323615</v>
      </c>
      <c r="G2310" s="359">
        <f>'DRE + DCF'!$W$31</f>
        <v>2791623.3540418856</v>
      </c>
      <c r="H2310" s="359">
        <f>'DRE + DCF'!$W$32</f>
        <v>81081.931703745853</v>
      </c>
      <c r="I2310" s="359">
        <f>-H2310*('DRE + DCF'!$V$33+K2310)/'DRE + DCF'!$V$33</f>
        <v>-90858.801614444121</v>
      </c>
      <c r="J2310" s="359">
        <f>-'DRE + DCF'!$V$56*L2310</f>
        <v>-1188924.4255577971</v>
      </c>
      <c r="K2310" s="360">
        <f>(1+L2310)/(1+Ke!$O$12)-1</f>
        <v>2.0000000000000018E-2</v>
      </c>
      <c r="L2310" s="360">
        <f>'DRE + DCF'!$Y$31</f>
        <v>7.3550000000000004E-2</v>
      </c>
      <c r="M2310" s="361">
        <f>(1+D2310)^((5-Dashboard!$F$9)*3/12)</f>
        <v>1.2201008820111845</v>
      </c>
      <c r="N2310" s="361">
        <f t="shared" ref="N2310:V2310" si="2369">M2310*(1+$D2310)</f>
        <v>1.5907065249220596</v>
      </c>
      <c r="O2310" s="361">
        <f t="shared" si="2369"/>
        <v>2.0738836318671061</v>
      </c>
      <c r="P2310" s="361">
        <f t="shared" si="2369"/>
        <v>2.7038257850467016</v>
      </c>
      <c r="Q2310" s="361">
        <f t="shared" si="2369"/>
        <v>3.5251128672545877</v>
      </c>
      <c r="R2310" s="361">
        <f t="shared" si="2369"/>
        <v>4.5958659006831049</v>
      </c>
      <c r="S2310" s="361">
        <f t="shared" si="2369"/>
        <v>5.9918601680155144</v>
      </c>
      <c r="T2310" s="361">
        <f t="shared" si="2369"/>
        <v>7.8118876940501174</v>
      </c>
      <c r="U2310" s="361">
        <f t="shared" si="2369"/>
        <v>10.184748581117699</v>
      </c>
      <c r="V2310" s="362">
        <f t="shared" si="2369"/>
        <v>13.278365962632014</v>
      </c>
      <c r="X2310" s="351"/>
    </row>
    <row r="2311" spans="3:24" ht="24.75" customHeight="1" x14ac:dyDescent="0.3">
      <c r="C2311" s="353">
        <f>ABS(E2311-Dashboard!$F$14)</f>
        <v>44.345864647878308</v>
      </c>
      <c r="D2311" s="350">
        <f t="shared" si="2313"/>
        <v>0.3038499999999818</v>
      </c>
      <c r="E2311" s="359" cm="1">
        <f t="array" ref="E2311">1000*SUM('DRE + DCF'!$L$36/M2311,'DRE + DCF'!$N$36:$V$36/N2311:V2311,F2311/V2311)/Dashboard!$F$11</f>
        <v>52.644135352121687</v>
      </c>
      <c r="F2311" s="359">
        <f t="shared" si="2311"/>
        <v>8644348.6656432264</v>
      </c>
      <c r="G2311" s="359">
        <f>'DRE + DCF'!$W$31</f>
        <v>2791623.3540418856</v>
      </c>
      <c r="H2311" s="359">
        <f>'DRE + DCF'!$W$32</f>
        <v>81081.931703745853</v>
      </c>
      <c r="I2311" s="359">
        <f>-H2311*('DRE + DCF'!$V$33+K2311)/'DRE + DCF'!$V$33</f>
        <v>-90858.801614444121</v>
      </c>
      <c r="J2311" s="359">
        <f>-'DRE + DCF'!$V$56*L2311</f>
        <v>-1188924.4255577971</v>
      </c>
      <c r="K2311" s="360">
        <f>(1+L2311)/(1+Ke!$O$12)-1</f>
        <v>2.0000000000000018E-2</v>
      </c>
      <c r="L2311" s="360">
        <f>'DRE + DCF'!$Y$31</f>
        <v>7.3550000000000004E-2</v>
      </c>
      <c r="M2311" s="361">
        <f>(1+D2311)^((5-Dashboard!$F$9)*3/12)</f>
        <v>1.2201710693084649</v>
      </c>
      <c r="N2311" s="361">
        <f t="shared" ref="N2311:V2311" si="2370">M2311*(1+$D2311)</f>
        <v>1.5909200487178197</v>
      </c>
      <c r="O2311" s="361">
        <f t="shared" si="2370"/>
        <v>2.0743211055207</v>
      </c>
      <c r="P2311" s="361">
        <f t="shared" si="2370"/>
        <v>2.7046035734331269</v>
      </c>
      <c r="Q2311" s="361">
        <f t="shared" si="2370"/>
        <v>3.5263973692207329</v>
      </c>
      <c r="R2311" s="361">
        <f t="shared" si="2370"/>
        <v>4.5978932098583885</v>
      </c>
      <c r="S2311" s="361">
        <f t="shared" si="2370"/>
        <v>5.9949630616737757</v>
      </c>
      <c r="T2311" s="361">
        <f t="shared" si="2370"/>
        <v>7.816532587963243</v>
      </c>
      <c r="U2311" s="361">
        <f t="shared" si="2370"/>
        <v>10.191586014815732</v>
      </c>
      <c r="V2311" s="362">
        <f t="shared" si="2370"/>
        <v>13.288299425417305</v>
      </c>
      <c r="X2311" s="351"/>
    </row>
    <row r="2312" spans="3:24" ht="24.75" customHeight="1" x14ac:dyDescent="0.3">
      <c r="C2312" s="353">
        <f>ABS(E2312-Dashboard!$F$14)</f>
        <v>44.372628820542211</v>
      </c>
      <c r="D2312" s="350">
        <f t="shared" si="2313"/>
        <v>0.30394999999998179</v>
      </c>
      <c r="E2312" s="359" cm="1">
        <f t="array" ref="E2312">1000*SUM('DRE + DCF'!$L$36/M2312,'DRE + DCF'!$N$36:$V$36/N2312:V2312,F2312/V2312)/Dashboard!$F$11</f>
        <v>52.617371179457784</v>
      </c>
      <c r="F2312" s="359">
        <f t="shared" si="2311"/>
        <v>8641114.7282969262</v>
      </c>
      <c r="G2312" s="359">
        <f>'DRE + DCF'!$W$31</f>
        <v>2791623.3540418856</v>
      </c>
      <c r="H2312" s="359">
        <f>'DRE + DCF'!$W$32</f>
        <v>81081.931703745853</v>
      </c>
      <c r="I2312" s="359">
        <f>-H2312*('DRE + DCF'!$V$33+K2312)/'DRE + DCF'!$V$33</f>
        <v>-90858.801614444121</v>
      </c>
      <c r="J2312" s="359">
        <f>-'DRE + DCF'!$V$56*L2312</f>
        <v>-1188924.4255577971</v>
      </c>
      <c r="K2312" s="360">
        <f>(1+L2312)/(1+Ke!$O$12)-1</f>
        <v>2.0000000000000018E-2</v>
      </c>
      <c r="L2312" s="360">
        <f>'DRE + DCF'!$Y$31</f>
        <v>7.3550000000000004E-2</v>
      </c>
      <c r="M2312" s="361">
        <f>(1+D2312)^((5-Dashboard!$F$9)*3/12)</f>
        <v>1.2202412552599879</v>
      </c>
      <c r="N2312" s="361">
        <f t="shared" ref="N2312:V2312" si="2371">M2312*(1+$D2312)</f>
        <v>1.5911335847962389</v>
      </c>
      <c r="O2312" s="361">
        <f t="shared" si="2371"/>
        <v>2.0747586378950267</v>
      </c>
      <c r="P2312" s="361">
        <f t="shared" si="2371"/>
        <v>2.7053815258831819</v>
      </c>
      <c r="Q2312" s="361">
        <f t="shared" si="2371"/>
        <v>3.5276822406753259</v>
      </c>
      <c r="R2312" s="361">
        <f t="shared" si="2371"/>
        <v>4.5999212577285267</v>
      </c>
      <c r="S2312" s="361">
        <f t="shared" si="2371"/>
        <v>5.998067324015028</v>
      </c>
      <c r="T2312" s="361">
        <f t="shared" si="2371"/>
        <v>7.8211798871492864</v>
      </c>
      <c r="U2312" s="361">
        <f t="shared" si="2371"/>
        <v>10.19842751384817</v>
      </c>
      <c r="V2312" s="362">
        <f t="shared" si="2371"/>
        <v>13.298239556682136</v>
      </c>
      <c r="X2312" s="351"/>
    </row>
    <row r="2313" spans="3:24" ht="24.75" customHeight="1" x14ac:dyDescent="0.3">
      <c r="C2313" s="353">
        <f>ABS(E2313-Dashboard!$F$14)</f>
        <v>44.39936869160401</v>
      </c>
      <c r="D2313" s="350">
        <f t="shared" si="2313"/>
        <v>0.30404999999998178</v>
      </c>
      <c r="E2313" s="359" cm="1">
        <f t="array" ref="E2313">1000*SUM('DRE + DCF'!$L$36/M2313,'DRE + DCF'!$N$36:$V$36/N2313:V2313,F2313/V2313)/Dashboard!$F$11</f>
        <v>52.590631308395984</v>
      </c>
      <c r="F2313" s="359">
        <f t="shared" si="2311"/>
        <v>8637883.2564172205</v>
      </c>
      <c r="G2313" s="359">
        <f>'DRE + DCF'!$W$31</f>
        <v>2791623.3540418856</v>
      </c>
      <c r="H2313" s="359">
        <f>'DRE + DCF'!$W$32</f>
        <v>81081.931703745853</v>
      </c>
      <c r="I2313" s="359">
        <f>-H2313*('DRE + DCF'!$V$33+K2313)/'DRE + DCF'!$V$33</f>
        <v>-90858.801614444121</v>
      </c>
      <c r="J2313" s="359">
        <f>-'DRE + DCF'!$V$56*L2313</f>
        <v>-1188924.4255577971</v>
      </c>
      <c r="K2313" s="360">
        <f>(1+L2313)/(1+Ke!$O$12)-1</f>
        <v>2.0000000000000018E-2</v>
      </c>
      <c r="L2313" s="360">
        <f>'DRE + DCF'!$Y$31</f>
        <v>7.3550000000000004E-2</v>
      </c>
      <c r="M2313" s="361">
        <f>(1+D2313)^((5-Dashboard!$F$9)*3/12)</f>
        <v>1.2203114398658828</v>
      </c>
      <c r="N2313" s="361">
        <f t="shared" ref="N2313:V2313" si="2372">M2313*(1+$D2313)</f>
        <v>1.5913471331570821</v>
      </c>
      <c r="O2313" s="361">
        <f t="shared" si="2372"/>
        <v>2.0751962289934638</v>
      </c>
      <c r="P2313" s="361">
        <f t="shared" si="2372"/>
        <v>2.7061596424188887</v>
      </c>
      <c r="Q2313" s="361">
        <f t="shared" si="2372"/>
        <v>3.5289674816963026</v>
      </c>
      <c r="R2313" s="361">
        <f t="shared" si="2372"/>
        <v>4.6019500445059993</v>
      </c>
      <c r="S2313" s="361">
        <f t="shared" si="2372"/>
        <v>6.0011729555379647</v>
      </c>
      <c r="T2313" s="361">
        <f t="shared" si="2372"/>
        <v>7.825829592669173</v>
      </c>
      <c r="U2313" s="361">
        <f t="shared" si="2372"/>
        <v>10.205273080320092</v>
      </c>
      <c r="V2313" s="362">
        <f t="shared" si="2372"/>
        <v>13.308186360391229</v>
      </c>
      <c r="X2313" s="351"/>
    </row>
    <row r="2314" spans="3:24" ht="24.75" customHeight="1" x14ac:dyDescent="0.3">
      <c r="C2314" s="353">
        <f>ABS(E2314-Dashboard!$F$14)</f>
        <v>44.42608429177028</v>
      </c>
      <c r="D2314" s="350">
        <f t="shared" si="2313"/>
        <v>0.30414999999998177</v>
      </c>
      <c r="E2314" s="359" cm="1">
        <f t="array" ref="E2314">1000*SUM('DRE + DCF'!$L$36/M2314,'DRE + DCF'!$N$36:$V$36/N2314:V2314,F2314/V2314)/Dashboard!$F$11</f>
        <v>52.563915708229715</v>
      </c>
      <c r="F2314" s="359">
        <f t="shared" si="2311"/>
        <v>8634654.2471324094</v>
      </c>
      <c r="G2314" s="359">
        <f>'DRE + DCF'!$W$31</f>
        <v>2791623.3540418856</v>
      </c>
      <c r="H2314" s="359">
        <f>'DRE + DCF'!$W$32</f>
        <v>81081.931703745853</v>
      </c>
      <c r="I2314" s="359">
        <f>-H2314*('DRE + DCF'!$V$33+K2314)/'DRE + DCF'!$V$33</f>
        <v>-90858.801614444121</v>
      </c>
      <c r="J2314" s="359">
        <f>-'DRE + DCF'!$V$56*L2314</f>
        <v>-1188924.4255577971</v>
      </c>
      <c r="K2314" s="360">
        <f>(1+L2314)/(1+Ke!$O$12)-1</f>
        <v>2.0000000000000018E-2</v>
      </c>
      <c r="L2314" s="360">
        <f>'DRE + DCF'!$Y$31</f>
        <v>7.3550000000000004E-2</v>
      </c>
      <c r="M2314" s="361">
        <f>(1+D2314)^((5-Dashboard!$F$9)*3/12)</f>
        <v>1.2203816231262783</v>
      </c>
      <c r="N2314" s="361">
        <f t="shared" ref="N2314:V2314" si="2373">M2314*(1+$D2314)</f>
        <v>1.5915606938001134</v>
      </c>
      <c r="O2314" s="361">
        <f t="shared" si="2373"/>
        <v>2.0756338788193887</v>
      </c>
      <c r="P2314" s="361">
        <f t="shared" si="2373"/>
        <v>2.7069379230622679</v>
      </c>
      <c r="Q2314" s="361">
        <f t="shared" si="2373"/>
        <v>3.5302530923616073</v>
      </c>
      <c r="R2314" s="361">
        <f t="shared" si="2373"/>
        <v>4.6039795704033253</v>
      </c>
      <c r="S2314" s="361">
        <f t="shared" si="2373"/>
        <v>6.0042799567414127</v>
      </c>
      <c r="T2314" s="361">
        <f t="shared" si="2373"/>
        <v>7.8304817055842033</v>
      </c>
      <c r="U2314" s="361">
        <f t="shared" si="2373"/>
        <v>10.212122716337495</v>
      </c>
      <c r="V2314" s="362">
        <f t="shared" si="2373"/>
        <v>13.318139840511357</v>
      </c>
      <c r="X2314" s="351"/>
    </row>
    <row r="2315" spans="3:24" ht="24.75" customHeight="1" x14ac:dyDescent="0.3">
      <c r="C2315" s="353">
        <f>ABS(E2315-Dashboard!$F$14)</f>
        <v>44.452775651698047</v>
      </c>
      <c r="D2315" s="350">
        <f t="shared" si="2313"/>
        <v>0.30424999999998176</v>
      </c>
      <c r="E2315" s="359" cm="1">
        <f t="array" ref="E2315">1000*SUM('DRE + DCF'!$L$36/M2315,'DRE + DCF'!$N$36:$V$36/N2315:V2315,F2315/V2315)/Dashboard!$F$11</f>
        <v>52.537224348301947</v>
      </c>
      <c r="F2315" s="359">
        <f t="shared" si="2311"/>
        <v>8631427.6975753345</v>
      </c>
      <c r="G2315" s="359">
        <f>'DRE + DCF'!$W$31</f>
        <v>2791623.3540418856</v>
      </c>
      <c r="H2315" s="359">
        <f>'DRE + DCF'!$W$32</f>
        <v>81081.931703745853</v>
      </c>
      <c r="I2315" s="359">
        <f>-H2315*('DRE + DCF'!$V$33+K2315)/'DRE + DCF'!$V$33</f>
        <v>-90858.801614444121</v>
      </c>
      <c r="J2315" s="359">
        <f>-'DRE + DCF'!$V$56*L2315</f>
        <v>-1188924.4255577971</v>
      </c>
      <c r="K2315" s="360">
        <f>(1+L2315)/(1+Ke!$O$12)-1</f>
        <v>2.0000000000000018E-2</v>
      </c>
      <c r="L2315" s="360">
        <f>'DRE + DCF'!$Y$31</f>
        <v>7.3550000000000004E-2</v>
      </c>
      <c r="M2315" s="361">
        <f>(1+D2315)^((5-Dashboard!$F$9)*3/12)</f>
        <v>1.2204518050413036</v>
      </c>
      <c r="N2315" s="361">
        <f t="shared" ref="N2315:V2315" si="2374">M2315*(1+$D2315)</f>
        <v>1.5917742667250978</v>
      </c>
      <c r="O2315" s="361">
        <f t="shared" si="2374"/>
        <v>2.0760715873761795</v>
      </c>
      <c r="P2315" s="361">
        <f t="shared" si="2374"/>
        <v>2.707716367835344</v>
      </c>
      <c r="Q2315" s="361">
        <f t="shared" si="2374"/>
        <v>3.5315390727491978</v>
      </c>
      <c r="R2315" s="361">
        <f t="shared" si="2374"/>
        <v>4.6060098356330768</v>
      </c>
      <c r="S2315" s="361">
        <f t="shared" si="2374"/>
        <v>6.0073883281243559</v>
      </c>
      <c r="T2315" s="361">
        <f t="shared" si="2374"/>
        <v>7.8351362269560809</v>
      </c>
      <c r="U2315" s="361">
        <f t="shared" si="2374"/>
        <v>10.218976424007325</v>
      </c>
      <c r="V2315" s="362">
        <f t="shared" si="2374"/>
        <v>13.328100001011366</v>
      </c>
      <c r="X2315" s="351"/>
    </row>
    <row r="2316" spans="3:24" ht="24.75" customHeight="1" x14ac:dyDescent="0.3">
      <c r="C2316" s="353">
        <f>ABS(E2316-Dashboard!$F$14)</f>
        <v>44.47944280199463</v>
      </c>
      <c r="D2316" s="350">
        <f t="shared" si="2313"/>
        <v>0.30434999999998175</v>
      </c>
      <c r="E2316" s="359" cm="1">
        <f t="array" ref="E2316">1000*SUM('DRE + DCF'!$L$36/M2316,'DRE + DCF'!$N$36:$V$36/N2316:V2316,F2316/V2316)/Dashboard!$F$11</f>
        <v>52.510557198005365</v>
      </c>
      <c r="F2316" s="359">
        <f t="shared" si="2311"/>
        <v>8628203.6048833616</v>
      </c>
      <c r="G2316" s="359">
        <f>'DRE + DCF'!$W$31</f>
        <v>2791623.3540418856</v>
      </c>
      <c r="H2316" s="359">
        <f>'DRE + DCF'!$W$32</f>
        <v>81081.931703745853</v>
      </c>
      <c r="I2316" s="359">
        <f>-H2316*('DRE + DCF'!$V$33+K2316)/'DRE + DCF'!$V$33</f>
        <v>-90858.801614444121</v>
      </c>
      <c r="J2316" s="359">
        <f>-'DRE + DCF'!$V$56*L2316</f>
        <v>-1188924.4255577971</v>
      </c>
      <c r="K2316" s="360">
        <f>(1+L2316)/(1+Ke!$O$12)-1</f>
        <v>2.0000000000000018E-2</v>
      </c>
      <c r="L2316" s="360">
        <f>'DRE + DCF'!$Y$31</f>
        <v>7.3550000000000004E-2</v>
      </c>
      <c r="M2316" s="361">
        <f>(1+D2316)^((5-Dashboard!$F$9)*3/12)</f>
        <v>1.2205219856110874</v>
      </c>
      <c r="N2316" s="361">
        <f t="shared" ref="N2316:V2316" si="2375">M2316*(1+$D2316)</f>
        <v>1.5919878519317994</v>
      </c>
      <c r="O2316" s="361">
        <f t="shared" si="2375"/>
        <v>2.0765093546672135</v>
      </c>
      <c r="P2316" s="361">
        <f t="shared" si="2375"/>
        <v>2.7084949767601421</v>
      </c>
      <c r="Q2316" s="361">
        <f t="shared" si="2375"/>
        <v>3.5328254229370417</v>
      </c>
      <c r="R2316" s="361">
        <f t="shared" si="2375"/>
        <v>4.6080408404078659</v>
      </c>
      <c r="S2316" s="361">
        <f t="shared" si="2375"/>
        <v>6.0104980701859159</v>
      </c>
      <c r="T2316" s="361">
        <f t="shared" si="2375"/>
        <v>7.8397931578468896</v>
      </c>
      <c r="U2316" s="361">
        <f t="shared" si="2375"/>
        <v>10.225834205437447</v>
      </c>
      <c r="V2316" s="362">
        <f t="shared" si="2375"/>
        <v>13.338066845862148</v>
      </c>
      <c r="X2316" s="351"/>
    </row>
    <row r="2317" spans="3:24" ht="24.75" customHeight="1" x14ac:dyDescent="0.3">
      <c r="C2317" s="353">
        <f>ABS(E2317-Dashboard!$F$14)</f>
        <v>44.506085773217897</v>
      </c>
      <c r="D2317" s="350">
        <f t="shared" si="2313"/>
        <v>0.30444999999998174</v>
      </c>
      <c r="E2317" s="359" cm="1">
        <f t="array" ref="E2317">1000*SUM('DRE + DCF'!$L$36/M2317,'DRE + DCF'!$N$36:$V$36/N2317:V2317,F2317/V2317)/Dashboard!$F$11</f>
        <v>52.483914226782098</v>
      </c>
      <c r="F2317" s="359">
        <f t="shared" si="2311"/>
        <v>8624981.9661983792</v>
      </c>
      <c r="G2317" s="359">
        <f>'DRE + DCF'!$W$31</f>
        <v>2791623.3540418856</v>
      </c>
      <c r="H2317" s="359">
        <f>'DRE + DCF'!$W$32</f>
        <v>81081.931703745853</v>
      </c>
      <c r="I2317" s="359">
        <f>-H2317*('DRE + DCF'!$V$33+K2317)/'DRE + DCF'!$V$33</f>
        <v>-90858.801614444121</v>
      </c>
      <c r="J2317" s="359">
        <f>-'DRE + DCF'!$V$56*L2317</f>
        <v>-1188924.4255577971</v>
      </c>
      <c r="K2317" s="360">
        <f>(1+L2317)/(1+Ke!$O$12)-1</f>
        <v>2.0000000000000018E-2</v>
      </c>
      <c r="L2317" s="360">
        <f>'DRE + DCF'!$Y$31</f>
        <v>7.3550000000000004E-2</v>
      </c>
      <c r="M2317" s="361">
        <f>(1+D2317)^((5-Dashboard!$F$9)*3/12)</f>
        <v>1.2205921648357587</v>
      </c>
      <c r="N2317" s="361">
        <f t="shared" ref="N2317:V2317" si="2376">M2317*(1+$D2317)</f>
        <v>1.5922014494199832</v>
      </c>
      <c r="O2317" s="361">
        <f t="shared" si="2376"/>
        <v>2.0769471806958681</v>
      </c>
      <c r="P2317" s="361">
        <f t="shared" si="2376"/>
        <v>2.7092737498586872</v>
      </c>
      <c r="Q2317" s="361">
        <f t="shared" si="2376"/>
        <v>3.534112143003115</v>
      </c>
      <c r="R2317" s="361">
        <f t="shared" si="2376"/>
        <v>4.6100725849403483</v>
      </c>
      <c r="S2317" s="361">
        <f t="shared" si="2376"/>
        <v>6.0136091834253529</v>
      </c>
      <c r="T2317" s="361">
        <f t="shared" si="2376"/>
        <v>7.8444524993190914</v>
      </c>
      <c r="U2317" s="361">
        <f t="shared" si="2376"/>
        <v>10.232696062736645</v>
      </c>
      <c r="V2317" s="362">
        <f t="shared" si="2376"/>
        <v>13.348040379036629</v>
      </c>
      <c r="X2317" s="351"/>
    </row>
    <row r="2318" spans="3:24" ht="24.75" customHeight="1" x14ac:dyDescent="0.3">
      <c r="C2318" s="353">
        <f>ABS(E2318-Dashboard!$F$14)</f>
        <v>44.532704595876318</v>
      </c>
      <c r="D2318" s="350">
        <f t="shared" si="2313"/>
        <v>0.30454999999998172</v>
      </c>
      <c r="E2318" s="359" cm="1">
        <f t="array" ref="E2318">1000*SUM('DRE + DCF'!$L$36/M2318,'DRE + DCF'!$N$36:$V$36/N2318:V2318,F2318/V2318)/Dashboard!$F$11</f>
        <v>52.457295404123677</v>
      </c>
      <c r="F2318" s="359">
        <f t="shared" ref="F2318:F2381" si="2377">AVERAGE(SUM(G2318:J2318)*(1+L2318)/(D2318-L2318),G2318*(1+L2318)*(1-L2318/D2318)/(D2318-L2318))</f>
        <v>8621762.7786667868</v>
      </c>
      <c r="G2318" s="359">
        <f>'DRE + DCF'!$W$31</f>
        <v>2791623.3540418856</v>
      </c>
      <c r="H2318" s="359">
        <f>'DRE + DCF'!$W$32</f>
        <v>81081.931703745853</v>
      </c>
      <c r="I2318" s="359">
        <f>-H2318*('DRE + DCF'!$V$33+K2318)/'DRE + DCF'!$V$33</f>
        <v>-90858.801614444121</v>
      </c>
      <c r="J2318" s="359">
        <f>-'DRE + DCF'!$V$56*L2318</f>
        <v>-1188924.4255577971</v>
      </c>
      <c r="K2318" s="360">
        <f>(1+L2318)/(1+Ke!$O$12)-1</f>
        <v>2.0000000000000018E-2</v>
      </c>
      <c r="L2318" s="360">
        <f>'DRE + DCF'!$Y$31</f>
        <v>7.3550000000000004E-2</v>
      </c>
      <c r="M2318" s="361">
        <f>(1+D2318)^((5-Dashboard!$F$9)*3/12)</f>
        <v>1.2206623427154466</v>
      </c>
      <c r="N2318" s="361">
        <f t="shared" ref="N2318:V2318" si="2378">M2318*(1+$D2318)</f>
        <v>1.5924150591894135</v>
      </c>
      <c r="O2318" s="361">
        <f t="shared" si="2378"/>
        <v>2.0773850654655202</v>
      </c>
      <c r="P2318" s="361">
        <f t="shared" si="2378"/>
        <v>2.7100526871530062</v>
      </c>
      <c r="Q2318" s="361">
        <f t="shared" si="2378"/>
        <v>3.5353992330254047</v>
      </c>
      <c r="R2318" s="361">
        <f t="shared" si="2378"/>
        <v>4.6121050694432268</v>
      </c>
      <c r="S2318" s="361">
        <f t="shared" si="2378"/>
        <v>6.0167216683420772</v>
      </c>
      <c r="T2318" s="361">
        <f t="shared" si="2378"/>
        <v>7.8491142524355464</v>
      </c>
      <c r="U2318" s="361">
        <f t="shared" si="2378"/>
        <v>10.239561998014649</v>
      </c>
      <c r="V2318" s="362">
        <f t="shared" si="2378"/>
        <v>13.358020604509823</v>
      </c>
      <c r="X2318" s="351"/>
    </row>
    <row r="2319" spans="3:24" ht="24.75" customHeight="1" x14ac:dyDescent="0.3">
      <c r="C2319" s="353">
        <f>ABS(E2319-Dashboard!$F$14)</f>
        <v>44.559299300429082</v>
      </c>
      <c r="D2319" s="350">
        <f t="shared" ref="D2319:D2382" si="2379">D2318+0.0001</f>
        <v>0.30464999999998171</v>
      </c>
      <c r="E2319" s="359" cm="1">
        <f t="array" ref="E2319">1000*SUM('DRE + DCF'!$L$36/M2319,'DRE + DCF'!$N$36:$V$36/N2319:V2319,F2319/V2319)/Dashboard!$F$11</f>
        <v>52.430700699570913</v>
      </c>
      <c r="F2319" s="359">
        <f t="shared" si="2377"/>
        <v>8618546.0394394845</v>
      </c>
      <c r="G2319" s="359">
        <f>'DRE + DCF'!$W$31</f>
        <v>2791623.3540418856</v>
      </c>
      <c r="H2319" s="359">
        <f>'DRE + DCF'!$W$32</f>
        <v>81081.931703745853</v>
      </c>
      <c r="I2319" s="359">
        <f>-H2319*('DRE + DCF'!$V$33+K2319)/'DRE + DCF'!$V$33</f>
        <v>-90858.801614444121</v>
      </c>
      <c r="J2319" s="359">
        <f>-'DRE + DCF'!$V$56*L2319</f>
        <v>-1188924.4255577971</v>
      </c>
      <c r="K2319" s="360">
        <f>(1+L2319)/(1+Ke!$O$12)-1</f>
        <v>2.0000000000000018E-2</v>
      </c>
      <c r="L2319" s="360">
        <f>'DRE + DCF'!$Y$31</f>
        <v>7.3550000000000004E-2</v>
      </c>
      <c r="M2319" s="361">
        <f>(1+D2319)^((5-Dashboard!$F$9)*3/12)</f>
        <v>1.2207325192502798</v>
      </c>
      <c r="N2319" s="361">
        <f t="shared" ref="N2319:V2319" si="2380">M2319*(1+$D2319)</f>
        <v>1.5926286812398551</v>
      </c>
      <c r="O2319" s="361">
        <f t="shared" si="2380"/>
        <v>2.0778230089795477</v>
      </c>
      <c r="P2319" s="361">
        <f t="shared" si="2380"/>
        <v>2.710831788665129</v>
      </c>
      <c r="Q2319" s="361">
        <f t="shared" si="2380"/>
        <v>3.536686693081911</v>
      </c>
      <c r="R2319" s="361">
        <f t="shared" si="2380"/>
        <v>4.6141382941292504</v>
      </c>
      <c r="S2319" s="361">
        <f t="shared" si="2380"/>
        <v>6.0198355254356422</v>
      </c>
      <c r="T2319" s="361">
        <f t="shared" si="2380"/>
        <v>7.8537784182595001</v>
      </c>
      <c r="U2319" s="361">
        <f t="shared" si="2380"/>
        <v>10.246432013382112</v>
      </c>
      <c r="V2319" s="362">
        <f t="shared" si="2380"/>
        <v>13.368007526258785</v>
      </c>
      <c r="X2319" s="351"/>
    </row>
    <row r="2320" spans="3:24" ht="24.75" customHeight="1" x14ac:dyDescent="0.3">
      <c r="C2320" s="353">
        <f>ABS(E2320-Dashboard!$F$14)</f>
        <v>44.585869917286196</v>
      </c>
      <c r="D2320" s="350">
        <f t="shared" si="2379"/>
        <v>0.3047499999999817</v>
      </c>
      <c r="E2320" s="359" cm="1">
        <f t="array" ref="E2320">1000*SUM('DRE + DCF'!$L$36/M2320,'DRE + DCF'!$N$36:$V$36/N2320:V2320,F2320/V2320)/Dashboard!$F$11</f>
        <v>52.404130082713799</v>
      </c>
      <c r="F2320" s="359">
        <f t="shared" si="2377"/>
        <v>8615331.7456718646</v>
      </c>
      <c r="G2320" s="359">
        <f>'DRE + DCF'!$W$31</f>
        <v>2791623.3540418856</v>
      </c>
      <c r="H2320" s="359">
        <f>'DRE + DCF'!$W$32</f>
        <v>81081.931703745853</v>
      </c>
      <c r="I2320" s="359">
        <f>-H2320*('DRE + DCF'!$V$33+K2320)/'DRE + DCF'!$V$33</f>
        <v>-90858.801614444121</v>
      </c>
      <c r="J2320" s="359">
        <f>-'DRE + DCF'!$V$56*L2320</f>
        <v>-1188924.4255577971</v>
      </c>
      <c r="K2320" s="360">
        <f>(1+L2320)/(1+Ke!$O$12)-1</f>
        <v>2.0000000000000018E-2</v>
      </c>
      <c r="L2320" s="360">
        <f>'DRE + DCF'!$Y$31</f>
        <v>7.3550000000000004E-2</v>
      </c>
      <c r="M2320" s="361">
        <f>(1+D2320)^((5-Dashboard!$F$9)*3/12)</f>
        <v>1.2208026944403871</v>
      </c>
      <c r="N2320" s="361">
        <f t="shared" ref="N2320:V2320" si="2381">M2320*(1+$D2320)</f>
        <v>1.5928423155710727</v>
      </c>
      <c r="O2320" s="361">
        <f t="shared" si="2381"/>
        <v>2.0782610112413278</v>
      </c>
      <c r="P2320" s="361">
        <f t="shared" si="2381"/>
        <v>2.7116110544170842</v>
      </c>
      <c r="Q2320" s="361">
        <f t="shared" si="2381"/>
        <v>3.5379745232506408</v>
      </c>
      <c r="R2320" s="361">
        <f t="shared" si="2381"/>
        <v>4.6161722592112087</v>
      </c>
      <c r="S2320" s="361">
        <f t="shared" si="2381"/>
        <v>6.0229507552057395</v>
      </c>
      <c r="T2320" s="361">
        <f t="shared" si="2381"/>
        <v>7.8584449978545781</v>
      </c>
      <c r="U2320" s="361">
        <f t="shared" si="2381"/>
        <v>10.253306110950616</v>
      </c>
      <c r="V2320" s="362">
        <f t="shared" si="2381"/>
        <v>13.378001148262628</v>
      </c>
      <c r="X2320" s="351"/>
    </row>
    <row r="2321" spans="3:24" ht="24.75" customHeight="1" x14ac:dyDescent="0.3">
      <c r="C2321" s="353">
        <f>ABS(E2321-Dashboard!$F$14)</f>
        <v>44.61241647680859</v>
      </c>
      <c r="D2321" s="350">
        <f t="shared" si="2379"/>
        <v>0.30484999999998169</v>
      </c>
      <c r="E2321" s="359" cm="1">
        <f t="array" ref="E2321">1000*SUM('DRE + DCF'!$L$36/M2321,'DRE + DCF'!$N$36:$V$36/N2321:V2321,F2321/V2321)/Dashboard!$F$11</f>
        <v>52.377583523191404</v>
      </c>
      <c r="F2321" s="359">
        <f t="shared" si="2377"/>
        <v>8612119.894523805</v>
      </c>
      <c r="G2321" s="359">
        <f>'DRE + DCF'!$W$31</f>
        <v>2791623.3540418856</v>
      </c>
      <c r="H2321" s="359">
        <f>'DRE + DCF'!$W$32</f>
        <v>81081.931703745853</v>
      </c>
      <c r="I2321" s="359">
        <f>-H2321*('DRE + DCF'!$V$33+K2321)/'DRE + DCF'!$V$33</f>
        <v>-90858.801614444121</v>
      </c>
      <c r="J2321" s="359">
        <f>-'DRE + DCF'!$V$56*L2321</f>
        <v>-1188924.4255577971</v>
      </c>
      <c r="K2321" s="360">
        <f>(1+L2321)/(1+Ke!$O$12)-1</f>
        <v>2.0000000000000018E-2</v>
      </c>
      <c r="L2321" s="360">
        <f>'DRE + DCF'!$Y$31</f>
        <v>7.3550000000000004E-2</v>
      </c>
      <c r="M2321" s="361">
        <f>(1+D2321)^((5-Dashboard!$F$9)*3/12)</f>
        <v>1.2208728682858974</v>
      </c>
      <c r="N2321" s="361">
        <f t="shared" ref="N2321:V2321" si="2382">M2321*(1+$D2321)</f>
        <v>1.5930559621828309</v>
      </c>
      <c r="O2321" s="361">
        <f t="shared" si="2382"/>
        <v>2.0786990722542376</v>
      </c>
      <c r="P2321" s="361">
        <f t="shared" si="2382"/>
        <v>2.7123904844309039</v>
      </c>
      <c r="Q2321" s="361">
        <f t="shared" si="2382"/>
        <v>3.5392627236096152</v>
      </c>
      <c r="R2321" s="361">
        <f t="shared" si="2382"/>
        <v>4.6182069649019413</v>
      </c>
      <c r="S2321" s="361">
        <f t="shared" si="2382"/>
        <v>6.0260673581522131</v>
      </c>
      <c r="T2321" s="361">
        <f t="shared" si="2382"/>
        <v>7.8631139922848048</v>
      </c>
      <c r="U2321" s="361">
        <f t="shared" si="2382"/>
        <v>10.260184292832683</v>
      </c>
      <c r="V2321" s="362">
        <f t="shared" si="2382"/>
        <v>13.388001474502538</v>
      </c>
      <c r="X2321" s="351"/>
    </row>
    <row r="2322" spans="3:24" ht="24.75" customHeight="1" x14ac:dyDescent="0.3">
      <c r="C2322" s="353">
        <f>ABS(E2322-Dashboard!$F$14)</f>
        <v>44.63893900930811</v>
      </c>
      <c r="D2322" s="350">
        <f t="shared" si="2379"/>
        <v>0.30494999999998168</v>
      </c>
      <c r="E2322" s="359" cm="1">
        <f t="array" ref="E2322">1000*SUM('DRE + DCF'!$L$36/M2322,'DRE + DCF'!$N$36:$V$36/N2322:V2322,F2322/V2322)/Dashboard!$F$11</f>
        <v>52.351060990691884</v>
      </c>
      <c r="F2322" s="359">
        <f t="shared" si="2377"/>
        <v>8608910.4831596557</v>
      </c>
      <c r="G2322" s="359">
        <f>'DRE + DCF'!$W$31</f>
        <v>2791623.3540418856</v>
      </c>
      <c r="H2322" s="359">
        <f>'DRE + DCF'!$W$32</f>
        <v>81081.931703745853</v>
      </c>
      <c r="I2322" s="359">
        <f>-H2322*('DRE + DCF'!$V$33+K2322)/'DRE + DCF'!$V$33</f>
        <v>-90858.801614444121</v>
      </c>
      <c r="J2322" s="359">
        <f>-'DRE + DCF'!$V$56*L2322</f>
        <v>-1188924.4255577971</v>
      </c>
      <c r="K2322" s="360">
        <f>(1+L2322)/(1+Ke!$O$12)-1</f>
        <v>2.0000000000000018E-2</v>
      </c>
      <c r="L2322" s="360">
        <f>'DRE + DCF'!$Y$31</f>
        <v>7.3550000000000004E-2</v>
      </c>
      <c r="M2322" s="361">
        <f>(1+D2322)^((5-Dashboard!$F$9)*3/12)</f>
        <v>1.2209430407869395</v>
      </c>
      <c r="N2322" s="361">
        <f t="shared" ref="N2322:V2322" si="2383">M2322*(1+$D2322)</f>
        <v>1.5932696210748942</v>
      </c>
      <c r="O2322" s="361">
        <f t="shared" si="2383"/>
        <v>2.0791371920216539</v>
      </c>
      <c r="P2322" s="361">
        <f t="shared" si="2383"/>
        <v>2.713170078728619</v>
      </c>
      <c r="Q2322" s="361">
        <f t="shared" si="2383"/>
        <v>3.5405512942368618</v>
      </c>
      <c r="R2322" s="361">
        <f t="shared" si="2383"/>
        <v>4.6202424114143277</v>
      </c>
      <c r="S2322" s="361">
        <f t="shared" si="2383"/>
        <v>6.0291853347750424</v>
      </c>
      <c r="T2322" s="361">
        <f t="shared" si="2383"/>
        <v>7.8677854026145804</v>
      </c>
      <c r="U2322" s="361">
        <f t="shared" si="2383"/>
        <v>10.267066561141752</v>
      </c>
      <c r="V2322" s="362">
        <f t="shared" si="2383"/>
        <v>13.398008508961739</v>
      </c>
      <c r="X2322" s="351"/>
    </row>
    <row r="2323" spans="3:24" ht="24.75" customHeight="1" x14ac:dyDescent="0.3">
      <c r="C2323" s="353">
        <f>ABS(E2323-Dashboard!$F$14)</f>
        <v>44.665437545047773</v>
      </c>
      <c r="D2323" s="350">
        <f t="shared" si="2379"/>
        <v>0.30504999999998167</v>
      </c>
      <c r="E2323" s="359" cm="1">
        <f t="array" ref="E2323">1000*SUM('DRE + DCF'!$L$36/M2323,'DRE + DCF'!$N$36:$V$36/N2323:V2323,F2323/V2323)/Dashboard!$F$11</f>
        <v>52.324562454952222</v>
      </c>
      <c r="F2323" s="359">
        <f t="shared" si="2377"/>
        <v>8605703.5087482315</v>
      </c>
      <c r="G2323" s="359">
        <f>'DRE + DCF'!$W$31</f>
        <v>2791623.3540418856</v>
      </c>
      <c r="H2323" s="359">
        <f>'DRE + DCF'!$W$32</f>
        <v>81081.931703745853</v>
      </c>
      <c r="I2323" s="359">
        <f>-H2323*('DRE + DCF'!$V$33+K2323)/'DRE + DCF'!$V$33</f>
        <v>-90858.801614444121</v>
      </c>
      <c r="J2323" s="359">
        <f>-'DRE + DCF'!$V$56*L2323</f>
        <v>-1188924.4255577971</v>
      </c>
      <c r="K2323" s="360">
        <f>(1+L2323)/(1+Ke!$O$12)-1</f>
        <v>2.0000000000000018E-2</v>
      </c>
      <c r="L2323" s="360">
        <f>'DRE + DCF'!$Y$31</f>
        <v>7.3550000000000004E-2</v>
      </c>
      <c r="M2323" s="361">
        <f>(1+D2323)^((5-Dashboard!$F$9)*3/12)</f>
        <v>1.2210132119436421</v>
      </c>
      <c r="N2323" s="361">
        <f t="shared" ref="N2323:V2323" si="2384">M2323*(1+$D2323)</f>
        <v>1.5934832922470277</v>
      </c>
      <c r="O2323" s="361">
        <f t="shared" si="2384"/>
        <v>2.0795753705469542</v>
      </c>
      <c r="P2323" s="361">
        <f t="shared" si="2384"/>
        <v>2.7139498373322644</v>
      </c>
      <c r="Q2323" s="361">
        <f t="shared" si="2384"/>
        <v>3.5418402352104219</v>
      </c>
      <c r="R2323" s="361">
        <f t="shared" si="2384"/>
        <v>4.6222785989612962</v>
      </c>
      <c r="S2323" s="361">
        <f t="shared" si="2384"/>
        <v>6.0323046855743545</v>
      </c>
      <c r="T2323" s="361">
        <f t="shared" si="2384"/>
        <v>7.8724592299087002</v>
      </c>
      <c r="U2323" s="361">
        <f t="shared" si="2384"/>
        <v>10.273952917992204</v>
      </c>
      <c r="V2323" s="362">
        <f t="shared" si="2384"/>
        <v>13.408022255625538</v>
      </c>
      <c r="X2323" s="351"/>
    </row>
    <row r="2324" spans="3:24" ht="24.75" customHeight="1" x14ac:dyDescent="0.3">
      <c r="C2324" s="353">
        <f>ABS(E2324-Dashboard!$F$14)</f>
        <v>44.691912114241795</v>
      </c>
      <c r="D2324" s="350">
        <f t="shared" si="2379"/>
        <v>0.30514999999998166</v>
      </c>
      <c r="E2324" s="359" cm="1">
        <f t="array" ref="E2324">1000*SUM('DRE + DCF'!$L$36/M2324,'DRE + DCF'!$N$36:$V$36/N2324:V2324,F2324/V2324)/Dashboard!$F$11</f>
        <v>52.2980878857582</v>
      </c>
      <c r="F2324" s="359">
        <f t="shared" si="2377"/>
        <v>8602498.9684628081</v>
      </c>
      <c r="G2324" s="359">
        <f>'DRE + DCF'!$W$31</f>
        <v>2791623.3540418856</v>
      </c>
      <c r="H2324" s="359">
        <f>'DRE + DCF'!$W$32</f>
        <v>81081.931703745853</v>
      </c>
      <c r="I2324" s="359">
        <f>-H2324*('DRE + DCF'!$V$33+K2324)/'DRE + DCF'!$V$33</f>
        <v>-90858.801614444121</v>
      </c>
      <c r="J2324" s="359">
        <f>-'DRE + DCF'!$V$56*L2324</f>
        <v>-1188924.4255577971</v>
      </c>
      <c r="K2324" s="360">
        <f>(1+L2324)/(1+Ke!$O$12)-1</f>
        <v>2.0000000000000018E-2</v>
      </c>
      <c r="L2324" s="360">
        <f>'DRE + DCF'!$Y$31</f>
        <v>7.3550000000000004E-2</v>
      </c>
      <c r="M2324" s="361">
        <f>(1+D2324)^((5-Dashboard!$F$9)*3/12)</f>
        <v>1.2210833817561342</v>
      </c>
      <c r="N2324" s="361">
        <f t="shared" ref="N2324:V2324" si="2385">M2324*(1+$D2324)</f>
        <v>1.593696975698996</v>
      </c>
      <c r="O2324" s="361">
        <f t="shared" si="2385"/>
        <v>2.0800136078335152</v>
      </c>
      <c r="P2324" s="361">
        <f t="shared" si="2385"/>
        <v>2.7147297602638742</v>
      </c>
      <c r="Q2324" s="361">
        <f t="shared" si="2385"/>
        <v>3.5431295466083457</v>
      </c>
      <c r="R2324" s="361">
        <f t="shared" si="2385"/>
        <v>4.624315527755817</v>
      </c>
      <c r="S2324" s="361">
        <f t="shared" si="2385"/>
        <v>6.0354254110504195</v>
      </c>
      <c r="T2324" s="361">
        <f t="shared" si="2385"/>
        <v>7.8771354752323441</v>
      </c>
      <c r="U2324" s="361">
        <f t="shared" si="2385"/>
        <v>10.280843365499349</v>
      </c>
      <c r="V2324" s="362">
        <f t="shared" si="2385"/>
        <v>13.418042718481287</v>
      </c>
      <c r="X2324" s="351"/>
    </row>
    <row r="2325" spans="3:24" ht="24.75" customHeight="1" x14ac:dyDescent="0.3">
      <c r="C2325" s="353">
        <f>ABS(E2325-Dashboard!$F$14)</f>
        <v>44.718362747055671</v>
      </c>
      <c r="D2325" s="350">
        <f t="shared" si="2379"/>
        <v>0.30524999999998165</v>
      </c>
      <c r="E2325" s="359" cm="1">
        <f t="array" ref="E2325">1000*SUM('DRE + DCF'!$L$36/M2325,'DRE + DCF'!$N$36:$V$36/N2325:V2325,F2325/V2325)/Dashboard!$F$11</f>
        <v>52.271637252944323</v>
      </c>
      <c r="F2325" s="359">
        <f t="shared" si="2377"/>
        <v>8599296.8594811037</v>
      </c>
      <c r="G2325" s="359">
        <f>'DRE + DCF'!$W$31</f>
        <v>2791623.3540418856</v>
      </c>
      <c r="H2325" s="359">
        <f>'DRE + DCF'!$W$32</f>
        <v>81081.931703745853</v>
      </c>
      <c r="I2325" s="359">
        <f>-H2325*('DRE + DCF'!$V$33+K2325)/'DRE + DCF'!$V$33</f>
        <v>-90858.801614444121</v>
      </c>
      <c r="J2325" s="359">
        <f>-'DRE + DCF'!$V$56*L2325</f>
        <v>-1188924.4255577971</v>
      </c>
      <c r="K2325" s="360">
        <f>(1+L2325)/(1+Ke!$O$12)-1</f>
        <v>2.0000000000000018E-2</v>
      </c>
      <c r="L2325" s="360">
        <f>'DRE + DCF'!$Y$31</f>
        <v>7.3550000000000004E-2</v>
      </c>
      <c r="M2325" s="361">
        <f>(1+D2325)^((5-Dashboard!$F$9)*3/12)</f>
        <v>1.2211535502245443</v>
      </c>
      <c r="N2325" s="361">
        <f t="shared" ref="N2325:V2325" si="2386">M2325*(1+$D2325)</f>
        <v>1.593910671430564</v>
      </c>
      <c r="O2325" s="361">
        <f t="shared" si="2386"/>
        <v>2.0804519038847142</v>
      </c>
      <c r="P2325" s="361">
        <f t="shared" si="2386"/>
        <v>2.7155098475454849</v>
      </c>
      <c r="Q2325" s="361">
        <f t="shared" si="2386"/>
        <v>3.5444192285086942</v>
      </c>
      <c r="R2325" s="361">
        <f t="shared" si="2386"/>
        <v>4.6263531980109081</v>
      </c>
      <c r="S2325" s="361">
        <f t="shared" si="2386"/>
        <v>6.0385475117036522</v>
      </c>
      <c r="T2325" s="361">
        <f t="shared" si="2386"/>
        <v>7.8818141396510812</v>
      </c>
      <c r="U2325" s="361">
        <f t="shared" si="2386"/>
        <v>10.287737905779428</v>
      </c>
      <c r="V2325" s="362">
        <f t="shared" si="2386"/>
        <v>13.428069901518409</v>
      </c>
      <c r="X2325" s="351"/>
    </row>
    <row r="2326" spans="3:24" ht="24.75" customHeight="1" x14ac:dyDescent="0.3">
      <c r="C2326" s="353">
        <f>ABS(E2326-Dashboard!$F$14)</f>
        <v>44.744789473606239</v>
      </c>
      <c r="D2326" s="350">
        <f t="shared" si="2379"/>
        <v>0.30534999999998164</v>
      </c>
      <c r="E2326" s="359" cm="1">
        <f t="array" ref="E2326">1000*SUM('DRE + DCF'!$L$36/M2326,'DRE + DCF'!$N$36:$V$36/N2326:V2326,F2326/V2326)/Dashboard!$F$11</f>
        <v>52.245210526393755</v>
      </c>
      <c r="F2326" s="359">
        <f t="shared" si="2377"/>
        <v>8596097.1789852828</v>
      </c>
      <c r="G2326" s="359">
        <f>'DRE + DCF'!$W$31</f>
        <v>2791623.3540418856</v>
      </c>
      <c r="H2326" s="359">
        <f>'DRE + DCF'!$W$32</f>
        <v>81081.931703745853</v>
      </c>
      <c r="I2326" s="359">
        <f>-H2326*('DRE + DCF'!$V$33+K2326)/'DRE + DCF'!$V$33</f>
        <v>-90858.801614444121</v>
      </c>
      <c r="J2326" s="359">
        <f>-'DRE + DCF'!$V$56*L2326</f>
        <v>-1188924.4255577971</v>
      </c>
      <c r="K2326" s="360">
        <f>(1+L2326)/(1+Ke!$O$12)-1</f>
        <v>2.0000000000000018E-2</v>
      </c>
      <c r="L2326" s="360">
        <f>'DRE + DCF'!$Y$31</f>
        <v>7.3550000000000004E-2</v>
      </c>
      <c r="M2326" s="361">
        <f>(1+D2326)^((5-Dashboard!$F$9)*3/12)</f>
        <v>1.221223717349001</v>
      </c>
      <c r="N2326" s="361">
        <f t="shared" ref="N2326:V2326" si="2387">M2326*(1+$D2326)</f>
        <v>1.5941243794414961</v>
      </c>
      <c r="O2326" s="361">
        <f t="shared" si="2387"/>
        <v>2.0808902587039277</v>
      </c>
      <c r="P2326" s="361">
        <f t="shared" si="2387"/>
        <v>2.7162900991991337</v>
      </c>
      <c r="Q2326" s="361">
        <f t="shared" si="2387"/>
        <v>3.5457092809895392</v>
      </c>
      <c r="R2326" s="361">
        <f t="shared" si="2387"/>
        <v>4.6283916099396301</v>
      </c>
      <c r="S2326" s="361">
        <f t="shared" si="2387"/>
        <v>6.0416709880346104</v>
      </c>
      <c r="T2326" s="361">
        <f t="shared" si="2387"/>
        <v>7.8864952242308677</v>
      </c>
      <c r="U2326" s="361">
        <f t="shared" si="2387"/>
        <v>10.294636540949618</v>
      </c>
      <c r="V2326" s="362">
        <f t="shared" si="2387"/>
        <v>13.438103808728394</v>
      </c>
      <c r="X2326" s="351"/>
    </row>
    <row r="2327" spans="3:24" ht="24.75" customHeight="1" x14ac:dyDescent="0.3">
      <c r="C2327" s="353">
        <f>ABS(E2327-Dashboard!$F$14)</f>
        <v>44.771192323961905</v>
      </c>
      <c r="D2327" s="350">
        <f t="shared" si="2379"/>
        <v>0.30544999999998163</v>
      </c>
      <c r="E2327" s="359" cm="1">
        <f t="array" ref="E2327">1000*SUM('DRE + DCF'!$L$36/M2327,'DRE + DCF'!$N$36:$V$36/N2327:V2327,F2327/V2327)/Dashboard!$F$11</f>
        <v>52.218807676038089</v>
      </c>
      <c r="F2327" s="359">
        <f t="shared" si="2377"/>
        <v>8592899.9241619296</v>
      </c>
      <c r="G2327" s="359">
        <f>'DRE + DCF'!$W$31</f>
        <v>2791623.3540418856</v>
      </c>
      <c r="H2327" s="359">
        <f>'DRE + DCF'!$W$32</f>
        <v>81081.931703745853</v>
      </c>
      <c r="I2327" s="359">
        <f>-H2327*('DRE + DCF'!$V$33+K2327)/'DRE + DCF'!$V$33</f>
        <v>-90858.801614444121</v>
      </c>
      <c r="J2327" s="359">
        <f>-'DRE + DCF'!$V$56*L2327</f>
        <v>-1188924.4255577971</v>
      </c>
      <c r="K2327" s="360">
        <f>(1+L2327)/(1+Ke!$O$12)-1</f>
        <v>2.0000000000000018E-2</v>
      </c>
      <c r="L2327" s="360">
        <f>'DRE + DCF'!$Y$31</f>
        <v>7.3550000000000004E-2</v>
      </c>
      <c r="M2327" s="361">
        <f>(1+D2327)^((5-Dashboard!$F$9)*3/12)</f>
        <v>1.2212938831296336</v>
      </c>
      <c r="N2327" s="361">
        <f t="shared" ref="N2327:V2327" si="2388">M2327*(1+$D2327)</f>
        <v>1.5943380997315577</v>
      </c>
      <c r="O2327" s="361">
        <f t="shared" si="2388"/>
        <v>2.0813286722945326</v>
      </c>
      <c r="P2327" s="361">
        <f t="shared" si="2388"/>
        <v>2.7170705152468591</v>
      </c>
      <c r="Q2327" s="361">
        <f t="shared" si="2388"/>
        <v>3.5469997041289623</v>
      </c>
      <c r="R2327" s="361">
        <f t="shared" si="2388"/>
        <v>4.6304307637550881</v>
      </c>
      <c r="S2327" s="361">
        <f t="shared" si="2388"/>
        <v>6.0447958405439941</v>
      </c>
      <c r="T2327" s="361">
        <f t="shared" si="2388"/>
        <v>7.891178730038046</v>
      </c>
      <c r="U2327" s="361">
        <f t="shared" si="2388"/>
        <v>10.301539273128022</v>
      </c>
      <c r="V2327" s="362">
        <f t="shared" si="2388"/>
        <v>13.448144444104786</v>
      </c>
      <c r="X2327" s="351"/>
    </row>
    <row r="2328" spans="3:24" ht="24.75" customHeight="1" x14ac:dyDescent="0.3">
      <c r="C2328" s="353">
        <f>ABS(E2328-Dashboard!$F$14)</f>
        <v>44.797571328142588</v>
      </c>
      <c r="D2328" s="350">
        <f t="shared" si="2379"/>
        <v>0.30554999999998161</v>
      </c>
      <c r="E2328" s="359" cm="1">
        <f t="array" ref="E2328">1000*SUM('DRE + DCF'!$L$36/M2328,'DRE + DCF'!$N$36:$V$36/N2328:V2328,F2328/V2328)/Dashboard!$F$11</f>
        <v>52.192428671857407</v>
      </c>
      <c r="F2328" s="359">
        <f t="shared" si="2377"/>
        <v>8589705.0922020636</v>
      </c>
      <c r="G2328" s="359">
        <f>'DRE + DCF'!$W$31</f>
        <v>2791623.3540418856</v>
      </c>
      <c r="H2328" s="359">
        <f>'DRE + DCF'!$W$32</f>
        <v>81081.931703745853</v>
      </c>
      <c r="I2328" s="359">
        <f>-H2328*('DRE + DCF'!$V$33+K2328)/'DRE + DCF'!$V$33</f>
        <v>-90858.801614444121</v>
      </c>
      <c r="J2328" s="359">
        <f>-'DRE + DCF'!$V$56*L2328</f>
        <v>-1188924.4255577971</v>
      </c>
      <c r="K2328" s="360">
        <f>(1+L2328)/(1+Ke!$O$12)-1</f>
        <v>2.0000000000000018E-2</v>
      </c>
      <c r="L2328" s="360">
        <f>'DRE + DCF'!$Y$31</f>
        <v>7.3550000000000004E-2</v>
      </c>
      <c r="M2328" s="361">
        <f>(1+D2328)^((5-Dashboard!$F$9)*3/12)</f>
        <v>1.2213640475665701</v>
      </c>
      <c r="N2328" s="361">
        <f t="shared" ref="N2328:V2328" si="2389">M2328*(1+$D2328)</f>
        <v>1.594551832300513</v>
      </c>
      <c r="O2328" s="361">
        <f t="shared" si="2389"/>
        <v>2.0817671446599055</v>
      </c>
      <c r="P2328" s="361">
        <f t="shared" si="2389"/>
        <v>2.7178510957107012</v>
      </c>
      <c r="Q2328" s="361">
        <f t="shared" si="2389"/>
        <v>3.5482904980050556</v>
      </c>
      <c r="R2328" s="361">
        <f t="shared" si="2389"/>
        <v>4.6324706596704353</v>
      </c>
      <c r="S2328" s="361">
        <f t="shared" si="2389"/>
        <v>6.0479220697326515</v>
      </c>
      <c r="T2328" s="361">
        <f t="shared" si="2389"/>
        <v>7.8958646581393515</v>
      </c>
      <c r="U2328" s="361">
        <f t="shared" si="2389"/>
        <v>10.308446104433685</v>
      </c>
      <c r="V2328" s="362">
        <f t="shared" si="2389"/>
        <v>13.458191811643207</v>
      </c>
      <c r="X2328" s="351"/>
    </row>
    <row r="2329" spans="3:24" ht="24.75" customHeight="1" x14ac:dyDescent="0.3">
      <c r="C2329" s="353">
        <f>ABS(E2329-Dashboard!$F$14)</f>
        <v>44.823926516119954</v>
      </c>
      <c r="D2329" s="350">
        <f t="shared" si="2379"/>
        <v>0.3056499999999816</v>
      </c>
      <c r="E2329" s="359" cm="1">
        <f t="array" ref="E2329">1000*SUM('DRE + DCF'!$L$36/M2329,'DRE + DCF'!$N$36:$V$36/N2329:V2329,F2329/V2329)/Dashboard!$F$11</f>
        <v>52.166073483880041</v>
      </c>
      <c r="F2329" s="359">
        <f t="shared" si="2377"/>
        <v>8586512.6803011</v>
      </c>
      <c r="G2329" s="359">
        <f>'DRE + DCF'!$W$31</f>
        <v>2791623.3540418856</v>
      </c>
      <c r="H2329" s="359">
        <f>'DRE + DCF'!$W$32</f>
        <v>81081.931703745853</v>
      </c>
      <c r="I2329" s="359">
        <f>-H2329*('DRE + DCF'!$V$33+K2329)/'DRE + DCF'!$V$33</f>
        <v>-90858.801614444121</v>
      </c>
      <c r="J2329" s="359">
        <f>-'DRE + DCF'!$V$56*L2329</f>
        <v>-1188924.4255577971</v>
      </c>
      <c r="K2329" s="360">
        <f>(1+L2329)/(1+Ke!$O$12)-1</f>
        <v>2.0000000000000018E-2</v>
      </c>
      <c r="L2329" s="360">
        <f>'DRE + DCF'!$Y$31</f>
        <v>7.3550000000000004E-2</v>
      </c>
      <c r="M2329" s="361">
        <f>(1+D2329)^((5-Dashboard!$F$9)*3/12)</f>
        <v>1.2214342106599394</v>
      </c>
      <c r="N2329" s="361">
        <f t="shared" ref="N2329:V2329" si="2390">M2329*(1+$D2329)</f>
        <v>1.5947655771481273</v>
      </c>
      <c r="O2329" s="361">
        <f t="shared" si="2390"/>
        <v>2.0822056758034231</v>
      </c>
      <c r="P2329" s="361">
        <f t="shared" si="2390"/>
        <v>2.718631840612701</v>
      </c>
      <c r="Q2329" s="361">
        <f t="shared" si="2390"/>
        <v>3.5495816626959229</v>
      </c>
      <c r="R2329" s="361">
        <f t="shared" si="2390"/>
        <v>4.6345112978988663</v>
      </c>
      <c r="S2329" s="361">
        <f t="shared" si="2390"/>
        <v>6.0510496761015693</v>
      </c>
      <c r="T2329" s="361">
        <f t="shared" si="2390"/>
        <v>7.9005530096019019</v>
      </c>
      <c r="U2329" s="361">
        <f t="shared" si="2390"/>
        <v>10.315357036986578</v>
      </c>
      <c r="V2329" s="362">
        <f t="shared" si="2390"/>
        <v>13.468245915341335</v>
      </c>
      <c r="X2329" s="351"/>
    </row>
    <row r="2330" spans="3:24" ht="24.75" customHeight="1" x14ac:dyDescent="0.3">
      <c r="C2330" s="353">
        <f>ABS(E2330-Dashboard!$F$14)</f>
        <v>44.850257917817352</v>
      </c>
      <c r="D2330" s="350">
        <f t="shared" si="2379"/>
        <v>0.30574999999998159</v>
      </c>
      <c r="E2330" s="359" cm="1">
        <f t="array" ref="E2330">1000*SUM('DRE + DCF'!$L$36/M2330,'DRE + DCF'!$N$36:$V$36/N2330:V2330,F2330/V2330)/Dashboard!$F$11</f>
        <v>52.139742082182643</v>
      </c>
      <c r="F2330" s="359">
        <f t="shared" si="2377"/>
        <v>8583322.6856588703</v>
      </c>
      <c r="G2330" s="359">
        <f>'DRE + DCF'!$W$31</f>
        <v>2791623.3540418856</v>
      </c>
      <c r="H2330" s="359">
        <f>'DRE + DCF'!$W$32</f>
        <v>81081.931703745853</v>
      </c>
      <c r="I2330" s="359">
        <f>-H2330*('DRE + DCF'!$V$33+K2330)/'DRE + DCF'!$V$33</f>
        <v>-90858.801614444121</v>
      </c>
      <c r="J2330" s="359">
        <f>-'DRE + DCF'!$V$56*L2330</f>
        <v>-1188924.4255577971</v>
      </c>
      <c r="K2330" s="360">
        <f>(1+L2330)/(1+Ke!$O$12)-1</f>
        <v>2.0000000000000018E-2</v>
      </c>
      <c r="L2330" s="360">
        <f>'DRE + DCF'!$Y$31</f>
        <v>7.3550000000000004E-2</v>
      </c>
      <c r="M2330" s="361">
        <f>(1+D2330)^((5-Dashboard!$F$9)*3/12)</f>
        <v>1.2215043724098704</v>
      </c>
      <c r="N2330" s="361">
        <f t="shared" ref="N2330:V2330" si="2391">M2330*(1+$D2330)</f>
        <v>1.5949793342741658</v>
      </c>
      <c r="O2330" s="361">
        <f t="shared" si="2391"/>
        <v>2.0826442657284625</v>
      </c>
      <c r="P2330" s="361">
        <f t="shared" si="2391"/>
        <v>2.7194127499749015</v>
      </c>
      <c r="Q2330" s="361">
        <f t="shared" si="2391"/>
        <v>3.5508731982796773</v>
      </c>
      <c r="R2330" s="361">
        <f t="shared" si="2391"/>
        <v>4.6365526786536231</v>
      </c>
      <c r="S2330" s="361">
        <f t="shared" si="2391"/>
        <v>6.0541786601518828</v>
      </c>
      <c r="T2330" s="361">
        <f t="shared" si="2391"/>
        <v>7.9052437854932087</v>
      </c>
      <c r="U2330" s="361">
        <f t="shared" si="2391"/>
        <v>10.322272072907611</v>
      </c>
      <c r="V2330" s="362">
        <f t="shared" si="2391"/>
        <v>13.478306759198922</v>
      </c>
      <c r="X2330" s="351"/>
    </row>
    <row r="2331" spans="3:24" ht="24.75" customHeight="1" x14ac:dyDescent="0.3">
      <c r="C2331" s="353">
        <f>ABS(E2331-Dashboard!$F$14)</f>
        <v>44.876565563110084</v>
      </c>
      <c r="D2331" s="350">
        <f t="shared" si="2379"/>
        <v>0.30584999999998158</v>
      </c>
      <c r="E2331" s="359" cm="1">
        <f t="array" ref="E2331">1000*SUM('DRE + DCF'!$L$36/M2331,'DRE + DCF'!$N$36:$V$36/N2331:V2331,F2331/V2331)/Dashboard!$F$11</f>
        <v>52.113434436889911</v>
      </c>
      <c r="F2331" s="359">
        <f t="shared" si="2377"/>
        <v>8580135.1054795943</v>
      </c>
      <c r="G2331" s="359">
        <f>'DRE + DCF'!$W$31</f>
        <v>2791623.3540418856</v>
      </c>
      <c r="H2331" s="359">
        <f>'DRE + DCF'!$W$32</f>
        <v>81081.931703745853</v>
      </c>
      <c r="I2331" s="359">
        <f>-H2331*('DRE + DCF'!$V$33+K2331)/'DRE + DCF'!$V$33</f>
        <v>-90858.801614444121</v>
      </c>
      <c r="J2331" s="359">
        <f>-'DRE + DCF'!$V$56*L2331</f>
        <v>-1188924.4255577971</v>
      </c>
      <c r="K2331" s="360">
        <f>(1+L2331)/(1+Ke!$O$12)-1</f>
        <v>2.0000000000000018E-2</v>
      </c>
      <c r="L2331" s="360">
        <f>'DRE + DCF'!$Y$31</f>
        <v>7.3550000000000004E-2</v>
      </c>
      <c r="M2331" s="361">
        <f>(1+D2331)^((5-Dashboard!$F$9)*3/12)</f>
        <v>1.2215745328164913</v>
      </c>
      <c r="N2331" s="361">
        <f t="shared" ref="N2331:V2331" si="2392">M2331*(1+$D2331)</f>
        <v>1.5951931036783926</v>
      </c>
      <c r="O2331" s="361">
        <f t="shared" si="2392"/>
        <v>2.0830829144383993</v>
      </c>
      <c r="P2331" s="361">
        <f t="shared" si="2392"/>
        <v>2.7201938238193453</v>
      </c>
      <c r="Q2331" s="361">
        <f t="shared" si="2392"/>
        <v>3.5521651048344416</v>
      </c>
      <c r="R2331" s="361">
        <f t="shared" si="2392"/>
        <v>4.6385948021479901</v>
      </c>
      <c r="S2331" s="361">
        <f t="shared" si="2392"/>
        <v>6.0573090223848673</v>
      </c>
      <c r="T2331" s="361">
        <f t="shared" si="2392"/>
        <v>7.9099369868811671</v>
      </c>
      <c r="U2331" s="361">
        <f t="shared" si="2392"/>
        <v>10.329191214318627</v>
      </c>
      <c r="V2331" s="362">
        <f t="shared" si="2392"/>
        <v>13.488374347217787</v>
      </c>
      <c r="X2331" s="351"/>
    </row>
    <row r="2332" spans="3:24" ht="24.75" customHeight="1" x14ac:dyDescent="0.3">
      <c r="C2332" s="353">
        <f>ABS(E2332-Dashboard!$F$14)</f>
        <v>44.902849481825371</v>
      </c>
      <c r="D2332" s="350">
        <f t="shared" si="2379"/>
        <v>0.30594999999998157</v>
      </c>
      <c r="E2332" s="359" cm="1">
        <f t="array" ref="E2332">1000*SUM('DRE + DCF'!$L$36/M2332,'DRE + DCF'!$N$36:$V$36/N2332:V2332,F2332/V2332)/Dashboard!$F$11</f>
        <v>52.087150518174624</v>
      </c>
      <c r="F2332" s="359">
        <f t="shared" si="2377"/>
        <v>8576949.9369718824</v>
      </c>
      <c r="G2332" s="359">
        <f>'DRE + DCF'!$W$31</f>
        <v>2791623.3540418856</v>
      </c>
      <c r="H2332" s="359">
        <f>'DRE + DCF'!$W$32</f>
        <v>81081.931703745853</v>
      </c>
      <c r="I2332" s="359">
        <f>-H2332*('DRE + DCF'!$V$33+K2332)/'DRE + DCF'!$V$33</f>
        <v>-90858.801614444121</v>
      </c>
      <c r="J2332" s="359">
        <f>-'DRE + DCF'!$V$56*L2332</f>
        <v>-1188924.4255577971</v>
      </c>
      <c r="K2332" s="360">
        <f>(1+L2332)/(1+Ke!$O$12)-1</f>
        <v>2.0000000000000018E-2</v>
      </c>
      <c r="L2332" s="360">
        <f>'DRE + DCF'!$Y$31</f>
        <v>7.3550000000000004E-2</v>
      </c>
      <c r="M2332" s="361">
        <f>(1+D2332)^((5-Dashboard!$F$9)*3/12)</f>
        <v>1.2216446918799309</v>
      </c>
      <c r="N2332" s="361">
        <f t="shared" ref="N2332:V2332" si="2393">M2332*(1+$D2332)</f>
        <v>1.5954068853605732</v>
      </c>
      <c r="O2332" s="361">
        <f t="shared" si="2393"/>
        <v>2.0835216219366108</v>
      </c>
      <c r="P2332" s="361">
        <f t="shared" si="2393"/>
        <v>2.7209750621680784</v>
      </c>
      <c r="Q2332" s="361">
        <f t="shared" si="2393"/>
        <v>3.5534573824383515</v>
      </c>
      <c r="R2332" s="361">
        <f t="shared" si="2393"/>
        <v>4.6406376685952999</v>
      </c>
      <c r="S2332" s="361">
        <f t="shared" si="2393"/>
        <v>6.0604407633019459</v>
      </c>
      <c r="T2332" s="361">
        <f t="shared" si="2393"/>
        <v>7.9146326148340647</v>
      </c>
      <c r="U2332" s="361">
        <f t="shared" si="2393"/>
        <v>10.336114463342401</v>
      </c>
      <c r="V2332" s="362">
        <f t="shared" si="2393"/>
        <v>13.498448683401818</v>
      </c>
      <c r="X2332" s="351"/>
    </row>
    <row r="2333" spans="3:24" ht="24.75" customHeight="1" x14ac:dyDescent="0.3">
      <c r="C2333" s="353">
        <f>ABS(E2333-Dashboard!$F$14)</f>
        <v>44.929109703742498</v>
      </c>
      <c r="D2333" s="350">
        <f t="shared" si="2379"/>
        <v>0.30604999999998156</v>
      </c>
      <c r="E2333" s="359" cm="1">
        <f t="array" ref="E2333">1000*SUM('DRE + DCF'!$L$36/M2333,'DRE + DCF'!$N$36:$V$36/N2333:V2333,F2333/V2333)/Dashboard!$F$11</f>
        <v>52.060890296257497</v>
      </c>
      <c r="F2333" s="359">
        <f t="shared" si="2377"/>
        <v>8573767.177348718</v>
      </c>
      <c r="G2333" s="359">
        <f>'DRE + DCF'!$W$31</f>
        <v>2791623.3540418856</v>
      </c>
      <c r="H2333" s="359">
        <f>'DRE + DCF'!$W$32</f>
        <v>81081.931703745853</v>
      </c>
      <c r="I2333" s="359">
        <f>-H2333*('DRE + DCF'!$V$33+K2333)/'DRE + DCF'!$V$33</f>
        <v>-90858.801614444121</v>
      </c>
      <c r="J2333" s="359">
        <f>-'DRE + DCF'!$V$56*L2333</f>
        <v>-1188924.4255577971</v>
      </c>
      <c r="K2333" s="360">
        <f>(1+L2333)/(1+Ke!$O$12)-1</f>
        <v>2.0000000000000018E-2</v>
      </c>
      <c r="L2333" s="360">
        <f>'DRE + DCF'!$Y$31</f>
        <v>7.3550000000000004E-2</v>
      </c>
      <c r="M2333" s="361">
        <f>(1+D2333)^((5-Dashboard!$F$9)*3/12)</f>
        <v>1.2217148496003174</v>
      </c>
      <c r="N2333" s="361">
        <f t="shared" ref="N2333:V2333" si="2394">M2333*(1+$D2333)</f>
        <v>1.5956206793204719</v>
      </c>
      <c r="O2333" s="361">
        <f t="shared" si="2394"/>
        <v>2.083960388226473</v>
      </c>
      <c r="P2333" s="361">
        <f t="shared" si="2394"/>
        <v>2.7217564650431467</v>
      </c>
      <c r="Q2333" s="361">
        <f t="shared" si="2394"/>
        <v>3.5547500311695512</v>
      </c>
      <c r="R2333" s="361">
        <f t="shared" si="2394"/>
        <v>4.6426812782089266</v>
      </c>
      <c r="S2333" s="361">
        <f t="shared" si="2394"/>
        <v>6.0635738834046826</v>
      </c>
      <c r="T2333" s="361">
        <f t="shared" si="2394"/>
        <v>7.9193306704205737</v>
      </c>
      <c r="U2333" s="361">
        <f t="shared" si="2394"/>
        <v>10.343041822102643</v>
      </c>
      <c r="V2333" s="362">
        <f t="shared" si="2394"/>
        <v>13.508529771756965</v>
      </c>
      <c r="X2333" s="351"/>
    </row>
    <row r="2334" spans="3:24" ht="24.75" customHeight="1" x14ac:dyDescent="0.3">
      <c r="C2334" s="353">
        <f>ABS(E2334-Dashboard!$F$14)</f>
        <v>44.95534625859289</v>
      </c>
      <c r="D2334" s="350">
        <f t="shared" si="2379"/>
        <v>0.30614999999998155</v>
      </c>
      <c r="E2334" s="359" cm="1">
        <f t="array" ref="E2334">1000*SUM('DRE + DCF'!$L$36/M2334,'DRE + DCF'!$N$36:$V$36/N2334:V2334,F2334/V2334)/Dashboard!$F$11</f>
        <v>52.034653741407105</v>
      </c>
      <c r="F2334" s="359">
        <f t="shared" si="2377"/>
        <v>8570586.8238274585</v>
      </c>
      <c r="G2334" s="359">
        <f>'DRE + DCF'!$W$31</f>
        <v>2791623.3540418856</v>
      </c>
      <c r="H2334" s="359">
        <f>'DRE + DCF'!$W$32</f>
        <v>81081.931703745853</v>
      </c>
      <c r="I2334" s="359">
        <f>-H2334*('DRE + DCF'!$V$33+K2334)/'DRE + DCF'!$V$33</f>
        <v>-90858.801614444121</v>
      </c>
      <c r="J2334" s="359">
        <f>-'DRE + DCF'!$V$56*L2334</f>
        <v>-1188924.4255577971</v>
      </c>
      <c r="K2334" s="360">
        <f>(1+L2334)/(1+Ke!$O$12)-1</f>
        <v>2.0000000000000018E-2</v>
      </c>
      <c r="L2334" s="360">
        <f>'DRE + DCF'!$Y$31</f>
        <v>7.3550000000000004E-2</v>
      </c>
      <c r="M2334" s="361">
        <f>(1+D2334)^((5-Dashboard!$F$9)*3/12)</f>
        <v>1.2217850059777799</v>
      </c>
      <c r="N2334" s="361">
        <f t="shared" ref="N2334:V2334" si="2395">M2334*(1+$D2334)</f>
        <v>1.5958344855578546</v>
      </c>
      <c r="O2334" s="361">
        <f t="shared" si="2395"/>
        <v>2.0843992133113622</v>
      </c>
      <c r="P2334" s="361">
        <f t="shared" si="2395"/>
        <v>2.7225380324665971</v>
      </c>
      <c r="Q2334" s="361">
        <f t="shared" si="2395"/>
        <v>3.5560430511061956</v>
      </c>
      <c r="R2334" s="361">
        <f t="shared" si="2395"/>
        <v>4.6447256312022915</v>
      </c>
      <c r="S2334" s="361">
        <f t="shared" si="2395"/>
        <v>6.0667083831947872</v>
      </c>
      <c r="T2334" s="361">
        <f t="shared" si="2395"/>
        <v>7.9240311547097591</v>
      </c>
      <c r="U2334" s="361">
        <f t="shared" si="2395"/>
        <v>10.349973292724005</v>
      </c>
      <c r="V2334" s="362">
        <f t="shared" si="2395"/>
        <v>13.518617616291268</v>
      </c>
      <c r="X2334" s="351"/>
    </row>
    <row r="2335" spans="3:24" ht="24.75" customHeight="1" x14ac:dyDescent="0.3">
      <c r="C2335" s="353">
        <f>ABS(E2335-Dashboard!$F$14)</f>
        <v>44.98155917606028</v>
      </c>
      <c r="D2335" s="350">
        <f t="shared" si="2379"/>
        <v>0.30624999999998154</v>
      </c>
      <c r="E2335" s="359" cm="1">
        <f t="array" ref="E2335">1000*SUM('DRE + DCF'!$L$36/M2335,'DRE + DCF'!$N$36:$V$36/N2335:V2335,F2335/V2335)/Dashboard!$F$11</f>
        <v>52.008440823939715</v>
      </c>
      <c r="F2335" s="359">
        <f t="shared" si="2377"/>
        <v>8567408.873629814</v>
      </c>
      <c r="G2335" s="359">
        <f>'DRE + DCF'!$W$31</f>
        <v>2791623.3540418856</v>
      </c>
      <c r="H2335" s="359">
        <f>'DRE + DCF'!$W$32</f>
        <v>81081.931703745853</v>
      </c>
      <c r="I2335" s="359">
        <f>-H2335*('DRE + DCF'!$V$33+K2335)/'DRE + DCF'!$V$33</f>
        <v>-90858.801614444121</v>
      </c>
      <c r="J2335" s="359">
        <f>-'DRE + DCF'!$V$56*L2335</f>
        <v>-1188924.4255577971</v>
      </c>
      <c r="K2335" s="360">
        <f>(1+L2335)/(1+Ke!$O$12)-1</f>
        <v>2.0000000000000018E-2</v>
      </c>
      <c r="L2335" s="360">
        <f>'DRE + DCF'!$Y$31</f>
        <v>7.3550000000000004E-2</v>
      </c>
      <c r="M2335" s="361">
        <f>(1+D2335)^((5-Dashboard!$F$9)*3/12)</f>
        <v>1.2218551610124468</v>
      </c>
      <c r="N2335" s="361">
        <f t="shared" ref="N2335:V2335" si="2396">M2335*(1+$D2335)</f>
        <v>1.596048304072486</v>
      </c>
      <c r="O2335" s="361">
        <f t="shared" si="2396"/>
        <v>2.0848380971946554</v>
      </c>
      <c r="P2335" s="361">
        <f t="shared" si="2396"/>
        <v>2.7233197644604799</v>
      </c>
      <c r="Q2335" s="361">
        <f t="shared" si="2396"/>
        <v>3.5573364423264513</v>
      </c>
      <c r="R2335" s="361">
        <f t="shared" si="2396"/>
        <v>4.6467707277888612</v>
      </c>
      <c r="S2335" s="361">
        <f t="shared" si="2396"/>
        <v>6.0698442631741143</v>
      </c>
      <c r="T2335" s="361">
        <f t="shared" si="2396"/>
        <v>7.9287340687710746</v>
      </c>
      <c r="U2335" s="361">
        <f t="shared" si="2396"/>
        <v>10.356908877332069</v>
      </c>
      <c r="V2335" s="362">
        <f t="shared" si="2396"/>
        <v>13.528712221014823</v>
      </c>
      <c r="X2335" s="351"/>
    </row>
    <row r="2336" spans="3:24" ht="24.75" customHeight="1" x14ac:dyDescent="0.3">
      <c r="C2336" s="353">
        <f>ABS(E2336-Dashboard!$F$14)</f>
        <v>45.007748485780674</v>
      </c>
      <c r="D2336" s="350">
        <f t="shared" si="2379"/>
        <v>0.30634999999998153</v>
      </c>
      <c r="E2336" s="359" cm="1">
        <f t="array" ref="E2336">1000*SUM('DRE + DCF'!$L$36/M2336,'DRE + DCF'!$N$36:$V$36/N2336:V2336,F2336/V2336)/Dashboard!$F$11</f>
        <v>51.982251514219321</v>
      </c>
      <c r="F2336" s="359">
        <f t="shared" si="2377"/>
        <v>8564233.3239818513</v>
      </c>
      <c r="G2336" s="359">
        <f>'DRE + DCF'!$W$31</f>
        <v>2791623.3540418856</v>
      </c>
      <c r="H2336" s="359">
        <f>'DRE + DCF'!$W$32</f>
        <v>81081.931703745853</v>
      </c>
      <c r="I2336" s="359">
        <f>-H2336*('DRE + DCF'!$V$33+K2336)/'DRE + DCF'!$V$33</f>
        <v>-90858.801614444121</v>
      </c>
      <c r="J2336" s="359">
        <f>-'DRE + DCF'!$V$56*L2336</f>
        <v>-1188924.4255577971</v>
      </c>
      <c r="K2336" s="360">
        <f>(1+L2336)/(1+Ke!$O$12)-1</f>
        <v>2.0000000000000018E-2</v>
      </c>
      <c r="L2336" s="360">
        <f>'DRE + DCF'!$Y$31</f>
        <v>7.3550000000000004E-2</v>
      </c>
      <c r="M2336" s="361">
        <f>(1+D2336)^((5-Dashboard!$F$9)*3/12)</f>
        <v>1.2219253147044462</v>
      </c>
      <c r="N2336" s="361">
        <f t="shared" ref="N2336:V2336" si="2397">M2336*(1+$D2336)</f>
        <v>1.5962621348641306</v>
      </c>
      <c r="O2336" s="361">
        <f t="shared" si="2397"/>
        <v>2.0852770398797276</v>
      </c>
      <c r="P2336" s="361">
        <f t="shared" si="2397"/>
        <v>2.7241016610468436</v>
      </c>
      <c r="Q2336" s="361">
        <f t="shared" si="2397"/>
        <v>3.5586302049084937</v>
      </c>
      <c r="R2336" s="361">
        <f t="shared" si="2397"/>
        <v>4.6488165681821449</v>
      </c>
      <c r="S2336" s="361">
        <f t="shared" si="2397"/>
        <v>6.0729815238446587</v>
      </c>
      <c r="T2336" s="361">
        <f t="shared" si="2397"/>
        <v>7.9334394136743578</v>
      </c>
      <c r="U2336" s="361">
        <f t="shared" si="2397"/>
        <v>10.36384857805335</v>
      </c>
      <c r="V2336" s="362">
        <f t="shared" si="2397"/>
        <v>13.538813589939801</v>
      </c>
      <c r="X2336" s="351"/>
    </row>
    <row r="2337" spans="3:24" ht="24.75" customHeight="1" x14ac:dyDescent="0.3">
      <c r="C2337" s="353">
        <f>ABS(E2337-Dashboard!$F$14)</f>
        <v>45.033914217342563</v>
      </c>
      <c r="D2337" s="350">
        <f t="shared" si="2379"/>
        <v>0.30644999999998151</v>
      </c>
      <c r="E2337" s="359" cm="1">
        <f t="array" ref="E2337">1000*SUM('DRE + DCF'!$L$36/M2337,'DRE + DCF'!$N$36:$V$36/N2337:V2337,F2337/V2337)/Dashboard!$F$11</f>
        <v>51.956085782657432</v>
      </c>
      <c r="F2337" s="359">
        <f t="shared" si="2377"/>
        <v>8561060.1721139774</v>
      </c>
      <c r="G2337" s="359">
        <f>'DRE + DCF'!$W$31</f>
        <v>2791623.3540418856</v>
      </c>
      <c r="H2337" s="359">
        <f>'DRE + DCF'!$W$32</f>
        <v>81081.931703745853</v>
      </c>
      <c r="I2337" s="359">
        <f>-H2337*('DRE + DCF'!$V$33+K2337)/'DRE + DCF'!$V$33</f>
        <v>-90858.801614444121</v>
      </c>
      <c r="J2337" s="359">
        <f>-'DRE + DCF'!$V$56*L2337</f>
        <v>-1188924.4255577971</v>
      </c>
      <c r="K2337" s="360">
        <f>(1+L2337)/(1+Ke!$O$12)-1</f>
        <v>2.0000000000000018E-2</v>
      </c>
      <c r="L2337" s="360">
        <f>'DRE + DCF'!$Y$31</f>
        <v>7.3550000000000004E-2</v>
      </c>
      <c r="M2337" s="361">
        <f>(1+D2337)^((5-Dashboard!$F$9)*3/12)</f>
        <v>1.221995467053907</v>
      </c>
      <c r="N2337" s="361">
        <f t="shared" ref="N2337:V2337" si="2398">M2337*(1+$D2337)</f>
        <v>1.5964759779325541</v>
      </c>
      <c r="O2337" s="361">
        <f t="shared" si="2398"/>
        <v>2.0857160413699556</v>
      </c>
      <c r="P2337" s="361">
        <f t="shared" si="2398"/>
        <v>2.72488372224774</v>
      </c>
      <c r="Q2337" s="361">
        <f t="shared" si="2398"/>
        <v>3.5599243389305095</v>
      </c>
      <c r="R2337" s="361">
        <f t="shared" si="2398"/>
        <v>4.650863152595698</v>
      </c>
      <c r="S2337" s="361">
        <f t="shared" si="2398"/>
        <v>6.0761201657085637</v>
      </c>
      <c r="T2337" s="361">
        <f t="shared" si="2398"/>
        <v>7.9381471904898406</v>
      </c>
      <c r="U2337" s="361">
        <f t="shared" si="2398"/>
        <v>10.370792397015306</v>
      </c>
      <c r="V2337" s="362">
        <f t="shared" si="2398"/>
        <v>13.548921727080455</v>
      </c>
      <c r="X2337" s="351"/>
    </row>
    <row r="2338" spans="3:24" ht="24.75" customHeight="1" x14ac:dyDescent="0.3">
      <c r="C2338" s="353">
        <f>ABS(E2338-Dashboard!$F$14)</f>
        <v>45.060056400286932</v>
      </c>
      <c r="D2338" s="350">
        <f t="shared" si="2379"/>
        <v>0.3065499999999815</v>
      </c>
      <c r="E2338" s="359" cm="1">
        <f t="array" ref="E2338">1000*SUM('DRE + DCF'!$L$36/M2338,'DRE + DCF'!$N$36:$V$36/N2338:V2338,F2338/V2338)/Dashboard!$F$11</f>
        <v>51.929943599713063</v>
      </c>
      <c r="F2338" s="359">
        <f t="shared" si="2377"/>
        <v>8557889.4152609333</v>
      </c>
      <c r="G2338" s="359">
        <f>'DRE + DCF'!$W$31</f>
        <v>2791623.3540418856</v>
      </c>
      <c r="H2338" s="359">
        <f>'DRE + DCF'!$W$32</f>
        <v>81081.931703745853</v>
      </c>
      <c r="I2338" s="359">
        <f>-H2338*('DRE + DCF'!$V$33+K2338)/'DRE + DCF'!$V$33</f>
        <v>-90858.801614444121</v>
      </c>
      <c r="J2338" s="359">
        <f>-'DRE + DCF'!$V$56*L2338</f>
        <v>-1188924.4255577971</v>
      </c>
      <c r="K2338" s="360">
        <f>(1+L2338)/(1+Ke!$O$12)-1</f>
        <v>2.0000000000000018E-2</v>
      </c>
      <c r="L2338" s="360">
        <f>'DRE + DCF'!$Y$31</f>
        <v>7.3550000000000004E-2</v>
      </c>
      <c r="M2338" s="361">
        <f>(1+D2338)^((5-Dashboard!$F$9)*3/12)</f>
        <v>1.2220656180609575</v>
      </c>
      <c r="N2338" s="361">
        <f t="shared" ref="N2338:V2338" si="2399">M2338*(1+$D2338)</f>
        <v>1.5966898332775212</v>
      </c>
      <c r="O2338" s="361">
        <f t="shared" si="2399"/>
        <v>2.0861551016687159</v>
      </c>
      <c r="P2338" s="361">
        <f t="shared" si="2399"/>
        <v>2.7256659480852221</v>
      </c>
      <c r="Q2338" s="361">
        <f t="shared" si="2399"/>
        <v>3.5612188444706963</v>
      </c>
      <c r="R2338" s="361">
        <f t="shared" si="2399"/>
        <v>4.6529104812431221</v>
      </c>
      <c r="S2338" s="361">
        <f t="shared" si="2399"/>
        <v>6.0792601892681146</v>
      </c>
      <c r="T2338" s="361">
        <f t="shared" si="2399"/>
        <v>7.9428574002881422</v>
      </c>
      <c r="U2338" s="361">
        <f t="shared" si="2399"/>
        <v>10.377740336346324</v>
      </c>
      <c r="V2338" s="362">
        <f t="shared" si="2399"/>
        <v>13.559036636453097</v>
      </c>
      <c r="X2338" s="351"/>
    </row>
    <row r="2339" spans="3:24" ht="24.75" customHeight="1" x14ac:dyDescent="0.3">
      <c r="C2339" s="353">
        <f>ABS(E2339-Dashboard!$F$14)</f>
        <v>45.086175064107387</v>
      </c>
      <c r="D2339" s="350">
        <f t="shared" si="2379"/>
        <v>0.30664999999998149</v>
      </c>
      <c r="E2339" s="359" cm="1">
        <f t="array" ref="E2339">1000*SUM('DRE + DCF'!$L$36/M2339,'DRE + DCF'!$N$36:$V$36/N2339:V2339,F2339/V2339)/Dashboard!$F$11</f>
        <v>51.903824935892608</v>
      </c>
      <c r="F2339" s="359">
        <f t="shared" si="2377"/>
        <v>8554721.0506617874</v>
      </c>
      <c r="G2339" s="359">
        <f>'DRE + DCF'!$W$31</f>
        <v>2791623.3540418856</v>
      </c>
      <c r="H2339" s="359">
        <f>'DRE + DCF'!$W$32</f>
        <v>81081.931703745853</v>
      </c>
      <c r="I2339" s="359">
        <f>-H2339*('DRE + DCF'!$V$33+K2339)/'DRE + DCF'!$V$33</f>
        <v>-90858.801614444121</v>
      </c>
      <c r="J2339" s="359">
        <f>-'DRE + DCF'!$V$56*L2339</f>
        <v>-1188924.4255577971</v>
      </c>
      <c r="K2339" s="360">
        <f>(1+L2339)/(1+Ke!$O$12)-1</f>
        <v>2.0000000000000018E-2</v>
      </c>
      <c r="L2339" s="360">
        <f>'DRE + DCF'!$Y$31</f>
        <v>7.3550000000000004E-2</v>
      </c>
      <c r="M2339" s="361">
        <f>(1+D2339)^((5-Dashboard!$F$9)*3/12)</f>
        <v>1.2221357677257261</v>
      </c>
      <c r="N2339" s="361">
        <f t="shared" ref="N2339:V2339" si="2400">M2339*(1+$D2339)</f>
        <v>1.5969037008987972</v>
      </c>
      <c r="O2339" s="361">
        <f t="shared" si="2400"/>
        <v>2.0865942207793835</v>
      </c>
      <c r="P2339" s="361">
        <f t="shared" si="2400"/>
        <v>2.7264483385813425</v>
      </c>
      <c r="Q2339" s="361">
        <f t="shared" si="2400"/>
        <v>3.5625137216072607</v>
      </c>
      <c r="R2339" s="361">
        <f t="shared" si="2400"/>
        <v>4.6549585543380614</v>
      </c>
      <c r="S2339" s="361">
        <f t="shared" si="2400"/>
        <v>6.0824015950257415</v>
      </c>
      <c r="T2339" s="361">
        <f t="shared" si="2400"/>
        <v>7.9475700441402726</v>
      </c>
      <c r="U2339" s="361">
        <f t="shared" si="2400"/>
        <v>10.384692398175739</v>
      </c>
      <c r="V2339" s="362">
        <f t="shared" si="2400"/>
        <v>13.569158322076136</v>
      </c>
      <c r="X2339" s="351"/>
    </row>
    <row r="2340" spans="3:24" ht="24.75" customHeight="1" x14ac:dyDescent="0.3">
      <c r="C2340" s="353">
        <f>ABS(E2340-Dashboard!$F$14)</f>
        <v>45.112270238250325</v>
      </c>
      <c r="D2340" s="350">
        <f t="shared" si="2379"/>
        <v>0.30674999999998148</v>
      </c>
      <c r="E2340" s="359" cm="1">
        <f t="array" ref="E2340">1000*SUM('DRE + DCF'!$L$36/M2340,'DRE + DCF'!$N$36:$V$36/N2340:V2340,F2340/V2340)/Dashboard!$F$11</f>
        <v>51.87772976174967</v>
      </c>
      <c r="F2340" s="359">
        <f t="shared" si="2377"/>
        <v>8551555.0755599234</v>
      </c>
      <c r="G2340" s="359">
        <f>'DRE + DCF'!$W$31</f>
        <v>2791623.3540418856</v>
      </c>
      <c r="H2340" s="359">
        <f>'DRE + DCF'!$W$32</f>
        <v>81081.931703745853</v>
      </c>
      <c r="I2340" s="359">
        <f>-H2340*('DRE + DCF'!$V$33+K2340)/'DRE + DCF'!$V$33</f>
        <v>-90858.801614444121</v>
      </c>
      <c r="J2340" s="359">
        <f>-'DRE + DCF'!$V$56*L2340</f>
        <v>-1188924.4255577971</v>
      </c>
      <c r="K2340" s="360">
        <f>(1+L2340)/(1+Ke!$O$12)-1</f>
        <v>2.0000000000000018E-2</v>
      </c>
      <c r="L2340" s="360">
        <f>'DRE + DCF'!$Y$31</f>
        <v>7.3550000000000004E-2</v>
      </c>
      <c r="M2340" s="361">
        <f>(1+D2340)^((5-Dashboard!$F$9)*3/12)</f>
        <v>1.2222059160483409</v>
      </c>
      <c r="N2340" s="361">
        <f t="shared" ref="N2340:V2340" si="2401">M2340*(1+$D2340)</f>
        <v>1.5971175807961469</v>
      </c>
      <c r="O2340" s="361">
        <f t="shared" si="2401"/>
        <v>2.0870333987053353</v>
      </c>
      <c r="P2340" s="361">
        <f t="shared" si="2401"/>
        <v>2.7272308937581582</v>
      </c>
      <c r="Q2340" s="361">
        <f t="shared" si="2401"/>
        <v>3.5638089704184224</v>
      </c>
      <c r="R2340" s="361">
        <f t="shared" si="2401"/>
        <v>4.6570073720942071</v>
      </c>
      <c r="S2340" s="361">
        <f t="shared" si="2401"/>
        <v>6.0855443834840184</v>
      </c>
      <c r="T2340" s="361">
        <f t="shared" si="2401"/>
        <v>7.9522851231176279</v>
      </c>
      <c r="U2340" s="361">
        <f t="shared" si="2401"/>
        <v>10.391648584633813</v>
      </c>
      <c r="V2340" s="362">
        <f t="shared" si="2401"/>
        <v>13.579286787970043</v>
      </c>
      <c r="X2340" s="351"/>
    </row>
    <row r="2341" spans="3:24" ht="24.75" customHeight="1" x14ac:dyDescent="0.3">
      <c r="C2341" s="353">
        <f>ABS(E2341-Dashboard!$F$14)</f>
        <v>45.138341952114835</v>
      </c>
      <c r="D2341" s="350">
        <f t="shared" si="2379"/>
        <v>0.30684999999998147</v>
      </c>
      <c r="E2341" s="359" cm="1">
        <f t="array" ref="E2341">1000*SUM('DRE + DCF'!$L$36/M2341,'DRE + DCF'!$N$36:$V$36/N2341:V2341,F2341/V2341)/Dashboard!$F$11</f>
        <v>51.851658047885159</v>
      </c>
      <c r="F2341" s="359">
        <f t="shared" si="2377"/>
        <v>8548391.4872030318</v>
      </c>
      <c r="G2341" s="359">
        <f>'DRE + DCF'!$W$31</f>
        <v>2791623.3540418856</v>
      </c>
      <c r="H2341" s="359">
        <f>'DRE + DCF'!$W$32</f>
        <v>81081.931703745853</v>
      </c>
      <c r="I2341" s="359">
        <f>-H2341*('DRE + DCF'!$V$33+K2341)/'DRE + DCF'!$V$33</f>
        <v>-90858.801614444121</v>
      </c>
      <c r="J2341" s="359">
        <f>-'DRE + DCF'!$V$56*L2341</f>
        <v>-1188924.4255577971</v>
      </c>
      <c r="K2341" s="360">
        <f>(1+L2341)/(1+Ke!$O$12)-1</f>
        <v>2.0000000000000018E-2</v>
      </c>
      <c r="L2341" s="360">
        <f>'DRE + DCF'!$Y$31</f>
        <v>7.3550000000000004E-2</v>
      </c>
      <c r="M2341" s="361">
        <f>(1+D2341)^((5-Dashboard!$F$9)*3/12)</f>
        <v>1.2222760630289309</v>
      </c>
      <c r="N2341" s="361">
        <f t="shared" ref="N2341:V2341" si="2402">M2341*(1+$D2341)</f>
        <v>1.5973314729693355</v>
      </c>
      <c r="O2341" s="361">
        <f t="shared" si="2402"/>
        <v>2.0874726354499464</v>
      </c>
      <c r="P2341" s="361">
        <f t="shared" si="2402"/>
        <v>2.7280136136377235</v>
      </c>
      <c r="Q2341" s="361">
        <f t="shared" si="2402"/>
        <v>3.5651045909824082</v>
      </c>
      <c r="R2341" s="361">
        <f t="shared" si="2402"/>
        <v>4.6590569347252941</v>
      </c>
      <c r="S2341" s="361">
        <f t="shared" si="2402"/>
        <v>6.088688555145664</v>
      </c>
      <c r="T2341" s="361">
        <f t="shared" si="2402"/>
        <v>7.9570026382919981</v>
      </c>
      <c r="U2341" s="361">
        <f t="shared" si="2402"/>
        <v>10.39860889785175</v>
      </c>
      <c r="V2341" s="362">
        <f t="shared" si="2402"/>
        <v>13.589422038157366</v>
      </c>
      <c r="X2341" s="351"/>
    </row>
    <row r="2342" spans="3:24" ht="24.75" customHeight="1" x14ac:dyDescent="0.3">
      <c r="C2342" s="353">
        <f>ABS(E2342-Dashboard!$F$14)</f>
        <v>45.164390235053034</v>
      </c>
      <c r="D2342" s="350">
        <f t="shared" si="2379"/>
        <v>0.30694999999998146</v>
      </c>
      <c r="E2342" s="359" cm="1">
        <f t="array" ref="E2342">1000*SUM('DRE + DCF'!$L$36/M2342,'DRE + DCF'!$N$36:$V$36/N2342:V2342,F2342/V2342)/Dashboard!$F$11</f>
        <v>51.825609764946961</v>
      </c>
      <c r="F2342" s="359">
        <f t="shared" si="2377"/>
        <v>8545230.2828431036</v>
      </c>
      <c r="G2342" s="359">
        <f>'DRE + DCF'!$W$31</f>
        <v>2791623.3540418856</v>
      </c>
      <c r="H2342" s="359">
        <f>'DRE + DCF'!$W$32</f>
        <v>81081.931703745853</v>
      </c>
      <c r="I2342" s="359">
        <f>-H2342*('DRE + DCF'!$V$33+K2342)/'DRE + DCF'!$V$33</f>
        <v>-90858.801614444121</v>
      </c>
      <c r="J2342" s="359">
        <f>-'DRE + DCF'!$V$56*L2342</f>
        <v>-1188924.4255577971</v>
      </c>
      <c r="K2342" s="360">
        <f>(1+L2342)/(1+Ke!$O$12)-1</f>
        <v>2.0000000000000018E-2</v>
      </c>
      <c r="L2342" s="360">
        <f>'DRE + DCF'!$Y$31</f>
        <v>7.3550000000000004E-2</v>
      </c>
      <c r="M2342" s="361">
        <f>(1+D2342)^((5-Dashboard!$F$9)*3/12)</f>
        <v>1.2223462086676242</v>
      </c>
      <c r="N2342" s="361">
        <f t="shared" ref="N2342:V2342" si="2403">M2342*(1+$D2342)</f>
        <v>1.5975453774181287</v>
      </c>
      <c r="O2342" s="361">
        <f t="shared" si="2403"/>
        <v>2.0879119310165937</v>
      </c>
      <c r="P2342" s="361">
        <f t="shared" si="2403"/>
        <v>2.7287964982420982</v>
      </c>
      <c r="Q2342" s="361">
        <f t="shared" si="2403"/>
        <v>3.5664005833774595</v>
      </c>
      <c r="R2342" s="361">
        <f t="shared" si="2403"/>
        <v>4.6611072424451043</v>
      </c>
      <c r="S2342" s="361">
        <f t="shared" si="2403"/>
        <v>6.0918341105135427</v>
      </c>
      <c r="T2342" s="361">
        <f t="shared" si="2403"/>
        <v>7.9617225907355618</v>
      </c>
      <c r="U2342" s="361">
        <f t="shared" si="2403"/>
        <v>10.405573339961695</v>
      </c>
      <c r="V2342" s="362">
        <f t="shared" si="2403"/>
        <v>13.599564076662743</v>
      </c>
      <c r="X2342" s="351"/>
    </row>
    <row r="2343" spans="3:24" ht="24.75" customHeight="1" x14ac:dyDescent="0.3">
      <c r="C2343" s="353">
        <f>ABS(E2343-Dashboard!$F$14)</f>
        <v>45.190415116369941</v>
      </c>
      <c r="D2343" s="350">
        <f t="shared" si="2379"/>
        <v>0.30704999999998145</v>
      </c>
      <c r="E2343" s="359" cm="1">
        <f t="array" ref="E2343">1000*SUM('DRE + DCF'!$L$36/M2343,'DRE + DCF'!$N$36:$V$36/N2343:V2343,F2343/V2343)/Dashboard!$F$11</f>
        <v>51.799584883630054</v>
      </c>
      <c r="F2343" s="359">
        <f t="shared" si="2377"/>
        <v>8542071.4597364254</v>
      </c>
      <c r="G2343" s="359">
        <f>'DRE + DCF'!$W$31</f>
        <v>2791623.3540418856</v>
      </c>
      <c r="H2343" s="359">
        <f>'DRE + DCF'!$W$32</f>
        <v>81081.931703745853</v>
      </c>
      <c r="I2343" s="359">
        <f>-H2343*('DRE + DCF'!$V$33+K2343)/'DRE + DCF'!$V$33</f>
        <v>-90858.801614444121</v>
      </c>
      <c r="J2343" s="359">
        <f>-'DRE + DCF'!$V$56*L2343</f>
        <v>-1188924.4255577971</v>
      </c>
      <c r="K2343" s="360">
        <f>(1+L2343)/(1+Ke!$O$12)-1</f>
        <v>2.0000000000000018E-2</v>
      </c>
      <c r="L2343" s="360">
        <f>'DRE + DCF'!$Y$31</f>
        <v>7.3550000000000004E-2</v>
      </c>
      <c r="M2343" s="361">
        <f>(1+D2343)^((5-Dashboard!$F$9)*3/12)</f>
        <v>1.2224163529645491</v>
      </c>
      <c r="N2343" s="361">
        <f t="shared" ref="N2343:V2343" si="2404">M2343*(1+$D2343)</f>
        <v>1.5977592941422911</v>
      </c>
      <c r="O2343" s="361">
        <f t="shared" si="2404"/>
        <v>2.0883512854086517</v>
      </c>
      <c r="P2343" s="361">
        <f t="shared" si="2404"/>
        <v>2.7295795475933393</v>
      </c>
      <c r="Q2343" s="361">
        <f t="shared" si="2404"/>
        <v>3.5676969476818234</v>
      </c>
      <c r="R2343" s="361">
        <f t="shared" si="2404"/>
        <v>4.6631582954674613</v>
      </c>
      <c r="S2343" s="361">
        <f t="shared" si="2404"/>
        <v>6.0949810500906585</v>
      </c>
      <c r="T2343" s="361">
        <f t="shared" si="2404"/>
        <v>7.9664449815208815</v>
      </c>
      <c r="U2343" s="361">
        <f t="shared" si="2404"/>
        <v>10.412541913096719</v>
      </c>
      <c r="V2343" s="362">
        <f t="shared" si="2404"/>
        <v>13.609712907512874</v>
      </c>
      <c r="X2343" s="351"/>
    </row>
    <row r="2344" spans="3:24" ht="24.75" customHeight="1" x14ac:dyDescent="0.3">
      <c r="C2344" s="353">
        <f>ABS(E2344-Dashboard!$F$14)</f>
        <v>45.216416625323689</v>
      </c>
      <c r="D2344" s="350">
        <f t="shared" si="2379"/>
        <v>0.30714999999998144</v>
      </c>
      <c r="E2344" s="359" cm="1">
        <f t="array" ref="E2344">1000*SUM('DRE + DCF'!$L$36/M2344,'DRE + DCF'!$N$36:$V$36/N2344:V2344,F2344/V2344)/Dashboard!$F$11</f>
        <v>51.773583374676306</v>
      </c>
      <c r="F2344" s="359">
        <f t="shared" si="2377"/>
        <v>8538915.0151435565</v>
      </c>
      <c r="G2344" s="359">
        <f>'DRE + DCF'!$W$31</f>
        <v>2791623.3540418856</v>
      </c>
      <c r="H2344" s="359">
        <f>'DRE + DCF'!$W$32</f>
        <v>81081.931703745853</v>
      </c>
      <c r="I2344" s="359">
        <f>-H2344*('DRE + DCF'!$V$33+K2344)/'DRE + DCF'!$V$33</f>
        <v>-90858.801614444121</v>
      </c>
      <c r="J2344" s="359">
        <f>-'DRE + DCF'!$V$56*L2344</f>
        <v>-1188924.4255577971</v>
      </c>
      <c r="K2344" s="360">
        <f>(1+L2344)/(1+Ke!$O$12)-1</f>
        <v>2.0000000000000018E-2</v>
      </c>
      <c r="L2344" s="360">
        <f>'DRE + DCF'!$Y$31</f>
        <v>7.3550000000000004E-2</v>
      </c>
      <c r="M2344" s="361">
        <f>(1+D2344)^((5-Dashboard!$F$9)*3/12)</f>
        <v>1.2224864959198338</v>
      </c>
      <c r="N2344" s="361">
        <f t="shared" ref="N2344:V2344" si="2405">M2344*(1+$D2344)</f>
        <v>1.597973223141588</v>
      </c>
      <c r="O2344" s="361">
        <f t="shared" si="2405"/>
        <v>2.0887906986294968</v>
      </c>
      <c r="P2344" s="361">
        <f t="shared" si="2405"/>
        <v>2.7303627617135078</v>
      </c>
      <c r="Q2344" s="361">
        <f t="shared" si="2405"/>
        <v>3.568993683973761</v>
      </c>
      <c r="R2344" s="361">
        <f t="shared" si="2405"/>
        <v>4.6652100940062349</v>
      </c>
      <c r="S2344" s="361">
        <f t="shared" si="2405"/>
        <v>6.0981293743801634</v>
      </c>
      <c r="T2344" s="361">
        <f t="shared" si="2405"/>
        <v>7.9711698117209169</v>
      </c>
      <c r="U2344" s="361">
        <f t="shared" si="2405"/>
        <v>10.419514619390847</v>
      </c>
      <c r="V2344" s="362">
        <f t="shared" si="2405"/>
        <v>13.619868534736552</v>
      </c>
      <c r="X2344" s="351"/>
    </row>
    <row r="2345" spans="3:24" ht="24.75" customHeight="1" x14ac:dyDescent="0.3">
      <c r="C2345" s="353">
        <f>ABS(E2345-Dashboard!$F$14)</f>
        <v>45.242394791125612</v>
      </c>
      <c r="D2345" s="350">
        <f t="shared" si="2379"/>
        <v>0.30724999999998143</v>
      </c>
      <c r="E2345" s="359" cm="1">
        <f t="array" ref="E2345">1000*SUM('DRE + DCF'!$L$36/M2345,'DRE + DCF'!$N$36:$V$36/N2345:V2345,F2345/V2345)/Dashboard!$F$11</f>
        <v>51.747605208874383</v>
      </c>
      <c r="F2345" s="359">
        <f t="shared" si="2377"/>
        <v>8535760.9463293403</v>
      </c>
      <c r="G2345" s="359">
        <f>'DRE + DCF'!$W$31</f>
        <v>2791623.3540418856</v>
      </c>
      <c r="H2345" s="359">
        <f>'DRE + DCF'!$W$32</f>
        <v>81081.931703745853</v>
      </c>
      <c r="I2345" s="359">
        <f>-H2345*('DRE + DCF'!$V$33+K2345)/'DRE + DCF'!$V$33</f>
        <v>-90858.801614444121</v>
      </c>
      <c r="J2345" s="359">
        <f>-'DRE + DCF'!$V$56*L2345</f>
        <v>-1188924.4255577971</v>
      </c>
      <c r="K2345" s="360">
        <f>(1+L2345)/(1+Ke!$O$12)-1</f>
        <v>2.0000000000000018E-2</v>
      </c>
      <c r="L2345" s="360">
        <f>'DRE + DCF'!$Y$31</f>
        <v>7.3550000000000004E-2</v>
      </c>
      <c r="M2345" s="361">
        <f>(1+D2345)^((5-Dashboard!$F$9)*3/12)</f>
        <v>1.2225566375336068</v>
      </c>
      <c r="N2345" s="361">
        <f t="shared" ref="N2345:V2345" si="2406">M2345*(1+$D2345)</f>
        <v>1.5981871644157846</v>
      </c>
      <c r="O2345" s="361">
        <f t="shared" si="2406"/>
        <v>2.0892301706825047</v>
      </c>
      <c r="P2345" s="361">
        <f t="shared" si="2406"/>
        <v>2.7311461406246655</v>
      </c>
      <c r="Q2345" s="361">
        <f t="shared" si="2406"/>
        <v>3.570290792331543</v>
      </c>
      <c r="R2345" s="361">
        <f t="shared" si="2406"/>
        <v>4.6672626382753428</v>
      </c>
      <c r="S2345" s="361">
        <f t="shared" si="2406"/>
        <v>6.1012790838853546</v>
      </c>
      <c r="T2345" s="361">
        <f t="shared" si="2406"/>
        <v>7.9758970824090163</v>
      </c>
      <c r="U2345" s="361">
        <f t="shared" si="2406"/>
        <v>10.426491460979038</v>
      </c>
      <c r="V2345" s="362">
        <f t="shared" si="2406"/>
        <v>13.630030962364653</v>
      </c>
      <c r="X2345" s="351"/>
    </row>
    <row r="2346" spans="3:24" ht="24.75" customHeight="1" x14ac:dyDescent="0.3">
      <c r="C2346" s="353">
        <f>ABS(E2346-Dashboard!$F$14)</f>
        <v>45.268349642940322</v>
      </c>
      <c r="D2346" s="350">
        <f t="shared" si="2379"/>
        <v>0.30734999999998142</v>
      </c>
      <c r="E2346" s="359" cm="1">
        <f t="array" ref="E2346">1000*SUM('DRE + DCF'!$L$36/M2346,'DRE + DCF'!$N$36:$V$36/N2346:V2346,F2346/V2346)/Dashboard!$F$11</f>
        <v>51.721650357059673</v>
      </c>
      <c r="F2346" s="359">
        <f t="shared" si="2377"/>
        <v>8532609.2505628802</v>
      </c>
      <c r="G2346" s="359">
        <f>'DRE + DCF'!$W$31</f>
        <v>2791623.3540418856</v>
      </c>
      <c r="H2346" s="359">
        <f>'DRE + DCF'!$W$32</f>
        <v>81081.931703745853</v>
      </c>
      <c r="I2346" s="359">
        <f>-H2346*('DRE + DCF'!$V$33+K2346)/'DRE + DCF'!$V$33</f>
        <v>-90858.801614444121</v>
      </c>
      <c r="J2346" s="359">
        <f>-'DRE + DCF'!$V$56*L2346</f>
        <v>-1188924.4255577971</v>
      </c>
      <c r="K2346" s="360">
        <f>(1+L2346)/(1+Ke!$O$12)-1</f>
        <v>2.0000000000000018E-2</v>
      </c>
      <c r="L2346" s="360">
        <f>'DRE + DCF'!$Y$31</f>
        <v>7.3550000000000004E-2</v>
      </c>
      <c r="M2346" s="361">
        <f>(1+D2346)^((5-Dashboard!$F$9)*3/12)</f>
        <v>1.2226267778059963</v>
      </c>
      <c r="N2346" s="361">
        <f t="shared" ref="N2346:V2346" si="2407">M2346*(1+$D2346)</f>
        <v>1.5984011179646465</v>
      </c>
      <c r="O2346" s="361">
        <f t="shared" si="2407"/>
        <v>2.0896697015710508</v>
      </c>
      <c r="P2346" s="361">
        <f t="shared" si="2407"/>
        <v>2.7319296843488745</v>
      </c>
      <c r="Q2346" s="361">
        <f t="shared" si="2407"/>
        <v>3.5715882728334503</v>
      </c>
      <c r="R2346" s="361">
        <f t="shared" si="2407"/>
        <v>4.6693159284887447</v>
      </c>
      <c r="S2346" s="361">
        <f t="shared" si="2407"/>
        <v>6.1044301791096736</v>
      </c>
      <c r="T2346" s="361">
        <f t="shared" si="2407"/>
        <v>7.9806267946589182</v>
      </c>
      <c r="U2346" s="361">
        <f t="shared" si="2407"/>
        <v>10.433472439997187</v>
      </c>
      <c r="V2346" s="362">
        <f t="shared" si="2407"/>
        <v>13.640200194430129</v>
      </c>
      <c r="X2346" s="351"/>
    </row>
    <row r="2347" spans="3:24" ht="24.75" customHeight="1" x14ac:dyDescent="0.3">
      <c r="C2347" s="353">
        <f>ABS(E2347-Dashboard!$F$14)</f>
        <v>45.294281209885725</v>
      </c>
      <c r="D2347" s="350">
        <f t="shared" si="2379"/>
        <v>0.3074499999999814</v>
      </c>
      <c r="E2347" s="359" cm="1">
        <f t="array" ref="E2347">1000*SUM('DRE + DCF'!$L$36/M2347,'DRE + DCF'!$N$36:$V$36/N2347:V2347,F2347/V2347)/Dashboard!$F$11</f>
        <v>51.69571879011427</v>
      </c>
      <c r="F2347" s="359">
        <f t="shared" si="2377"/>
        <v>8529459.9251175374</v>
      </c>
      <c r="G2347" s="359">
        <f>'DRE + DCF'!$W$31</f>
        <v>2791623.3540418856</v>
      </c>
      <c r="H2347" s="359">
        <f>'DRE + DCF'!$W$32</f>
        <v>81081.931703745853</v>
      </c>
      <c r="I2347" s="359">
        <f>-H2347*('DRE + DCF'!$V$33+K2347)/'DRE + DCF'!$V$33</f>
        <v>-90858.801614444121</v>
      </c>
      <c r="J2347" s="359">
        <f>-'DRE + DCF'!$V$56*L2347</f>
        <v>-1188924.4255577971</v>
      </c>
      <c r="K2347" s="360">
        <f>(1+L2347)/(1+Ke!$O$12)-1</f>
        <v>2.0000000000000018E-2</v>
      </c>
      <c r="L2347" s="360">
        <f>'DRE + DCF'!$Y$31</f>
        <v>7.3550000000000004E-2</v>
      </c>
      <c r="M2347" s="361">
        <f>(1+D2347)^((5-Dashboard!$F$9)*3/12)</f>
        <v>1.2226969167371307</v>
      </c>
      <c r="N2347" s="361">
        <f t="shared" ref="N2347:V2347" si="2408">M2347*(1+$D2347)</f>
        <v>1.5986150837879387</v>
      </c>
      <c r="O2347" s="361">
        <f t="shared" si="2408"/>
        <v>2.0901092912985106</v>
      </c>
      <c r="P2347" s="361">
        <f t="shared" si="2408"/>
        <v>2.7327133929081988</v>
      </c>
      <c r="Q2347" s="361">
        <f t="shared" si="2408"/>
        <v>3.5728861255577735</v>
      </c>
      <c r="R2347" s="361">
        <f t="shared" si="2408"/>
        <v>4.6713699648604443</v>
      </c>
      <c r="S2347" s="361">
        <f t="shared" si="2408"/>
        <v>6.1075826605567007</v>
      </c>
      <c r="T2347" s="361">
        <f t="shared" si="2408"/>
        <v>7.9853589495447448</v>
      </c>
      <c r="U2347" s="361">
        <f t="shared" si="2408"/>
        <v>10.440457558582128</v>
      </c>
      <c r="V2347" s="362">
        <f t="shared" si="2408"/>
        <v>13.650376234968009</v>
      </c>
      <c r="X2347" s="351"/>
    </row>
    <row r="2348" spans="3:24" ht="24.75" customHeight="1" x14ac:dyDescent="0.3">
      <c r="C2348" s="353">
        <f>ABS(E2348-Dashboard!$F$14)</f>
        <v>45.320189521033285</v>
      </c>
      <c r="D2348" s="350">
        <f t="shared" si="2379"/>
        <v>0.30754999999998139</v>
      </c>
      <c r="E2348" s="359" cm="1">
        <f t="array" ref="E2348">1000*SUM('DRE + DCF'!$L$36/M2348,'DRE + DCF'!$N$36:$V$36/N2348:V2348,F2348/V2348)/Dashboard!$F$11</f>
        <v>51.66981047896671</v>
      </c>
      <c r="F2348" s="359">
        <f t="shared" si="2377"/>
        <v>8526312.9672709256</v>
      </c>
      <c r="G2348" s="359">
        <f>'DRE + DCF'!$W$31</f>
        <v>2791623.3540418856</v>
      </c>
      <c r="H2348" s="359">
        <f>'DRE + DCF'!$W$32</f>
        <v>81081.931703745853</v>
      </c>
      <c r="I2348" s="359">
        <f>-H2348*('DRE + DCF'!$V$33+K2348)/'DRE + DCF'!$V$33</f>
        <v>-90858.801614444121</v>
      </c>
      <c r="J2348" s="359">
        <f>-'DRE + DCF'!$V$56*L2348</f>
        <v>-1188924.4255577971</v>
      </c>
      <c r="K2348" s="360">
        <f>(1+L2348)/(1+Ke!$O$12)-1</f>
        <v>2.0000000000000018E-2</v>
      </c>
      <c r="L2348" s="360">
        <f>'DRE + DCF'!$Y$31</f>
        <v>7.3550000000000004E-2</v>
      </c>
      <c r="M2348" s="361">
        <f>(1+D2348)^((5-Dashboard!$F$9)*3/12)</f>
        <v>1.2227670543271378</v>
      </c>
      <c r="N2348" s="361">
        <f t="shared" ref="N2348:V2348" si="2409">M2348*(1+$D2348)</f>
        <v>1.5988290618854262</v>
      </c>
      <c r="O2348" s="361">
        <f t="shared" si="2409"/>
        <v>2.0905489398682593</v>
      </c>
      <c r="P2348" s="361">
        <f t="shared" si="2409"/>
        <v>2.7334972663247035</v>
      </c>
      <c r="Q2348" s="361">
        <f t="shared" si="2409"/>
        <v>3.574184350582815</v>
      </c>
      <c r="R2348" s="361">
        <f t="shared" si="2409"/>
        <v>4.6734247476044928</v>
      </c>
      <c r="S2348" s="361">
        <f t="shared" si="2409"/>
        <v>6.1107365287301674</v>
      </c>
      <c r="T2348" s="361">
        <f t="shared" si="2409"/>
        <v>7.990093548141016</v>
      </c>
      <c r="U2348" s="361">
        <f t="shared" si="2409"/>
        <v>10.447446818871637</v>
      </c>
      <c r="V2348" s="362">
        <f t="shared" si="2409"/>
        <v>13.660559088015413</v>
      </c>
      <c r="X2348" s="351"/>
    </row>
    <row r="2349" spans="3:24" ht="24.75" customHeight="1" x14ac:dyDescent="0.3">
      <c r="C2349" s="353">
        <f>ABS(E2349-Dashboard!$F$14)</f>
        <v>45.346074605407942</v>
      </c>
      <c r="D2349" s="350">
        <f t="shared" si="2379"/>
        <v>0.30764999999998138</v>
      </c>
      <c r="E2349" s="359" cm="1">
        <f t="array" ref="E2349">1000*SUM('DRE + DCF'!$L$36/M2349,'DRE + DCF'!$N$36:$V$36/N2349:V2349,F2349/V2349)/Dashboard!$F$11</f>
        <v>51.643925394592053</v>
      </c>
      <c r="F2349" s="359">
        <f t="shared" si="2377"/>
        <v>8523168.3743048944</v>
      </c>
      <c r="G2349" s="359">
        <f>'DRE + DCF'!$W$31</f>
        <v>2791623.3540418856</v>
      </c>
      <c r="H2349" s="359">
        <f>'DRE + DCF'!$W$32</f>
        <v>81081.931703745853</v>
      </c>
      <c r="I2349" s="359">
        <f>-H2349*('DRE + DCF'!$V$33+K2349)/'DRE + DCF'!$V$33</f>
        <v>-90858.801614444121</v>
      </c>
      <c r="J2349" s="359">
        <f>-'DRE + DCF'!$V$56*L2349</f>
        <v>-1188924.4255577971</v>
      </c>
      <c r="K2349" s="360">
        <f>(1+L2349)/(1+Ke!$O$12)-1</f>
        <v>2.0000000000000018E-2</v>
      </c>
      <c r="L2349" s="360">
        <f>'DRE + DCF'!$Y$31</f>
        <v>7.3550000000000004E-2</v>
      </c>
      <c r="M2349" s="361">
        <f>(1+D2349)^((5-Dashboard!$F$9)*3/12)</f>
        <v>1.2228371905761461</v>
      </c>
      <c r="N2349" s="361">
        <f t="shared" ref="N2349:V2349" si="2410">M2349*(1+$D2349)</f>
        <v>1.5990430522568746</v>
      </c>
      <c r="O2349" s="361">
        <f t="shared" si="2410"/>
        <v>2.0909886472836723</v>
      </c>
      <c r="P2349" s="361">
        <f t="shared" si="2410"/>
        <v>2.7342813046204548</v>
      </c>
      <c r="Q2349" s="361">
        <f t="shared" si="2410"/>
        <v>3.5754829479868868</v>
      </c>
      <c r="R2349" s="361">
        <f t="shared" si="2410"/>
        <v>4.6754802769349855</v>
      </c>
      <c r="S2349" s="361">
        <f t="shared" si="2410"/>
        <v>6.1138917841339468</v>
      </c>
      <c r="T2349" s="361">
        <f t="shared" si="2410"/>
        <v>7.9948305915226419</v>
      </c>
      <c r="U2349" s="361">
        <f t="shared" si="2410"/>
        <v>10.454440223004433</v>
      </c>
      <c r="V2349" s="362">
        <f t="shared" si="2410"/>
        <v>13.670748757611552</v>
      </c>
      <c r="X2349" s="351"/>
    </row>
    <row r="2350" spans="3:24" ht="24.75" customHeight="1" x14ac:dyDescent="0.3">
      <c r="C2350" s="353">
        <f>ABS(E2350-Dashboard!$F$14)</f>
        <v>45.371936491988308</v>
      </c>
      <c r="D2350" s="350">
        <f t="shared" si="2379"/>
        <v>0.30774999999998137</v>
      </c>
      <c r="E2350" s="359" cm="1">
        <f t="array" ref="E2350">1000*SUM('DRE + DCF'!$L$36/M2350,'DRE + DCF'!$N$36:$V$36/N2350:V2350,F2350/V2350)/Dashboard!$F$11</f>
        <v>51.618063508011687</v>
      </c>
      <c r="F2350" s="359">
        <f t="shared" si="2377"/>
        <v>8520026.1435055248</v>
      </c>
      <c r="G2350" s="359">
        <f>'DRE + DCF'!$W$31</f>
        <v>2791623.3540418856</v>
      </c>
      <c r="H2350" s="359">
        <f>'DRE + DCF'!$W$32</f>
        <v>81081.931703745853</v>
      </c>
      <c r="I2350" s="359">
        <f>-H2350*('DRE + DCF'!$V$33+K2350)/'DRE + DCF'!$V$33</f>
        <v>-90858.801614444121</v>
      </c>
      <c r="J2350" s="359">
        <f>-'DRE + DCF'!$V$56*L2350</f>
        <v>-1188924.4255577971</v>
      </c>
      <c r="K2350" s="360">
        <f>(1+L2350)/(1+Ke!$O$12)-1</f>
        <v>2.0000000000000018E-2</v>
      </c>
      <c r="L2350" s="360">
        <f>'DRE + DCF'!$Y$31</f>
        <v>7.3550000000000004E-2</v>
      </c>
      <c r="M2350" s="361">
        <f>(1+D2350)^((5-Dashboard!$F$9)*3/12)</f>
        <v>1.2229073254842839</v>
      </c>
      <c r="N2350" s="361">
        <f t="shared" ref="N2350:V2350" si="2411">M2350*(1+$D2350)</f>
        <v>1.5992570549020495</v>
      </c>
      <c r="O2350" s="361">
        <f t="shared" si="2411"/>
        <v>2.0914284135481251</v>
      </c>
      <c r="P2350" s="361">
        <f t="shared" si="2411"/>
        <v>2.7350655078175214</v>
      </c>
      <c r="Q2350" s="361">
        <f t="shared" si="2411"/>
        <v>3.5767819178483125</v>
      </c>
      <c r="R2350" s="361">
        <f t="shared" si="2411"/>
        <v>4.677536553066064</v>
      </c>
      <c r="S2350" s="361">
        <f t="shared" si="2411"/>
        <v>6.1170484272720573</v>
      </c>
      <c r="T2350" s="361">
        <f t="shared" si="2411"/>
        <v>7.9995700807649186</v>
      </c>
      <c r="U2350" s="361">
        <f t="shared" si="2411"/>
        <v>10.461437773120172</v>
      </c>
      <c r="V2350" s="362">
        <f t="shared" si="2411"/>
        <v>13.680945247797711</v>
      </c>
      <c r="X2350" s="351"/>
    </row>
    <row r="2351" spans="3:24" ht="24.75" customHeight="1" x14ac:dyDescent="0.3">
      <c r="C2351" s="353">
        <f>ABS(E2351-Dashboard!$F$14)</f>
        <v>45.397775209706744</v>
      </c>
      <c r="D2351" s="350">
        <f t="shared" si="2379"/>
        <v>0.30784999999998136</v>
      </c>
      <c r="E2351" s="359" cm="1">
        <f t="array" ref="E2351">1000*SUM('DRE + DCF'!$L$36/M2351,'DRE + DCF'!$N$36:$V$36/N2351:V2351,F2351/V2351)/Dashboard!$F$11</f>
        <v>51.592224790293251</v>
      </c>
      <c r="F2351" s="359">
        <f t="shared" si="2377"/>
        <v>8516886.2721631266</v>
      </c>
      <c r="G2351" s="359">
        <f>'DRE + DCF'!$W$31</f>
        <v>2791623.3540418856</v>
      </c>
      <c r="H2351" s="359">
        <f>'DRE + DCF'!$W$32</f>
        <v>81081.931703745853</v>
      </c>
      <c r="I2351" s="359">
        <f>-H2351*('DRE + DCF'!$V$33+K2351)/'DRE + DCF'!$V$33</f>
        <v>-90858.801614444121</v>
      </c>
      <c r="J2351" s="359">
        <f>-'DRE + DCF'!$V$56*L2351</f>
        <v>-1188924.4255577971</v>
      </c>
      <c r="K2351" s="360">
        <f>(1+L2351)/(1+Ke!$O$12)-1</f>
        <v>2.0000000000000018E-2</v>
      </c>
      <c r="L2351" s="360">
        <f>'DRE + DCF'!$Y$31</f>
        <v>7.3550000000000004E-2</v>
      </c>
      <c r="M2351" s="361">
        <f>(1+D2351)^((5-Dashboard!$F$9)*3/12)</f>
        <v>1.2229774590516793</v>
      </c>
      <c r="N2351" s="361">
        <f t="shared" ref="N2351:V2351" si="2412">M2351*(1+$D2351)</f>
        <v>1.599471069820716</v>
      </c>
      <c r="O2351" s="361">
        <f t="shared" si="2412"/>
        <v>2.0918682386649934</v>
      </c>
      <c r="P2351" s="361">
        <f t="shared" si="2412"/>
        <v>2.7358498759379724</v>
      </c>
      <c r="Q2351" s="361">
        <f t="shared" si="2412"/>
        <v>3.5780812602454262</v>
      </c>
      <c r="R2351" s="361">
        <f t="shared" si="2412"/>
        <v>4.6795935762119134</v>
      </c>
      <c r="S2351" s="361">
        <f t="shared" si="2412"/>
        <v>6.1202064586486635</v>
      </c>
      <c r="T2351" s="361">
        <f t="shared" si="2412"/>
        <v>8.0043120169435404</v>
      </c>
      <c r="U2351" s="361">
        <f t="shared" si="2412"/>
        <v>10.46843947135946</v>
      </c>
      <c r="V2351" s="362">
        <f t="shared" si="2412"/>
        <v>13.691148562617274</v>
      </c>
      <c r="X2351" s="351"/>
    </row>
    <row r="2352" spans="3:24" ht="24.75" customHeight="1" x14ac:dyDescent="0.3">
      <c r="C2352" s="353">
        <f>ABS(E2352-Dashboard!$F$14)</f>
        <v>45.423590787449363</v>
      </c>
      <c r="D2352" s="350">
        <f t="shared" si="2379"/>
        <v>0.30794999999998135</v>
      </c>
      <c r="E2352" s="359" cm="1">
        <f t="array" ref="E2352">1000*SUM('DRE + DCF'!$L$36/M2352,'DRE + DCF'!$N$36:$V$36/N2352:V2352,F2352/V2352)/Dashboard!$F$11</f>
        <v>51.566409212550631</v>
      </c>
      <c r="F2352" s="359">
        <f t="shared" si="2377"/>
        <v>8513748.7575722206</v>
      </c>
      <c r="G2352" s="359">
        <f>'DRE + DCF'!$W$31</f>
        <v>2791623.3540418856</v>
      </c>
      <c r="H2352" s="359">
        <f>'DRE + DCF'!$W$32</f>
        <v>81081.931703745853</v>
      </c>
      <c r="I2352" s="359">
        <f>-H2352*('DRE + DCF'!$V$33+K2352)/'DRE + DCF'!$V$33</f>
        <v>-90858.801614444121</v>
      </c>
      <c r="J2352" s="359">
        <f>-'DRE + DCF'!$V$56*L2352</f>
        <v>-1188924.4255577971</v>
      </c>
      <c r="K2352" s="360">
        <f>(1+L2352)/(1+Ke!$O$12)-1</f>
        <v>2.0000000000000018E-2</v>
      </c>
      <c r="L2352" s="360">
        <f>'DRE + DCF'!$Y$31</f>
        <v>7.3550000000000004E-2</v>
      </c>
      <c r="M2352" s="361">
        <f>(1+D2352)^((5-Dashboard!$F$9)*3/12)</f>
        <v>1.2230475912784604</v>
      </c>
      <c r="N2352" s="361">
        <f t="shared" ref="N2352:V2352" si="2413">M2352*(1+$D2352)</f>
        <v>1.5996850970126395</v>
      </c>
      <c r="O2352" s="361">
        <f t="shared" si="2413"/>
        <v>2.0923081226376521</v>
      </c>
      <c r="P2352" s="361">
        <f t="shared" si="2413"/>
        <v>2.7366344090038779</v>
      </c>
      <c r="Q2352" s="361">
        <f t="shared" si="2413"/>
        <v>3.5793809752565711</v>
      </c>
      <c r="R2352" s="361">
        <f t="shared" si="2413"/>
        <v>4.6816513465867651</v>
      </c>
      <c r="S2352" s="361">
        <f t="shared" si="2413"/>
        <v>6.1233658787680714</v>
      </c>
      <c r="T2352" s="361">
        <f t="shared" si="2413"/>
        <v>8.0090564011345844</v>
      </c>
      <c r="U2352" s="361">
        <f t="shared" si="2413"/>
        <v>10.47544531986383</v>
      </c>
      <c r="V2352" s="362">
        <f t="shared" si="2413"/>
        <v>13.7013587061157</v>
      </c>
      <c r="X2352" s="351"/>
    </row>
    <row r="2353" spans="3:24" ht="24.75" customHeight="1" x14ac:dyDescent="0.3">
      <c r="C2353" s="353">
        <f>ABS(E2353-Dashboard!$F$14)</f>
        <v>45.449383254056251</v>
      </c>
      <c r="D2353" s="350">
        <f t="shared" si="2379"/>
        <v>0.30804999999998134</v>
      </c>
      <c r="E2353" s="359" cm="1">
        <f t="array" ref="E2353">1000*SUM('DRE + DCF'!$L$36/M2353,'DRE + DCF'!$N$36:$V$36/N2353:V2353,F2353/V2353)/Dashboard!$F$11</f>
        <v>51.540616745943744</v>
      </c>
      <c r="F2353" s="359">
        <f t="shared" si="2377"/>
        <v>8510613.5970315374</v>
      </c>
      <c r="G2353" s="359">
        <f>'DRE + DCF'!$W$31</f>
        <v>2791623.3540418856</v>
      </c>
      <c r="H2353" s="359">
        <f>'DRE + DCF'!$W$32</f>
        <v>81081.931703745853</v>
      </c>
      <c r="I2353" s="359">
        <f>-H2353*('DRE + DCF'!$V$33+K2353)/'DRE + DCF'!$V$33</f>
        <v>-90858.801614444121</v>
      </c>
      <c r="J2353" s="359">
        <f>-'DRE + DCF'!$V$56*L2353</f>
        <v>-1188924.4255577971</v>
      </c>
      <c r="K2353" s="360">
        <f>(1+L2353)/(1+Ke!$O$12)-1</f>
        <v>2.0000000000000018E-2</v>
      </c>
      <c r="L2353" s="360">
        <f>'DRE + DCF'!$Y$31</f>
        <v>7.3550000000000004E-2</v>
      </c>
      <c r="M2353" s="361">
        <f>(1+D2353)^((5-Dashboard!$F$9)*3/12)</f>
        <v>1.2231177221647553</v>
      </c>
      <c r="N2353" s="361">
        <f t="shared" ref="N2353:V2353" si="2414">M2353*(1+$D2353)</f>
        <v>1.5998991364775854</v>
      </c>
      <c r="O2353" s="361">
        <f t="shared" si="2414"/>
        <v>2.0927480654694754</v>
      </c>
      <c r="P2353" s="361">
        <f t="shared" si="2414"/>
        <v>2.7374191070373084</v>
      </c>
      <c r="Q2353" s="361">
        <f t="shared" si="2414"/>
        <v>3.5806810629601</v>
      </c>
      <c r="R2353" s="361">
        <f t="shared" si="2414"/>
        <v>4.683709864404892</v>
      </c>
      <c r="S2353" s="361">
        <f t="shared" si="2414"/>
        <v>6.1265266881347316</v>
      </c>
      <c r="T2353" s="361">
        <f t="shared" si="2414"/>
        <v>8.0138032344145209</v>
      </c>
      <c r="U2353" s="361">
        <f t="shared" si="2414"/>
        <v>10.482455320775765</v>
      </c>
      <c r="V2353" s="362">
        <f t="shared" si="2414"/>
        <v>13.711575682340543</v>
      </c>
      <c r="X2353" s="351"/>
    </row>
    <row r="2354" spans="3:24" ht="24.75" customHeight="1" x14ac:dyDescent="0.3">
      <c r="C2354" s="353">
        <f>ABS(E2354-Dashboard!$F$14)</f>
        <v>45.475152638321447</v>
      </c>
      <c r="D2354" s="350">
        <f t="shared" si="2379"/>
        <v>0.30814999999998133</v>
      </c>
      <c r="E2354" s="359" cm="1">
        <f t="array" ref="E2354">1000*SUM('DRE + DCF'!$L$36/M2354,'DRE + DCF'!$N$36:$V$36/N2354:V2354,F2354/V2354)/Dashboard!$F$11</f>
        <v>51.514847361678548</v>
      </c>
      <c r="F2354" s="359">
        <f t="shared" si="2377"/>
        <v>8507480.7878440022</v>
      </c>
      <c r="G2354" s="359">
        <f>'DRE + DCF'!$W$31</f>
        <v>2791623.3540418856</v>
      </c>
      <c r="H2354" s="359">
        <f>'DRE + DCF'!$W$32</f>
        <v>81081.931703745853</v>
      </c>
      <c r="I2354" s="359">
        <f>-H2354*('DRE + DCF'!$V$33+K2354)/'DRE + DCF'!$V$33</f>
        <v>-90858.801614444121</v>
      </c>
      <c r="J2354" s="359">
        <f>-'DRE + DCF'!$V$56*L2354</f>
        <v>-1188924.4255577971</v>
      </c>
      <c r="K2354" s="360">
        <f>(1+L2354)/(1+Ke!$O$12)-1</f>
        <v>2.0000000000000018E-2</v>
      </c>
      <c r="L2354" s="360">
        <f>'DRE + DCF'!$Y$31</f>
        <v>7.3550000000000004E-2</v>
      </c>
      <c r="M2354" s="361">
        <f>(1+D2354)^((5-Dashboard!$F$9)*3/12)</f>
        <v>1.223187851710692</v>
      </c>
      <c r="N2354" s="361">
        <f t="shared" ref="N2354:V2354" si="2415">M2354*(1+$D2354)</f>
        <v>1.6001131882153188</v>
      </c>
      <c r="O2354" s="361">
        <f t="shared" si="2415"/>
        <v>2.0931880671638394</v>
      </c>
      <c r="P2354" s="361">
        <f t="shared" si="2415"/>
        <v>2.7382039700603373</v>
      </c>
      <c r="Q2354" s="361">
        <f t="shared" si="2415"/>
        <v>3.5819815234343788</v>
      </c>
      <c r="R2354" s="361">
        <f t="shared" si="2415"/>
        <v>4.6857691298806152</v>
      </c>
      <c r="S2354" s="361">
        <f t="shared" si="2415"/>
        <v>6.1296888872532387</v>
      </c>
      <c r="T2354" s="361">
        <f t="shared" si="2415"/>
        <v>8.0185525178602095</v>
      </c>
      <c r="U2354" s="361">
        <f t="shared" si="2415"/>
        <v>10.489469476238684</v>
      </c>
      <c r="V2354" s="362">
        <f t="shared" si="2415"/>
        <v>13.721799495341438</v>
      </c>
      <c r="X2354" s="351"/>
    </row>
    <row r="2355" spans="3:24" ht="24.75" customHeight="1" x14ac:dyDescent="0.3">
      <c r="C2355" s="353">
        <f>ABS(E2355-Dashboard!$F$14)</f>
        <v>45.500898968993155</v>
      </c>
      <c r="D2355" s="350">
        <f t="shared" si="2379"/>
        <v>0.30824999999998132</v>
      </c>
      <c r="E2355" s="359" cm="1">
        <f t="array" ref="E2355">1000*SUM('DRE + DCF'!$L$36/M2355,'DRE + DCF'!$N$36:$V$36/N2355:V2355,F2355/V2355)/Dashboard!$F$11</f>
        <v>51.48910103100684</v>
      </c>
      <c r="F2355" s="359">
        <f t="shared" si="2377"/>
        <v>8504350.3273167312</v>
      </c>
      <c r="G2355" s="359">
        <f>'DRE + DCF'!$W$31</f>
        <v>2791623.3540418856</v>
      </c>
      <c r="H2355" s="359">
        <f>'DRE + DCF'!$W$32</f>
        <v>81081.931703745853</v>
      </c>
      <c r="I2355" s="359">
        <f>-H2355*('DRE + DCF'!$V$33+K2355)/'DRE + DCF'!$V$33</f>
        <v>-90858.801614444121</v>
      </c>
      <c r="J2355" s="359">
        <f>-'DRE + DCF'!$V$56*L2355</f>
        <v>-1188924.4255577971</v>
      </c>
      <c r="K2355" s="360">
        <f>(1+L2355)/(1+Ke!$O$12)-1</f>
        <v>2.0000000000000018E-2</v>
      </c>
      <c r="L2355" s="360">
        <f>'DRE + DCF'!$Y$31</f>
        <v>7.3550000000000004E-2</v>
      </c>
      <c r="M2355" s="361">
        <f>(1+D2355)^((5-Dashboard!$F$9)*3/12)</f>
        <v>1.2232579799163987</v>
      </c>
      <c r="N2355" s="361">
        <f t="shared" ref="N2355:V2355" si="2416">M2355*(1+$D2355)</f>
        <v>1.6003272522256058</v>
      </c>
      <c r="O2355" s="361">
        <f t="shared" si="2416"/>
        <v>2.0936281277241187</v>
      </c>
      <c r="P2355" s="361">
        <f t="shared" si="2416"/>
        <v>2.738988998095039</v>
      </c>
      <c r="Q2355" s="361">
        <f t="shared" si="2416"/>
        <v>3.5832823567577834</v>
      </c>
      <c r="R2355" s="361">
        <f t="shared" si="2416"/>
        <v>4.6878291432283028</v>
      </c>
      <c r="S2355" s="361">
        <f t="shared" si="2416"/>
        <v>6.1328524766283392</v>
      </c>
      <c r="T2355" s="361">
        <f t="shared" si="2416"/>
        <v>8.0233042525489093</v>
      </c>
      <c r="U2355" s="361">
        <f t="shared" si="2416"/>
        <v>10.49648778839696</v>
      </c>
      <c r="V2355" s="362">
        <f t="shared" si="2416"/>
        <v>13.732030149170127</v>
      </c>
      <c r="X2355" s="351"/>
    </row>
    <row r="2356" spans="3:24" ht="24.75" customHeight="1" x14ac:dyDescent="0.3">
      <c r="C2356" s="353">
        <f>ABS(E2356-Dashboard!$F$14)</f>
        <v>45.526622274773686</v>
      </c>
      <c r="D2356" s="350">
        <f t="shared" si="2379"/>
        <v>0.30834999999998131</v>
      </c>
      <c r="E2356" s="359" cm="1">
        <f t="array" ref="E2356">1000*SUM('DRE + DCF'!$L$36/M2356,'DRE + DCF'!$N$36:$V$36/N2356:V2356,F2356/V2356)/Dashboard!$F$11</f>
        <v>51.463377725226309</v>
      </c>
      <c r="F2356" s="359">
        <f t="shared" si="2377"/>
        <v>8501222.2127610296</v>
      </c>
      <c r="G2356" s="359">
        <f>'DRE + DCF'!$W$31</f>
        <v>2791623.3540418856</v>
      </c>
      <c r="H2356" s="359">
        <f>'DRE + DCF'!$W$32</f>
        <v>81081.931703745853</v>
      </c>
      <c r="I2356" s="359">
        <f>-H2356*('DRE + DCF'!$V$33+K2356)/'DRE + DCF'!$V$33</f>
        <v>-90858.801614444121</v>
      </c>
      <c r="J2356" s="359">
        <f>-'DRE + DCF'!$V$56*L2356</f>
        <v>-1188924.4255577971</v>
      </c>
      <c r="K2356" s="360">
        <f>(1+L2356)/(1+Ke!$O$12)-1</f>
        <v>2.0000000000000018E-2</v>
      </c>
      <c r="L2356" s="360">
        <f>'DRE + DCF'!$Y$31</f>
        <v>7.3550000000000004E-2</v>
      </c>
      <c r="M2356" s="361">
        <f>(1+D2356)^((5-Dashboard!$F$9)*3/12)</f>
        <v>1.2233281067820034</v>
      </c>
      <c r="N2356" s="361">
        <f t="shared" ref="N2356:V2356" si="2417">M2356*(1+$D2356)</f>
        <v>1.6005413285082113</v>
      </c>
      <c r="O2356" s="361">
        <f t="shared" si="2417"/>
        <v>2.0940682471536882</v>
      </c>
      <c r="P2356" s="361">
        <f t="shared" si="2417"/>
        <v>2.7397741911634887</v>
      </c>
      <c r="Q2356" s="361">
        <f t="shared" si="2417"/>
        <v>3.5845835630086991</v>
      </c>
      <c r="R2356" s="361">
        <f t="shared" si="2417"/>
        <v>4.6898899046623646</v>
      </c>
      <c r="S2356" s="361">
        <f t="shared" si="2417"/>
        <v>6.1360174567649164</v>
      </c>
      <c r="T2356" s="361">
        <f t="shared" si="2417"/>
        <v>8.0280584395582633</v>
      </c>
      <c r="U2356" s="361">
        <f t="shared" si="2417"/>
        <v>10.503510259395902</v>
      </c>
      <c r="V2356" s="362">
        <f t="shared" si="2417"/>
        <v>13.742267647880432</v>
      </c>
      <c r="X2356" s="351"/>
    </row>
    <row r="2357" spans="3:24" ht="24.75" customHeight="1" x14ac:dyDescent="0.3">
      <c r="C2357" s="353">
        <f>ABS(E2357-Dashboard!$F$14)</f>
        <v>45.552322584319647</v>
      </c>
      <c r="D2357" s="350">
        <f t="shared" si="2379"/>
        <v>0.30844999999998129</v>
      </c>
      <c r="E2357" s="359" cm="1">
        <f t="array" ref="E2357">1000*SUM('DRE + DCF'!$L$36/M2357,'DRE + DCF'!$N$36:$V$36/N2357:V2357,F2357/V2357)/Dashboard!$F$11</f>
        <v>51.437677415680348</v>
      </c>
      <c r="F2357" s="359">
        <f t="shared" si="2377"/>
        <v>8498096.4414923694</v>
      </c>
      <c r="G2357" s="359">
        <f>'DRE + DCF'!$W$31</f>
        <v>2791623.3540418856</v>
      </c>
      <c r="H2357" s="359">
        <f>'DRE + DCF'!$W$32</f>
        <v>81081.931703745853</v>
      </c>
      <c r="I2357" s="359">
        <f>-H2357*('DRE + DCF'!$V$33+K2357)/'DRE + DCF'!$V$33</f>
        <v>-90858.801614444121</v>
      </c>
      <c r="J2357" s="359">
        <f>-'DRE + DCF'!$V$56*L2357</f>
        <v>-1188924.4255577971</v>
      </c>
      <c r="K2357" s="360">
        <f>(1+L2357)/(1+Ke!$O$12)-1</f>
        <v>2.0000000000000018E-2</v>
      </c>
      <c r="L2357" s="360">
        <f>'DRE + DCF'!$Y$31</f>
        <v>7.3550000000000004E-2</v>
      </c>
      <c r="M2357" s="361">
        <f>(1+D2357)^((5-Dashboard!$F$9)*3/12)</f>
        <v>1.2233982323076344</v>
      </c>
      <c r="N2357" s="361">
        <f t="shared" ref="N2357:V2357" si="2418">M2357*(1+$D2357)</f>
        <v>1.6007554170629013</v>
      </c>
      <c r="O2357" s="361">
        <f t="shared" si="2418"/>
        <v>2.0945084254559232</v>
      </c>
      <c r="P2357" s="361">
        <f t="shared" si="2418"/>
        <v>2.7405595492877635</v>
      </c>
      <c r="Q2357" s="361">
        <f t="shared" si="2418"/>
        <v>3.5858851422655227</v>
      </c>
      <c r="R2357" s="361">
        <f t="shared" si="2418"/>
        <v>4.6919514143972556</v>
      </c>
      <c r="S2357" s="361">
        <f t="shared" si="2418"/>
        <v>6.1391838281680009</v>
      </c>
      <c r="T2357" s="361">
        <f t="shared" si="2418"/>
        <v>8.0328150799663049</v>
      </c>
      <c r="U2357" s="361">
        <f t="shared" si="2418"/>
        <v>10.510536891381761</v>
      </c>
      <c r="V2357" s="362">
        <f t="shared" si="2418"/>
        <v>13.752511995528268</v>
      </c>
      <c r="X2357" s="351"/>
    </row>
    <row r="2358" spans="3:24" ht="24.75" customHeight="1" x14ac:dyDescent="0.3">
      <c r="C2358" s="353">
        <f>ABS(E2358-Dashboard!$F$14)</f>
        <v>45.57799992624205</v>
      </c>
      <c r="D2358" s="350">
        <f t="shared" si="2379"/>
        <v>0.30854999999998128</v>
      </c>
      <c r="E2358" s="359" cm="1">
        <f t="array" ref="E2358">1000*SUM('DRE + DCF'!$L$36/M2358,'DRE + DCF'!$N$36:$V$36/N2358:V2358,F2358/V2358)/Dashboard!$F$11</f>
        <v>51.412000073757945</v>
      </c>
      <c r="F2358" s="359">
        <f t="shared" si="2377"/>
        <v>8494973.0108303875</v>
      </c>
      <c r="G2358" s="359">
        <f>'DRE + DCF'!$W$31</f>
        <v>2791623.3540418856</v>
      </c>
      <c r="H2358" s="359">
        <f>'DRE + DCF'!$W$32</f>
        <v>81081.931703745853</v>
      </c>
      <c r="I2358" s="359">
        <f>-H2358*('DRE + DCF'!$V$33+K2358)/'DRE + DCF'!$V$33</f>
        <v>-90858.801614444121</v>
      </c>
      <c r="J2358" s="359">
        <f>-'DRE + DCF'!$V$56*L2358</f>
        <v>-1188924.4255577971</v>
      </c>
      <c r="K2358" s="360">
        <f>(1+L2358)/(1+Ke!$O$12)-1</f>
        <v>2.0000000000000018E-2</v>
      </c>
      <c r="L2358" s="360">
        <f>'DRE + DCF'!$Y$31</f>
        <v>7.3550000000000004E-2</v>
      </c>
      <c r="M2358" s="361">
        <f>(1+D2358)^((5-Dashboard!$F$9)*3/12)</f>
        <v>1.2234683564934192</v>
      </c>
      <c r="N2358" s="361">
        <f t="shared" ref="N2358:V2358" si="2419">M2358*(1+$D2358)</f>
        <v>1.6009695178894408</v>
      </c>
      <c r="O2358" s="361">
        <f t="shared" si="2419"/>
        <v>2.0949486626341978</v>
      </c>
      <c r="P2358" s="361">
        <f t="shared" si="2419"/>
        <v>2.7413450724899402</v>
      </c>
      <c r="Q2358" s="361">
        <f t="shared" si="2419"/>
        <v>3.58718709460666</v>
      </c>
      <c r="R2358" s="361">
        <f t="shared" si="2419"/>
        <v>4.6940136726474773</v>
      </c>
      <c r="S2358" s="361">
        <f t="shared" si="2419"/>
        <v>6.1423515913427682</v>
      </c>
      <c r="T2358" s="361">
        <f t="shared" si="2419"/>
        <v>8.0375741748514642</v>
      </c>
      <c r="U2358" s="361">
        <f t="shared" si="2419"/>
        <v>10.517567686501733</v>
      </c>
      <c r="V2358" s="362">
        <f t="shared" si="2419"/>
        <v>13.762763196171646</v>
      </c>
      <c r="X2358" s="351"/>
    </row>
    <row r="2359" spans="3:24" ht="24.75" customHeight="1" x14ac:dyDescent="0.3">
      <c r="C2359" s="353">
        <f>ABS(E2359-Dashboard!$F$14)</f>
        <v>45.603654329106263</v>
      </c>
      <c r="D2359" s="350">
        <f t="shared" si="2379"/>
        <v>0.30864999999998127</v>
      </c>
      <c r="E2359" s="359" cm="1">
        <f t="array" ref="E2359">1000*SUM('DRE + DCF'!$L$36/M2359,'DRE + DCF'!$N$36:$V$36/N2359:V2359,F2359/V2359)/Dashboard!$F$11</f>
        <v>51.386345670893732</v>
      </c>
      <c r="F2359" s="359">
        <f t="shared" si="2377"/>
        <v>8491851.9180988856</v>
      </c>
      <c r="G2359" s="359">
        <f>'DRE + DCF'!$W$31</f>
        <v>2791623.3540418856</v>
      </c>
      <c r="H2359" s="359">
        <f>'DRE + DCF'!$W$32</f>
        <v>81081.931703745853</v>
      </c>
      <c r="I2359" s="359">
        <f>-H2359*('DRE + DCF'!$V$33+K2359)/'DRE + DCF'!$V$33</f>
        <v>-90858.801614444121</v>
      </c>
      <c r="J2359" s="359">
        <f>-'DRE + DCF'!$V$56*L2359</f>
        <v>-1188924.4255577971</v>
      </c>
      <c r="K2359" s="360">
        <f>(1+L2359)/(1+Ke!$O$12)-1</f>
        <v>2.0000000000000018E-2</v>
      </c>
      <c r="L2359" s="360">
        <f>'DRE + DCF'!$Y$31</f>
        <v>7.3550000000000004E-2</v>
      </c>
      <c r="M2359" s="361">
        <f>(1+D2359)^((5-Dashboard!$F$9)*3/12)</f>
        <v>1.2235384793394863</v>
      </c>
      <c r="N2359" s="361">
        <f t="shared" ref="N2359:V2359" si="2420">M2359*(1+$D2359)</f>
        <v>1.6011836309875958</v>
      </c>
      <c r="O2359" s="361">
        <f t="shared" si="2420"/>
        <v>2.095388958691887</v>
      </c>
      <c r="P2359" s="361">
        <f t="shared" si="2420"/>
        <v>2.7421307607920986</v>
      </c>
      <c r="Q2359" s="361">
        <f t="shared" si="2420"/>
        <v>3.5884894201105282</v>
      </c>
      <c r="R2359" s="361">
        <f t="shared" si="2420"/>
        <v>4.6960766796275752</v>
      </c>
      <c r="S2359" s="361">
        <f t="shared" si="2420"/>
        <v>6.1455207467945385</v>
      </c>
      <c r="T2359" s="361">
        <f t="shared" si="2420"/>
        <v>8.042335725292558</v>
      </c>
      <c r="U2359" s="361">
        <f t="shared" si="2420"/>
        <v>10.524602646903954</v>
      </c>
      <c r="V2359" s="362">
        <f t="shared" si="2420"/>
        <v>13.773021253870661</v>
      </c>
      <c r="X2359" s="351"/>
    </row>
    <row r="2360" spans="3:24" ht="24.75" customHeight="1" x14ac:dyDescent="0.3">
      <c r="C2360" s="353">
        <f>ABS(E2360-Dashboard!$F$14)</f>
        <v>45.629285821432298</v>
      </c>
      <c r="D2360" s="350">
        <f t="shared" si="2379"/>
        <v>0.30874999999998126</v>
      </c>
      <c r="E2360" s="359" cm="1">
        <f t="array" ref="E2360">1000*SUM('DRE + DCF'!$L$36/M2360,'DRE + DCF'!$N$36:$V$36/N2360:V2360,F2360/V2360)/Dashboard!$F$11</f>
        <v>51.360714178567697</v>
      </c>
      <c r="F2360" s="359">
        <f t="shared" si="2377"/>
        <v>8488733.1606258042</v>
      </c>
      <c r="G2360" s="359">
        <f>'DRE + DCF'!$W$31</f>
        <v>2791623.3540418856</v>
      </c>
      <c r="H2360" s="359">
        <f>'DRE + DCF'!$W$32</f>
        <v>81081.931703745853</v>
      </c>
      <c r="I2360" s="359">
        <f>-H2360*('DRE + DCF'!$V$33+K2360)/'DRE + DCF'!$V$33</f>
        <v>-90858.801614444121</v>
      </c>
      <c r="J2360" s="359">
        <f>-'DRE + DCF'!$V$56*L2360</f>
        <v>-1188924.4255577971</v>
      </c>
      <c r="K2360" s="360">
        <f>(1+L2360)/(1+Ke!$O$12)-1</f>
        <v>2.0000000000000018E-2</v>
      </c>
      <c r="L2360" s="360">
        <f>'DRE + DCF'!$Y$31</f>
        <v>7.3550000000000004E-2</v>
      </c>
      <c r="M2360" s="361">
        <f>(1+D2360)^((5-Dashboard!$F$9)*3/12)</f>
        <v>1.2236086008459632</v>
      </c>
      <c r="N2360" s="361">
        <f t="shared" ref="N2360:V2360" si="2421">M2360*(1+$D2360)</f>
        <v>1.6013977563571313</v>
      </c>
      <c r="O2360" s="361">
        <f t="shared" si="2421"/>
        <v>2.0958293136323656</v>
      </c>
      <c r="P2360" s="361">
        <f t="shared" si="2421"/>
        <v>2.7429166142163193</v>
      </c>
      <c r="Q2360" s="361">
        <f t="shared" si="2421"/>
        <v>3.5897921188555562</v>
      </c>
      <c r="R2360" s="361">
        <f t="shared" si="2421"/>
        <v>4.6981404355521414</v>
      </c>
      <c r="S2360" s="361">
        <f t="shared" si="2421"/>
        <v>6.1486912950287769</v>
      </c>
      <c r="T2360" s="361">
        <f t="shared" si="2421"/>
        <v>8.0470997323687961</v>
      </c>
      <c r="U2360" s="361">
        <f t="shared" si="2421"/>
        <v>10.53164177473751</v>
      </c>
      <c r="V2360" s="362">
        <f t="shared" si="2421"/>
        <v>13.783286172687518</v>
      </c>
      <c r="X2360" s="351"/>
    </row>
    <row r="2361" spans="3:24" ht="24.75" customHeight="1" x14ac:dyDescent="0.3">
      <c r="C2361" s="353">
        <f>ABS(E2361-Dashboard!$F$14)</f>
        <v>45.654894431694721</v>
      </c>
      <c r="D2361" s="350">
        <f t="shared" si="2379"/>
        <v>0.30884999999998125</v>
      </c>
      <c r="E2361" s="359" cm="1">
        <f t="array" ref="E2361">1000*SUM('DRE + DCF'!$L$36/M2361,'DRE + DCF'!$N$36:$V$36/N2361:V2361,F2361/V2361)/Dashboard!$F$11</f>
        <v>51.335105568305273</v>
      </c>
      <c r="F2361" s="359">
        <f t="shared" si="2377"/>
        <v>8485616.7357432358</v>
      </c>
      <c r="G2361" s="359">
        <f>'DRE + DCF'!$W$31</f>
        <v>2791623.3540418856</v>
      </c>
      <c r="H2361" s="359">
        <f>'DRE + DCF'!$W$32</f>
        <v>81081.931703745853</v>
      </c>
      <c r="I2361" s="359">
        <f>-H2361*('DRE + DCF'!$V$33+K2361)/'DRE + DCF'!$V$33</f>
        <v>-90858.801614444121</v>
      </c>
      <c r="J2361" s="359">
        <f>-'DRE + DCF'!$V$56*L2361</f>
        <v>-1188924.4255577971</v>
      </c>
      <c r="K2361" s="360">
        <f>(1+L2361)/(1+Ke!$O$12)-1</f>
        <v>2.0000000000000018E-2</v>
      </c>
      <c r="L2361" s="360">
        <f>'DRE + DCF'!$Y$31</f>
        <v>7.3550000000000004E-2</v>
      </c>
      <c r="M2361" s="361">
        <f>(1+D2361)^((5-Dashboard!$F$9)*3/12)</f>
        <v>1.2236787210129783</v>
      </c>
      <c r="N2361" s="361">
        <f t="shared" ref="N2361:V2361" si="2422">M2361*(1+$D2361)</f>
        <v>1.6016118939978137</v>
      </c>
      <c r="O2361" s="361">
        <f t="shared" si="2422"/>
        <v>2.0962697274590085</v>
      </c>
      <c r="P2361" s="361">
        <f t="shared" si="2422"/>
        <v>2.7437026327846841</v>
      </c>
      <c r="Q2361" s="361">
        <f t="shared" si="2422"/>
        <v>3.591095190920182</v>
      </c>
      <c r="R2361" s="361">
        <f t="shared" si="2422"/>
        <v>4.7002049406358131</v>
      </c>
      <c r="S2361" s="361">
        <f t="shared" si="2422"/>
        <v>6.1518632365510957</v>
      </c>
      <c r="T2361" s="361">
        <f t="shared" si="2422"/>
        <v>8.0518661971597858</v>
      </c>
      <c r="U2361" s="361">
        <f t="shared" si="2422"/>
        <v>10.538685072152434</v>
      </c>
      <c r="V2361" s="362">
        <f t="shared" si="2422"/>
        <v>13.793557956686515</v>
      </c>
      <c r="X2361" s="351"/>
    </row>
    <row r="2362" spans="3:24" ht="24.75" customHeight="1" x14ac:dyDescent="0.3">
      <c r="C2362" s="353">
        <f>ABS(E2362-Dashboard!$F$14)</f>
        <v>45.680480188322854</v>
      </c>
      <c r="D2362" s="350">
        <f t="shared" si="2379"/>
        <v>0.30894999999998124</v>
      </c>
      <c r="E2362" s="359" cm="1">
        <f t="array" ref="E2362">1000*SUM('DRE + DCF'!$L$36/M2362,'DRE + DCF'!$N$36:$V$36/N2362:V2362,F2362/V2362)/Dashboard!$F$11</f>
        <v>51.309519811677141</v>
      </c>
      <c r="F2362" s="359">
        <f t="shared" si="2377"/>
        <v>8482502.6407873966</v>
      </c>
      <c r="G2362" s="359">
        <f>'DRE + DCF'!$W$31</f>
        <v>2791623.3540418856</v>
      </c>
      <c r="H2362" s="359">
        <f>'DRE + DCF'!$W$32</f>
        <v>81081.931703745853</v>
      </c>
      <c r="I2362" s="359">
        <f>-H2362*('DRE + DCF'!$V$33+K2362)/'DRE + DCF'!$V$33</f>
        <v>-90858.801614444121</v>
      </c>
      <c r="J2362" s="359">
        <f>-'DRE + DCF'!$V$56*L2362</f>
        <v>-1188924.4255577971</v>
      </c>
      <c r="K2362" s="360">
        <f>(1+L2362)/(1+Ke!$O$12)-1</f>
        <v>2.0000000000000018E-2</v>
      </c>
      <c r="L2362" s="360">
        <f>'DRE + DCF'!$Y$31</f>
        <v>7.3550000000000004E-2</v>
      </c>
      <c r="M2362" s="361">
        <f>(1+D2362)^((5-Dashboard!$F$9)*3/12)</f>
        <v>1.2237488398406593</v>
      </c>
      <c r="N2362" s="361">
        <f t="shared" ref="N2362:V2362" si="2423">M2362*(1+$D2362)</f>
        <v>1.6018260439094079</v>
      </c>
      <c r="O2362" s="361">
        <f t="shared" si="2423"/>
        <v>2.0967102001751892</v>
      </c>
      <c r="P2362" s="361">
        <f t="shared" si="2423"/>
        <v>2.7444888165192745</v>
      </c>
      <c r="Q2362" s="361">
        <f t="shared" si="2423"/>
        <v>3.5923986363828528</v>
      </c>
      <c r="R2362" s="361">
        <f t="shared" si="2423"/>
        <v>4.7022701950932673</v>
      </c>
      <c r="S2362" s="361">
        <f t="shared" si="2423"/>
        <v>6.1550365718672433</v>
      </c>
      <c r="T2362" s="361">
        <f t="shared" si="2423"/>
        <v>8.0566351207455131</v>
      </c>
      <c r="U2362" s="361">
        <f t="shared" si="2423"/>
        <v>10.545732541299687</v>
      </c>
      <c r="V2362" s="362">
        <f t="shared" si="2423"/>
        <v>13.803836609934027</v>
      </c>
      <c r="X2362" s="351"/>
    </row>
    <row r="2363" spans="3:24" ht="24.75" customHeight="1" x14ac:dyDescent="0.3">
      <c r="C2363" s="353">
        <f>ABS(E2363-Dashboard!$F$14)</f>
        <v>45.706043119700787</v>
      </c>
      <c r="D2363" s="350">
        <f t="shared" si="2379"/>
        <v>0.30904999999998123</v>
      </c>
      <c r="E2363" s="359" cm="1">
        <f t="array" ref="E2363">1000*SUM('DRE + DCF'!$L$36/M2363,'DRE + DCF'!$N$36:$V$36/N2363:V2363,F2363/V2363)/Dashboard!$F$11</f>
        <v>51.283956880299208</v>
      </c>
      <c r="F2363" s="359">
        <f t="shared" si="2377"/>
        <v>8479390.8730986342</v>
      </c>
      <c r="G2363" s="359">
        <f>'DRE + DCF'!$W$31</f>
        <v>2791623.3540418856</v>
      </c>
      <c r="H2363" s="359">
        <f>'DRE + DCF'!$W$32</f>
        <v>81081.931703745853</v>
      </c>
      <c r="I2363" s="359">
        <f>-H2363*('DRE + DCF'!$V$33+K2363)/'DRE + DCF'!$V$33</f>
        <v>-90858.801614444121</v>
      </c>
      <c r="J2363" s="359">
        <f>-'DRE + DCF'!$V$56*L2363</f>
        <v>-1188924.4255577971</v>
      </c>
      <c r="K2363" s="360">
        <f>(1+L2363)/(1+Ke!$O$12)-1</f>
        <v>2.0000000000000018E-2</v>
      </c>
      <c r="L2363" s="360">
        <f>'DRE + DCF'!$Y$31</f>
        <v>7.3550000000000004E-2</v>
      </c>
      <c r="M2363" s="361">
        <f>(1+D2363)^((5-Dashboard!$F$9)*3/12)</f>
        <v>1.2238189573291338</v>
      </c>
      <c r="N2363" s="361">
        <f t="shared" ref="N2363:V2363" si="2424">M2363*(1+$D2363)</f>
        <v>1.6020402060916796</v>
      </c>
      <c r="O2363" s="361">
        <f t="shared" si="2424"/>
        <v>2.097150731784283</v>
      </c>
      <c r="P2363" s="361">
        <f t="shared" si="2424"/>
        <v>2.7452751654421763</v>
      </c>
      <c r="Q2363" s="361">
        <f t="shared" si="2424"/>
        <v>3.5937024553220294</v>
      </c>
      <c r="R2363" s="361">
        <f t="shared" si="2424"/>
        <v>4.7043361991392345</v>
      </c>
      <c r="S2363" s="361">
        <f t="shared" si="2424"/>
        <v>6.1582113014831261</v>
      </c>
      <c r="T2363" s="361">
        <f t="shared" si="2424"/>
        <v>8.0614065042063707</v>
      </c>
      <c r="U2363" s="361">
        <f t="shared" si="2424"/>
        <v>10.552784184331198</v>
      </c>
      <c r="V2363" s="362">
        <f t="shared" si="2424"/>
        <v>13.814122136498556</v>
      </c>
      <c r="X2363" s="351"/>
    </row>
    <row r="2364" spans="3:24" ht="24.75" customHeight="1" x14ac:dyDescent="0.3">
      <c r="C2364" s="353">
        <f>ABS(E2364-Dashboard!$F$14)</f>
        <v>45.731583254167582</v>
      </c>
      <c r="D2364" s="350">
        <f t="shared" si="2379"/>
        <v>0.30914999999998122</v>
      </c>
      <c r="E2364" s="359" cm="1">
        <f t="array" ref="E2364">1000*SUM('DRE + DCF'!$L$36/M2364,'DRE + DCF'!$N$36:$V$36/N2364:V2364,F2364/V2364)/Dashboard!$F$11</f>
        <v>51.258416745832413</v>
      </c>
      <c r="F2364" s="359">
        <f t="shared" si="2377"/>
        <v>8476281.4300214089</v>
      </c>
      <c r="G2364" s="359">
        <f>'DRE + DCF'!$W$31</f>
        <v>2791623.3540418856</v>
      </c>
      <c r="H2364" s="359">
        <f>'DRE + DCF'!$W$32</f>
        <v>81081.931703745853</v>
      </c>
      <c r="I2364" s="359">
        <f>-H2364*('DRE + DCF'!$V$33+K2364)/'DRE + DCF'!$V$33</f>
        <v>-90858.801614444121</v>
      </c>
      <c r="J2364" s="359">
        <f>-'DRE + DCF'!$V$56*L2364</f>
        <v>-1188924.4255577971</v>
      </c>
      <c r="K2364" s="360">
        <f>(1+L2364)/(1+Ke!$O$12)-1</f>
        <v>2.0000000000000018E-2</v>
      </c>
      <c r="L2364" s="360">
        <f>'DRE + DCF'!$Y$31</f>
        <v>7.3550000000000004E-2</v>
      </c>
      <c r="M2364" s="361">
        <f>(1+D2364)^((5-Dashboard!$F$9)*3/12)</f>
        <v>1.2238890734785302</v>
      </c>
      <c r="N2364" s="361">
        <f t="shared" ref="N2364:V2364" si="2425">M2364*(1+$D2364)</f>
        <v>1.6022543805443947</v>
      </c>
      <c r="O2364" s="361">
        <f t="shared" si="2425"/>
        <v>2.0975913222896643</v>
      </c>
      <c r="P2364" s="361">
        <f t="shared" si="2425"/>
        <v>2.7460616795754746</v>
      </c>
      <c r="Q2364" s="361">
        <f t="shared" si="2425"/>
        <v>3.5950066478161808</v>
      </c>
      <c r="R2364" s="361">
        <f t="shared" si="2425"/>
        <v>4.7064029529884852</v>
      </c>
      <c r="S2364" s="361">
        <f t="shared" si="2425"/>
        <v>6.1613874259047865</v>
      </c>
      <c r="T2364" s="361">
        <f t="shared" si="2425"/>
        <v>8.0661803486231349</v>
      </c>
      <c r="U2364" s="361">
        <f t="shared" si="2425"/>
        <v>10.559840003399826</v>
      </c>
      <c r="V2364" s="362">
        <f t="shared" si="2425"/>
        <v>13.824414540450682</v>
      </c>
      <c r="X2364" s="351"/>
    </row>
    <row r="2365" spans="3:24" ht="24.75" customHeight="1" x14ac:dyDescent="0.3">
      <c r="C2365" s="353">
        <f>ABS(E2365-Dashboard!$F$14)</f>
        <v>45.757100620017191</v>
      </c>
      <c r="D2365" s="350">
        <f t="shared" si="2379"/>
        <v>0.30924999999998121</v>
      </c>
      <c r="E2365" s="359" cm="1">
        <f t="array" ref="E2365">1000*SUM('DRE + DCF'!$L$36/M2365,'DRE + DCF'!$N$36:$V$36/N2365:V2365,F2365/V2365)/Dashboard!$F$11</f>
        <v>51.232899379982804</v>
      </c>
      <c r="F2365" s="359">
        <f t="shared" si="2377"/>
        <v>8473174.3089042883</v>
      </c>
      <c r="G2365" s="359">
        <f>'DRE + DCF'!$W$31</f>
        <v>2791623.3540418856</v>
      </c>
      <c r="H2365" s="359">
        <f>'DRE + DCF'!$W$32</f>
        <v>81081.931703745853</v>
      </c>
      <c r="I2365" s="359">
        <f>-H2365*('DRE + DCF'!$V$33+K2365)/'DRE + DCF'!$V$33</f>
        <v>-90858.801614444121</v>
      </c>
      <c r="J2365" s="359">
        <f>-'DRE + DCF'!$V$56*L2365</f>
        <v>-1188924.4255577971</v>
      </c>
      <c r="K2365" s="360">
        <f>(1+L2365)/(1+Ke!$O$12)-1</f>
        <v>2.0000000000000018E-2</v>
      </c>
      <c r="L2365" s="360">
        <f>'DRE + DCF'!$Y$31</f>
        <v>7.3550000000000004E-2</v>
      </c>
      <c r="M2365" s="361">
        <f>(1+D2365)^((5-Dashboard!$F$9)*3/12)</f>
        <v>1.2239591882889762</v>
      </c>
      <c r="N2365" s="361">
        <f t="shared" ref="N2365:V2365" si="2426">M2365*(1+$D2365)</f>
        <v>1.6024685672673191</v>
      </c>
      <c r="O2365" s="361">
        <f t="shared" si="2426"/>
        <v>2.0980319716947076</v>
      </c>
      <c r="P2365" s="361">
        <f t="shared" si="2426"/>
        <v>2.7468483589412562</v>
      </c>
      <c r="Q2365" s="361">
        <f t="shared" si="2426"/>
        <v>3.5963112139437881</v>
      </c>
      <c r="R2365" s="361">
        <f t="shared" si="2426"/>
        <v>4.7084704568558369</v>
      </c>
      <c r="S2365" s="361">
        <f t="shared" si="2426"/>
        <v>6.1645649456384159</v>
      </c>
      <c r="T2365" s="361">
        <f t="shared" si="2426"/>
        <v>8.07095665507698</v>
      </c>
      <c r="U2365" s="361">
        <f t="shared" si="2426"/>
        <v>10.566900000659384</v>
      </c>
      <c r="V2365" s="362">
        <f t="shared" si="2426"/>
        <v>13.8347138258631</v>
      </c>
      <c r="X2365" s="351"/>
    </row>
    <row r="2366" spans="3:24" ht="24.75" customHeight="1" x14ac:dyDescent="0.3">
      <c r="C2366" s="353">
        <f>ABS(E2366-Dashboard!$F$14)</f>
        <v>45.782595245498662</v>
      </c>
      <c r="D2366" s="350">
        <f t="shared" si="2379"/>
        <v>0.3093499999999812</v>
      </c>
      <c r="E2366" s="359" cm="1">
        <f t="array" ref="E2366">1000*SUM('DRE + DCF'!$L$36/M2366,'DRE + DCF'!$N$36:$V$36/N2366:V2366,F2366/V2366)/Dashboard!$F$11</f>
        <v>51.207404754501333</v>
      </c>
      <c r="F2366" s="359">
        <f t="shared" si="2377"/>
        <v>8470069.5070999488</v>
      </c>
      <c r="G2366" s="359">
        <f>'DRE + DCF'!$W$31</f>
        <v>2791623.3540418856</v>
      </c>
      <c r="H2366" s="359">
        <f>'DRE + DCF'!$W$32</f>
        <v>81081.931703745853</v>
      </c>
      <c r="I2366" s="359">
        <f>-H2366*('DRE + DCF'!$V$33+K2366)/'DRE + DCF'!$V$33</f>
        <v>-90858.801614444121</v>
      </c>
      <c r="J2366" s="359">
        <f>-'DRE + DCF'!$V$56*L2366</f>
        <v>-1188924.4255577971</v>
      </c>
      <c r="K2366" s="360">
        <f>(1+L2366)/(1+Ke!$O$12)-1</f>
        <v>2.0000000000000018E-2</v>
      </c>
      <c r="L2366" s="360">
        <f>'DRE + DCF'!$Y$31</f>
        <v>7.3550000000000004E-2</v>
      </c>
      <c r="M2366" s="361">
        <f>(1+D2366)^((5-Dashboard!$F$9)*3/12)</f>
        <v>1.2240293017605994</v>
      </c>
      <c r="N2366" s="361">
        <f t="shared" ref="N2366:V2366" si="2427">M2366*(1+$D2366)</f>
        <v>1.6026827662602179</v>
      </c>
      <c r="O2366" s="361">
        <f t="shared" si="2427"/>
        <v>2.0984726800027862</v>
      </c>
      <c r="P2366" s="361">
        <f t="shared" si="2427"/>
        <v>2.7476352035616087</v>
      </c>
      <c r="Q2366" s="361">
        <f t="shared" si="2427"/>
        <v>3.5976161537833407</v>
      </c>
      <c r="R2366" s="361">
        <f t="shared" si="2427"/>
        <v>4.7105387109561496</v>
      </c>
      <c r="S2366" s="361">
        <f t="shared" si="2427"/>
        <v>6.1677438611903455</v>
      </c>
      <c r="T2366" s="361">
        <f t="shared" si="2427"/>
        <v>8.0757354246494621</v>
      </c>
      <c r="U2366" s="361">
        <f t="shared" si="2427"/>
        <v>10.573964178264621</v>
      </c>
      <c r="V2366" s="362">
        <f t="shared" si="2427"/>
        <v>13.845019996810581</v>
      </c>
      <c r="X2366" s="351"/>
    </row>
    <row r="2367" spans="3:24" ht="24.75" customHeight="1" x14ac:dyDescent="0.3">
      <c r="C2367" s="353">
        <f>ABS(E2367-Dashboard!$F$14)</f>
        <v>45.808067158816229</v>
      </c>
      <c r="D2367" s="350">
        <f t="shared" si="2379"/>
        <v>0.30944999999998118</v>
      </c>
      <c r="E2367" s="359" cm="1">
        <f t="array" ref="E2367">1000*SUM('DRE + DCF'!$L$36/M2367,'DRE + DCF'!$N$36:$V$36/N2367:V2367,F2367/V2367)/Dashboard!$F$11</f>
        <v>51.181932841183766</v>
      </c>
      <c r="F2367" s="359">
        <f t="shared" si="2377"/>
        <v>8466967.0219651498</v>
      </c>
      <c r="G2367" s="359">
        <f>'DRE + DCF'!$W$31</f>
        <v>2791623.3540418856</v>
      </c>
      <c r="H2367" s="359">
        <f>'DRE + DCF'!$W$32</f>
        <v>81081.931703745853</v>
      </c>
      <c r="I2367" s="359">
        <f>-H2367*('DRE + DCF'!$V$33+K2367)/'DRE + DCF'!$V$33</f>
        <v>-90858.801614444121</v>
      </c>
      <c r="J2367" s="359">
        <f>-'DRE + DCF'!$V$56*L2367</f>
        <v>-1188924.4255577971</v>
      </c>
      <c r="K2367" s="360">
        <f>(1+L2367)/(1+Ke!$O$12)-1</f>
        <v>2.0000000000000018E-2</v>
      </c>
      <c r="L2367" s="360">
        <f>'DRE + DCF'!$Y$31</f>
        <v>7.3550000000000004E-2</v>
      </c>
      <c r="M2367" s="361">
        <f>(1+D2367)^((5-Dashboard!$F$9)*3/12)</f>
        <v>1.2240994138935279</v>
      </c>
      <c r="N2367" s="361">
        <f t="shared" ref="N2367:V2367" si="2428">M2367*(1+$D2367)</f>
        <v>1.602896977522857</v>
      </c>
      <c r="O2367" s="361">
        <f t="shared" si="2428"/>
        <v>2.0989134472172748</v>
      </c>
      <c r="P2367" s="361">
        <f t="shared" si="2428"/>
        <v>2.7484222134586207</v>
      </c>
      <c r="Q2367" s="361">
        <f t="shared" si="2428"/>
        <v>3.598921467413339</v>
      </c>
      <c r="R2367" s="361">
        <f t="shared" si="2428"/>
        <v>4.7126077155043289</v>
      </c>
      <c r="S2367" s="361">
        <f t="shared" si="2428"/>
        <v>6.1709241730670543</v>
      </c>
      <c r="T2367" s="361">
        <f t="shared" si="2428"/>
        <v>8.0805166584225372</v>
      </c>
      <c r="U2367" s="361">
        <f t="shared" si="2428"/>
        <v>10.58103253837124</v>
      </c>
      <c r="V2367" s="362">
        <f t="shared" si="2428"/>
        <v>13.85533305737002</v>
      </c>
      <c r="X2367" s="351"/>
    </row>
    <row r="2368" spans="3:24" ht="24.75" customHeight="1" x14ac:dyDescent="0.3">
      <c r="C2368" s="353">
        <f>ABS(E2368-Dashboard!$F$14)</f>
        <v>45.833516388129361</v>
      </c>
      <c r="D2368" s="350">
        <f t="shared" si="2379"/>
        <v>0.30954999999998117</v>
      </c>
      <c r="E2368" s="359" cm="1">
        <f t="array" ref="E2368">1000*SUM('DRE + DCF'!$L$36/M2368,'DRE + DCF'!$N$36:$V$36/N2368:V2368,F2368/V2368)/Dashboard!$F$11</f>
        <v>51.156483611870634</v>
      </c>
      <c r="F2368" s="359">
        <f t="shared" si="2377"/>
        <v>8463866.8508607373</v>
      </c>
      <c r="G2368" s="359">
        <f>'DRE + DCF'!$W$31</f>
        <v>2791623.3540418856</v>
      </c>
      <c r="H2368" s="359">
        <f>'DRE + DCF'!$W$32</f>
        <v>81081.931703745853</v>
      </c>
      <c r="I2368" s="359">
        <f>-H2368*('DRE + DCF'!$V$33+K2368)/'DRE + DCF'!$V$33</f>
        <v>-90858.801614444121</v>
      </c>
      <c r="J2368" s="359">
        <f>-'DRE + DCF'!$V$56*L2368</f>
        <v>-1188924.4255577971</v>
      </c>
      <c r="K2368" s="360">
        <f>(1+L2368)/(1+Ke!$O$12)-1</f>
        <v>2.0000000000000018E-2</v>
      </c>
      <c r="L2368" s="360">
        <f>'DRE + DCF'!$Y$31</f>
        <v>7.3550000000000004E-2</v>
      </c>
      <c r="M2368" s="361">
        <f>(1+D2368)^((5-Dashboard!$F$9)*3/12)</f>
        <v>1.2241695246878894</v>
      </c>
      <c r="N2368" s="361">
        <f t="shared" ref="N2368:V2368" si="2429">M2368*(1+$D2368)</f>
        <v>1.6031112010550024</v>
      </c>
      <c r="O2368" s="361">
        <f t="shared" si="2429"/>
        <v>2.099354273341548</v>
      </c>
      <c r="P2368" s="361">
        <f t="shared" si="2429"/>
        <v>2.7492093886543847</v>
      </c>
      <c r="Q2368" s="361">
        <f t="shared" si="2429"/>
        <v>3.6002271549122975</v>
      </c>
      <c r="R2368" s="361">
        <f t="shared" si="2429"/>
        <v>4.7146774707153316</v>
      </c>
      <c r="S2368" s="361">
        <f t="shared" si="2429"/>
        <v>6.1741058817751737</v>
      </c>
      <c r="T2368" s="361">
        <f t="shared" si="2429"/>
        <v>8.0853003574785625</v>
      </c>
      <c r="U2368" s="361">
        <f t="shared" si="2429"/>
        <v>10.588105083135899</v>
      </c>
      <c r="V2368" s="362">
        <f t="shared" si="2429"/>
        <v>13.865653011620417</v>
      </c>
      <c r="X2368" s="351"/>
    </row>
    <row r="2369" spans="3:24" ht="24.75" customHeight="1" x14ac:dyDescent="0.3">
      <c r="C2369" s="353">
        <f>ABS(E2369-Dashboard!$F$14)</f>
        <v>45.858942961552856</v>
      </c>
      <c r="D2369" s="350">
        <f t="shared" si="2379"/>
        <v>0.30964999999998116</v>
      </c>
      <c r="E2369" s="359" cm="1">
        <f t="array" ref="E2369">1000*SUM('DRE + DCF'!$L$36/M2369,'DRE + DCF'!$N$36:$V$36/N2369:V2369,F2369/V2369)/Dashboard!$F$11</f>
        <v>51.131057038447139</v>
      </c>
      <c r="F2369" s="359">
        <f t="shared" si="2377"/>
        <v>8460768.9911516402</v>
      </c>
      <c r="G2369" s="359">
        <f>'DRE + DCF'!$W$31</f>
        <v>2791623.3540418856</v>
      </c>
      <c r="H2369" s="359">
        <f>'DRE + DCF'!$W$32</f>
        <v>81081.931703745853</v>
      </c>
      <c r="I2369" s="359">
        <f>-H2369*('DRE + DCF'!$V$33+K2369)/'DRE + DCF'!$V$33</f>
        <v>-90858.801614444121</v>
      </c>
      <c r="J2369" s="359">
        <f>-'DRE + DCF'!$V$56*L2369</f>
        <v>-1188924.4255577971</v>
      </c>
      <c r="K2369" s="360">
        <f>(1+L2369)/(1+Ke!$O$12)-1</f>
        <v>2.0000000000000018E-2</v>
      </c>
      <c r="L2369" s="360">
        <f>'DRE + DCF'!$Y$31</f>
        <v>7.3550000000000004E-2</v>
      </c>
      <c r="M2369" s="361">
        <f>(1+D2369)^((5-Dashboard!$F$9)*3/12)</f>
        <v>1.2242396341438115</v>
      </c>
      <c r="N2369" s="361">
        <f t="shared" ref="N2369:V2369" si="2430">M2369*(1+$D2369)</f>
        <v>1.6033254368564196</v>
      </c>
      <c r="O2369" s="361">
        <f t="shared" si="2430"/>
        <v>2.0997951583789796</v>
      </c>
      <c r="P2369" s="361">
        <f t="shared" si="2430"/>
        <v>2.749996729170991</v>
      </c>
      <c r="Q2369" s="361">
        <f t="shared" si="2430"/>
        <v>3.6015332163587366</v>
      </c>
      <c r="R2369" s="361">
        <f t="shared" si="2430"/>
        <v>4.7167479768041511</v>
      </c>
      <c r="S2369" s="361">
        <f t="shared" si="2430"/>
        <v>6.1772889878214672</v>
      </c>
      <c r="T2369" s="361">
        <f t="shared" si="2430"/>
        <v>8.0900865229002683</v>
      </c>
      <c r="U2369" s="361">
        <f t="shared" si="2430"/>
        <v>10.595181814716183</v>
      </c>
      <c r="V2369" s="362">
        <f t="shared" si="2430"/>
        <v>13.875979863642849</v>
      </c>
      <c r="X2369" s="351"/>
    </row>
    <row r="2370" spans="3:24" ht="24.75" customHeight="1" x14ac:dyDescent="0.3">
      <c r="C2370" s="353">
        <f>ABS(E2370-Dashboard!$F$14)</f>
        <v>45.884346907156896</v>
      </c>
      <c r="D2370" s="350">
        <f t="shared" si="2379"/>
        <v>0.30974999999998115</v>
      </c>
      <c r="E2370" s="359" cm="1">
        <f t="array" ref="E2370">1000*SUM('DRE + DCF'!$L$36/M2370,'DRE + DCF'!$N$36:$V$36/N2370:V2370,F2370/V2370)/Dashboard!$F$11</f>
        <v>51.105653092843099</v>
      </c>
      <c r="F2370" s="359">
        <f t="shared" si="2377"/>
        <v>8457673.4402068481</v>
      </c>
      <c r="G2370" s="359">
        <f>'DRE + DCF'!$W$31</f>
        <v>2791623.3540418856</v>
      </c>
      <c r="H2370" s="359">
        <f>'DRE + DCF'!$W$32</f>
        <v>81081.931703745853</v>
      </c>
      <c r="I2370" s="359">
        <f>-H2370*('DRE + DCF'!$V$33+K2370)/'DRE + DCF'!$V$33</f>
        <v>-90858.801614444121</v>
      </c>
      <c r="J2370" s="359">
        <f>-'DRE + DCF'!$V$56*L2370</f>
        <v>-1188924.4255577971</v>
      </c>
      <c r="K2370" s="360">
        <f>(1+L2370)/(1+Ke!$O$12)-1</f>
        <v>2.0000000000000018E-2</v>
      </c>
      <c r="L2370" s="360">
        <f>'DRE + DCF'!$Y$31</f>
        <v>7.3550000000000004E-2</v>
      </c>
      <c r="M2370" s="361">
        <f>(1+D2370)^((5-Dashboard!$F$9)*3/12)</f>
        <v>1.2243097422614222</v>
      </c>
      <c r="N2370" s="361">
        <f t="shared" ref="N2370:V2370" si="2431">M2370*(1+$D2370)</f>
        <v>1.6035396849268746</v>
      </c>
      <c r="O2370" s="361">
        <f t="shared" si="2431"/>
        <v>2.1002361023329437</v>
      </c>
      <c r="P2370" s="361">
        <f t="shared" si="2431"/>
        <v>2.7507842350305332</v>
      </c>
      <c r="Q2370" s="361">
        <f t="shared" si="2431"/>
        <v>3.6028396518311889</v>
      </c>
      <c r="R2370" s="361">
        <f t="shared" si="2431"/>
        <v>4.7188192339858315</v>
      </c>
      <c r="S2370" s="361">
        <f t="shared" si="2431"/>
        <v>6.1804734917128537</v>
      </c>
      <c r="T2370" s="361">
        <f t="shared" si="2431"/>
        <v>8.0948751557707936</v>
      </c>
      <c r="U2370" s="361">
        <f t="shared" si="2431"/>
        <v>10.602262735270644</v>
      </c>
      <c r="V2370" s="362">
        <f t="shared" si="2431"/>
        <v>13.886313617520525</v>
      </c>
      <c r="X2370" s="351"/>
    </row>
    <row r="2371" spans="3:24" ht="24.75" customHeight="1" x14ac:dyDescent="0.3">
      <c r="C2371" s="353">
        <f>ABS(E2371-Dashboard!$F$14)</f>
        <v>45.909728252967255</v>
      </c>
      <c r="D2371" s="350">
        <f t="shared" si="2379"/>
        <v>0.30984999999998114</v>
      </c>
      <c r="E2371" s="359" cm="1">
        <f t="array" ref="E2371">1000*SUM('DRE + DCF'!$L$36/M2371,'DRE + DCF'!$N$36:$V$36/N2371:V2371,F2371/V2371)/Dashboard!$F$11</f>
        <v>51.080271747032739</v>
      </c>
      <c r="F2371" s="359">
        <f t="shared" si="2377"/>
        <v>8454580.1953994129</v>
      </c>
      <c r="G2371" s="359">
        <f>'DRE + DCF'!$W$31</f>
        <v>2791623.3540418856</v>
      </c>
      <c r="H2371" s="359">
        <f>'DRE + DCF'!$W$32</f>
        <v>81081.931703745853</v>
      </c>
      <c r="I2371" s="359">
        <f>-H2371*('DRE + DCF'!$V$33+K2371)/'DRE + DCF'!$V$33</f>
        <v>-90858.801614444121</v>
      </c>
      <c r="J2371" s="359">
        <f>-'DRE + DCF'!$V$56*L2371</f>
        <v>-1188924.4255577971</v>
      </c>
      <c r="K2371" s="360">
        <f>(1+L2371)/(1+Ke!$O$12)-1</f>
        <v>2.0000000000000018E-2</v>
      </c>
      <c r="L2371" s="360">
        <f>'DRE + DCF'!$Y$31</f>
        <v>7.3550000000000004E-2</v>
      </c>
      <c r="M2371" s="361">
        <f>(1+D2371)^((5-Dashboard!$F$9)*3/12)</f>
        <v>1.2243798490408491</v>
      </c>
      <c r="N2371" s="361">
        <f t="shared" ref="N2371:V2371" si="2432">M2371*(1+$D2371)</f>
        <v>1.6037539452661329</v>
      </c>
      <c r="O2371" s="361">
        <f t="shared" si="2432"/>
        <v>2.1006771052068141</v>
      </c>
      <c r="P2371" s="361">
        <f t="shared" si="2432"/>
        <v>2.7515719062551058</v>
      </c>
      <c r="Q2371" s="361">
        <f t="shared" si="2432"/>
        <v>3.6041464614081984</v>
      </c>
      <c r="R2371" s="361">
        <f t="shared" si="2432"/>
        <v>4.7208912424754601</v>
      </c>
      <c r="S2371" s="361">
        <f t="shared" si="2432"/>
        <v>6.1836593939563924</v>
      </c>
      <c r="T2371" s="361">
        <f t="shared" si="2432"/>
        <v>8.0996662571736628</v>
      </c>
      <c r="U2371" s="361">
        <f t="shared" si="2432"/>
        <v>10.609347846958769</v>
      </c>
      <c r="V2371" s="362">
        <f t="shared" si="2432"/>
        <v>13.896654277338744</v>
      </c>
      <c r="X2371" s="351"/>
    </row>
    <row r="2372" spans="3:24" ht="24.75" customHeight="1" x14ac:dyDescent="0.3">
      <c r="C2372" s="353">
        <f>ABS(E2372-Dashboard!$F$14)</f>
        <v>45.935087026965199</v>
      </c>
      <c r="D2372" s="350">
        <f t="shared" si="2379"/>
        <v>0.30994999999998113</v>
      </c>
      <c r="E2372" s="359" cm="1">
        <f t="array" ref="E2372">1000*SUM('DRE + DCF'!$L$36/M2372,'DRE + DCF'!$N$36:$V$36/N2372:V2372,F2372/V2372)/Dashboard!$F$11</f>
        <v>51.054912973034796</v>
      </c>
      <c r="F2372" s="359">
        <f t="shared" si="2377"/>
        <v>8451489.2541064415</v>
      </c>
      <c r="G2372" s="359">
        <f>'DRE + DCF'!$W$31</f>
        <v>2791623.3540418856</v>
      </c>
      <c r="H2372" s="359">
        <f>'DRE + DCF'!$W$32</f>
        <v>81081.931703745853</v>
      </c>
      <c r="I2372" s="359">
        <f>-H2372*('DRE + DCF'!$V$33+K2372)/'DRE + DCF'!$V$33</f>
        <v>-90858.801614444121</v>
      </c>
      <c r="J2372" s="359">
        <f>-'DRE + DCF'!$V$56*L2372</f>
        <v>-1188924.4255577971</v>
      </c>
      <c r="K2372" s="360">
        <f>(1+L2372)/(1+Ke!$O$12)-1</f>
        <v>2.0000000000000018E-2</v>
      </c>
      <c r="L2372" s="360">
        <f>'DRE + DCF'!$Y$31</f>
        <v>7.3550000000000004E-2</v>
      </c>
      <c r="M2372" s="361">
        <f>(1+D2372)^((5-Dashboard!$F$9)*3/12)</f>
        <v>1.22444995448222</v>
      </c>
      <c r="N2372" s="361">
        <f t="shared" ref="N2372:V2372" si="2433">M2372*(1+$D2372)</f>
        <v>1.6039682178739609</v>
      </c>
      <c r="O2372" s="361">
        <f t="shared" si="2433"/>
        <v>2.1011181670039649</v>
      </c>
      <c r="P2372" s="361">
        <f t="shared" si="2433"/>
        <v>2.7523597428668043</v>
      </c>
      <c r="Q2372" s="361">
        <f t="shared" si="2433"/>
        <v>3.6054536451683181</v>
      </c>
      <c r="R2372" s="361">
        <f t="shared" si="2433"/>
        <v>4.7229640024881698</v>
      </c>
      <c r="S2372" s="361">
        <f t="shared" si="2433"/>
        <v>6.1868466950592884</v>
      </c>
      <c r="T2372" s="361">
        <f t="shared" si="2433"/>
        <v>8.1044598281927982</v>
      </c>
      <c r="U2372" s="361">
        <f t="shared" si="2433"/>
        <v>10.616437151941003</v>
      </c>
      <c r="V2372" s="362">
        <f t="shared" si="2433"/>
        <v>13.907001847184917</v>
      </c>
      <c r="X2372" s="351"/>
    </row>
    <row r="2373" spans="3:24" ht="24.75" customHeight="1" x14ac:dyDescent="0.3">
      <c r="C2373" s="353">
        <f>ABS(E2373-Dashboard!$F$14)</f>
        <v>45.960423257087719</v>
      </c>
      <c r="D2373" s="350">
        <f t="shared" si="2379"/>
        <v>0.31004999999998112</v>
      </c>
      <c r="E2373" s="359" cm="1">
        <f t="array" ref="E2373">1000*SUM('DRE + DCF'!$L$36/M2373,'DRE + DCF'!$N$36:$V$36/N2373:V2373,F2373/V2373)/Dashboard!$F$11</f>
        <v>51.029576742912276</v>
      </c>
      <c r="F2373" s="359">
        <f t="shared" si="2377"/>
        <v>8448400.6137090847</v>
      </c>
      <c r="G2373" s="359">
        <f>'DRE + DCF'!$W$31</f>
        <v>2791623.3540418856</v>
      </c>
      <c r="H2373" s="359">
        <f>'DRE + DCF'!$W$32</f>
        <v>81081.931703745853</v>
      </c>
      <c r="I2373" s="359">
        <f>-H2373*('DRE + DCF'!$V$33+K2373)/'DRE + DCF'!$V$33</f>
        <v>-90858.801614444121</v>
      </c>
      <c r="J2373" s="359">
        <f>-'DRE + DCF'!$V$56*L2373</f>
        <v>-1188924.4255577971</v>
      </c>
      <c r="K2373" s="360">
        <f>(1+L2373)/(1+Ke!$O$12)-1</f>
        <v>2.0000000000000018E-2</v>
      </c>
      <c r="L2373" s="360">
        <f>'DRE + DCF'!$Y$31</f>
        <v>7.3550000000000004E-2</v>
      </c>
      <c r="M2373" s="361">
        <f>(1+D2373)^((5-Dashboard!$F$9)*3/12)</f>
        <v>1.2245200585856624</v>
      </c>
      <c r="N2373" s="361">
        <f t="shared" ref="N2373:V2373" si="2434">M2373*(1+$D2373)</f>
        <v>1.6041825027501238</v>
      </c>
      <c r="O2373" s="361">
        <f t="shared" si="2434"/>
        <v>2.1015592877277691</v>
      </c>
      <c r="P2373" s="361">
        <f t="shared" si="2434"/>
        <v>2.7531477448877242</v>
      </c>
      <c r="Q2373" s="361">
        <f t="shared" si="2434"/>
        <v>3.6067612031901111</v>
      </c>
      <c r="R2373" s="361">
        <f t="shared" si="2434"/>
        <v>4.725037514239137</v>
      </c>
      <c r="S2373" s="361">
        <f t="shared" si="2434"/>
        <v>6.1900353955288923</v>
      </c>
      <c r="T2373" s="361">
        <f t="shared" si="2434"/>
        <v>8.1092558699125075</v>
      </c>
      <c r="U2373" s="361">
        <f t="shared" si="2434"/>
        <v>10.623530652378728</v>
      </c>
      <c r="V2373" s="362">
        <f t="shared" si="2434"/>
        <v>13.91735633114855</v>
      </c>
      <c r="X2373" s="351"/>
    </row>
    <row r="2374" spans="3:24" ht="24.75" customHeight="1" x14ac:dyDescent="0.3">
      <c r="C2374" s="353">
        <f>ABS(E2374-Dashboard!$F$14)</f>
        <v>45.98573697122756</v>
      </c>
      <c r="D2374" s="350">
        <f t="shared" si="2379"/>
        <v>0.31014999999998111</v>
      </c>
      <c r="E2374" s="359" cm="1">
        <f t="array" ref="E2374">1000*SUM('DRE + DCF'!$L$36/M2374,'DRE + DCF'!$N$36:$V$36/N2374:V2374,F2374/V2374)/Dashboard!$F$11</f>
        <v>51.004263028772435</v>
      </c>
      <c r="F2374" s="359">
        <f t="shared" si="2377"/>
        <v>8445314.2715925276</v>
      </c>
      <c r="G2374" s="359">
        <f>'DRE + DCF'!$W$31</f>
        <v>2791623.3540418856</v>
      </c>
      <c r="H2374" s="359">
        <f>'DRE + DCF'!$W$32</f>
        <v>81081.931703745853</v>
      </c>
      <c r="I2374" s="359">
        <f>-H2374*('DRE + DCF'!$V$33+K2374)/'DRE + DCF'!$V$33</f>
        <v>-90858.801614444121</v>
      </c>
      <c r="J2374" s="359">
        <f>-'DRE + DCF'!$V$56*L2374</f>
        <v>-1188924.4255577971</v>
      </c>
      <c r="K2374" s="360">
        <f>(1+L2374)/(1+Ke!$O$12)-1</f>
        <v>2.0000000000000018E-2</v>
      </c>
      <c r="L2374" s="360">
        <f>'DRE + DCF'!$Y$31</f>
        <v>7.3550000000000004E-2</v>
      </c>
      <c r="M2374" s="361">
        <f>(1+D2374)^((5-Dashboard!$F$9)*3/12)</f>
        <v>1.2245901613513039</v>
      </c>
      <c r="N2374" s="361">
        <f t="shared" ref="N2374:V2374" si="2435">M2374*(1+$D2374)</f>
        <v>1.6043967998943875</v>
      </c>
      <c r="O2374" s="361">
        <f t="shared" si="2435"/>
        <v>2.1020004673816013</v>
      </c>
      <c r="P2374" s="361">
        <f t="shared" si="2435"/>
        <v>2.7539359123399652</v>
      </c>
      <c r="Q2374" s="361">
        <f t="shared" si="2435"/>
        <v>3.608069135552153</v>
      </c>
      <c r="R2374" s="361">
        <f t="shared" si="2435"/>
        <v>4.7271117779435849</v>
      </c>
      <c r="S2374" s="361">
        <f t="shared" si="2435"/>
        <v>6.1932254958726984</v>
      </c>
      <c r="T2374" s="361">
        <f t="shared" si="2435"/>
        <v>8.1140543834174981</v>
      </c>
      <c r="U2374" s="361">
        <f t="shared" si="2435"/>
        <v>10.630628350434282</v>
      </c>
      <c r="V2374" s="362">
        <f t="shared" si="2435"/>
        <v>13.927717733321273</v>
      </c>
      <c r="X2374" s="351"/>
    </row>
    <row r="2375" spans="3:24" ht="24.75" customHeight="1" x14ac:dyDescent="0.3">
      <c r="C2375" s="353">
        <f>ABS(E2375-Dashboard!$F$14)</f>
        <v>46.011028197233394</v>
      </c>
      <c r="D2375" s="350">
        <f t="shared" si="2379"/>
        <v>0.3102499999999811</v>
      </c>
      <c r="E2375" s="359" cm="1">
        <f t="array" ref="E2375">1000*SUM('DRE + DCF'!$L$36/M2375,'DRE + DCF'!$N$36:$V$36/N2375:V2375,F2375/V2375)/Dashboard!$F$11</f>
        <v>50.978971802766601</v>
      </c>
      <c r="F2375" s="359">
        <f t="shared" si="2377"/>
        <v>8442230.2251459844</v>
      </c>
      <c r="G2375" s="359">
        <f>'DRE + DCF'!$W$31</f>
        <v>2791623.3540418856</v>
      </c>
      <c r="H2375" s="359">
        <f>'DRE + DCF'!$W$32</f>
        <v>81081.931703745853</v>
      </c>
      <c r="I2375" s="359">
        <f>-H2375*('DRE + DCF'!$V$33+K2375)/'DRE + DCF'!$V$33</f>
        <v>-90858.801614444121</v>
      </c>
      <c r="J2375" s="359">
        <f>-'DRE + DCF'!$V$56*L2375</f>
        <v>-1188924.4255577971</v>
      </c>
      <c r="K2375" s="360">
        <f>(1+L2375)/(1+Ke!$O$12)-1</f>
        <v>2.0000000000000018E-2</v>
      </c>
      <c r="L2375" s="360">
        <f>'DRE + DCF'!$Y$31</f>
        <v>7.3550000000000004E-2</v>
      </c>
      <c r="M2375" s="361">
        <f>(1+D2375)^((5-Dashboard!$F$9)*3/12)</f>
        <v>1.2246602627792726</v>
      </c>
      <c r="N2375" s="361">
        <f t="shared" ref="N2375:V2375" si="2436">M2375*(1+$D2375)</f>
        <v>1.6046111093065187</v>
      </c>
      <c r="O2375" s="361">
        <f t="shared" si="2436"/>
        <v>2.1024417059688356</v>
      </c>
      <c r="P2375" s="361">
        <f t="shared" si="2436"/>
        <v>2.7547242452456269</v>
      </c>
      <c r="Q2375" s="361">
        <f t="shared" si="2436"/>
        <v>3.6093774423330305</v>
      </c>
      <c r="R2375" s="361">
        <f t="shared" si="2436"/>
        <v>4.7291867938167851</v>
      </c>
      <c r="S2375" s="361">
        <f t="shared" si="2436"/>
        <v>6.1964169965983533</v>
      </c>
      <c r="T2375" s="361">
        <f t="shared" si="2436"/>
        <v>8.1188553697928754</v>
      </c>
      <c r="U2375" s="361">
        <f t="shared" si="2436"/>
        <v>10.637730248270961</v>
      </c>
      <c r="V2375" s="362">
        <f t="shared" si="2436"/>
        <v>13.938086057796825</v>
      </c>
      <c r="X2375" s="351"/>
    </row>
    <row r="2376" spans="3:24" ht="24.75" customHeight="1" x14ac:dyDescent="0.3">
      <c r="C2376" s="353">
        <f>ABS(E2376-Dashboard!$F$14)</f>
        <v>46.036296962909717</v>
      </c>
      <c r="D2376" s="350">
        <f t="shared" si="2379"/>
        <v>0.31034999999998109</v>
      </c>
      <c r="E2376" s="359" cm="1">
        <f t="array" ref="E2376">1000*SUM('DRE + DCF'!$L$36/M2376,'DRE + DCF'!$N$36:$V$36/N2376:V2376,F2376/V2376)/Dashboard!$F$11</f>
        <v>50.953703037090278</v>
      </c>
      <c r="F2376" s="359">
        <f t="shared" si="2377"/>
        <v>8439148.4717626963</v>
      </c>
      <c r="G2376" s="359">
        <f>'DRE + DCF'!$W$31</f>
        <v>2791623.3540418856</v>
      </c>
      <c r="H2376" s="359">
        <f>'DRE + DCF'!$W$32</f>
        <v>81081.931703745853</v>
      </c>
      <c r="I2376" s="359">
        <f>-H2376*('DRE + DCF'!$V$33+K2376)/'DRE + DCF'!$V$33</f>
        <v>-90858.801614444121</v>
      </c>
      <c r="J2376" s="359">
        <f>-'DRE + DCF'!$V$56*L2376</f>
        <v>-1188924.4255577971</v>
      </c>
      <c r="K2376" s="360">
        <f>(1+L2376)/(1+Ke!$O$12)-1</f>
        <v>2.0000000000000018E-2</v>
      </c>
      <c r="L2376" s="360">
        <f>'DRE + DCF'!$Y$31</f>
        <v>7.3550000000000004E-2</v>
      </c>
      <c r="M2376" s="361">
        <f>(1+D2376)^((5-Dashboard!$F$9)*3/12)</f>
        <v>1.2247303628696957</v>
      </c>
      <c r="N2376" s="361">
        <f t="shared" ref="N2376:V2376" si="2437">M2376*(1+$D2376)</f>
        <v>1.6048254309862826</v>
      </c>
      <c r="O2376" s="361">
        <f t="shared" si="2437"/>
        <v>2.102883003492845</v>
      </c>
      <c r="P2376" s="361">
        <f t="shared" si="2437"/>
        <v>2.7555127436268094</v>
      </c>
      <c r="Q2376" s="361">
        <f t="shared" si="2437"/>
        <v>3.6106861236113375</v>
      </c>
      <c r="R2376" s="361">
        <f t="shared" si="2437"/>
        <v>4.7312625620740478</v>
      </c>
      <c r="S2376" s="361">
        <f t="shared" si="2437"/>
        <v>6.1996098982136392</v>
      </c>
      <c r="T2376" s="361">
        <f t="shared" si="2437"/>
        <v>8.1236588301241248</v>
      </c>
      <c r="U2376" s="361">
        <f t="shared" si="2437"/>
        <v>10.644836348052992</v>
      </c>
      <c r="V2376" s="362">
        <f t="shared" si="2437"/>
        <v>13.948461308671037</v>
      </c>
      <c r="X2376" s="351"/>
    </row>
    <row r="2377" spans="3:24" ht="24.75" customHeight="1" x14ac:dyDescent="0.3">
      <c r="C2377" s="353">
        <f>ABS(E2377-Dashboard!$F$14)</f>
        <v>46.061543296017078</v>
      </c>
      <c r="D2377" s="350">
        <f t="shared" si="2379"/>
        <v>0.31044999999998107</v>
      </c>
      <c r="E2377" s="359" cm="1">
        <f t="array" ref="E2377">1000*SUM('DRE + DCF'!$L$36/M2377,'DRE + DCF'!$N$36:$V$36/N2377:V2377,F2377/V2377)/Dashboard!$F$11</f>
        <v>50.928456703982917</v>
      </c>
      <c r="F2377" s="359">
        <f t="shared" si="2377"/>
        <v>8436069.0088399071</v>
      </c>
      <c r="G2377" s="359">
        <f>'DRE + DCF'!$W$31</f>
        <v>2791623.3540418856</v>
      </c>
      <c r="H2377" s="359">
        <f>'DRE + DCF'!$W$32</f>
        <v>81081.931703745853</v>
      </c>
      <c r="I2377" s="359">
        <f>-H2377*('DRE + DCF'!$V$33+K2377)/'DRE + DCF'!$V$33</f>
        <v>-90858.801614444121</v>
      </c>
      <c r="J2377" s="359">
        <f>-'DRE + DCF'!$V$56*L2377</f>
        <v>-1188924.4255577971</v>
      </c>
      <c r="K2377" s="360">
        <f>(1+L2377)/(1+Ke!$O$12)-1</f>
        <v>2.0000000000000018E-2</v>
      </c>
      <c r="L2377" s="360">
        <f>'DRE + DCF'!$Y$31</f>
        <v>7.3550000000000004E-2</v>
      </c>
      <c r="M2377" s="361">
        <f>(1+D2377)^((5-Dashboard!$F$9)*3/12)</f>
        <v>1.2248004616227008</v>
      </c>
      <c r="N2377" s="361">
        <f t="shared" ref="N2377:V2377" si="2438">M2377*(1+$D2377)</f>
        <v>1.6050397649334451</v>
      </c>
      <c r="O2377" s="361">
        <f t="shared" si="2438"/>
        <v>2.1033243599570026</v>
      </c>
      <c r="P2377" s="361">
        <f t="shared" si="2438"/>
        <v>2.7563014075056143</v>
      </c>
      <c r="Q2377" s="361">
        <f t="shared" si="2438"/>
        <v>3.6119951794656799</v>
      </c>
      <c r="R2377" s="361">
        <f t="shared" si="2438"/>
        <v>4.7333390829307316</v>
      </c>
      <c r="S2377" s="361">
        <f t="shared" si="2438"/>
        <v>6.2028042012264875</v>
      </c>
      <c r="T2377" s="361">
        <f t="shared" si="2438"/>
        <v>8.1284647654971334</v>
      </c>
      <c r="U2377" s="361">
        <f t="shared" si="2438"/>
        <v>10.651946651945565</v>
      </c>
      <c r="V2377" s="362">
        <f t="shared" si="2438"/>
        <v>13.958843490041863</v>
      </c>
      <c r="X2377" s="351"/>
    </row>
    <row r="2378" spans="3:24" ht="24.75" customHeight="1" x14ac:dyDescent="0.3">
      <c r="C2378" s="353">
        <f>ABS(E2378-Dashboard!$F$14)</f>
        <v>46.08676722427218</v>
      </c>
      <c r="D2378" s="350">
        <f t="shared" si="2379"/>
        <v>0.31054999999998106</v>
      </c>
      <c r="E2378" s="359" cm="1">
        <f t="array" ref="E2378">1000*SUM('DRE + DCF'!$L$36/M2378,'DRE + DCF'!$N$36:$V$36/N2378:V2378,F2378/V2378)/Dashboard!$F$11</f>
        <v>50.903232775727815</v>
      </c>
      <c r="F2378" s="359">
        <f t="shared" si="2377"/>
        <v>8432991.8337788749</v>
      </c>
      <c r="G2378" s="359">
        <f>'DRE + DCF'!$W$31</f>
        <v>2791623.3540418856</v>
      </c>
      <c r="H2378" s="359">
        <f>'DRE + DCF'!$W$32</f>
        <v>81081.931703745853</v>
      </c>
      <c r="I2378" s="359">
        <f>-H2378*('DRE + DCF'!$V$33+K2378)/'DRE + DCF'!$V$33</f>
        <v>-90858.801614444121</v>
      </c>
      <c r="J2378" s="359">
        <f>-'DRE + DCF'!$V$56*L2378</f>
        <v>-1188924.4255577971</v>
      </c>
      <c r="K2378" s="360">
        <f>(1+L2378)/(1+Ke!$O$12)-1</f>
        <v>2.0000000000000018E-2</v>
      </c>
      <c r="L2378" s="360">
        <f>'DRE + DCF'!$Y$31</f>
        <v>7.3550000000000004E-2</v>
      </c>
      <c r="M2378" s="361">
        <f>(1+D2378)^((5-Dashboard!$F$9)*3/12)</f>
        <v>1.2248705590384157</v>
      </c>
      <c r="N2378" s="361">
        <f t="shared" ref="N2378:V2378" si="2439">M2378*(1+$D2378)</f>
        <v>1.6052541111477725</v>
      </c>
      <c r="O2378" s="361">
        <f t="shared" si="2439"/>
        <v>2.1037657753646828</v>
      </c>
      <c r="P2378" s="361">
        <f t="shared" si="2439"/>
        <v>2.757090236904145</v>
      </c>
      <c r="Q2378" s="361">
        <f t="shared" si="2439"/>
        <v>3.6133046099746751</v>
      </c>
      <c r="R2378" s="361">
        <f t="shared" si="2439"/>
        <v>4.7354163566022418</v>
      </c>
      <c r="S2378" s="361">
        <f t="shared" si="2439"/>
        <v>6.205999906144978</v>
      </c>
      <c r="T2378" s="361">
        <f t="shared" si="2439"/>
        <v>8.1332731769981823</v>
      </c>
      <c r="U2378" s="361">
        <f t="shared" si="2439"/>
        <v>10.659061162114813</v>
      </c>
      <c r="V2378" s="362">
        <f t="shared" si="2439"/>
        <v>13.969232606009367</v>
      </c>
      <c r="X2378" s="351"/>
    </row>
    <row r="2379" spans="3:24" ht="24.75" customHeight="1" x14ac:dyDescent="0.3">
      <c r="C2379" s="353">
        <f>ABS(E2379-Dashboard!$F$14)</f>
        <v>46.11196877534789</v>
      </c>
      <c r="D2379" s="350">
        <f t="shared" si="2379"/>
        <v>0.31064999999998105</v>
      </c>
      <c r="E2379" s="359" cm="1">
        <f t="array" ref="E2379">1000*SUM('DRE + DCF'!$L$36/M2379,'DRE + DCF'!$N$36:$V$36/N2379:V2379,F2379/V2379)/Dashboard!$F$11</f>
        <v>50.878031224652105</v>
      </c>
      <c r="F2379" s="359">
        <f t="shared" si="2377"/>
        <v>8429916.9439848494</v>
      </c>
      <c r="G2379" s="359">
        <f>'DRE + DCF'!$W$31</f>
        <v>2791623.3540418856</v>
      </c>
      <c r="H2379" s="359">
        <f>'DRE + DCF'!$W$32</f>
        <v>81081.931703745853</v>
      </c>
      <c r="I2379" s="359">
        <f>-H2379*('DRE + DCF'!$V$33+K2379)/'DRE + DCF'!$V$33</f>
        <v>-90858.801614444121</v>
      </c>
      <c r="J2379" s="359">
        <f>-'DRE + DCF'!$V$56*L2379</f>
        <v>-1188924.4255577971</v>
      </c>
      <c r="K2379" s="360">
        <f>(1+L2379)/(1+Ke!$O$12)-1</f>
        <v>2.0000000000000018E-2</v>
      </c>
      <c r="L2379" s="360">
        <f>'DRE + DCF'!$Y$31</f>
        <v>7.3550000000000004E-2</v>
      </c>
      <c r="M2379" s="361">
        <f>(1+D2379)^((5-Dashboard!$F$9)*3/12)</f>
        <v>1.2249406551169677</v>
      </c>
      <c r="N2379" s="361">
        <f t="shared" ref="N2379:V2379" si="2440">M2379*(1+$D2379)</f>
        <v>1.6054684696290304</v>
      </c>
      <c r="O2379" s="361">
        <f t="shared" si="2440"/>
        <v>2.1042072497192583</v>
      </c>
      <c r="P2379" s="361">
        <f t="shared" si="2440"/>
        <v>2.7578792318445058</v>
      </c>
      <c r="Q2379" s="361">
        <f t="shared" si="2440"/>
        <v>3.6146144152169493</v>
      </c>
      <c r="R2379" s="361">
        <f t="shared" si="2440"/>
        <v>4.7374943833040257</v>
      </c>
      <c r="S2379" s="361">
        <f t="shared" si="2440"/>
        <v>6.2091970134773309</v>
      </c>
      <c r="T2379" s="361">
        <f t="shared" si="2440"/>
        <v>8.1380840657139455</v>
      </c>
      <c r="U2379" s="361">
        <f t="shared" si="2440"/>
        <v>10.666179880727828</v>
      </c>
      <c r="V2379" s="362">
        <f t="shared" si="2440"/>
        <v>13.979628660675726</v>
      </c>
      <c r="X2379" s="351"/>
    </row>
    <row r="2380" spans="3:24" ht="24.75" customHeight="1" x14ac:dyDescent="0.3">
      <c r="C2380" s="353">
        <f>ABS(E2380-Dashboard!$F$14)</f>
        <v>46.137147976873344</v>
      </c>
      <c r="D2380" s="350">
        <f t="shared" si="2379"/>
        <v>0.31074999999998104</v>
      </c>
      <c r="E2380" s="359" cm="1">
        <f t="array" ref="E2380">1000*SUM('DRE + DCF'!$L$36/M2380,'DRE + DCF'!$N$36:$V$36/N2380:V2380,F2380/V2380)/Dashboard!$F$11</f>
        <v>50.852852023126651</v>
      </c>
      <c r="F2380" s="359">
        <f t="shared" si="2377"/>
        <v>8426844.3368670754</v>
      </c>
      <c r="G2380" s="359">
        <f>'DRE + DCF'!$W$31</f>
        <v>2791623.3540418856</v>
      </c>
      <c r="H2380" s="359">
        <f>'DRE + DCF'!$W$32</f>
        <v>81081.931703745853</v>
      </c>
      <c r="I2380" s="359">
        <f>-H2380*('DRE + DCF'!$V$33+K2380)/'DRE + DCF'!$V$33</f>
        <v>-90858.801614444121</v>
      </c>
      <c r="J2380" s="359">
        <f>-'DRE + DCF'!$V$56*L2380</f>
        <v>-1188924.4255577971</v>
      </c>
      <c r="K2380" s="360">
        <f>(1+L2380)/(1+Ke!$O$12)-1</f>
        <v>2.0000000000000018E-2</v>
      </c>
      <c r="L2380" s="360">
        <f>'DRE + DCF'!$Y$31</f>
        <v>7.3550000000000004E-2</v>
      </c>
      <c r="M2380" s="361">
        <f>(1+D2380)^((5-Dashboard!$F$9)*3/12)</f>
        <v>1.2250107498584843</v>
      </c>
      <c r="N2380" s="361">
        <f t="shared" ref="N2380:V2380" si="2441">M2380*(1+$D2380)</f>
        <v>1.6056828403769852</v>
      </c>
      <c r="O2380" s="361">
        <f t="shared" si="2441"/>
        <v>2.104648783024103</v>
      </c>
      <c r="P2380" s="361">
        <f t="shared" si="2441"/>
        <v>2.7586683923488029</v>
      </c>
      <c r="Q2380" s="361">
        <f t="shared" si="2441"/>
        <v>3.615924595271141</v>
      </c>
      <c r="R2380" s="361">
        <f t="shared" si="2441"/>
        <v>4.7395731632515794</v>
      </c>
      <c r="S2380" s="361">
        <f t="shared" si="2441"/>
        <v>6.2123955237319173</v>
      </c>
      <c r="T2380" s="361">
        <f t="shared" si="2441"/>
        <v>8.1428974327314929</v>
      </c>
      <c r="U2380" s="361">
        <f t="shared" si="2441"/>
        <v>10.67330280995265</v>
      </c>
      <c r="V2380" s="362">
        <f t="shared" si="2441"/>
        <v>13.990031658145233</v>
      </c>
      <c r="X2380" s="351"/>
    </row>
    <row r="2381" spans="3:24" ht="24.75" customHeight="1" x14ac:dyDescent="0.3">
      <c r="C2381" s="353">
        <f>ABS(E2381-Dashboard!$F$14)</f>
        <v>46.162304856434048</v>
      </c>
      <c r="D2381" s="350">
        <f t="shared" si="2379"/>
        <v>0.31084999999998103</v>
      </c>
      <c r="E2381" s="359" cm="1">
        <f t="array" ref="E2381">1000*SUM('DRE + DCF'!$L$36/M2381,'DRE + DCF'!$N$36:$V$36/N2381:V2381,F2381/V2381)/Dashboard!$F$11</f>
        <v>50.827695143565947</v>
      </c>
      <c r="F2381" s="359">
        <f t="shared" si="2377"/>
        <v>8423774.0098387711</v>
      </c>
      <c r="G2381" s="359">
        <f>'DRE + DCF'!$W$31</f>
        <v>2791623.3540418856</v>
      </c>
      <c r="H2381" s="359">
        <f>'DRE + DCF'!$W$32</f>
        <v>81081.931703745853</v>
      </c>
      <c r="I2381" s="359">
        <f>-H2381*('DRE + DCF'!$V$33+K2381)/'DRE + DCF'!$V$33</f>
        <v>-90858.801614444121</v>
      </c>
      <c r="J2381" s="359">
        <f>-'DRE + DCF'!$V$56*L2381</f>
        <v>-1188924.4255577971</v>
      </c>
      <c r="K2381" s="360">
        <f>(1+L2381)/(1+Ke!$O$12)-1</f>
        <v>2.0000000000000018E-2</v>
      </c>
      <c r="L2381" s="360">
        <f>'DRE + DCF'!$Y$31</f>
        <v>7.3550000000000004E-2</v>
      </c>
      <c r="M2381" s="361">
        <f>(1+D2381)^((5-Dashboard!$F$9)*3/12)</f>
        <v>1.2250808432630935</v>
      </c>
      <c r="N2381" s="361">
        <f t="shared" ref="N2381:V2381" si="2442">M2381*(1+$D2381)</f>
        <v>1.6058972233914028</v>
      </c>
      <c r="O2381" s="361">
        <f t="shared" si="2442"/>
        <v>2.10509037528259</v>
      </c>
      <c r="P2381" s="361">
        <f t="shared" si="2442"/>
        <v>2.7594577184391431</v>
      </c>
      <c r="Q2381" s="361">
        <f t="shared" si="2442"/>
        <v>3.6172351502158984</v>
      </c>
      <c r="R2381" s="361">
        <f t="shared" si="2442"/>
        <v>4.7416526966604415</v>
      </c>
      <c r="S2381" s="361">
        <f t="shared" si="2442"/>
        <v>6.2155954374172495</v>
      </c>
      <c r="T2381" s="361">
        <f t="shared" si="2442"/>
        <v>8.1477132791382836</v>
      </c>
      <c r="U2381" s="361">
        <f t="shared" si="2442"/>
        <v>10.680429951958264</v>
      </c>
      <c r="V2381" s="362">
        <f t="shared" si="2442"/>
        <v>14.000441602524287</v>
      </c>
      <c r="X2381" s="351"/>
    </row>
    <row r="2382" spans="3:24" ht="24.75" customHeight="1" x14ac:dyDescent="0.3">
      <c r="C2382" s="353">
        <f>ABS(E2382-Dashboard!$F$14)</f>
        <v>46.187439441571968</v>
      </c>
      <c r="D2382" s="350">
        <f t="shared" si="2379"/>
        <v>0.31094999999998102</v>
      </c>
      <c r="E2382" s="359" cm="1">
        <f t="array" ref="E2382">1000*SUM('DRE + DCF'!$L$36/M2382,'DRE + DCF'!$N$36:$V$36/N2382:V2382,F2382/V2382)/Dashboard!$F$11</f>
        <v>50.802560558428027</v>
      </c>
      <c r="F2382" s="359">
        <f t="shared" ref="F2382:F2445" si="2443">AVERAGE(SUM(G2382:J2382)*(1+L2382)/(D2382-L2382),G2382*(1+L2382)*(1-L2382/D2382)/(D2382-L2382))</f>
        <v>8420705.9603171386</v>
      </c>
      <c r="G2382" s="359">
        <f>'DRE + DCF'!$W$31</f>
        <v>2791623.3540418856</v>
      </c>
      <c r="H2382" s="359">
        <f>'DRE + DCF'!$W$32</f>
        <v>81081.931703745853</v>
      </c>
      <c r="I2382" s="359">
        <f>-H2382*('DRE + DCF'!$V$33+K2382)/'DRE + DCF'!$V$33</f>
        <v>-90858.801614444121</v>
      </c>
      <c r="J2382" s="359">
        <f>-'DRE + DCF'!$V$56*L2382</f>
        <v>-1188924.4255577971</v>
      </c>
      <c r="K2382" s="360">
        <f>(1+L2382)/(1+Ke!$O$12)-1</f>
        <v>2.0000000000000018E-2</v>
      </c>
      <c r="L2382" s="360">
        <f>'DRE + DCF'!$Y$31</f>
        <v>7.3550000000000004E-2</v>
      </c>
      <c r="M2382" s="361">
        <f>(1+D2382)^((5-Dashboard!$F$9)*3/12)</f>
        <v>1.2251509353309222</v>
      </c>
      <c r="N2382" s="361">
        <f t="shared" ref="N2382:V2382" si="2444">M2382*(1+$D2382)</f>
        <v>1.6061116186720492</v>
      </c>
      <c r="O2382" s="361">
        <f t="shared" si="2444"/>
        <v>2.1055320264980923</v>
      </c>
      <c r="P2382" s="361">
        <f t="shared" si="2444"/>
        <v>2.7602472101376341</v>
      </c>
      <c r="Q2382" s="361">
        <f t="shared" si="2444"/>
        <v>3.618546080129879</v>
      </c>
      <c r="R2382" s="361">
        <f t="shared" si="2444"/>
        <v>4.7437329837461961</v>
      </c>
      <c r="S2382" s="361">
        <f t="shared" si="2444"/>
        <v>6.2187967550419856</v>
      </c>
      <c r="T2382" s="361">
        <f t="shared" si="2444"/>
        <v>8.1525316060221726</v>
      </c>
      <c r="U2382" s="361">
        <f t="shared" si="2444"/>
        <v>10.687561308914612</v>
      </c>
      <c r="V2382" s="362">
        <f t="shared" si="2444"/>
        <v>14.010858497921406</v>
      </c>
      <c r="X2382" s="351"/>
    </row>
    <row r="2383" spans="3:24" ht="24.75" customHeight="1" x14ac:dyDescent="0.3">
      <c r="C2383" s="353">
        <f>ABS(E2383-Dashboard!$F$14)</f>
        <v>46.21255175978559</v>
      </c>
      <c r="D2383" s="350">
        <f t="shared" ref="D2383:D2446" si="2445">D2382+0.0001</f>
        <v>0.31104999999998101</v>
      </c>
      <c r="E2383" s="359" cm="1">
        <f t="array" ref="E2383">1000*SUM('DRE + DCF'!$L$36/M2383,'DRE + DCF'!$N$36:$V$36/N2383:V2383,F2383/V2383)/Dashboard!$F$11</f>
        <v>50.777448240214405</v>
      </c>
      <c r="F2383" s="359">
        <f t="shared" si="2443"/>
        <v>8417640.1857233364</v>
      </c>
      <c r="G2383" s="359">
        <f>'DRE + DCF'!$W$31</f>
        <v>2791623.3540418856</v>
      </c>
      <c r="H2383" s="359">
        <f>'DRE + DCF'!$W$32</f>
        <v>81081.931703745853</v>
      </c>
      <c r="I2383" s="359">
        <f>-H2383*('DRE + DCF'!$V$33+K2383)/'DRE + DCF'!$V$33</f>
        <v>-90858.801614444121</v>
      </c>
      <c r="J2383" s="359">
        <f>-'DRE + DCF'!$V$56*L2383</f>
        <v>-1188924.4255577971</v>
      </c>
      <c r="K2383" s="360">
        <f>(1+L2383)/(1+Ke!$O$12)-1</f>
        <v>2.0000000000000018E-2</v>
      </c>
      <c r="L2383" s="360">
        <f>'DRE + DCF'!$Y$31</f>
        <v>7.3550000000000004E-2</v>
      </c>
      <c r="M2383" s="361">
        <f>(1+D2383)^((5-Dashboard!$F$9)*3/12)</f>
        <v>1.2252210260620984</v>
      </c>
      <c r="N2383" s="361">
        <f t="shared" ref="N2383:V2383" si="2446">M2383*(1+$D2383)</f>
        <v>1.6063260262186907</v>
      </c>
      <c r="O2383" s="361">
        <f t="shared" si="2446"/>
        <v>2.1059737366739837</v>
      </c>
      <c r="P2383" s="361">
        <f t="shared" si="2446"/>
        <v>2.7610368674663861</v>
      </c>
      <c r="Q2383" s="361">
        <f t="shared" si="2446"/>
        <v>3.6198573850917528</v>
      </c>
      <c r="R2383" s="361">
        <f t="shared" si="2446"/>
        <v>4.7458140247244733</v>
      </c>
      <c r="S2383" s="361">
        <f t="shared" si="2446"/>
        <v>6.2219994771149301</v>
      </c>
      <c r="T2383" s="361">
        <f t="shared" si="2446"/>
        <v>8.1573524144714114</v>
      </c>
      <c r="U2383" s="361">
        <f t="shared" si="2446"/>
        <v>10.694696882992588</v>
      </c>
      <c r="V2383" s="362">
        <f t="shared" si="2446"/>
        <v>14.02128234844723</v>
      </c>
      <c r="X2383" s="351"/>
    </row>
    <row r="2384" spans="3:24" ht="24.75" customHeight="1" x14ac:dyDescent="0.3">
      <c r="C2384" s="353">
        <f>ABS(E2384-Dashboard!$F$14)</f>
        <v>46.237641838530031</v>
      </c>
      <c r="D2384" s="350">
        <f t="shared" si="2445"/>
        <v>0.311149999999981</v>
      </c>
      <c r="E2384" s="359" cm="1">
        <f t="array" ref="E2384">1000*SUM('DRE + DCF'!$L$36/M2384,'DRE + DCF'!$N$36:$V$36/N2384:V2384,F2384/V2384)/Dashboard!$F$11</f>
        <v>50.752358161469964</v>
      </c>
      <c r="F2384" s="359">
        <f t="shared" si="2443"/>
        <v>8414576.6834824905</v>
      </c>
      <c r="G2384" s="359">
        <f>'DRE + DCF'!$W$31</f>
        <v>2791623.3540418856</v>
      </c>
      <c r="H2384" s="359">
        <f>'DRE + DCF'!$W$32</f>
        <v>81081.931703745853</v>
      </c>
      <c r="I2384" s="359">
        <f>-H2384*('DRE + DCF'!$V$33+K2384)/'DRE + DCF'!$V$33</f>
        <v>-90858.801614444121</v>
      </c>
      <c r="J2384" s="359">
        <f>-'DRE + DCF'!$V$56*L2384</f>
        <v>-1188924.4255577971</v>
      </c>
      <c r="K2384" s="360">
        <f>(1+L2384)/(1+Ke!$O$12)-1</f>
        <v>2.0000000000000018E-2</v>
      </c>
      <c r="L2384" s="360">
        <f>'DRE + DCF'!$Y$31</f>
        <v>7.3550000000000004E-2</v>
      </c>
      <c r="M2384" s="361">
        <f>(1+D2384)^((5-Dashboard!$F$9)*3/12)</f>
        <v>1.225291115456749</v>
      </c>
      <c r="N2384" s="361">
        <f t="shared" ref="N2384:V2384" si="2447">M2384*(1+$D2384)</f>
        <v>1.606540446031093</v>
      </c>
      <c r="O2384" s="361">
        <f t="shared" si="2447"/>
        <v>2.1064155058136369</v>
      </c>
      <c r="P2384" s="361">
        <f t="shared" si="2447"/>
        <v>2.7618266904475099</v>
      </c>
      <c r="Q2384" s="361">
        <f t="shared" si="2447"/>
        <v>3.6211690651802</v>
      </c>
      <c r="R2384" s="361">
        <f t="shared" si="2447"/>
        <v>4.7478958198109504</v>
      </c>
      <c r="S2384" s="361">
        <f t="shared" si="2447"/>
        <v>6.2252036041450376</v>
      </c>
      <c r="T2384" s="361">
        <f t="shared" si="2447"/>
        <v>8.1621757055746471</v>
      </c>
      <c r="U2384" s="361">
        <f t="shared" si="2447"/>
        <v>10.701836676364042</v>
      </c>
      <c r="V2384" s="362">
        <f t="shared" si="2447"/>
        <v>14.03171315821451</v>
      </c>
      <c r="X2384" s="351"/>
    </row>
    <row r="2385" spans="3:24" ht="24.75" customHeight="1" x14ac:dyDescent="0.3">
      <c r="C2385" s="353">
        <f>ABS(E2385-Dashboard!$F$14)</f>
        <v>46.262709705217084</v>
      </c>
      <c r="D2385" s="350">
        <f t="shared" si="2445"/>
        <v>0.31124999999998099</v>
      </c>
      <c r="E2385" s="359" cm="1">
        <f t="array" ref="E2385">1000*SUM('DRE + DCF'!$L$36/M2385,'DRE + DCF'!$N$36:$V$36/N2385:V2385,F2385/V2385)/Dashboard!$F$11</f>
        <v>50.727290294782911</v>
      </c>
      <c r="F2385" s="359">
        <f t="shared" si="2443"/>
        <v>8411515.4510236718</v>
      </c>
      <c r="G2385" s="359">
        <f>'DRE + DCF'!$W$31</f>
        <v>2791623.3540418856</v>
      </c>
      <c r="H2385" s="359">
        <f>'DRE + DCF'!$W$32</f>
        <v>81081.931703745853</v>
      </c>
      <c r="I2385" s="359">
        <f>-H2385*('DRE + DCF'!$V$33+K2385)/'DRE + DCF'!$V$33</f>
        <v>-90858.801614444121</v>
      </c>
      <c r="J2385" s="359">
        <f>-'DRE + DCF'!$V$56*L2385</f>
        <v>-1188924.4255577971</v>
      </c>
      <c r="K2385" s="360">
        <f>(1+L2385)/(1+Ke!$O$12)-1</f>
        <v>2.0000000000000018E-2</v>
      </c>
      <c r="L2385" s="360">
        <f>'DRE + DCF'!$Y$31</f>
        <v>7.3550000000000004E-2</v>
      </c>
      <c r="M2385" s="361">
        <f>(1+D2385)^((5-Dashboard!$F$9)*3/12)</f>
        <v>1.2253612035150017</v>
      </c>
      <c r="N2385" s="361">
        <f t="shared" ref="N2385:V2385" si="2448">M2385*(1+$D2385)</f>
        <v>1.6067548781090226</v>
      </c>
      <c r="O2385" s="361">
        <f t="shared" si="2448"/>
        <v>2.1068573339204253</v>
      </c>
      <c r="P2385" s="361">
        <f t="shared" si="2448"/>
        <v>2.7626166791031177</v>
      </c>
      <c r="Q2385" s="361">
        <f t="shared" si="2448"/>
        <v>3.6224811204739105</v>
      </c>
      <c r="R2385" s="361">
        <f t="shared" si="2448"/>
        <v>4.7499783692213464</v>
      </c>
      <c r="S2385" s="361">
        <f t="shared" si="2448"/>
        <v>6.2284091366413996</v>
      </c>
      <c r="T2385" s="361">
        <f t="shared" si="2448"/>
        <v>8.1670014804209163</v>
      </c>
      <c r="U2385" s="361">
        <f t="shared" si="2448"/>
        <v>10.70898069120177</v>
      </c>
      <c r="V2385" s="362">
        <f t="shared" si="2448"/>
        <v>14.042150931338117</v>
      </c>
      <c r="X2385" s="351"/>
    </row>
    <row r="2386" spans="3:24" ht="24.75" customHeight="1" x14ac:dyDescent="0.3">
      <c r="C2386" s="353">
        <f>ABS(E2386-Dashboard!$F$14)</f>
        <v>46.287755387215327</v>
      </c>
      <c r="D2386" s="350">
        <f t="shared" si="2445"/>
        <v>0.31134999999998098</v>
      </c>
      <c r="E2386" s="359" cm="1">
        <f t="array" ref="E2386">1000*SUM('DRE + DCF'!$L$36/M2386,'DRE + DCF'!$N$36:$V$36/N2386:V2386,F2386/V2386)/Dashboard!$F$11</f>
        <v>50.702244612784668</v>
      </c>
      <c r="F2386" s="359">
        <f t="shared" si="2443"/>
        <v>8408456.4857798964</v>
      </c>
      <c r="G2386" s="359">
        <f>'DRE + DCF'!$W$31</f>
        <v>2791623.3540418856</v>
      </c>
      <c r="H2386" s="359">
        <f>'DRE + DCF'!$W$32</f>
        <v>81081.931703745853</v>
      </c>
      <c r="I2386" s="359">
        <f>-H2386*('DRE + DCF'!$V$33+K2386)/'DRE + DCF'!$V$33</f>
        <v>-90858.801614444121</v>
      </c>
      <c r="J2386" s="359">
        <f>-'DRE + DCF'!$V$56*L2386</f>
        <v>-1188924.4255577971</v>
      </c>
      <c r="K2386" s="360">
        <f>(1+L2386)/(1+Ke!$O$12)-1</f>
        <v>2.0000000000000018E-2</v>
      </c>
      <c r="L2386" s="360">
        <f>'DRE + DCF'!$Y$31</f>
        <v>7.3550000000000004E-2</v>
      </c>
      <c r="M2386" s="361">
        <f>(1+D2386)^((5-Dashboard!$F$9)*3/12)</f>
        <v>1.2254312902369837</v>
      </c>
      <c r="N2386" s="361">
        <f t="shared" ref="N2386:V2386" si="2449">M2386*(1+$D2386)</f>
        <v>1.6069693224522452</v>
      </c>
      <c r="O2386" s="361">
        <f t="shared" si="2449"/>
        <v>2.1072992209977213</v>
      </c>
      <c r="P2386" s="361">
        <f t="shared" si="2449"/>
        <v>2.7634068334553215</v>
      </c>
      <c r="Q2386" s="361">
        <f t="shared" si="2449"/>
        <v>3.6237935510515831</v>
      </c>
      <c r="R2386" s="361">
        <f t="shared" si="2449"/>
        <v>4.7520616731714247</v>
      </c>
      <c r="S2386" s="361">
        <f t="shared" si="2449"/>
        <v>6.2316160751132568</v>
      </c>
      <c r="T2386" s="361">
        <f t="shared" si="2449"/>
        <v>8.1718297400996498</v>
      </c>
      <c r="U2386" s="361">
        <f t="shared" si="2449"/>
        <v>10.71612892967952</v>
      </c>
      <c r="V2386" s="362">
        <f t="shared" si="2449"/>
        <v>14.052595671935034</v>
      </c>
      <c r="X2386" s="351"/>
    </row>
    <row r="2387" spans="3:24" ht="24.75" customHeight="1" x14ac:dyDescent="0.3">
      <c r="C2387" s="353">
        <f>ABS(E2387-Dashboard!$F$14)</f>
        <v>46.312778911850231</v>
      </c>
      <c r="D2387" s="350">
        <f t="shared" si="2445"/>
        <v>0.31144999999998096</v>
      </c>
      <c r="E2387" s="359" cm="1">
        <f t="array" ref="E2387">1000*SUM('DRE + DCF'!$L$36/M2387,'DRE + DCF'!$N$36:$V$36/N2387:V2387,F2387/V2387)/Dashboard!$F$11</f>
        <v>50.677221088149764</v>
      </c>
      <c r="F2387" s="359">
        <f t="shared" si="2443"/>
        <v>8405399.785188118</v>
      </c>
      <c r="G2387" s="359">
        <f>'DRE + DCF'!$W$31</f>
        <v>2791623.3540418856</v>
      </c>
      <c r="H2387" s="359">
        <f>'DRE + DCF'!$W$32</f>
        <v>81081.931703745853</v>
      </c>
      <c r="I2387" s="359">
        <f>-H2387*('DRE + DCF'!$V$33+K2387)/'DRE + DCF'!$V$33</f>
        <v>-90858.801614444121</v>
      </c>
      <c r="J2387" s="359">
        <f>-'DRE + DCF'!$V$56*L2387</f>
        <v>-1188924.4255577971</v>
      </c>
      <c r="K2387" s="360">
        <f>(1+L2387)/(1+Ke!$O$12)-1</f>
        <v>2.0000000000000018E-2</v>
      </c>
      <c r="L2387" s="360">
        <f>'DRE + DCF'!$Y$31</f>
        <v>7.3550000000000004E-2</v>
      </c>
      <c r="M2387" s="361">
        <f>(1+D2387)^((5-Dashboard!$F$9)*3/12)</f>
        <v>1.2255013756228228</v>
      </c>
      <c r="N2387" s="361">
        <f t="shared" ref="N2387:V2387" si="2450">M2387*(1+$D2387)</f>
        <v>1.6071837790605275</v>
      </c>
      <c r="O2387" s="361">
        <f t="shared" si="2450"/>
        <v>2.1077411670488981</v>
      </c>
      <c r="P2387" s="361">
        <f t="shared" si="2450"/>
        <v>2.7641971535262373</v>
      </c>
      <c r="Q2387" s="361">
        <f t="shared" si="2450"/>
        <v>3.6251063569919313</v>
      </c>
      <c r="R2387" s="361">
        <f t="shared" si="2450"/>
        <v>4.7541457318769993</v>
      </c>
      <c r="S2387" s="361">
        <f t="shared" si="2450"/>
        <v>6.2348244200699998</v>
      </c>
      <c r="T2387" s="361">
        <f t="shared" si="2450"/>
        <v>8.1766604857006815</v>
      </c>
      <c r="U2387" s="361">
        <f t="shared" si="2450"/>
        <v>10.723281393972002</v>
      </c>
      <c r="V2387" s="362">
        <f t="shared" si="2450"/>
        <v>14.063047384124378</v>
      </c>
      <c r="X2387" s="351"/>
    </row>
    <row r="2388" spans="3:24" ht="24.75" customHeight="1" x14ac:dyDescent="0.3">
      <c r="C2388" s="353">
        <f>ABS(E2388-Dashboard!$F$14)</f>
        <v>46.337780306404206</v>
      </c>
      <c r="D2388" s="350">
        <f t="shared" si="2445"/>
        <v>0.31154999999998095</v>
      </c>
      <c r="E2388" s="359" cm="1">
        <f t="array" ref="E2388">1000*SUM('DRE + DCF'!$L$36/M2388,'DRE + DCF'!$N$36:$V$36/N2388:V2388,F2388/V2388)/Dashboard!$F$11</f>
        <v>50.652219693595789</v>
      </c>
      <c r="F2388" s="359">
        <f t="shared" si="2443"/>
        <v>8402345.3466892131</v>
      </c>
      <c r="G2388" s="359">
        <f>'DRE + DCF'!$W$31</f>
        <v>2791623.3540418856</v>
      </c>
      <c r="H2388" s="359">
        <f>'DRE + DCF'!$W$32</f>
        <v>81081.931703745853</v>
      </c>
      <c r="I2388" s="359">
        <f>-H2388*('DRE + DCF'!$V$33+K2388)/'DRE + DCF'!$V$33</f>
        <v>-90858.801614444121</v>
      </c>
      <c r="J2388" s="359">
        <f>-'DRE + DCF'!$V$56*L2388</f>
        <v>-1188924.4255577971</v>
      </c>
      <c r="K2388" s="360">
        <f>(1+L2388)/(1+Ke!$O$12)-1</f>
        <v>2.0000000000000018E-2</v>
      </c>
      <c r="L2388" s="360">
        <f>'DRE + DCF'!$Y$31</f>
        <v>7.3550000000000004E-2</v>
      </c>
      <c r="M2388" s="361">
        <f>(1+D2388)^((5-Dashboard!$F$9)*3/12)</f>
        <v>1.2255714596726459</v>
      </c>
      <c r="N2388" s="361">
        <f t="shared" ref="N2388:V2388" si="2451">M2388*(1+$D2388)</f>
        <v>1.6073982479336353</v>
      </c>
      <c r="O2388" s="361">
        <f t="shared" si="2451"/>
        <v>2.1081831720773287</v>
      </c>
      <c r="P2388" s="361">
        <f t="shared" si="2451"/>
        <v>2.7649876393379804</v>
      </c>
      <c r="Q2388" s="361">
        <f t="shared" si="2451"/>
        <v>3.6264195383736753</v>
      </c>
      <c r="R2388" s="361">
        <f t="shared" si="2451"/>
        <v>4.7562305455539242</v>
      </c>
      <c r="S2388" s="361">
        <f t="shared" si="2451"/>
        <v>6.2380341720211581</v>
      </c>
      <c r="T2388" s="361">
        <f t="shared" si="2451"/>
        <v>8.1814937183142309</v>
      </c>
      <c r="U2388" s="361">
        <f t="shared" si="2451"/>
        <v>10.730438086254873</v>
      </c>
      <c r="V2388" s="362">
        <f t="shared" si="2451"/>
        <v>14.073506072027374</v>
      </c>
      <c r="X2388" s="351"/>
    </row>
    <row r="2389" spans="3:24" ht="24.75" customHeight="1" x14ac:dyDescent="0.3">
      <c r="C2389" s="353">
        <f>ABS(E2389-Dashboard!$F$14)</f>
        <v>46.362759598116689</v>
      </c>
      <c r="D2389" s="350">
        <f t="shared" si="2445"/>
        <v>0.31164999999998094</v>
      </c>
      <c r="E2389" s="359" cm="1">
        <f t="array" ref="E2389">1000*SUM('DRE + DCF'!$L$36/M2389,'DRE + DCF'!$N$36:$V$36/N2389:V2389,F2389/V2389)/Dashboard!$F$11</f>
        <v>50.627240401883306</v>
      </c>
      <c r="F2389" s="359">
        <f t="shared" si="2443"/>
        <v>8399293.1677279808</v>
      </c>
      <c r="G2389" s="359">
        <f>'DRE + DCF'!$W$31</f>
        <v>2791623.3540418856</v>
      </c>
      <c r="H2389" s="359">
        <f>'DRE + DCF'!$W$32</f>
        <v>81081.931703745853</v>
      </c>
      <c r="I2389" s="359">
        <f>-H2389*('DRE + DCF'!$V$33+K2389)/'DRE + DCF'!$V$33</f>
        <v>-90858.801614444121</v>
      </c>
      <c r="J2389" s="359">
        <f>-'DRE + DCF'!$V$56*L2389</f>
        <v>-1188924.4255577971</v>
      </c>
      <c r="K2389" s="360">
        <f>(1+L2389)/(1+Ke!$O$12)-1</f>
        <v>2.0000000000000018E-2</v>
      </c>
      <c r="L2389" s="360">
        <f>'DRE + DCF'!$Y$31</f>
        <v>7.3550000000000004E-2</v>
      </c>
      <c r="M2389" s="361">
        <f>(1+D2389)^((5-Dashboard!$F$9)*3/12)</f>
        <v>1.2256415423865805</v>
      </c>
      <c r="N2389" s="361">
        <f t="shared" ref="N2389:V2389" si="2452">M2389*(1+$D2389)</f>
        <v>1.6076127290713349</v>
      </c>
      <c r="O2389" s="361">
        <f t="shared" si="2452"/>
        <v>2.1086252360863855</v>
      </c>
      <c r="P2389" s="361">
        <f t="shared" si="2452"/>
        <v>2.7657782909126674</v>
      </c>
      <c r="Q2389" s="361">
        <f t="shared" si="2452"/>
        <v>3.6277330952755471</v>
      </c>
      <c r="R2389" s="361">
        <f t="shared" si="2452"/>
        <v>4.7583161144181023</v>
      </c>
      <c r="S2389" s="361">
        <f t="shared" si="2452"/>
        <v>6.2412453314764127</v>
      </c>
      <c r="T2389" s="361">
        <f t="shared" si="2452"/>
        <v>8.1863294390309171</v>
      </c>
      <c r="U2389" s="361">
        <f t="shared" si="2452"/>
        <v>10.737599008704747</v>
      </c>
      <c r="V2389" s="362">
        <f t="shared" si="2452"/>
        <v>14.083971739767376</v>
      </c>
      <c r="X2389" s="351"/>
    </row>
    <row r="2390" spans="3:24" ht="24.75" customHeight="1" x14ac:dyDescent="0.3">
      <c r="C2390" s="353">
        <f>ABS(E2390-Dashboard!$F$14)</f>
        <v>46.387716814184238</v>
      </c>
      <c r="D2390" s="350">
        <f t="shared" si="2445"/>
        <v>0.31174999999998093</v>
      </c>
      <c r="E2390" s="359" cm="1">
        <f t="array" ref="E2390">1000*SUM('DRE + DCF'!$L$36/M2390,'DRE + DCF'!$N$36:$V$36/N2390:V2390,F2390/V2390)/Dashboard!$F$11</f>
        <v>50.602283185815757</v>
      </c>
      <c r="F2390" s="359">
        <f t="shared" si="2443"/>
        <v>8396243.2457531355</v>
      </c>
      <c r="G2390" s="359">
        <f>'DRE + DCF'!$W$31</f>
        <v>2791623.3540418856</v>
      </c>
      <c r="H2390" s="359">
        <f>'DRE + DCF'!$W$32</f>
        <v>81081.931703745853</v>
      </c>
      <c r="I2390" s="359">
        <f>-H2390*('DRE + DCF'!$V$33+K2390)/'DRE + DCF'!$V$33</f>
        <v>-90858.801614444121</v>
      </c>
      <c r="J2390" s="359">
        <f>-'DRE + DCF'!$V$56*L2390</f>
        <v>-1188924.4255577971</v>
      </c>
      <c r="K2390" s="360">
        <f>(1+L2390)/(1+Ke!$O$12)-1</f>
        <v>2.0000000000000018E-2</v>
      </c>
      <c r="L2390" s="360">
        <f>'DRE + DCF'!$Y$31</f>
        <v>7.3550000000000004E-2</v>
      </c>
      <c r="M2390" s="361">
        <f>(1+D2390)^((5-Dashboard!$F$9)*3/12)</f>
        <v>1.2257116237647541</v>
      </c>
      <c r="N2390" s="361">
        <f t="shared" ref="N2390:V2390" si="2453">M2390*(1+$D2390)</f>
        <v>1.6078272224733927</v>
      </c>
      <c r="O2390" s="361">
        <f t="shared" si="2453"/>
        <v>2.1090673590794422</v>
      </c>
      <c r="P2390" s="361">
        <f t="shared" si="2453"/>
        <v>2.7665691082724182</v>
      </c>
      <c r="Q2390" s="361">
        <f t="shared" si="2453"/>
        <v>3.6290470277762918</v>
      </c>
      <c r="R2390" s="361">
        <f t="shared" si="2453"/>
        <v>4.7604024386854817</v>
      </c>
      <c r="S2390" s="361">
        <f t="shared" si="2453"/>
        <v>6.2444578989455897</v>
      </c>
      <c r="T2390" s="361">
        <f t="shared" si="2453"/>
        <v>8.1911676489417573</v>
      </c>
      <c r="U2390" s="361">
        <f t="shared" si="2453"/>
        <v>10.744764163499193</v>
      </c>
      <c r="V2390" s="362">
        <f t="shared" si="2453"/>
        <v>14.09444439146986</v>
      </c>
      <c r="X2390" s="351"/>
    </row>
    <row r="2391" spans="3:24" ht="24.75" customHeight="1" x14ac:dyDescent="0.3">
      <c r="C2391" s="353">
        <f>ABS(E2391-Dashboard!$F$14)</f>
        <v>46.412651981760639</v>
      </c>
      <c r="D2391" s="350">
        <f t="shared" si="2445"/>
        <v>0.31184999999998092</v>
      </c>
      <c r="E2391" s="359" cm="1">
        <f t="array" ref="E2391">1000*SUM('DRE + DCF'!$L$36/M2391,'DRE + DCF'!$N$36:$V$36/N2391:V2391,F2391/V2391)/Dashboard!$F$11</f>
        <v>50.577348018239356</v>
      </c>
      <c r="F2391" s="359">
        <f t="shared" si="2443"/>
        <v>8393195.5782172903</v>
      </c>
      <c r="G2391" s="359">
        <f>'DRE + DCF'!$W$31</f>
        <v>2791623.3540418856</v>
      </c>
      <c r="H2391" s="359">
        <f>'DRE + DCF'!$W$32</f>
        <v>81081.931703745853</v>
      </c>
      <c r="I2391" s="359">
        <f>-H2391*('DRE + DCF'!$V$33+K2391)/'DRE + DCF'!$V$33</f>
        <v>-90858.801614444121</v>
      </c>
      <c r="J2391" s="359">
        <f>-'DRE + DCF'!$V$56*L2391</f>
        <v>-1188924.4255577971</v>
      </c>
      <c r="K2391" s="360">
        <f>(1+L2391)/(1+Ke!$O$12)-1</f>
        <v>2.0000000000000018E-2</v>
      </c>
      <c r="L2391" s="360">
        <f>'DRE + DCF'!$Y$31</f>
        <v>7.3550000000000004E-2</v>
      </c>
      <c r="M2391" s="361">
        <f>(1+D2391)^((5-Dashboard!$F$9)*3/12)</f>
        <v>1.2257817038072936</v>
      </c>
      <c r="N2391" s="361">
        <f t="shared" ref="N2391:V2391" si="2454">M2391*(1+$D2391)</f>
        <v>1.6080417281395747</v>
      </c>
      <c r="O2391" s="361">
        <f t="shared" si="2454"/>
        <v>2.1095095410598703</v>
      </c>
      <c r="P2391" s="361">
        <f t="shared" si="2454"/>
        <v>2.7673600914393504</v>
      </c>
      <c r="Q2391" s="361">
        <f t="shared" si="2454"/>
        <v>3.6303613359546589</v>
      </c>
      <c r="R2391" s="361">
        <f t="shared" si="2454"/>
        <v>4.7624895185720497</v>
      </c>
      <c r="S2391" s="361">
        <f t="shared" si="2454"/>
        <v>6.2476718749386526</v>
      </c>
      <c r="T2391" s="361">
        <f t="shared" si="2454"/>
        <v>8.1960083491381521</v>
      </c>
      <c r="U2391" s="361">
        <f t="shared" si="2454"/>
        <v>10.751933552816729</v>
      </c>
      <c r="V2391" s="362">
        <f t="shared" si="2454"/>
        <v>14.104924031262419</v>
      </c>
      <c r="X2391" s="351"/>
    </row>
    <row r="2392" spans="3:24" ht="24.75" customHeight="1" x14ac:dyDescent="0.3">
      <c r="C2392" s="353">
        <f>ABS(E2392-Dashboard!$F$14)</f>
        <v>46.437565127956901</v>
      </c>
      <c r="D2392" s="350">
        <f t="shared" si="2445"/>
        <v>0.31194999999998091</v>
      </c>
      <c r="E2392" s="359" cm="1">
        <f t="array" ref="E2392">1000*SUM('DRE + DCF'!$L$36/M2392,'DRE + DCF'!$N$36:$V$36/N2392:V2392,F2392/V2392)/Dashboard!$F$11</f>
        <v>50.552434872043094</v>
      </c>
      <c r="F2392" s="359">
        <f t="shared" si="2443"/>
        <v>8390150.1625769623</v>
      </c>
      <c r="G2392" s="359">
        <f>'DRE + DCF'!$W$31</f>
        <v>2791623.3540418856</v>
      </c>
      <c r="H2392" s="359">
        <f>'DRE + DCF'!$W$32</f>
        <v>81081.931703745853</v>
      </c>
      <c r="I2392" s="359">
        <f>-H2392*('DRE + DCF'!$V$33+K2392)/'DRE + DCF'!$V$33</f>
        <v>-90858.801614444121</v>
      </c>
      <c r="J2392" s="359">
        <f>-'DRE + DCF'!$V$56*L2392</f>
        <v>-1188924.4255577971</v>
      </c>
      <c r="K2392" s="360">
        <f>(1+L2392)/(1+Ke!$O$12)-1</f>
        <v>2.0000000000000018E-2</v>
      </c>
      <c r="L2392" s="360">
        <f>'DRE + DCF'!$Y$31</f>
        <v>7.3550000000000004E-2</v>
      </c>
      <c r="M2392" s="361">
        <f>(1+D2392)^((5-Dashboard!$F$9)*3/12)</f>
        <v>1.2258517825143265</v>
      </c>
      <c r="N2392" s="361">
        <f t="shared" ref="N2392:V2392" si="2455">M2392*(1+$D2392)</f>
        <v>1.6082562460696472</v>
      </c>
      <c r="O2392" s="361">
        <f t="shared" si="2455"/>
        <v>2.1099517820310427</v>
      </c>
      <c r="P2392" s="361">
        <f t="shared" si="2455"/>
        <v>2.7681512404355861</v>
      </c>
      <c r="Q2392" s="361">
        <f t="shared" si="2455"/>
        <v>3.6316760198894142</v>
      </c>
      <c r="R2392" s="361">
        <f t="shared" si="2455"/>
        <v>4.7645773542938477</v>
      </c>
      <c r="S2392" s="361">
        <f t="shared" si="2455"/>
        <v>6.2508872599657224</v>
      </c>
      <c r="T2392" s="361">
        <f t="shared" si="2455"/>
        <v>8.2008515407119091</v>
      </c>
      <c r="U2392" s="361">
        <f t="shared" si="2455"/>
        <v>10.759107178836832</v>
      </c>
      <c r="V2392" s="362">
        <f t="shared" si="2455"/>
        <v>14.115410663274776</v>
      </c>
      <c r="X2392" s="351"/>
    </row>
    <row r="2393" spans="3:24" ht="24.75" customHeight="1" x14ac:dyDescent="0.3">
      <c r="C2393" s="353">
        <f>ABS(E2393-Dashboard!$F$14)</f>
        <v>46.462456279841469</v>
      </c>
      <c r="D2393" s="350">
        <f t="shared" si="2445"/>
        <v>0.3120499999999809</v>
      </c>
      <c r="E2393" s="359" cm="1">
        <f t="array" ref="E2393">1000*SUM('DRE + DCF'!$L$36/M2393,'DRE + DCF'!$N$36:$V$36/N2393:V2393,F2393/V2393)/Dashboard!$F$11</f>
        <v>50.527543720158526</v>
      </c>
      <c r="F2393" s="359">
        <f t="shared" si="2443"/>
        <v>8387106.996292552</v>
      </c>
      <c r="G2393" s="359">
        <f>'DRE + DCF'!$W$31</f>
        <v>2791623.3540418856</v>
      </c>
      <c r="H2393" s="359">
        <f>'DRE + DCF'!$W$32</f>
        <v>81081.931703745853</v>
      </c>
      <c r="I2393" s="359">
        <f>-H2393*('DRE + DCF'!$V$33+K2393)/'DRE + DCF'!$V$33</f>
        <v>-90858.801614444121</v>
      </c>
      <c r="J2393" s="359">
        <f>-'DRE + DCF'!$V$56*L2393</f>
        <v>-1188924.4255577971</v>
      </c>
      <c r="K2393" s="360">
        <f>(1+L2393)/(1+Ke!$O$12)-1</f>
        <v>2.0000000000000018E-2</v>
      </c>
      <c r="L2393" s="360">
        <f>'DRE + DCF'!$Y$31</f>
        <v>7.3550000000000004E-2</v>
      </c>
      <c r="M2393" s="361">
        <f>(1+D2393)^((5-Dashboard!$F$9)*3/12)</f>
        <v>1.22592185988598</v>
      </c>
      <c r="N2393" s="361">
        <f t="shared" ref="N2393:V2393" si="2456">M2393*(1+$D2393)</f>
        <v>1.6084707762633765</v>
      </c>
      <c r="O2393" s="361">
        <f t="shared" si="2456"/>
        <v>2.1103940819963323</v>
      </c>
      <c r="P2393" s="361">
        <f t="shared" si="2456"/>
        <v>2.7689425552832474</v>
      </c>
      <c r="Q2393" s="361">
        <f t="shared" si="2456"/>
        <v>3.6329910796593317</v>
      </c>
      <c r="R2393" s="361">
        <f t="shared" si="2456"/>
        <v>4.7666659460669569</v>
      </c>
      <c r="S2393" s="361">
        <f t="shared" si="2456"/>
        <v>6.2541040545370592</v>
      </c>
      <c r="T2393" s="361">
        <f t="shared" si="2456"/>
        <v>8.2056972247552284</v>
      </c>
      <c r="U2393" s="361">
        <f t="shared" si="2456"/>
        <v>10.76628504373994</v>
      </c>
      <c r="V2393" s="362">
        <f t="shared" si="2456"/>
        <v>14.125904291638781</v>
      </c>
      <c r="X2393" s="351"/>
    </row>
    <row r="2394" spans="3:24" ht="24.75" customHeight="1" x14ac:dyDescent="0.3">
      <c r="C2394" s="353">
        <f>ABS(E2394-Dashboard!$F$14)</f>
        <v>46.487325464440183</v>
      </c>
      <c r="D2394" s="350">
        <f t="shared" si="2445"/>
        <v>0.31214999999998089</v>
      </c>
      <c r="E2394" s="359" cm="1">
        <f t="array" ref="E2394">1000*SUM('DRE + DCF'!$L$36/M2394,'DRE + DCF'!$N$36:$V$36/N2394:V2394,F2394/V2394)/Dashboard!$F$11</f>
        <v>50.502674535559812</v>
      </c>
      <c r="F2394" s="359">
        <f t="shared" si="2443"/>
        <v>8384066.0768283503</v>
      </c>
      <c r="G2394" s="359">
        <f>'DRE + DCF'!$W$31</f>
        <v>2791623.3540418856</v>
      </c>
      <c r="H2394" s="359">
        <f>'DRE + DCF'!$W$32</f>
        <v>81081.931703745853</v>
      </c>
      <c r="I2394" s="359">
        <f>-H2394*('DRE + DCF'!$V$33+K2394)/'DRE + DCF'!$V$33</f>
        <v>-90858.801614444121</v>
      </c>
      <c r="J2394" s="359">
        <f>-'DRE + DCF'!$V$56*L2394</f>
        <v>-1188924.4255577971</v>
      </c>
      <c r="K2394" s="360">
        <f>(1+L2394)/(1+Ke!$O$12)-1</f>
        <v>2.0000000000000018E-2</v>
      </c>
      <c r="L2394" s="360">
        <f>'DRE + DCF'!$Y$31</f>
        <v>7.3550000000000004E-2</v>
      </c>
      <c r="M2394" s="361">
        <f>(1+D2394)^((5-Dashboard!$F$9)*3/12)</f>
        <v>1.2259919359223814</v>
      </c>
      <c r="N2394" s="361">
        <f t="shared" ref="N2394:V2394" si="2457">M2394*(1+$D2394)</f>
        <v>1.6086853187205292</v>
      </c>
      <c r="O2394" s="361">
        <f t="shared" si="2457"/>
        <v>2.1108364409591114</v>
      </c>
      <c r="P2394" s="361">
        <f t="shared" si="2457"/>
        <v>2.7697340360044573</v>
      </c>
      <c r="Q2394" s="361">
        <f t="shared" si="2457"/>
        <v>3.6343065153431957</v>
      </c>
      <c r="R2394" s="361">
        <f t="shared" si="2457"/>
        <v>4.7687552941075042</v>
      </c>
      <c r="S2394" s="361">
        <f t="shared" si="2457"/>
        <v>6.2573222591630699</v>
      </c>
      <c r="T2394" s="361">
        <f t="shared" si="2457"/>
        <v>8.2105454023607027</v>
      </c>
      <c r="U2394" s="361">
        <f t="shared" si="2457"/>
        <v>10.773467149707439</v>
      </c>
      <c r="V2394" s="362">
        <f t="shared" si="2457"/>
        <v>14.13640492048841</v>
      </c>
      <c r="X2394" s="351"/>
    </row>
    <row r="2395" spans="3:24" ht="24.75" customHeight="1" x14ac:dyDescent="0.3">
      <c r="C2395" s="353">
        <f>ABS(E2395-Dashboard!$F$14)</f>
        <v>46.512172708736443</v>
      </c>
      <c r="D2395" s="350">
        <f t="shared" si="2445"/>
        <v>0.31224999999998088</v>
      </c>
      <c r="E2395" s="359" cm="1">
        <f t="array" ref="E2395">1000*SUM('DRE + DCF'!$L$36/M2395,'DRE + DCF'!$N$36:$V$36/N2395:V2395,F2395/V2395)/Dashboard!$F$11</f>
        <v>50.477827291263552</v>
      </c>
      <c r="F2395" s="359">
        <f t="shared" si="2443"/>
        <v>8381027.4016525131</v>
      </c>
      <c r="G2395" s="359">
        <f>'DRE + DCF'!$W$31</f>
        <v>2791623.3540418856</v>
      </c>
      <c r="H2395" s="359">
        <f>'DRE + DCF'!$W$32</f>
        <v>81081.931703745853</v>
      </c>
      <c r="I2395" s="359">
        <f>-H2395*('DRE + DCF'!$V$33+K2395)/'DRE + DCF'!$V$33</f>
        <v>-90858.801614444121</v>
      </c>
      <c r="J2395" s="359">
        <f>-'DRE + DCF'!$V$56*L2395</f>
        <v>-1188924.4255577971</v>
      </c>
      <c r="K2395" s="360">
        <f>(1+L2395)/(1+Ke!$O$12)-1</f>
        <v>2.0000000000000018E-2</v>
      </c>
      <c r="L2395" s="360">
        <f>'DRE + DCF'!$Y$31</f>
        <v>7.3550000000000004E-2</v>
      </c>
      <c r="M2395" s="361">
        <f>(1+D2395)^((5-Dashboard!$F$9)*3/12)</f>
        <v>1.2260620106236579</v>
      </c>
      <c r="N2395" s="361">
        <f t="shared" ref="N2395:V2395" si="2458">M2395*(1+$D2395)</f>
        <v>1.6088998734408717</v>
      </c>
      <c r="O2395" s="361">
        <f t="shared" si="2458"/>
        <v>2.1112788589227529</v>
      </c>
      <c r="P2395" s="361">
        <f t="shared" si="2458"/>
        <v>2.7705256826213418</v>
      </c>
      <c r="Q2395" s="361">
        <f t="shared" si="2458"/>
        <v>3.6356223270198025</v>
      </c>
      <c r="R2395" s="361">
        <f t="shared" si="2458"/>
        <v>4.7708453986316659</v>
      </c>
      <c r="S2395" s="361">
        <f t="shared" si="2458"/>
        <v>6.2605418743543124</v>
      </c>
      <c r="T2395" s="361">
        <f t="shared" si="2458"/>
        <v>8.2153960746213262</v>
      </c>
      <c r="U2395" s="361">
        <f t="shared" si="2458"/>
        <v>10.780653498921678</v>
      </c>
      <c r="V2395" s="362">
        <f t="shared" si="2458"/>
        <v>14.146912553959766</v>
      </c>
      <c r="X2395" s="351"/>
    </row>
    <row r="2396" spans="3:24" ht="24.75" customHeight="1" x14ac:dyDescent="0.3">
      <c r="C2396" s="353">
        <f>ABS(E2396-Dashboard!$F$14)</f>
        <v>46.536998039671246</v>
      </c>
      <c r="D2396" s="350">
        <f t="shared" si="2445"/>
        <v>0.31234999999998087</v>
      </c>
      <c r="E2396" s="359" cm="1">
        <f t="array" ref="E2396">1000*SUM('DRE + DCF'!$L$36/M2396,'DRE + DCF'!$N$36:$V$36/N2396:V2396,F2396/V2396)/Dashboard!$F$11</f>
        <v>50.453001960328749</v>
      </c>
      <c r="F2396" s="359">
        <f t="shared" si="2443"/>
        <v>8377990.9682370722</v>
      </c>
      <c r="G2396" s="359">
        <f>'DRE + DCF'!$W$31</f>
        <v>2791623.3540418856</v>
      </c>
      <c r="H2396" s="359">
        <f>'DRE + DCF'!$W$32</f>
        <v>81081.931703745853</v>
      </c>
      <c r="I2396" s="359">
        <f>-H2396*('DRE + DCF'!$V$33+K2396)/'DRE + DCF'!$V$33</f>
        <v>-90858.801614444121</v>
      </c>
      <c r="J2396" s="359">
        <f>-'DRE + DCF'!$V$56*L2396</f>
        <v>-1188924.4255577971</v>
      </c>
      <c r="K2396" s="360">
        <f>(1+L2396)/(1+Ke!$O$12)-1</f>
        <v>2.0000000000000018E-2</v>
      </c>
      <c r="L2396" s="360">
        <f>'DRE + DCF'!$Y$31</f>
        <v>7.3550000000000004E-2</v>
      </c>
      <c r="M2396" s="361">
        <f>(1+D2396)^((5-Dashboard!$F$9)*3/12)</f>
        <v>1.2261320839899366</v>
      </c>
      <c r="N2396" s="361">
        <f t="shared" ref="N2396:V2396" si="2459">M2396*(1+$D2396)</f>
        <v>1.6091144404241697</v>
      </c>
      <c r="O2396" s="361">
        <f t="shared" si="2459"/>
        <v>2.1117213358906284</v>
      </c>
      <c r="P2396" s="361">
        <f t="shared" si="2459"/>
        <v>2.7713174951560258</v>
      </c>
      <c r="Q2396" s="361">
        <f t="shared" si="2459"/>
        <v>3.6369385147679574</v>
      </c>
      <c r="R2396" s="361">
        <f t="shared" si="2459"/>
        <v>4.7729362598556593</v>
      </c>
      <c r="S2396" s="361">
        <f t="shared" si="2459"/>
        <v>6.263762900621483</v>
      </c>
      <c r="T2396" s="361">
        <f t="shared" si="2459"/>
        <v>8.2202492426304836</v>
      </c>
      <c r="U2396" s="361">
        <f t="shared" si="2459"/>
        <v>10.787844093565958</v>
      </c>
      <c r="V2396" s="362">
        <f t="shared" si="2459"/>
        <v>14.157427196191078</v>
      </c>
      <c r="X2396" s="351"/>
    </row>
    <row r="2397" spans="3:24" ht="24.75" customHeight="1" x14ac:dyDescent="0.3">
      <c r="C2397" s="353">
        <f>ABS(E2397-Dashboard!$F$14)</f>
        <v>46.561801484143274</v>
      </c>
      <c r="D2397" s="350">
        <f t="shared" si="2445"/>
        <v>0.31244999999998085</v>
      </c>
      <c r="E2397" s="359" cm="1">
        <f t="array" ref="E2397">1000*SUM('DRE + DCF'!$L$36/M2397,'DRE + DCF'!$N$36:$V$36/N2397:V2397,F2397/V2397)/Dashboard!$F$11</f>
        <v>50.428198515856721</v>
      </c>
      <c r="F2397" s="359">
        <f t="shared" si="2443"/>
        <v>8374956.7740579126</v>
      </c>
      <c r="G2397" s="359">
        <f>'DRE + DCF'!$W$31</f>
        <v>2791623.3540418856</v>
      </c>
      <c r="H2397" s="359">
        <f>'DRE + DCF'!$W$32</f>
        <v>81081.931703745853</v>
      </c>
      <c r="I2397" s="359">
        <f>-H2397*('DRE + DCF'!$V$33+K2397)/'DRE + DCF'!$V$33</f>
        <v>-90858.801614444121</v>
      </c>
      <c r="J2397" s="359">
        <f>-'DRE + DCF'!$V$56*L2397</f>
        <v>-1188924.4255577971</v>
      </c>
      <c r="K2397" s="360">
        <f>(1+L2397)/(1+Ke!$O$12)-1</f>
        <v>2.0000000000000018E-2</v>
      </c>
      <c r="L2397" s="360">
        <f>'DRE + DCF'!$Y$31</f>
        <v>7.3550000000000004E-2</v>
      </c>
      <c r="M2397" s="361">
        <f>(1+D2397)^((5-Dashboard!$F$9)*3/12)</f>
        <v>1.2262021560213445</v>
      </c>
      <c r="N2397" s="361">
        <f t="shared" ref="N2397:V2397" si="2460">M2397*(1+$D2397)</f>
        <v>1.6093290196701902</v>
      </c>
      <c r="O2397" s="361">
        <f t="shared" si="2460"/>
        <v>2.1121638718661102</v>
      </c>
      <c r="P2397" s="361">
        <f t="shared" si="2460"/>
        <v>2.772109473630636</v>
      </c>
      <c r="Q2397" s="361">
        <f t="shared" si="2460"/>
        <v>3.6382550786664751</v>
      </c>
      <c r="R2397" s="361">
        <f t="shared" si="2460"/>
        <v>4.7750278779957451</v>
      </c>
      <c r="S2397" s="361">
        <f t="shared" si="2460"/>
        <v>6.2669853384754237</v>
      </c>
      <c r="T2397" s="361">
        <f t="shared" si="2460"/>
        <v>8.2251049074819491</v>
      </c>
      <c r="U2397" s="361">
        <f t="shared" si="2460"/>
        <v>10.795038935824525</v>
      </c>
      <c r="V2397" s="362">
        <f t="shared" si="2460"/>
        <v>14.167948851322691</v>
      </c>
      <c r="X2397" s="351"/>
    </row>
    <row r="2398" spans="3:24" ht="24.75" customHeight="1" x14ac:dyDescent="0.3">
      <c r="C2398" s="353">
        <f>ABS(E2398-Dashboard!$F$14)</f>
        <v>46.586583069009009</v>
      </c>
      <c r="D2398" s="350">
        <f t="shared" si="2445"/>
        <v>0.31254999999998084</v>
      </c>
      <c r="E2398" s="359" cm="1">
        <f t="array" ref="E2398">1000*SUM('DRE + DCF'!$L$36/M2398,'DRE + DCF'!$N$36:$V$36/N2398:V2398,F2398/V2398)/Dashboard!$F$11</f>
        <v>50.403416930990986</v>
      </c>
      <c r="F2398" s="359">
        <f t="shared" si="2443"/>
        <v>8371924.8165947758</v>
      </c>
      <c r="G2398" s="359">
        <f>'DRE + DCF'!$W$31</f>
        <v>2791623.3540418856</v>
      </c>
      <c r="H2398" s="359">
        <f>'DRE + DCF'!$W$32</f>
        <v>81081.931703745853</v>
      </c>
      <c r="I2398" s="359">
        <f>-H2398*('DRE + DCF'!$V$33+K2398)/'DRE + DCF'!$V$33</f>
        <v>-90858.801614444121</v>
      </c>
      <c r="J2398" s="359">
        <f>-'DRE + DCF'!$V$56*L2398</f>
        <v>-1188924.4255577971</v>
      </c>
      <c r="K2398" s="360">
        <f>(1+L2398)/(1+Ke!$O$12)-1</f>
        <v>2.0000000000000018E-2</v>
      </c>
      <c r="L2398" s="360">
        <f>'DRE + DCF'!$Y$31</f>
        <v>7.3550000000000004E-2</v>
      </c>
      <c r="M2398" s="361">
        <f>(1+D2398)^((5-Dashboard!$F$9)*3/12)</f>
        <v>1.2262722267180091</v>
      </c>
      <c r="N2398" s="361">
        <f t="shared" ref="N2398:V2398" si="2461">M2398*(1+$D2398)</f>
        <v>1.6095436111786992</v>
      </c>
      <c r="O2398" s="361">
        <f t="shared" si="2461"/>
        <v>2.1126064668525708</v>
      </c>
      <c r="P2398" s="361">
        <f t="shared" si="2461"/>
        <v>2.7729016180673014</v>
      </c>
      <c r="Q2398" s="361">
        <f t="shared" si="2461"/>
        <v>3.6395720187941834</v>
      </c>
      <c r="R2398" s="361">
        <f t="shared" si="2461"/>
        <v>4.7771202532682357</v>
      </c>
      <c r="S2398" s="361">
        <f t="shared" si="2461"/>
        <v>6.2702091884271312</v>
      </c>
      <c r="T2398" s="361">
        <f t="shared" si="2461"/>
        <v>8.2299630702699105</v>
      </c>
      <c r="U2398" s="361">
        <f t="shared" si="2461"/>
        <v>10.802238027882613</v>
      </c>
      <c r="V2398" s="362">
        <f t="shared" si="2461"/>
        <v>14.178477523497115</v>
      </c>
      <c r="X2398" s="351"/>
    </row>
    <row r="2399" spans="3:24" ht="24.75" customHeight="1" x14ac:dyDescent="0.3">
      <c r="C2399" s="353">
        <f>ABS(E2399-Dashboard!$F$14)</f>
        <v>46.611342821082786</v>
      </c>
      <c r="D2399" s="350">
        <f t="shared" si="2445"/>
        <v>0.31264999999998083</v>
      </c>
      <c r="E2399" s="359" cm="1">
        <f t="array" ref="E2399">1000*SUM('DRE + DCF'!$L$36/M2399,'DRE + DCF'!$N$36:$V$36/N2399:V2399,F2399/V2399)/Dashboard!$F$11</f>
        <v>50.378657178917209</v>
      </c>
      <c r="F2399" s="359">
        <f t="shared" si="2443"/>
        <v>8368895.0933312457</v>
      </c>
      <c r="G2399" s="359">
        <f>'DRE + DCF'!$W$31</f>
        <v>2791623.3540418856</v>
      </c>
      <c r="H2399" s="359">
        <f>'DRE + DCF'!$W$32</f>
        <v>81081.931703745853</v>
      </c>
      <c r="I2399" s="359">
        <f>-H2399*('DRE + DCF'!$V$33+K2399)/'DRE + DCF'!$V$33</f>
        <v>-90858.801614444121</v>
      </c>
      <c r="J2399" s="359">
        <f>-'DRE + DCF'!$V$56*L2399</f>
        <v>-1188924.4255577971</v>
      </c>
      <c r="K2399" s="360">
        <f>(1+L2399)/(1+Ke!$O$12)-1</f>
        <v>2.0000000000000018E-2</v>
      </c>
      <c r="L2399" s="360">
        <f>'DRE + DCF'!$Y$31</f>
        <v>7.3550000000000004E-2</v>
      </c>
      <c r="M2399" s="361">
        <f>(1+D2399)^((5-Dashboard!$F$9)*3/12)</f>
        <v>1.2263422960800572</v>
      </c>
      <c r="N2399" s="361">
        <f t="shared" ref="N2399:V2399" si="2462">M2399*(1+$D2399)</f>
        <v>1.6097582149494636</v>
      </c>
      <c r="O2399" s="361">
        <f t="shared" si="2462"/>
        <v>2.1130491208533826</v>
      </c>
      <c r="P2399" s="361">
        <f t="shared" si="2462"/>
        <v>2.7736939284881519</v>
      </c>
      <c r="Q2399" s="361">
        <f t="shared" si="2462"/>
        <v>3.6408893352299194</v>
      </c>
      <c r="R2399" s="361">
        <f t="shared" si="2462"/>
        <v>4.7792133858894834</v>
      </c>
      <c r="S2399" s="361">
        <f t="shared" si="2462"/>
        <v>6.2734344509877387</v>
      </c>
      <c r="T2399" s="361">
        <f t="shared" si="2462"/>
        <v>8.2348237320889339</v>
      </c>
      <c r="U2399" s="361">
        <f t="shared" si="2462"/>
        <v>10.809441371926381</v>
      </c>
      <c r="V2399" s="362">
        <f t="shared" si="2462"/>
        <v>14.189013216858957</v>
      </c>
      <c r="X2399" s="351"/>
    </row>
    <row r="2400" spans="3:24" ht="24.75" customHeight="1" x14ac:dyDescent="0.3">
      <c r="C2400" s="353">
        <f>ABS(E2400-Dashboard!$F$14)</f>
        <v>46.636080767136853</v>
      </c>
      <c r="D2400" s="350">
        <f t="shared" si="2445"/>
        <v>0.31274999999998082</v>
      </c>
      <c r="E2400" s="359" cm="1">
        <f t="array" ref="E2400">1000*SUM('DRE + DCF'!$L$36/M2400,'DRE + DCF'!$N$36:$V$36/N2400:V2400,F2400/V2400)/Dashboard!$F$11</f>
        <v>50.353919232863142</v>
      </c>
      <c r="F2400" s="359">
        <f t="shared" si="2443"/>
        <v>8365867.6017547436</v>
      </c>
      <c r="G2400" s="359">
        <f>'DRE + DCF'!$W$31</f>
        <v>2791623.3540418856</v>
      </c>
      <c r="H2400" s="359">
        <f>'DRE + DCF'!$W$32</f>
        <v>81081.931703745853</v>
      </c>
      <c r="I2400" s="359">
        <f>-H2400*('DRE + DCF'!$V$33+K2400)/'DRE + DCF'!$V$33</f>
        <v>-90858.801614444121</v>
      </c>
      <c r="J2400" s="359">
        <f>-'DRE + DCF'!$V$56*L2400</f>
        <v>-1188924.4255577971</v>
      </c>
      <c r="K2400" s="360">
        <f>(1+L2400)/(1+Ke!$O$12)-1</f>
        <v>2.0000000000000018E-2</v>
      </c>
      <c r="L2400" s="360">
        <f>'DRE + DCF'!$Y$31</f>
        <v>7.3550000000000004E-2</v>
      </c>
      <c r="M2400" s="361">
        <f>(1+D2400)^((5-Dashboard!$F$9)*3/12)</f>
        <v>1.2264123641076161</v>
      </c>
      <c r="N2400" s="361">
        <f t="shared" ref="N2400:V2400" si="2463">M2400*(1+$D2400)</f>
        <v>1.6099728309822494</v>
      </c>
      <c r="O2400" s="361">
        <f t="shared" si="2463"/>
        <v>2.1134918338719171</v>
      </c>
      <c r="P2400" s="361">
        <f t="shared" si="2463"/>
        <v>2.7744864049153186</v>
      </c>
      <c r="Q2400" s="361">
        <f t="shared" si="2463"/>
        <v>3.6422070280525309</v>
      </c>
      <c r="R2400" s="361">
        <f t="shared" si="2463"/>
        <v>4.7813072760758901</v>
      </c>
      <c r="S2400" s="361">
        <f t="shared" si="2463"/>
        <v>6.2766611266685324</v>
      </c>
      <c r="T2400" s="361">
        <f t="shared" si="2463"/>
        <v>8.239686894033996</v>
      </c>
      <c r="U2400" s="361">
        <f t="shared" si="2463"/>
        <v>10.816648970142969</v>
      </c>
      <c r="V2400" s="362">
        <f t="shared" si="2463"/>
        <v>14.199555935554974</v>
      </c>
      <c r="X2400" s="351"/>
    </row>
    <row r="2401" spans="3:24" ht="24.75" customHeight="1" x14ac:dyDescent="0.3">
      <c r="C2401" s="353">
        <f>ABS(E2401-Dashboard!$F$14)</f>
        <v>46.660796933901509</v>
      </c>
      <c r="D2401" s="350">
        <f t="shared" si="2445"/>
        <v>0.31284999999998081</v>
      </c>
      <c r="E2401" s="359" cm="1">
        <f t="array" ref="E2401">1000*SUM('DRE + DCF'!$L$36/M2401,'DRE + DCF'!$N$36:$V$36/N2401:V2401,F2401/V2401)/Dashboard!$F$11</f>
        <v>50.329203066098486</v>
      </c>
      <c r="F2401" s="359">
        <f t="shared" si="2443"/>
        <v>8362842.3393565211</v>
      </c>
      <c r="G2401" s="359">
        <f>'DRE + DCF'!$W$31</f>
        <v>2791623.3540418856</v>
      </c>
      <c r="H2401" s="359">
        <f>'DRE + DCF'!$W$32</f>
        <v>81081.931703745853</v>
      </c>
      <c r="I2401" s="359">
        <f>-H2401*('DRE + DCF'!$V$33+K2401)/'DRE + DCF'!$V$33</f>
        <v>-90858.801614444121</v>
      </c>
      <c r="J2401" s="359">
        <f>-'DRE + DCF'!$V$56*L2401</f>
        <v>-1188924.4255577971</v>
      </c>
      <c r="K2401" s="360">
        <f>(1+L2401)/(1+Ke!$O$12)-1</f>
        <v>2.0000000000000018E-2</v>
      </c>
      <c r="L2401" s="360">
        <f>'DRE + DCF'!$Y$31</f>
        <v>7.3550000000000004E-2</v>
      </c>
      <c r="M2401" s="361">
        <f>(1+D2401)^((5-Dashboard!$F$9)*3/12)</f>
        <v>1.2264824308008127</v>
      </c>
      <c r="N2401" s="361">
        <f t="shared" ref="N2401:V2401" si="2464">M2401*(1+$D2401)</f>
        <v>1.6101874592768233</v>
      </c>
      <c r="O2401" s="361">
        <f t="shared" si="2464"/>
        <v>2.1139346059115462</v>
      </c>
      <c r="P2401" s="361">
        <f t="shared" si="2464"/>
        <v>2.7752790473709328</v>
      </c>
      <c r="Q2401" s="361">
        <f t="shared" si="2464"/>
        <v>3.6435250973408757</v>
      </c>
      <c r="R2401" s="361">
        <f t="shared" si="2464"/>
        <v>4.7834019240438987</v>
      </c>
      <c r="S2401" s="361">
        <f t="shared" si="2464"/>
        <v>6.2798892159809405</v>
      </c>
      <c r="T2401" s="361">
        <f t="shared" si="2464"/>
        <v>8.244552557200457</v>
      </c>
      <c r="U2401" s="361">
        <f t="shared" si="2464"/>
        <v>10.823860824720461</v>
      </c>
      <c r="V2401" s="362">
        <f t="shared" si="2464"/>
        <v>14.210105683734048</v>
      </c>
      <c r="X2401" s="351"/>
    </row>
    <row r="2402" spans="3:24" ht="24.75" customHeight="1" x14ac:dyDescent="0.3">
      <c r="C2402" s="353">
        <f>ABS(E2402-Dashboard!$F$14)</f>
        <v>46.685491348065113</v>
      </c>
      <c r="D2402" s="350">
        <f t="shared" si="2445"/>
        <v>0.3129499999999808</v>
      </c>
      <c r="E2402" s="359" cm="1">
        <f t="array" ref="E2402">1000*SUM('DRE + DCF'!$L$36/M2402,'DRE + DCF'!$N$36:$V$36/N2402:V2402,F2402/V2402)/Dashboard!$F$11</f>
        <v>50.304508651934881</v>
      </c>
      <c r="F2402" s="359">
        <f t="shared" si="2443"/>
        <v>8359819.303631654</v>
      </c>
      <c r="G2402" s="359">
        <f>'DRE + DCF'!$W$31</f>
        <v>2791623.3540418856</v>
      </c>
      <c r="H2402" s="359">
        <f>'DRE + DCF'!$W$32</f>
        <v>81081.931703745853</v>
      </c>
      <c r="I2402" s="359">
        <f>-H2402*('DRE + DCF'!$V$33+K2402)/'DRE + DCF'!$V$33</f>
        <v>-90858.801614444121</v>
      </c>
      <c r="J2402" s="359">
        <f>-'DRE + DCF'!$V$56*L2402</f>
        <v>-1188924.4255577971</v>
      </c>
      <c r="K2402" s="360">
        <f>(1+L2402)/(1+Ke!$O$12)-1</f>
        <v>2.0000000000000018E-2</v>
      </c>
      <c r="L2402" s="360">
        <f>'DRE + DCF'!$Y$31</f>
        <v>7.3550000000000004E-2</v>
      </c>
      <c r="M2402" s="361">
        <f>(1+D2402)^((5-Dashboard!$F$9)*3/12)</f>
        <v>1.226552496159774</v>
      </c>
      <c r="N2402" s="361">
        <f t="shared" ref="N2402:V2402" si="2465">M2402*(1+$D2402)</f>
        <v>1.6104020998329516</v>
      </c>
      <c r="O2402" s="361">
        <f t="shared" si="2465"/>
        <v>2.114377436975643</v>
      </c>
      <c r="P2402" s="361">
        <f t="shared" si="2465"/>
        <v>2.7760718558771296</v>
      </c>
      <c r="Q2402" s="361">
        <f t="shared" si="2465"/>
        <v>3.644843543173824</v>
      </c>
      <c r="R2402" s="361">
        <f t="shared" si="2465"/>
        <v>4.7854973300100019</v>
      </c>
      <c r="S2402" s="361">
        <f t="shared" si="2465"/>
        <v>6.2831187194365397</v>
      </c>
      <c r="T2402" s="361">
        <f t="shared" si="2465"/>
        <v>8.2494207226840839</v>
      </c>
      <c r="U2402" s="361">
        <f t="shared" si="2465"/>
        <v>10.831076937847909</v>
      </c>
      <c r="V2402" s="362">
        <f t="shared" si="2465"/>
        <v>14.220662465547203</v>
      </c>
      <c r="X2402" s="351"/>
    </row>
    <row r="2403" spans="3:24" ht="24.75" customHeight="1" x14ac:dyDescent="0.3">
      <c r="C2403" s="353">
        <f>ABS(E2403-Dashboard!$F$14)</f>
        <v>46.710164036274286</v>
      </c>
      <c r="D2403" s="350">
        <f t="shared" si="2445"/>
        <v>0.31304999999998079</v>
      </c>
      <c r="E2403" s="359" cm="1">
        <f t="array" ref="E2403">1000*SUM('DRE + DCF'!$L$36/M2403,'DRE + DCF'!$N$36:$V$36/N2403:V2403,F2403/V2403)/Dashboard!$F$11</f>
        <v>50.279835963725709</v>
      </c>
      <c r="F2403" s="359">
        <f t="shared" si="2443"/>
        <v>8356798.4920790298</v>
      </c>
      <c r="G2403" s="359">
        <f>'DRE + DCF'!$W$31</f>
        <v>2791623.3540418856</v>
      </c>
      <c r="H2403" s="359">
        <f>'DRE + DCF'!$W$32</f>
        <v>81081.931703745853</v>
      </c>
      <c r="I2403" s="359">
        <f>-H2403*('DRE + DCF'!$V$33+K2403)/'DRE + DCF'!$V$33</f>
        <v>-90858.801614444121</v>
      </c>
      <c r="J2403" s="359">
        <f>-'DRE + DCF'!$V$56*L2403</f>
        <v>-1188924.4255577971</v>
      </c>
      <c r="K2403" s="360">
        <f>(1+L2403)/(1+Ke!$O$12)-1</f>
        <v>2.0000000000000018E-2</v>
      </c>
      <c r="L2403" s="360">
        <f>'DRE + DCF'!$Y$31</f>
        <v>7.3550000000000004E-2</v>
      </c>
      <c r="M2403" s="361">
        <f>(1+D2403)^((5-Dashboard!$F$9)*3/12)</f>
        <v>1.2266225601846275</v>
      </c>
      <c r="N2403" s="361">
        <f t="shared" ref="N2403:V2403" si="2466">M2403*(1+$D2403)</f>
        <v>1.6106167526504014</v>
      </c>
      <c r="O2403" s="361">
        <f t="shared" si="2466"/>
        <v>2.1148203270675787</v>
      </c>
      <c r="P2403" s="361">
        <f t="shared" si="2466"/>
        <v>2.7768648304560437</v>
      </c>
      <c r="Q2403" s="361">
        <f t="shared" si="2466"/>
        <v>3.6461623656302549</v>
      </c>
      <c r="R2403" s="361">
        <f t="shared" si="2466"/>
        <v>4.7875934941907357</v>
      </c>
      <c r="S2403" s="361">
        <f t="shared" si="2466"/>
        <v>6.2863496375470529</v>
      </c>
      <c r="T2403" s="361">
        <f t="shared" si="2466"/>
        <v>8.2542913915810363</v>
      </c>
      <c r="U2403" s="361">
        <f t="shared" si="2466"/>
        <v>10.838297311715321</v>
      </c>
      <c r="V2403" s="362">
        <f t="shared" si="2466"/>
        <v>14.231226285147594</v>
      </c>
      <c r="X2403" s="351"/>
    </row>
    <row r="2404" spans="3:24" ht="24.75" customHeight="1" x14ac:dyDescent="0.3">
      <c r="C2404" s="353">
        <f>ABS(E2404-Dashboard!$F$14)</f>
        <v>46.734815025133777</v>
      </c>
      <c r="D2404" s="350">
        <f t="shared" si="2445"/>
        <v>0.31314999999998078</v>
      </c>
      <c r="E2404" s="359" cm="1">
        <f t="array" ref="E2404">1000*SUM('DRE + DCF'!$L$36/M2404,'DRE + DCF'!$N$36:$V$36/N2404:V2404,F2404/V2404)/Dashboard!$F$11</f>
        <v>50.255184974866218</v>
      </c>
      <c r="F2404" s="359">
        <f t="shared" si="2443"/>
        <v>8353779.902201348</v>
      </c>
      <c r="G2404" s="359">
        <f>'DRE + DCF'!$W$31</f>
        <v>2791623.3540418856</v>
      </c>
      <c r="H2404" s="359">
        <f>'DRE + DCF'!$W$32</f>
        <v>81081.931703745853</v>
      </c>
      <c r="I2404" s="359">
        <f>-H2404*('DRE + DCF'!$V$33+K2404)/'DRE + DCF'!$V$33</f>
        <v>-90858.801614444121</v>
      </c>
      <c r="J2404" s="359">
        <f>-'DRE + DCF'!$V$56*L2404</f>
        <v>-1188924.4255577971</v>
      </c>
      <c r="K2404" s="360">
        <f>(1+L2404)/(1+Ke!$O$12)-1</f>
        <v>2.0000000000000018E-2</v>
      </c>
      <c r="L2404" s="360">
        <f>'DRE + DCF'!$Y$31</f>
        <v>7.3550000000000004E-2</v>
      </c>
      <c r="M2404" s="361">
        <f>(1+D2404)^((5-Dashboard!$F$9)*3/12)</f>
        <v>1.2266926228754995</v>
      </c>
      <c r="N2404" s="361">
        <f t="shared" ref="N2404:V2404" si="2467">M2404*(1+$D2404)</f>
        <v>1.6108314177289385</v>
      </c>
      <c r="O2404" s="361">
        <f t="shared" si="2467"/>
        <v>2.1152632761907246</v>
      </c>
      <c r="P2404" s="361">
        <f t="shared" si="2467"/>
        <v>2.7776579711298091</v>
      </c>
      <c r="Q2404" s="361">
        <f t="shared" si="2467"/>
        <v>3.6474815647890551</v>
      </c>
      <c r="R2404" s="361">
        <f t="shared" si="2467"/>
        <v>4.789690416802677</v>
      </c>
      <c r="S2404" s="361">
        <f t="shared" si="2467"/>
        <v>6.2895819708243428</v>
      </c>
      <c r="T2404" s="361">
        <f t="shared" si="2467"/>
        <v>8.2591645649878647</v>
      </c>
      <c r="U2404" s="361">
        <f t="shared" si="2467"/>
        <v>10.845521948513655</v>
      </c>
      <c r="V2404" s="362">
        <f t="shared" si="2467"/>
        <v>14.241797146690496</v>
      </c>
      <c r="X2404" s="351"/>
    </row>
    <row r="2405" spans="3:24" ht="24.75" customHeight="1" x14ac:dyDescent="0.3">
      <c r="C2405" s="353">
        <f>ABS(E2405-Dashboard!$F$14)</f>
        <v>46.759444341206823</v>
      </c>
      <c r="D2405" s="350">
        <f t="shared" si="2445"/>
        <v>0.31324999999998077</v>
      </c>
      <c r="E2405" s="359" cm="1">
        <f t="array" ref="E2405">1000*SUM('DRE + DCF'!$L$36/M2405,'DRE + DCF'!$N$36:$V$36/N2405:V2405,F2405/V2405)/Dashboard!$F$11</f>
        <v>50.230555658793172</v>
      </c>
      <c r="F2405" s="359">
        <f t="shared" si="2443"/>
        <v>8350763.5315051014</v>
      </c>
      <c r="G2405" s="359">
        <f>'DRE + DCF'!$W$31</f>
        <v>2791623.3540418856</v>
      </c>
      <c r="H2405" s="359">
        <f>'DRE + DCF'!$W$32</f>
        <v>81081.931703745853</v>
      </c>
      <c r="I2405" s="359">
        <f>-H2405*('DRE + DCF'!$V$33+K2405)/'DRE + DCF'!$V$33</f>
        <v>-90858.801614444121</v>
      </c>
      <c r="J2405" s="359">
        <f>-'DRE + DCF'!$V$56*L2405</f>
        <v>-1188924.4255577971</v>
      </c>
      <c r="K2405" s="360">
        <f>(1+L2405)/(1+Ke!$O$12)-1</f>
        <v>2.0000000000000018E-2</v>
      </c>
      <c r="L2405" s="360">
        <f>'DRE + DCF'!$Y$31</f>
        <v>7.3550000000000004E-2</v>
      </c>
      <c r="M2405" s="361">
        <f>(1+D2405)^((5-Dashboard!$F$9)*3/12)</f>
        <v>1.2267626842325174</v>
      </c>
      <c r="N2405" s="361">
        <f t="shared" ref="N2405:V2405" si="2468">M2405*(1+$D2405)</f>
        <v>1.6110460950683299</v>
      </c>
      <c r="O2405" s="361">
        <f t="shared" si="2468"/>
        <v>2.1157062843484531</v>
      </c>
      <c r="P2405" s="361">
        <f t="shared" si="2468"/>
        <v>2.7784512779205652</v>
      </c>
      <c r="Q2405" s="361">
        <f t="shared" si="2468"/>
        <v>3.6488011407291285</v>
      </c>
      <c r="R2405" s="361">
        <f t="shared" si="2468"/>
        <v>4.7917880980624581</v>
      </c>
      <c r="S2405" s="361">
        <f t="shared" si="2468"/>
        <v>6.2928157197804309</v>
      </c>
      <c r="T2405" s="361">
        <f t="shared" si="2468"/>
        <v>8.2640402440015297</v>
      </c>
      <c r="U2405" s="361">
        <f t="shared" si="2468"/>
        <v>10.85275085043485</v>
      </c>
      <c r="V2405" s="362">
        <f t="shared" si="2468"/>
        <v>14.252375054333358</v>
      </c>
      <c r="X2405" s="351"/>
    </row>
    <row r="2406" spans="3:24" ht="24.75" customHeight="1" x14ac:dyDescent="0.3">
      <c r="C2406" s="353">
        <f>ABS(E2406-Dashboard!$F$14)</f>
        <v>46.784052011014943</v>
      </c>
      <c r="D2406" s="350">
        <f t="shared" si="2445"/>
        <v>0.31334999999998076</v>
      </c>
      <c r="E2406" s="359" cm="1">
        <f t="array" ref="E2406">1000*SUM('DRE + DCF'!$L$36/M2406,'DRE + DCF'!$N$36:$V$36/N2406:V2406,F2406/V2406)/Dashboard!$F$11</f>
        <v>50.205947988985052</v>
      </c>
      <c r="F2406" s="359">
        <f t="shared" si="2443"/>
        <v>8347749.3775005853</v>
      </c>
      <c r="G2406" s="359">
        <f>'DRE + DCF'!$W$31</f>
        <v>2791623.3540418856</v>
      </c>
      <c r="H2406" s="359">
        <f>'DRE + DCF'!$W$32</f>
        <v>81081.931703745853</v>
      </c>
      <c r="I2406" s="359">
        <f>-H2406*('DRE + DCF'!$V$33+K2406)/'DRE + DCF'!$V$33</f>
        <v>-90858.801614444121</v>
      </c>
      <c r="J2406" s="359">
        <f>-'DRE + DCF'!$V$56*L2406</f>
        <v>-1188924.4255577971</v>
      </c>
      <c r="K2406" s="360">
        <f>(1+L2406)/(1+Ke!$O$12)-1</f>
        <v>2.0000000000000018E-2</v>
      </c>
      <c r="L2406" s="360">
        <f>'DRE + DCF'!$Y$31</f>
        <v>7.3550000000000004E-2</v>
      </c>
      <c r="M2406" s="361">
        <f>(1+D2406)^((5-Dashboard!$F$9)*3/12)</f>
        <v>1.2268327442558082</v>
      </c>
      <c r="N2406" s="361">
        <f t="shared" ref="N2406:V2406" si="2469">M2406*(1+$D2406)</f>
        <v>1.611260784668342</v>
      </c>
      <c r="O2406" s="361">
        <f t="shared" si="2469"/>
        <v>2.1161493515441361</v>
      </c>
      <c r="P2406" s="361">
        <f t="shared" si="2469"/>
        <v>2.7792447508504501</v>
      </c>
      <c r="Q2406" s="361">
        <f t="shared" si="2469"/>
        <v>3.6501210935293851</v>
      </c>
      <c r="R2406" s="361">
        <f t="shared" si="2469"/>
        <v>4.7938865381867473</v>
      </c>
      <c r="S2406" s="361">
        <f t="shared" si="2469"/>
        <v>6.2960508849274719</v>
      </c>
      <c r="T2406" s="361">
        <f t="shared" si="2469"/>
        <v>8.2689184297193741</v>
      </c>
      <c r="U2406" s="361">
        <f t="shared" si="2469"/>
        <v>10.85998401967178</v>
      </c>
      <c r="V2406" s="362">
        <f t="shared" si="2469"/>
        <v>14.262960012235721</v>
      </c>
      <c r="X2406" s="351"/>
    </row>
    <row r="2407" spans="3:24" ht="24.75" customHeight="1" x14ac:dyDescent="0.3">
      <c r="C2407" s="353">
        <f>ABS(E2407-Dashboard!$F$14)</f>
        <v>46.808638061038288</v>
      </c>
      <c r="D2407" s="350">
        <f t="shared" si="2445"/>
        <v>0.31344999999998074</v>
      </c>
      <c r="E2407" s="359" cm="1">
        <f t="array" ref="E2407">1000*SUM('DRE + DCF'!$L$36/M2407,'DRE + DCF'!$N$36:$V$36/N2407:V2407,F2407/V2407)/Dashboard!$F$11</f>
        <v>50.181361938961707</v>
      </c>
      <c r="F2407" s="359">
        <f t="shared" si="2443"/>
        <v>8344737.4377018735</v>
      </c>
      <c r="G2407" s="359">
        <f>'DRE + DCF'!$W$31</f>
        <v>2791623.3540418856</v>
      </c>
      <c r="H2407" s="359">
        <f>'DRE + DCF'!$W$32</f>
        <v>81081.931703745853</v>
      </c>
      <c r="I2407" s="359">
        <f>-H2407*('DRE + DCF'!$V$33+K2407)/'DRE + DCF'!$V$33</f>
        <v>-90858.801614444121</v>
      </c>
      <c r="J2407" s="359">
        <f>-'DRE + DCF'!$V$56*L2407</f>
        <v>-1188924.4255577971</v>
      </c>
      <c r="K2407" s="360">
        <f>(1+L2407)/(1+Ke!$O$12)-1</f>
        <v>2.0000000000000018E-2</v>
      </c>
      <c r="L2407" s="360">
        <f>'DRE + DCF'!$Y$31</f>
        <v>7.3550000000000004E-2</v>
      </c>
      <c r="M2407" s="361">
        <f>(1+D2407)^((5-Dashboard!$F$9)*3/12)</f>
        <v>1.2269028029454987</v>
      </c>
      <c r="N2407" s="361">
        <f t="shared" ref="N2407:V2407" si="2470">M2407*(1+$D2407)</f>
        <v>1.6114754865287415</v>
      </c>
      <c r="O2407" s="361">
        <f t="shared" si="2470"/>
        <v>2.1165924777811442</v>
      </c>
      <c r="P2407" s="361">
        <f t="shared" si="2470"/>
        <v>2.7800383899416032</v>
      </c>
      <c r="Q2407" s="361">
        <f t="shared" si="2470"/>
        <v>3.6514414232687451</v>
      </c>
      <c r="R2407" s="361">
        <f t="shared" si="2470"/>
        <v>4.7959857373922627</v>
      </c>
      <c r="S2407" s="361">
        <f t="shared" si="2470"/>
        <v>6.2992874667777752</v>
      </c>
      <c r="T2407" s="361">
        <f t="shared" si="2470"/>
        <v>8.2737991232391472</v>
      </c>
      <c r="U2407" s="361">
        <f t="shared" si="2470"/>
        <v>10.867221458418298</v>
      </c>
      <c r="V2407" s="362">
        <f t="shared" si="2470"/>
        <v>14.273552024559303</v>
      </c>
      <c r="X2407" s="351"/>
    </row>
    <row r="2408" spans="3:24" ht="24.75" customHeight="1" x14ac:dyDescent="0.3">
      <c r="C2408" s="353">
        <f>ABS(E2408-Dashboard!$F$14)</f>
        <v>46.833202517715485</v>
      </c>
      <c r="D2408" s="350">
        <f t="shared" si="2445"/>
        <v>0.31354999999998073</v>
      </c>
      <c r="E2408" s="359" cm="1">
        <f t="array" ref="E2408">1000*SUM('DRE + DCF'!$L$36/M2408,'DRE + DCF'!$N$36:$V$36/N2408:V2408,F2408/V2408)/Dashboard!$F$11</f>
        <v>50.15679748228451</v>
      </c>
      <c r="F2408" s="359">
        <f t="shared" si="2443"/>
        <v>8341727.7096268199</v>
      </c>
      <c r="G2408" s="359">
        <f>'DRE + DCF'!$W$31</f>
        <v>2791623.3540418856</v>
      </c>
      <c r="H2408" s="359">
        <f>'DRE + DCF'!$W$32</f>
        <v>81081.931703745853</v>
      </c>
      <c r="I2408" s="359">
        <f>-H2408*('DRE + DCF'!$V$33+K2408)/'DRE + DCF'!$V$33</f>
        <v>-90858.801614444121</v>
      </c>
      <c r="J2408" s="359">
        <f>-'DRE + DCF'!$V$56*L2408</f>
        <v>-1188924.4255577971</v>
      </c>
      <c r="K2408" s="360">
        <f>(1+L2408)/(1+Ke!$O$12)-1</f>
        <v>2.0000000000000018E-2</v>
      </c>
      <c r="L2408" s="360">
        <f>'DRE + DCF'!$Y$31</f>
        <v>7.3550000000000004E-2</v>
      </c>
      <c r="M2408" s="361">
        <f>(1+D2408)^((5-Dashboard!$F$9)*3/12)</f>
        <v>1.2269728603017158</v>
      </c>
      <c r="N2408" s="361">
        <f t="shared" ref="N2408:V2408" si="2471">M2408*(1+$D2408)</f>
        <v>1.611690200649295</v>
      </c>
      <c r="O2408" s="361">
        <f t="shared" si="2471"/>
        <v>2.1170356630628504</v>
      </c>
      <c r="P2408" s="361">
        <f t="shared" si="2471"/>
        <v>2.7808321952161661</v>
      </c>
      <c r="Q2408" s="361">
        <f t="shared" si="2471"/>
        <v>3.652762130026141</v>
      </c>
      <c r="R2408" s="361">
        <f t="shared" si="2471"/>
        <v>4.7980856958957672</v>
      </c>
      <c r="S2408" s="361">
        <f t="shared" si="2471"/>
        <v>6.3025254658437921</v>
      </c>
      <c r="T2408" s="361">
        <f t="shared" si="2471"/>
        <v>8.2786823256589912</v>
      </c>
      <c r="U2408" s="361">
        <f t="shared" si="2471"/>
        <v>10.874463168869207</v>
      </c>
      <c r="V2408" s="362">
        <f t="shared" si="2471"/>
        <v>14.284151095467937</v>
      </c>
      <c r="X2408" s="351"/>
    </row>
    <row r="2409" spans="3:24" ht="24.75" customHeight="1" x14ac:dyDescent="0.3">
      <c r="C2409" s="353">
        <f>ABS(E2409-Dashboard!$F$14)</f>
        <v>46.857745407443886</v>
      </c>
      <c r="D2409" s="350">
        <f t="shared" si="2445"/>
        <v>0.31364999999998072</v>
      </c>
      <c r="E2409" s="359" cm="1">
        <f t="array" ref="E2409">1000*SUM('DRE + DCF'!$L$36/M2409,'DRE + DCF'!$N$36:$V$36/N2409:V2409,F2409/V2409)/Dashboard!$F$11</f>
        <v>50.132254592556109</v>
      </c>
      <c r="F2409" s="359">
        <f t="shared" si="2443"/>
        <v>8338720.1907970505</v>
      </c>
      <c r="G2409" s="359">
        <f>'DRE + DCF'!$W$31</f>
        <v>2791623.3540418856</v>
      </c>
      <c r="H2409" s="359">
        <f>'DRE + DCF'!$W$32</f>
        <v>81081.931703745853</v>
      </c>
      <c r="I2409" s="359">
        <f>-H2409*('DRE + DCF'!$V$33+K2409)/'DRE + DCF'!$V$33</f>
        <v>-90858.801614444121</v>
      </c>
      <c r="J2409" s="359">
        <f>-'DRE + DCF'!$V$56*L2409</f>
        <v>-1188924.4255577971</v>
      </c>
      <c r="K2409" s="360">
        <f>(1+L2409)/(1+Ke!$O$12)-1</f>
        <v>2.0000000000000018E-2</v>
      </c>
      <c r="L2409" s="360">
        <f>'DRE + DCF'!$Y$31</f>
        <v>7.3550000000000004E-2</v>
      </c>
      <c r="M2409" s="361">
        <f>(1+D2409)^((5-Dashboard!$F$9)*3/12)</f>
        <v>1.2270429163245866</v>
      </c>
      <c r="N2409" s="361">
        <f t="shared" ref="N2409:V2409" si="2472">M2409*(1+$D2409)</f>
        <v>1.6119049270297694</v>
      </c>
      <c r="O2409" s="361">
        <f t="shared" si="2472"/>
        <v>2.1174789073926252</v>
      </c>
      <c r="P2409" s="361">
        <f t="shared" si="2472"/>
        <v>2.7816261666962814</v>
      </c>
      <c r="Q2409" s="361">
        <f t="shared" si="2472"/>
        <v>3.6540832138805164</v>
      </c>
      <c r="R2409" s="361">
        <f t="shared" si="2472"/>
        <v>4.8001864139140693</v>
      </c>
      <c r="S2409" s="361">
        <f t="shared" si="2472"/>
        <v>6.3057648826381243</v>
      </c>
      <c r="T2409" s="361">
        <f t="shared" si="2472"/>
        <v>8.2835680380774495</v>
      </c>
      <c r="U2409" s="361">
        <f t="shared" si="2472"/>
        <v>10.881709153220282</v>
      </c>
      <c r="V2409" s="362">
        <f t="shared" si="2472"/>
        <v>14.294757229127613</v>
      </c>
      <c r="X2409" s="351"/>
    </row>
    <row r="2410" spans="3:24" ht="24.75" customHeight="1" x14ac:dyDescent="0.3">
      <c r="C2410" s="353">
        <f>ABS(E2410-Dashboard!$F$14)</f>
        <v>46.88226675657954</v>
      </c>
      <c r="D2410" s="350">
        <f t="shared" si="2445"/>
        <v>0.31374999999998071</v>
      </c>
      <c r="E2410" s="359" cm="1">
        <f t="array" ref="E2410">1000*SUM('DRE + DCF'!$L$36/M2410,'DRE + DCF'!$N$36:$V$36/N2410:V2410,F2410/V2410)/Dashboard!$F$11</f>
        <v>50.107733243420455</v>
      </c>
      <c r="F2410" s="359">
        <f t="shared" si="2443"/>
        <v>8335714.8787379544</v>
      </c>
      <c r="G2410" s="359">
        <f>'DRE + DCF'!$W$31</f>
        <v>2791623.3540418856</v>
      </c>
      <c r="H2410" s="359">
        <f>'DRE + DCF'!$W$32</f>
        <v>81081.931703745853</v>
      </c>
      <c r="I2410" s="359">
        <f>-H2410*('DRE + DCF'!$V$33+K2410)/'DRE + DCF'!$V$33</f>
        <v>-90858.801614444121</v>
      </c>
      <c r="J2410" s="359">
        <f>-'DRE + DCF'!$V$56*L2410</f>
        <v>-1188924.4255577971</v>
      </c>
      <c r="K2410" s="360">
        <f>(1+L2410)/(1+Ke!$O$12)-1</f>
        <v>2.0000000000000018E-2</v>
      </c>
      <c r="L2410" s="360">
        <f>'DRE + DCF'!$Y$31</f>
        <v>7.3550000000000004E-2</v>
      </c>
      <c r="M2410" s="361">
        <f>(1+D2410)^((5-Dashboard!$F$9)*3/12)</f>
        <v>1.2271129710142377</v>
      </c>
      <c r="N2410" s="361">
        <f t="shared" ref="N2410:V2410" si="2473">M2410*(1+$D2410)</f>
        <v>1.612119665669931</v>
      </c>
      <c r="O2410" s="361">
        <f t="shared" si="2473"/>
        <v>2.1179222107738407</v>
      </c>
      <c r="P2410" s="361">
        <f t="shared" si="2473"/>
        <v>2.7824203044040923</v>
      </c>
      <c r="Q2410" s="361">
        <f t="shared" si="2473"/>
        <v>3.6554046749108222</v>
      </c>
      <c r="R2410" s="361">
        <f t="shared" si="2473"/>
        <v>4.8022878916640224</v>
      </c>
      <c r="S2410" s="361">
        <f t="shared" si="2473"/>
        <v>6.3090057176735161</v>
      </c>
      <c r="T2410" s="361">
        <f t="shared" si="2473"/>
        <v>8.2884562615934598</v>
      </c>
      <c r="U2410" s="361">
        <f t="shared" si="2473"/>
        <v>10.888959413668248</v>
      </c>
      <c r="V2410" s="362">
        <f t="shared" si="2473"/>
        <v>14.30537042970645</v>
      </c>
      <c r="X2410" s="351"/>
    </row>
    <row r="2411" spans="3:24" ht="24.75" customHeight="1" x14ac:dyDescent="0.3">
      <c r="C2411" s="353">
        <f>ABS(E2411-Dashboard!$F$14)</f>
        <v>46.906766591437346</v>
      </c>
      <c r="D2411" s="350">
        <f t="shared" si="2445"/>
        <v>0.3138499999999807</v>
      </c>
      <c r="E2411" s="359" cm="1">
        <f t="array" ref="E2411">1000*SUM('DRE + DCF'!$L$36/M2411,'DRE + DCF'!$N$36:$V$36/N2411:V2411,F2411/V2411)/Dashboard!$F$11</f>
        <v>50.083233408562648</v>
      </c>
      <c r="F2411" s="359">
        <f t="shared" si="2443"/>
        <v>8332711.7709786789</v>
      </c>
      <c r="G2411" s="359">
        <f>'DRE + DCF'!$W$31</f>
        <v>2791623.3540418856</v>
      </c>
      <c r="H2411" s="359">
        <f>'DRE + DCF'!$W$32</f>
        <v>81081.931703745853</v>
      </c>
      <c r="I2411" s="359">
        <f>-H2411*('DRE + DCF'!$V$33+K2411)/'DRE + DCF'!$V$33</f>
        <v>-90858.801614444121</v>
      </c>
      <c r="J2411" s="359">
        <f>-'DRE + DCF'!$V$56*L2411</f>
        <v>-1188924.4255577971</v>
      </c>
      <c r="K2411" s="360">
        <f>(1+L2411)/(1+Ke!$O$12)-1</f>
        <v>2.0000000000000018E-2</v>
      </c>
      <c r="L2411" s="360">
        <f>'DRE + DCF'!$Y$31</f>
        <v>7.3550000000000004E-2</v>
      </c>
      <c r="M2411" s="361">
        <f>(1+D2411)^((5-Dashboard!$F$9)*3/12)</f>
        <v>1.227183024370796</v>
      </c>
      <c r="N2411" s="361">
        <f t="shared" ref="N2411:V2411" si="2474">M2411*(1+$D2411)</f>
        <v>1.6123344165695466</v>
      </c>
      <c r="O2411" s="361">
        <f t="shared" si="2474"/>
        <v>2.1183655732098674</v>
      </c>
      <c r="P2411" s="361">
        <f t="shared" si="2474"/>
        <v>2.7832146083617433</v>
      </c>
      <c r="Q2411" s="361">
        <f t="shared" si="2474"/>
        <v>3.6567265131960225</v>
      </c>
      <c r="R2411" s="361">
        <f t="shared" si="2474"/>
        <v>4.8043901293625231</v>
      </c>
      <c r="S2411" s="361">
        <f t="shared" si="2474"/>
        <v>6.3122479714628579</v>
      </c>
      <c r="T2411" s="361">
        <f t="shared" si="2474"/>
        <v>8.2933469973063545</v>
      </c>
      <c r="U2411" s="361">
        <f t="shared" si="2474"/>
        <v>10.896213952410793</v>
      </c>
      <c r="V2411" s="362">
        <f t="shared" si="2474"/>
        <v>14.315990701374711</v>
      </c>
      <c r="X2411" s="351"/>
    </row>
    <row r="2412" spans="3:24" ht="24.75" customHeight="1" x14ac:dyDescent="0.3">
      <c r="C2412" s="353">
        <f>ABS(E2412-Dashboard!$F$14)</f>
        <v>46.931244938291101</v>
      </c>
      <c r="D2412" s="350">
        <f t="shared" si="2445"/>
        <v>0.31394999999998069</v>
      </c>
      <c r="E2412" s="359" cm="1">
        <f t="array" ref="E2412">1000*SUM('DRE + DCF'!$L$36/M2412,'DRE + DCF'!$N$36:$V$36/N2412:V2412,F2412/V2412)/Dashboard!$F$11</f>
        <v>50.058755061708894</v>
      </c>
      <c r="F2412" s="359">
        <f t="shared" si="2443"/>
        <v>8329710.865052118</v>
      </c>
      <c r="G2412" s="359">
        <f>'DRE + DCF'!$W$31</f>
        <v>2791623.3540418856</v>
      </c>
      <c r="H2412" s="359">
        <f>'DRE + DCF'!$W$32</f>
        <v>81081.931703745853</v>
      </c>
      <c r="I2412" s="359">
        <f>-H2412*('DRE + DCF'!$V$33+K2412)/'DRE + DCF'!$V$33</f>
        <v>-90858.801614444121</v>
      </c>
      <c r="J2412" s="359">
        <f>-'DRE + DCF'!$V$56*L2412</f>
        <v>-1188924.4255577971</v>
      </c>
      <c r="K2412" s="360">
        <f>(1+L2412)/(1+Ke!$O$12)-1</f>
        <v>2.0000000000000018E-2</v>
      </c>
      <c r="L2412" s="360">
        <f>'DRE + DCF'!$Y$31</f>
        <v>7.3550000000000004E-2</v>
      </c>
      <c r="M2412" s="361">
        <f>(1+D2412)^((5-Dashboard!$F$9)*3/12)</f>
        <v>1.2272530763943885</v>
      </c>
      <c r="N2412" s="361">
        <f t="shared" ref="N2412:V2412" si="2475">M2412*(1+$D2412)</f>
        <v>1.6125491797283831</v>
      </c>
      <c r="O2412" s="361">
        <f t="shared" si="2475"/>
        <v>2.1188089947040778</v>
      </c>
      <c r="P2412" s="361">
        <f t="shared" si="2475"/>
        <v>2.784009078591382</v>
      </c>
      <c r="Q2412" s="361">
        <f t="shared" si="2475"/>
        <v>3.6580487288150927</v>
      </c>
      <c r="R2412" s="361">
        <f t="shared" si="2475"/>
        <v>4.8064931272265206</v>
      </c>
      <c r="S2412" s="361">
        <f t="shared" si="2475"/>
        <v>6.3154916445191933</v>
      </c>
      <c r="T2412" s="361">
        <f t="shared" si="2475"/>
        <v>8.2982402463158724</v>
      </c>
      <c r="U2412" s="361">
        <f t="shared" si="2475"/>
        <v>10.90347277164658</v>
      </c>
      <c r="V2412" s="362">
        <f t="shared" si="2475"/>
        <v>14.326618048304812</v>
      </c>
      <c r="X2412" s="351"/>
    </row>
    <row r="2413" spans="3:24" ht="24.75" customHeight="1" x14ac:dyDescent="0.3">
      <c r="C2413" s="353">
        <f>ABS(E2413-Dashboard!$F$14)</f>
        <v>46.955701823373538</v>
      </c>
      <c r="D2413" s="350">
        <f t="shared" si="2445"/>
        <v>0.31404999999998068</v>
      </c>
      <c r="E2413" s="359" cm="1">
        <f t="array" ref="E2413">1000*SUM('DRE + DCF'!$L$36/M2413,'DRE + DCF'!$N$36:$V$36/N2413:V2413,F2413/V2413)/Dashboard!$F$11</f>
        <v>50.034298176626457</v>
      </c>
      <c r="F2413" s="359">
        <f t="shared" si="2443"/>
        <v>8326712.1584949084</v>
      </c>
      <c r="G2413" s="359">
        <f>'DRE + DCF'!$W$31</f>
        <v>2791623.3540418856</v>
      </c>
      <c r="H2413" s="359">
        <f>'DRE + DCF'!$W$32</f>
        <v>81081.931703745853</v>
      </c>
      <c r="I2413" s="359">
        <f>-H2413*('DRE + DCF'!$V$33+K2413)/'DRE + DCF'!$V$33</f>
        <v>-90858.801614444121</v>
      </c>
      <c r="J2413" s="359">
        <f>-'DRE + DCF'!$V$56*L2413</f>
        <v>-1188924.4255577971</v>
      </c>
      <c r="K2413" s="360">
        <f>(1+L2413)/(1+Ke!$O$12)-1</f>
        <v>2.0000000000000018E-2</v>
      </c>
      <c r="L2413" s="360">
        <f>'DRE + DCF'!$Y$31</f>
        <v>7.3550000000000004E-2</v>
      </c>
      <c r="M2413" s="361">
        <f>(1+D2413)^((5-Dashboard!$F$9)*3/12)</f>
        <v>1.2273231270851419</v>
      </c>
      <c r="N2413" s="361">
        <f t="shared" ref="N2413:V2413" si="2476">M2413*(1+$D2413)</f>
        <v>1.612763955146207</v>
      </c>
      <c r="O2413" s="361">
        <f t="shared" si="2476"/>
        <v>2.1192524752598421</v>
      </c>
      <c r="P2413" s="361">
        <f t="shared" si="2476"/>
        <v>2.7848037151151543</v>
      </c>
      <c r="Q2413" s="361">
        <f t="shared" si="2476"/>
        <v>3.6593713218470145</v>
      </c>
      <c r="R2413" s="361">
        <f t="shared" si="2476"/>
        <v>4.8085968854729986</v>
      </c>
      <c r="S2413" s="361">
        <f t="shared" si="2476"/>
        <v>6.3187367373557004</v>
      </c>
      <c r="T2413" s="361">
        <f t="shared" si="2476"/>
        <v>8.3031360097221363</v>
      </c>
      <c r="U2413" s="361">
        <f t="shared" si="2476"/>
        <v>10.910735873575213</v>
      </c>
      <c r="V2413" s="362">
        <f t="shared" si="2476"/>
        <v>14.337252474671297</v>
      </c>
      <c r="X2413" s="351"/>
    </row>
    <row r="2414" spans="3:24" ht="24.75" customHeight="1" x14ac:dyDescent="0.3">
      <c r="C2414" s="353">
        <f>ABS(E2414-Dashboard!$F$14)</f>
        <v>46.980137272876476</v>
      </c>
      <c r="D2414" s="350">
        <f t="shared" si="2445"/>
        <v>0.31414999999998067</v>
      </c>
      <c r="E2414" s="359" cm="1">
        <f t="array" ref="E2414">1000*SUM('DRE + DCF'!$L$36/M2414,'DRE + DCF'!$N$36:$V$36/N2414:V2414,F2414/V2414)/Dashboard!$F$11</f>
        <v>50.009862727123519</v>
      </c>
      <c r="F2414" s="359">
        <f t="shared" si="2443"/>
        <v>8323715.6488474226</v>
      </c>
      <c r="G2414" s="359">
        <f>'DRE + DCF'!$W$31</f>
        <v>2791623.3540418856</v>
      </c>
      <c r="H2414" s="359">
        <f>'DRE + DCF'!$W$32</f>
        <v>81081.931703745853</v>
      </c>
      <c r="I2414" s="359">
        <f>-H2414*('DRE + DCF'!$V$33+K2414)/'DRE + DCF'!$V$33</f>
        <v>-90858.801614444121</v>
      </c>
      <c r="J2414" s="359">
        <f>-'DRE + DCF'!$V$56*L2414</f>
        <v>-1188924.4255577971</v>
      </c>
      <c r="K2414" s="360">
        <f>(1+L2414)/(1+Ke!$O$12)-1</f>
        <v>2.0000000000000018E-2</v>
      </c>
      <c r="L2414" s="360">
        <f>'DRE + DCF'!$Y$31</f>
        <v>7.3550000000000004E-2</v>
      </c>
      <c r="M2414" s="361">
        <f>(1+D2414)^((5-Dashboard!$F$9)*3/12)</f>
        <v>1.2273931764431829</v>
      </c>
      <c r="N2414" s="361">
        <f t="shared" ref="N2414:V2414" si="2477">M2414*(1+$D2414)</f>
        <v>1.6129787428227851</v>
      </c>
      <c r="O2414" s="361">
        <f t="shared" si="2477"/>
        <v>2.1196960148805317</v>
      </c>
      <c r="P2414" s="361">
        <f t="shared" si="2477"/>
        <v>2.7855985179552096</v>
      </c>
      <c r="Q2414" s="361">
        <f t="shared" si="2477"/>
        <v>3.6606942923707848</v>
      </c>
      <c r="R2414" s="361">
        <f t="shared" si="2477"/>
        <v>4.810701404318996</v>
      </c>
      <c r="S2414" s="361">
        <f t="shared" si="2477"/>
        <v>6.3219832504857152</v>
      </c>
      <c r="T2414" s="361">
        <f t="shared" si="2477"/>
        <v>8.3080342886256808</v>
      </c>
      <c r="U2414" s="361">
        <f t="shared" si="2477"/>
        <v>10.918003260397278</v>
      </c>
      <c r="V2414" s="362">
        <f t="shared" si="2477"/>
        <v>14.34789398465087</v>
      </c>
      <c r="X2414" s="351"/>
    </row>
    <row r="2415" spans="3:24" ht="24.75" customHeight="1" x14ac:dyDescent="0.3">
      <c r="C2415" s="353">
        <f>ABS(E2415-Dashboard!$F$14)</f>
        <v>47.004551312950881</v>
      </c>
      <c r="D2415" s="350">
        <f t="shared" si="2445"/>
        <v>0.31424999999998066</v>
      </c>
      <c r="E2415" s="359" cm="1">
        <f t="array" ref="E2415">1000*SUM('DRE + DCF'!$L$36/M2415,'DRE + DCF'!$N$36:$V$36/N2415:V2415,F2415/V2415)/Dashboard!$F$11</f>
        <v>49.985448687049114</v>
      </c>
      <c r="F2415" s="359">
        <f t="shared" si="2443"/>
        <v>8320721.3336537611</v>
      </c>
      <c r="G2415" s="359">
        <f>'DRE + DCF'!$W$31</f>
        <v>2791623.3540418856</v>
      </c>
      <c r="H2415" s="359">
        <f>'DRE + DCF'!$W$32</f>
        <v>81081.931703745853</v>
      </c>
      <c r="I2415" s="359">
        <f>-H2415*('DRE + DCF'!$V$33+K2415)/'DRE + DCF'!$V$33</f>
        <v>-90858.801614444121</v>
      </c>
      <c r="J2415" s="359">
        <f>-'DRE + DCF'!$V$56*L2415</f>
        <v>-1188924.4255577971</v>
      </c>
      <c r="K2415" s="360">
        <f>(1+L2415)/(1+Ke!$O$12)-1</f>
        <v>2.0000000000000018E-2</v>
      </c>
      <c r="L2415" s="360">
        <f>'DRE + DCF'!$Y$31</f>
        <v>7.3550000000000004E-2</v>
      </c>
      <c r="M2415" s="361">
        <f>(1+D2415)^((5-Dashboard!$F$9)*3/12)</f>
        <v>1.2274632244686383</v>
      </c>
      <c r="N2415" s="361">
        <f t="shared" ref="N2415:V2415" si="2478">M2415*(1+$D2415)</f>
        <v>1.6131935427578841</v>
      </c>
      <c r="O2415" s="361">
        <f t="shared" si="2478"/>
        <v>2.1201396135695179</v>
      </c>
      <c r="P2415" s="361">
        <f t="shared" si="2478"/>
        <v>2.7863934871336977</v>
      </c>
      <c r="Q2415" s="361">
        <f t="shared" si="2478"/>
        <v>3.6620176404654083</v>
      </c>
      <c r="R2415" s="361">
        <f t="shared" si="2478"/>
        <v>4.8128066839815915</v>
      </c>
      <c r="S2415" s="361">
        <f t="shared" si="2478"/>
        <v>6.3252311844227131</v>
      </c>
      <c r="T2415" s="361">
        <f t="shared" si="2478"/>
        <v>8.3129350841274281</v>
      </c>
      <c r="U2415" s="361">
        <f t="shared" si="2478"/>
        <v>10.925274934314311</v>
      </c>
      <c r="V2415" s="362">
        <f t="shared" si="2478"/>
        <v>14.358542582422372</v>
      </c>
      <c r="X2415" s="351"/>
    </row>
    <row r="2416" spans="3:24" ht="24.75" customHeight="1" x14ac:dyDescent="0.3">
      <c r="C2416" s="353">
        <f>ABS(E2416-Dashboard!$F$14)</f>
        <v>47.028943969706901</v>
      </c>
      <c r="D2416" s="350">
        <f t="shared" si="2445"/>
        <v>0.31434999999998064</v>
      </c>
      <c r="E2416" s="359" cm="1">
        <f t="array" ref="E2416">1000*SUM('DRE + DCF'!$L$36/M2416,'DRE + DCF'!$N$36:$V$36/N2416:V2416,F2416/V2416)/Dashboard!$F$11</f>
        <v>49.961056030293093</v>
      </c>
      <c r="F2416" s="359">
        <f t="shared" si="2443"/>
        <v>8317729.2104617469</v>
      </c>
      <c r="G2416" s="359">
        <f>'DRE + DCF'!$W$31</f>
        <v>2791623.3540418856</v>
      </c>
      <c r="H2416" s="359">
        <f>'DRE + DCF'!$W$32</f>
        <v>81081.931703745853</v>
      </c>
      <c r="I2416" s="359">
        <f>-H2416*('DRE + DCF'!$V$33+K2416)/'DRE + DCF'!$V$33</f>
        <v>-90858.801614444121</v>
      </c>
      <c r="J2416" s="359">
        <f>-'DRE + DCF'!$V$56*L2416</f>
        <v>-1188924.4255577971</v>
      </c>
      <c r="K2416" s="360">
        <f>(1+L2416)/(1+Ke!$O$12)-1</f>
        <v>2.0000000000000018E-2</v>
      </c>
      <c r="L2416" s="360">
        <f>'DRE + DCF'!$Y$31</f>
        <v>7.3550000000000004E-2</v>
      </c>
      <c r="M2416" s="361">
        <f>(1+D2416)^((5-Dashboard!$F$9)*3/12)</f>
        <v>1.2275332711616351</v>
      </c>
      <c r="N2416" s="361">
        <f t="shared" ref="N2416:V2416" si="2479">M2416*(1+$D2416)</f>
        <v>1.6134083549512712</v>
      </c>
      <c r="O2416" s="361">
        <f t="shared" si="2479"/>
        <v>2.120583271330172</v>
      </c>
      <c r="P2416" s="361">
        <f t="shared" si="2479"/>
        <v>2.7871886226727702</v>
      </c>
      <c r="Q2416" s="361">
        <f t="shared" si="2479"/>
        <v>3.6633413662099015</v>
      </c>
      <c r="R2416" s="361">
        <f t="shared" si="2479"/>
        <v>4.8149127246779129</v>
      </c>
      <c r="S2416" s="361">
        <f t="shared" si="2479"/>
        <v>6.3284805396803216</v>
      </c>
      <c r="T2416" s="361">
        <f t="shared" si="2479"/>
        <v>8.3178383973287087</v>
      </c>
      <c r="U2416" s="361">
        <f t="shared" si="2479"/>
        <v>10.932550897528827</v>
      </c>
      <c r="V2416" s="362">
        <f t="shared" si="2479"/>
        <v>14.369198272166802</v>
      </c>
      <c r="X2416" s="351"/>
    </row>
    <row r="2417" spans="3:24" ht="24.75" customHeight="1" x14ac:dyDescent="0.3">
      <c r="C2417" s="353">
        <f>ABS(E2417-Dashboard!$F$14)</f>
        <v>47.053315269213989</v>
      </c>
      <c r="D2417" s="350">
        <f t="shared" si="2445"/>
        <v>0.31444999999998063</v>
      </c>
      <c r="E2417" s="359" cm="1">
        <f t="array" ref="E2417">1000*SUM('DRE + DCF'!$L$36/M2417,'DRE + DCF'!$N$36:$V$36/N2417:V2417,F2417/V2417)/Dashboard!$F$11</f>
        <v>49.936684730786006</v>
      </c>
      <c r="F2417" s="359">
        <f t="shared" si="2443"/>
        <v>8314739.2768229088</v>
      </c>
      <c r="G2417" s="359">
        <f>'DRE + DCF'!$W$31</f>
        <v>2791623.3540418856</v>
      </c>
      <c r="H2417" s="359">
        <f>'DRE + DCF'!$W$32</f>
        <v>81081.931703745853</v>
      </c>
      <c r="I2417" s="359">
        <f>-H2417*('DRE + DCF'!$V$33+K2417)/'DRE + DCF'!$V$33</f>
        <v>-90858.801614444121</v>
      </c>
      <c r="J2417" s="359">
        <f>-'DRE + DCF'!$V$56*L2417</f>
        <v>-1188924.4255577971</v>
      </c>
      <c r="K2417" s="360">
        <f>(1+L2417)/(1+Ke!$O$12)-1</f>
        <v>2.0000000000000018E-2</v>
      </c>
      <c r="L2417" s="360">
        <f>'DRE + DCF'!$Y$31</f>
        <v>7.3550000000000004E-2</v>
      </c>
      <c r="M2417" s="361">
        <f>(1+D2417)^((5-Dashboard!$F$9)*3/12)</f>
        <v>1.2276033165222997</v>
      </c>
      <c r="N2417" s="361">
        <f t="shared" ref="N2417:V2417" si="2480">M2417*(1+$D2417)</f>
        <v>1.6136231794027129</v>
      </c>
      <c r="O2417" s="361">
        <f t="shared" si="2480"/>
        <v>2.1210269881658648</v>
      </c>
      <c r="P2417" s="361">
        <f t="shared" si="2480"/>
        <v>2.7879839245945797</v>
      </c>
      <c r="Q2417" s="361">
        <f t="shared" si="2480"/>
        <v>3.6646654696832912</v>
      </c>
      <c r="R2417" s="361">
        <f t="shared" si="2480"/>
        <v>4.8170195266251312</v>
      </c>
      <c r="S2417" s="361">
        <f t="shared" si="2480"/>
        <v>6.3317313167723102</v>
      </c>
      <c r="T2417" s="361">
        <f t="shared" si="2480"/>
        <v>8.3227442293312404</v>
      </c>
      <c r="U2417" s="361">
        <f t="shared" si="2480"/>
        <v>10.939831152244286</v>
      </c>
      <c r="V2417" s="362">
        <f t="shared" si="2480"/>
        <v>14.37986105806729</v>
      </c>
      <c r="X2417" s="351"/>
    </row>
    <row r="2418" spans="3:24" ht="24.75" customHeight="1" x14ac:dyDescent="0.3">
      <c r="C2418" s="353">
        <f>ABS(E2418-Dashboard!$F$14)</f>
        <v>47.077665237500952</v>
      </c>
      <c r="D2418" s="350">
        <f t="shared" si="2445"/>
        <v>0.31454999999998062</v>
      </c>
      <c r="E2418" s="359" cm="1">
        <f t="array" ref="E2418">1000*SUM('DRE + DCF'!$L$36/M2418,'DRE + DCF'!$N$36:$V$36/N2418:V2418,F2418/V2418)/Dashboard!$F$11</f>
        <v>49.912334762499043</v>
      </c>
      <c r="F2418" s="359">
        <f t="shared" si="2443"/>
        <v>8311751.5302924914</v>
      </c>
      <c r="G2418" s="359">
        <f>'DRE + DCF'!$W$31</f>
        <v>2791623.3540418856</v>
      </c>
      <c r="H2418" s="359">
        <f>'DRE + DCF'!$W$32</f>
        <v>81081.931703745853</v>
      </c>
      <c r="I2418" s="359">
        <f>-H2418*('DRE + DCF'!$V$33+K2418)/'DRE + DCF'!$V$33</f>
        <v>-90858.801614444121</v>
      </c>
      <c r="J2418" s="359">
        <f>-'DRE + DCF'!$V$56*L2418</f>
        <v>-1188924.4255577971</v>
      </c>
      <c r="K2418" s="360">
        <f>(1+L2418)/(1+Ke!$O$12)-1</f>
        <v>2.0000000000000018E-2</v>
      </c>
      <c r="L2418" s="360">
        <f>'DRE + DCF'!$Y$31</f>
        <v>7.3550000000000004E-2</v>
      </c>
      <c r="M2418" s="361">
        <f>(1+D2418)^((5-Dashboard!$F$9)*3/12)</f>
        <v>1.2276733605507588</v>
      </c>
      <c r="N2418" s="361">
        <f t="shared" ref="N2418:V2418" si="2481">M2418*(1+$D2418)</f>
        <v>1.6138380161119761</v>
      </c>
      <c r="O2418" s="361">
        <f t="shared" si="2481"/>
        <v>2.1214707640799668</v>
      </c>
      <c r="P2418" s="361">
        <f t="shared" si="2481"/>
        <v>2.788779392921279</v>
      </c>
      <c r="Q2418" s="361">
        <f t="shared" si="2481"/>
        <v>3.665989950964613</v>
      </c>
      <c r="R2418" s="361">
        <f t="shared" si="2481"/>
        <v>4.8191270900404604</v>
      </c>
      <c r="S2418" s="361">
        <f t="shared" si="2481"/>
        <v>6.3349835162125938</v>
      </c>
      <c r="T2418" s="361">
        <f t="shared" si="2481"/>
        <v>8.3276525812371425</v>
      </c>
      <c r="U2418" s="361">
        <f t="shared" si="2481"/>
        <v>10.947115700665124</v>
      </c>
      <c r="V2418" s="362">
        <f t="shared" si="2481"/>
        <v>14.390530944309127</v>
      </c>
      <c r="X2418" s="351"/>
    </row>
    <row r="2419" spans="3:24" ht="24.75" customHeight="1" x14ac:dyDescent="0.3">
      <c r="C2419" s="353">
        <f>ABS(E2419-Dashboard!$F$14)</f>
        <v>47.101993900556081</v>
      </c>
      <c r="D2419" s="350">
        <f t="shared" si="2445"/>
        <v>0.31464999999998061</v>
      </c>
      <c r="E2419" s="359" cm="1">
        <f t="array" ref="E2419">1000*SUM('DRE + DCF'!$L$36/M2419,'DRE + DCF'!$N$36:$V$36/N2419:V2419,F2419/V2419)/Dashboard!$F$11</f>
        <v>49.888006099443913</v>
      </c>
      <c r="F2419" s="359">
        <f t="shared" si="2443"/>
        <v>8308765.9684294323</v>
      </c>
      <c r="G2419" s="359">
        <f>'DRE + DCF'!$W$31</f>
        <v>2791623.3540418856</v>
      </c>
      <c r="H2419" s="359">
        <f>'DRE + DCF'!$W$32</f>
        <v>81081.931703745853</v>
      </c>
      <c r="I2419" s="359">
        <f>-H2419*('DRE + DCF'!$V$33+K2419)/'DRE + DCF'!$V$33</f>
        <v>-90858.801614444121</v>
      </c>
      <c r="J2419" s="359">
        <f>-'DRE + DCF'!$V$56*L2419</f>
        <v>-1188924.4255577971</v>
      </c>
      <c r="K2419" s="360">
        <f>(1+L2419)/(1+Ke!$O$12)-1</f>
        <v>2.0000000000000018E-2</v>
      </c>
      <c r="L2419" s="360">
        <f>'DRE + DCF'!$Y$31</f>
        <v>7.3550000000000004E-2</v>
      </c>
      <c r="M2419" s="361">
        <f>(1+D2419)^((5-Dashboard!$F$9)*3/12)</f>
        <v>1.2277434032471395</v>
      </c>
      <c r="N2419" s="361">
        <f t="shared" ref="N2419:V2419" si="2482">M2419*(1+$D2419)</f>
        <v>1.6140528650788279</v>
      </c>
      <c r="O2419" s="361">
        <f t="shared" si="2482"/>
        <v>2.1219145990758497</v>
      </c>
      <c r="P2419" s="361">
        <f t="shared" si="2482"/>
        <v>2.7895750276750246</v>
      </c>
      <c r="Q2419" s="361">
        <f t="shared" si="2482"/>
        <v>3.6673148101329169</v>
      </c>
      <c r="R2419" s="361">
        <f t="shared" si="2482"/>
        <v>4.8212354151411683</v>
      </c>
      <c r="S2419" s="361">
        <f t="shared" si="2482"/>
        <v>6.3382371385152432</v>
      </c>
      <c r="T2419" s="361">
        <f t="shared" si="2482"/>
        <v>8.3325634541489411</v>
      </c>
      <c r="U2419" s="361">
        <f t="shared" si="2482"/>
        <v>10.954404544996743</v>
      </c>
      <c r="V2419" s="362">
        <f t="shared" si="2482"/>
        <v>14.401207935079755</v>
      </c>
      <c r="X2419" s="351"/>
    </row>
    <row r="2420" spans="3:24" ht="24.75" customHeight="1" x14ac:dyDescent="0.3">
      <c r="C2420" s="353">
        <f>ABS(E2420-Dashboard!$F$14)</f>
        <v>47.126301284327148</v>
      </c>
      <c r="D2420" s="350">
        <f t="shared" si="2445"/>
        <v>0.3147499999999806</v>
      </c>
      <c r="E2420" s="359" cm="1">
        <f t="array" ref="E2420">1000*SUM('DRE + DCF'!$L$36/M2420,'DRE + DCF'!$N$36:$V$36/N2420:V2420,F2420/V2420)/Dashboard!$F$11</f>
        <v>49.863698715672847</v>
      </c>
      <c r="F2420" s="359">
        <f t="shared" si="2443"/>
        <v>8305782.5887963623</v>
      </c>
      <c r="G2420" s="359">
        <f>'DRE + DCF'!$W$31</f>
        <v>2791623.3540418856</v>
      </c>
      <c r="H2420" s="359">
        <f>'DRE + DCF'!$W$32</f>
        <v>81081.931703745853</v>
      </c>
      <c r="I2420" s="359">
        <f>-H2420*('DRE + DCF'!$V$33+K2420)/'DRE + DCF'!$V$33</f>
        <v>-90858.801614444121</v>
      </c>
      <c r="J2420" s="359">
        <f>-'DRE + DCF'!$V$56*L2420</f>
        <v>-1188924.4255577971</v>
      </c>
      <c r="K2420" s="360">
        <f>(1+L2420)/(1+Ke!$O$12)-1</f>
        <v>2.0000000000000018E-2</v>
      </c>
      <c r="L2420" s="360">
        <f>'DRE + DCF'!$Y$31</f>
        <v>7.3550000000000004E-2</v>
      </c>
      <c r="M2420" s="361">
        <f>(1+D2420)^((5-Dashboard!$F$9)*3/12)</f>
        <v>1.2278134446115678</v>
      </c>
      <c r="N2420" s="361">
        <f t="shared" ref="N2420:V2420" si="2483">M2420*(1+$D2420)</f>
        <v>1.6142677263030349</v>
      </c>
      <c r="O2420" s="361">
        <f t="shared" si="2483"/>
        <v>2.122358493156884</v>
      </c>
      <c r="P2420" s="361">
        <f t="shared" si="2483"/>
        <v>2.7903708288779718</v>
      </c>
      <c r="Q2420" s="361">
        <f t="shared" si="2483"/>
        <v>3.6686400472672593</v>
      </c>
      <c r="R2420" s="361">
        <f t="shared" si="2483"/>
        <v>4.8233445021445576</v>
      </c>
      <c r="S2420" s="361">
        <f t="shared" si="2483"/>
        <v>6.3414921841944629</v>
      </c>
      <c r="T2420" s="361">
        <f t="shared" si="2483"/>
        <v>8.3374768491695459</v>
      </c>
      <c r="U2420" s="361">
        <f t="shared" si="2483"/>
        <v>10.961697687445499</v>
      </c>
      <c r="V2420" s="362">
        <f t="shared" si="2483"/>
        <v>14.411892034568757</v>
      </c>
      <c r="X2420" s="351"/>
    </row>
    <row r="2421" spans="3:24" ht="24.75" customHeight="1" x14ac:dyDescent="0.3">
      <c r="C2421" s="353">
        <f>ABS(E2421-Dashboard!$F$14)</f>
        <v>47.150587414721535</v>
      </c>
      <c r="D2421" s="350">
        <f t="shared" si="2445"/>
        <v>0.31484999999998059</v>
      </c>
      <c r="E2421" s="359" cm="1">
        <f t="array" ref="E2421">1000*SUM('DRE + DCF'!$L$36/M2421,'DRE + DCF'!$N$36:$V$36/N2421:V2421,F2421/V2421)/Dashboard!$F$11</f>
        <v>49.83941258527846</v>
      </c>
      <c r="F2421" s="359">
        <f t="shared" si="2443"/>
        <v>8302801.3889595997</v>
      </c>
      <c r="G2421" s="359">
        <f>'DRE + DCF'!$W$31</f>
        <v>2791623.3540418856</v>
      </c>
      <c r="H2421" s="359">
        <f>'DRE + DCF'!$W$32</f>
        <v>81081.931703745853</v>
      </c>
      <c r="I2421" s="359">
        <f>-H2421*('DRE + DCF'!$V$33+K2421)/'DRE + DCF'!$V$33</f>
        <v>-90858.801614444121</v>
      </c>
      <c r="J2421" s="359">
        <f>-'DRE + DCF'!$V$56*L2421</f>
        <v>-1188924.4255577971</v>
      </c>
      <c r="K2421" s="360">
        <f>(1+L2421)/(1+Ke!$O$12)-1</f>
        <v>2.0000000000000018E-2</v>
      </c>
      <c r="L2421" s="360">
        <f>'DRE + DCF'!$Y$31</f>
        <v>7.3550000000000004E-2</v>
      </c>
      <c r="M2421" s="361">
        <f>(1+D2421)^((5-Dashboard!$F$9)*3/12)</f>
        <v>1.2278834846441711</v>
      </c>
      <c r="N2421" s="361">
        <f t="shared" ref="N2421:V2421" si="2484">M2421*(1+$D2421)</f>
        <v>1.6144825997843644</v>
      </c>
      <c r="O2421" s="361">
        <f t="shared" si="2484"/>
        <v>2.1228024463264399</v>
      </c>
      <c r="P2421" s="361">
        <f t="shared" si="2484"/>
        <v>2.791166796552278</v>
      </c>
      <c r="Q2421" s="361">
        <f t="shared" si="2484"/>
        <v>3.6699656624467085</v>
      </c>
      <c r="R2421" s="361">
        <f t="shared" si="2484"/>
        <v>4.8254543512679833</v>
      </c>
      <c r="S2421" s="361">
        <f t="shared" si="2484"/>
        <v>6.3447486537646141</v>
      </c>
      <c r="T2421" s="361">
        <f t="shared" si="2484"/>
        <v>8.3423927674022789</v>
      </c>
      <c r="U2421" s="361">
        <f t="shared" si="2484"/>
        <v>10.968995130218724</v>
      </c>
      <c r="V2421" s="362">
        <f t="shared" si="2484"/>
        <v>14.422583246967877</v>
      </c>
      <c r="X2421" s="351"/>
    </row>
    <row r="2422" spans="3:24" ht="24.75" customHeight="1" x14ac:dyDescent="0.3">
      <c r="C2422" s="353">
        <f>ABS(E2422-Dashboard!$F$14)</f>
        <v>47.174852317606309</v>
      </c>
      <c r="D2422" s="350">
        <f t="shared" si="2445"/>
        <v>0.31494999999998058</v>
      </c>
      <c r="E2422" s="359" cm="1">
        <f t="array" ref="E2422">1000*SUM('DRE + DCF'!$L$36/M2422,'DRE + DCF'!$N$36:$V$36/N2422:V2422,F2422/V2422)/Dashboard!$F$11</f>
        <v>49.815147682393686</v>
      </c>
      <c r="F2422" s="359">
        <f t="shared" si="2443"/>
        <v>8299822.3664891366</v>
      </c>
      <c r="G2422" s="359">
        <f>'DRE + DCF'!$W$31</f>
        <v>2791623.3540418856</v>
      </c>
      <c r="H2422" s="359">
        <f>'DRE + DCF'!$W$32</f>
        <v>81081.931703745853</v>
      </c>
      <c r="I2422" s="359">
        <f>-H2422*('DRE + DCF'!$V$33+K2422)/'DRE + DCF'!$V$33</f>
        <v>-90858.801614444121</v>
      </c>
      <c r="J2422" s="359">
        <f>-'DRE + DCF'!$V$56*L2422</f>
        <v>-1188924.4255577971</v>
      </c>
      <c r="K2422" s="360">
        <f>(1+L2422)/(1+Ke!$O$12)-1</f>
        <v>2.0000000000000018E-2</v>
      </c>
      <c r="L2422" s="360">
        <f>'DRE + DCF'!$Y$31</f>
        <v>7.3550000000000004E-2</v>
      </c>
      <c r="M2422" s="361">
        <f>(1+D2422)^((5-Dashboard!$F$9)*3/12)</f>
        <v>1.2279535233450753</v>
      </c>
      <c r="N2422" s="361">
        <f t="shared" ref="N2422:V2422" si="2485">M2422*(1+$D2422)</f>
        <v>1.6146974855225829</v>
      </c>
      <c r="O2422" s="361">
        <f t="shared" si="2485"/>
        <v>2.123246458587889</v>
      </c>
      <c r="P2422" s="361">
        <f t="shared" si="2485"/>
        <v>2.791962930720103</v>
      </c>
      <c r="Q2422" s="361">
        <f t="shared" si="2485"/>
        <v>3.6712916557503452</v>
      </c>
      <c r="R2422" s="361">
        <f t="shared" si="2485"/>
        <v>4.8275649627288448</v>
      </c>
      <c r="S2422" s="361">
        <f t="shared" si="2485"/>
        <v>6.3480065477402006</v>
      </c>
      <c r="T2422" s="361">
        <f t="shared" si="2485"/>
        <v>8.3473112099508526</v>
      </c>
      <c r="U2422" s="361">
        <f t="shared" si="2485"/>
        <v>10.976296875524712</v>
      </c>
      <c r="V2422" s="362">
        <f t="shared" si="2485"/>
        <v>14.433281576471007</v>
      </c>
      <c r="X2422" s="351"/>
    </row>
    <row r="2423" spans="3:24" ht="24.75" customHeight="1" x14ac:dyDescent="0.3">
      <c r="C2423" s="353">
        <f>ABS(E2423-Dashboard!$F$14)</f>
        <v>47.199096018808255</v>
      </c>
      <c r="D2423" s="350">
        <f t="shared" si="2445"/>
        <v>0.31504999999998057</v>
      </c>
      <c r="E2423" s="359" cm="1">
        <f t="array" ref="E2423">1000*SUM('DRE + DCF'!$L$36/M2423,'DRE + DCF'!$N$36:$V$36/N2423:V2423,F2423/V2423)/Dashboard!$F$11</f>
        <v>49.79090398119174</v>
      </c>
      <c r="F2423" s="359">
        <f t="shared" si="2443"/>
        <v>8296845.5189586412</v>
      </c>
      <c r="G2423" s="359">
        <f>'DRE + DCF'!$W$31</f>
        <v>2791623.3540418856</v>
      </c>
      <c r="H2423" s="359">
        <f>'DRE + DCF'!$W$32</f>
        <v>81081.931703745853</v>
      </c>
      <c r="I2423" s="359">
        <f>-H2423*('DRE + DCF'!$V$33+K2423)/'DRE + DCF'!$V$33</f>
        <v>-90858.801614444121</v>
      </c>
      <c r="J2423" s="359">
        <f>-'DRE + DCF'!$V$56*L2423</f>
        <v>-1188924.4255577971</v>
      </c>
      <c r="K2423" s="360">
        <f>(1+L2423)/(1+Ke!$O$12)-1</f>
        <v>2.0000000000000018E-2</v>
      </c>
      <c r="L2423" s="360">
        <f>'DRE + DCF'!$Y$31</f>
        <v>7.3550000000000004E-2</v>
      </c>
      <c r="M2423" s="361">
        <f>(1+D2423)^((5-Dashboard!$F$9)*3/12)</f>
        <v>1.2280235607144072</v>
      </c>
      <c r="N2423" s="361">
        <f t="shared" ref="N2423:V2423" si="2486">M2423*(1+$D2423)</f>
        <v>1.6149123835174573</v>
      </c>
      <c r="O2423" s="361">
        <f t="shared" si="2486"/>
        <v>2.1236905299446005</v>
      </c>
      <c r="P2423" s="361">
        <f t="shared" si="2486"/>
        <v>2.7927592314036054</v>
      </c>
      <c r="Q2423" s="361">
        <f t="shared" si="2486"/>
        <v>3.6726180272572568</v>
      </c>
      <c r="R2423" s="361">
        <f t="shared" si="2486"/>
        <v>4.8296763367445843</v>
      </c>
      <c r="S2423" s="361">
        <f t="shared" si="2486"/>
        <v>6.3512658666358712</v>
      </c>
      <c r="T2423" s="361">
        <f t="shared" si="2486"/>
        <v>8.3522321779193796</v>
      </c>
      <c r="U2423" s="361">
        <f t="shared" si="2486"/>
        <v>10.983602925572717</v>
      </c>
      <c r="V2423" s="362">
        <f t="shared" si="2486"/>
        <v>14.443987027274186</v>
      </c>
      <c r="X2423" s="351"/>
    </row>
    <row r="2424" spans="3:24" ht="24.75" customHeight="1" x14ac:dyDescent="0.3">
      <c r="C2424" s="353">
        <f>ABS(E2424-Dashboard!$F$14)</f>
        <v>47.223318544114086</v>
      </c>
      <c r="D2424" s="350">
        <f t="shared" si="2445"/>
        <v>0.31514999999998056</v>
      </c>
      <c r="E2424" s="359" cm="1">
        <f t="array" ref="E2424">1000*SUM('DRE + DCF'!$L$36/M2424,'DRE + DCF'!$N$36:$V$36/N2424:V2424,F2424/V2424)/Dashboard!$F$11</f>
        <v>49.766681455885909</v>
      </c>
      <c r="F2424" s="359">
        <f t="shared" si="2443"/>
        <v>8293870.8439454399</v>
      </c>
      <c r="G2424" s="359">
        <f>'DRE + DCF'!$W$31</f>
        <v>2791623.3540418856</v>
      </c>
      <c r="H2424" s="359">
        <f>'DRE + DCF'!$W$32</f>
        <v>81081.931703745853</v>
      </c>
      <c r="I2424" s="359">
        <f>-H2424*('DRE + DCF'!$V$33+K2424)/'DRE + DCF'!$V$33</f>
        <v>-90858.801614444121</v>
      </c>
      <c r="J2424" s="359">
        <f>-'DRE + DCF'!$V$56*L2424</f>
        <v>-1188924.4255577971</v>
      </c>
      <c r="K2424" s="360">
        <f>(1+L2424)/(1+Ke!$O$12)-1</f>
        <v>2.0000000000000018E-2</v>
      </c>
      <c r="L2424" s="360">
        <f>'DRE + DCF'!$Y$31</f>
        <v>7.3550000000000004E-2</v>
      </c>
      <c r="M2424" s="361">
        <f>(1+D2424)^((5-Dashboard!$F$9)*3/12)</f>
        <v>1.2280935967522937</v>
      </c>
      <c r="N2424" s="361">
        <f t="shared" ref="N2424:V2424" si="2487">M2424*(1+$D2424)</f>
        <v>1.6151272937687551</v>
      </c>
      <c r="O2424" s="361">
        <f t="shared" si="2487"/>
        <v>2.1241346603999469</v>
      </c>
      <c r="P2424" s="361">
        <f t="shared" si="2487"/>
        <v>2.7935556986249486</v>
      </c>
      <c r="Q2424" s="361">
        <f t="shared" si="2487"/>
        <v>3.6739447770465468</v>
      </c>
      <c r="R2424" s="361">
        <f t="shared" si="2487"/>
        <v>4.8317884735326944</v>
      </c>
      <c r="S2424" s="361">
        <f t="shared" si="2487"/>
        <v>6.3545266109664285</v>
      </c>
      <c r="T2424" s="361">
        <f t="shared" si="2487"/>
        <v>8.3571556724123752</v>
      </c>
      <c r="U2424" s="361">
        <f t="shared" si="2487"/>
        <v>10.990913282572972</v>
      </c>
      <c r="V2424" s="362">
        <f t="shared" si="2487"/>
        <v>14.45469960357563</v>
      </c>
      <c r="X2424" s="351"/>
    </row>
    <row r="2425" spans="3:24" ht="24.75" customHeight="1" x14ac:dyDescent="0.3">
      <c r="C2425" s="353">
        <f>ABS(E2425-Dashboard!$F$14)</f>
        <v>47.247519919270296</v>
      </c>
      <c r="D2425" s="350">
        <f t="shared" si="2445"/>
        <v>0.31524999999998055</v>
      </c>
      <c r="E2425" s="359" cm="1">
        <f t="array" ref="E2425">1000*SUM('DRE + DCF'!$L$36/M2425,'DRE + DCF'!$N$36:$V$36/N2425:V2425,F2425/V2425)/Dashboard!$F$11</f>
        <v>49.742480080729699</v>
      </c>
      <c r="F2425" s="359">
        <f t="shared" si="2443"/>
        <v>8290898.339030521</v>
      </c>
      <c r="G2425" s="359">
        <f>'DRE + DCF'!$W$31</f>
        <v>2791623.3540418856</v>
      </c>
      <c r="H2425" s="359">
        <f>'DRE + DCF'!$W$32</f>
        <v>81081.931703745853</v>
      </c>
      <c r="I2425" s="359">
        <f>-H2425*('DRE + DCF'!$V$33+K2425)/'DRE + DCF'!$V$33</f>
        <v>-90858.801614444121</v>
      </c>
      <c r="J2425" s="359">
        <f>-'DRE + DCF'!$V$56*L2425</f>
        <v>-1188924.4255577971</v>
      </c>
      <c r="K2425" s="360">
        <f>(1+L2425)/(1+Ke!$O$12)-1</f>
        <v>2.0000000000000018E-2</v>
      </c>
      <c r="L2425" s="360">
        <f>'DRE + DCF'!$Y$31</f>
        <v>7.3550000000000004E-2</v>
      </c>
      <c r="M2425" s="361">
        <f>(1+D2425)^((5-Dashboard!$F$9)*3/12)</f>
        <v>1.2281636314588609</v>
      </c>
      <c r="N2425" s="361">
        <f t="shared" ref="N2425:V2425" si="2488">M2425*(1+$D2425)</f>
        <v>1.6153422162762427</v>
      </c>
      <c r="O2425" s="361">
        <f t="shared" si="2488"/>
        <v>2.1245788499572966</v>
      </c>
      <c r="P2425" s="361">
        <f t="shared" si="2488"/>
        <v>2.7943523324062931</v>
      </c>
      <c r="Q2425" s="361">
        <f t="shared" si="2488"/>
        <v>3.6752719051973224</v>
      </c>
      <c r="R2425" s="361">
        <f t="shared" si="2488"/>
        <v>4.8339013733107068</v>
      </c>
      <c r="S2425" s="361">
        <f t="shared" si="2488"/>
        <v>6.3577887812468132</v>
      </c>
      <c r="T2425" s="361">
        <f t="shared" si="2488"/>
        <v>8.3620816945347478</v>
      </c>
      <c r="U2425" s="361">
        <f t="shared" si="2488"/>
        <v>10.998227948736664</v>
      </c>
      <c r="V2425" s="362">
        <f t="shared" si="2488"/>
        <v>14.465419309575683</v>
      </c>
      <c r="X2425" s="351"/>
    </row>
    <row r="2426" spans="3:24" ht="24.75" customHeight="1" x14ac:dyDescent="0.3">
      <c r="C2426" s="353">
        <f>ABS(E2426-Dashboard!$F$14)</f>
        <v>47.271700169983461</v>
      </c>
      <c r="D2426" s="350">
        <f t="shared" si="2445"/>
        <v>0.31534999999998053</v>
      </c>
      <c r="E2426" s="359" cm="1">
        <f t="array" ref="E2426">1000*SUM('DRE + DCF'!$L$36/M2426,'DRE + DCF'!$N$36:$V$36/N2426:V2426,F2426/V2426)/Dashboard!$F$11</f>
        <v>49.718299830016534</v>
      </c>
      <c r="F2426" s="359">
        <f t="shared" si="2443"/>
        <v>8287928.0017985152</v>
      </c>
      <c r="G2426" s="359">
        <f>'DRE + DCF'!$W$31</f>
        <v>2791623.3540418856</v>
      </c>
      <c r="H2426" s="359">
        <f>'DRE + DCF'!$W$32</f>
        <v>81081.931703745853</v>
      </c>
      <c r="I2426" s="359">
        <f>-H2426*('DRE + DCF'!$V$33+K2426)/'DRE + DCF'!$V$33</f>
        <v>-90858.801614444121</v>
      </c>
      <c r="J2426" s="359">
        <f>-'DRE + DCF'!$V$56*L2426</f>
        <v>-1188924.4255577971</v>
      </c>
      <c r="K2426" s="360">
        <f>(1+L2426)/(1+Ke!$O$12)-1</f>
        <v>2.0000000000000018E-2</v>
      </c>
      <c r="L2426" s="360">
        <f>'DRE + DCF'!$Y$31</f>
        <v>7.3550000000000004E-2</v>
      </c>
      <c r="M2426" s="361">
        <f>(1+D2426)^((5-Dashboard!$F$9)*3/12)</f>
        <v>1.2282336648342358</v>
      </c>
      <c r="N2426" s="361">
        <f t="shared" ref="N2426:V2426" si="2489">M2426*(1+$D2426)</f>
        <v>1.615557151039688</v>
      </c>
      <c r="O2426" s="361">
        <f t="shared" si="2489"/>
        <v>2.125023098620022</v>
      </c>
      <c r="P2426" s="361">
        <f t="shared" si="2489"/>
        <v>2.7951491327698044</v>
      </c>
      <c r="Q2426" s="361">
        <f t="shared" si="2489"/>
        <v>3.6765994117887075</v>
      </c>
      <c r="R2426" s="361">
        <f t="shared" si="2489"/>
        <v>4.8360150362962049</v>
      </c>
      <c r="S2426" s="361">
        <f t="shared" si="2489"/>
        <v>6.3610523779921184</v>
      </c>
      <c r="T2426" s="361">
        <f t="shared" si="2489"/>
        <v>8.3670102453918087</v>
      </c>
      <c r="U2426" s="361">
        <f t="shared" si="2489"/>
        <v>11.005546926275953</v>
      </c>
      <c r="V2426" s="362">
        <f t="shared" si="2489"/>
        <v>14.476146149476859</v>
      </c>
      <c r="X2426" s="351"/>
    </row>
    <row r="2427" spans="3:24" ht="24.75" customHeight="1" x14ac:dyDescent="0.3">
      <c r="C2427" s="353">
        <f>ABS(E2427-Dashboard!$F$14)</f>
        <v>47.295859321920183</v>
      </c>
      <c r="D2427" s="350">
        <f t="shared" si="2445"/>
        <v>0.31544999999998052</v>
      </c>
      <c r="E2427" s="359" cm="1">
        <f t="array" ref="E2427">1000*SUM('DRE + DCF'!$L$36/M2427,'DRE + DCF'!$N$36:$V$36/N2427:V2427,F2427/V2427)/Dashboard!$F$11</f>
        <v>49.694140678079812</v>
      </c>
      <c r="F2427" s="359">
        <f t="shared" si="2443"/>
        <v>8284959.8298377059</v>
      </c>
      <c r="G2427" s="359">
        <f>'DRE + DCF'!$W$31</f>
        <v>2791623.3540418856</v>
      </c>
      <c r="H2427" s="359">
        <f>'DRE + DCF'!$W$32</f>
        <v>81081.931703745853</v>
      </c>
      <c r="I2427" s="359">
        <f>-H2427*('DRE + DCF'!$V$33+K2427)/'DRE + DCF'!$V$33</f>
        <v>-90858.801614444121</v>
      </c>
      <c r="J2427" s="359">
        <f>-'DRE + DCF'!$V$56*L2427</f>
        <v>-1188924.4255577971</v>
      </c>
      <c r="K2427" s="360">
        <f>(1+L2427)/(1+Ke!$O$12)-1</f>
        <v>2.0000000000000018E-2</v>
      </c>
      <c r="L2427" s="360">
        <f>'DRE + DCF'!$Y$31</f>
        <v>7.3550000000000004E-2</v>
      </c>
      <c r="M2427" s="361">
        <f>(1+D2427)^((5-Dashboard!$F$9)*3/12)</f>
        <v>1.2283036968785443</v>
      </c>
      <c r="N2427" s="361">
        <f t="shared" ref="N2427:V2427" si="2490">M2427*(1+$D2427)</f>
        <v>1.6157720980588572</v>
      </c>
      <c r="O2427" s="361">
        <f t="shared" si="2490"/>
        <v>2.125467406391492</v>
      </c>
      <c r="P2427" s="361">
        <f t="shared" si="2490"/>
        <v>2.7959460997376469</v>
      </c>
      <c r="Q2427" s="361">
        <f t="shared" si="2490"/>
        <v>3.6779272968998331</v>
      </c>
      <c r="R2427" s="361">
        <f t="shared" si="2490"/>
        <v>4.8381294627068137</v>
      </c>
      <c r="S2427" s="361">
        <f t="shared" si="2490"/>
        <v>6.3643174017175834</v>
      </c>
      <c r="T2427" s="361">
        <f t="shared" si="2490"/>
        <v>8.3719413260892708</v>
      </c>
      <c r="U2427" s="361">
        <f t="shared" si="2490"/>
        <v>11.012870217403968</v>
      </c>
      <c r="V2427" s="362">
        <f t="shared" si="2490"/>
        <v>14.486880127483834</v>
      </c>
      <c r="X2427" s="351"/>
    </row>
    <row r="2428" spans="3:24" ht="24.75" customHeight="1" x14ac:dyDescent="0.3">
      <c r="C2428" s="353">
        <f>ABS(E2428-Dashboard!$F$14)</f>
        <v>47.31999740070718</v>
      </c>
      <c r="D2428" s="350">
        <f t="shared" si="2445"/>
        <v>0.31554999999998051</v>
      </c>
      <c r="E2428" s="359" cm="1">
        <f t="array" ref="E2428">1000*SUM('DRE + DCF'!$L$36/M2428,'DRE + DCF'!$N$36:$V$36/N2428:V2428,F2428/V2428)/Dashboard!$F$11</f>
        <v>49.670002599292815</v>
      </c>
      <c r="F2428" s="359">
        <f t="shared" si="2443"/>
        <v>8281993.820740005</v>
      </c>
      <c r="G2428" s="359">
        <f>'DRE + DCF'!$W$31</f>
        <v>2791623.3540418856</v>
      </c>
      <c r="H2428" s="359">
        <f>'DRE + DCF'!$W$32</f>
        <v>81081.931703745853</v>
      </c>
      <c r="I2428" s="359">
        <f>-H2428*('DRE + DCF'!$V$33+K2428)/'DRE + DCF'!$V$33</f>
        <v>-90858.801614444121</v>
      </c>
      <c r="J2428" s="359">
        <f>-'DRE + DCF'!$V$56*L2428</f>
        <v>-1188924.4255577971</v>
      </c>
      <c r="K2428" s="360">
        <f>(1+L2428)/(1+Ke!$O$12)-1</f>
        <v>2.0000000000000018E-2</v>
      </c>
      <c r="L2428" s="360">
        <f>'DRE + DCF'!$Y$31</f>
        <v>7.3550000000000004E-2</v>
      </c>
      <c r="M2428" s="361">
        <f>(1+D2428)^((5-Dashboard!$F$9)*3/12)</f>
        <v>1.2283737275919135</v>
      </c>
      <c r="N2428" s="361">
        <f t="shared" ref="N2428:V2428" si="2491">M2428*(1+$D2428)</f>
        <v>1.6159870573335178</v>
      </c>
      <c r="O2428" s="361">
        <f t="shared" si="2491"/>
        <v>2.1259117732750776</v>
      </c>
      <c r="P2428" s="361">
        <f t="shared" si="2491"/>
        <v>2.7967432333319868</v>
      </c>
      <c r="Q2428" s="361">
        <f t="shared" si="2491"/>
        <v>3.6792555606098407</v>
      </c>
      <c r="R2428" s="361">
        <f t="shared" si="2491"/>
        <v>4.8402446527602043</v>
      </c>
      <c r="S2428" s="361">
        <f t="shared" si="2491"/>
        <v>6.3675838529385924</v>
      </c>
      <c r="T2428" s="361">
        <f t="shared" si="2491"/>
        <v>8.3768749377332412</v>
      </c>
      <c r="U2428" s="361">
        <f t="shared" si="2491"/>
        <v>11.020197824334801</v>
      </c>
      <c r="V2428" s="362">
        <f t="shared" si="2491"/>
        <v>14.497621247803432</v>
      </c>
      <c r="X2428" s="351"/>
    </row>
    <row r="2429" spans="3:24" ht="24.75" customHeight="1" x14ac:dyDescent="0.3">
      <c r="C2429" s="353">
        <f>ABS(E2429-Dashboard!$F$14)</f>
        <v>47.344114431931416</v>
      </c>
      <c r="D2429" s="350">
        <f t="shared" si="2445"/>
        <v>0.3156499999999805</v>
      </c>
      <c r="E2429" s="359" cm="1">
        <f t="array" ref="E2429">1000*SUM('DRE + DCF'!$L$36/M2429,'DRE + DCF'!$N$36:$V$36/N2429:V2429,F2429/V2429)/Dashboard!$F$11</f>
        <v>49.645885568068579</v>
      </c>
      <c r="F2429" s="359">
        <f t="shared" si="2443"/>
        <v>8279029.9721009554</v>
      </c>
      <c r="G2429" s="359">
        <f>'DRE + DCF'!$W$31</f>
        <v>2791623.3540418856</v>
      </c>
      <c r="H2429" s="359">
        <f>'DRE + DCF'!$W$32</f>
        <v>81081.931703745853</v>
      </c>
      <c r="I2429" s="359">
        <f>-H2429*('DRE + DCF'!$V$33+K2429)/'DRE + DCF'!$V$33</f>
        <v>-90858.801614444121</v>
      </c>
      <c r="J2429" s="359">
        <f>-'DRE + DCF'!$V$56*L2429</f>
        <v>-1188924.4255577971</v>
      </c>
      <c r="K2429" s="360">
        <f>(1+L2429)/(1+Ke!$O$12)-1</f>
        <v>2.0000000000000018E-2</v>
      </c>
      <c r="L2429" s="360">
        <f>'DRE + DCF'!$Y$31</f>
        <v>7.3550000000000004E-2</v>
      </c>
      <c r="M2429" s="361">
        <f>(1+D2429)^((5-Dashboard!$F$9)*3/12)</f>
        <v>1.2284437569744695</v>
      </c>
      <c r="N2429" s="361">
        <f t="shared" ref="N2429:V2429" si="2492">M2429*(1+$D2429)</f>
        <v>1.6162020288634369</v>
      </c>
      <c r="O2429" s="361">
        <f t="shared" si="2492"/>
        <v>2.1263561992741491</v>
      </c>
      <c r="P2429" s="361">
        <f t="shared" si="2492"/>
        <v>2.7975405335749928</v>
      </c>
      <c r="Q2429" s="361">
        <f t="shared" si="2492"/>
        <v>3.6805842029978844</v>
      </c>
      <c r="R2429" s="361">
        <f t="shared" si="2492"/>
        <v>4.8423606066740943</v>
      </c>
      <c r="S2429" s="361">
        <f t="shared" si="2492"/>
        <v>6.3708517321706779</v>
      </c>
      <c r="T2429" s="361">
        <f t="shared" si="2492"/>
        <v>8.3818110814302287</v>
      </c>
      <c r="U2429" s="361">
        <f t="shared" si="2492"/>
        <v>11.027529749283516</v>
      </c>
      <c r="V2429" s="362">
        <f t="shared" si="2492"/>
        <v>14.508369514644643</v>
      </c>
      <c r="X2429" s="351"/>
    </row>
    <row r="2430" spans="3:24" ht="24.75" customHeight="1" x14ac:dyDescent="0.3">
      <c r="C2430" s="353">
        <f>ABS(E2430-Dashboard!$F$14)</f>
        <v>47.368210441140121</v>
      </c>
      <c r="D2430" s="350">
        <f t="shared" si="2445"/>
        <v>0.31574999999998049</v>
      </c>
      <c r="E2430" s="359" cm="1">
        <f t="array" ref="E2430">1000*SUM('DRE + DCF'!$L$36/M2430,'DRE + DCF'!$N$36:$V$36/N2430:V2430,F2430/V2430)/Dashboard!$F$11</f>
        <v>49.621789558859874</v>
      </c>
      <c r="F2430" s="359">
        <f t="shared" si="2443"/>
        <v>8276068.2815197259</v>
      </c>
      <c r="G2430" s="359">
        <f>'DRE + DCF'!$W$31</f>
        <v>2791623.3540418856</v>
      </c>
      <c r="H2430" s="359">
        <f>'DRE + DCF'!$W$32</f>
        <v>81081.931703745853</v>
      </c>
      <c r="I2430" s="359">
        <f>-H2430*('DRE + DCF'!$V$33+K2430)/'DRE + DCF'!$V$33</f>
        <v>-90858.801614444121</v>
      </c>
      <c r="J2430" s="359">
        <f>-'DRE + DCF'!$V$56*L2430</f>
        <v>-1188924.4255577971</v>
      </c>
      <c r="K2430" s="360">
        <f>(1+L2430)/(1+Ke!$O$12)-1</f>
        <v>2.0000000000000018E-2</v>
      </c>
      <c r="L2430" s="360">
        <f>'DRE + DCF'!$Y$31</f>
        <v>7.3550000000000004E-2</v>
      </c>
      <c r="M2430" s="361">
        <f>(1+D2430)^((5-Dashboard!$F$9)*3/12)</f>
        <v>1.2285137850263388</v>
      </c>
      <c r="N2430" s="361">
        <f t="shared" ref="N2430:V2430" si="2493">M2430*(1+$D2430)</f>
        <v>1.6164170126483812</v>
      </c>
      <c r="O2430" s="361">
        <f t="shared" si="2493"/>
        <v>2.1268006843920761</v>
      </c>
      <c r="P2430" s="361">
        <f t="shared" si="2493"/>
        <v>2.7983380004888327</v>
      </c>
      <c r="Q2430" s="361">
        <f t="shared" si="2493"/>
        <v>3.6819132241431269</v>
      </c>
      <c r="R2430" s="361">
        <f t="shared" si="2493"/>
        <v>4.8444773246662471</v>
      </c>
      <c r="S2430" s="361">
        <f t="shared" si="2493"/>
        <v>6.3741210399295198</v>
      </c>
      <c r="T2430" s="361">
        <f t="shared" si="2493"/>
        <v>8.3867497582871415</v>
      </c>
      <c r="U2430" s="361">
        <f t="shared" si="2493"/>
        <v>11.034865994466143</v>
      </c>
      <c r="V2430" s="362">
        <f t="shared" si="2493"/>
        <v>14.519124932218611</v>
      </c>
      <c r="X2430" s="351"/>
    </row>
    <row r="2431" spans="3:24" ht="24.75" customHeight="1" x14ac:dyDescent="0.3">
      <c r="C2431" s="353">
        <f>ABS(E2431-Dashboard!$F$14)</f>
        <v>47.392285453840898</v>
      </c>
      <c r="D2431" s="350">
        <f t="shared" si="2445"/>
        <v>0.31584999999998048</v>
      </c>
      <c r="E2431" s="359" cm="1">
        <f t="array" ref="E2431">1000*SUM('DRE + DCF'!$L$36/M2431,'DRE + DCF'!$N$36:$V$36/N2431:V2431,F2431/V2431)/Dashboard!$F$11</f>
        <v>49.597714546159096</v>
      </c>
      <c r="F2431" s="359">
        <f t="shared" si="2443"/>
        <v>8273108.7465990912</v>
      </c>
      <c r="G2431" s="359">
        <f>'DRE + DCF'!$W$31</f>
        <v>2791623.3540418856</v>
      </c>
      <c r="H2431" s="359">
        <f>'DRE + DCF'!$W$32</f>
        <v>81081.931703745853</v>
      </c>
      <c r="I2431" s="359">
        <f>-H2431*('DRE + DCF'!$V$33+K2431)/'DRE + DCF'!$V$33</f>
        <v>-90858.801614444121</v>
      </c>
      <c r="J2431" s="359">
        <f>-'DRE + DCF'!$V$56*L2431</f>
        <v>-1188924.4255577971</v>
      </c>
      <c r="K2431" s="360">
        <f>(1+L2431)/(1+Ke!$O$12)-1</f>
        <v>2.0000000000000018E-2</v>
      </c>
      <c r="L2431" s="360">
        <f>'DRE + DCF'!$Y$31</f>
        <v>7.3550000000000004E-2</v>
      </c>
      <c r="M2431" s="361">
        <f>(1+D2431)^((5-Dashboard!$F$9)*3/12)</f>
        <v>1.2285838117476477</v>
      </c>
      <c r="N2431" s="361">
        <f t="shared" ref="N2431:V2431" si="2494">M2431*(1+$D2431)</f>
        <v>1.6166320086881183</v>
      </c>
      <c r="O2431" s="361">
        <f t="shared" si="2494"/>
        <v>2.127245228632229</v>
      </c>
      <c r="P2431" s="361">
        <f t="shared" si="2494"/>
        <v>2.799135634095677</v>
      </c>
      <c r="Q2431" s="361">
        <f t="shared" si="2494"/>
        <v>3.6832426241247416</v>
      </c>
      <c r="R2431" s="361">
        <f t="shared" si="2494"/>
        <v>4.8465948069544691</v>
      </c>
      <c r="S2431" s="361">
        <f t="shared" si="2494"/>
        <v>6.3773917767309429</v>
      </c>
      <c r="T2431" s="361">
        <f t="shared" si="2494"/>
        <v>8.391690969411286</v>
      </c>
      <c r="U2431" s="361">
        <f t="shared" si="2494"/>
        <v>11.042206562099677</v>
      </c>
      <c r="V2431" s="362">
        <f t="shared" si="2494"/>
        <v>14.529887504738644</v>
      </c>
      <c r="X2431" s="351"/>
    </row>
    <row r="2432" spans="3:24" ht="24.75" customHeight="1" x14ac:dyDescent="0.3">
      <c r="C2432" s="353">
        <f>ABS(E2432-Dashboard!$F$14)</f>
        <v>47.416339495501788</v>
      </c>
      <c r="D2432" s="350">
        <f t="shared" si="2445"/>
        <v>0.31594999999998047</v>
      </c>
      <c r="E2432" s="359" cm="1">
        <f t="array" ref="E2432">1000*SUM('DRE + DCF'!$L$36/M2432,'DRE + DCF'!$N$36:$V$36/N2432:V2432,F2432/V2432)/Dashboard!$F$11</f>
        <v>49.573660504498207</v>
      </c>
      <c r="F2432" s="359">
        <f t="shared" si="2443"/>
        <v>8270151.3649454415</v>
      </c>
      <c r="G2432" s="359">
        <f>'DRE + DCF'!$W$31</f>
        <v>2791623.3540418856</v>
      </c>
      <c r="H2432" s="359">
        <f>'DRE + DCF'!$W$32</f>
        <v>81081.931703745853</v>
      </c>
      <c r="I2432" s="359">
        <f>-H2432*('DRE + DCF'!$V$33+K2432)/'DRE + DCF'!$V$33</f>
        <v>-90858.801614444121</v>
      </c>
      <c r="J2432" s="359">
        <f>-'DRE + DCF'!$V$56*L2432</f>
        <v>-1188924.4255577971</v>
      </c>
      <c r="K2432" s="360">
        <f>(1+L2432)/(1+Ke!$O$12)-1</f>
        <v>2.0000000000000018E-2</v>
      </c>
      <c r="L2432" s="360">
        <f>'DRE + DCF'!$Y$31</f>
        <v>7.3550000000000004E-2</v>
      </c>
      <c r="M2432" s="361">
        <f>(1+D2432)^((5-Dashboard!$F$9)*3/12)</f>
        <v>1.2286538371385229</v>
      </c>
      <c r="N2432" s="361">
        <f t="shared" ref="N2432:V2432" si="2495">M2432*(1+$D2432)</f>
        <v>1.6168470169824152</v>
      </c>
      <c r="O2432" s="361">
        <f t="shared" si="2495"/>
        <v>2.1276898319979778</v>
      </c>
      <c r="P2432" s="361">
        <f t="shared" si="2495"/>
        <v>2.7999334344176972</v>
      </c>
      <c r="Q2432" s="361">
        <f t="shared" si="2495"/>
        <v>3.6845724030219138</v>
      </c>
      <c r="R2432" s="361">
        <f t="shared" si="2495"/>
        <v>4.8487130537566152</v>
      </c>
      <c r="S2432" s="361">
        <f t="shared" si="2495"/>
        <v>6.3806639430909229</v>
      </c>
      <c r="T2432" s="361">
        <f t="shared" si="2495"/>
        <v>8.3966347159103751</v>
      </c>
      <c r="U2432" s="361">
        <f t="shared" si="2495"/>
        <v>11.049551454402094</v>
      </c>
      <c r="V2432" s="362">
        <f t="shared" si="2495"/>
        <v>14.54065723642022</v>
      </c>
      <c r="X2432" s="351"/>
    </row>
    <row r="2433" spans="3:24" ht="24.75" customHeight="1" x14ac:dyDescent="0.3">
      <c r="C2433" s="353">
        <f>ABS(E2433-Dashboard!$F$14)</f>
        <v>47.440372591551359</v>
      </c>
      <c r="D2433" s="350">
        <f t="shared" si="2445"/>
        <v>0.31604999999998046</v>
      </c>
      <c r="E2433" s="359" cm="1">
        <f t="array" ref="E2433">1000*SUM('DRE + DCF'!$L$36/M2433,'DRE + DCF'!$N$36:$V$36/N2433:V2433,F2433/V2433)/Dashboard!$F$11</f>
        <v>49.549627408448636</v>
      </c>
      <c r="F2433" s="359">
        <f t="shared" si="2443"/>
        <v>8267196.1341687683</v>
      </c>
      <c r="G2433" s="359">
        <f>'DRE + DCF'!$W$31</f>
        <v>2791623.3540418856</v>
      </c>
      <c r="H2433" s="359">
        <f>'DRE + DCF'!$W$32</f>
        <v>81081.931703745853</v>
      </c>
      <c r="I2433" s="359">
        <f>-H2433*('DRE + DCF'!$V$33+K2433)/'DRE + DCF'!$V$33</f>
        <v>-90858.801614444121</v>
      </c>
      <c r="J2433" s="359">
        <f>-'DRE + DCF'!$V$56*L2433</f>
        <v>-1188924.4255577971</v>
      </c>
      <c r="K2433" s="360">
        <f>(1+L2433)/(1+Ke!$O$12)-1</f>
        <v>2.0000000000000018E-2</v>
      </c>
      <c r="L2433" s="360">
        <f>'DRE + DCF'!$Y$31</f>
        <v>7.3550000000000004E-2</v>
      </c>
      <c r="M2433" s="361">
        <f>(1+D2433)^((5-Dashboard!$F$9)*3/12)</f>
        <v>1.2287238611990905</v>
      </c>
      <c r="N2433" s="361">
        <f t="shared" ref="N2433:V2433" si="2496">M2433*(1+$D2433)</f>
        <v>1.6170620375310389</v>
      </c>
      <c r="O2433" s="361">
        <f t="shared" si="2496"/>
        <v>2.1281344944926923</v>
      </c>
      <c r="P2433" s="361">
        <f t="shared" si="2496"/>
        <v>2.8007314014770661</v>
      </c>
      <c r="Q2433" s="361">
        <f t="shared" si="2496"/>
        <v>3.6859025609138381</v>
      </c>
      <c r="R2433" s="361">
        <f t="shared" si="2496"/>
        <v>4.8508320652905841</v>
      </c>
      <c r="S2433" s="361">
        <f t="shared" si="2496"/>
        <v>6.3839375395255784</v>
      </c>
      <c r="T2433" s="361">
        <f t="shared" si="2496"/>
        <v>8.4015809988925128</v>
      </c>
      <c r="U2433" s="361">
        <f t="shared" si="2496"/>
        <v>11.056900673592327</v>
      </c>
      <c r="V2433" s="362">
        <f t="shared" si="2496"/>
        <v>14.551434131480965</v>
      </c>
      <c r="X2433" s="351"/>
    </row>
    <row r="2434" spans="3:24" ht="24.75" customHeight="1" x14ac:dyDescent="0.3">
      <c r="C2434" s="353">
        <f>ABS(E2434-Dashboard!$F$14)</f>
        <v>47.464384767378746</v>
      </c>
      <c r="D2434" s="350">
        <f t="shared" si="2445"/>
        <v>0.31614999999998045</v>
      </c>
      <c r="E2434" s="359" cm="1">
        <f t="array" ref="E2434">1000*SUM('DRE + DCF'!$L$36/M2434,'DRE + DCF'!$N$36:$V$36/N2434:V2434,F2434/V2434)/Dashboard!$F$11</f>
        <v>49.525615232621249</v>
      </c>
      <c r="F2434" s="359">
        <f t="shared" si="2443"/>
        <v>8264243.0518826526</v>
      </c>
      <c r="G2434" s="359">
        <f>'DRE + DCF'!$W$31</f>
        <v>2791623.3540418856</v>
      </c>
      <c r="H2434" s="359">
        <f>'DRE + DCF'!$W$32</f>
        <v>81081.931703745853</v>
      </c>
      <c r="I2434" s="359">
        <f>-H2434*('DRE + DCF'!$V$33+K2434)/'DRE + DCF'!$V$33</f>
        <v>-90858.801614444121</v>
      </c>
      <c r="J2434" s="359">
        <f>-'DRE + DCF'!$V$56*L2434</f>
        <v>-1188924.4255577971</v>
      </c>
      <c r="K2434" s="360">
        <f>(1+L2434)/(1+Ke!$O$12)-1</f>
        <v>2.0000000000000018E-2</v>
      </c>
      <c r="L2434" s="360">
        <f>'DRE + DCF'!$Y$31</f>
        <v>7.3550000000000004E-2</v>
      </c>
      <c r="M2434" s="361">
        <f>(1+D2434)^((5-Dashboard!$F$9)*3/12)</f>
        <v>1.2287938839294772</v>
      </c>
      <c r="N2434" s="361">
        <f t="shared" ref="N2434:V2434" si="2497">M2434*(1+$D2434)</f>
        <v>1.6172770703337573</v>
      </c>
      <c r="O2434" s="361">
        <f t="shared" si="2497"/>
        <v>2.1285792161197432</v>
      </c>
      <c r="P2434" s="361">
        <f t="shared" si="2497"/>
        <v>2.8015295352959582</v>
      </c>
      <c r="Q2434" s="361">
        <f t="shared" si="2497"/>
        <v>3.6872330978797203</v>
      </c>
      <c r="R2434" s="361">
        <f t="shared" si="2497"/>
        <v>4.8529518417743214</v>
      </c>
      <c r="S2434" s="361">
        <f t="shared" si="2497"/>
        <v>6.3872125665511783</v>
      </c>
      <c r="T2434" s="361">
        <f t="shared" si="2497"/>
        <v>8.4065298194662077</v>
      </c>
      <c r="U2434" s="361">
        <f t="shared" si="2497"/>
        <v>11.064254221890284</v>
      </c>
      <c r="V2434" s="362">
        <f t="shared" si="2497"/>
        <v>14.56221819414068</v>
      </c>
      <c r="X2434" s="351"/>
    </row>
    <row r="2435" spans="3:24" ht="24.75" customHeight="1" x14ac:dyDescent="0.3">
      <c r="C2435" s="353">
        <f>ABS(E2435-Dashboard!$F$14)</f>
        <v>47.488376048333755</v>
      </c>
      <c r="D2435" s="350">
        <f t="shared" si="2445"/>
        <v>0.31624999999998044</v>
      </c>
      <c r="E2435" s="359" cm="1">
        <f t="array" ref="E2435">1000*SUM('DRE + DCF'!$L$36/M2435,'DRE + DCF'!$N$36:$V$36/N2435:V2435,F2435/V2435)/Dashboard!$F$11</f>
        <v>49.50162395166624</v>
      </c>
      <c r="F2435" s="359">
        <f t="shared" si="2443"/>
        <v>8261292.1157042664</v>
      </c>
      <c r="G2435" s="359">
        <f>'DRE + DCF'!$W$31</f>
        <v>2791623.3540418856</v>
      </c>
      <c r="H2435" s="359">
        <f>'DRE + DCF'!$W$32</f>
        <v>81081.931703745853</v>
      </c>
      <c r="I2435" s="359">
        <f>-H2435*('DRE + DCF'!$V$33+K2435)/'DRE + DCF'!$V$33</f>
        <v>-90858.801614444121</v>
      </c>
      <c r="J2435" s="359">
        <f>-'DRE + DCF'!$V$56*L2435</f>
        <v>-1188924.4255577971</v>
      </c>
      <c r="K2435" s="360">
        <f>(1+L2435)/(1+Ke!$O$12)-1</f>
        <v>2.0000000000000018E-2</v>
      </c>
      <c r="L2435" s="360">
        <f>'DRE + DCF'!$Y$31</f>
        <v>7.3550000000000004E-2</v>
      </c>
      <c r="M2435" s="361">
        <f>(1+D2435)^((5-Dashboard!$F$9)*3/12)</f>
        <v>1.2288639053298089</v>
      </c>
      <c r="N2435" s="361">
        <f t="shared" ref="N2435:V2435" si="2498">M2435*(1+$D2435)</f>
        <v>1.617492115390337</v>
      </c>
      <c r="O2435" s="361">
        <f t="shared" si="2498"/>
        <v>2.1290239968824993</v>
      </c>
      <c r="P2435" s="361">
        <f t="shared" si="2498"/>
        <v>2.802327835896548</v>
      </c>
      <c r="Q2435" s="361">
        <f t="shared" si="2498"/>
        <v>3.6885640139987763</v>
      </c>
      <c r="R2435" s="361">
        <f t="shared" si="2498"/>
        <v>4.8550723834258172</v>
      </c>
      <c r="S2435" s="361">
        <f t="shared" si="2498"/>
        <v>6.3904890246841362</v>
      </c>
      <c r="T2435" s="361">
        <f t="shared" si="2498"/>
        <v>8.4114811787403685</v>
      </c>
      <c r="U2435" s="361">
        <f t="shared" si="2498"/>
        <v>11.071612101516845</v>
      </c>
      <c r="V2435" s="362">
        <f t="shared" si="2498"/>
        <v>14.573009428621329</v>
      </c>
      <c r="X2435" s="351"/>
    </row>
    <row r="2436" spans="3:24" ht="24.75" customHeight="1" x14ac:dyDescent="0.3">
      <c r="C2436" s="353">
        <f>ABS(E2436-Dashboard!$F$14)</f>
        <v>47.512346459726942</v>
      </c>
      <c r="D2436" s="350">
        <f t="shared" si="2445"/>
        <v>0.31634999999998042</v>
      </c>
      <c r="E2436" s="359" cm="1">
        <f t="array" ref="E2436">1000*SUM('DRE + DCF'!$L$36/M2436,'DRE + DCF'!$N$36:$V$36/N2436:V2436,F2436/V2436)/Dashboard!$F$11</f>
        <v>49.477653540273053</v>
      </c>
      <c r="F2436" s="359">
        <f t="shared" si="2443"/>
        <v>8258343.3232543636</v>
      </c>
      <c r="G2436" s="359">
        <f>'DRE + DCF'!$W$31</f>
        <v>2791623.3540418856</v>
      </c>
      <c r="H2436" s="359">
        <f>'DRE + DCF'!$W$32</f>
        <v>81081.931703745853</v>
      </c>
      <c r="I2436" s="359">
        <f>-H2436*('DRE + DCF'!$V$33+K2436)/'DRE + DCF'!$V$33</f>
        <v>-90858.801614444121</v>
      </c>
      <c r="J2436" s="359">
        <f>-'DRE + DCF'!$V$56*L2436</f>
        <v>-1188924.4255577971</v>
      </c>
      <c r="K2436" s="360">
        <f>(1+L2436)/(1+Ke!$O$12)-1</f>
        <v>2.0000000000000018E-2</v>
      </c>
      <c r="L2436" s="360">
        <f>'DRE + DCF'!$Y$31</f>
        <v>7.3550000000000004E-2</v>
      </c>
      <c r="M2436" s="361">
        <f>(1+D2436)^((5-Dashboard!$F$9)*3/12)</f>
        <v>1.2289339254002121</v>
      </c>
      <c r="N2436" s="361">
        <f t="shared" ref="N2436:V2436" si="2499">M2436*(1+$D2436)</f>
        <v>1.617707172700545</v>
      </c>
      <c r="O2436" s="361">
        <f t="shared" si="2499"/>
        <v>2.1294688367843304</v>
      </c>
      <c r="P2436" s="361">
        <f t="shared" si="2499"/>
        <v>2.8031263033010116</v>
      </c>
      <c r="Q2436" s="361">
        <f t="shared" si="2499"/>
        <v>3.6898953093502316</v>
      </c>
      <c r="R2436" s="361">
        <f t="shared" si="2499"/>
        <v>4.857193690463105</v>
      </c>
      <c r="S2436" s="361">
        <f t="shared" si="2499"/>
        <v>6.393766914441013</v>
      </c>
      <c r="T2436" s="361">
        <f t="shared" si="2499"/>
        <v>8.4164350778243016</v>
      </c>
      <c r="U2436" s="361">
        <f t="shared" si="2499"/>
        <v>11.078974314693854</v>
      </c>
      <c r="V2436" s="362">
        <f t="shared" si="2499"/>
        <v>14.583807839147036</v>
      </c>
      <c r="X2436" s="351"/>
    </row>
    <row r="2437" spans="3:24" ht="24.75" customHeight="1" x14ac:dyDescent="0.3">
      <c r="C2437" s="353">
        <f>ABS(E2437-Dashboard!$F$14)</f>
        <v>47.536296026829682</v>
      </c>
      <c r="D2437" s="350">
        <f t="shared" si="2445"/>
        <v>0.31644999999998041</v>
      </c>
      <c r="E2437" s="359" cm="1">
        <f t="array" ref="E2437">1000*SUM('DRE + DCF'!$L$36/M2437,'DRE + DCF'!$N$36:$V$36/N2437:V2437,F2437/V2437)/Dashboard!$F$11</f>
        <v>49.453703973170313</v>
      </c>
      <c r="F2437" s="359">
        <f t="shared" si="2443"/>
        <v>8255396.6721572671</v>
      </c>
      <c r="G2437" s="359">
        <f>'DRE + DCF'!$W$31</f>
        <v>2791623.3540418856</v>
      </c>
      <c r="H2437" s="359">
        <f>'DRE + DCF'!$W$32</f>
        <v>81081.931703745853</v>
      </c>
      <c r="I2437" s="359">
        <f>-H2437*('DRE + DCF'!$V$33+K2437)/'DRE + DCF'!$V$33</f>
        <v>-90858.801614444121</v>
      </c>
      <c r="J2437" s="359">
        <f>-'DRE + DCF'!$V$56*L2437</f>
        <v>-1188924.4255577971</v>
      </c>
      <c r="K2437" s="360">
        <f>(1+L2437)/(1+Ke!$O$12)-1</f>
        <v>2.0000000000000018E-2</v>
      </c>
      <c r="L2437" s="360">
        <f>'DRE + DCF'!$Y$31</f>
        <v>7.3550000000000004E-2</v>
      </c>
      <c r="M2437" s="361">
        <f>(1+D2437)^((5-Dashboard!$F$9)*3/12)</f>
        <v>1.2290039441408132</v>
      </c>
      <c r="N2437" s="361">
        <f t="shared" ref="N2437:V2437" si="2500">M2437*(1+$D2437)</f>
        <v>1.6179222422641493</v>
      </c>
      <c r="O2437" s="361">
        <f t="shared" si="2500"/>
        <v>2.1299137358286075</v>
      </c>
      <c r="P2437" s="361">
        <f t="shared" si="2500"/>
        <v>2.8039249375315287</v>
      </c>
      <c r="Q2437" s="361">
        <f t="shared" si="2500"/>
        <v>3.6912269840133258</v>
      </c>
      <c r="R2437" s="361">
        <f t="shared" si="2500"/>
        <v>4.85931576310427</v>
      </c>
      <c r="S2437" s="361">
        <f t="shared" si="2500"/>
        <v>6.3970462363385208</v>
      </c>
      <c r="T2437" s="361">
        <f t="shared" si="2500"/>
        <v>8.4213915178277201</v>
      </c>
      <c r="U2437" s="361">
        <f t="shared" si="2500"/>
        <v>11.086340863644137</v>
      </c>
      <c r="V2437" s="362">
        <f t="shared" si="2500"/>
        <v>14.594613429944108</v>
      </c>
      <c r="X2437" s="351"/>
    </row>
    <row r="2438" spans="3:24" ht="24.75" customHeight="1" x14ac:dyDescent="0.3">
      <c r="C2438" s="353">
        <f>ABS(E2438-Dashboard!$F$14)</f>
        <v>47.560224774874222</v>
      </c>
      <c r="D2438" s="350">
        <f t="shared" si="2445"/>
        <v>0.3165499999999804</v>
      </c>
      <c r="E2438" s="359" cm="1">
        <f t="array" ref="E2438">1000*SUM('DRE + DCF'!$L$36/M2438,'DRE + DCF'!$N$36:$V$36/N2438:V2438,F2438/V2438)/Dashboard!$F$11</f>
        <v>49.429775225125773</v>
      </c>
      <c r="F2438" s="359">
        <f t="shared" si="2443"/>
        <v>8252452.1600408722</v>
      </c>
      <c r="G2438" s="359">
        <f>'DRE + DCF'!$W$31</f>
        <v>2791623.3540418856</v>
      </c>
      <c r="H2438" s="359">
        <f>'DRE + DCF'!$W$32</f>
        <v>81081.931703745853</v>
      </c>
      <c r="I2438" s="359">
        <f>-H2438*('DRE + DCF'!$V$33+K2438)/'DRE + DCF'!$V$33</f>
        <v>-90858.801614444121</v>
      </c>
      <c r="J2438" s="359">
        <f>-'DRE + DCF'!$V$56*L2438</f>
        <v>-1188924.4255577971</v>
      </c>
      <c r="K2438" s="360">
        <f>(1+L2438)/(1+Ke!$O$12)-1</f>
        <v>2.0000000000000018E-2</v>
      </c>
      <c r="L2438" s="360">
        <f>'DRE + DCF'!$Y$31</f>
        <v>7.3550000000000004E-2</v>
      </c>
      <c r="M2438" s="361">
        <f>(1+D2438)^((5-Dashboard!$F$9)*3/12)</f>
        <v>1.2290739615517381</v>
      </c>
      <c r="N2438" s="361">
        <f t="shared" ref="N2438:V2438" si="2501">M2438*(1+$D2438)</f>
        <v>1.6181373240809167</v>
      </c>
      <c r="O2438" s="361">
        <f t="shared" si="2501"/>
        <v>2.1303586940186992</v>
      </c>
      <c r="P2438" s="361">
        <f t="shared" si="2501"/>
        <v>2.8047237386102766</v>
      </c>
      <c r="Q2438" s="361">
        <f t="shared" si="2501"/>
        <v>3.6925590380673046</v>
      </c>
      <c r="R2438" s="361">
        <f t="shared" si="2501"/>
        <v>4.8614386015674373</v>
      </c>
      <c r="S2438" s="361">
        <f t="shared" si="2501"/>
        <v>6.4003269908935145</v>
      </c>
      <c r="T2438" s="361">
        <f t="shared" si="2501"/>
        <v>8.4263504998607299</v>
      </c>
      <c r="U2438" s="361">
        <f t="shared" si="2501"/>
        <v>11.093711750591478</v>
      </c>
      <c r="V2438" s="362">
        <f t="shared" si="2501"/>
        <v>14.605426205240992</v>
      </c>
      <c r="X2438" s="351"/>
    </row>
    <row r="2439" spans="3:24" ht="24.75" customHeight="1" x14ac:dyDescent="0.3">
      <c r="C2439" s="353">
        <f>ABS(E2439-Dashboard!$F$14)</f>
        <v>47.584132729053749</v>
      </c>
      <c r="D2439" s="350">
        <f t="shared" si="2445"/>
        <v>0.31664999999998039</v>
      </c>
      <c r="E2439" s="359" cm="1">
        <f t="array" ref="E2439">1000*SUM('DRE + DCF'!$L$36/M2439,'DRE + DCF'!$N$36:$V$36/N2439:V2439,F2439/V2439)/Dashboard!$F$11</f>
        <v>49.405867270946246</v>
      </c>
      <c r="F2439" s="359">
        <f t="shared" si="2443"/>
        <v>8249509.7845366281</v>
      </c>
      <c r="G2439" s="359">
        <f>'DRE + DCF'!$W$31</f>
        <v>2791623.3540418856</v>
      </c>
      <c r="H2439" s="359">
        <f>'DRE + DCF'!$W$32</f>
        <v>81081.931703745853</v>
      </c>
      <c r="I2439" s="359">
        <f>-H2439*('DRE + DCF'!$V$33+K2439)/'DRE + DCF'!$V$33</f>
        <v>-90858.801614444121</v>
      </c>
      <c r="J2439" s="359">
        <f>-'DRE + DCF'!$V$56*L2439</f>
        <v>-1188924.4255577971</v>
      </c>
      <c r="K2439" s="360">
        <f>(1+L2439)/(1+Ke!$O$12)-1</f>
        <v>2.0000000000000018E-2</v>
      </c>
      <c r="L2439" s="360">
        <f>'DRE + DCF'!$Y$31</f>
        <v>7.3550000000000004E-2</v>
      </c>
      <c r="M2439" s="361">
        <f>(1+D2439)^((5-Dashboard!$F$9)*3/12)</f>
        <v>1.2291439776331134</v>
      </c>
      <c r="N2439" s="361">
        <f t="shared" ref="N2439:V2439" si="2502">M2439*(1+$D2439)</f>
        <v>1.6183524181506146</v>
      </c>
      <c r="O2439" s="361">
        <f t="shared" si="2502"/>
        <v>2.130803711357975</v>
      </c>
      <c r="P2439" s="361">
        <f t="shared" si="2502"/>
        <v>2.8055227065594357</v>
      </c>
      <c r="Q2439" s="361">
        <f t="shared" si="2502"/>
        <v>3.6938914715914257</v>
      </c>
      <c r="R2439" s="361">
        <f t="shared" si="2502"/>
        <v>4.8635622060707782</v>
      </c>
      <c r="S2439" s="361">
        <f t="shared" si="2502"/>
        <v>6.4036091786229941</v>
      </c>
      <c r="T2439" s="361">
        <f t="shared" si="2502"/>
        <v>8.43131202503384</v>
      </c>
      <c r="U2439" s="361">
        <f t="shared" si="2502"/>
        <v>11.101086977760639</v>
      </c>
      <c r="V2439" s="362">
        <f t="shared" si="2502"/>
        <v>14.616246169268328</v>
      </c>
      <c r="X2439" s="351"/>
    </row>
    <row r="2440" spans="3:24" ht="24.75" customHeight="1" x14ac:dyDescent="0.3">
      <c r="C2440" s="353">
        <f>ABS(E2440-Dashboard!$F$14)</f>
        <v>47.608019914522536</v>
      </c>
      <c r="D2440" s="350">
        <f t="shared" si="2445"/>
        <v>0.31674999999998038</v>
      </c>
      <c r="E2440" s="359" cm="1">
        <f t="array" ref="E2440">1000*SUM('DRE + DCF'!$L$36/M2440,'DRE + DCF'!$N$36:$V$36/N2440:V2440,F2440/V2440)/Dashboard!$F$11</f>
        <v>49.381980085477458</v>
      </c>
      <c r="F2440" s="359">
        <f t="shared" si="2443"/>
        <v>8246569.5432795454</v>
      </c>
      <c r="G2440" s="359">
        <f>'DRE + DCF'!$W$31</f>
        <v>2791623.3540418856</v>
      </c>
      <c r="H2440" s="359">
        <f>'DRE + DCF'!$W$32</f>
        <v>81081.931703745853</v>
      </c>
      <c r="I2440" s="359">
        <f>-H2440*('DRE + DCF'!$V$33+K2440)/'DRE + DCF'!$V$33</f>
        <v>-90858.801614444121</v>
      </c>
      <c r="J2440" s="359">
        <f>-'DRE + DCF'!$V$56*L2440</f>
        <v>-1188924.4255577971</v>
      </c>
      <c r="K2440" s="360">
        <f>(1+L2440)/(1+Ke!$O$12)-1</f>
        <v>2.0000000000000018E-2</v>
      </c>
      <c r="L2440" s="360">
        <f>'DRE + DCF'!$Y$31</f>
        <v>7.3550000000000004E-2</v>
      </c>
      <c r="M2440" s="361">
        <f>(1+D2440)^((5-Dashboard!$F$9)*3/12)</f>
        <v>1.2292139923850653</v>
      </c>
      <c r="N2440" s="361">
        <f t="shared" ref="N2440:V2440" si="2503">M2440*(1+$D2440)</f>
        <v>1.6185675244730107</v>
      </c>
      <c r="O2440" s="361">
        <f t="shared" si="2503"/>
        <v>2.1312487878498048</v>
      </c>
      <c r="P2440" s="361">
        <f t="shared" si="2503"/>
        <v>2.8063218414011883</v>
      </c>
      <c r="Q2440" s="361">
        <f t="shared" si="2503"/>
        <v>3.6952242846649597</v>
      </c>
      <c r="R2440" s="361">
        <f t="shared" si="2503"/>
        <v>4.8656865768325126</v>
      </c>
      <c r="S2440" s="361">
        <f t="shared" si="2503"/>
        <v>6.4068928000441154</v>
      </c>
      <c r="T2440" s="361">
        <f t="shared" si="2503"/>
        <v>8.4362760944579627</v>
      </c>
      <c r="U2440" s="361">
        <f t="shared" si="2503"/>
        <v>11.108466547377356</v>
      </c>
      <c r="V2440" s="362">
        <f t="shared" si="2503"/>
        <v>14.627073326258914</v>
      </c>
      <c r="X2440" s="351"/>
    </row>
    <row r="2441" spans="3:24" ht="24.75" customHeight="1" x14ac:dyDescent="0.3">
      <c r="C2441" s="353">
        <f>ABS(E2441-Dashboard!$F$14)</f>
        <v>47.63188635639596</v>
      </c>
      <c r="D2441" s="350">
        <f t="shared" si="2445"/>
        <v>0.31684999999998037</v>
      </c>
      <c r="E2441" s="359" cm="1">
        <f t="array" ref="E2441">1000*SUM('DRE + DCF'!$L$36/M2441,'DRE + DCF'!$N$36:$V$36/N2441:V2441,F2441/V2441)/Dashboard!$F$11</f>
        <v>49.358113643604035</v>
      </c>
      <c r="F2441" s="359">
        <f t="shared" si="2443"/>
        <v>8243631.4339081766</v>
      </c>
      <c r="G2441" s="359">
        <f>'DRE + DCF'!$W$31</f>
        <v>2791623.3540418856</v>
      </c>
      <c r="H2441" s="359">
        <f>'DRE + DCF'!$W$32</f>
        <v>81081.931703745853</v>
      </c>
      <c r="I2441" s="359">
        <f>-H2441*('DRE + DCF'!$V$33+K2441)/'DRE + DCF'!$V$33</f>
        <v>-90858.801614444121</v>
      </c>
      <c r="J2441" s="359">
        <f>-'DRE + DCF'!$V$56*L2441</f>
        <v>-1188924.4255577971</v>
      </c>
      <c r="K2441" s="360">
        <f>(1+L2441)/(1+Ke!$O$12)-1</f>
        <v>2.0000000000000018E-2</v>
      </c>
      <c r="L2441" s="360">
        <f>'DRE + DCF'!$Y$31</f>
        <v>7.3550000000000004E-2</v>
      </c>
      <c r="M2441" s="361">
        <f>(1+D2441)^((5-Dashboard!$F$9)*3/12)</f>
        <v>1.2292840058077199</v>
      </c>
      <c r="N2441" s="361">
        <f t="shared" ref="N2441:V2441" si="2504">M2441*(1+$D2441)</f>
        <v>1.6187826430478718</v>
      </c>
      <c r="O2441" s="361">
        <f t="shared" si="2504"/>
        <v>2.1316939234975583</v>
      </c>
      <c r="P2441" s="361">
        <f t="shared" si="2504"/>
        <v>2.8071211431577177</v>
      </c>
      <c r="Q2441" s="361">
        <f t="shared" si="2504"/>
        <v>3.6965574773671852</v>
      </c>
      <c r="R2441" s="361">
        <f t="shared" si="2504"/>
        <v>4.8678117140709052</v>
      </c>
      <c r="S2441" s="361">
        <f t="shared" si="2504"/>
        <v>6.410177855674176</v>
      </c>
      <c r="T2441" s="361">
        <f t="shared" si="2504"/>
        <v>8.4412427092444116</v>
      </c>
      <c r="U2441" s="361">
        <f t="shared" si="2504"/>
        <v>11.115850461668337</v>
      </c>
      <c r="V2441" s="362">
        <f t="shared" si="2504"/>
        <v>14.63790768044773</v>
      </c>
      <c r="X2441" s="351"/>
    </row>
    <row r="2442" spans="3:24" ht="24.75" customHeight="1" x14ac:dyDescent="0.3">
      <c r="C2442" s="353">
        <f>ABS(E2442-Dashboard!$F$14)</f>
        <v>47.655732079750564</v>
      </c>
      <c r="D2442" s="350">
        <f t="shared" si="2445"/>
        <v>0.31694999999998036</v>
      </c>
      <c r="E2442" s="359" cm="1">
        <f t="array" ref="E2442">1000*SUM('DRE + DCF'!$L$36/M2442,'DRE + DCF'!$N$36:$V$36/N2442:V2442,F2442/V2442)/Dashboard!$F$11</f>
        <v>49.334267920249431</v>
      </c>
      <c r="F2442" s="359">
        <f t="shared" si="2443"/>
        <v>8240695.4540646132</v>
      </c>
      <c r="G2442" s="359">
        <f>'DRE + DCF'!$W$31</f>
        <v>2791623.3540418856</v>
      </c>
      <c r="H2442" s="359">
        <f>'DRE + DCF'!$W$32</f>
        <v>81081.931703745853</v>
      </c>
      <c r="I2442" s="359">
        <f>-H2442*('DRE + DCF'!$V$33+K2442)/'DRE + DCF'!$V$33</f>
        <v>-90858.801614444121</v>
      </c>
      <c r="J2442" s="359">
        <f>-'DRE + DCF'!$V$56*L2442</f>
        <v>-1188924.4255577971</v>
      </c>
      <c r="K2442" s="360">
        <f>(1+L2442)/(1+Ke!$O$12)-1</f>
        <v>2.0000000000000018E-2</v>
      </c>
      <c r="L2442" s="360">
        <f>'DRE + DCF'!$Y$31</f>
        <v>7.3550000000000004E-2</v>
      </c>
      <c r="M2442" s="361">
        <f>(1+D2442)^((5-Dashboard!$F$9)*3/12)</f>
        <v>1.2293540179012037</v>
      </c>
      <c r="N2442" s="361">
        <f t="shared" ref="N2442:V2442" si="2505">M2442*(1+$D2442)</f>
        <v>1.6189977738749659</v>
      </c>
      <c r="O2442" s="361">
        <f t="shared" si="2505"/>
        <v>2.1321391183046043</v>
      </c>
      <c r="P2442" s="361">
        <f t="shared" si="2505"/>
        <v>2.8079206118512068</v>
      </c>
      <c r="Q2442" s="361">
        <f t="shared" si="2505"/>
        <v>3.6978910497773914</v>
      </c>
      <c r="R2442" s="361">
        <f t="shared" si="2505"/>
        <v>4.8699376180042631</v>
      </c>
      <c r="S2442" s="361">
        <f t="shared" si="2505"/>
        <v>6.4134643460306187</v>
      </c>
      <c r="T2442" s="361">
        <f t="shared" si="2505"/>
        <v>8.4462118705048965</v>
      </c>
      <c r="U2442" s="361">
        <f t="shared" si="2505"/>
        <v>11.123238722861258</v>
      </c>
      <c r="V2442" s="362">
        <f t="shared" si="2505"/>
        <v>14.648749236071914</v>
      </c>
      <c r="X2442" s="351"/>
    </row>
    <row r="2443" spans="3:24" ht="24.75" customHeight="1" x14ac:dyDescent="0.3">
      <c r="C2443" s="353">
        <f>ABS(E2443-Dashboard!$F$14)</f>
        <v>47.679557109624135</v>
      </c>
      <c r="D2443" s="350">
        <f t="shared" si="2445"/>
        <v>0.31704999999998035</v>
      </c>
      <c r="E2443" s="359" cm="1">
        <f t="array" ref="E2443">1000*SUM('DRE + DCF'!$L$36/M2443,'DRE + DCF'!$N$36:$V$36/N2443:V2443,F2443/V2443)/Dashboard!$F$11</f>
        <v>49.31044289037586</v>
      </c>
      <c r="F2443" s="359">
        <f t="shared" si="2443"/>
        <v>8237761.601394481</v>
      </c>
      <c r="G2443" s="359">
        <f>'DRE + DCF'!$W$31</f>
        <v>2791623.3540418856</v>
      </c>
      <c r="H2443" s="359">
        <f>'DRE + DCF'!$W$32</f>
        <v>81081.931703745853</v>
      </c>
      <c r="I2443" s="359">
        <f>-H2443*('DRE + DCF'!$V$33+K2443)/'DRE + DCF'!$V$33</f>
        <v>-90858.801614444121</v>
      </c>
      <c r="J2443" s="359">
        <f>-'DRE + DCF'!$V$56*L2443</f>
        <v>-1188924.4255577971</v>
      </c>
      <c r="K2443" s="360">
        <f>(1+L2443)/(1+Ke!$O$12)-1</f>
        <v>2.0000000000000018E-2</v>
      </c>
      <c r="L2443" s="360">
        <f>'DRE + DCF'!$Y$31</f>
        <v>7.3550000000000004E-2</v>
      </c>
      <c r="M2443" s="361">
        <f>(1+D2443)^((5-Dashboard!$F$9)*3/12)</f>
        <v>1.2294240286656422</v>
      </c>
      <c r="N2443" s="361">
        <f t="shared" ref="N2443:V2443" si="2506">M2443*(1+$D2443)</f>
        <v>1.6192129169540597</v>
      </c>
      <c r="O2443" s="361">
        <f t="shared" si="2506"/>
        <v>2.1325843722743123</v>
      </c>
      <c r="P2443" s="361">
        <f t="shared" si="2506"/>
        <v>2.8087202475038411</v>
      </c>
      <c r="Q2443" s="361">
        <f t="shared" si="2506"/>
        <v>3.6992250019748787</v>
      </c>
      <c r="R2443" s="361">
        <f t="shared" si="2506"/>
        <v>4.8720642888509413</v>
      </c>
      <c r="S2443" s="361">
        <f t="shared" si="2506"/>
        <v>6.4167522716310366</v>
      </c>
      <c r="T2443" s="361">
        <f t="shared" si="2506"/>
        <v>8.4511835793515306</v>
      </c>
      <c r="U2443" s="361">
        <f t="shared" si="2506"/>
        <v>11.130631333184766</v>
      </c>
      <c r="V2443" s="362">
        <f t="shared" si="2506"/>
        <v>14.659597997370778</v>
      </c>
      <c r="X2443" s="351"/>
    </row>
    <row r="2444" spans="3:24" ht="24.75" customHeight="1" x14ac:dyDescent="0.3">
      <c r="C2444" s="353">
        <f>ABS(E2444-Dashboard!$F$14)</f>
        <v>47.703361471015796</v>
      </c>
      <c r="D2444" s="350">
        <f t="shared" si="2445"/>
        <v>0.31714999999998034</v>
      </c>
      <c r="E2444" s="359" cm="1">
        <f t="array" ref="E2444">1000*SUM('DRE + DCF'!$L$36/M2444,'DRE + DCF'!$N$36:$V$36/N2444:V2444,F2444/V2444)/Dashboard!$F$11</f>
        <v>49.286638528984199</v>
      </c>
      <c r="F2444" s="359">
        <f t="shared" si="2443"/>
        <v>8234829.8735469347</v>
      </c>
      <c r="G2444" s="359">
        <f>'DRE + DCF'!$W$31</f>
        <v>2791623.3540418856</v>
      </c>
      <c r="H2444" s="359">
        <f>'DRE + DCF'!$W$32</f>
        <v>81081.931703745853</v>
      </c>
      <c r="I2444" s="359">
        <f>-H2444*('DRE + DCF'!$V$33+K2444)/'DRE + DCF'!$V$33</f>
        <v>-90858.801614444121</v>
      </c>
      <c r="J2444" s="359">
        <f>-'DRE + DCF'!$V$56*L2444</f>
        <v>-1188924.4255577971</v>
      </c>
      <c r="K2444" s="360">
        <f>(1+L2444)/(1+Ke!$O$12)-1</f>
        <v>2.0000000000000018E-2</v>
      </c>
      <c r="L2444" s="360">
        <f>'DRE + DCF'!$Y$31</f>
        <v>7.3550000000000004E-2</v>
      </c>
      <c r="M2444" s="361">
        <f>(1+D2444)^((5-Dashboard!$F$9)*3/12)</f>
        <v>1.2294940381011619</v>
      </c>
      <c r="N2444" s="361">
        <f t="shared" ref="N2444:V2444" si="2507">M2444*(1+$D2444)</f>
        <v>1.619428072284921</v>
      </c>
      <c r="O2444" s="361">
        <f t="shared" si="2507"/>
        <v>2.1330296854100519</v>
      </c>
      <c r="P2444" s="361">
        <f t="shared" si="2507"/>
        <v>2.8095200501378077</v>
      </c>
      <c r="Q2444" s="361">
        <f t="shared" si="2507"/>
        <v>3.700559334038958</v>
      </c>
      <c r="R2444" s="361">
        <f t="shared" si="2507"/>
        <v>4.8741917268293404</v>
      </c>
      <c r="S2444" s="361">
        <f t="shared" si="2507"/>
        <v>6.4200416329931693</v>
      </c>
      <c r="T2444" s="361">
        <f t="shared" si="2507"/>
        <v>8.4561578368968267</v>
      </c>
      <c r="U2444" s="361">
        <f t="shared" si="2507"/>
        <v>11.138028294868489</v>
      </c>
      <c r="V2444" s="362">
        <f t="shared" si="2507"/>
        <v>14.670453968585811</v>
      </c>
      <c r="X2444" s="351"/>
    </row>
    <row r="2445" spans="3:24" ht="24.75" customHeight="1" x14ac:dyDescent="0.3">
      <c r="C2445" s="353">
        <f>ABS(E2445-Dashboard!$F$14)</f>
        <v>47.727145188886119</v>
      </c>
      <c r="D2445" s="350">
        <f t="shared" si="2445"/>
        <v>0.31724999999998033</v>
      </c>
      <c r="E2445" s="359" cm="1">
        <f t="array" ref="E2445">1000*SUM('DRE + DCF'!$L$36/M2445,'DRE + DCF'!$N$36:$V$36/N2445:V2445,F2445/V2445)/Dashboard!$F$11</f>
        <v>49.262854811113876</v>
      </c>
      <c r="F2445" s="359">
        <f t="shared" si="2443"/>
        <v>8231900.2681746455</v>
      </c>
      <c r="G2445" s="359">
        <f>'DRE + DCF'!$W$31</f>
        <v>2791623.3540418856</v>
      </c>
      <c r="H2445" s="359">
        <f>'DRE + DCF'!$W$32</f>
        <v>81081.931703745853</v>
      </c>
      <c r="I2445" s="359">
        <f>-H2445*('DRE + DCF'!$V$33+K2445)/'DRE + DCF'!$V$33</f>
        <v>-90858.801614444121</v>
      </c>
      <c r="J2445" s="359">
        <f>-'DRE + DCF'!$V$56*L2445</f>
        <v>-1188924.4255577971</v>
      </c>
      <c r="K2445" s="360">
        <f>(1+L2445)/(1+Ke!$O$12)-1</f>
        <v>2.0000000000000018E-2</v>
      </c>
      <c r="L2445" s="360">
        <f>'DRE + DCF'!$Y$31</f>
        <v>7.3550000000000004E-2</v>
      </c>
      <c r="M2445" s="361">
        <f>(1+D2445)^((5-Dashboard!$F$9)*3/12)</f>
        <v>1.2295640462078889</v>
      </c>
      <c r="N2445" s="361">
        <f t="shared" ref="N2445:V2445" si="2508">M2445*(1+$D2445)</f>
        <v>1.6196432398673175</v>
      </c>
      <c r="O2445" s="361">
        <f t="shared" si="2508"/>
        <v>2.133475057715192</v>
      </c>
      <c r="P2445" s="361">
        <f t="shared" si="2508"/>
        <v>2.8103200197752947</v>
      </c>
      <c r="Q2445" s="361">
        <f t="shared" si="2508"/>
        <v>3.7018940460489516</v>
      </c>
      <c r="R2445" s="361">
        <f t="shared" si="2508"/>
        <v>4.8763199321579087</v>
      </c>
      <c r="S2445" s="361">
        <f t="shared" si="2508"/>
        <v>6.4233324306349093</v>
      </c>
      <c r="T2445" s="361">
        <f t="shared" si="2508"/>
        <v>8.4611346442537076</v>
      </c>
      <c r="U2445" s="361">
        <f t="shared" si="2508"/>
        <v>11.145429610143029</v>
      </c>
      <c r="V2445" s="362">
        <f t="shared" si="2508"/>
        <v>14.681317153960686</v>
      </c>
      <c r="X2445" s="351"/>
    </row>
    <row r="2446" spans="3:24" ht="24.75" customHeight="1" x14ac:dyDescent="0.3">
      <c r="C2446" s="353">
        <f>ABS(E2446-Dashboard!$F$14)</f>
        <v>47.750908288157099</v>
      </c>
      <c r="D2446" s="350">
        <f t="shared" si="2445"/>
        <v>0.31734999999998031</v>
      </c>
      <c r="E2446" s="359" cm="1">
        <f t="array" ref="E2446">1000*SUM('DRE + DCF'!$L$36/M2446,'DRE + DCF'!$N$36:$V$36/N2446:V2446,F2446/V2446)/Dashboard!$F$11</f>
        <v>49.239091711842896</v>
      </c>
      <c r="F2446" s="359">
        <f t="shared" ref="F2446:F2509" si="2509">AVERAGE(SUM(G2446:J2446)*(1+L2446)/(D2446-L2446),G2446*(1+L2446)*(1-L2446/D2446)/(D2446-L2446))</f>
        <v>8228972.7829338014</v>
      </c>
      <c r="G2446" s="359">
        <f>'DRE + DCF'!$W$31</f>
        <v>2791623.3540418856</v>
      </c>
      <c r="H2446" s="359">
        <f>'DRE + DCF'!$W$32</f>
        <v>81081.931703745853</v>
      </c>
      <c r="I2446" s="359">
        <f>-H2446*('DRE + DCF'!$V$33+K2446)/'DRE + DCF'!$V$33</f>
        <v>-90858.801614444121</v>
      </c>
      <c r="J2446" s="359">
        <f>-'DRE + DCF'!$V$56*L2446</f>
        <v>-1188924.4255577971</v>
      </c>
      <c r="K2446" s="360">
        <f>(1+L2446)/(1+Ke!$O$12)-1</f>
        <v>2.0000000000000018E-2</v>
      </c>
      <c r="L2446" s="360">
        <f>'DRE + DCF'!$Y$31</f>
        <v>7.3550000000000004E-2</v>
      </c>
      <c r="M2446" s="361">
        <f>(1+D2446)^((5-Dashboard!$F$9)*3/12)</f>
        <v>1.2296340529859495</v>
      </c>
      <c r="N2446" s="361">
        <f t="shared" ref="N2446:V2446" si="2510">M2446*(1+$D2446)</f>
        <v>1.6198584197010164</v>
      </c>
      <c r="O2446" s="361">
        <f t="shared" si="2510"/>
        <v>2.1339204891931018</v>
      </c>
      <c r="P2446" s="361">
        <f t="shared" si="2510"/>
        <v>2.8111201564384904</v>
      </c>
      <c r="Q2446" s="361">
        <f t="shared" si="2510"/>
        <v>3.7032291380841897</v>
      </c>
      <c r="R2446" s="361">
        <f t="shared" si="2510"/>
        <v>4.8784489050551345</v>
      </c>
      <c r="S2446" s="361">
        <f t="shared" si="2510"/>
        <v>6.4266246650742849</v>
      </c>
      <c r="T2446" s="361">
        <f t="shared" si="2510"/>
        <v>8.4661140025354822</v>
      </c>
      <c r="U2446" s="361">
        <f t="shared" si="2510"/>
        <v>11.15283528123995</v>
      </c>
      <c r="V2446" s="362">
        <f t="shared" si="2510"/>
        <v>14.692187557741228</v>
      </c>
      <c r="X2446" s="351"/>
    </row>
    <row r="2447" spans="3:24" ht="24.75" customHeight="1" x14ac:dyDescent="0.3">
      <c r="C2447" s="353">
        <f>ABS(E2447-Dashboard!$F$14)</f>
        <v>47.774650793712318</v>
      </c>
      <c r="D2447" s="350">
        <f t="shared" ref="D2447:D2510" si="2511">D2446+0.0001</f>
        <v>0.3174499999999803</v>
      </c>
      <c r="E2447" s="359" cm="1">
        <f t="array" ref="E2447">1000*SUM('DRE + DCF'!$L$36/M2447,'DRE + DCF'!$N$36:$V$36/N2447:V2447,F2447/V2447)/Dashboard!$F$11</f>
        <v>49.215349206287677</v>
      </c>
      <c r="F2447" s="359">
        <f t="shared" si="2509"/>
        <v>8226047.4154840894</v>
      </c>
      <c r="G2447" s="359">
        <f>'DRE + DCF'!$W$31</f>
        <v>2791623.3540418856</v>
      </c>
      <c r="H2447" s="359">
        <f>'DRE + DCF'!$W$32</f>
        <v>81081.931703745853</v>
      </c>
      <c r="I2447" s="359">
        <f>-H2447*('DRE + DCF'!$V$33+K2447)/'DRE + DCF'!$V$33</f>
        <v>-90858.801614444121</v>
      </c>
      <c r="J2447" s="359">
        <f>-'DRE + DCF'!$V$56*L2447</f>
        <v>-1188924.4255577971</v>
      </c>
      <c r="K2447" s="360">
        <f>(1+L2447)/(1+Ke!$O$12)-1</f>
        <v>2.0000000000000018E-2</v>
      </c>
      <c r="L2447" s="360">
        <f>'DRE + DCF'!$Y$31</f>
        <v>7.3550000000000004E-2</v>
      </c>
      <c r="M2447" s="361">
        <f>(1+D2447)^((5-Dashboard!$F$9)*3/12)</f>
        <v>1.2297040584354697</v>
      </c>
      <c r="N2447" s="361">
        <f t="shared" ref="N2447:V2447" si="2512">M2447*(1+$D2447)</f>
        <v>1.6200736117857852</v>
      </c>
      <c r="O2447" s="361">
        <f t="shared" si="2512"/>
        <v>2.1343659798471508</v>
      </c>
      <c r="P2447" s="361">
        <f t="shared" si="2512"/>
        <v>2.8119204601495866</v>
      </c>
      <c r="Q2447" s="361">
        <f t="shared" si="2512"/>
        <v>3.7045646102240175</v>
      </c>
      <c r="R2447" s="361">
        <f t="shared" si="2512"/>
        <v>4.8805786457395586</v>
      </c>
      <c r="S2447" s="361">
        <f t="shared" si="2512"/>
        <v>6.429918336829485</v>
      </c>
      <c r="T2447" s="361">
        <f t="shared" si="2512"/>
        <v>8.471095912855878</v>
      </c>
      <c r="U2447" s="361">
        <f t="shared" si="2512"/>
        <v>11.16024531039181</v>
      </c>
      <c r="V2447" s="362">
        <f t="shared" si="2512"/>
        <v>14.70306518417547</v>
      </c>
      <c r="X2447" s="351"/>
    </row>
    <row r="2448" spans="3:24" ht="24.75" customHeight="1" x14ac:dyDescent="0.3">
      <c r="C2448" s="353">
        <f>ABS(E2448-Dashboard!$F$14)</f>
        <v>47.79837273039697</v>
      </c>
      <c r="D2448" s="350">
        <f t="shared" si="2511"/>
        <v>0.31754999999998029</v>
      </c>
      <c r="E2448" s="359" cm="1">
        <f t="array" ref="E2448">1000*SUM('DRE + DCF'!$L$36/M2448,'DRE + DCF'!$N$36:$V$36/N2448:V2448,F2448/V2448)/Dashboard!$F$11</f>
        <v>49.191627269603025</v>
      </c>
      <c r="F2448" s="359">
        <f t="shared" si="2509"/>
        <v>8223124.1634887066</v>
      </c>
      <c r="G2448" s="359">
        <f>'DRE + DCF'!$W$31</f>
        <v>2791623.3540418856</v>
      </c>
      <c r="H2448" s="359">
        <f>'DRE + DCF'!$W$32</f>
        <v>81081.931703745853</v>
      </c>
      <c r="I2448" s="359">
        <f>-H2448*('DRE + DCF'!$V$33+K2448)/'DRE + DCF'!$V$33</f>
        <v>-90858.801614444121</v>
      </c>
      <c r="J2448" s="359">
        <f>-'DRE + DCF'!$V$56*L2448</f>
        <v>-1188924.4255577971</v>
      </c>
      <c r="K2448" s="360">
        <f>(1+L2448)/(1+Ke!$O$12)-1</f>
        <v>2.0000000000000018E-2</v>
      </c>
      <c r="L2448" s="360">
        <f>'DRE + DCF'!$Y$31</f>
        <v>7.3550000000000004E-2</v>
      </c>
      <c r="M2448" s="361">
        <f>(1+D2448)^((5-Dashboard!$F$9)*3/12)</f>
        <v>1.2297740625565752</v>
      </c>
      <c r="N2448" s="361">
        <f t="shared" ref="N2448:V2448" si="2513">M2448*(1+$D2448)</f>
        <v>1.6202888161213913</v>
      </c>
      <c r="O2448" s="361">
        <f t="shared" si="2513"/>
        <v>2.1348115296807073</v>
      </c>
      <c r="P2448" s="361">
        <f t="shared" si="2513"/>
        <v>2.8127209309307739</v>
      </c>
      <c r="Q2448" s="361">
        <f t="shared" si="2513"/>
        <v>3.7059004625477856</v>
      </c>
      <c r="R2448" s="361">
        <f t="shared" si="2513"/>
        <v>4.8827091544297616</v>
      </c>
      <c r="S2448" s="361">
        <f t="shared" si="2513"/>
        <v>6.4332134464188355</v>
      </c>
      <c r="T2448" s="361">
        <f t="shared" si="2513"/>
        <v>8.4760803763290102</v>
      </c>
      <c r="U2448" s="361">
        <f t="shared" si="2513"/>
        <v>11.16765969983212</v>
      </c>
      <c r="V2448" s="362">
        <f t="shared" si="2513"/>
        <v>14.713950037513589</v>
      </c>
      <c r="X2448" s="351"/>
    </row>
    <row r="2449" spans="3:24" ht="24.75" customHeight="1" x14ac:dyDescent="0.3">
      <c r="C2449" s="353">
        <f>ABS(E2449-Dashboard!$F$14)</f>
        <v>47.822074123017948</v>
      </c>
      <c r="D2449" s="350">
        <f t="shared" si="2511"/>
        <v>0.31764999999998028</v>
      </c>
      <c r="E2449" s="359" cm="1">
        <f t="array" ref="E2449">1000*SUM('DRE + DCF'!$L$36/M2449,'DRE + DCF'!$N$36:$V$36/N2449:V2449,F2449/V2449)/Dashboard!$F$11</f>
        <v>49.167925876982046</v>
      </c>
      <c r="F2449" s="359">
        <f t="shared" si="2509"/>
        <v>8220203.024614336</v>
      </c>
      <c r="G2449" s="359">
        <f>'DRE + DCF'!$W$31</f>
        <v>2791623.3540418856</v>
      </c>
      <c r="H2449" s="359">
        <f>'DRE + DCF'!$W$32</f>
        <v>81081.931703745853</v>
      </c>
      <c r="I2449" s="359">
        <f>-H2449*('DRE + DCF'!$V$33+K2449)/'DRE + DCF'!$V$33</f>
        <v>-90858.801614444121</v>
      </c>
      <c r="J2449" s="359">
        <f>-'DRE + DCF'!$V$56*L2449</f>
        <v>-1188924.4255577971</v>
      </c>
      <c r="K2449" s="360">
        <f>(1+L2449)/(1+Ke!$O$12)-1</f>
        <v>2.0000000000000018E-2</v>
      </c>
      <c r="L2449" s="360">
        <f>'DRE + DCF'!$Y$31</f>
        <v>7.3550000000000004E-2</v>
      </c>
      <c r="M2449" s="361">
        <f>(1+D2449)^((5-Dashboard!$F$9)*3/12)</f>
        <v>1.2298440653493923</v>
      </c>
      <c r="N2449" s="361">
        <f t="shared" ref="N2449:V2449" si="2514">M2449*(1+$D2449)</f>
        <v>1.6205040327076023</v>
      </c>
      <c r="O2449" s="361">
        <f t="shared" si="2514"/>
        <v>2.1352571386971402</v>
      </c>
      <c r="P2449" s="361">
        <f t="shared" si="2514"/>
        <v>2.8135215688042448</v>
      </c>
      <c r="Q2449" s="361">
        <f t="shared" si="2514"/>
        <v>3.7072366951348577</v>
      </c>
      <c r="R2449" s="361">
        <f t="shared" si="2514"/>
        <v>4.8848404313443723</v>
      </c>
      <c r="S2449" s="361">
        <f t="shared" si="2514"/>
        <v>6.4365099943608159</v>
      </c>
      <c r="T2449" s="361">
        <f t="shared" si="2514"/>
        <v>8.4810673940694024</v>
      </c>
      <c r="U2449" s="361">
        <f t="shared" si="2514"/>
        <v>11.175078451795381</v>
      </c>
      <c r="V2449" s="362">
        <f t="shared" si="2514"/>
        <v>14.724842122007962</v>
      </c>
      <c r="X2449" s="351"/>
    </row>
    <row r="2450" spans="3:24" ht="24.75" customHeight="1" x14ac:dyDescent="0.3">
      <c r="C2450" s="353">
        <f>ABS(E2450-Dashboard!$F$14)</f>
        <v>47.84575499634385</v>
      </c>
      <c r="D2450" s="350">
        <f t="shared" si="2511"/>
        <v>0.31774999999998027</v>
      </c>
      <c r="E2450" s="359" cm="1">
        <f t="array" ref="E2450">1000*SUM('DRE + DCF'!$L$36/M2450,'DRE + DCF'!$N$36:$V$36/N2450:V2450,F2450/V2450)/Dashboard!$F$11</f>
        <v>49.144245003656145</v>
      </c>
      <c r="F2450" s="359">
        <f t="shared" si="2509"/>
        <v>8217283.9965311494</v>
      </c>
      <c r="G2450" s="359">
        <f>'DRE + DCF'!$W$31</f>
        <v>2791623.3540418856</v>
      </c>
      <c r="H2450" s="359">
        <f>'DRE + DCF'!$W$32</f>
        <v>81081.931703745853</v>
      </c>
      <c r="I2450" s="359">
        <f>-H2450*('DRE + DCF'!$V$33+K2450)/'DRE + DCF'!$V$33</f>
        <v>-90858.801614444121</v>
      </c>
      <c r="J2450" s="359">
        <f>-'DRE + DCF'!$V$56*L2450</f>
        <v>-1188924.4255577971</v>
      </c>
      <c r="K2450" s="360">
        <f>(1+L2450)/(1+Ke!$O$12)-1</f>
        <v>2.0000000000000018E-2</v>
      </c>
      <c r="L2450" s="360">
        <f>'DRE + DCF'!$Y$31</f>
        <v>7.3550000000000004E-2</v>
      </c>
      <c r="M2450" s="361">
        <f>(1+D2450)^((5-Dashboard!$F$9)*3/12)</f>
        <v>1.2299140668140469</v>
      </c>
      <c r="N2450" s="361">
        <f t="shared" ref="N2450:V2450" si="2515">M2450*(1+$D2450)</f>
        <v>1.6207192615441859</v>
      </c>
      <c r="O2450" s="361">
        <f t="shared" si="2515"/>
        <v>2.1357028068998187</v>
      </c>
      <c r="P2450" s="361">
        <f t="shared" si="2515"/>
        <v>2.8143223737921939</v>
      </c>
      <c r="Q2450" s="361">
        <f t="shared" si="2515"/>
        <v>3.7085733080646079</v>
      </c>
      <c r="R2450" s="361">
        <f t="shared" si="2515"/>
        <v>4.8869724767020637</v>
      </c>
      <c r="S2450" s="361">
        <f t="shared" si="2515"/>
        <v>6.4398079811740478</v>
      </c>
      <c r="T2450" s="361">
        <f t="shared" si="2515"/>
        <v>8.4860569671919741</v>
      </c>
      <c r="U2450" s="361">
        <f t="shared" si="2515"/>
        <v>11.182501568517056</v>
      </c>
      <c r="V2450" s="362">
        <f t="shared" si="2515"/>
        <v>14.735741441913129</v>
      </c>
      <c r="X2450" s="351"/>
    </row>
    <row r="2451" spans="3:24" ht="24.75" customHeight="1" x14ac:dyDescent="0.3">
      <c r="C2451" s="353">
        <f>ABS(E2451-Dashboard!$F$14)</f>
        <v>47.869415375105248</v>
      </c>
      <c r="D2451" s="350">
        <f t="shared" si="2511"/>
        <v>0.31784999999998026</v>
      </c>
      <c r="E2451" s="359" cm="1">
        <f t="array" ref="E2451">1000*SUM('DRE + DCF'!$L$36/M2451,'DRE + DCF'!$N$36:$V$36/N2451:V2451,F2451/V2451)/Dashboard!$F$11</f>
        <v>49.120584624894747</v>
      </c>
      <c r="F2451" s="359">
        <f t="shared" si="2509"/>
        <v>8214367.0769127971</v>
      </c>
      <c r="G2451" s="359">
        <f>'DRE + DCF'!$W$31</f>
        <v>2791623.3540418856</v>
      </c>
      <c r="H2451" s="359">
        <f>'DRE + DCF'!$W$32</f>
        <v>81081.931703745853</v>
      </c>
      <c r="I2451" s="359">
        <f>-H2451*('DRE + DCF'!$V$33+K2451)/'DRE + DCF'!$V$33</f>
        <v>-90858.801614444121</v>
      </c>
      <c r="J2451" s="359">
        <f>-'DRE + DCF'!$V$56*L2451</f>
        <v>-1188924.4255577971</v>
      </c>
      <c r="K2451" s="360">
        <f>(1+L2451)/(1+Ke!$O$12)-1</f>
        <v>2.0000000000000018E-2</v>
      </c>
      <c r="L2451" s="360">
        <f>'DRE + DCF'!$Y$31</f>
        <v>7.3550000000000004E-2</v>
      </c>
      <c r="M2451" s="361">
        <f>(1+D2451)^((5-Dashboard!$F$9)*3/12)</f>
        <v>1.2299840669506652</v>
      </c>
      <c r="N2451" s="361">
        <f t="shared" ref="N2451:V2451" si="2516">M2451*(1+$D2451)</f>
        <v>1.6209345026309099</v>
      </c>
      <c r="O2451" s="361">
        <f t="shared" si="2516"/>
        <v>2.1361485342921127</v>
      </c>
      <c r="P2451" s="361">
        <f t="shared" si="2516"/>
        <v>2.8151233459168186</v>
      </c>
      <c r="Q2451" s="361">
        <f t="shared" si="2516"/>
        <v>3.7099103014164236</v>
      </c>
      <c r="R2451" s="361">
        <f t="shared" si="2516"/>
        <v>4.8891052907215604</v>
      </c>
      <c r="S2451" s="361">
        <f t="shared" si="2516"/>
        <v>6.4431074073773118</v>
      </c>
      <c r="T2451" s="361">
        <f t="shared" si="2516"/>
        <v>8.4910490968120627</v>
      </c>
      <c r="U2451" s="361">
        <f t="shared" si="2516"/>
        <v>11.189929052233609</v>
      </c>
      <c r="V2451" s="362">
        <f t="shared" si="2516"/>
        <v>14.746648001485839</v>
      </c>
      <c r="X2451" s="351"/>
    </row>
    <row r="2452" spans="3:24" ht="24.75" customHeight="1" x14ac:dyDescent="0.3">
      <c r="C2452" s="353">
        <f>ABS(E2452-Dashboard!$F$14)</f>
        <v>47.893055283994499</v>
      </c>
      <c r="D2452" s="350">
        <f t="shared" si="2511"/>
        <v>0.31794999999998025</v>
      </c>
      <c r="E2452" s="359" cm="1">
        <f t="array" ref="E2452">1000*SUM('DRE + DCF'!$L$36/M2452,'DRE + DCF'!$N$36:$V$36/N2452:V2452,F2452/V2452)/Dashboard!$F$11</f>
        <v>49.096944716005495</v>
      </c>
      <c r="F2452" s="359">
        <f t="shared" si="2509"/>
        <v>8211452.263436405</v>
      </c>
      <c r="G2452" s="359">
        <f>'DRE + DCF'!$W$31</f>
        <v>2791623.3540418856</v>
      </c>
      <c r="H2452" s="359">
        <f>'DRE + DCF'!$W$32</f>
        <v>81081.931703745853</v>
      </c>
      <c r="I2452" s="359">
        <f>-H2452*('DRE + DCF'!$V$33+K2452)/'DRE + DCF'!$V$33</f>
        <v>-90858.801614444121</v>
      </c>
      <c r="J2452" s="359">
        <f>-'DRE + DCF'!$V$56*L2452</f>
        <v>-1188924.4255577971</v>
      </c>
      <c r="K2452" s="360">
        <f>(1+L2452)/(1+Ke!$O$12)-1</f>
        <v>2.0000000000000018E-2</v>
      </c>
      <c r="L2452" s="360">
        <f>'DRE + DCF'!$Y$31</f>
        <v>7.3550000000000004E-2</v>
      </c>
      <c r="M2452" s="361">
        <f>(1+D2452)^((5-Dashboard!$F$9)*3/12)</f>
        <v>1.230054065759373</v>
      </c>
      <c r="N2452" s="361">
        <f t="shared" ref="N2452:V2452" si="2517">M2452*(1+$D2452)</f>
        <v>1.6211497559675414</v>
      </c>
      <c r="O2452" s="361">
        <f t="shared" si="2517"/>
        <v>2.1365943208773892</v>
      </c>
      <c r="P2452" s="361">
        <f t="shared" si="2517"/>
        <v>2.8159244852003127</v>
      </c>
      <c r="Q2452" s="361">
        <f t="shared" si="2517"/>
        <v>3.7112476752696963</v>
      </c>
      <c r="R2452" s="361">
        <f t="shared" si="2517"/>
        <v>4.8912388736216226</v>
      </c>
      <c r="S2452" s="361">
        <f t="shared" si="2517"/>
        <v>6.4464082734895207</v>
      </c>
      <c r="T2452" s="361">
        <f t="shared" si="2517"/>
        <v>8.4960437840453853</v>
      </c>
      <c r="U2452" s="361">
        <f t="shared" si="2517"/>
        <v>11.197360905182448</v>
      </c>
      <c r="V2452" s="362">
        <f t="shared" si="2517"/>
        <v>14.757561804984986</v>
      </c>
      <c r="X2452" s="351"/>
    </row>
    <row r="2453" spans="3:24" ht="24.75" customHeight="1" x14ac:dyDescent="0.3">
      <c r="C2453" s="353">
        <f>ABS(E2453-Dashboard!$F$14)</f>
        <v>47.916674747666022</v>
      </c>
      <c r="D2453" s="350">
        <f t="shared" si="2511"/>
        <v>0.31804999999998024</v>
      </c>
      <c r="E2453" s="359" cm="1">
        <f t="array" ref="E2453">1000*SUM('DRE + DCF'!$L$36/M2453,'DRE + DCF'!$N$36:$V$36/N2453:V2453,F2453/V2453)/Dashboard!$F$11</f>
        <v>49.073325252333973</v>
      </c>
      <c r="F2453" s="359">
        <f t="shared" si="2509"/>
        <v>8208539.5537825637</v>
      </c>
      <c r="G2453" s="359">
        <f>'DRE + DCF'!$W$31</f>
        <v>2791623.3540418856</v>
      </c>
      <c r="H2453" s="359">
        <f>'DRE + DCF'!$W$32</f>
        <v>81081.931703745853</v>
      </c>
      <c r="I2453" s="359">
        <f>-H2453*('DRE + DCF'!$V$33+K2453)/'DRE + DCF'!$V$33</f>
        <v>-90858.801614444121</v>
      </c>
      <c r="J2453" s="359">
        <f>-'DRE + DCF'!$V$56*L2453</f>
        <v>-1188924.4255577971</v>
      </c>
      <c r="K2453" s="360">
        <f>(1+L2453)/(1+Ke!$O$12)-1</f>
        <v>2.0000000000000018E-2</v>
      </c>
      <c r="L2453" s="360">
        <f>'DRE + DCF'!$Y$31</f>
        <v>7.3550000000000004E-2</v>
      </c>
      <c r="M2453" s="361">
        <f>(1+D2453)^((5-Dashboard!$F$9)*3/12)</f>
        <v>1.2301240632402963</v>
      </c>
      <c r="N2453" s="361">
        <f t="shared" ref="N2453:V2453" si="2518">M2453*(1+$D2453)</f>
        <v>1.6213650215538482</v>
      </c>
      <c r="O2453" s="361">
        <f t="shared" si="2518"/>
        <v>2.1370401666590175</v>
      </c>
      <c r="P2453" s="361">
        <f t="shared" si="2518"/>
        <v>2.8167257916648758</v>
      </c>
      <c r="Q2453" s="361">
        <f t="shared" si="2518"/>
        <v>3.7125854297038337</v>
      </c>
      <c r="R2453" s="361">
        <f t="shared" si="2518"/>
        <v>4.8933732256210645</v>
      </c>
      <c r="S2453" s="361">
        <f t="shared" si="2518"/>
        <v>6.4497105800297474</v>
      </c>
      <c r="T2453" s="361">
        <f t="shared" si="2518"/>
        <v>8.5010410300080803</v>
      </c>
      <c r="U2453" s="361">
        <f t="shared" si="2518"/>
        <v>11.204797129601982</v>
      </c>
      <c r="V2453" s="362">
        <f t="shared" si="2518"/>
        <v>14.768482856671669</v>
      </c>
      <c r="X2453" s="351"/>
    </row>
    <row r="2454" spans="3:24" ht="24.75" customHeight="1" x14ac:dyDescent="0.3">
      <c r="C2454" s="353">
        <f>ABS(E2454-Dashboard!$F$14)</f>
        <v>47.940273790736235</v>
      </c>
      <c r="D2454" s="350">
        <f t="shared" si="2511"/>
        <v>0.31814999999998023</v>
      </c>
      <c r="E2454" s="359" cm="1">
        <f t="array" ref="E2454">1000*SUM('DRE + DCF'!$L$36/M2454,'DRE + DCF'!$N$36:$V$36/N2454:V2454,F2454/V2454)/Dashboard!$F$11</f>
        <v>49.04972620926376</v>
      </c>
      <c r="F2454" s="359">
        <f t="shared" si="2509"/>
        <v>8205628.9456353243</v>
      </c>
      <c r="G2454" s="359">
        <f>'DRE + DCF'!$W$31</f>
        <v>2791623.3540418856</v>
      </c>
      <c r="H2454" s="359">
        <f>'DRE + DCF'!$W$32</f>
        <v>81081.931703745853</v>
      </c>
      <c r="I2454" s="359">
        <f>-H2454*('DRE + DCF'!$V$33+K2454)/'DRE + DCF'!$V$33</f>
        <v>-90858.801614444121</v>
      </c>
      <c r="J2454" s="359">
        <f>-'DRE + DCF'!$V$56*L2454</f>
        <v>-1188924.4255577971</v>
      </c>
      <c r="K2454" s="360">
        <f>(1+L2454)/(1+Ke!$O$12)-1</f>
        <v>2.0000000000000018E-2</v>
      </c>
      <c r="L2454" s="360">
        <f>'DRE + DCF'!$Y$31</f>
        <v>7.3550000000000004E-2</v>
      </c>
      <c r="M2454" s="361">
        <f>(1+D2454)^((5-Dashboard!$F$9)*3/12)</f>
        <v>1.230194059393561</v>
      </c>
      <c r="N2454" s="361">
        <f t="shared" ref="N2454:V2454" si="2519">M2454*(1+$D2454)</f>
        <v>1.621580299389598</v>
      </c>
      <c r="O2454" s="361">
        <f t="shared" si="2519"/>
        <v>2.1374860716403665</v>
      </c>
      <c r="P2454" s="361">
        <f t="shared" si="2519"/>
        <v>2.8175272653327066</v>
      </c>
      <c r="Q2454" s="361">
        <f t="shared" si="2519"/>
        <v>3.7139235647982511</v>
      </c>
      <c r="R2454" s="361">
        <f t="shared" si="2519"/>
        <v>4.8955083469387413</v>
      </c>
      <c r="S2454" s="361">
        <f t="shared" si="2519"/>
        <v>6.4530143275172049</v>
      </c>
      <c r="T2454" s="361">
        <f t="shared" si="2519"/>
        <v>8.506040835816675</v>
      </c>
      <c r="U2454" s="361">
        <f t="shared" si="2519"/>
        <v>11.212237727731582</v>
      </c>
      <c r="V2454" s="362">
        <f t="shared" si="2519"/>
        <v>14.779411160809161</v>
      </c>
      <c r="X2454" s="351"/>
    </row>
    <row r="2455" spans="3:24" ht="24.75" customHeight="1" x14ac:dyDescent="0.3">
      <c r="C2455" s="353">
        <f>ABS(E2455-Dashboard!$F$14)</f>
        <v>47.963852437783757</v>
      </c>
      <c r="D2455" s="350">
        <f t="shared" si="2511"/>
        <v>0.31824999999998022</v>
      </c>
      <c r="E2455" s="359" cm="1">
        <f t="array" ref="E2455">1000*SUM('DRE + DCF'!$L$36/M2455,'DRE + DCF'!$N$36:$V$36/N2455:V2455,F2455/V2455)/Dashboard!$F$11</f>
        <v>49.026147562216238</v>
      </c>
      <c r="F2455" s="359">
        <f t="shared" si="2509"/>
        <v>8202720.4366821963</v>
      </c>
      <c r="G2455" s="359">
        <f>'DRE + DCF'!$W$31</f>
        <v>2791623.3540418856</v>
      </c>
      <c r="H2455" s="359">
        <f>'DRE + DCF'!$W$32</f>
        <v>81081.931703745853</v>
      </c>
      <c r="I2455" s="359">
        <f>-H2455*('DRE + DCF'!$V$33+K2455)/'DRE + DCF'!$V$33</f>
        <v>-90858.801614444121</v>
      </c>
      <c r="J2455" s="359">
        <f>-'DRE + DCF'!$V$56*L2455</f>
        <v>-1188924.4255577971</v>
      </c>
      <c r="K2455" s="360">
        <f>(1+L2455)/(1+Ke!$O$12)-1</f>
        <v>2.0000000000000018E-2</v>
      </c>
      <c r="L2455" s="360">
        <f>'DRE + DCF'!$Y$31</f>
        <v>7.3550000000000004E-2</v>
      </c>
      <c r="M2455" s="361">
        <f>(1+D2455)^((5-Dashboard!$F$9)*3/12)</f>
        <v>1.2302640542192929</v>
      </c>
      <c r="N2455" s="361">
        <f t="shared" ref="N2455:V2455" si="2520">M2455*(1+$D2455)</f>
        <v>1.6217955894745584</v>
      </c>
      <c r="O2455" s="361">
        <f t="shared" si="2520"/>
        <v>2.1379320358248046</v>
      </c>
      <c r="P2455" s="361">
        <f t="shared" si="2520"/>
        <v>2.8183289062260064</v>
      </c>
      <c r="Q2455" s="361">
        <f t="shared" si="2520"/>
        <v>3.7152620806323768</v>
      </c>
      <c r="R2455" s="361">
        <f t="shared" si="2520"/>
        <v>4.897644237793557</v>
      </c>
      <c r="S2455" s="361">
        <f t="shared" si="2520"/>
        <v>6.4563195164712592</v>
      </c>
      <c r="T2455" s="361">
        <f t="shared" si="2520"/>
        <v>8.5110432025881089</v>
      </c>
      <c r="U2455" s="361">
        <f t="shared" si="2520"/>
        <v>11.219682701811605</v>
      </c>
      <c r="V2455" s="362">
        <f t="shared" si="2520"/>
        <v>14.790346721662926</v>
      </c>
      <c r="X2455" s="351"/>
    </row>
    <row r="2456" spans="3:24" ht="24.75" customHeight="1" x14ac:dyDescent="0.3">
      <c r="C2456" s="353">
        <f>ABS(E2456-Dashboard!$F$14)</f>
        <v>47.987410713349341</v>
      </c>
      <c r="D2456" s="350">
        <f t="shared" si="2511"/>
        <v>0.3183499999999802</v>
      </c>
      <c r="E2456" s="359" cm="1">
        <f t="array" ref="E2456">1000*SUM('DRE + DCF'!$L$36/M2456,'DRE + DCF'!$N$36:$V$36/N2456:V2456,F2456/V2456)/Dashboard!$F$11</f>
        <v>49.002589286650654</v>
      </c>
      <c r="F2456" s="359">
        <f t="shared" si="2509"/>
        <v>8199814.0246141274</v>
      </c>
      <c r="G2456" s="359">
        <f>'DRE + DCF'!$W$31</f>
        <v>2791623.3540418856</v>
      </c>
      <c r="H2456" s="359">
        <f>'DRE + DCF'!$W$32</f>
        <v>81081.931703745853</v>
      </c>
      <c r="I2456" s="359">
        <f>-H2456*('DRE + DCF'!$V$33+K2456)/'DRE + DCF'!$V$33</f>
        <v>-90858.801614444121</v>
      </c>
      <c r="J2456" s="359">
        <f>-'DRE + DCF'!$V$56*L2456</f>
        <v>-1188924.4255577971</v>
      </c>
      <c r="K2456" s="360">
        <f>(1+L2456)/(1+Ke!$O$12)-1</f>
        <v>2.0000000000000018E-2</v>
      </c>
      <c r="L2456" s="360">
        <f>'DRE + DCF'!$Y$31</f>
        <v>7.3550000000000004E-2</v>
      </c>
      <c r="M2456" s="361">
        <f>(1+D2456)^((5-Dashboard!$F$9)*3/12)</f>
        <v>1.2303340477176179</v>
      </c>
      <c r="N2456" s="361">
        <f t="shared" ref="N2456:V2456" si="2521">M2456*(1+$D2456)</f>
        <v>1.6220108918084972</v>
      </c>
      <c r="O2456" s="361">
        <f t="shared" si="2521"/>
        <v>2.1383780592157002</v>
      </c>
      <c r="P2456" s="361">
        <f t="shared" si="2521"/>
        <v>2.8191307143669762</v>
      </c>
      <c r="Q2456" s="361">
        <f t="shared" si="2521"/>
        <v>3.7166009772856472</v>
      </c>
      <c r="R2456" s="361">
        <f t="shared" si="2521"/>
        <v>4.8997808984044591</v>
      </c>
      <c r="S2456" s="361">
        <f t="shared" si="2521"/>
        <v>6.4596261474114209</v>
      </c>
      <c r="T2456" s="361">
        <f t="shared" si="2521"/>
        <v>8.5160481314397192</v>
      </c>
      <c r="U2456" s="361">
        <f t="shared" si="2521"/>
        <v>11.227132054083384</v>
      </c>
      <c r="V2456" s="362">
        <f t="shared" si="2521"/>
        <v>14.801289543500607</v>
      </c>
      <c r="X2456" s="351"/>
    </row>
    <row r="2457" spans="3:24" ht="24.75" customHeight="1" x14ac:dyDescent="0.3">
      <c r="C2457" s="353">
        <f>ABS(E2457-Dashboard!$F$14)</f>
        <v>48.010948641936039</v>
      </c>
      <c r="D2457" s="350">
        <f t="shared" si="2511"/>
        <v>0.31844999999998019</v>
      </c>
      <c r="E2457" s="359" cm="1">
        <f t="array" ref="E2457">1000*SUM('DRE + DCF'!$L$36/M2457,'DRE + DCF'!$N$36:$V$36/N2457:V2457,F2457/V2457)/Dashboard!$F$11</f>
        <v>48.979051358063955</v>
      </c>
      <c r="F2457" s="359">
        <f t="shared" si="2509"/>
        <v>8196909.707125511</v>
      </c>
      <c r="G2457" s="359">
        <f>'DRE + DCF'!$W$31</f>
        <v>2791623.3540418856</v>
      </c>
      <c r="H2457" s="359">
        <f>'DRE + DCF'!$W$32</f>
        <v>81081.931703745853</v>
      </c>
      <c r="I2457" s="359">
        <f>-H2457*('DRE + DCF'!$V$33+K2457)/'DRE + DCF'!$V$33</f>
        <v>-90858.801614444121</v>
      </c>
      <c r="J2457" s="359">
        <f>-'DRE + DCF'!$V$56*L2457</f>
        <v>-1188924.4255577971</v>
      </c>
      <c r="K2457" s="360">
        <f>(1+L2457)/(1+Ke!$O$12)-1</f>
        <v>2.0000000000000018E-2</v>
      </c>
      <c r="L2457" s="360">
        <f>'DRE + DCF'!$Y$31</f>
        <v>7.3550000000000004E-2</v>
      </c>
      <c r="M2457" s="361">
        <f>(1+D2457)^((5-Dashboard!$F$9)*3/12)</f>
        <v>1.2304040398886622</v>
      </c>
      <c r="N2457" s="361">
        <f t="shared" ref="N2457:V2457" si="2522">M2457*(1+$D2457)</f>
        <v>1.6222262063911823</v>
      </c>
      <c r="O2457" s="361">
        <f t="shared" si="2522"/>
        <v>2.1388241418164222</v>
      </c>
      <c r="P2457" s="361">
        <f t="shared" si="2522"/>
        <v>2.8199326897778194</v>
      </c>
      <c r="Q2457" s="361">
        <f t="shared" si="2522"/>
        <v>3.7179402548375098</v>
      </c>
      <c r="R2457" s="361">
        <f t="shared" si="2522"/>
        <v>4.9019183289904413</v>
      </c>
      <c r="S2457" s="361">
        <f t="shared" si="2522"/>
        <v>6.4629342208573499</v>
      </c>
      <c r="T2457" s="361">
        <f t="shared" si="2522"/>
        <v>8.5210556234892447</v>
      </c>
      <c r="U2457" s="361">
        <f t="shared" si="2522"/>
        <v>11.234585786789225</v>
      </c>
      <c r="V2457" s="362">
        <f t="shared" si="2522"/>
        <v>14.81223963059203</v>
      </c>
      <c r="X2457" s="351"/>
    </row>
    <row r="2458" spans="3:24" ht="24.75" customHeight="1" x14ac:dyDescent="0.3">
      <c r="C2458" s="353">
        <f>ABS(E2458-Dashboard!$F$14)</f>
        <v>48.034466248009196</v>
      </c>
      <c r="D2458" s="350">
        <f t="shared" si="2511"/>
        <v>0.31854999999998018</v>
      </c>
      <c r="E2458" s="359" cm="1">
        <f t="array" ref="E2458">1000*SUM('DRE + DCF'!$L$36/M2458,'DRE + DCF'!$N$36:$V$36/N2458:V2458,F2458/V2458)/Dashboard!$F$11</f>
        <v>48.955533751990799</v>
      </c>
      <c r="F2458" s="359">
        <f t="shared" si="2509"/>
        <v>8194007.4819141785</v>
      </c>
      <c r="G2458" s="359">
        <f>'DRE + DCF'!$W$31</f>
        <v>2791623.3540418856</v>
      </c>
      <c r="H2458" s="359">
        <f>'DRE + DCF'!$W$32</f>
        <v>81081.931703745853</v>
      </c>
      <c r="I2458" s="359">
        <f>-H2458*('DRE + DCF'!$V$33+K2458)/'DRE + DCF'!$V$33</f>
        <v>-90858.801614444121</v>
      </c>
      <c r="J2458" s="359">
        <f>-'DRE + DCF'!$V$56*L2458</f>
        <v>-1188924.4255577971</v>
      </c>
      <c r="K2458" s="360">
        <f>(1+L2458)/(1+Ke!$O$12)-1</f>
        <v>2.0000000000000018E-2</v>
      </c>
      <c r="L2458" s="360">
        <f>'DRE + DCF'!$Y$31</f>
        <v>7.3550000000000004E-2</v>
      </c>
      <c r="M2458" s="361">
        <f>(1+D2458)^((5-Dashboard!$F$9)*3/12)</f>
        <v>1.230474030732551</v>
      </c>
      <c r="N2458" s="361">
        <f t="shared" ref="N2458:V2458" si="2523">M2458*(1+$D2458)</f>
        <v>1.6224415332223807</v>
      </c>
      <c r="O2458" s="361">
        <f t="shared" si="2523"/>
        <v>2.1392702836303377</v>
      </c>
      <c r="P2458" s="361">
        <f t="shared" si="2523"/>
        <v>2.8207348324807393</v>
      </c>
      <c r="Q2458" s="361">
        <f t="shared" si="2523"/>
        <v>3.7192799133674228</v>
      </c>
      <c r="R2458" s="361">
        <f t="shared" si="2523"/>
        <v>4.9040565297705419</v>
      </c>
      <c r="S2458" s="361">
        <f t="shared" si="2523"/>
        <v>6.4662437373288508</v>
      </c>
      <c r="T2458" s="361">
        <f t="shared" si="2523"/>
        <v>8.5260656798548276</v>
      </c>
      <c r="U2458" s="361">
        <f t="shared" si="2523"/>
        <v>11.242043902172414</v>
      </c>
      <c r="V2458" s="362">
        <f t="shared" si="2523"/>
        <v>14.823196987209213</v>
      </c>
      <c r="X2458" s="351"/>
    </row>
    <row r="2459" spans="3:24" ht="24.75" customHeight="1" x14ac:dyDescent="0.3">
      <c r="C2459" s="353">
        <f>ABS(E2459-Dashboard!$F$14)</f>
        <v>48.057963555996665</v>
      </c>
      <c r="D2459" s="350">
        <f t="shared" si="2511"/>
        <v>0.31864999999998017</v>
      </c>
      <c r="E2459" s="359" cm="1">
        <f t="array" ref="E2459">1000*SUM('DRE + DCF'!$L$36/M2459,'DRE + DCF'!$N$36:$V$36/N2459:V2459,F2459/V2459)/Dashboard!$F$11</f>
        <v>48.93203644400333</v>
      </c>
      <c r="F2459" s="359">
        <f t="shared" si="2509"/>
        <v>8191107.3466813788</v>
      </c>
      <c r="G2459" s="359">
        <f>'DRE + DCF'!$W$31</f>
        <v>2791623.3540418856</v>
      </c>
      <c r="H2459" s="359">
        <f>'DRE + DCF'!$W$32</f>
        <v>81081.931703745853</v>
      </c>
      <c r="I2459" s="359">
        <f>-H2459*('DRE + DCF'!$V$33+K2459)/'DRE + DCF'!$V$33</f>
        <v>-90858.801614444121</v>
      </c>
      <c r="J2459" s="359">
        <f>-'DRE + DCF'!$V$56*L2459</f>
        <v>-1188924.4255577971</v>
      </c>
      <c r="K2459" s="360">
        <f>(1+L2459)/(1+Ke!$O$12)-1</f>
        <v>2.0000000000000018E-2</v>
      </c>
      <c r="L2459" s="360">
        <f>'DRE + DCF'!$Y$31</f>
        <v>7.3550000000000004E-2</v>
      </c>
      <c r="M2459" s="361">
        <f>(1+D2459)^((5-Dashboard!$F$9)*3/12)</f>
        <v>1.2305440202494107</v>
      </c>
      <c r="N2459" s="361">
        <f t="shared" ref="N2459:V2459" si="2524">M2459*(1+$D2459)</f>
        <v>1.6226568723018608</v>
      </c>
      <c r="O2459" s="361">
        <f t="shared" si="2524"/>
        <v>2.1397164846608163</v>
      </c>
      <c r="P2459" s="361">
        <f t="shared" si="2524"/>
        <v>2.821537142497943</v>
      </c>
      <c r="Q2459" s="361">
        <f t="shared" si="2524"/>
        <v>3.7206199529548565</v>
      </c>
      <c r="R2459" s="361">
        <f t="shared" si="2524"/>
        <v>4.9061955009638476</v>
      </c>
      <c r="S2459" s="361">
        <f t="shared" si="2524"/>
        <v>6.4695546973458802</v>
      </c>
      <c r="T2459" s="361">
        <f t="shared" si="2524"/>
        <v>8.5310783016550165</v>
      </c>
      <c r="U2459" s="361">
        <f t="shared" si="2524"/>
        <v>11.249506402477218</v>
      </c>
      <c r="V2459" s="362">
        <f t="shared" si="2524"/>
        <v>14.834161617626361</v>
      </c>
      <c r="X2459" s="351"/>
    </row>
    <row r="2460" spans="3:24" ht="24.75" customHeight="1" x14ac:dyDescent="0.3">
      <c r="C2460" s="353">
        <f>ABS(E2460-Dashboard!$F$14)</f>
        <v>48.081440590288736</v>
      </c>
      <c r="D2460" s="350">
        <f t="shared" si="2511"/>
        <v>0.31874999999998016</v>
      </c>
      <c r="E2460" s="359" cm="1">
        <f t="array" ref="E2460">1000*SUM('DRE + DCF'!$L$36/M2460,'DRE + DCF'!$N$36:$V$36/N2460:V2460,F2460/V2460)/Dashboard!$F$11</f>
        <v>48.908559409711259</v>
      </c>
      <c r="F2460" s="359">
        <f t="shared" si="2509"/>
        <v>8188209.2991317902</v>
      </c>
      <c r="G2460" s="359">
        <f>'DRE + DCF'!$W$31</f>
        <v>2791623.3540418856</v>
      </c>
      <c r="H2460" s="359">
        <f>'DRE + DCF'!$W$32</f>
        <v>81081.931703745853</v>
      </c>
      <c r="I2460" s="359">
        <f>-H2460*('DRE + DCF'!$V$33+K2460)/'DRE + DCF'!$V$33</f>
        <v>-90858.801614444121</v>
      </c>
      <c r="J2460" s="359">
        <f>-'DRE + DCF'!$V$56*L2460</f>
        <v>-1188924.4255577971</v>
      </c>
      <c r="K2460" s="360">
        <f>(1+L2460)/(1+Ke!$O$12)-1</f>
        <v>2.0000000000000018E-2</v>
      </c>
      <c r="L2460" s="360">
        <f>'DRE + DCF'!$Y$31</f>
        <v>7.3550000000000004E-2</v>
      </c>
      <c r="M2460" s="361">
        <f>(1+D2460)^((5-Dashboard!$F$9)*3/12)</f>
        <v>1.2306140084393669</v>
      </c>
      <c r="N2460" s="361">
        <f t="shared" ref="N2460:V2460" si="2525">M2460*(1+$D2460)</f>
        <v>1.6228722236293907</v>
      </c>
      <c r="O2460" s="361">
        <f t="shared" si="2525"/>
        <v>2.1401627449112266</v>
      </c>
      <c r="P2460" s="361">
        <f t="shared" si="2525"/>
        <v>2.8223396198516375</v>
      </c>
      <c r="Q2460" s="361">
        <f t="shared" si="2525"/>
        <v>3.7219603736792908</v>
      </c>
      <c r="R2460" s="361">
        <f t="shared" si="2525"/>
        <v>4.9083352427894908</v>
      </c>
      <c r="S2460" s="361">
        <f t="shared" si="2525"/>
        <v>6.4728671014285437</v>
      </c>
      <c r="T2460" s="361">
        <f t="shared" si="2525"/>
        <v>8.5360934900087635</v>
      </c>
      <c r="U2460" s="361">
        <f t="shared" si="2525"/>
        <v>11.256973289948887</v>
      </c>
      <c r="V2460" s="362">
        <f t="shared" si="2525"/>
        <v>14.84513352611987</v>
      </c>
      <c r="X2460" s="351"/>
    </row>
    <row r="2461" spans="3:24" ht="24.75" customHeight="1" x14ac:dyDescent="0.3">
      <c r="C2461" s="353">
        <f>ABS(E2461-Dashboard!$F$14)</f>
        <v>48.10489737523821</v>
      </c>
      <c r="D2461" s="350">
        <f t="shared" si="2511"/>
        <v>0.31884999999998015</v>
      </c>
      <c r="E2461" s="359" cm="1">
        <f t="array" ref="E2461">1000*SUM('DRE + DCF'!$L$36/M2461,'DRE + DCF'!$N$36:$V$36/N2461:V2461,F2461/V2461)/Dashboard!$F$11</f>
        <v>48.885102624761785</v>
      </c>
      <c r="F2461" s="359">
        <f t="shared" si="2509"/>
        <v>8185313.3369735032</v>
      </c>
      <c r="G2461" s="359">
        <f>'DRE + DCF'!$W$31</f>
        <v>2791623.3540418856</v>
      </c>
      <c r="H2461" s="359">
        <f>'DRE + DCF'!$W$32</f>
        <v>81081.931703745853</v>
      </c>
      <c r="I2461" s="359">
        <f>-H2461*('DRE + DCF'!$V$33+K2461)/'DRE + DCF'!$V$33</f>
        <v>-90858.801614444121</v>
      </c>
      <c r="J2461" s="359">
        <f>-'DRE + DCF'!$V$56*L2461</f>
        <v>-1188924.4255577971</v>
      </c>
      <c r="K2461" s="360">
        <f>(1+L2461)/(1+Ke!$O$12)-1</f>
        <v>2.0000000000000018E-2</v>
      </c>
      <c r="L2461" s="360">
        <f>'DRE + DCF'!$Y$31</f>
        <v>7.3550000000000004E-2</v>
      </c>
      <c r="M2461" s="361">
        <f>(1+D2461)^((5-Dashboard!$F$9)*3/12)</f>
        <v>1.2306839953025452</v>
      </c>
      <c r="N2461" s="361">
        <f t="shared" ref="N2461:V2461" si="2526">M2461*(1+$D2461)</f>
        <v>1.6230875872047372</v>
      </c>
      <c r="O2461" s="361">
        <f t="shared" si="2526"/>
        <v>2.1406090643849356</v>
      </c>
      <c r="P2461" s="361">
        <f t="shared" si="2526"/>
        <v>2.8231422645640296</v>
      </c>
      <c r="Q2461" s="361">
        <f t="shared" si="2526"/>
        <v>3.7233011756202141</v>
      </c>
      <c r="R2461" s="361">
        <f t="shared" si="2526"/>
        <v>4.9104757554666456</v>
      </c>
      <c r="S2461" s="361">
        <f t="shared" si="2526"/>
        <v>6.4761809500970875</v>
      </c>
      <c r="T2461" s="361">
        <f t="shared" si="2526"/>
        <v>8.541111246035415</v>
      </c>
      <c r="U2461" s="361">
        <f t="shared" si="2526"/>
        <v>11.264444566833637</v>
      </c>
      <c r="V2461" s="362">
        <f t="shared" si="2526"/>
        <v>14.856112716968317</v>
      </c>
      <c r="X2461" s="351"/>
    </row>
    <row r="2462" spans="3:24" ht="24.75" customHeight="1" x14ac:dyDescent="0.3">
      <c r="C2462" s="353">
        <f>ABS(E2462-Dashboard!$F$14)</f>
        <v>48.128333935160555</v>
      </c>
      <c r="D2462" s="350">
        <f t="shared" si="2511"/>
        <v>0.31894999999998014</v>
      </c>
      <c r="E2462" s="359" cm="1">
        <f t="array" ref="E2462">1000*SUM('DRE + DCF'!$L$36/M2462,'DRE + DCF'!$N$36:$V$36/N2462:V2462,F2462/V2462)/Dashboard!$F$11</f>
        <v>48.86166606483944</v>
      </c>
      <c r="F2462" s="359">
        <f t="shared" si="2509"/>
        <v>8182419.4579180162</v>
      </c>
      <c r="G2462" s="359">
        <f>'DRE + DCF'!$W$31</f>
        <v>2791623.3540418856</v>
      </c>
      <c r="H2462" s="359">
        <f>'DRE + DCF'!$W$32</f>
        <v>81081.931703745853</v>
      </c>
      <c r="I2462" s="359">
        <f>-H2462*('DRE + DCF'!$V$33+K2462)/'DRE + DCF'!$V$33</f>
        <v>-90858.801614444121</v>
      </c>
      <c r="J2462" s="359">
        <f>-'DRE + DCF'!$V$56*L2462</f>
        <v>-1188924.4255577971</v>
      </c>
      <c r="K2462" s="360">
        <f>(1+L2462)/(1+Ke!$O$12)-1</f>
        <v>2.0000000000000018E-2</v>
      </c>
      <c r="L2462" s="360">
        <f>'DRE + DCF'!$Y$31</f>
        <v>7.3550000000000004E-2</v>
      </c>
      <c r="M2462" s="361">
        <f>(1+D2462)^((5-Dashboard!$F$9)*3/12)</f>
        <v>1.2307539808390717</v>
      </c>
      <c r="N2462" s="361">
        <f t="shared" ref="N2462:V2462" si="2527">M2462*(1+$D2462)</f>
        <v>1.6233029630276692</v>
      </c>
      <c r="O2462" s="361">
        <f t="shared" si="2527"/>
        <v>2.1410554430853121</v>
      </c>
      <c r="P2462" s="361">
        <f t="shared" si="2527"/>
        <v>2.82394507665733</v>
      </c>
      <c r="Q2462" s="361">
        <f t="shared" si="2527"/>
        <v>3.7246423588571291</v>
      </c>
      <c r="R2462" s="361">
        <f t="shared" si="2527"/>
        <v>4.9126170392145365</v>
      </c>
      <c r="S2462" s="361">
        <f t="shared" si="2527"/>
        <v>6.4794962438719148</v>
      </c>
      <c r="T2462" s="361">
        <f t="shared" si="2527"/>
        <v>8.5461315708547332</v>
      </c>
      <c r="U2462" s="361">
        <f t="shared" si="2527"/>
        <v>11.27192023537868</v>
      </c>
      <c r="V2462" s="362">
        <f t="shared" si="2527"/>
        <v>14.867099194452486</v>
      </c>
      <c r="X2462" s="351"/>
    </row>
    <row r="2463" spans="3:24" ht="24.75" customHeight="1" x14ac:dyDescent="0.3">
      <c r="C2463" s="353">
        <f>ABS(E2463-Dashboard!$F$14)</f>
        <v>48.151750294333937</v>
      </c>
      <c r="D2463" s="350">
        <f t="shared" si="2511"/>
        <v>0.31904999999998013</v>
      </c>
      <c r="E2463" s="359" cm="1">
        <f t="array" ref="E2463">1000*SUM('DRE + DCF'!$L$36/M2463,'DRE + DCF'!$N$36:$V$36/N2463:V2463,F2463/V2463)/Dashboard!$F$11</f>
        <v>48.838249705666058</v>
      </c>
      <c r="F2463" s="359">
        <f t="shared" si="2509"/>
        <v>8179527.6596802287</v>
      </c>
      <c r="G2463" s="359">
        <f>'DRE + DCF'!$W$31</f>
        <v>2791623.3540418856</v>
      </c>
      <c r="H2463" s="359">
        <f>'DRE + DCF'!$W$32</f>
        <v>81081.931703745853</v>
      </c>
      <c r="I2463" s="359">
        <f>-H2463*('DRE + DCF'!$V$33+K2463)/'DRE + DCF'!$V$33</f>
        <v>-90858.801614444121</v>
      </c>
      <c r="J2463" s="359">
        <f>-'DRE + DCF'!$V$56*L2463</f>
        <v>-1188924.4255577971</v>
      </c>
      <c r="K2463" s="360">
        <f>(1+L2463)/(1+Ke!$O$12)-1</f>
        <v>2.0000000000000018E-2</v>
      </c>
      <c r="L2463" s="360">
        <f>'DRE + DCF'!$Y$31</f>
        <v>7.3550000000000004E-2</v>
      </c>
      <c r="M2463" s="361">
        <f>(1+D2463)^((5-Dashboard!$F$9)*3/12)</f>
        <v>1.2308239650490718</v>
      </c>
      <c r="N2463" s="361">
        <f t="shared" ref="N2463:V2463" si="2528">M2463*(1+$D2463)</f>
        <v>1.6235183510979536</v>
      </c>
      <c r="O2463" s="361">
        <f t="shared" si="2528"/>
        <v>2.1415018810157234</v>
      </c>
      <c r="P2463" s="361">
        <f t="shared" si="2528"/>
        <v>2.824748056153747</v>
      </c>
      <c r="Q2463" s="361">
        <f t="shared" si="2528"/>
        <v>3.7259839234695438</v>
      </c>
      <c r="R2463" s="361">
        <f t="shared" si="2528"/>
        <v>4.9147590942524273</v>
      </c>
      <c r="S2463" s="361">
        <f t="shared" si="2528"/>
        <v>6.4828129832735666</v>
      </c>
      <c r="T2463" s="361">
        <f t="shared" si="2528"/>
        <v>8.551154465586869</v>
      </c>
      <c r="U2463" s="361">
        <f t="shared" si="2528"/>
        <v>11.27940029783219</v>
      </c>
      <c r="V2463" s="362">
        <f t="shared" si="2528"/>
        <v>14.878092962855325</v>
      </c>
      <c r="X2463" s="351"/>
    </row>
    <row r="2464" spans="3:24" ht="24.75" customHeight="1" x14ac:dyDescent="0.3">
      <c r="C2464" s="353">
        <f>ABS(E2464-Dashboard!$F$14)</f>
        <v>48.175146476999274</v>
      </c>
      <c r="D2464" s="350">
        <f t="shared" si="2511"/>
        <v>0.31914999999998012</v>
      </c>
      <c r="E2464" s="359" cm="1">
        <f t="array" ref="E2464">1000*SUM('DRE + DCF'!$L$36/M2464,'DRE + DCF'!$N$36:$V$36/N2464:V2464,F2464/V2464)/Dashboard!$F$11</f>
        <v>48.814853523000721</v>
      </c>
      <c r="F2464" s="359">
        <f t="shared" si="2509"/>
        <v>8176637.9399784394</v>
      </c>
      <c r="G2464" s="359">
        <f>'DRE + DCF'!$W$31</f>
        <v>2791623.3540418856</v>
      </c>
      <c r="H2464" s="359">
        <f>'DRE + DCF'!$W$32</f>
        <v>81081.931703745853</v>
      </c>
      <c r="I2464" s="359">
        <f>-H2464*('DRE + DCF'!$V$33+K2464)/'DRE + DCF'!$V$33</f>
        <v>-90858.801614444121</v>
      </c>
      <c r="J2464" s="359">
        <f>-'DRE + DCF'!$V$56*L2464</f>
        <v>-1188924.4255577971</v>
      </c>
      <c r="K2464" s="360">
        <f>(1+L2464)/(1+Ke!$O$12)-1</f>
        <v>2.0000000000000018E-2</v>
      </c>
      <c r="L2464" s="360">
        <f>'DRE + DCF'!$Y$31</f>
        <v>7.3550000000000004E-2</v>
      </c>
      <c r="M2464" s="361">
        <f>(1+D2464)^((5-Dashboard!$F$9)*3/12)</f>
        <v>1.2308939479326713</v>
      </c>
      <c r="N2464" s="361">
        <f t="shared" ref="N2464:V2464" si="2529">M2464*(1+$D2464)</f>
        <v>1.6237337514153587</v>
      </c>
      <c r="O2464" s="361">
        <f t="shared" si="2529"/>
        <v>2.1419483781795381</v>
      </c>
      <c r="P2464" s="361">
        <f t="shared" si="2529"/>
        <v>2.825551203075495</v>
      </c>
      <c r="Q2464" s="361">
        <f t="shared" si="2529"/>
        <v>3.7273258695369829</v>
      </c>
      <c r="R2464" s="361">
        <f t="shared" si="2529"/>
        <v>4.9169019207996367</v>
      </c>
      <c r="S2464" s="361">
        <f t="shared" si="2529"/>
        <v>6.4861311688227428</v>
      </c>
      <c r="T2464" s="361">
        <f t="shared" si="2529"/>
        <v>8.556179931352391</v>
      </c>
      <c r="U2464" s="361">
        <f t="shared" si="2529"/>
        <v>11.286884756443335</v>
      </c>
      <c r="V2464" s="362">
        <f t="shared" si="2529"/>
        <v>14.889094026462001</v>
      </c>
      <c r="X2464" s="351"/>
    </row>
    <row r="2465" spans="3:24" ht="24.75" customHeight="1" x14ac:dyDescent="0.3">
      <c r="C2465" s="353">
        <f>ABS(E2465-Dashboard!$F$14)</f>
        <v>48.198522507360323</v>
      </c>
      <c r="D2465" s="350">
        <f t="shared" si="2511"/>
        <v>0.31924999999998011</v>
      </c>
      <c r="E2465" s="359" cm="1">
        <f t="array" ref="E2465">1000*SUM('DRE + DCF'!$L$36/M2465,'DRE + DCF'!$N$36:$V$36/N2465:V2465,F2465/V2465)/Dashboard!$F$11</f>
        <v>48.791477492639672</v>
      </c>
      <c r="F2465" s="359">
        <f t="shared" si="2509"/>
        <v>8173750.2965343297</v>
      </c>
      <c r="G2465" s="359">
        <f>'DRE + DCF'!$W$31</f>
        <v>2791623.3540418856</v>
      </c>
      <c r="H2465" s="359">
        <f>'DRE + DCF'!$W$32</f>
        <v>81081.931703745853</v>
      </c>
      <c r="I2465" s="359">
        <f>-H2465*('DRE + DCF'!$V$33+K2465)/'DRE + DCF'!$V$33</f>
        <v>-90858.801614444121</v>
      </c>
      <c r="J2465" s="359">
        <f>-'DRE + DCF'!$V$56*L2465</f>
        <v>-1188924.4255577971</v>
      </c>
      <c r="K2465" s="360">
        <f>(1+L2465)/(1+Ke!$O$12)-1</f>
        <v>2.0000000000000018E-2</v>
      </c>
      <c r="L2465" s="360">
        <f>'DRE + DCF'!$Y$31</f>
        <v>7.3550000000000004E-2</v>
      </c>
      <c r="M2465" s="361">
        <f>(1+D2465)^((5-Dashboard!$F$9)*3/12)</f>
        <v>1.2309639294899959</v>
      </c>
      <c r="N2465" s="361">
        <f t="shared" ref="N2465:V2465" si="2530">M2465*(1+$D2465)</f>
        <v>1.6239491639796526</v>
      </c>
      <c r="O2465" s="361">
        <f t="shared" si="2530"/>
        <v>2.1423949345801243</v>
      </c>
      <c r="P2465" s="361">
        <f t="shared" si="2530"/>
        <v>2.8263545174447864</v>
      </c>
      <c r="Q2465" s="361">
        <f t="shared" si="2530"/>
        <v>3.7286681971389779</v>
      </c>
      <c r="R2465" s="361">
        <f t="shared" si="2530"/>
        <v>4.9190455190755218</v>
      </c>
      <c r="S2465" s="361">
        <f t="shared" si="2530"/>
        <v>6.4894508010402836</v>
      </c>
      <c r="T2465" s="361">
        <f t="shared" si="2530"/>
        <v>8.5612079692722638</v>
      </c>
      <c r="U2465" s="361">
        <f t="shared" si="2530"/>
        <v>11.294373613462263</v>
      </c>
      <c r="V2465" s="362">
        <f t="shared" si="2530"/>
        <v>14.900102389559864</v>
      </c>
      <c r="X2465" s="351"/>
    </row>
    <row r="2466" spans="3:24" ht="24.75" customHeight="1" x14ac:dyDescent="0.3">
      <c r="C2466" s="353">
        <f>ABS(E2466-Dashboard!$F$14)</f>
        <v>48.221878409583731</v>
      </c>
      <c r="D2466" s="350">
        <f t="shared" si="2511"/>
        <v>0.31934999999998009</v>
      </c>
      <c r="E2466" s="359" cm="1">
        <f t="array" ref="E2466">1000*SUM('DRE + DCF'!$L$36/M2466,'DRE + DCF'!$N$36:$V$36/N2466:V2466,F2466/V2466)/Dashboard!$F$11</f>
        <v>48.768121590416264</v>
      </c>
      <c r="F2466" s="359">
        <f t="shared" si="2509"/>
        <v>8170864.7270729691</v>
      </c>
      <c r="G2466" s="359">
        <f>'DRE + DCF'!$W$31</f>
        <v>2791623.3540418856</v>
      </c>
      <c r="H2466" s="359">
        <f>'DRE + DCF'!$W$32</f>
        <v>81081.931703745853</v>
      </c>
      <c r="I2466" s="359">
        <f>-H2466*('DRE + DCF'!$V$33+K2466)/'DRE + DCF'!$V$33</f>
        <v>-90858.801614444121</v>
      </c>
      <c r="J2466" s="359">
        <f>-'DRE + DCF'!$V$56*L2466</f>
        <v>-1188924.4255577971</v>
      </c>
      <c r="K2466" s="360">
        <f>(1+L2466)/(1+Ke!$O$12)-1</f>
        <v>2.0000000000000018E-2</v>
      </c>
      <c r="L2466" s="360">
        <f>'DRE + DCF'!$Y$31</f>
        <v>7.3550000000000004E-2</v>
      </c>
      <c r="M2466" s="361">
        <f>(1+D2466)^((5-Dashboard!$F$9)*3/12)</f>
        <v>1.2310339097211713</v>
      </c>
      <c r="N2466" s="361">
        <f t="shared" ref="N2466:V2466" si="2531">M2466*(1+$D2466)</f>
        <v>1.6241645887906029</v>
      </c>
      <c r="O2466" s="361">
        <f t="shared" si="2531"/>
        <v>2.1428415502208495</v>
      </c>
      <c r="P2466" s="361">
        <f t="shared" si="2531"/>
        <v>2.8271579992838349</v>
      </c>
      <c r="Q2466" s="361">
        <f t="shared" si="2531"/>
        <v>3.730010906355071</v>
      </c>
      <c r="R2466" s="361">
        <f t="shared" si="2531"/>
        <v>4.9211898892994883</v>
      </c>
      <c r="S2466" s="361">
        <f t="shared" si="2531"/>
        <v>6.4927718804471812</v>
      </c>
      <c r="T2466" s="361">
        <f t="shared" si="2531"/>
        <v>8.5662385804678589</v>
      </c>
      <c r="U2466" s="361">
        <f t="shared" si="2531"/>
        <v>11.301866871140099</v>
      </c>
      <c r="V2466" s="362">
        <f t="shared" si="2531"/>
        <v>14.911118056438465</v>
      </c>
      <c r="X2466" s="351"/>
    </row>
    <row r="2467" spans="3:24" ht="24.75" customHeight="1" x14ac:dyDescent="0.3">
      <c r="C2467" s="353">
        <f>ABS(E2467-Dashboard!$F$14)</f>
        <v>48.245214207799172</v>
      </c>
      <c r="D2467" s="350">
        <f t="shared" si="2511"/>
        <v>0.31944999999998008</v>
      </c>
      <c r="E2467" s="359" cm="1">
        <f t="array" ref="E2467">1000*SUM('DRE + DCF'!$L$36/M2467,'DRE + DCF'!$N$36:$V$36/N2467:V2467,F2467/V2467)/Dashboard!$F$11</f>
        <v>48.744785792200823</v>
      </c>
      <c r="F2467" s="359">
        <f t="shared" si="2509"/>
        <v>8167981.2293227986</v>
      </c>
      <c r="G2467" s="359">
        <f>'DRE + DCF'!$W$31</f>
        <v>2791623.3540418856</v>
      </c>
      <c r="H2467" s="359">
        <f>'DRE + DCF'!$W$32</f>
        <v>81081.931703745853</v>
      </c>
      <c r="I2467" s="359">
        <f>-H2467*('DRE + DCF'!$V$33+K2467)/'DRE + DCF'!$V$33</f>
        <v>-90858.801614444121</v>
      </c>
      <c r="J2467" s="359">
        <f>-'DRE + DCF'!$V$56*L2467</f>
        <v>-1188924.4255577971</v>
      </c>
      <c r="K2467" s="360">
        <f>(1+L2467)/(1+Ke!$O$12)-1</f>
        <v>2.0000000000000018E-2</v>
      </c>
      <c r="L2467" s="360">
        <f>'DRE + DCF'!$Y$31</f>
        <v>7.3550000000000004E-2</v>
      </c>
      <c r="M2467" s="361">
        <f>(1+D2467)^((5-Dashboard!$F$9)*3/12)</f>
        <v>1.2311038886263233</v>
      </c>
      <c r="N2467" s="361">
        <f t="shared" ref="N2467:V2467" si="2532">M2467*(1+$D2467)</f>
        <v>1.6243800258479777</v>
      </c>
      <c r="O2467" s="361">
        <f t="shared" si="2532"/>
        <v>2.1432882251050818</v>
      </c>
      <c r="P2467" s="361">
        <f t="shared" si="2532"/>
        <v>2.8279616486148575</v>
      </c>
      <c r="Q2467" s="361">
        <f t="shared" si="2532"/>
        <v>3.7313539972648173</v>
      </c>
      <c r="R2467" s="361">
        <f t="shared" si="2532"/>
        <v>4.9233350316909883</v>
      </c>
      <c r="S2467" s="361">
        <f t="shared" si="2532"/>
        <v>6.4960944075645761</v>
      </c>
      <c r="T2467" s="361">
        <f t="shared" si="2532"/>
        <v>8.571271766060951</v>
      </c>
      <c r="U2467" s="361">
        <f t="shared" si="2532"/>
        <v>11.309364531728951</v>
      </c>
      <c r="V2467" s="362">
        <f t="shared" si="2532"/>
        <v>14.922141031389538</v>
      </c>
      <c r="X2467" s="351"/>
    </row>
    <row r="2468" spans="3:24" ht="24.75" customHeight="1" x14ac:dyDescent="0.3">
      <c r="C2468" s="353">
        <f>ABS(E2468-Dashboard!$F$14)</f>
        <v>48.268529926099276</v>
      </c>
      <c r="D2468" s="350">
        <f t="shared" si="2511"/>
        <v>0.31954999999998007</v>
      </c>
      <c r="E2468" s="359" cm="1">
        <f t="array" ref="E2468">1000*SUM('DRE + DCF'!$L$36/M2468,'DRE + DCF'!$N$36:$V$36/N2468:V2468,F2468/V2468)/Dashboard!$F$11</f>
        <v>48.721470073900718</v>
      </c>
      <c r="F2468" s="359">
        <f t="shared" si="2509"/>
        <v>8165099.8010156341</v>
      </c>
      <c r="G2468" s="359">
        <f>'DRE + DCF'!$W$31</f>
        <v>2791623.3540418856</v>
      </c>
      <c r="H2468" s="359">
        <f>'DRE + DCF'!$W$32</f>
        <v>81081.931703745853</v>
      </c>
      <c r="I2468" s="359">
        <f>-H2468*('DRE + DCF'!$V$33+K2468)/'DRE + DCF'!$V$33</f>
        <v>-90858.801614444121</v>
      </c>
      <c r="J2468" s="359">
        <f>-'DRE + DCF'!$V$56*L2468</f>
        <v>-1188924.4255577971</v>
      </c>
      <c r="K2468" s="360">
        <f>(1+L2468)/(1+Ke!$O$12)-1</f>
        <v>2.0000000000000018E-2</v>
      </c>
      <c r="L2468" s="360">
        <f>'DRE + DCF'!$Y$31</f>
        <v>7.3550000000000004E-2</v>
      </c>
      <c r="M2468" s="361">
        <f>(1+D2468)^((5-Dashboard!$F$9)*3/12)</f>
        <v>1.2311738662055771</v>
      </c>
      <c r="N2468" s="361">
        <f t="shared" ref="N2468:V2468" si="2533">M2468*(1+$D2468)</f>
        <v>1.6245954751515448</v>
      </c>
      <c r="O2468" s="361">
        <f t="shared" si="2533"/>
        <v>2.1437349592361885</v>
      </c>
      <c r="P2468" s="361">
        <f t="shared" si="2533"/>
        <v>2.8287654654600698</v>
      </c>
      <c r="Q2468" s="361">
        <f t="shared" si="2533"/>
        <v>3.7326974699477784</v>
      </c>
      <c r="R2468" s="361">
        <f t="shared" si="2533"/>
        <v>4.9254809464695164</v>
      </c>
      <c r="S2468" s="361">
        <f t="shared" si="2533"/>
        <v>6.4994183829137517</v>
      </c>
      <c r="T2468" s="361">
        <f t="shared" si="2533"/>
        <v>8.5763075271737108</v>
      </c>
      <c r="U2468" s="361">
        <f t="shared" si="2533"/>
        <v>11.3168665974819</v>
      </c>
      <c r="V2468" s="362">
        <f t="shared" si="2533"/>
        <v>14.933171318707014</v>
      </c>
      <c r="X2468" s="351"/>
    </row>
    <row r="2469" spans="3:24" ht="24.75" customHeight="1" x14ac:dyDescent="0.3">
      <c r="C2469" s="353">
        <f>ABS(E2469-Dashboard!$F$14)</f>
        <v>48.291825588539886</v>
      </c>
      <c r="D2469" s="350">
        <f t="shared" si="2511"/>
        <v>0.31964999999998006</v>
      </c>
      <c r="E2469" s="359" cm="1">
        <f t="array" ref="E2469">1000*SUM('DRE + DCF'!$L$36/M2469,'DRE + DCF'!$N$36:$V$36/N2469:V2469,F2469/V2469)/Dashboard!$F$11</f>
        <v>48.698174411460109</v>
      </c>
      <c r="F2469" s="359">
        <f t="shared" si="2509"/>
        <v>8162220.4398866519</v>
      </c>
      <c r="G2469" s="359">
        <f>'DRE + DCF'!$W$31</f>
        <v>2791623.3540418856</v>
      </c>
      <c r="H2469" s="359">
        <f>'DRE + DCF'!$W$32</f>
        <v>81081.931703745853</v>
      </c>
      <c r="I2469" s="359">
        <f>-H2469*('DRE + DCF'!$V$33+K2469)/'DRE + DCF'!$V$33</f>
        <v>-90858.801614444121</v>
      </c>
      <c r="J2469" s="359">
        <f>-'DRE + DCF'!$V$56*L2469</f>
        <v>-1188924.4255577971</v>
      </c>
      <c r="K2469" s="360">
        <f>(1+L2469)/(1+Ke!$O$12)-1</f>
        <v>2.0000000000000018E-2</v>
      </c>
      <c r="L2469" s="360">
        <f>'DRE + DCF'!$Y$31</f>
        <v>7.3550000000000004E-2</v>
      </c>
      <c r="M2469" s="361">
        <f>(1+D2469)^((5-Dashboard!$F$9)*3/12)</f>
        <v>1.2312438424590586</v>
      </c>
      <c r="N2469" s="361">
        <f t="shared" ref="N2469:V2469" si="2534">M2469*(1+$D2469)</f>
        <v>1.6248109367010721</v>
      </c>
      <c r="O2469" s="361">
        <f t="shared" si="2534"/>
        <v>2.1441817526175373</v>
      </c>
      <c r="P2469" s="361">
        <f t="shared" si="2534"/>
        <v>2.8295694498416903</v>
      </c>
      <c r="Q2469" s="361">
        <f t="shared" si="2534"/>
        <v>3.7340413244835302</v>
      </c>
      <c r="R2469" s="361">
        <f t="shared" si="2534"/>
        <v>4.9276276338546161</v>
      </c>
      <c r="S2469" s="361">
        <f t="shared" si="2534"/>
        <v>6.5027438070161452</v>
      </c>
      <c r="T2469" s="361">
        <f t="shared" si="2534"/>
        <v>8.5813458649287266</v>
      </c>
      <c r="U2469" s="361">
        <f t="shared" si="2534"/>
        <v>11.324373070653023</v>
      </c>
      <c r="V2469" s="362">
        <f t="shared" si="2534"/>
        <v>14.944208922687034</v>
      </c>
      <c r="X2469" s="351"/>
    </row>
    <row r="2470" spans="3:24" ht="24.75" customHeight="1" x14ac:dyDescent="0.3">
      <c r="C2470" s="353">
        <f>ABS(E2470-Dashboard!$F$14)</f>
        <v>48.315101219139933</v>
      </c>
      <c r="D2470" s="350">
        <f t="shared" si="2511"/>
        <v>0.31974999999998005</v>
      </c>
      <c r="E2470" s="359" cm="1">
        <f t="array" ref="E2470">1000*SUM('DRE + DCF'!$L$36/M2470,'DRE + DCF'!$N$36:$V$36/N2470:V2470,F2470/V2470)/Dashboard!$F$11</f>
        <v>48.674898780860062</v>
      </c>
      <c r="F2470" s="359">
        <f t="shared" si="2509"/>
        <v>8159343.1436743876</v>
      </c>
      <c r="G2470" s="359">
        <f>'DRE + DCF'!$W$31</f>
        <v>2791623.3540418856</v>
      </c>
      <c r="H2470" s="359">
        <f>'DRE + DCF'!$W$32</f>
        <v>81081.931703745853</v>
      </c>
      <c r="I2470" s="359">
        <f>-H2470*('DRE + DCF'!$V$33+K2470)/'DRE + DCF'!$V$33</f>
        <v>-90858.801614444121</v>
      </c>
      <c r="J2470" s="359">
        <f>-'DRE + DCF'!$V$56*L2470</f>
        <v>-1188924.4255577971</v>
      </c>
      <c r="K2470" s="360">
        <f>(1+L2470)/(1+Ke!$O$12)-1</f>
        <v>2.0000000000000018E-2</v>
      </c>
      <c r="L2470" s="360">
        <f>'DRE + DCF'!$Y$31</f>
        <v>7.3550000000000004E-2</v>
      </c>
      <c r="M2470" s="361">
        <f>(1+D2470)^((5-Dashboard!$F$9)*3/12)</f>
        <v>1.2313138173868936</v>
      </c>
      <c r="N2470" s="361">
        <f t="shared" ref="N2470:V2470" si="2535">M2470*(1+$D2470)</f>
        <v>1.6250264104963281</v>
      </c>
      <c r="O2470" s="361">
        <f t="shared" si="2535"/>
        <v>2.1446286052524965</v>
      </c>
      <c r="P2470" s="361">
        <f t="shared" si="2535"/>
        <v>2.8303736017819392</v>
      </c>
      <c r="Q2470" s="361">
        <f t="shared" si="2535"/>
        <v>3.7353855609516575</v>
      </c>
      <c r="R2470" s="361">
        <f t="shared" si="2535"/>
        <v>4.9297750940658753</v>
      </c>
      <c r="S2470" s="361">
        <f t="shared" si="2535"/>
        <v>6.5060706803933401</v>
      </c>
      <c r="T2470" s="361">
        <f t="shared" si="2535"/>
        <v>8.5863867804489811</v>
      </c>
      <c r="U2470" s="361">
        <f t="shared" si="2535"/>
        <v>11.331883953497371</v>
      </c>
      <c r="V2470" s="362">
        <f t="shared" si="2535"/>
        <v>14.95525384762793</v>
      </c>
      <c r="X2470" s="351"/>
    </row>
    <row r="2471" spans="3:24" ht="24.75" customHeight="1" x14ac:dyDescent="0.3">
      <c r="C2471" s="353">
        <f>ABS(E2471-Dashboard!$F$14)</f>
        <v>48.338356841881676</v>
      </c>
      <c r="D2471" s="350">
        <f t="shared" si="2511"/>
        <v>0.31984999999998004</v>
      </c>
      <c r="E2471" s="359" cm="1">
        <f t="array" ref="E2471">1000*SUM('DRE + DCF'!$L$36/M2471,'DRE + DCF'!$N$36:$V$36/N2471:V2471,F2471/V2471)/Dashboard!$F$11</f>
        <v>48.651643158118318</v>
      </c>
      <c r="F2471" s="359">
        <f t="shared" si="2509"/>
        <v>8156467.9101207219</v>
      </c>
      <c r="G2471" s="359">
        <f>'DRE + DCF'!$W$31</f>
        <v>2791623.3540418856</v>
      </c>
      <c r="H2471" s="359">
        <f>'DRE + DCF'!$W$32</f>
        <v>81081.931703745853</v>
      </c>
      <c r="I2471" s="359">
        <f>-H2471*('DRE + DCF'!$V$33+K2471)/'DRE + DCF'!$V$33</f>
        <v>-90858.801614444121</v>
      </c>
      <c r="J2471" s="359">
        <f>-'DRE + DCF'!$V$56*L2471</f>
        <v>-1188924.4255577971</v>
      </c>
      <c r="K2471" s="360">
        <f>(1+L2471)/(1+Ke!$O$12)-1</f>
        <v>2.0000000000000018E-2</v>
      </c>
      <c r="L2471" s="360">
        <f>'DRE + DCF'!$Y$31</f>
        <v>7.3550000000000004E-2</v>
      </c>
      <c r="M2471" s="361">
        <f>(1+D2471)^((5-Dashboard!$F$9)*3/12)</f>
        <v>1.2313837909892071</v>
      </c>
      <c r="N2471" s="361">
        <f t="shared" ref="N2471:V2471" si="2536">M2471*(1+$D2471)</f>
        <v>1.6252418965370803</v>
      </c>
      <c r="O2471" s="361">
        <f t="shared" si="2536"/>
        <v>2.1450755171444329</v>
      </c>
      <c r="P2471" s="361">
        <f t="shared" si="2536"/>
        <v>2.8311779213030368</v>
      </c>
      <c r="Q2471" s="361">
        <f t="shared" si="2536"/>
        <v>3.7367301794317567</v>
      </c>
      <c r="R2471" s="361">
        <f t="shared" si="2536"/>
        <v>4.931923327322929</v>
      </c>
      <c r="S2471" s="361">
        <f t="shared" si="2536"/>
        <v>6.5093990035670695</v>
      </c>
      <c r="T2471" s="361">
        <f t="shared" si="2536"/>
        <v>8.591430274857867</v>
      </c>
      <c r="U2471" s="361">
        <f t="shared" si="2536"/>
        <v>11.339399248270984</v>
      </c>
      <c r="V2471" s="362">
        <f t="shared" si="2536"/>
        <v>14.966306097830232</v>
      </c>
      <c r="X2471" s="351"/>
    </row>
    <row r="2472" spans="3:24" ht="24.75" customHeight="1" x14ac:dyDescent="0.3">
      <c r="C2472" s="353">
        <f>ABS(E2472-Dashboard!$F$14)</f>
        <v>48.36159248071062</v>
      </c>
      <c r="D2472" s="350">
        <f t="shared" si="2511"/>
        <v>0.31994999999998003</v>
      </c>
      <c r="E2472" s="359" cm="1">
        <f t="array" ref="E2472">1000*SUM('DRE + DCF'!$L$36/M2472,'DRE + DCF'!$N$36:$V$36/N2472:V2472,F2472/V2472)/Dashboard!$F$11</f>
        <v>48.628407519289375</v>
      </c>
      <c r="F2472" s="359">
        <f t="shared" si="2509"/>
        <v>8153594.7369708866</v>
      </c>
      <c r="G2472" s="359">
        <f>'DRE + DCF'!$W$31</f>
        <v>2791623.3540418856</v>
      </c>
      <c r="H2472" s="359">
        <f>'DRE + DCF'!$W$32</f>
        <v>81081.931703745853</v>
      </c>
      <c r="I2472" s="359">
        <f>-H2472*('DRE + DCF'!$V$33+K2472)/'DRE + DCF'!$V$33</f>
        <v>-90858.801614444121</v>
      </c>
      <c r="J2472" s="359">
        <f>-'DRE + DCF'!$V$56*L2472</f>
        <v>-1188924.4255577971</v>
      </c>
      <c r="K2472" s="360">
        <f>(1+L2472)/(1+Ke!$O$12)-1</f>
        <v>2.0000000000000018E-2</v>
      </c>
      <c r="L2472" s="360">
        <f>'DRE + DCF'!$Y$31</f>
        <v>7.3550000000000004E-2</v>
      </c>
      <c r="M2472" s="361">
        <f>(1+D2472)^((5-Dashboard!$F$9)*3/12)</f>
        <v>1.2314537632661249</v>
      </c>
      <c r="N2472" s="361">
        <f t="shared" ref="N2472:V2472" si="2537">M2472*(1+$D2472)</f>
        <v>1.6254573948230968</v>
      </c>
      <c r="O2472" s="361">
        <f t="shared" si="2537"/>
        <v>2.1455224882967139</v>
      </c>
      <c r="P2472" s="361">
        <f t="shared" si="2537"/>
        <v>2.8319824084272045</v>
      </c>
      <c r="Q2472" s="361">
        <f t="shared" si="2537"/>
        <v>3.738075180003432</v>
      </c>
      <c r="R2472" s="361">
        <f t="shared" si="2537"/>
        <v>4.9340723338454548</v>
      </c>
      <c r="S2472" s="361">
        <f t="shared" si="2537"/>
        <v>6.5127287770592091</v>
      </c>
      <c r="T2472" s="361">
        <f t="shared" si="2537"/>
        <v>8.5964763492791718</v>
      </c>
      <c r="U2472" s="361">
        <f t="shared" si="2537"/>
        <v>11.346918957230871</v>
      </c>
      <c r="V2472" s="362">
        <f t="shared" si="2537"/>
        <v>14.97736567759666</v>
      </c>
      <c r="X2472" s="351"/>
    </row>
    <row r="2473" spans="3:24" ht="24.75" customHeight="1" x14ac:dyDescent="0.3">
      <c r="C2473" s="353">
        <f>ABS(E2473-Dashboard!$F$14)</f>
        <v>48.384808159535751</v>
      </c>
      <c r="D2473" s="350">
        <f t="shared" si="2511"/>
        <v>0.32004999999998002</v>
      </c>
      <c r="E2473" s="359" cm="1">
        <f t="array" ref="E2473">1000*SUM('DRE + DCF'!$L$36/M2473,'DRE + DCF'!$N$36:$V$36/N2473:V2473,F2473/V2473)/Dashboard!$F$11</f>
        <v>48.605191840464244</v>
      </c>
      <c r="F2473" s="359">
        <f t="shared" si="2509"/>
        <v>8150723.6219734512</v>
      </c>
      <c r="G2473" s="359">
        <f>'DRE + DCF'!$W$31</f>
        <v>2791623.3540418856</v>
      </c>
      <c r="H2473" s="359">
        <f>'DRE + DCF'!$W$32</f>
        <v>81081.931703745853</v>
      </c>
      <c r="I2473" s="359">
        <f>-H2473*('DRE + DCF'!$V$33+K2473)/'DRE + DCF'!$V$33</f>
        <v>-90858.801614444121</v>
      </c>
      <c r="J2473" s="359">
        <f>-'DRE + DCF'!$V$56*L2473</f>
        <v>-1188924.4255577971</v>
      </c>
      <c r="K2473" s="360">
        <f>(1+L2473)/(1+Ke!$O$12)-1</f>
        <v>2.0000000000000018E-2</v>
      </c>
      <c r="L2473" s="360">
        <f>'DRE + DCF'!$Y$31</f>
        <v>7.3550000000000004E-2</v>
      </c>
      <c r="M2473" s="361">
        <f>(1+D2473)^((5-Dashboard!$F$9)*3/12)</f>
        <v>1.2315237342177725</v>
      </c>
      <c r="N2473" s="361">
        <f t="shared" ref="N2473:V2473" si="2538">M2473*(1+$D2473)</f>
        <v>1.6256729053541459</v>
      </c>
      <c r="O2473" s="361">
        <f t="shared" si="2538"/>
        <v>2.1459695187127079</v>
      </c>
      <c r="P2473" s="361">
        <f t="shared" si="2538"/>
        <v>2.8327870631766672</v>
      </c>
      <c r="Q2473" s="361">
        <f t="shared" si="2538"/>
        <v>3.7394205627463029</v>
      </c>
      <c r="R2473" s="361">
        <f t="shared" si="2538"/>
        <v>4.9362221138531819</v>
      </c>
      <c r="S2473" s="361">
        <f t="shared" si="2538"/>
        <v>6.5160600013917938</v>
      </c>
      <c r="T2473" s="361">
        <f t="shared" si="2538"/>
        <v>8.6015250048371072</v>
      </c>
      <c r="U2473" s="361">
        <f t="shared" si="2538"/>
        <v>11.354443082635051</v>
      </c>
      <c r="V2473" s="362">
        <f t="shared" si="2538"/>
        <v>14.98843259123217</v>
      </c>
      <c r="X2473" s="351"/>
    </row>
    <row r="2474" spans="3:24" ht="24.75" customHeight="1" x14ac:dyDescent="0.3">
      <c r="C2474" s="353">
        <f>ABS(E2474-Dashboard!$F$14)</f>
        <v>48.408003902229446</v>
      </c>
      <c r="D2474" s="350">
        <f t="shared" si="2511"/>
        <v>0.32014999999998001</v>
      </c>
      <c r="E2474" s="359" cm="1">
        <f t="array" ref="E2474">1000*SUM('DRE + DCF'!$L$36/M2474,'DRE + DCF'!$N$36:$V$36/N2474:V2474,F2474/V2474)/Dashboard!$F$11</f>
        <v>48.581996097770549</v>
      </c>
      <c r="F2474" s="359">
        <f t="shared" si="2509"/>
        <v>8147854.5628803167</v>
      </c>
      <c r="G2474" s="359">
        <f>'DRE + DCF'!$W$31</f>
        <v>2791623.3540418856</v>
      </c>
      <c r="H2474" s="359">
        <f>'DRE + DCF'!$W$32</f>
        <v>81081.931703745853</v>
      </c>
      <c r="I2474" s="359">
        <f>-H2474*('DRE + DCF'!$V$33+K2474)/'DRE + DCF'!$V$33</f>
        <v>-90858.801614444121</v>
      </c>
      <c r="J2474" s="359">
        <f>-'DRE + DCF'!$V$56*L2474</f>
        <v>-1188924.4255577971</v>
      </c>
      <c r="K2474" s="360">
        <f>(1+L2474)/(1+Ke!$O$12)-1</f>
        <v>2.0000000000000018E-2</v>
      </c>
      <c r="L2474" s="360">
        <f>'DRE + DCF'!$Y$31</f>
        <v>7.3550000000000004E-2</v>
      </c>
      <c r="M2474" s="361">
        <f>(1+D2474)^((5-Dashboard!$F$9)*3/12)</f>
        <v>1.2315937038442757</v>
      </c>
      <c r="N2474" s="361">
        <f t="shared" ref="N2474:V2474" si="2539">M2474*(1+$D2474)</f>
        <v>1.6258884281299959</v>
      </c>
      <c r="O2474" s="361">
        <f t="shared" si="2539"/>
        <v>2.1464166083957816</v>
      </c>
      <c r="P2474" s="361">
        <f t="shared" si="2539"/>
        <v>2.8335918855736479</v>
      </c>
      <c r="Q2474" s="361">
        <f t="shared" si="2539"/>
        <v>3.7407663277399945</v>
      </c>
      <c r="R2474" s="361">
        <f t="shared" si="2539"/>
        <v>4.9383726675658783</v>
      </c>
      <c r="S2474" s="361">
        <f t="shared" si="2539"/>
        <v>6.5193926770869952</v>
      </c>
      <c r="T2474" s="361">
        <f t="shared" si="2539"/>
        <v>8.6065762426562653</v>
      </c>
      <c r="U2474" s="361">
        <f t="shared" si="2539"/>
        <v>11.361971626742497</v>
      </c>
      <c r="V2474" s="362">
        <f t="shared" si="2539"/>
        <v>14.999506843043878</v>
      </c>
      <c r="X2474" s="351"/>
    </row>
    <row r="2475" spans="3:24" ht="24.75" customHeight="1" x14ac:dyDescent="0.3">
      <c r="C2475" s="353">
        <f>ABS(E2475-Dashboard!$F$14)</f>
        <v>48.431179732627619</v>
      </c>
      <c r="D2475" s="350">
        <f t="shared" si="2511"/>
        <v>0.32024999999998</v>
      </c>
      <c r="E2475" s="359" cm="1">
        <f t="array" ref="E2475">1000*SUM('DRE + DCF'!$L$36/M2475,'DRE + DCF'!$N$36:$V$36/N2475:V2475,F2475/V2475)/Dashboard!$F$11</f>
        <v>48.558820267372376</v>
      </c>
      <c r="F2475" s="359">
        <f t="shared" si="2509"/>
        <v>8144987.5574467033</v>
      </c>
      <c r="G2475" s="359">
        <f>'DRE + DCF'!$W$31</f>
        <v>2791623.3540418856</v>
      </c>
      <c r="H2475" s="359">
        <f>'DRE + DCF'!$W$32</f>
        <v>81081.931703745853</v>
      </c>
      <c r="I2475" s="359">
        <f>-H2475*('DRE + DCF'!$V$33+K2475)/'DRE + DCF'!$V$33</f>
        <v>-90858.801614444121</v>
      </c>
      <c r="J2475" s="359">
        <f>-'DRE + DCF'!$V$56*L2475</f>
        <v>-1188924.4255577971</v>
      </c>
      <c r="K2475" s="360">
        <f>(1+L2475)/(1+Ke!$O$12)-1</f>
        <v>2.0000000000000018E-2</v>
      </c>
      <c r="L2475" s="360">
        <f>'DRE + DCF'!$Y$31</f>
        <v>7.3550000000000004E-2</v>
      </c>
      <c r="M2475" s="361">
        <f>(1+D2475)^((5-Dashboard!$F$9)*3/12)</f>
        <v>1.2316636721457594</v>
      </c>
      <c r="N2475" s="361">
        <f t="shared" ref="N2475:V2475" si="2540">M2475*(1+$D2475)</f>
        <v>1.6261039631504142</v>
      </c>
      <c r="O2475" s="361">
        <f t="shared" si="2540"/>
        <v>2.1468637573493017</v>
      </c>
      <c r="P2475" s="361">
        <f t="shared" si="2540"/>
        <v>2.8343968756403726</v>
      </c>
      <c r="Q2475" s="361">
        <f t="shared" si="2540"/>
        <v>3.742112475064145</v>
      </c>
      <c r="R2475" s="361">
        <f t="shared" si="2540"/>
        <v>4.9405239952033622</v>
      </c>
      <c r="S2475" s="361">
        <f t="shared" si="2540"/>
        <v>6.5227268046671396</v>
      </c>
      <c r="T2475" s="361">
        <f t="shared" si="2540"/>
        <v>8.6116300638616607</v>
      </c>
      <c r="U2475" s="361">
        <f t="shared" si="2540"/>
        <v>11.369504591813184</v>
      </c>
      <c r="V2475" s="362">
        <f t="shared" si="2540"/>
        <v>15.010588437341129</v>
      </c>
      <c r="X2475" s="351"/>
    </row>
    <row r="2476" spans="3:24" ht="24.75" customHeight="1" x14ac:dyDescent="0.3">
      <c r="C2476" s="353">
        <f>ABS(E2476-Dashboard!$F$14)</f>
        <v>48.454335674529773</v>
      </c>
      <c r="D2476" s="350">
        <f t="shared" si="2511"/>
        <v>0.32034999999997998</v>
      </c>
      <c r="E2476" s="359" cm="1">
        <f t="array" ref="E2476">1000*SUM('DRE + DCF'!$L$36/M2476,'DRE + DCF'!$N$36:$V$36/N2476:V2476,F2476/V2476)/Dashboard!$F$11</f>
        <v>48.535664325470222</v>
      </c>
      <c r="F2476" s="359">
        <f t="shared" si="2509"/>
        <v>8142122.6034311615</v>
      </c>
      <c r="G2476" s="359">
        <f>'DRE + DCF'!$W$31</f>
        <v>2791623.3540418856</v>
      </c>
      <c r="H2476" s="359">
        <f>'DRE + DCF'!$W$32</f>
        <v>81081.931703745853</v>
      </c>
      <c r="I2476" s="359">
        <f>-H2476*('DRE + DCF'!$V$33+K2476)/'DRE + DCF'!$V$33</f>
        <v>-90858.801614444121</v>
      </c>
      <c r="J2476" s="359">
        <f>-'DRE + DCF'!$V$56*L2476</f>
        <v>-1188924.4255577971</v>
      </c>
      <c r="K2476" s="360">
        <f>(1+L2476)/(1+Ke!$O$12)-1</f>
        <v>2.0000000000000018E-2</v>
      </c>
      <c r="L2476" s="360">
        <f>'DRE + DCF'!$Y$31</f>
        <v>7.3550000000000004E-2</v>
      </c>
      <c r="M2476" s="361">
        <f>(1+D2476)^((5-Dashboard!$F$9)*3/12)</f>
        <v>1.2317336391223495</v>
      </c>
      <c r="N2476" s="361">
        <f t="shared" ref="N2476:V2476" si="2541">M2476*(1+$D2476)</f>
        <v>1.6263195104151693</v>
      </c>
      <c r="O2476" s="361">
        <f t="shared" si="2541"/>
        <v>2.147310965576636</v>
      </c>
      <c r="P2476" s="361">
        <f t="shared" si="2541"/>
        <v>2.8352020333990682</v>
      </c>
      <c r="Q2476" s="361">
        <f t="shared" si="2541"/>
        <v>3.7434590047984027</v>
      </c>
      <c r="R2476" s="361">
        <f t="shared" si="2541"/>
        <v>4.9426760969854957</v>
      </c>
      <c r="S2476" s="361">
        <f t="shared" si="2541"/>
        <v>6.5260623846546997</v>
      </c>
      <c r="T2476" s="361">
        <f t="shared" si="2541"/>
        <v>8.6166864695787009</v>
      </c>
      <c r="U2476" s="361">
        <f t="shared" si="2541"/>
        <v>11.377041980108064</v>
      </c>
      <c r="V2476" s="362">
        <f t="shared" si="2541"/>
        <v>15.021677378435454</v>
      </c>
      <c r="X2476" s="351"/>
    </row>
    <row r="2477" spans="3:24" ht="24.75" customHeight="1" x14ac:dyDescent="0.3">
      <c r="C2477" s="353">
        <f>ABS(E2477-Dashboard!$F$14)</f>
        <v>48.477471751699106</v>
      </c>
      <c r="D2477" s="350">
        <f t="shared" si="2511"/>
        <v>0.32044999999997997</v>
      </c>
      <c r="E2477" s="359" cm="1">
        <f t="array" ref="E2477">1000*SUM('DRE + DCF'!$L$36/M2477,'DRE + DCF'!$N$36:$V$36/N2477:V2477,F2477/V2477)/Dashboard!$F$11</f>
        <v>48.512528248300889</v>
      </c>
      <c r="F2477" s="359">
        <f t="shared" si="2509"/>
        <v>8139259.698595548</v>
      </c>
      <c r="G2477" s="359">
        <f>'DRE + DCF'!$W$31</f>
        <v>2791623.3540418856</v>
      </c>
      <c r="H2477" s="359">
        <f>'DRE + DCF'!$W$32</f>
        <v>81081.931703745853</v>
      </c>
      <c r="I2477" s="359">
        <f>-H2477*('DRE + DCF'!$V$33+K2477)/'DRE + DCF'!$V$33</f>
        <v>-90858.801614444121</v>
      </c>
      <c r="J2477" s="359">
        <f>-'DRE + DCF'!$V$56*L2477</f>
        <v>-1188924.4255577971</v>
      </c>
      <c r="K2477" s="360">
        <f>(1+L2477)/(1+Ke!$O$12)-1</f>
        <v>2.0000000000000018E-2</v>
      </c>
      <c r="L2477" s="360">
        <f>'DRE + DCF'!$Y$31</f>
        <v>7.3550000000000004E-2</v>
      </c>
      <c r="M2477" s="361">
        <f>(1+D2477)^((5-Dashboard!$F$9)*3/12)</f>
        <v>1.2318036047741712</v>
      </c>
      <c r="N2477" s="361">
        <f t="shared" ref="N2477:V2477" si="2542">M2477*(1+$D2477)</f>
        <v>1.6265350699240295</v>
      </c>
      <c r="O2477" s="361">
        <f t="shared" si="2542"/>
        <v>2.1477582330811522</v>
      </c>
      <c r="P2477" s="361">
        <f t="shared" si="2542"/>
        <v>2.8360073588719641</v>
      </c>
      <c r="Q2477" s="361">
        <f t="shared" si="2542"/>
        <v>3.7448059170224282</v>
      </c>
      <c r="R2477" s="361">
        <f t="shared" si="2542"/>
        <v>4.9448289731321902</v>
      </c>
      <c r="S2477" s="361">
        <f t="shared" si="2542"/>
        <v>6.5293994175723009</v>
      </c>
      <c r="T2477" s="361">
        <f t="shared" si="2542"/>
        <v>8.621745460933214</v>
      </c>
      <c r="U2477" s="361">
        <f t="shared" si="2542"/>
        <v>11.384583793889089</v>
      </c>
      <c r="V2477" s="362">
        <f t="shared" si="2542"/>
        <v>15.032773670640619</v>
      </c>
      <c r="X2477" s="351"/>
    </row>
    <row r="2478" spans="3:24" ht="24.75" customHeight="1" x14ac:dyDescent="0.3">
      <c r="C2478" s="353">
        <f>ABS(E2478-Dashboard!$F$14)</f>
        <v>48.500587987862552</v>
      </c>
      <c r="D2478" s="350">
        <f t="shared" si="2511"/>
        <v>0.32054999999997996</v>
      </c>
      <c r="E2478" s="359" cm="1">
        <f t="array" ref="E2478">1000*SUM('DRE + DCF'!$L$36/M2478,'DRE + DCF'!$N$36:$V$36/N2478:V2478,F2478/V2478)/Dashboard!$F$11</f>
        <v>48.489412012137443</v>
      </c>
      <c r="F2478" s="359">
        <f t="shared" si="2509"/>
        <v>8136398.8407050278</v>
      </c>
      <c r="G2478" s="359">
        <f>'DRE + DCF'!$W$31</f>
        <v>2791623.3540418856</v>
      </c>
      <c r="H2478" s="359">
        <f>'DRE + DCF'!$W$32</f>
        <v>81081.931703745853</v>
      </c>
      <c r="I2478" s="359">
        <f>-H2478*('DRE + DCF'!$V$33+K2478)/'DRE + DCF'!$V$33</f>
        <v>-90858.801614444121</v>
      </c>
      <c r="J2478" s="359">
        <f>-'DRE + DCF'!$V$56*L2478</f>
        <v>-1188924.4255577971</v>
      </c>
      <c r="K2478" s="360">
        <f>(1+L2478)/(1+Ke!$O$12)-1</f>
        <v>2.0000000000000018E-2</v>
      </c>
      <c r="L2478" s="360">
        <f>'DRE + DCF'!$Y$31</f>
        <v>7.3550000000000004E-2</v>
      </c>
      <c r="M2478" s="361">
        <f>(1+D2478)^((5-Dashboard!$F$9)*3/12)</f>
        <v>1.23187356910135</v>
      </c>
      <c r="N2478" s="361">
        <f t="shared" ref="N2478:V2478" si="2543">M2478*(1+$D2478)</f>
        <v>1.626750641676763</v>
      </c>
      <c r="O2478" s="361">
        <f t="shared" si="2543"/>
        <v>2.1482055598662169</v>
      </c>
      <c r="P2478" s="361">
        <f t="shared" si="2543"/>
        <v>2.8368128520812896</v>
      </c>
      <c r="Q2478" s="361">
        <f t="shared" si="2543"/>
        <v>3.7461532118158902</v>
      </c>
      <c r="R2478" s="361">
        <f t="shared" si="2543"/>
        <v>4.9469826238633985</v>
      </c>
      <c r="S2478" s="361">
        <f t="shared" si="2543"/>
        <v>6.5327379039427118</v>
      </c>
      <c r="T2478" s="361">
        <f t="shared" si="2543"/>
        <v>8.6268070390514175</v>
      </c>
      <c r="U2478" s="361">
        <f t="shared" si="2543"/>
        <v>11.392130035419177</v>
      </c>
      <c r="V2478" s="362">
        <f t="shared" si="2543"/>
        <v>15.043877318272566</v>
      </c>
      <c r="X2478" s="351"/>
    </row>
    <row r="2479" spans="3:24" ht="24.75" customHeight="1" x14ac:dyDescent="0.3">
      <c r="C2479" s="353">
        <f>ABS(E2479-Dashboard!$F$14)</f>
        <v>48.52368440671075</v>
      </c>
      <c r="D2479" s="350">
        <f t="shared" si="2511"/>
        <v>0.32064999999997995</v>
      </c>
      <c r="E2479" s="359" cm="1">
        <f t="array" ref="E2479">1000*SUM('DRE + DCF'!$L$36/M2479,'DRE + DCF'!$N$36:$V$36/N2479:V2479,F2479/V2479)/Dashboard!$F$11</f>
        <v>48.466315593289245</v>
      </c>
      <c r="F2479" s="359">
        <f t="shared" si="2509"/>
        <v>8133540.0275280681</v>
      </c>
      <c r="G2479" s="359">
        <f>'DRE + DCF'!$W$31</f>
        <v>2791623.3540418856</v>
      </c>
      <c r="H2479" s="359">
        <f>'DRE + DCF'!$W$32</f>
        <v>81081.931703745853</v>
      </c>
      <c r="I2479" s="359">
        <f>-H2479*('DRE + DCF'!$V$33+K2479)/'DRE + DCF'!$V$33</f>
        <v>-90858.801614444121</v>
      </c>
      <c r="J2479" s="359">
        <f>-'DRE + DCF'!$V$56*L2479</f>
        <v>-1188924.4255577971</v>
      </c>
      <c r="K2479" s="360">
        <f>(1+L2479)/(1+Ke!$O$12)-1</f>
        <v>2.0000000000000018E-2</v>
      </c>
      <c r="L2479" s="360">
        <f>'DRE + DCF'!$Y$31</f>
        <v>7.3550000000000004E-2</v>
      </c>
      <c r="M2479" s="361">
        <f>(1+D2479)^((5-Dashboard!$F$9)*3/12)</f>
        <v>1.2319435321040113</v>
      </c>
      <c r="N2479" s="361">
        <f t="shared" ref="N2479:V2479" si="2544">M2479*(1+$D2479)</f>
        <v>1.6269662256731379</v>
      </c>
      <c r="O2479" s="361">
        <f t="shared" si="2544"/>
        <v>2.1486529459351966</v>
      </c>
      <c r="P2479" s="361">
        <f t="shared" si="2544"/>
        <v>2.8376185130492741</v>
      </c>
      <c r="Q2479" s="361">
        <f t="shared" si="2544"/>
        <v>3.7475008892584669</v>
      </c>
      <c r="R2479" s="361">
        <f t="shared" si="2544"/>
        <v>4.9491370493991189</v>
      </c>
      <c r="S2479" s="361">
        <f t="shared" si="2544"/>
        <v>6.5360778442888465</v>
      </c>
      <c r="T2479" s="361">
        <f t="shared" si="2544"/>
        <v>8.6318712050599338</v>
      </c>
      <c r="U2479" s="361">
        <f t="shared" si="2544"/>
        <v>11.399680706962227</v>
      </c>
      <c r="V2479" s="362">
        <f t="shared" si="2544"/>
        <v>15.054988325649436</v>
      </c>
      <c r="X2479" s="351"/>
    </row>
    <row r="2480" spans="3:24" ht="24.75" customHeight="1" x14ac:dyDescent="0.3">
      <c r="C2480" s="353">
        <f>ABS(E2480-Dashboard!$F$14)</f>
        <v>48.546761031898313</v>
      </c>
      <c r="D2480" s="350">
        <f t="shared" si="2511"/>
        <v>0.32074999999997994</v>
      </c>
      <c r="E2480" s="359" cm="1">
        <f t="array" ref="E2480">1000*SUM('DRE + DCF'!$L$36/M2480,'DRE + DCF'!$N$36:$V$36/N2480:V2480,F2480/V2480)/Dashboard!$F$11</f>
        <v>48.443238968101682</v>
      </c>
      <c r="F2480" s="359">
        <f t="shared" si="2509"/>
        <v>8130683.2568364311</v>
      </c>
      <c r="G2480" s="359">
        <f>'DRE + DCF'!$W$31</f>
        <v>2791623.3540418856</v>
      </c>
      <c r="H2480" s="359">
        <f>'DRE + DCF'!$W$32</f>
        <v>81081.931703745853</v>
      </c>
      <c r="I2480" s="359">
        <f>-H2480*('DRE + DCF'!$V$33+K2480)/'DRE + DCF'!$V$33</f>
        <v>-90858.801614444121</v>
      </c>
      <c r="J2480" s="359">
        <f>-'DRE + DCF'!$V$56*L2480</f>
        <v>-1188924.4255577971</v>
      </c>
      <c r="K2480" s="360">
        <f>(1+L2480)/(1+Ke!$O$12)-1</f>
        <v>2.0000000000000018E-2</v>
      </c>
      <c r="L2480" s="360">
        <f>'DRE + DCF'!$Y$31</f>
        <v>7.3550000000000004E-2</v>
      </c>
      <c r="M2480" s="361">
        <f>(1+D2480)^((5-Dashboard!$F$9)*3/12)</f>
        <v>1.2320134937822804</v>
      </c>
      <c r="N2480" s="361">
        <f t="shared" ref="N2480:V2480" si="2545">M2480*(1+$D2480)</f>
        <v>1.6271818219129222</v>
      </c>
      <c r="O2480" s="361">
        <f t="shared" si="2545"/>
        <v>2.149100391291459</v>
      </c>
      <c r="P2480" s="361">
        <f t="shared" si="2545"/>
        <v>2.8384243417981514</v>
      </c>
      <c r="Q2480" s="361">
        <f t="shared" si="2545"/>
        <v>3.7488489494298514</v>
      </c>
      <c r="R2480" s="361">
        <f t="shared" si="2545"/>
        <v>4.9512922499594012</v>
      </c>
      <c r="S2480" s="361">
        <f t="shared" si="2545"/>
        <v>6.53941923913378</v>
      </c>
      <c r="T2480" s="361">
        <f t="shared" si="2545"/>
        <v>8.6369379600858078</v>
      </c>
      <c r="U2480" s="361">
        <f t="shared" si="2545"/>
        <v>11.407235810783156</v>
      </c>
      <c r="V2480" s="362">
        <f t="shared" si="2545"/>
        <v>15.066106697091625</v>
      </c>
      <c r="X2480" s="351"/>
    </row>
    <row r="2481" spans="3:24" ht="24.75" customHeight="1" x14ac:dyDescent="0.3">
      <c r="C2481" s="353">
        <f>ABS(E2481-Dashboard!$F$14)</f>
        <v>48.569817887043769</v>
      </c>
      <c r="D2481" s="350">
        <f t="shared" si="2511"/>
        <v>0.32084999999997993</v>
      </c>
      <c r="E2481" s="359" cm="1">
        <f t="array" ref="E2481">1000*SUM('DRE + DCF'!$L$36/M2481,'DRE + DCF'!$N$36:$V$36/N2481:V2481,F2481/V2481)/Dashboard!$F$11</f>
        <v>48.420182112956226</v>
      </c>
      <c r="F2481" s="359">
        <f t="shared" si="2509"/>
        <v>8127828.526405165</v>
      </c>
      <c r="G2481" s="359">
        <f>'DRE + DCF'!$W$31</f>
        <v>2791623.3540418856</v>
      </c>
      <c r="H2481" s="359">
        <f>'DRE + DCF'!$W$32</f>
        <v>81081.931703745853</v>
      </c>
      <c r="I2481" s="359">
        <f>-H2481*('DRE + DCF'!$V$33+K2481)/'DRE + DCF'!$V$33</f>
        <v>-90858.801614444121</v>
      </c>
      <c r="J2481" s="359">
        <f>-'DRE + DCF'!$V$56*L2481</f>
        <v>-1188924.4255577971</v>
      </c>
      <c r="K2481" s="360">
        <f>(1+L2481)/(1+Ke!$O$12)-1</f>
        <v>2.0000000000000018E-2</v>
      </c>
      <c r="L2481" s="360">
        <f>'DRE + DCF'!$Y$31</f>
        <v>7.3550000000000004E-2</v>
      </c>
      <c r="M2481" s="361">
        <f>(1+D2481)^((5-Dashboard!$F$9)*3/12)</f>
        <v>1.2320834541362828</v>
      </c>
      <c r="N2481" s="361">
        <f t="shared" ref="N2481:V2481" si="2546">M2481*(1+$D2481)</f>
        <v>1.6273974303958845</v>
      </c>
      <c r="O2481" s="361">
        <f t="shared" si="2546"/>
        <v>2.1495478959383711</v>
      </c>
      <c r="P2481" s="361">
        <f t="shared" si="2546"/>
        <v>2.8392303383501543</v>
      </c>
      <c r="Q2481" s="361">
        <f t="shared" si="2546"/>
        <v>3.7501973924097443</v>
      </c>
      <c r="R2481" s="361">
        <f t="shared" si="2546"/>
        <v>4.9534482257643351</v>
      </c>
      <c r="S2481" s="361">
        <f t="shared" si="2546"/>
        <v>6.5427620890007221</v>
      </c>
      <c r="T2481" s="361">
        <f t="shared" si="2546"/>
        <v>8.6420073052564721</v>
      </c>
      <c r="U2481" s="361">
        <f t="shared" si="2546"/>
        <v>11.414795349147838</v>
      </c>
      <c r="V2481" s="362">
        <f t="shared" si="2546"/>
        <v>15.077232436921692</v>
      </c>
      <c r="X2481" s="351"/>
    </row>
    <row r="2482" spans="3:24" ht="24.75" customHeight="1" x14ac:dyDescent="0.3">
      <c r="C2482" s="353">
        <f>ABS(E2482-Dashboard!$F$14)</f>
        <v>48.592854995729589</v>
      </c>
      <c r="D2482" s="350">
        <f t="shared" si="2511"/>
        <v>0.32094999999997992</v>
      </c>
      <c r="E2482" s="359" cm="1">
        <f t="array" ref="E2482">1000*SUM('DRE + DCF'!$L$36/M2482,'DRE + DCF'!$N$36:$V$36/N2482:V2482,F2482/V2482)/Dashboard!$F$11</f>
        <v>48.397145004270406</v>
      </c>
      <c r="F2482" s="359">
        <f t="shared" si="2509"/>
        <v>8124975.8340126034</v>
      </c>
      <c r="G2482" s="359">
        <f>'DRE + DCF'!$W$31</f>
        <v>2791623.3540418856</v>
      </c>
      <c r="H2482" s="359">
        <f>'DRE + DCF'!$W$32</f>
        <v>81081.931703745853</v>
      </c>
      <c r="I2482" s="359">
        <f>-H2482*('DRE + DCF'!$V$33+K2482)/'DRE + DCF'!$V$33</f>
        <v>-90858.801614444121</v>
      </c>
      <c r="J2482" s="359">
        <f>-'DRE + DCF'!$V$56*L2482</f>
        <v>-1188924.4255577971</v>
      </c>
      <c r="K2482" s="360">
        <f>(1+L2482)/(1+Ke!$O$12)-1</f>
        <v>2.0000000000000018E-2</v>
      </c>
      <c r="L2482" s="360">
        <f>'DRE + DCF'!$Y$31</f>
        <v>7.3550000000000004E-2</v>
      </c>
      <c r="M2482" s="361">
        <f>(1+D2482)^((5-Dashboard!$F$9)*3/12)</f>
        <v>1.2321534131661436</v>
      </c>
      <c r="N2482" s="361">
        <f t="shared" ref="N2482:V2482" si="2547">M2482*(1+$D2482)</f>
        <v>1.6276130511217926</v>
      </c>
      <c r="O2482" s="361">
        <f t="shared" si="2547"/>
        <v>2.1499954598792992</v>
      </c>
      <c r="P2482" s="361">
        <f t="shared" si="2547"/>
        <v>2.840036502727517</v>
      </c>
      <c r="Q2482" s="361">
        <f t="shared" si="2547"/>
        <v>3.7515462182778565</v>
      </c>
      <c r="R2482" s="361">
        <f t="shared" si="2547"/>
        <v>4.9556049770340591</v>
      </c>
      <c r="S2482" s="361">
        <f t="shared" si="2547"/>
        <v>6.5461063944130409</v>
      </c>
      <c r="T2482" s="361">
        <f t="shared" si="2547"/>
        <v>8.6470792416997746</v>
      </c>
      <c r="U2482" s="361">
        <f t="shared" si="2547"/>
        <v>11.422359324323143</v>
      </c>
      <c r="V2482" s="362">
        <f t="shared" si="2547"/>
        <v>15.088365549464426</v>
      </c>
      <c r="X2482" s="351"/>
    </row>
    <row r="2483" spans="3:24" ht="24.75" customHeight="1" x14ac:dyDescent="0.3">
      <c r="C2483" s="353">
        <f>ABS(E2483-Dashboard!$F$14)</f>
        <v>48.615872381502363</v>
      </c>
      <c r="D2483" s="350">
        <f t="shared" si="2511"/>
        <v>0.32104999999997991</v>
      </c>
      <c r="E2483" s="359" cm="1">
        <f t="array" ref="E2483">1000*SUM('DRE + DCF'!$L$36/M2483,'DRE + DCF'!$N$36:$V$36/N2483:V2483,F2483/V2483)/Dashboard!$F$11</f>
        <v>48.374127618497631</v>
      </c>
      <c r="F2483" s="359">
        <f t="shared" si="2509"/>
        <v>8122125.1774403565</v>
      </c>
      <c r="G2483" s="359">
        <f>'DRE + DCF'!$W$31</f>
        <v>2791623.3540418856</v>
      </c>
      <c r="H2483" s="359">
        <f>'DRE + DCF'!$W$32</f>
        <v>81081.931703745853</v>
      </c>
      <c r="I2483" s="359">
        <f>-H2483*('DRE + DCF'!$V$33+K2483)/'DRE + DCF'!$V$33</f>
        <v>-90858.801614444121</v>
      </c>
      <c r="J2483" s="359">
        <f>-'DRE + DCF'!$V$56*L2483</f>
        <v>-1188924.4255577971</v>
      </c>
      <c r="K2483" s="360">
        <f>(1+L2483)/(1+Ke!$O$12)-1</f>
        <v>2.0000000000000018E-2</v>
      </c>
      <c r="L2483" s="360">
        <f>'DRE + DCF'!$Y$31</f>
        <v>7.3550000000000004E-2</v>
      </c>
      <c r="M2483" s="361">
        <f>(1+D2483)^((5-Dashboard!$F$9)*3/12)</f>
        <v>1.2322233708719883</v>
      </c>
      <c r="N2483" s="361">
        <f t="shared" ref="N2483:V2483" si="2548">M2483*(1+$D2483)</f>
        <v>1.6278286840904153</v>
      </c>
      <c r="O2483" s="361">
        <f t="shared" si="2548"/>
        <v>2.1504430831176102</v>
      </c>
      <c r="P2483" s="361">
        <f t="shared" si="2548"/>
        <v>2.8408428349524755</v>
      </c>
      <c r="Q2483" s="361">
        <f t="shared" si="2548"/>
        <v>3.7528954271139106</v>
      </c>
      <c r="R2483" s="361">
        <f t="shared" si="2548"/>
        <v>4.9577625039887563</v>
      </c>
      <c r="S2483" s="361">
        <f t="shared" si="2548"/>
        <v>6.5494521558942465</v>
      </c>
      <c r="T2483" s="361">
        <f t="shared" si="2548"/>
        <v>8.6521537705439631</v>
      </c>
      <c r="U2483" s="361">
        <f t="shared" si="2548"/>
        <v>11.429927738576929</v>
      </c>
      <c r="V2483" s="362">
        <f t="shared" si="2548"/>
        <v>15.099506039046821</v>
      </c>
      <c r="X2483" s="351"/>
    </row>
    <row r="2484" spans="3:24" ht="24.75" customHeight="1" x14ac:dyDescent="0.3">
      <c r="C2484" s="353">
        <f>ABS(E2484-Dashboard!$F$14)</f>
        <v>48.638870067872809</v>
      </c>
      <c r="D2484" s="350">
        <f t="shared" si="2511"/>
        <v>0.3211499999999799</v>
      </c>
      <c r="E2484" s="359" cm="1">
        <f t="array" ref="E2484">1000*SUM('DRE + DCF'!$L$36/M2484,'DRE + DCF'!$N$36:$V$36/N2484:V2484,F2484/V2484)/Dashboard!$F$11</f>
        <v>48.351129932127186</v>
      </c>
      <c r="F2484" s="359">
        <f t="shared" si="2509"/>
        <v>8119276.5544732995</v>
      </c>
      <c r="G2484" s="359">
        <f>'DRE + DCF'!$W$31</f>
        <v>2791623.3540418856</v>
      </c>
      <c r="H2484" s="359">
        <f>'DRE + DCF'!$W$32</f>
        <v>81081.931703745853</v>
      </c>
      <c r="I2484" s="359">
        <f>-H2484*('DRE + DCF'!$V$33+K2484)/'DRE + DCF'!$V$33</f>
        <v>-90858.801614444121</v>
      </c>
      <c r="J2484" s="359">
        <f>-'DRE + DCF'!$V$56*L2484</f>
        <v>-1188924.4255577971</v>
      </c>
      <c r="K2484" s="360">
        <f>(1+L2484)/(1+Ke!$O$12)-1</f>
        <v>2.0000000000000018E-2</v>
      </c>
      <c r="L2484" s="360">
        <f>'DRE + DCF'!$Y$31</f>
        <v>7.3550000000000004E-2</v>
      </c>
      <c r="M2484" s="361">
        <f>(1+D2484)^((5-Dashboard!$F$9)*3/12)</f>
        <v>1.232293327253942</v>
      </c>
      <c r="N2484" s="361">
        <f t="shared" ref="N2484:V2484" si="2549">M2484*(1+$D2484)</f>
        <v>1.6280443293015208</v>
      </c>
      <c r="O2484" s="361">
        <f t="shared" si="2549"/>
        <v>2.1508907656566714</v>
      </c>
      <c r="P2484" s="361">
        <f t="shared" si="2549"/>
        <v>2.841649335047268</v>
      </c>
      <c r="Q2484" s="361">
        <f t="shared" si="2549"/>
        <v>3.7542450189976408</v>
      </c>
      <c r="R2484" s="361">
        <f t="shared" si="2549"/>
        <v>4.9599208068486575</v>
      </c>
      <c r="S2484" s="361">
        <f t="shared" si="2549"/>
        <v>6.5527993739680035</v>
      </c>
      <c r="T2484" s="361">
        <f t="shared" si="2549"/>
        <v>8.6572308929176955</v>
      </c>
      <c r="U2484" s="361">
        <f t="shared" si="2549"/>
        <v>11.437500594178038</v>
      </c>
      <c r="V2484" s="362">
        <f t="shared" si="2549"/>
        <v>15.110653909998085</v>
      </c>
      <c r="X2484" s="351"/>
    </row>
    <row r="2485" spans="3:24" ht="24.75" customHeight="1" x14ac:dyDescent="0.3">
      <c r="C2485" s="353">
        <f>ABS(E2485-Dashboard!$F$14)</f>
        <v>48.661848078315835</v>
      </c>
      <c r="D2485" s="350">
        <f t="shared" si="2511"/>
        <v>0.32124999999997988</v>
      </c>
      <c r="E2485" s="359" cm="1">
        <f t="array" ref="E2485">1000*SUM('DRE + DCF'!$L$36/M2485,'DRE + DCF'!$N$36:$V$36/N2485:V2485,F2485/V2485)/Dashboard!$F$11</f>
        <v>48.32815192168416</v>
      </c>
      <c r="F2485" s="359">
        <f t="shared" si="2509"/>
        <v>8116429.9628995769</v>
      </c>
      <c r="G2485" s="359">
        <f>'DRE + DCF'!$W$31</f>
        <v>2791623.3540418856</v>
      </c>
      <c r="H2485" s="359">
        <f>'DRE + DCF'!$W$32</f>
        <v>81081.931703745853</v>
      </c>
      <c r="I2485" s="359">
        <f>-H2485*('DRE + DCF'!$V$33+K2485)/'DRE + DCF'!$V$33</f>
        <v>-90858.801614444121</v>
      </c>
      <c r="J2485" s="359">
        <f>-'DRE + DCF'!$V$56*L2485</f>
        <v>-1188924.4255577971</v>
      </c>
      <c r="K2485" s="360">
        <f>(1+L2485)/(1+Ke!$O$12)-1</f>
        <v>2.0000000000000018E-2</v>
      </c>
      <c r="L2485" s="360">
        <f>'DRE + DCF'!$Y$31</f>
        <v>7.3550000000000004E-2</v>
      </c>
      <c r="M2485" s="361">
        <f>(1+D2485)^((5-Dashboard!$F$9)*3/12)</f>
        <v>1.23236328231213</v>
      </c>
      <c r="N2485" s="361">
        <f t="shared" ref="N2485:V2485" si="2550">M2485*(1+$D2485)</f>
        <v>1.6282599867548768</v>
      </c>
      <c r="O2485" s="361">
        <f t="shared" si="2550"/>
        <v>2.1513385074998483</v>
      </c>
      <c r="P2485" s="361">
        <f t="shared" si="2550"/>
        <v>2.842456003034131</v>
      </c>
      <c r="Q2485" s="361">
        <f t="shared" si="2550"/>
        <v>3.7555949940087885</v>
      </c>
      <c r="R2485" s="361">
        <f t="shared" si="2550"/>
        <v>4.9620798858340365</v>
      </c>
      <c r="S2485" s="361">
        <f t="shared" si="2550"/>
        <v>6.5561480491581205</v>
      </c>
      <c r="T2485" s="361">
        <f t="shared" si="2550"/>
        <v>8.6623106099500351</v>
      </c>
      <c r="U2485" s="361">
        <f t="shared" si="2550"/>
        <v>11.445077893396309</v>
      </c>
      <c r="V2485" s="362">
        <f t="shared" si="2550"/>
        <v>15.121809166649642</v>
      </c>
      <c r="X2485" s="351"/>
    </row>
    <row r="2486" spans="3:24" ht="24.75" customHeight="1" x14ac:dyDescent="0.3">
      <c r="C2486" s="353">
        <f>ABS(E2486-Dashboard!$F$14)</f>
        <v>48.684806436270613</v>
      </c>
      <c r="D2486" s="350">
        <f t="shared" si="2511"/>
        <v>0.32134999999997987</v>
      </c>
      <c r="E2486" s="359" cm="1">
        <f t="array" ref="E2486">1000*SUM('DRE + DCF'!$L$36/M2486,'DRE + DCF'!$N$36:$V$36/N2486:V2486,F2486/V2486)/Dashboard!$F$11</f>
        <v>48.305193563729382</v>
      </c>
      <c r="F2486" s="359">
        <f t="shared" si="2509"/>
        <v>8113585.4005105896</v>
      </c>
      <c r="G2486" s="359">
        <f>'DRE + DCF'!$W$31</f>
        <v>2791623.3540418856</v>
      </c>
      <c r="H2486" s="359">
        <f>'DRE + DCF'!$W$32</f>
        <v>81081.931703745853</v>
      </c>
      <c r="I2486" s="359">
        <f>-H2486*('DRE + DCF'!$V$33+K2486)/'DRE + DCF'!$V$33</f>
        <v>-90858.801614444121</v>
      </c>
      <c r="J2486" s="359">
        <f>-'DRE + DCF'!$V$56*L2486</f>
        <v>-1188924.4255577971</v>
      </c>
      <c r="K2486" s="360">
        <f>(1+L2486)/(1+Ke!$O$12)-1</f>
        <v>2.0000000000000018E-2</v>
      </c>
      <c r="L2486" s="360">
        <f>'DRE + DCF'!$Y$31</f>
        <v>7.3550000000000004E-2</v>
      </c>
      <c r="M2486" s="361">
        <f>(1+D2486)^((5-Dashboard!$F$9)*3/12)</f>
        <v>1.2324332360466774</v>
      </c>
      <c r="N2486" s="361">
        <f t="shared" ref="N2486:V2486" si="2551">M2486*(1+$D2486)</f>
        <v>1.6284756564502523</v>
      </c>
      <c r="O2486" s="361">
        <f t="shared" si="2551"/>
        <v>2.1517863086505078</v>
      </c>
      <c r="P2486" s="361">
        <f t="shared" si="2551"/>
        <v>2.843262838935305</v>
      </c>
      <c r="Q2486" s="361">
        <f t="shared" si="2551"/>
        <v>3.7569453522271079</v>
      </c>
      <c r="R2486" s="361">
        <f t="shared" si="2551"/>
        <v>4.9642397411652128</v>
      </c>
      <c r="S2486" s="361">
        <f t="shared" si="2551"/>
        <v>6.5594981819885536</v>
      </c>
      <c r="T2486" s="361">
        <f t="shared" si="2551"/>
        <v>8.6673929227704427</v>
      </c>
      <c r="U2486" s="361">
        <f t="shared" si="2551"/>
        <v>11.452659638502549</v>
      </c>
      <c r="V2486" s="362">
        <f t="shared" si="2551"/>
        <v>15.132971813335113</v>
      </c>
      <c r="X2486" s="351"/>
    </row>
    <row r="2487" spans="3:24" ht="24.75" customHeight="1" x14ac:dyDescent="0.3">
      <c r="C2487" s="353">
        <f>ABS(E2487-Dashboard!$F$14)</f>
        <v>48.707745165140693</v>
      </c>
      <c r="D2487" s="350">
        <f t="shared" si="2511"/>
        <v>0.32144999999997986</v>
      </c>
      <c r="E2487" s="359" cm="1">
        <f t="array" ref="E2487">1000*SUM('DRE + DCF'!$L$36/M2487,'DRE + DCF'!$N$36:$V$36/N2487:V2487,F2487/V2487)/Dashboard!$F$11</f>
        <v>48.282254834859302</v>
      </c>
      <c r="F2487" s="359">
        <f t="shared" si="2509"/>
        <v>8110742.865100991</v>
      </c>
      <c r="G2487" s="359">
        <f>'DRE + DCF'!$W$31</f>
        <v>2791623.3540418856</v>
      </c>
      <c r="H2487" s="359">
        <f>'DRE + DCF'!$W$32</f>
        <v>81081.931703745853</v>
      </c>
      <c r="I2487" s="359">
        <f>-H2487*('DRE + DCF'!$V$33+K2487)/'DRE + DCF'!$V$33</f>
        <v>-90858.801614444121</v>
      </c>
      <c r="J2487" s="359">
        <f>-'DRE + DCF'!$V$56*L2487</f>
        <v>-1188924.4255577971</v>
      </c>
      <c r="K2487" s="360">
        <f>(1+L2487)/(1+Ke!$O$12)-1</f>
        <v>2.0000000000000018E-2</v>
      </c>
      <c r="L2487" s="360">
        <f>'DRE + DCF'!$Y$31</f>
        <v>7.3550000000000004E-2</v>
      </c>
      <c r="M2487" s="361">
        <f>(1+D2487)^((5-Dashboard!$F$9)*3/12)</f>
        <v>1.23250318845771</v>
      </c>
      <c r="N2487" s="361">
        <f t="shared" ref="N2487:V2487" si="2552">M2487*(1+$D2487)</f>
        <v>1.628691338387416</v>
      </c>
      <c r="O2487" s="361">
        <f t="shared" si="2552"/>
        <v>2.1522341691120181</v>
      </c>
      <c r="P2487" s="361">
        <f t="shared" si="2552"/>
        <v>2.8440698427730329</v>
      </c>
      <c r="Q2487" s="361">
        <f t="shared" si="2552"/>
        <v>3.7582960937323668</v>
      </c>
      <c r="R2487" s="361">
        <f t="shared" si="2552"/>
        <v>4.9664003730625605</v>
      </c>
      <c r="S2487" s="361">
        <f t="shared" si="2552"/>
        <v>6.5628497729834203</v>
      </c>
      <c r="T2487" s="361">
        <f t="shared" si="2552"/>
        <v>8.6724778325088074</v>
      </c>
      <c r="U2487" s="361">
        <f t="shared" si="2552"/>
        <v>11.460245831768589</v>
      </c>
      <c r="V2487" s="362">
        <f t="shared" si="2552"/>
        <v>15.144141854390369</v>
      </c>
      <c r="X2487" s="351"/>
    </row>
    <row r="2488" spans="3:24" ht="24.75" customHeight="1" x14ac:dyDescent="0.3">
      <c r="C2488" s="353">
        <f>ABS(E2488-Dashboard!$F$14)</f>
        <v>48.730664288293987</v>
      </c>
      <c r="D2488" s="350">
        <f t="shared" si="2511"/>
        <v>0.32154999999997985</v>
      </c>
      <c r="E2488" s="359" cm="1">
        <f t="array" ref="E2488">1000*SUM('DRE + DCF'!$L$36/M2488,'DRE + DCF'!$N$36:$V$36/N2488:V2488,F2488/V2488)/Dashboard!$F$11</f>
        <v>48.259335711706008</v>
      </c>
      <c r="F2488" s="359">
        <f t="shared" si="2509"/>
        <v>8107902.3544686772</v>
      </c>
      <c r="G2488" s="359">
        <f>'DRE + DCF'!$W$31</f>
        <v>2791623.3540418856</v>
      </c>
      <c r="H2488" s="359">
        <f>'DRE + DCF'!$W$32</f>
        <v>81081.931703745853</v>
      </c>
      <c r="I2488" s="359">
        <f>-H2488*('DRE + DCF'!$V$33+K2488)/'DRE + DCF'!$V$33</f>
        <v>-90858.801614444121</v>
      </c>
      <c r="J2488" s="359">
        <f>-'DRE + DCF'!$V$56*L2488</f>
        <v>-1188924.4255577971</v>
      </c>
      <c r="K2488" s="360">
        <f>(1+L2488)/(1+Ke!$O$12)-1</f>
        <v>2.0000000000000018E-2</v>
      </c>
      <c r="L2488" s="360">
        <f>'DRE + DCF'!$Y$31</f>
        <v>7.3550000000000004E-2</v>
      </c>
      <c r="M2488" s="361">
        <f>(1+D2488)^((5-Dashboard!$F$9)*3/12)</f>
        <v>1.2325731395453523</v>
      </c>
      <c r="N2488" s="361">
        <f t="shared" ref="N2488:V2488" si="2553">M2488*(1+$D2488)</f>
        <v>1.6289070325661354</v>
      </c>
      <c r="O2488" s="361">
        <f t="shared" si="2553"/>
        <v>2.1526820888877434</v>
      </c>
      <c r="P2488" s="361">
        <f t="shared" si="2553"/>
        <v>2.8448770145695539</v>
      </c>
      <c r="Q2488" s="361">
        <f t="shared" si="2553"/>
        <v>3.7596472186043366</v>
      </c>
      <c r="R2488" s="361">
        <f t="shared" si="2553"/>
        <v>4.9685617817464847</v>
      </c>
      <c r="S2488" s="361">
        <f t="shared" si="2553"/>
        <v>6.5662028226669662</v>
      </c>
      <c r="T2488" s="361">
        <f t="shared" si="2553"/>
        <v>8.6775653402953967</v>
      </c>
      <c r="U2488" s="361">
        <f t="shared" si="2553"/>
        <v>11.467836475467207</v>
      </c>
      <c r="V2488" s="362">
        <f t="shared" si="2553"/>
        <v>15.155319294153456</v>
      </c>
      <c r="X2488" s="351"/>
    </row>
    <row r="2489" spans="3:24" ht="24.75" customHeight="1" x14ac:dyDescent="0.3">
      <c r="C2489" s="353">
        <f>ABS(E2489-Dashboard!$F$14)</f>
        <v>48.753563829062855</v>
      </c>
      <c r="D2489" s="350">
        <f t="shared" si="2511"/>
        <v>0.32164999999997984</v>
      </c>
      <c r="E2489" s="359" cm="1">
        <f t="array" ref="E2489">1000*SUM('DRE + DCF'!$L$36/M2489,'DRE + DCF'!$N$36:$V$36/N2489:V2489,F2489/V2489)/Dashboard!$F$11</f>
        <v>48.236436170937139</v>
      </c>
      <c r="F2489" s="359">
        <f t="shared" si="2509"/>
        <v>8105063.8664147872</v>
      </c>
      <c r="G2489" s="359">
        <f>'DRE + DCF'!$W$31</f>
        <v>2791623.3540418856</v>
      </c>
      <c r="H2489" s="359">
        <f>'DRE + DCF'!$W$32</f>
        <v>81081.931703745853</v>
      </c>
      <c r="I2489" s="359">
        <f>-H2489*('DRE + DCF'!$V$33+K2489)/'DRE + DCF'!$V$33</f>
        <v>-90858.801614444121</v>
      </c>
      <c r="J2489" s="359">
        <f>-'DRE + DCF'!$V$56*L2489</f>
        <v>-1188924.4255577971</v>
      </c>
      <c r="K2489" s="360">
        <f>(1+L2489)/(1+Ke!$O$12)-1</f>
        <v>2.0000000000000018E-2</v>
      </c>
      <c r="L2489" s="360">
        <f>'DRE + DCF'!$Y$31</f>
        <v>7.3550000000000004E-2</v>
      </c>
      <c r="M2489" s="361">
        <f>(1+D2489)^((5-Dashboard!$F$9)*3/12)</f>
        <v>1.2326430893097298</v>
      </c>
      <c r="N2489" s="361">
        <f t="shared" ref="N2489:V2489" si="2554">M2489*(1+$D2489)</f>
        <v>1.6291227389861793</v>
      </c>
      <c r="O2489" s="361">
        <f t="shared" si="2554"/>
        <v>2.153130067981051</v>
      </c>
      <c r="P2489" s="361">
        <f t="shared" si="2554"/>
        <v>2.8456843543471124</v>
      </c>
      <c r="Q2489" s="361">
        <f t="shared" si="2554"/>
        <v>3.7609987269228036</v>
      </c>
      <c r="R2489" s="361">
        <f t="shared" si="2554"/>
        <v>4.970723967437447</v>
      </c>
      <c r="S2489" s="361">
        <f t="shared" si="2554"/>
        <v>6.5695573315636011</v>
      </c>
      <c r="T2489" s="361">
        <f t="shared" si="2554"/>
        <v>8.6826554472609008</v>
      </c>
      <c r="U2489" s="361">
        <f t="shared" si="2554"/>
        <v>11.475431571872194</v>
      </c>
      <c r="V2489" s="362">
        <f t="shared" si="2554"/>
        <v>15.166504136964654</v>
      </c>
      <c r="X2489" s="351"/>
    </row>
    <row r="2490" spans="3:24" ht="24.75" customHeight="1" x14ac:dyDescent="0.3">
      <c r="C2490" s="353">
        <f>ABS(E2490-Dashboard!$F$14)</f>
        <v>48.776443810744276</v>
      </c>
      <c r="D2490" s="350">
        <f t="shared" si="2511"/>
        <v>0.32174999999997983</v>
      </c>
      <c r="E2490" s="359" cm="1">
        <f t="array" ref="E2490">1000*SUM('DRE + DCF'!$L$36/M2490,'DRE + DCF'!$N$36:$V$36/N2490:V2490,F2490/V2490)/Dashboard!$F$11</f>
        <v>48.213556189255719</v>
      </c>
      <c r="F2490" s="359">
        <f t="shared" si="2509"/>
        <v>8102227.3987436928</v>
      </c>
      <c r="G2490" s="359">
        <f>'DRE + DCF'!$W$31</f>
        <v>2791623.3540418856</v>
      </c>
      <c r="H2490" s="359">
        <f>'DRE + DCF'!$W$32</f>
        <v>81081.931703745853</v>
      </c>
      <c r="I2490" s="359">
        <f>-H2490*('DRE + DCF'!$V$33+K2490)/'DRE + DCF'!$V$33</f>
        <v>-90858.801614444121</v>
      </c>
      <c r="J2490" s="359">
        <f>-'DRE + DCF'!$V$56*L2490</f>
        <v>-1188924.4255577971</v>
      </c>
      <c r="K2490" s="360">
        <f>(1+L2490)/(1+Ke!$O$12)-1</f>
        <v>2.0000000000000018E-2</v>
      </c>
      <c r="L2490" s="360">
        <f>'DRE + DCF'!$Y$31</f>
        <v>7.3550000000000004E-2</v>
      </c>
      <c r="M2490" s="361">
        <f>(1+D2490)^((5-Dashboard!$F$9)*3/12)</f>
        <v>1.2327130377509676</v>
      </c>
      <c r="N2490" s="361">
        <f t="shared" ref="N2490:V2490" si="2555">M2490*(1+$D2490)</f>
        <v>1.6293384576473164</v>
      </c>
      <c r="O2490" s="361">
        <f t="shared" si="2555"/>
        <v>2.1535781063953077</v>
      </c>
      <c r="P2490" s="361">
        <f t="shared" si="2555"/>
        <v>2.8464918621279542</v>
      </c>
      <c r="Q2490" s="361">
        <f t="shared" si="2555"/>
        <v>3.7623506187675662</v>
      </c>
      <c r="R2490" s="361">
        <f t="shared" si="2555"/>
        <v>4.9728869303559549</v>
      </c>
      <c r="S2490" s="361">
        <f t="shared" si="2555"/>
        <v>6.5729133001978823</v>
      </c>
      <c r="T2490" s="361">
        <f t="shared" si="2555"/>
        <v>8.6877481545364184</v>
      </c>
      <c r="U2490" s="361">
        <f t="shared" si="2555"/>
        <v>11.483031123258336</v>
      </c>
      <c r="V2490" s="362">
        <f t="shared" si="2555"/>
        <v>15.177696387166472</v>
      </c>
      <c r="X2490" s="351"/>
    </row>
    <row r="2491" spans="3:24" ht="24.75" customHeight="1" x14ac:dyDescent="0.3">
      <c r="C2491" s="353">
        <f>ABS(E2491-Dashboard!$F$14)</f>
        <v>48.799304256599719</v>
      </c>
      <c r="D2491" s="350">
        <f t="shared" si="2511"/>
        <v>0.32184999999997982</v>
      </c>
      <c r="E2491" s="359" cm="1">
        <f t="array" ref="E2491">1000*SUM('DRE + DCF'!$L$36/M2491,'DRE + DCF'!$N$36:$V$36/N2491:V2491,F2491/V2491)/Dashboard!$F$11</f>
        <v>48.190695743400276</v>
      </c>
      <c r="F2491" s="359">
        <f t="shared" si="2509"/>
        <v>8099392.9492629915</v>
      </c>
      <c r="G2491" s="359">
        <f>'DRE + DCF'!$W$31</f>
        <v>2791623.3540418856</v>
      </c>
      <c r="H2491" s="359">
        <f>'DRE + DCF'!$W$32</f>
        <v>81081.931703745853</v>
      </c>
      <c r="I2491" s="359">
        <f>-H2491*('DRE + DCF'!$V$33+K2491)/'DRE + DCF'!$V$33</f>
        <v>-90858.801614444121</v>
      </c>
      <c r="J2491" s="359">
        <f>-'DRE + DCF'!$V$56*L2491</f>
        <v>-1188924.4255577971</v>
      </c>
      <c r="K2491" s="360">
        <f>(1+L2491)/(1+Ke!$O$12)-1</f>
        <v>2.0000000000000018E-2</v>
      </c>
      <c r="L2491" s="360">
        <f>'DRE + DCF'!$Y$31</f>
        <v>7.3550000000000004E-2</v>
      </c>
      <c r="M2491" s="361">
        <f>(1+D2491)^((5-Dashboard!$F$9)*3/12)</f>
        <v>1.2327829848691909</v>
      </c>
      <c r="N2491" s="361">
        <f t="shared" ref="N2491:V2491" si="2556">M2491*(1+$D2491)</f>
        <v>1.629554188549315</v>
      </c>
      <c r="O2491" s="361">
        <f t="shared" si="2556"/>
        <v>2.1540262041338791</v>
      </c>
      <c r="P2491" s="361">
        <f t="shared" si="2556"/>
        <v>2.8472995379343247</v>
      </c>
      <c r="Q2491" s="361">
        <f t="shared" si="2556"/>
        <v>3.7637028942184294</v>
      </c>
      <c r="R2491" s="361">
        <f t="shared" si="2556"/>
        <v>4.9750506707225544</v>
      </c>
      <c r="S2491" s="361">
        <f t="shared" si="2556"/>
        <v>6.5762707290945075</v>
      </c>
      <c r="T2491" s="361">
        <f t="shared" si="2556"/>
        <v>8.6928434632534408</v>
      </c>
      <c r="U2491" s="361">
        <f t="shared" si="2556"/>
        <v>11.490635131901385</v>
      </c>
      <c r="V2491" s="362">
        <f t="shared" si="2556"/>
        <v>15.188896049103613</v>
      </c>
      <c r="X2491" s="351"/>
    </row>
    <row r="2492" spans="3:24" ht="24.75" customHeight="1" x14ac:dyDescent="0.3">
      <c r="C2492" s="353">
        <f>ABS(E2492-Dashboard!$F$14)</f>
        <v>48.822145189855405</v>
      </c>
      <c r="D2492" s="350">
        <f t="shared" si="2511"/>
        <v>0.32194999999997981</v>
      </c>
      <c r="E2492" s="359" cm="1">
        <f t="array" ref="E2492">1000*SUM('DRE + DCF'!$L$36/M2492,'DRE + DCF'!$N$36:$V$36/N2492:V2492,F2492/V2492)/Dashboard!$F$11</f>
        <v>48.16785481014459</v>
      </c>
      <c r="F2492" s="359">
        <f t="shared" si="2509"/>
        <v>8096560.5157835092</v>
      </c>
      <c r="G2492" s="359">
        <f>'DRE + DCF'!$W$31</f>
        <v>2791623.3540418856</v>
      </c>
      <c r="H2492" s="359">
        <f>'DRE + DCF'!$W$32</f>
        <v>81081.931703745853</v>
      </c>
      <c r="I2492" s="359">
        <f>-H2492*('DRE + DCF'!$V$33+K2492)/'DRE + DCF'!$V$33</f>
        <v>-90858.801614444121</v>
      </c>
      <c r="J2492" s="359">
        <f>-'DRE + DCF'!$V$56*L2492</f>
        <v>-1188924.4255577971</v>
      </c>
      <c r="K2492" s="360">
        <f>(1+L2492)/(1+Ke!$O$12)-1</f>
        <v>2.0000000000000018E-2</v>
      </c>
      <c r="L2492" s="360">
        <f>'DRE + DCF'!$Y$31</f>
        <v>7.3550000000000004E-2</v>
      </c>
      <c r="M2492" s="361">
        <f>(1+D2492)^((5-Dashboard!$F$9)*3/12)</f>
        <v>1.2328529306645248</v>
      </c>
      <c r="N2492" s="361">
        <f t="shared" ref="N2492:V2492" si="2557">M2492*(1+$D2492)</f>
        <v>1.6297699316919436</v>
      </c>
      <c r="O2492" s="361">
        <f t="shared" si="2557"/>
        <v>2.154474361200132</v>
      </c>
      <c r="P2492" s="361">
        <f t="shared" si="2557"/>
        <v>2.8481073817884708</v>
      </c>
      <c r="Q2492" s="361">
        <f t="shared" si="2557"/>
        <v>3.7650555533552112</v>
      </c>
      <c r="R2492" s="361">
        <f t="shared" si="2557"/>
        <v>4.9772151887578451</v>
      </c>
      <c r="S2492" s="361">
        <f t="shared" si="2557"/>
        <v>6.5796296187783323</v>
      </c>
      <c r="T2492" s="361">
        <f t="shared" si="2557"/>
        <v>8.6979413745438823</v>
      </c>
      <c r="U2492" s="361">
        <f t="shared" si="2557"/>
        <v>11.498243600078109</v>
      </c>
      <c r="V2492" s="362">
        <f t="shared" si="2557"/>
        <v>15.200103127123024</v>
      </c>
      <c r="X2492" s="351"/>
    </row>
    <row r="2493" spans="3:24" ht="24.75" customHeight="1" x14ac:dyDescent="0.3">
      <c r="C2493" s="353">
        <f>ABS(E2493-Dashboard!$F$14)</f>
        <v>48.844966633702299</v>
      </c>
      <c r="D2493" s="350">
        <f t="shared" si="2511"/>
        <v>0.3220499999999798</v>
      </c>
      <c r="E2493" s="359" cm="1">
        <f t="array" ref="E2493">1000*SUM('DRE + DCF'!$L$36/M2493,'DRE + DCF'!$N$36:$V$36/N2493:V2493,F2493/V2493)/Dashboard!$F$11</f>
        <v>48.145033366297696</v>
      </c>
      <c r="F2493" s="359">
        <f t="shared" si="2509"/>
        <v>8093730.0961192753</v>
      </c>
      <c r="G2493" s="359">
        <f>'DRE + DCF'!$W$31</f>
        <v>2791623.3540418856</v>
      </c>
      <c r="H2493" s="359">
        <f>'DRE + DCF'!$W$32</f>
        <v>81081.931703745853</v>
      </c>
      <c r="I2493" s="359">
        <f>-H2493*('DRE + DCF'!$V$33+K2493)/'DRE + DCF'!$V$33</f>
        <v>-90858.801614444121</v>
      </c>
      <c r="J2493" s="359">
        <f>-'DRE + DCF'!$V$56*L2493</f>
        <v>-1188924.4255577971</v>
      </c>
      <c r="K2493" s="360">
        <f>(1+L2493)/(1+Ke!$O$12)-1</f>
        <v>2.0000000000000018E-2</v>
      </c>
      <c r="L2493" s="360">
        <f>'DRE + DCF'!$Y$31</f>
        <v>7.3550000000000004E-2</v>
      </c>
      <c r="M2493" s="361">
        <f>(1+D2493)^((5-Dashboard!$F$9)*3/12)</f>
        <v>1.2329228751370942</v>
      </c>
      <c r="N2493" s="361">
        <f t="shared" ref="N2493:V2493" si="2558">M2493*(1+$D2493)</f>
        <v>1.6299856870749705</v>
      </c>
      <c r="O2493" s="361">
        <f t="shared" si="2558"/>
        <v>2.1549225775974317</v>
      </c>
      <c r="P2493" s="361">
        <f t="shared" si="2558"/>
        <v>2.848915393712641</v>
      </c>
      <c r="Q2493" s="361">
        <f t="shared" si="2558"/>
        <v>3.7664085962577394</v>
      </c>
      <c r="R2493" s="361">
        <f t="shared" si="2558"/>
        <v>4.9793804846824683</v>
      </c>
      <c r="S2493" s="361">
        <f t="shared" si="2558"/>
        <v>6.5829899697743564</v>
      </c>
      <c r="T2493" s="361">
        <f t="shared" si="2558"/>
        <v>8.7030418895400548</v>
      </c>
      <c r="U2493" s="361">
        <f t="shared" si="2558"/>
        <v>11.505856530066254</v>
      </c>
      <c r="V2493" s="362">
        <f t="shared" si="2558"/>
        <v>15.211317625573857</v>
      </c>
      <c r="X2493" s="351"/>
    </row>
    <row r="2494" spans="3:24" ht="24.75" customHeight="1" x14ac:dyDescent="0.3">
      <c r="C2494" s="353">
        <f>ABS(E2494-Dashboard!$F$14)</f>
        <v>48.86776861129605</v>
      </c>
      <c r="D2494" s="350">
        <f t="shared" si="2511"/>
        <v>0.32214999999997979</v>
      </c>
      <c r="E2494" s="359" cm="1">
        <f t="array" ref="E2494">1000*SUM('DRE + DCF'!$L$36/M2494,'DRE + DCF'!$N$36:$V$36/N2494:V2494,F2494/V2494)/Dashboard!$F$11</f>
        <v>48.122231388703945</v>
      </c>
      <c r="F2494" s="359">
        <f t="shared" si="2509"/>
        <v>8090901.6880875416</v>
      </c>
      <c r="G2494" s="359">
        <f>'DRE + DCF'!$W$31</f>
        <v>2791623.3540418856</v>
      </c>
      <c r="H2494" s="359">
        <f>'DRE + DCF'!$W$32</f>
        <v>81081.931703745853</v>
      </c>
      <c r="I2494" s="359">
        <f>-H2494*('DRE + DCF'!$V$33+K2494)/'DRE + DCF'!$V$33</f>
        <v>-90858.801614444121</v>
      </c>
      <c r="J2494" s="359">
        <f>-'DRE + DCF'!$V$56*L2494</f>
        <v>-1188924.4255577971</v>
      </c>
      <c r="K2494" s="360">
        <f>(1+L2494)/(1+Ke!$O$12)-1</f>
        <v>2.0000000000000018E-2</v>
      </c>
      <c r="L2494" s="360">
        <f>'DRE + DCF'!$Y$31</f>
        <v>7.3550000000000004E-2</v>
      </c>
      <c r="M2494" s="361">
        <f>(1+D2494)^((5-Dashboard!$F$9)*3/12)</f>
        <v>1.2329928182870245</v>
      </c>
      <c r="N2494" s="361">
        <f t="shared" ref="N2494:V2494" si="2559">M2494*(1+$D2494)</f>
        <v>1.6302014546981645</v>
      </c>
      <c r="O2494" s="361">
        <f t="shared" si="2559"/>
        <v>2.1553708533291451</v>
      </c>
      <c r="P2494" s="361">
        <f t="shared" si="2559"/>
        <v>2.8497235737290856</v>
      </c>
      <c r="Q2494" s="361">
        <f t="shared" si="2559"/>
        <v>3.7677620230058526</v>
      </c>
      <c r="R2494" s="361">
        <f t="shared" si="2559"/>
        <v>4.9815465587171115</v>
      </c>
      <c r="S2494" s="361">
        <f t="shared" si="2559"/>
        <v>6.5863517826077276</v>
      </c>
      <c r="T2494" s="361">
        <f t="shared" si="2559"/>
        <v>8.7081450093746735</v>
      </c>
      <c r="U2494" s="361">
        <f t="shared" si="2559"/>
        <v>11.513473924144549</v>
      </c>
      <c r="V2494" s="362">
        <f t="shared" si="2559"/>
        <v>15.222539548807482</v>
      </c>
      <c r="X2494" s="351"/>
    </row>
    <row r="2495" spans="3:24" ht="24.75" customHeight="1" x14ac:dyDescent="0.3">
      <c r="C2495" s="353">
        <f>ABS(E2495-Dashboard!$F$14)</f>
        <v>48.890551145757286</v>
      </c>
      <c r="D2495" s="350">
        <f t="shared" si="2511"/>
        <v>0.32224999999997977</v>
      </c>
      <c r="E2495" s="359" cm="1">
        <f t="array" ref="E2495">1000*SUM('DRE + DCF'!$L$36/M2495,'DRE + DCF'!$N$36:$V$36/N2495:V2495,F2495/V2495)/Dashboard!$F$11</f>
        <v>48.099448854242709</v>
      </c>
      <c r="F2495" s="359">
        <f t="shared" si="2509"/>
        <v>8088075.2895087563</v>
      </c>
      <c r="G2495" s="359">
        <f>'DRE + DCF'!$W$31</f>
        <v>2791623.3540418856</v>
      </c>
      <c r="H2495" s="359">
        <f>'DRE + DCF'!$W$32</f>
        <v>81081.931703745853</v>
      </c>
      <c r="I2495" s="359">
        <f>-H2495*('DRE + DCF'!$V$33+K2495)/'DRE + DCF'!$V$33</f>
        <v>-90858.801614444121</v>
      </c>
      <c r="J2495" s="359">
        <f>-'DRE + DCF'!$V$56*L2495</f>
        <v>-1188924.4255577971</v>
      </c>
      <c r="K2495" s="360">
        <f>(1+L2495)/(1+Ke!$O$12)-1</f>
        <v>2.0000000000000018E-2</v>
      </c>
      <c r="L2495" s="360">
        <f>'DRE + DCF'!$Y$31</f>
        <v>7.3550000000000004E-2</v>
      </c>
      <c r="M2495" s="361">
        <f>(1+D2495)^((5-Dashboard!$F$9)*3/12)</f>
        <v>1.2330627601144404</v>
      </c>
      <c r="N2495" s="361">
        <f t="shared" ref="N2495:V2495" si="2560">M2495*(1+$D2495)</f>
        <v>1.6304172345612937</v>
      </c>
      <c r="O2495" s="361">
        <f t="shared" si="2560"/>
        <v>2.1558191883986377</v>
      </c>
      <c r="P2495" s="361">
        <f t="shared" si="2560"/>
        <v>2.8505319218600551</v>
      </c>
      <c r="Q2495" s="361">
        <f t="shared" si="2560"/>
        <v>3.7691158336794</v>
      </c>
      <c r="R2495" s="361">
        <f t="shared" si="2560"/>
        <v>4.9837134110825101</v>
      </c>
      <c r="S2495" s="361">
        <f t="shared" si="2560"/>
        <v>6.5897150578037476</v>
      </c>
      <c r="T2495" s="361">
        <f t="shared" si="2560"/>
        <v>8.7132507351808712</v>
      </c>
      <c r="U2495" s="361">
        <f t="shared" si="2560"/>
        <v>11.521095784592731</v>
      </c>
      <c r="V2495" s="362">
        <f t="shared" si="2560"/>
        <v>15.233768901177505</v>
      </c>
      <c r="X2495" s="351"/>
    </row>
    <row r="2496" spans="3:24" ht="24.75" customHeight="1" x14ac:dyDescent="0.3">
      <c r="C2496" s="353">
        <f>ABS(E2496-Dashboard!$F$14)</f>
        <v>48.913314260171482</v>
      </c>
      <c r="D2496" s="350">
        <f t="shared" si="2511"/>
        <v>0.32234999999997976</v>
      </c>
      <c r="E2496" s="359" cm="1">
        <f t="array" ref="E2496">1000*SUM('DRE + DCF'!$L$36/M2496,'DRE + DCF'!$N$36:$V$36/N2496:V2496,F2496/V2496)/Dashboard!$F$11</f>
        <v>48.076685739828513</v>
      </c>
      <c r="F2496" s="359">
        <f t="shared" si="2509"/>
        <v>8085250.8982065674</v>
      </c>
      <c r="G2496" s="359">
        <f>'DRE + DCF'!$W$31</f>
        <v>2791623.3540418856</v>
      </c>
      <c r="H2496" s="359">
        <f>'DRE + DCF'!$W$32</f>
        <v>81081.931703745853</v>
      </c>
      <c r="I2496" s="359">
        <f>-H2496*('DRE + DCF'!$V$33+K2496)/'DRE + DCF'!$V$33</f>
        <v>-90858.801614444121</v>
      </c>
      <c r="J2496" s="359">
        <f>-'DRE + DCF'!$V$56*L2496</f>
        <v>-1188924.4255577971</v>
      </c>
      <c r="K2496" s="360">
        <f>(1+L2496)/(1+Ke!$O$12)-1</f>
        <v>2.0000000000000018E-2</v>
      </c>
      <c r="L2496" s="360">
        <f>'DRE + DCF'!$Y$31</f>
        <v>7.3550000000000004E-2</v>
      </c>
      <c r="M2496" s="361">
        <f>(1+D2496)^((5-Dashboard!$F$9)*3/12)</f>
        <v>1.233132700619467</v>
      </c>
      <c r="N2496" s="361">
        <f t="shared" ref="N2496:V2496" si="2561">M2496*(1+$D2496)</f>
        <v>1.6306330266641271</v>
      </c>
      <c r="O2496" s="361">
        <f t="shared" si="2561"/>
        <v>2.1562675828092752</v>
      </c>
      <c r="P2496" s="361">
        <f t="shared" si="2561"/>
        <v>2.8513404381278011</v>
      </c>
      <c r="Q2496" s="361">
        <f t="shared" si="2561"/>
        <v>3.7704700283582402</v>
      </c>
      <c r="R2496" s="361">
        <f t="shared" si="2561"/>
        <v>4.9858810419994422</v>
      </c>
      <c r="S2496" s="361">
        <f t="shared" si="2561"/>
        <v>6.5930797958878609</v>
      </c>
      <c r="T2496" s="361">
        <f t="shared" si="2561"/>
        <v>8.7183590680921785</v>
      </c>
      <c r="U2496" s="361">
        <f t="shared" si="2561"/>
        <v>11.528722113691515</v>
      </c>
      <c r="V2496" s="362">
        <f t="shared" si="2561"/>
        <v>15.245005687039741</v>
      </c>
      <c r="X2496" s="351"/>
    </row>
    <row r="2497" spans="3:24" ht="24.75" customHeight="1" x14ac:dyDescent="0.3">
      <c r="C2497" s="353">
        <f>ABS(E2497-Dashboard!$F$14)</f>
        <v>48.936057977589229</v>
      </c>
      <c r="D2497" s="350">
        <f t="shared" si="2511"/>
        <v>0.32244999999997975</v>
      </c>
      <c r="E2497" s="359" cm="1">
        <f t="array" ref="E2497">1000*SUM('DRE + DCF'!$L$36/M2497,'DRE + DCF'!$N$36:$V$36/N2497:V2497,F2497/V2497)/Dashboard!$F$11</f>
        <v>48.053942022410766</v>
      </c>
      <c r="F2497" s="359">
        <f t="shared" si="2509"/>
        <v>8082428.5120078111</v>
      </c>
      <c r="G2497" s="359">
        <f>'DRE + DCF'!$W$31</f>
        <v>2791623.3540418856</v>
      </c>
      <c r="H2497" s="359">
        <f>'DRE + DCF'!$W$32</f>
        <v>81081.931703745853</v>
      </c>
      <c r="I2497" s="359">
        <f>-H2497*('DRE + DCF'!$V$33+K2497)/'DRE + DCF'!$V$33</f>
        <v>-90858.801614444121</v>
      </c>
      <c r="J2497" s="359">
        <f>-'DRE + DCF'!$V$56*L2497</f>
        <v>-1188924.4255577971</v>
      </c>
      <c r="K2497" s="360">
        <f>(1+L2497)/(1+Ke!$O$12)-1</f>
        <v>2.0000000000000018E-2</v>
      </c>
      <c r="L2497" s="360">
        <f>'DRE + DCF'!$Y$31</f>
        <v>7.3550000000000004E-2</v>
      </c>
      <c r="M2497" s="361">
        <f>(1+D2497)^((5-Dashboard!$F$9)*3/12)</f>
        <v>1.2332026398022295</v>
      </c>
      <c r="N2497" s="361">
        <f t="shared" ref="N2497:V2497" si="2562">M2497*(1+$D2497)</f>
        <v>1.6308488310064335</v>
      </c>
      <c r="O2497" s="361">
        <f t="shared" si="2562"/>
        <v>2.1567160365644247</v>
      </c>
      <c r="P2497" s="361">
        <f t="shared" si="2562"/>
        <v>2.8521491225545796</v>
      </c>
      <c r="Q2497" s="361">
        <f t="shared" si="2562"/>
        <v>3.7718246071222459</v>
      </c>
      <c r="R2497" s="361">
        <f t="shared" si="2562"/>
        <v>4.9880494516887373</v>
      </c>
      <c r="S2497" s="361">
        <f t="shared" si="2562"/>
        <v>6.5964459973856693</v>
      </c>
      <c r="T2497" s="361">
        <f t="shared" si="2562"/>
        <v>8.7234700092425452</v>
      </c>
      <c r="U2497" s="361">
        <f t="shared" si="2562"/>
        <v>11.536352913722627</v>
      </c>
      <c r="V2497" s="362">
        <f t="shared" si="2562"/>
        <v>15.256249910752254</v>
      </c>
      <c r="X2497" s="351"/>
    </row>
    <row r="2498" spans="3:24" ht="24.75" customHeight="1" x14ac:dyDescent="0.3">
      <c r="C2498" s="353">
        <f>ABS(E2498-Dashboard!$F$14)</f>
        <v>48.958782321026035</v>
      </c>
      <c r="D2498" s="350">
        <f t="shared" si="2511"/>
        <v>0.32254999999997974</v>
      </c>
      <c r="E2498" s="359" cm="1">
        <f t="array" ref="E2498">1000*SUM('DRE + DCF'!$L$36/M2498,'DRE + DCF'!$N$36:$V$36/N2498:V2498,F2498/V2498)/Dashboard!$F$11</f>
        <v>48.03121767897396</v>
      </c>
      <c r="F2498" s="359">
        <f t="shared" si="2509"/>
        <v>8079608.128742516</v>
      </c>
      <c r="G2498" s="359">
        <f>'DRE + DCF'!$W$31</f>
        <v>2791623.3540418856</v>
      </c>
      <c r="H2498" s="359">
        <f>'DRE + DCF'!$W$32</f>
        <v>81081.931703745853</v>
      </c>
      <c r="I2498" s="359">
        <f>-H2498*('DRE + DCF'!$V$33+K2498)/'DRE + DCF'!$V$33</f>
        <v>-90858.801614444121</v>
      </c>
      <c r="J2498" s="359">
        <f>-'DRE + DCF'!$V$56*L2498</f>
        <v>-1188924.4255577971</v>
      </c>
      <c r="K2498" s="360">
        <f>(1+L2498)/(1+Ke!$O$12)-1</f>
        <v>2.0000000000000018E-2</v>
      </c>
      <c r="L2498" s="360">
        <f>'DRE + DCF'!$Y$31</f>
        <v>7.3550000000000004E-2</v>
      </c>
      <c r="M2498" s="361">
        <f>(1+D2498)^((5-Dashboard!$F$9)*3/12)</f>
        <v>1.2332725776628528</v>
      </c>
      <c r="N2498" s="361">
        <f t="shared" ref="N2498:V2498" si="2563">M2498*(1+$D2498)</f>
        <v>1.6310646475879809</v>
      </c>
      <c r="O2498" s="361">
        <f t="shared" si="2563"/>
        <v>2.157164549667451</v>
      </c>
      <c r="P2498" s="361">
        <f t="shared" si="2563"/>
        <v>2.8529579751626435</v>
      </c>
      <c r="Q2498" s="361">
        <f t="shared" si="2563"/>
        <v>3.7731795700512962</v>
      </c>
      <c r="R2498" s="361">
        <f t="shared" si="2563"/>
        <v>4.9902186403712649</v>
      </c>
      <c r="S2498" s="361">
        <f t="shared" si="2563"/>
        <v>6.5998136628229149</v>
      </c>
      <c r="T2498" s="361">
        <f t="shared" si="2563"/>
        <v>8.728583559766312</v>
      </c>
      <c r="U2498" s="361">
        <f t="shared" si="2563"/>
        <v>11.543988186968759</v>
      </c>
      <c r="V2498" s="362">
        <f t="shared" si="2563"/>
        <v>15.267501576675299</v>
      </c>
      <c r="X2498" s="351"/>
    </row>
    <row r="2499" spans="3:24" ht="24.75" customHeight="1" x14ac:dyDescent="0.3">
      <c r="C2499" s="353">
        <f>ABS(E2499-Dashboard!$F$14)</f>
        <v>48.981487313462601</v>
      </c>
      <c r="D2499" s="350">
        <f t="shared" si="2511"/>
        <v>0.32264999999997973</v>
      </c>
      <c r="E2499" s="359" cm="1">
        <f t="array" ref="E2499">1000*SUM('DRE + DCF'!$L$36/M2499,'DRE + DCF'!$N$36:$V$36/N2499:V2499,F2499/V2499)/Dashboard!$F$11</f>
        <v>48.008512686537394</v>
      </c>
      <c r="F2499" s="359">
        <f t="shared" si="2509"/>
        <v>8076789.7462438866</v>
      </c>
      <c r="G2499" s="359">
        <f>'DRE + DCF'!$W$31</f>
        <v>2791623.3540418856</v>
      </c>
      <c r="H2499" s="359">
        <f>'DRE + DCF'!$W$32</f>
        <v>81081.931703745853</v>
      </c>
      <c r="I2499" s="359">
        <f>-H2499*('DRE + DCF'!$V$33+K2499)/'DRE + DCF'!$V$33</f>
        <v>-90858.801614444121</v>
      </c>
      <c r="J2499" s="359">
        <f>-'DRE + DCF'!$V$56*L2499</f>
        <v>-1188924.4255577971</v>
      </c>
      <c r="K2499" s="360">
        <f>(1+L2499)/(1+Ke!$O$12)-1</f>
        <v>2.0000000000000018E-2</v>
      </c>
      <c r="L2499" s="360">
        <f>'DRE + DCF'!$Y$31</f>
        <v>7.3550000000000004E-2</v>
      </c>
      <c r="M2499" s="361">
        <f>(1+D2499)^((5-Dashboard!$F$9)*3/12)</f>
        <v>1.2333425142014618</v>
      </c>
      <c r="N2499" s="361">
        <f t="shared" ref="N2499:V2499" si="2564">M2499*(1+$D2499)</f>
        <v>1.6312804764085385</v>
      </c>
      <c r="O2499" s="361">
        <f t="shared" si="2564"/>
        <v>2.1576131221217203</v>
      </c>
      <c r="P2499" s="361">
        <f t="shared" si="2564"/>
        <v>2.8537669959742495</v>
      </c>
      <c r="Q2499" s="361">
        <f t="shared" si="2564"/>
        <v>3.7745349172252833</v>
      </c>
      <c r="R2499" s="361">
        <f t="shared" si="2564"/>
        <v>4.9923886082679445</v>
      </c>
      <c r="S2499" s="361">
        <f t="shared" si="2564"/>
        <v>6.6031827927254954</v>
      </c>
      <c r="T2499" s="361">
        <f t="shared" si="2564"/>
        <v>8.7336997207982421</v>
      </c>
      <c r="U2499" s="361">
        <f t="shared" si="2564"/>
        <v>11.551627935713617</v>
      </c>
      <c r="V2499" s="362">
        <f t="shared" si="2564"/>
        <v>15.27876068917138</v>
      </c>
      <c r="X2499" s="351"/>
    </row>
    <row r="2500" spans="3:24" ht="24.75" customHeight="1" x14ac:dyDescent="0.3">
      <c r="C2500" s="353">
        <f>ABS(E2500-Dashboard!$F$14)</f>
        <v>49.00417297784481</v>
      </c>
      <c r="D2500" s="350">
        <f t="shared" si="2511"/>
        <v>0.32274999999997972</v>
      </c>
      <c r="E2500" s="359" cm="1">
        <f t="array" ref="E2500">1000*SUM('DRE + DCF'!$L$36/M2500,'DRE + DCF'!$N$36:$V$36/N2500:V2500,F2500/V2500)/Dashboard!$F$11</f>
        <v>47.985827022155185</v>
      </c>
      <c r="F2500" s="359">
        <f t="shared" si="2509"/>
        <v>8073973.3623482995</v>
      </c>
      <c r="G2500" s="359">
        <f>'DRE + DCF'!$W$31</f>
        <v>2791623.3540418856</v>
      </c>
      <c r="H2500" s="359">
        <f>'DRE + DCF'!$W$32</f>
        <v>81081.931703745853</v>
      </c>
      <c r="I2500" s="359">
        <f>-H2500*('DRE + DCF'!$V$33+K2500)/'DRE + DCF'!$V$33</f>
        <v>-90858.801614444121</v>
      </c>
      <c r="J2500" s="359">
        <f>-'DRE + DCF'!$V$56*L2500</f>
        <v>-1188924.4255577971</v>
      </c>
      <c r="K2500" s="360">
        <f>(1+L2500)/(1+Ke!$O$12)-1</f>
        <v>2.0000000000000018E-2</v>
      </c>
      <c r="L2500" s="360">
        <f>'DRE + DCF'!$Y$31</f>
        <v>7.3550000000000004E-2</v>
      </c>
      <c r="M2500" s="361">
        <f>(1+D2500)^((5-Dashboard!$F$9)*3/12)</f>
        <v>1.2334124494181813</v>
      </c>
      <c r="N2500" s="361">
        <f t="shared" ref="N2500:V2500" si="2565">M2500*(1+$D2500)</f>
        <v>1.6314963174678743</v>
      </c>
      <c r="O2500" s="361">
        <f t="shared" si="2565"/>
        <v>2.1580617539305975</v>
      </c>
      <c r="P2500" s="361">
        <f t="shared" si="2565"/>
        <v>2.8545761850116538</v>
      </c>
      <c r="Q2500" s="361">
        <f t="shared" si="2565"/>
        <v>3.7758906487241068</v>
      </c>
      <c r="R2500" s="361">
        <f t="shared" si="2565"/>
        <v>4.9945593555997352</v>
      </c>
      <c r="S2500" s="361">
        <f t="shared" si="2565"/>
        <v>6.6065533876194484</v>
      </c>
      <c r="T2500" s="361">
        <f t="shared" si="2565"/>
        <v>8.7388184934734916</v>
      </c>
      <c r="U2500" s="361">
        <f t="shared" si="2565"/>
        <v>11.559272162241884</v>
      </c>
      <c r="V2500" s="362">
        <f t="shared" si="2565"/>
        <v>15.290027252605217</v>
      </c>
      <c r="X2500" s="351"/>
    </row>
    <row r="2501" spans="3:24" ht="24.75" customHeight="1" x14ac:dyDescent="0.3">
      <c r="C2501" s="353">
        <f>ABS(E2501-Dashboard!$F$14)</f>
        <v>49.026839337083807</v>
      </c>
      <c r="D2501" s="350">
        <f t="shared" si="2511"/>
        <v>0.32284999999997971</v>
      </c>
      <c r="E2501" s="359" cm="1">
        <f t="array" ref="E2501">1000*SUM('DRE + DCF'!$L$36/M2501,'DRE + DCF'!$N$36:$V$36/N2501:V2501,F2501/V2501)/Dashboard!$F$11</f>
        <v>47.963160662916188</v>
      </c>
      <c r="F2501" s="359">
        <f t="shared" si="2509"/>
        <v>8071158.9748953041</v>
      </c>
      <c r="G2501" s="359">
        <f>'DRE + DCF'!$W$31</f>
        <v>2791623.3540418856</v>
      </c>
      <c r="H2501" s="359">
        <f>'DRE + DCF'!$W$32</f>
        <v>81081.931703745853</v>
      </c>
      <c r="I2501" s="359">
        <f>-H2501*('DRE + DCF'!$V$33+K2501)/'DRE + DCF'!$V$33</f>
        <v>-90858.801614444121</v>
      </c>
      <c r="J2501" s="359">
        <f>-'DRE + DCF'!$V$56*L2501</f>
        <v>-1188924.4255577971</v>
      </c>
      <c r="K2501" s="360">
        <f>(1+L2501)/(1+Ke!$O$12)-1</f>
        <v>2.0000000000000018E-2</v>
      </c>
      <c r="L2501" s="360">
        <f>'DRE + DCF'!$Y$31</f>
        <v>7.3550000000000004E-2</v>
      </c>
      <c r="M2501" s="361">
        <f>(1+D2501)^((5-Dashboard!$F$9)*3/12)</f>
        <v>1.2334823833131365</v>
      </c>
      <c r="N2501" s="361">
        <f t="shared" ref="N2501:V2501" si="2566">M2501*(1+$D2501)</f>
        <v>1.6317121707657576</v>
      </c>
      <c r="O2501" s="361">
        <f t="shared" si="2566"/>
        <v>2.1585104450974493</v>
      </c>
      <c r="P2501" s="361">
        <f t="shared" si="2566"/>
        <v>2.8553855422971171</v>
      </c>
      <c r="Q2501" s="361">
        <f t="shared" si="2566"/>
        <v>3.7772467646276833</v>
      </c>
      <c r="R2501" s="361">
        <f t="shared" si="2566"/>
        <v>4.996730882587654</v>
      </c>
      <c r="S2501" s="361">
        <f t="shared" si="2566"/>
        <v>6.6099254480309764</v>
      </c>
      <c r="T2501" s="361">
        <f t="shared" si="2566"/>
        <v>8.7439398789276428</v>
      </c>
      <c r="U2501" s="361">
        <f t="shared" si="2566"/>
        <v>11.566920868839254</v>
      </c>
      <c r="V2501" s="362">
        <f t="shared" si="2566"/>
        <v>15.301301271343773</v>
      </c>
      <c r="X2501" s="351"/>
    </row>
    <row r="2502" spans="3:24" ht="24.75" customHeight="1" x14ac:dyDescent="0.3">
      <c r="C2502" s="353">
        <f>ABS(E2502-Dashboard!$F$14)</f>
        <v>49.049486414056027</v>
      </c>
      <c r="D2502" s="350">
        <f t="shared" si="2511"/>
        <v>0.3229499999999797</v>
      </c>
      <c r="E2502" s="359" cm="1">
        <f t="array" ref="E2502">1000*SUM('DRE + DCF'!$L$36/M2502,'DRE + DCF'!$N$36:$V$36/N2502:V2502,F2502/V2502)/Dashboard!$F$11</f>
        <v>47.940513585943968</v>
      </c>
      <c r="F2502" s="359">
        <f t="shared" si="2509"/>
        <v>8068346.581727609</v>
      </c>
      <c r="G2502" s="359">
        <f>'DRE + DCF'!$W$31</f>
        <v>2791623.3540418856</v>
      </c>
      <c r="H2502" s="359">
        <f>'DRE + DCF'!$W$32</f>
        <v>81081.931703745853</v>
      </c>
      <c r="I2502" s="359">
        <f>-H2502*('DRE + DCF'!$V$33+K2502)/'DRE + DCF'!$V$33</f>
        <v>-90858.801614444121</v>
      </c>
      <c r="J2502" s="359">
        <f>-'DRE + DCF'!$V$56*L2502</f>
        <v>-1188924.4255577971</v>
      </c>
      <c r="K2502" s="360">
        <f>(1+L2502)/(1+Ke!$O$12)-1</f>
        <v>2.0000000000000018E-2</v>
      </c>
      <c r="L2502" s="360">
        <f>'DRE + DCF'!$Y$31</f>
        <v>7.3550000000000004E-2</v>
      </c>
      <c r="M2502" s="361">
        <f>(1+D2502)^((5-Dashboard!$F$9)*3/12)</f>
        <v>1.2335523158864521</v>
      </c>
      <c r="N2502" s="361">
        <f t="shared" ref="N2502:V2502" si="2567">M2502*(1+$D2502)</f>
        <v>1.6319280363019566</v>
      </c>
      <c r="O2502" s="361">
        <f t="shared" si="2567"/>
        <v>2.1589591956256404</v>
      </c>
      <c r="P2502" s="361">
        <f t="shared" si="2567"/>
        <v>2.8561950678528971</v>
      </c>
      <c r="Q2502" s="361">
        <f t="shared" si="2567"/>
        <v>3.7786032650159322</v>
      </c>
      <c r="R2502" s="361">
        <f t="shared" si="2567"/>
        <v>4.9989031894527507</v>
      </c>
      <c r="S2502" s="361">
        <f t="shared" si="2567"/>
        <v>6.6132989744864146</v>
      </c>
      <c r="T2502" s="361">
        <f t="shared" si="2567"/>
        <v>8.749063878296667</v>
      </c>
      <c r="U2502" s="361">
        <f t="shared" si="2567"/>
        <v>11.574574057792397</v>
      </c>
      <c r="V2502" s="362">
        <f t="shared" si="2567"/>
        <v>15.312582749756215</v>
      </c>
      <c r="X2502" s="351"/>
    </row>
    <row r="2503" spans="3:24" ht="24.75" customHeight="1" x14ac:dyDescent="0.3">
      <c r="C2503" s="353">
        <f>ABS(E2503-Dashboard!$F$14)</f>
        <v>49.072114231603322</v>
      </c>
      <c r="D2503" s="350">
        <f t="shared" si="2511"/>
        <v>0.32304999999997969</v>
      </c>
      <c r="E2503" s="359" cm="1">
        <f t="array" ref="E2503">1000*SUM('DRE + DCF'!$L$36/M2503,'DRE + DCF'!$N$36:$V$36/N2503:V2503,F2503/V2503)/Dashboard!$F$11</f>
        <v>47.917885768396673</v>
      </c>
      <c r="F2503" s="359">
        <f t="shared" si="2509"/>
        <v>8065536.1806910783</v>
      </c>
      <c r="G2503" s="359">
        <f>'DRE + DCF'!$W$31</f>
        <v>2791623.3540418856</v>
      </c>
      <c r="H2503" s="359">
        <f>'DRE + DCF'!$W$32</f>
        <v>81081.931703745853</v>
      </c>
      <c r="I2503" s="359">
        <f>-H2503*('DRE + DCF'!$V$33+K2503)/'DRE + DCF'!$V$33</f>
        <v>-90858.801614444121</v>
      </c>
      <c r="J2503" s="359">
        <f>-'DRE + DCF'!$V$56*L2503</f>
        <v>-1188924.4255577971</v>
      </c>
      <c r="K2503" s="360">
        <f>(1+L2503)/(1+Ke!$O$12)-1</f>
        <v>2.0000000000000018E-2</v>
      </c>
      <c r="L2503" s="360">
        <f>'DRE + DCF'!$Y$31</f>
        <v>7.3550000000000004E-2</v>
      </c>
      <c r="M2503" s="361">
        <f>(1+D2503)^((5-Dashboard!$F$9)*3/12)</f>
        <v>1.233622247138253</v>
      </c>
      <c r="N2503" s="361">
        <f t="shared" ref="N2503:V2503" si="2568">M2503*(1+$D2503)</f>
        <v>1.6321439140762404</v>
      </c>
      <c r="O2503" s="361">
        <f t="shared" si="2568"/>
        <v>2.1594080055185367</v>
      </c>
      <c r="P2503" s="361">
        <f t="shared" si="2568"/>
        <v>2.8570047617012562</v>
      </c>
      <c r="Q2503" s="361">
        <f t="shared" si="2568"/>
        <v>3.7799601499687889</v>
      </c>
      <c r="R2503" s="361">
        <f t="shared" si="2568"/>
        <v>5.0010762764161294</v>
      </c>
      <c r="S2503" s="361">
        <f t="shared" si="2568"/>
        <v>6.6166739675122583</v>
      </c>
      <c r="T2503" s="361">
        <f t="shared" si="2568"/>
        <v>8.7541904927169583</v>
      </c>
      <c r="U2503" s="361">
        <f t="shared" si="2568"/>
        <v>11.582231731388994</v>
      </c>
      <c r="V2503" s="362">
        <f t="shared" si="2568"/>
        <v>15.323871692213972</v>
      </c>
      <c r="X2503" s="351"/>
    </row>
    <row r="2504" spans="3:24" ht="24.75" customHeight="1" x14ac:dyDescent="0.3">
      <c r="C2504" s="353">
        <f>ABS(E2504-Dashboard!$F$14)</f>
        <v>49.094722812532964</v>
      </c>
      <c r="D2504" s="350">
        <f t="shared" si="2511"/>
        <v>0.32314999999997968</v>
      </c>
      <c r="E2504" s="359" cm="1">
        <f t="array" ref="E2504">1000*SUM('DRE + DCF'!$L$36/M2504,'DRE + DCF'!$N$36:$V$36/N2504:V2504,F2504/V2504)/Dashboard!$F$11</f>
        <v>47.89527718746703</v>
      </c>
      <c r="F2504" s="359">
        <f t="shared" si="2509"/>
        <v>8062727.7696347311</v>
      </c>
      <c r="G2504" s="359">
        <f>'DRE + DCF'!$W$31</f>
        <v>2791623.3540418856</v>
      </c>
      <c r="H2504" s="359">
        <f>'DRE + DCF'!$W$32</f>
        <v>81081.931703745853</v>
      </c>
      <c r="I2504" s="359">
        <f>-H2504*('DRE + DCF'!$V$33+K2504)/'DRE + DCF'!$V$33</f>
        <v>-90858.801614444121</v>
      </c>
      <c r="J2504" s="359">
        <f>-'DRE + DCF'!$V$56*L2504</f>
        <v>-1188924.4255577971</v>
      </c>
      <c r="K2504" s="360">
        <f>(1+L2504)/(1+Ke!$O$12)-1</f>
        <v>2.0000000000000018E-2</v>
      </c>
      <c r="L2504" s="360">
        <f>'DRE + DCF'!$Y$31</f>
        <v>7.3550000000000004E-2</v>
      </c>
      <c r="M2504" s="361">
        <f>(1+D2504)^((5-Dashboard!$F$9)*3/12)</f>
        <v>1.2336921770686642</v>
      </c>
      <c r="N2504" s="361">
        <f t="shared" ref="N2504:V2504" si="2569">M2504*(1+$D2504)</f>
        <v>1.6323598040883778</v>
      </c>
      <c r="O2504" s="361">
        <f t="shared" si="2569"/>
        <v>2.1598568747795039</v>
      </c>
      <c r="P2504" s="361">
        <f t="shared" si="2569"/>
        <v>2.8578146238644568</v>
      </c>
      <c r="Q2504" s="361">
        <f t="shared" si="2569"/>
        <v>3.7813174195661978</v>
      </c>
      <c r="R2504" s="361">
        <f t="shared" si="2569"/>
        <v>5.0032501436989376</v>
      </c>
      <c r="S2504" s="361">
        <f t="shared" si="2569"/>
        <v>6.6200504276351477</v>
      </c>
      <c r="T2504" s="361">
        <f t="shared" si="2569"/>
        <v>8.7593197233253104</v>
      </c>
      <c r="U2504" s="361">
        <f t="shared" si="2569"/>
        <v>11.589893891917706</v>
      </c>
      <c r="V2504" s="362">
        <f t="shared" si="2569"/>
        <v>15.335168103090677</v>
      </c>
      <c r="X2504" s="351"/>
    </row>
    <row r="2505" spans="3:24" ht="24.75" customHeight="1" x14ac:dyDescent="0.3">
      <c r="C2505" s="353">
        <f>ABS(E2505-Dashboard!$F$14)</f>
        <v>49.117312179617748</v>
      </c>
      <c r="D2505" s="350">
        <f t="shared" si="2511"/>
        <v>0.32324999999997966</v>
      </c>
      <c r="E2505" s="359" cm="1">
        <f t="array" ref="E2505">1000*SUM('DRE + DCF'!$L$36/M2505,'DRE + DCF'!$N$36:$V$36/N2505:V2505,F2505/V2505)/Dashboard!$F$11</f>
        <v>47.872687820382247</v>
      </c>
      <c r="F2505" s="359">
        <f t="shared" si="2509"/>
        <v>8059921.3464107253</v>
      </c>
      <c r="G2505" s="359">
        <f>'DRE + DCF'!$W$31</f>
        <v>2791623.3540418856</v>
      </c>
      <c r="H2505" s="359">
        <f>'DRE + DCF'!$W$32</f>
        <v>81081.931703745853</v>
      </c>
      <c r="I2505" s="359">
        <f>-H2505*('DRE + DCF'!$V$33+K2505)/'DRE + DCF'!$V$33</f>
        <v>-90858.801614444121</v>
      </c>
      <c r="J2505" s="359">
        <f>-'DRE + DCF'!$V$56*L2505</f>
        <v>-1188924.4255577971</v>
      </c>
      <c r="K2505" s="360">
        <f>(1+L2505)/(1+Ke!$O$12)-1</f>
        <v>2.0000000000000018E-2</v>
      </c>
      <c r="L2505" s="360">
        <f>'DRE + DCF'!$Y$31</f>
        <v>7.3550000000000004E-2</v>
      </c>
      <c r="M2505" s="361">
        <f>(1+D2505)^((5-Dashboard!$F$9)*3/12)</f>
        <v>1.2337621056778103</v>
      </c>
      <c r="N2505" s="361">
        <f t="shared" ref="N2505:V2505" si="2570">M2505*(1+$D2505)</f>
        <v>1.6325757063381374</v>
      </c>
      <c r="O2505" s="361">
        <f t="shared" si="2570"/>
        <v>2.1603058034119069</v>
      </c>
      <c r="P2505" s="361">
        <f t="shared" si="2570"/>
        <v>2.8586246543647618</v>
      </c>
      <c r="Q2505" s="361">
        <f t="shared" si="2570"/>
        <v>3.7826750738881127</v>
      </c>
      <c r="R2505" s="361">
        <f t="shared" si="2570"/>
        <v>5.0054247915223682</v>
      </c>
      <c r="S2505" s="361">
        <f t="shared" si="2570"/>
        <v>6.623428355381872</v>
      </c>
      <c r="T2505" s="361">
        <f t="shared" si="2570"/>
        <v>8.7644515712589275</v>
      </c>
      <c r="U2505" s="361">
        <f t="shared" si="2570"/>
        <v>11.597560541668198</v>
      </c>
      <c r="V2505" s="362">
        <f t="shared" si="2570"/>
        <v>15.346471986762207</v>
      </c>
      <c r="X2505" s="351"/>
    </row>
    <row r="2506" spans="3:24" ht="24.75" customHeight="1" x14ac:dyDescent="0.3">
      <c r="C2506" s="353">
        <f>ABS(E2506-Dashboard!$F$14)</f>
        <v>49.139882355596043</v>
      </c>
      <c r="D2506" s="350">
        <f t="shared" si="2511"/>
        <v>0.32334999999997965</v>
      </c>
      <c r="E2506" s="359" cm="1">
        <f t="array" ref="E2506">1000*SUM('DRE + DCF'!$L$36/M2506,'DRE + DCF'!$N$36:$V$36/N2506:V2506,F2506/V2506)/Dashboard!$F$11</f>
        <v>47.850117644403952</v>
      </c>
      <c r="F2506" s="359">
        <f t="shared" si="2509"/>
        <v>8057116.9088743599</v>
      </c>
      <c r="G2506" s="359">
        <f>'DRE + DCF'!$W$31</f>
        <v>2791623.3540418856</v>
      </c>
      <c r="H2506" s="359">
        <f>'DRE + DCF'!$W$32</f>
        <v>81081.931703745853</v>
      </c>
      <c r="I2506" s="359">
        <f>-H2506*('DRE + DCF'!$V$33+K2506)/'DRE + DCF'!$V$33</f>
        <v>-90858.801614444121</v>
      </c>
      <c r="J2506" s="359">
        <f>-'DRE + DCF'!$V$56*L2506</f>
        <v>-1188924.4255577971</v>
      </c>
      <c r="K2506" s="360">
        <f>(1+L2506)/(1+Ke!$O$12)-1</f>
        <v>2.0000000000000018E-2</v>
      </c>
      <c r="L2506" s="360">
        <f>'DRE + DCF'!$Y$31</f>
        <v>7.3550000000000004E-2</v>
      </c>
      <c r="M2506" s="361">
        <f>(1+D2506)^((5-Dashboard!$F$9)*3/12)</f>
        <v>1.2338320329658166</v>
      </c>
      <c r="N2506" s="361">
        <f t="shared" ref="N2506:V2506" si="2571">M2506*(1+$D2506)</f>
        <v>1.6327916208252882</v>
      </c>
      <c r="O2506" s="361">
        <f t="shared" si="2571"/>
        <v>2.1607547914191119</v>
      </c>
      <c r="P2506" s="361">
        <f t="shared" si="2571"/>
        <v>2.8594348532244376</v>
      </c>
      <c r="Q2506" s="361">
        <f t="shared" si="2571"/>
        <v>3.7840331130145013</v>
      </c>
      <c r="R2506" s="361">
        <f t="shared" si="2571"/>
        <v>5.0076002201076628</v>
      </c>
      <c r="S2506" s="361">
        <f t="shared" si="2571"/>
        <v>6.6268077512793733</v>
      </c>
      <c r="T2506" s="361">
        <f t="shared" si="2571"/>
        <v>8.769586037655424</v>
      </c>
      <c r="U2506" s="361">
        <f t="shared" si="2571"/>
        <v>11.605231682931127</v>
      </c>
      <c r="V2506" s="362">
        <f t="shared" si="2571"/>
        <v>15.35778334760667</v>
      </c>
      <c r="X2506" s="351"/>
    </row>
    <row r="2507" spans="3:24" ht="24.75" customHeight="1" x14ac:dyDescent="0.3">
      <c r="C2507" s="353">
        <f>ABS(E2507-Dashboard!$F$14)</f>
        <v>49.162433363171836</v>
      </c>
      <c r="D2507" s="350">
        <f t="shared" si="2511"/>
        <v>0.32344999999997964</v>
      </c>
      <c r="E2507" s="359" cm="1">
        <f t="array" ref="E2507">1000*SUM('DRE + DCF'!$L$36/M2507,'DRE + DCF'!$N$36:$V$36/N2507:V2507,F2507/V2507)/Dashboard!$F$11</f>
        <v>47.827566636828159</v>
      </c>
      <c r="F2507" s="359">
        <f t="shared" si="2509"/>
        <v>8054314.4548840709</v>
      </c>
      <c r="G2507" s="359">
        <f>'DRE + DCF'!$W$31</f>
        <v>2791623.3540418856</v>
      </c>
      <c r="H2507" s="359">
        <f>'DRE + DCF'!$W$32</f>
        <v>81081.931703745853</v>
      </c>
      <c r="I2507" s="359">
        <f>-H2507*('DRE + DCF'!$V$33+K2507)/'DRE + DCF'!$V$33</f>
        <v>-90858.801614444121</v>
      </c>
      <c r="J2507" s="359">
        <f>-'DRE + DCF'!$V$56*L2507</f>
        <v>-1188924.4255577971</v>
      </c>
      <c r="K2507" s="360">
        <f>(1+L2507)/(1+Ke!$O$12)-1</f>
        <v>2.0000000000000018E-2</v>
      </c>
      <c r="L2507" s="360">
        <f>'DRE + DCF'!$Y$31</f>
        <v>7.3550000000000004E-2</v>
      </c>
      <c r="M2507" s="361">
        <f>(1+D2507)^((5-Dashboard!$F$9)*3/12)</f>
        <v>1.2339019589328071</v>
      </c>
      <c r="N2507" s="361">
        <f t="shared" ref="N2507:V2507" si="2572">M2507*(1+$D2507)</f>
        <v>1.6330075475495984</v>
      </c>
      <c r="O2507" s="361">
        <f t="shared" si="2572"/>
        <v>2.1612038388044827</v>
      </c>
      <c r="P2507" s="361">
        <f t="shared" si="2572"/>
        <v>2.8602452204657487</v>
      </c>
      <c r="Q2507" s="361">
        <f t="shared" si="2572"/>
        <v>3.7853915370253368</v>
      </c>
      <c r="R2507" s="361">
        <f t="shared" si="2572"/>
        <v>5.0097764296761049</v>
      </c>
      <c r="S2507" s="361">
        <f t="shared" si="2572"/>
        <v>6.6301886158547392</v>
      </c>
      <c r="T2507" s="361">
        <f t="shared" si="2572"/>
        <v>8.7747231236528194</v>
      </c>
      <c r="U2507" s="361">
        <f t="shared" si="2572"/>
        <v>11.612907317998145</v>
      </c>
      <c r="V2507" s="362">
        <f t="shared" si="2572"/>
        <v>15.369102190004408</v>
      </c>
      <c r="X2507" s="351"/>
    </row>
    <row r="2508" spans="3:24" ht="24.75" customHeight="1" x14ac:dyDescent="0.3">
      <c r="C2508" s="353">
        <f>ABS(E2508-Dashboard!$F$14)</f>
        <v>49.184965225014835</v>
      </c>
      <c r="D2508" s="350">
        <f t="shared" si="2511"/>
        <v>0.32354999999997963</v>
      </c>
      <c r="E2508" s="359" cm="1">
        <f t="array" ref="E2508">1000*SUM('DRE + DCF'!$L$36/M2508,'DRE + DCF'!$N$36:$V$36/N2508:V2508,F2508/V2508)/Dashboard!$F$11</f>
        <v>47.80503477498516</v>
      </c>
      <c r="F2508" s="359">
        <f t="shared" si="2509"/>
        <v>8051513.9823014131</v>
      </c>
      <c r="G2508" s="359">
        <f>'DRE + DCF'!$W$31</f>
        <v>2791623.3540418856</v>
      </c>
      <c r="H2508" s="359">
        <f>'DRE + DCF'!$W$32</f>
        <v>81081.931703745853</v>
      </c>
      <c r="I2508" s="359">
        <f>-H2508*('DRE + DCF'!$V$33+K2508)/'DRE + DCF'!$V$33</f>
        <v>-90858.801614444121</v>
      </c>
      <c r="J2508" s="359">
        <f>-'DRE + DCF'!$V$56*L2508</f>
        <v>-1188924.4255577971</v>
      </c>
      <c r="K2508" s="360">
        <f>(1+L2508)/(1+Ke!$O$12)-1</f>
        <v>2.0000000000000018E-2</v>
      </c>
      <c r="L2508" s="360">
        <f>'DRE + DCF'!$Y$31</f>
        <v>7.3550000000000004E-2</v>
      </c>
      <c r="M2508" s="361">
        <f>(1+D2508)^((5-Dashboard!$F$9)*3/12)</f>
        <v>1.2339718835789073</v>
      </c>
      <c r="N2508" s="361">
        <f t="shared" ref="N2508:V2508" si="2573">M2508*(1+$D2508)</f>
        <v>1.6332234865108375</v>
      </c>
      <c r="O2508" s="361">
        <f t="shared" si="2573"/>
        <v>2.1616529455713858</v>
      </c>
      <c r="P2508" s="361">
        <f t="shared" si="2573"/>
        <v>2.8610557561109635</v>
      </c>
      <c r="Q2508" s="361">
        <f t="shared" si="2573"/>
        <v>3.7867503460006073</v>
      </c>
      <c r="R2508" s="361">
        <f t="shared" si="2573"/>
        <v>5.0119534204490268</v>
      </c>
      <c r="S2508" s="361">
        <f t="shared" si="2573"/>
        <v>6.6335709496352067</v>
      </c>
      <c r="T2508" s="361">
        <f t="shared" si="2573"/>
        <v>8.7798628303895416</v>
      </c>
      <c r="U2508" s="361">
        <f t="shared" si="2573"/>
        <v>11.620587449161899</v>
      </c>
      <c r="V2508" s="362">
        <f t="shared" si="2573"/>
        <v>15.380428518337995</v>
      </c>
      <c r="X2508" s="351"/>
    </row>
    <row r="2509" spans="3:24" ht="24.75" customHeight="1" x14ac:dyDescent="0.3">
      <c r="C2509" s="353">
        <f>ABS(E2509-Dashboard!$F$14)</f>
        <v>49.20747796376051</v>
      </c>
      <c r="D2509" s="350">
        <f t="shared" si="2511"/>
        <v>0.32364999999997962</v>
      </c>
      <c r="E2509" s="359" cm="1">
        <f t="array" ref="E2509">1000*SUM('DRE + DCF'!$L$36/M2509,'DRE + DCF'!$N$36:$V$36/N2509:V2509,F2509/V2509)/Dashboard!$F$11</f>
        <v>47.782522036239484</v>
      </c>
      <c r="F2509" s="359">
        <f t="shared" si="2509"/>
        <v>8048715.4889910705</v>
      </c>
      <c r="G2509" s="359">
        <f>'DRE + DCF'!$W$31</f>
        <v>2791623.3540418856</v>
      </c>
      <c r="H2509" s="359">
        <f>'DRE + DCF'!$W$32</f>
        <v>81081.931703745853</v>
      </c>
      <c r="I2509" s="359">
        <f>-H2509*('DRE + DCF'!$V$33+K2509)/'DRE + DCF'!$V$33</f>
        <v>-90858.801614444121</v>
      </c>
      <c r="J2509" s="359">
        <f>-'DRE + DCF'!$V$56*L2509</f>
        <v>-1188924.4255577971</v>
      </c>
      <c r="K2509" s="360">
        <f>(1+L2509)/(1+Ke!$O$12)-1</f>
        <v>2.0000000000000018E-2</v>
      </c>
      <c r="L2509" s="360">
        <f>'DRE + DCF'!$Y$31</f>
        <v>7.3550000000000004E-2</v>
      </c>
      <c r="M2509" s="361">
        <f>(1+D2509)^((5-Dashboard!$F$9)*3/12)</f>
        <v>1.2340418069042414</v>
      </c>
      <c r="N2509" s="361">
        <f t="shared" ref="N2509:V2509" si="2574">M2509*(1+$D2509)</f>
        <v>1.633439437708774</v>
      </c>
      <c r="O2509" s="361">
        <f t="shared" si="2574"/>
        <v>2.1621021117231853</v>
      </c>
      <c r="P2509" s="361">
        <f t="shared" si="2574"/>
        <v>2.86186646018235</v>
      </c>
      <c r="Q2509" s="361">
        <f t="shared" si="2574"/>
        <v>3.7881095400203093</v>
      </c>
      <c r="R2509" s="361">
        <f t="shared" si="2574"/>
        <v>5.0141311926478052</v>
      </c>
      <c r="S2509" s="361">
        <f t="shared" si="2574"/>
        <v>6.6369547531481645</v>
      </c>
      <c r="T2509" s="361">
        <f t="shared" si="2574"/>
        <v>8.7850051590044327</v>
      </c>
      <c r="U2509" s="361">
        <f t="shared" si="2574"/>
        <v>11.628272078716037</v>
      </c>
      <c r="V2509" s="362">
        <f t="shared" si="2574"/>
        <v>15.391762336992246</v>
      </c>
      <c r="X2509" s="351"/>
    </row>
    <row r="2510" spans="3:24" ht="24.75" customHeight="1" x14ac:dyDescent="0.3">
      <c r="C2510" s="353">
        <f>ABS(E2510-Dashboard!$F$14)</f>
        <v>49.22997160201016</v>
      </c>
      <c r="D2510" s="350">
        <f t="shared" si="2511"/>
        <v>0.32374999999997961</v>
      </c>
      <c r="E2510" s="359" cm="1">
        <f t="array" ref="E2510">1000*SUM('DRE + DCF'!$L$36/M2510,'DRE + DCF'!$N$36:$V$36/N2510:V2510,F2510/V2510)/Dashboard!$F$11</f>
        <v>47.760028397989835</v>
      </c>
      <c r="F2510" s="359">
        <f t="shared" ref="F2510:F2573" si="2575">AVERAGE(SUM(G2510:J2510)*(1+L2510)/(D2510-L2510),G2510*(1+L2510)*(1-L2510/D2510)/(D2510-L2510))</f>
        <v>8045918.9728208408</v>
      </c>
      <c r="G2510" s="359">
        <f>'DRE + DCF'!$W$31</f>
        <v>2791623.3540418856</v>
      </c>
      <c r="H2510" s="359">
        <f>'DRE + DCF'!$W$32</f>
        <v>81081.931703745853</v>
      </c>
      <c r="I2510" s="359">
        <f>-H2510*('DRE + DCF'!$V$33+K2510)/'DRE + DCF'!$V$33</f>
        <v>-90858.801614444121</v>
      </c>
      <c r="J2510" s="359">
        <f>-'DRE + DCF'!$V$56*L2510</f>
        <v>-1188924.4255577971</v>
      </c>
      <c r="K2510" s="360">
        <f>(1+L2510)/(1+Ke!$O$12)-1</f>
        <v>2.0000000000000018E-2</v>
      </c>
      <c r="L2510" s="360">
        <f>'DRE + DCF'!$Y$31</f>
        <v>7.3550000000000004E-2</v>
      </c>
      <c r="M2510" s="361">
        <f>(1+D2510)^((5-Dashboard!$F$9)*3/12)</f>
        <v>1.2341117289089345</v>
      </c>
      <c r="N2510" s="361">
        <f t="shared" ref="N2510:V2510" si="2576">M2510*(1+$D2510)</f>
        <v>1.6336554011431768</v>
      </c>
      <c r="O2510" s="361">
        <f t="shared" si="2576"/>
        <v>2.1625513372632468</v>
      </c>
      <c r="P2510" s="361">
        <f t="shared" si="2576"/>
        <v>2.8626773327021788</v>
      </c>
      <c r="Q2510" s="361">
        <f t="shared" si="2576"/>
        <v>3.7894691191644507</v>
      </c>
      <c r="R2510" s="361">
        <f t="shared" si="2576"/>
        <v>5.0163097464938637</v>
      </c>
      <c r="S2510" s="361">
        <f t="shared" si="2576"/>
        <v>6.6403400269211499</v>
      </c>
      <c r="T2510" s="361">
        <f t="shared" si="2576"/>
        <v>8.7901501106367359</v>
      </c>
      <c r="U2510" s="361">
        <f t="shared" si="2576"/>
        <v>11.6359612089552</v>
      </c>
      <c r="V2510" s="362">
        <f t="shared" si="2576"/>
        <v>15.403103650354208</v>
      </c>
      <c r="X2510" s="351"/>
    </row>
    <row r="2511" spans="3:24" ht="24.75" customHeight="1" x14ac:dyDescent="0.3">
      <c r="C2511" s="353">
        <f>ABS(E2511-Dashboard!$F$14)</f>
        <v>49.252446162330983</v>
      </c>
      <c r="D2511" s="350">
        <f t="shared" ref="D2511:D2574" si="2577">D2510+0.0001</f>
        <v>0.3238499999999796</v>
      </c>
      <c r="E2511" s="359" cm="1">
        <f t="array" ref="E2511">1000*SUM('DRE + DCF'!$L$36/M2511,'DRE + DCF'!$N$36:$V$36/N2511:V2511,F2511/V2511)/Dashboard!$F$11</f>
        <v>47.737553837669012</v>
      </c>
      <c r="F2511" s="359">
        <f t="shared" si="2575"/>
        <v>8043124.4316616282</v>
      </c>
      <c r="G2511" s="359">
        <f>'DRE + DCF'!$W$31</f>
        <v>2791623.3540418856</v>
      </c>
      <c r="H2511" s="359">
        <f>'DRE + DCF'!$W$32</f>
        <v>81081.931703745853</v>
      </c>
      <c r="I2511" s="359">
        <f>-H2511*('DRE + DCF'!$V$33+K2511)/'DRE + DCF'!$V$33</f>
        <v>-90858.801614444121</v>
      </c>
      <c r="J2511" s="359">
        <f>-'DRE + DCF'!$V$56*L2511</f>
        <v>-1188924.4255577971</v>
      </c>
      <c r="K2511" s="360">
        <f>(1+L2511)/(1+Ke!$O$12)-1</f>
        <v>2.0000000000000018E-2</v>
      </c>
      <c r="L2511" s="360">
        <f>'DRE + DCF'!$Y$31</f>
        <v>7.3550000000000004E-2</v>
      </c>
      <c r="M2511" s="361">
        <f>(1+D2511)^((5-Dashboard!$F$9)*3/12)</f>
        <v>1.2341816495931113</v>
      </c>
      <c r="N2511" s="361">
        <f t="shared" ref="N2511:V2511" si="2578">M2511*(1+$D2511)</f>
        <v>1.6338713768138151</v>
      </c>
      <c r="O2511" s="361">
        <f t="shared" si="2578"/>
        <v>2.1630006221949358</v>
      </c>
      <c r="P2511" s="361">
        <f t="shared" si="2578"/>
        <v>2.8634883736927215</v>
      </c>
      <c r="Q2511" s="361">
        <f t="shared" si="2578"/>
        <v>3.7908290835130507</v>
      </c>
      <c r="R2511" s="361">
        <f t="shared" si="2578"/>
        <v>5.0184890822086743</v>
      </c>
      <c r="S2511" s="361">
        <f t="shared" si="2578"/>
        <v>6.6437267714818509</v>
      </c>
      <c r="T2511" s="361">
        <f t="shared" si="2578"/>
        <v>8.7952976864261121</v>
      </c>
      <c r="U2511" s="361">
        <f t="shared" si="2578"/>
        <v>11.643654842175028</v>
      </c>
      <c r="V2511" s="362">
        <f t="shared" si="2578"/>
        <v>15.414452462813173</v>
      </c>
      <c r="X2511" s="351"/>
    </row>
    <row r="2512" spans="3:24" ht="24.75" customHeight="1" x14ac:dyDescent="0.3">
      <c r="C2512" s="353">
        <f>ABS(E2512-Dashboard!$F$14)</f>
        <v>49.274901667256117</v>
      </c>
      <c r="D2512" s="350">
        <f t="shared" si="2577"/>
        <v>0.32394999999997959</v>
      </c>
      <c r="E2512" s="359" cm="1">
        <f t="array" ref="E2512">1000*SUM('DRE + DCF'!$L$36/M2512,'DRE + DCF'!$N$36:$V$36/N2512:V2512,F2512/V2512)/Dashboard!$F$11</f>
        <v>47.715098332743878</v>
      </c>
      <c r="F2512" s="359">
        <f t="shared" si="2575"/>
        <v>8040331.8633874431</v>
      </c>
      <c r="G2512" s="359">
        <f>'DRE + DCF'!$W$31</f>
        <v>2791623.3540418856</v>
      </c>
      <c r="H2512" s="359">
        <f>'DRE + DCF'!$W$32</f>
        <v>81081.931703745853</v>
      </c>
      <c r="I2512" s="359">
        <f>-H2512*('DRE + DCF'!$V$33+K2512)/'DRE + DCF'!$V$33</f>
        <v>-90858.801614444121</v>
      </c>
      <c r="J2512" s="359">
        <f>-'DRE + DCF'!$V$56*L2512</f>
        <v>-1188924.4255577971</v>
      </c>
      <c r="K2512" s="360">
        <f>(1+L2512)/(1+Ke!$O$12)-1</f>
        <v>2.0000000000000018E-2</v>
      </c>
      <c r="L2512" s="360">
        <f>'DRE + DCF'!$Y$31</f>
        <v>7.3550000000000004E-2</v>
      </c>
      <c r="M2512" s="361">
        <f>(1+D2512)^((5-Dashboard!$F$9)*3/12)</f>
        <v>1.234251568956896</v>
      </c>
      <c r="N2512" s="361">
        <f t="shared" ref="N2512:V2512" si="2579">M2512*(1+$D2512)</f>
        <v>1.6340873647204572</v>
      </c>
      <c r="O2512" s="361">
        <f t="shared" si="2579"/>
        <v>2.163449966521616</v>
      </c>
      <c r="P2512" s="361">
        <f t="shared" si="2579"/>
        <v>2.8642995831762494</v>
      </c>
      <c r="Q2512" s="361">
        <f t="shared" si="2579"/>
        <v>3.7921894331461368</v>
      </c>
      <c r="R2512" s="361">
        <f t="shared" si="2579"/>
        <v>5.0206692000137503</v>
      </c>
      <c r="S2512" s="361">
        <f t="shared" si="2579"/>
        <v>6.6471149873581021</v>
      </c>
      <c r="T2512" s="361">
        <f t="shared" si="2579"/>
        <v>8.8004478875126235</v>
      </c>
      <c r="U2512" s="361">
        <f t="shared" si="2579"/>
        <v>11.651352980672158</v>
      </c>
      <c r="V2512" s="362">
        <f t="shared" si="2579"/>
        <v>15.425808778760665</v>
      </c>
      <c r="X2512" s="351"/>
    </row>
    <row r="2513" spans="3:24" ht="24.75" customHeight="1" x14ac:dyDescent="0.3">
      <c r="C2513" s="353">
        <f>ABS(E2513-Dashboard!$F$14)</f>
        <v>49.297338139284719</v>
      </c>
      <c r="D2513" s="350">
        <f t="shared" si="2577"/>
        <v>0.32404999999997958</v>
      </c>
      <c r="E2513" s="359" cm="1">
        <f t="array" ref="E2513">1000*SUM('DRE + DCF'!$L$36/M2513,'DRE + DCF'!$N$36:$V$36/N2513:V2513,F2513/V2513)/Dashboard!$F$11</f>
        <v>47.692661860715276</v>
      </c>
      <c r="F2513" s="359">
        <f t="shared" si="2575"/>
        <v>8037541.2658753963</v>
      </c>
      <c r="G2513" s="359">
        <f>'DRE + DCF'!$W$31</f>
        <v>2791623.3540418856</v>
      </c>
      <c r="H2513" s="359">
        <f>'DRE + DCF'!$W$32</f>
        <v>81081.931703745853</v>
      </c>
      <c r="I2513" s="359">
        <f>-H2513*('DRE + DCF'!$V$33+K2513)/'DRE + DCF'!$V$33</f>
        <v>-90858.801614444121</v>
      </c>
      <c r="J2513" s="359">
        <f>-'DRE + DCF'!$V$56*L2513</f>
        <v>-1188924.4255577971</v>
      </c>
      <c r="K2513" s="360">
        <f>(1+L2513)/(1+Ke!$O$12)-1</f>
        <v>2.0000000000000018E-2</v>
      </c>
      <c r="L2513" s="360">
        <f>'DRE + DCF'!$Y$31</f>
        <v>7.3550000000000004E-2</v>
      </c>
      <c r="M2513" s="361">
        <f>(1+D2513)^((5-Dashboard!$F$9)*3/12)</f>
        <v>1.234321487000414</v>
      </c>
      <c r="N2513" s="361">
        <f t="shared" ref="N2513:V2513" si="2580">M2513*(1+$D2513)</f>
        <v>1.6343033648628729</v>
      </c>
      <c r="O2513" s="361">
        <f t="shared" si="2580"/>
        <v>2.1638993702466531</v>
      </c>
      <c r="P2513" s="361">
        <f t="shared" si="2580"/>
        <v>2.8651109611750369</v>
      </c>
      <c r="Q2513" s="361">
        <f t="shared" si="2580"/>
        <v>3.7935501681437489</v>
      </c>
      <c r="R2513" s="361">
        <f t="shared" si="2580"/>
        <v>5.0228501001306531</v>
      </c>
      <c r="S2513" s="361">
        <f t="shared" si="2580"/>
        <v>6.6505046750778885</v>
      </c>
      <c r="T2513" s="361">
        <f t="shared" si="2580"/>
        <v>8.8056007150367428</v>
      </c>
      <c r="U2513" s="361">
        <f t="shared" si="2580"/>
        <v>11.65905562674422</v>
      </c>
      <c r="V2513" s="362">
        <f t="shared" si="2580"/>
        <v>15.437172602590445</v>
      </c>
      <c r="X2513" s="351"/>
    </row>
    <row r="2514" spans="3:24" ht="24.75" customHeight="1" x14ac:dyDescent="0.3">
      <c r="C2514" s="353">
        <f>ABS(E2514-Dashboard!$F$14)</f>
        <v>49.319755600882019</v>
      </c>
      <c r="D2514" s="350">
        <f t="shared" si="2577"/>
        <v>0.32414999999997957</v>
      </c>
      <c r="E2514" s="359" cm="1">
        <f t="array" ref="E2514">1000*SUM('DRE + DCF'!$L$36/M2514,'DRE + DCF'!$N$36:$V$36/N2514:V2514,F2514/V2514)/Dashboard!$F$11</f>
        <v>47.670244399117976</v>
      </c>
      <c r="F2514" s="359">
        <f t="shared" si="2575"/>
        <v>8034752.6370056886</v>
      </c>
      <c r="G2514" s="359">
        <f>'DRE + DCF'!$W$31</f>
        <v>2791623.3540418856</v>
      </c>
      <c r="H2514" s="359">
        <f>'DRE + DCF'!$W$32</f>
        <v>81081.931703745853</v>
      </c>
      <c r="I2514" s="359">
        <f>-H2514*('DRE + DCF'!$V$33+K2514)/'DRE + DCF'!$V$33</f>
        <v>-90858.801614444121</v>
      </c>
      <c r="J2514" s="359">
        <f>-'DRE + DCF'!$V$56*L2514</f>
        <v>-1188924.4255577971</v>
      </c>
      <c r="K2514" s="360">
        <f>(1+L2514)/(1+Ke!$O$12)-1</f>
        <v>2.0000000000000018E-2</v>
      </c>
      <c r="L2514" s="360">
        <f>'DRE + DCF'!$Y$31</f>
        <v>7.3550000000000004E-2</v>
      </c>
      <c r="M2514" s="361">
        <f>(1+D2514)^((5-Dashboard!$F$9)*3/12)</f>
        <v>1.2343914037237893</v>
      </c>
      <c r="N2514" s="361">
        <f t="shared" ref="N2514:V2514" si="2581">M2514*(1+$D2514)</f>
        <v>1.6345193772408304</v>
      </c>
      <c r="O2514" s="361">
        <f t="shared" si="2581"/>
        <v>2.164348833373412</v>
      </c>
      <c r="P2514" s="361">
        <f t="shared" si="2581"/>
        <v>2.865922507711359</v>
      </c>
      <c r="Q2514" s="361">
        <f t="shared" si="2581"/>
        <v>3.7949112885859373</v>
      </c>
      <c r="R2514" s="361">
        <f t="shared" si="2581"/>
        <v>5.0250317827809914</v>
      </c>
      <c r="S2514" s="361">
        <f t="shared" si="2581"/>
        <v>6.6538958351693465</v>
      </c>
      <c r="T2514" s="361">
        <f t="shared" si="2581"/>
        <v>8.8107561701393546</v>
      </c>
      <c r="U2514" s="361">
        <f t="shared" si="2581"/>
        <v>11.666762782689846</v>
      </c>
      <c r="V2514" s="362">
        <f t="shared" si="2581"/>
        <v>15.448543938698521</v>
      </c>
      <c r="X2514" s="351"/>
    </row>
    <row r="2515" spans="3:24" ht="24.75" customHeight="1" x14ac:dyDescent="0.3">
      <c r="C2515" s="353">
        <f>ABS(E2515-Dashboard!$F$14)</f>
        <v>49.342154074479424</v>
      </c>
      <c r="D2515" s="350">
        <f t="shared" si="2577"/>
        <v>0.32424999999997955</v>
      </c>
      <c r="E2515" s="359" cm="1">
        <f t="array" ref="E2515">1000*SUM('DRE + DCF'!$L$36/M2515,'DRE + DCF'!$N$36:$V$36/N2515:V2515,F2515/V2515)/Dashboard!$F$11</f>
        <v>47.647845925520571</v>
      </c>
      <c r="F2515" s="359">
        <f t="shared" si="2575"/>
        <v>8031965.9746616073</v>
      </c>
      <c r="G2515" s="359">
        <f>'DRE + DCF'!$W$31</f>
        <v>2791623.3540418856</v>
      </c>
      <c r="H2515" s="359">
        <f>'DRE + DCF'!$W$32</f>
        <v>81081.931703745853</v>
      </c>
      <c r="I2515" s="359">
        <f>-H2515*('DRE + DCF'!$V$33+K2515)/'DRE + DCF'!$V$33</f>
        <v>-90858.801614444121</v>
      </c>
      <c r="J2515" s="359">
        <f>-'DRE + DCF'!$V$56*L2515</f>
        <v>-1188924.4255577971</v>
      </c>
      <c r="K2515" s="360">
        <f>(1+L2515)/(1+Ke!$O$12)-1</f>
        <v>2.0000000000000018E-2</v>
      </c>
      <c r="L2515" s="360">
        <f>'DRE + DCF'!$Y$31</f>
        <v>7.3550000000000004E-2</v>
      </c>
      <c r="M2515" s="361">
        <f>(1+D2515)^((5-Dashboard!$F$9)*3/12)</f>
        <v>1.234461319127147</v>
      </c>
      <c r="N2515" s="361">
        <f t="shared" ref="N2515:V2515" si="2582">M2515*(1+$D2515)</f>
        <v>1.6347354018540992</v>
      </c>
      <c r="O2515" s="361">
        <f t="shared" si="2582"/>
        <v>2.1647983559052575</v>
      </c>
      <c r="P2515" s="361">
        <f t="shared" si="2582"/>
        <v>2.866734222807493</v>
      </c>
      <c r="Q2515" s="361">
        <f t="shared" si="2582"/>
        <v>3.7962727945527637</v>
      </c>
      <c r="R2515" s="361">
        <f t="shared" si="2582"/>
        <v>5.0272142481864197</v>
      </c>
      <c r="S2515" s="361">
        <f t="shared" si="2582"/>
        <v>6.6572884681607629</v>
      </c>
      <c r="T2515" s="361">
        <f t="shared" si="2582"/>
        <v>8.8159142539617541</v>
      </c>
      <c r="U2515" s="361">
        <f t="shared" si="2582"/>
        <v>11.674474450808672</v>
      </c>
      <c r="V2515" s="362">
        <f t="shared" si="2582"/>
        <v>15.459922791483145</v>
      </c>
      <c r="X2515" s="351"/>
    </row>
    <row r="2516" spans="3:24" ht="24.75" customHeight="1" x14ac:dyDescent="0.3">
      <c r="C2516" s="353">
        <f>ABS(E2516-Dashboard!$F$14)</f>
        <v>49.364533582474486</v>
      </c>
      <c r="D2516" s="350">
        <f t="shared" si="2577"/>
        <v>0.32434999999997954</v>
      </c>
      <c r="E2516" s="359" cm="1">
        <f t="array" ref="E2516">1000*SUM('DRE + DCF'!$L$36/M2516,'DRE + DCF'!$N$36:$V$36/N2516:V2516,F2516/V2516)/Dashboard!$F$11</f>
        <v>47.625466417525509</v>
      </c>
      <c r="F2516" s="359">
        <f t="shared" si="2575"/>
        <v>8029181.2767295241</v>
      </c>
      <c r="G2516" s="359">
        <f>'DRE + DCF'!$W$31</f>
        <v>2791623.3540418856</v>
      </c>
      <c r="H2516" s="359">
        <f>'DRE + DCF'!$W$32</f>
        <v>81081.931703745853</v>
      </c>
      <c r="I2516" s="359">
        <f>-H2516*('DRE + DCF'!$V$33+K2516)/'DRE + DCF'!$V$33</f>
        <v>-90858.801614444121</v>
      </c>
      <c r="J2516" s="359">
        <f>-'DRE + DCF'!$V$56*L2516</f>
        <v>-1188924.4255577971</v>
      </c>
      <c r="K2516" s="360">
        <f>(1+L2516)/(1+Ke!$O$12)-1</f>
        <v>2.0000000000000018E-2</v>
      </c>
      <c r="L2516" s="360">
        <f>'DRE + DCF'!$Y$31</f>
        <v>7.3550000000000004E-2</v>
      </c>
      <c r="M2516" s="361">
        <f>(1+D2516)^((5-Dashboard!$F$9)*3/12)</f>
        <v>1.2345312332106115</v>
      </c>
      <c r="N2516" s="361">
        <f t="shared" ref="N2516:V2516" si="2583">M2516*(1+$D2516)</f>
        <v>1.634951438702448</v>
      </c>
      <c r="O2516" s="361">
        <f t="shared" si="2583"/>
        <v>2.1652479378455536</v>
      </c>
      <c r="P2516" s="361">
        <f t="shared" si="2583"/>
        <v>2.8675461064857144</v>
      </c>
      <c r="Q2516" s="361">
        <f t="shared" si="2583"/>
        <v>3.7976346861242969</v>
      </c>
      <c r="R2516" s="361">
        <f t="shared" si="2583"/>
        <v>5.0293974965686346</v>
      </c>
      <c r="S2516" s="361">
        <f t="shared" si="2583"/>
        <v>6.6606825745805684</v>
      </c>
      <c r="T2516" s="361">
        <f t="shared" si="2583"/>
        <v>8.8210749676456395</v>
      </c>
      <c r="U2516" s="361">
        <f t="shared" si="2583"/>
        <v>11.682190633401321</v>
      </c>
      <c r="V2516" s="362">
        <f t="shared" si="2583"/>
        <v>15.471309165344801</v>
      </c>
      <c r="X2516" s="351"/>
    </row>
    <row r="2517" spans="3:24" ht="24.75" customHeight="1" x14ac:dyDescent="0.3">
      <c r="C2517" s="353">
        <f>ABS(E2517-Dashboard!$F$14)</f>
        <v>49.386894147231075</v>
      </c>
      <c r="D2517" s="350">
        <f t="shared" si="2577"/>
        <v>0.32444999999997953</v>
      </c>
      <c r="E2517" s="359" cm="1">
        <f t="array" ref="E2517">1000*SUM('DRE + DCF'!$L$36/M2517,'DRE + DCF'!$N$36:$V$36/N2517:V2517,F2517/V2517)/Dashboard!$F$11</f>
        <v>47.60310585276892</v>
      </c>
      <c r="F2517" s="359">
        <f t="shared" si="2575"/>
        <v>8026398.5410988834</v>
      </c>
      <c r="G2517" s="359">
        <f>'DRE + DCF'!$W$31</f>
        <v>2791623.3540418856</v>
      </c>
      <c r="H2517" s="359">
        <f>'DRE + DCF'!$W$32</f>
        <v>81081.931703745853</v>
      </c>
      <c r="I2517" s="359">
        <f>-H2517*('DRE + DCF'!$V$33+K2517)/'DRE + DCF'!$V$33</f>
        <v>-90858.801614444121</v>
      </c>
      <c r="J2517" s="359">
        <f>-'DRE + DCF'!$V$56*L2517</f>
        <v>-1188924.4255577971</v>
      </c>
      <c r="K2517" s="360">
        <f>(1+L2517)/(1+Ke!$O$12)-1</f>
        <v>2.0000000000000018E-2</v>
      </c>
      <c r="L2517" s="360">
        <f>'DRE + DCF'!$Y$31</f>
        <v>7.3550000000000004E-2</v>
      </c>
      <c r="M2517" s="361">
        <f>(1+D2517)^((5-Dashboard!$F$9)*3/12)</f>
        <v>1.2346011459743071</v>
      </c>
      <c r="N2517" s="361">
        <f t="shared" ref="N2517:V2517" si="2584">M2517*(1+$D2517)</f>
        <v>1.6351674877856457</v>
      </c>
      <c r="O2517" s="361">
        <f t="shared" si="2584"/>
        <v>2.1656975791976647</v>
      </c>
      <c r="P2517" s="361">
        <f t="shared" si="2584"/>
        <v>2.8683581587683027</v>
      </c>
      <c r="Q2517" s="361">
        <f t="shared" si="2584"/>
        <v>3.7989969633806195</v>
      </c>
      <c r="R2517" s="361">
        <f t="shared" si="2584"/>
        <v>5.0315815281493839</v>
      </c>
      <c r="S2517" s="361">
        <f t="shared" si="2584"/>
        <v>6.6640781549573482</v>
      </c>
      <c r="T2517" s="361">
        <f t="shared" si="2584"/>
        <v>8.8262383123331229</v>
      </c>
      <c r="U2517" s="361">
        <f t="shared" si="2584"/>
        <v>11.689911332769423</v>
      </c>
      <c r="V2517" s="362">
        <f t="shared" si="2584"/>
        <v>15.482703064686222</v>
      </c>
      <c r="X2517" s="351"/>
    </row>
    <row r="2518" spans="3:24" ht="24.75" customHeight="1" x14ac:dyDescent="0.3">
      <c r="C2518" s="353">
        <f>ABS(E2518-Dashboard!$F$14)</f>
        <v>49.409235791079404</v>
      </c>
      <c r="D2518" s="350">
        <f t="shared" si="2577"/>
        <v>0.32454999999997952</v>
      </c>
      <c r="E2518" s="359" cm="1">
        <f t="array" ref="E2518">1000*SUM('DRE + DCF'!$L$36/M2518,'DRE + DCF'!$N$36:$V$36/N2518:V2518,F2518/V2518)/Dashboard!$F$11</f>
        <v>47.580764208920591</v>
      </c>
      <c r="F2518" s="359">
        <f t="shared" si="2575"/>
        <v>8023617.7656621989</v>
      </c>
      <c r="G2518" s="359">
        <f>'DRE + DCF'!$W$31</f>
        <v>2791623.3540418856</v>
      </c>
      <c r="H2518" s="359">
        <f>'DRE + DCF'!$W$32</f>
        <v>81081.931703745853</v>
      </c>
      <c r="I2518" s="359">
        <f>-H2518*('DRE + DCF'!$V$33+K2518)/'DRE + DCF'!$V$33</f>
        <v>-90858.801614444121</v>
      </c>
      <c r="J2518" s="359">
        <f>-'DRE + DCF'!$V$56*L2518</f>
        <v>-1188924.4255577971</v>
      </c>
      <c r="K2518" s="360">
        <f>(1+L2518)/(1+Ke!$O$12)-1</f>
        <v>2.0000000000000018E-2</v>
      </c>
      <c r="L2518" s="360">
        <f>'DRE + DCF'!$Y$31</f>
        <v>7.3550000000000004E-2</v>
      </c>
      <c r="M2518" s="361">
        <f>(1+D2518)^((5-Dashboard!$F$9)*3/12)</f>
        <v>1.2346710574183588</v>
      </c>
      <c r="N2518" s="361">
        <f t="shared" ref="N2518:V2518" si="2585">M2518*(1+$D2518)</f>
        <v>1.6353835491034618</v>
      </c>
      <c r="O2518" s="361">
        <f t="shared" si="2585"/>
        <v>2.1661472799649566</v>
      </c>
      <c r="P2518" s="361">
        <f t="shared" si="2585"/>
        <v>2.8691703796775387</v>
      </c>
      <c r="Q2518" s="361">
        <f t="shared" si="2585"/>
        <v>3.8003596264018249</v>
      </c>
      <c r="R2518" s="361">
        <f t="shared" si="2585"/>
        <v>5.0337663431504591</v>
      </c>
      <c r="S2518" s="361">
        <f t="shared" si="2585"/>
        <v>6.6674752098198375</v>
      </c>
      <c r="T2518" s="361">
        <f t="shared" si="2585"/>
        <v>8.8314042891667288</v>
      </c>
      <c r="U2518" s="361">
        <f t="shared" si="2585"/>
        <v>11.697636551215609</v>
      </c>
      <c r="V2518" s="362">
        <f t="shared" si="2585"/>
        <v>15.494104493912396</v>
      </c>
      <c r="X2518" s="351"/>
    </row>
    <row r="2519" spans="3:24" ht="24.75" customHeight="1" x14ac:dyDescent="0.3">
      <c r="C2519" s="353">
        <f>ABS(E2519-Dashboard!$F$14)</f>
        <v>49.431558536316025</v>
      </c>
      <c r="D2519" s="350">
        <f t="shared" si="2577"/>
        <v>0.32464999999997951</v>
      </c>
      <c r="E2519" s="359" cm="1">
        <f t="array" ref="E2519">1000*SUM('DRE + DCF'!$L$36/M2519,'DRE + DCF'!$N$36:$V$36/N2519:V2519,F2519/V2519)/Dashboard!$F$11</f>
        <v>47.55844146368397</v>
      </c>
      <c r="F2519" s="359">
        <f t="shared" si="2575"/>
        <v>8020838.9483150542</v>
      </c>
      <c r="G2519" s="359">
        <f>'DRE + DCF'!$W$31</f>
        <v>2791623.3540418856</v>
      </c>
      <c r="H2519" s="359">
        <f>'DRE + DCF'!$W$32</f>
        <v>81081.931703745853</v>
      </c>
      <c r="I2519" s="359">
        <f>-H2519*('DRE + DCF'!$V$33+K2519)/'DRE + DCF'!$V$33</f>
        <v>-90858.801614444121</v>
      </c>
      <c r="J2519" s="359">
        <f>-'DRE + DCF'!$V$56*L2519</f>
        <v>-1188924.4255577971</v>
      </c>
      <c r="K2519" s="360">
        <f>(1+L2519)/(1+Ke!$O$12)-1</f>
        <v>2.0000000000000018E-2</v>
      </c>
      <c r="L2519" s="360">
        <f>'DRE + DCF'!$Y$31</f>
        <v>7.3550000000000004E-2</v>
      </c>
      <c r="M2519" s="361">
        <f>(1+D2519)^((5-Dashboard!$F$9)*3/12)</f>
        <v>1.2347409675428911</v>
      </c>
      <c r="N2519" s="361">
        <f t="shared" ref="N2519:V2519" si="2586">M2519*(1+$D2519)</f>
        <v>1.6355996226556653</v>
      </c>
      <c r="O2519" s="361">
        <f t="shared" si="2586"/>
        <v>2.1665970401507932</v>
      </c>
      <c r="P2519" s="361">
        <f t="shared" si="2586"/>
        <v>2.8699827692357038</v>
      </c>
      <c r="Q2519" s="361">
        <f t="shared" si="2586"/>
        <v>3.801722675268016</v>
      </c>
      <c r="R2519" s="361">
        <f t="shared" si="2586"/>
        <v>5.0359519417936989</v>
      </c>
      <c r="S2519" s="361">
        <f t="shared" si="2586"/>
        <v>6.67087373969692</v>
      </c>
      <c r="T2519" s="361">
        <f t="shared" si="2586"/>
        <v>8.8365728992893882</v>
      </c>
      <c r="U2519" s="361">
        <f t="shared" si="2586"/>
        <v>11.705366291043507</v>
      </c>
      <c r="V2519" s="362">
        <f t="shared" si="2586"/>
        <v>15.505513457430542</v>
      </c>
      <c r="X2519" s="351"/>
    </row>
    <row r="2520" spans="3:24" ht="24.75" customHeight="1" x14ac:dyDescent="0.3">
      <c r="C2520" s="353">
        <f>ABS(E2520-Dashboard!$F$14)</f>
        <v>49.453862405203957</v>
      </c>
      <c r="D2520" s="350">
        <f t="shared" si="2577"/>
        <v>0.3247499999999795</v>
      </c>
      <c r="E2520" s="359" cm="1">
        <f t="array" ref="E2520">1000*SUM('DRE + DCF'!$L$36/M2520,'DRE + DCF'!$N$36:$V$36/N2520:V2520,F2520/V2520)/Dashboard!$F$11</f>
        <v>47.536137594796038</v>
      </c>
      <c r="F2520" s="359">
        <f t="shared" si="2575"/>
        <v>8018062.0869560828</v>
      </c>
      <c r="G2520" s="359">
        <f>'DRE + DCF'!$W$31</f>
        <v>2791623.3540418856</v>
      </c>
      <c r="H2520" s="359">
        <f>'DRE + DCF'!$W$32</f>
        <v>81081.931703745853</v>
      </c>
      <c r="I2520" s="359">
        <f>-H2520*('DRE + DCF'!$V$33+K2520)/'DRE + DCF'!$V$33</f>
        <v>-90858.801614444121</v>
      </c>
      <c r="J2520" s="359">
        <f>-'DRE + DCF'!$V$56*L2520</f>
        <v>-1188924.4255577971</v>
      </c>
      <c r="K2520" s="360">
        <f>(1+L2520)/(1+Ke!$O$12)-1</f>
        <v>2.0000000000000018E-2</v>
      </c>
      <c r="L2520" s="360">
        <f>'DRE + DCF'!$Y$31</f>
        <v>7.3550000000000004E-2</v>
      </c>
      <c r="M2520" s="361">
        <f>(1+D2520)^((5-Dashboard!$F$9)*3/12)</f>
        <v>1.2348108763480281</v>
      </c>
      <c r="N2520" s="361">
        <f t="shared" ref="N2520:V2520" si="2587">M2520*(1+$D2520)</f>
        <v>1.6358157084420248</v>
      </c>
      <c r="O2520" s="361">
        <f t="shared" si="2587"/>
        <v>2.1670468597585386</v>
      </c>
      <c r="P2520" s="361">
        <f t="shared" si="2587"/>
        <v>2.8707953274650793</v>
      </c>
      <c r="Q2520" s="361">
        <f t="shared" si="2587"/>
        <v>3.8030861100593047</v>
      </c>
      <c r="R2520" s="361">
        <f t="shared" si="2587"/>
        <v>5.0381383243009861</v>
      </c>
      <c r="S2520" s="361">
        <f t="shared" si="2587"/>
        <v>6.6742737451176275</v>
      </c>
      <c r="T2520" s="361">
        <f t="shared" si="2587"/>
        <v>8.8417441438444406</v>
      </c>
      <c r="U2520" s="361">
        <f t="shared" si="2587"/>
        <v>11.713100554557741</v>
      </c>
      <c r="V2520" s="362">
        <f t="shared" si="2587"/>
        <v>15.516929959650126</v>
      </c>
      <c r="X2520" s="351"/>
    </row>
    <row r="2521" spans="3:24" ht="24.75" customHeight="1" x14ac:dyDescent="0.3">
      <c r="C2521" s="353">
        <f>ABS(E2521-Dashboard!$F$14)</f>
        <v>49.476147419972776</v>
      </c>
      <c r="D2521" s="350">
        <f t="shared" si="2577"/>
        <v>0.32484999999997949</v>
      </c>
      <c r="E2521" s="359" cm="1">
        <f t="array" ref="E2521">1000*SUM('DRE + DCF'!$L$36/M2521,'DRE + DCF'!$N$36:$V$36/N2521:V2521,F2521/V2521)/Dashboard!$F$11</f>
        <v>47.513852580027219</v>
      </c>
      <c r="F2521" s="359">
        <f t="shared" si="2575"/>
        <v>8015287.1794869788</v>
      </c>
      <c r="G2521" s="359">
        <f>'DRE + DCF'!$W$31</f>
        <v>2791623.3540418856</v>
      </c>
      <c r="H2521" s="359">
        <f>'DRE + DCF'!$W$32</f>
        <v>81081.931703745853</v>
      </c>
      <c r="I2521" s="359">
        <f>-H2521*('DRE + DCF'!$V$33+K2521)/'DRE + DCF'!$V$33</f>
        <v>-90858.801614444121</v>
      </c>
      <c r="J2521" s="359">
        <f>-'DRE + DCF'!$V$56*L2521</f>
        <v>-1188924.4255577971</v>
      </c>
      <c r="K2521" s="360">
        <f>(1+L2521)/(1+Ke!$O$12)-1</f>
        <v>2.0000000000000018E-2</v>
      </c>
      <c r="L2521" s="360">
        <f>'DRE + DCF'!$Y$31</f>
        <v>7.3550000000000004E-2</v>
      </c>
      <c r="M2521" s="361">
        <f>(1+D2521)^((5-Dashboard!$F$9)*3/12)</f>
        <v>1.2348807838338947</v>
      </c>
      <c r="N2521" s="361">
        <f t="shared" ref="N2521:V2521" si="2588">M2521*(1+$D2521)</f>
        <v>1.6360318064623098</v>
      </c>
      <c r="O2521" s="361">
        <f t="shared" si="2588"/>
        <v>2.1674967387915576</v>
      </c>
      <c r="P2521" s="361">
        <f t="shared" si="2588"/>
        <v>2.8716080543879503</v>
      </c>
      <c r="Q2521" s="361">
        <f t="shared" si="2588"/>
        <v>3.8044499308558168</v>
      </c>
      <c r="R2521" s="361">
        <f t="shared" si="2588"/>
        <v>5.0403254908942507</v>
      </c>
      <c r="S2521" s="361">
        <f t="shared" si="2588"/>
        <v>6.6776752266111448</v>
      </c>
      <c r="T2521" s="361">
        <f t="shared" si="2588"/>
        <v>8.846918023975638</v>
      </c>
      <c r="U2521" s="361">
        <f t="shared" si="2588"/>
        <v>11.720839344063942</v>
      </c>
      <c r="V2521" s="362">
        <f t="shared" si="2588"/>
        <v>15.528354004982871</v>
      </c>
      <c r="X2521" s="351"/>
    </row>
    <row r="2522" spans="3:24" ht="24.75" customHeight="1" x14ac:dyDescent="0.3">
      <c r="C2522" s="353">
        <f>ABS(E2522-Dashboard!$F$14)</f>
        <v>49.498413602818587</v>
      </c>
      <c r="D2522" s="350">
        <f t="shared" si="2577"/>
        <v>0.32494999999997948</v>
      </c>
      <c r="E2522" s="359" cm="1">
        <f t="array" ref="E2522">1000*SUM('DRE + DCF'!$L$36/M2522,'DRE + DCF'!$N$36:$V$36/N2522:V2522,F2522/V2522)/Dashboard!$F$11</f>
        <v>47.491586397181408</v>
      </c>
      <c r="F2522" s="359">
        <f t="shared" si="2575"/>
        <v>8012514.2238124777</v>
      </c>
      <c r="G2522" s="359">
        <f>'DRE + DCF'!$W$31</f>
        <v>2791623.3540418856</v>
      </c>
      <c r="H2522" s="359">
        <f>'DRE + DCF'!$W$32</f>
        <v>81081.931703745853</v>
      </c>
      <c r="I2522" s="359">
        <f>-H2522*('DRE + DCF'!$V$33+K2522)/'DRE + DCF'!$V$33</f>
        <v>-90858.801614444121</v>
      </c>
      <c r="J2522" s="359">
        <f>-'DRE + DCF'!$V$56*L2522</f>
        <v>-1188924.4255577971</v>
      </c>
      <c r="K2522" s="360">
        <f>(1+L2522)/(1+Ke!$O$12)-1</f>
        <v>2.0000000000000018E-2</v>
      </c>
      <c r="L2522" s="360">
        <f>'DRE + DCF'!$Y$31</f>
        <v>7.3550000000000004E-2</v>
      </c>
      <c r="M2522" s="361">
        <f>(1+D2522)^((5-Dashboard!$F$9)*3/12)</f>
        <v>1.2349506900006153</v>
      </c>
      <c r="N2522" s="361">
        <f t="shared" ref="N2522:V2522" si="2589">M2522*(1+$D2522)</f>
        <v>1.6362479167162898</v>
      </c>
      <c r="O2522" s="361">
        <f t="shared" si="2589"/>
        <v>2.1679466772532145</v>
      </c>
      <c r="P2522" s="361">
        <f t="shared" si="2589"/>
        <v>2.8724209500266018</v>
      </c>
      <c r="Q2522" s="361">
        <f t="shared" si="2589"/>
        <v>3.8058141377376868</v>
      </c>
      <c r="R2522" s="361">
        <f t="shared" si="2589"/>
        <v>5.04251344179547</v>
      </c>
      <c r="S2522" s="361">
        <f t="shared" si="2589"/>
        <v>6.6810781847068039</v>
      </c>
      <c r="T2522" s="361">
        <f t="shared" si="2589"/>
        <v>8.8520945408271423</v>
      </c>
      <c r="U2522" s="361">
        <f t="shared" si="2589"/>
        <v>11.728582661868741</v>
      </c>
      <c r="V2522" s="362">
        <f t="shared" si="2589"/>
        <v>15.539785597842746</v>
      </c>
      <c r="X2522" s="351"/>
    </row>
    <row r="2523" spans="3:24" ht="24.75" customHeight="1" x14ac:dyDescent="0.3">
      <c r="C2523" s="353">
        <f>ABS(E2523-Dashboard!$F$14)</f>
        <v>49.520660975904129</v>
      </c>
      <c r="D2523" s="350">
        <f t="shared" si="2577"/>
        <v>0.32504999999997947</v>
      </c>
      <c r="E2523" s="359" cm="1">
        <f t="array" ref="E2523">1000*SUM('DRE + DCF'!$L$36/M2523,'DRE + DCF'!$N$36:$V$36/N2523:V2523,F2523/V2523)/Dashboard!$F$11</f>
        <v>47.469339024095866</v>
      </c>
      <c r="F2523" s="359">
        <f t="shared" si="2575"/>
        <v>8009743.2178403614</v>
      </c>
      <c r="G2523" s="359">
        <f>'DRE + DCF'!$W$31</f>
        <v>2791623.3540418856</v>
      </c>
      <c r="H2523" s="359">
        <f>'DRE + DCF'!$W$32</f>
        <v>81081.931703745853</v>
      </c>
      <c r="I2523" s="359">
        <f>-H2523*('DRE + DCF'!$V$33+K2523)/'DRE + DCF'!$V$33</f>
        <v>-90858.801614444121</v>
      </c>
      <c r="J2523" s="359">
        <f>-'DRE + DCF'!$V$56*L2523</f>
        <v>-1188924.4255577971</v>
      </c>
      <c r="K2523" s="360">
        <f>(1+L2523)/(1+Ke!$O$12)-1</f>
        <v>2.0000000000000018E-2</v>
      </c>
      <c r="L2523" s="360">
        <f>'DRE + DCF'!$Y$31</f>
        <v>7.3550000000000004E-2</v>
      </c>
      <c r="M2523" s="361">
        <f>(1+D2523)^((5-Dashboard!$F$9)*3/12)</f>
        <v>1.2350205948483142</v>
      </c>
      <c r="N2523" s="361">
        <f t="shared" ref="N2523:V2523" si="2590">M2523*(1+$D2523)</f>
        <v>1.6364640392037333</v>
      </c>
      <c r="O2523" s="361">
        <f t="shared" si="2590"/>
        <v>2.1683966751468731</v>
      </c>
      <c r="P2523" s="361">
        <f t="shared" si="2590"/>
        <v>2.8732340144033195</v>
      </c>
      <c r="Q2523" s="361">
        <f t="shared" si="2590"/>
        <v>3.8071787307850595</v>
      </c>
      <c r="R2523" s="361">
        <f t="shared" si="2590"/>
        <v>5.0447021772266645</v>
      </c>
      <c r="S2523" s="361">
        <f t="shared" si="2590"/>
        <v>6.6844826199340881</v>
      </c>
      <c r="T2523" s="361">
        <f t="shared" si="2590"/>
        <v>8.8572736955435261</v>
      </c>
      <c r="U2523" s="361">
        <f t="shared" si="2590"/>
        <v>11.736330510279767</v>
      </c>
      <c r="V2523" s="362">
        <f t="shared" si="2590"/>
        <v>15.551224742645964</v>
      </c>
      <c r="X2523" s="351"/>
    </row>
    <row r="2524" spans="3:24" ht="24.75" customHeight="1" x14ac:dyDescent="0.3">
      <c r="C2524" s="353">
        <f>ABS(E2524-Dashboard!$F$14)</f>
        <v>49.542889561358919</v>
      </c>
      <c r="D2524" s="350">
        <f t="shared" si="2577"/>
        <v>0.32514999999997946</v>
      </c>
      <c r="E2524" s="359" cm="1">
        <f t="array" ref="E2524">1000*SUM('DRE + DCF'!$L$36/M2524,'DRE + DCF'!$N$36:$V$36/N2524:V2524,F2524/V2524)/Dashboard!$F$11</f>
        <v>47.447110438641076</v>
      </c>
      <c r="F2524" s="359">
        <f t="shared" si="2575"/>
        <v>8006974.1594814435</v>
      </c>
      <c r="G2524" s="359">
        <f>'DRE + DCF'!$W$31</f>
        <v>2791623.3540418856</v>
      </c>
      <c r="H2524" s="359">
        <f>'DRE + DCF'!$W$32</f>
        <v>81081.931703745853</v>
      </c>
      <c r="I2524" s="359">
        <f>-H2524*('DRE + DCF'!$V$33+K2524)/'DRE + DCF'!$V$33</f>
        <v>-90858.801614444121</v>
      </c>
      <c r="J2524" s="359">
        <f>-'DRE + DCF'!$V$56*L2524</f>
        <v>-1188924.4255577971</v>
      </c>
      <c r="K2524" s="360">
        <f>(1+L2524)/(1+Ke!$O$12)-1</f>
        <v>2.0000000000000018E-2</v>
      </c>
      <c r="L2524" s="360">
        <f>'DRE + DCF'!$Y$31</f>
        <v>7.3550000000000004E-2</v>
      </c>
      <c r="M2524" s="361">
        <f>(1+D2524)^((5-Dashboard!$F$9)*3/12)</f>
        <v>1.2350904983771158</v>
      </c>
      <c r="N2524" s="361">
        <f t="shared" ref="N2524:V2524" si="2591">M2524*(1+$D2524)</f>
        <v>1.6366801739244097</v>
      </c>
      <c r="O2524" s="361">
        <f t="shared" si="2591"/>
        <v>2.168846732475898</v>
      </c>
      <c r="P2524" s="361">
        <f t="shared" si="2591"/>
        <v>2.8740472475403918</v>
      </c>
      <c r="Q2524" s="361">
        <f t="shared" si="2591"/>
        <v>3.8085437100780908</v>
      </c>
      <c r="R2524" s="361">
        <f t="shared" si="2591"/>
        <v>5.0468916974099036</v>
      </c>
      <c r="S2524" s="361">
        <f t="shared" si="2591"/>
        <v>6.6878885328226296</v>
      </c>
      <c r="T2524" s="361">
        <f t="shared" si="2591"/>
        <v>8.8624554892697702</v>
      </c>
      <c r="U2524" s="361">
        <f t="shared" si="2591"/>
        <v>11.744082891605654</v>
      </c>
      <c r="V2524" s="362">
        <f t="shared" si="2591"/>
        <v>15.56267144381099</v>
      </c>
      <c r="X2524" s="351"/>
    </row>
    <row r="2525" spans="3:24" ht="24.75" customHeight="1" x14ac:dyDescent="0.3">
      <c r="C2525" s="353">
        <f>ABS(E2525-Dashboard!$F$14)</f>
        <v>49.565099381279119</v>
      </c>
      <c r="D2525" s="350">
        <f t="shared" si="2577"/>
        <v>0.32524999999997944</v>
      </c>
      <c r="E2525" s="359" cm="1">
        <f t="array" ref="E2525">1000*SUM('DRE + DCF'!$L$36/M2525,'DRE + DCF'!$N$36:$V$36/N2525:V2525,F2525/V2525)/Dashboard!$F$11</f>
        <v>47.424900618720876</v>
      </c>
      <c r="F2525" s="359">
        <f t="shared" si="2575"/>
        <v>8004207.0466495743</v>
      </c>
      <c r="G2525" s="359">
        <f>'DRE + DCF'!$W$31</f>
        <v>2791623.3540418856</v>
      </c>
      <c r="H2525" s="359">
        <f>'DRE + DCF'!$W$32</f>
        <v>81081.931703745853</v>
      </c>
      <c r="I2525" s="359">
        <f>-H2525*('DRE + DCF'!$V$33+K2525)/'DRE + DCF'!$V$33</f>
        <v>-90858.801614444121</v>
      </c>
      <c r="J2525" s="359">
        <f>-'DRE + DCF'!$V$56*L2525</f>
        <v>-1188924.4255577971</v>
      </c>
      <c r="K2525" s="360">
        <f>(1+L2525)/(1+Ke!$O$12)-1</f>
        <v>2.0000000000000018E-2</v>
      </c>
      <c r="L2525" s="360">
        <f>'DRE + DCF'!$Y$31</f>
        <v>7.3550000000000004E-2</v>
      </c>
      <c r="M2525" s="361">
        <f>(1+D2525)^((5-Dashboard!$F$9)*3/12)</f>
        <v>1.2351604005871448</v>
      </c>
      <c r="N2525" s="361">
        <f t="shared" ref="N2525:V2525" si="2592">M2525*(1+$D2525)</f>
        <v>1.6368963208780882</v>
      </c>
      <c r="O2525" s="361">
        <f t="shared" si="2592"/>
        <v>2.1692968492436528</v>
      </c>
      <c r="P2525" s="361">
        <f t="shared" si="2592"/>
        <v>2.8748606494601061</v>
      </c>
      <c r="Q2525" s="361">
        <f t="shared" si="2592"/>
        <v>3.8099090756969463</v>
      </c>
      <c r="R2525" s="361">
        <f t="shared" si="2592"/>
        <v>5.0490820025672996</v>
      </c>
      <c r="S2525" s="361">
        <f t="shared" si="2592"/>
        <v>6.6912959239022101</v>
      </c>
      <c r="T2525" s="361">
        <f t="shared" si="2592"/>
        <v>8.8676399231512661</v>
      </c>
      <c r="U2525" s="361">
        <f t="shared" si="2592"/>
        <v>11.751839808156033</v>
      </c>
      <c r="V2525" s="362">
        <f t="shared" si="2592"/>
        <v>15.57412570575854</v>
      </c>
      <c r="X2525" s="351"/>
    </row>
    <row r="2526" spans="3:24" ht="24.75" customHeight="1" x14ac:dyDescent="0.3">
      <c r="C2526" s="353">
        <f>ABS(E2526-Dashboard!$F$14)</f>
        <v>49.587290457727818</v>
      </c>
      <c r="D2526" s="350">
        <f t="shared" si="2577"/>
        <v>0.32534999999997943</v>
      </c>
      <c r="E2526" s="359" cm="1">
        <f t="array" ref="E2526">1000*SUM('DRE + DCF'!$L$36/M2526,'DRE + DCF'!$N$36:$V$36/N2526:V2526,F2526/V2526)/Dashboard!$F$11</f>
        <v>47.402709542272177</v>
      </c>
      <c r="F2526" s="359">
        <f t="shared" si="2575"/>
        <v>8001441.8772616209</v>
      </c>
      <c r="G2526" s="359">
        <f>'DRE + DCF'!$W$31</f>
        <v>2791623.3540418856</v>
      </c>
      <c r="H2526" s="359">
        <f>'DRE + DCF'!$W$32</f>
        <v>81081.931703745853</v>
      </c>
      <c r="I2526" s="359">
        <f>-H2526*('DRE + DCF'!$V$33+K2526)/'DRE + DCF'!$V$33</f>
        <v>-90858.801614444121</v>
      </c>
      <c r="J2526" s="359">
        <f>-'DRE + DCF'!$V$56*L2526</f>
        <v>-1188924.4255577971</v>
      </c>
      <c r="K2526" s="360">
        <f>(1+L2526)/(1+Ke!$O$12)-1</f>
        <v>2.0000000000000018E-2</v>
      </c>
      <c r="L2526" s="360">
        <f>'DRE + DCF'!$Y$31</f>
        <v>7.3550000000000004E-2</v>
      </c>
      <c r="M2526" s="361">
        <f>(1+D2526)^((5-Dashboard!$F$9)*3/12)</f>
        <v>1.2352303014785255</v>
      </c>
      <c r="N2526" s="361">
        <f t="shared" ref="N2526:V2526" si="2593">M2526*(1+$D2526)</f>
        <v>1.6371124800645382</v>
      </c>
      <c r="O2526" s="361">
        <f t="shared" si="2593"/>
        <v>2.1697470254535021</v>
      </c>
      <c r="P2526" s="361">
        <f t="shared" si="2593"/>
        <v>2.875674220184754</v>
      </c>
      <c r="Q2526" s="361">
        <f t="shared" si="2593"/>
        <v>3.8112748277218045</v>
      </c>
      <c r="R2526" s="361">
        <f t="shared" si="2593"/>
        <v>5.051273092921015</v>
      </c>
      <c r="S2526" s="361">
        <f t="shared" si="2593"/>
        <v>6.6947047937027628</v>
      </c>
      <c r="T2526" s="361">
        <f t="shared" si="2593"/>
        <v>8.872826998333819</v>
      </c>
      <c r="U2526" s="361">
        <f t="shared" si="2593"/>
        <v>11.759601262241544</v>
      </c>
      <c r="V2526" s="362">
        <f t="shared" si="2593"/>
        <v>15.585587532911587</v>
      </c>
      <c r="X2526" s="351"/>
    </row>
    <row r="2527" spans="3:24" ht="24.75" customHeight="1" x14ac:dyDescent="0.3">
      <c r="C2527" s="353">
        <f>ABS(E2527-Dashboard!$F$14)</f>
        <v>49.609462812734932</v>
      </c>
      <c r="D2527" s="350">
        <f t="shared" si="2577"/>
        <v>0.32544999999997942</v>
      </c>
      <c r="E2527" s="359" cm="1">
        <f t="array" ref="E2527">1000*SUM('DRE + DCF'!$L$36/M2527,'DRE + DCF'!$N$36:$V$36/N2527:V2527,F2527/V2527)/Dashboard!$F$11</f>
        <v>47.380537187265062</v>
      </c>
      <c r="F2527" s="359">
        <f t="shared" si="2575"/>
        <v>7998678.6492374782</v>
      </c>
      <c r="G2527" s="359">
        <f>'DRE + DCF'!$W$31</f>
        <v>2791623.3540418856</v>
      </c>
      <c r="H2527" s="359">
        <f>'DRE + DCF'!$W$32</f>
        <v>81081.931703745853</v>
      </c>
      <c r="I2527" s="359">
        <f>-H2527*('DRE + DCF'!$V$33+K2527)/'DRE + DCF'!$V$33</f>
        <v>-90858.801614444121</v>
      </c>
      <c r="J2527" s="359">
        <f>-'DRE + DCF'!$V$56*L2527</f>
        <v>-1188924.4255577971</v>
      </c>
      <c r="K2527" s="360">
        <f>(1+L2527)/(1+Ke!$O$12)-1</f>
        <v>2.0000000000000018E-2</v>
      </c>
      <c r="L2527" s="360">
        <f>'DRE + DCF'!$Y$31</f>
        <v>7.3550000000000004E-2</v>
      </c>
      <c r="M2527" s="361">
        <f>(1+D2527)^((5-Dashboard!$F$9)*3/12)</f>
        <v>1.2353002010513821</v>
      </c>
      <c r="N2527" s="361">
        <f t="shared" ref="N2527:V2527" si="2594">M2527*(1+$D2527)</f>
        <v>1.6373286514835288</v>
      </c>
      <c r="O2527" s="361">
        <f t="shared" si="2594"/>
        <v>2.1701972611088096</v>
      </c>
      <c r="P2527" s="361">
        <f t="shared" si="2594"/>
        <v>2.8764879597366271</v>
      </c>
      <c r="Q2527" s="361">
        <f t="shared" si="2594"/>
        <v>3.8126409662328529</v>
      </c>
      <c r="R2527" s="361">
        <f t="shared" si="2594"/>
        <v>5.0534649686932562</v>
      </c>
      <c r="S2527" s="361">
        <f t="shared" si="2594"/>
        <v>6.6981151427543724</v>
      </c>
      <c r="T2527" s="361">
        <f t="shared" si="2594"/>
        <v>8.8780167159636445</v>
      </c>
      <c r="U2527" s="361">
        <f t="shared" si="2594"/>
        <v>11.767367256173829</v>
      </c>
      <c r="V2527" s="362">
        <f t="shared" si="2594"/>
        <v>15.597056929695359</v>
      </c>
      <c r="X2527" s="351"/>
    </row>
    <row r="2528" spans="3:24" ht="24.75" customHeight="1" x14ac:dyDescent="0.3">
      <c r="C2528" s="353">
        <f>ABS(E2528-Dashboard!$F$14)</f>
        <v>49.63161646829731</v>
      </c>
      <c r="D2528" s="350">
        <f t="shared" si="2577"/>
        <v>0.32554999999997941</v>
      </c>
      <c r="E2528" s="359" cm="1">
        <f t="array" ref="E2528">1000*SUM('DRE + DCF'!$L$36/M2528,'DRE + DCF'!$N$36:$V$36/N2528:V2528,F2528/V2528)/Dashboard!$F$11</f>
        <v>47.358383531702685</v>
      </c>
      <c r="F2528" s="359">
        <f t="shared" si="2575"/>
        <v>7995917.3605000479</v>
      </c>
      <c r="G2528" s="359">
        <f>'DRE + DCF'!$W$31</f>
        <v>2791623.3540418856</v>
      </c>
      <c r="H2528" s="359">
        <f>'DRE + DCF'!$W$32</f>
        <v>81081.931703745853</v>
      </c>
      <c r="I2528" s="359">
        <f>-H2528*('DRE + DCF'!$V$33+K2528)/'DRE + DCF'!$V$33</f>
        <v>-90858.801614444121</v>
      </c>
      <c r="J2528" s="359">
        <f>-'DRE + DCF'!$V$56*L2528</f>
        <v>-1188924.4255577971</v>
      </c>
      <c r="K2528" s="360">
        <f>(1+L2528)/(1+Ke!$O$12)-1</f>
        <v>2.0000000000000018E-2</v>
      </c>
      <c r="L2528" s="360">
        <f>'DRE + DCF'!$Y$31</f>
        <v>7.3550000000000004E-2</v>
      </c>
      <c r="M2528" s="361">
        <f>(1+D2528)^((5-Dashboard!$F$9)*3/12)</f>
        <v>1.235370099305839</v>
      </c>
      <c r="N2528" s="361">
        <f t="shared" ref="N2528:V2528" si="2595">M2528*(1+$D2528)</f>
        <v>1.6375448351348294</v>
      </c>
      <c r="O2528" s="361">
        <f t="shared" si="2595"/>
        <v>2.1706475562129395</v>
      </c>
      <c r="P2528" s="361">
        <f t="shared" si="2595"/>
        <v>2.8773018681380171</v>
      </c>
      <c r="Q2528" s="361">
        <f t="shared" si="2595"/>
        <v>3.814007491310289</v>
      </c>
      <c r="R2528" s="361">
        <f t="shared" si="2595"/>
        <v>5.0556576301062748</v>
      </c>
      <c r="S2528" s="361">
        <f t="shared" si="2595"/>
        <v>6.7015269715872678</v>
      </c>
      <c r="T2528" s="361">
        <f t="shared" si="2595"/>
        <v>8.8832090771873649</v>
      </c>
      <c r="U2528" s="361">
        <f t="shared" si="2595"/>
        <v>11.775137792265529</v>
      </c>
      <c r="V2528" s="362">
        <f t="shared" si="2595"/>
        <v>15.608533900537328</v>
      </c>
      <c r="X2528" s="351"/>
    </row>
    <row r="2529" spans="3:24" ht="24.75" customHeight="1" x14ac:dyDescent="0.3">
      <c r="C2529" s="353">
        <f>ABS(E2529-Dashboard!$F$14)</f>
        <v>49.653751446378863</v>
      </c>
      <c r="D2529" s="350">
        <f t="shared" si="2577"/>
        <v>0.3256499999999794</v>
      </c>
      <c r="E2529" s="359" cm="1">
        <f t="array" ref="E2529">1000*SUM('DRE + DCF'!$L$36/M2529,'DRE + DCF'!$N$36:$V$36/N2529:V2529,F2529/V2529)/Dashboard!$F$11</f>
        <v>47.336248553621132</v>
      </c>
      <c r="F2529" s="359">
        <f t="shared" si="2575"/>
        <v>7993158.0089752441</v>
      </c>
      <c r="G2529" s="359">
        <f>'DRE + DCF'!$W$31</f>
        <v>2791623.3540418856</v>
      </c>
      <c r="H2529" s="359">
        <f>'DRE + DCF'!$W$32</f>
        <v>81081.931703745853</v>
      </c>
      <c r="I2529" s="359">
        <f>-H2529*('DRE + DCF'!$V$33+K2529)/'DRE + DCF'!$V$33</f>
        <v>-90858.801614444121</v>
      </c>
      <c r="J2529" s="359">
        <f>-'DRE + DCF'!$V$56*L2529</f>
        <v>-1188924.4255577971</v>
      </c>
      <c r="K2529" s="360">
        <f>(1+L2529)/(1+Ke!$O$12)-1</f>
        <v>2.0000000000000018E-2</v>
      </c>
      <c r="L2529" s="360">
        <f>'DRE + DCF'!$Y$31</f>
        <v>7.3550000000000004E-2</v>
      </c>
      <c r="M2529" s="361">
        <f>(1+D2529)^((5-Dashboard!$F$9)*3/12)</f>
        <v>1.2354399962420204</v>
      </c>
      <c r="N2529" s="361">
        <f t="shared" ref="N2529:V2529" si="2596">M2529*(1+$D2529)</f>
        <v>1.6377610310182089</v>
      </c>
      <c r="O2529" s="361">
        <f t="shared" si="2596"/>
        <v>2.1710979107692547</v>
      </c>
      <c r="P2529" s="361">
        <f t="shared" si="2596"/>
        <v>2.8781159454112175</v>
      </c>
      <c r="Q2529" s="361">
        <f t="shared" si="2596"/>
        <v>3.8153744030343208</v>
      </c>
      <c r="R2529" s="361">
        <f t="shared" si="2596"/>
        <v>5.0578510773823684</v>
      </c>
      <c r="S2529" s="361">
        <f t="shared" si="2596"/>
        <v>6.7049402807318321</v>
      </c>
      <c r="T2529" s="361">
        <f t="shared" si="2596"/>
        <v>8.8884040831520146</v>
      </c>
      <c r="U2529" s="361">
        <f t="shared" si="2596"/>
        <v>11.782912872830284</v>
      </c>
      <c r="V2529" s="362">
        <f t="shared" si="2596"/>
        <v>15.620018449867223</v>
      </c>
      <c r="X2529" s="351"/>
    </row>
    <row r="2530" spans="3:24" ht="24.75" customHeight="1" x14ac:dyDescent="0.3">
      <c r="C2530" s="353">
        <f>ABS(E2530-Dashboard!$F$14)</f>
        <v>49.675867768910535</v>
      </c>
      <c r="D2530" s="350">
        <f t="shared" si="2577"/>
        <v>0.32574999999997939</v>
      </c>
      <c r="E2530" s="359" cm="1">
        <f t="array" ref="E2530">1000*SUM('DRE + DCF'!$L$36/M2530,'DRE + DCF'!$N$36:$V$36/N2530:V2530,F2530/V2530)/Dashboard!$F$11</f>
        <v>47.314132231089459</v>
      </c>
      <c r="F2530" s="359">
        <f t="shared" si="2575"/>
        <v>7990400.5925919833</v>
      </c>
      <c r="G2530" s="359">
        <f>'DRE + DCF'!$W$31</f>
        <v>2791623.3540418856</v>
      </c>
      <c r="H2530" s="359">
        <f>'DRE + DCF'!$W$32</f>
        <v>81081.931703745853</v>
      </c>
      <c r="I2530" s="359">
        <f>-H2530*('DRE + DCF'!$V$33+K2530)/'DRE + DCF'!$V$33</f>
        <v>-90858.801614444121</v>
      </c>
      <c r="J2530" s="359">
        <f>-'DRE + DCF'!$V$56*L2530</f>
        <v>-1188924.4255577971</v>
      </c>
      <c r="K2530" s="360">
        <f>(1+L2530)/(1+Ke!$O$12)-1</f>
        <v>2.0000000000000018E-2</v>
      </c>
      <c r="L2530" s="360">
        <f>'DRE + DCF'!$Y$31</f>
        <v>7.3550000000000004E-2</v>
      </c>
      <c r="M2530" s="361">
        <f>(1+D2530)^((5-Dashboard!$F$9)*3/12)</f>
        <v>1.2355098918600509</v>
      </c>
      <c r="N2530" s="361">
        <f t="shared" ref="N2530:V2530" si="2597">M2530*(1+$D2530)</f>
        <v>1.6379772391334368</v>
      </c>
      <c r="O2530" s="361">
        <f t="shared" si="2597"/>
        <v>2.1715483247811203</v>
      </c>
      <c r="P2530" s="361">
        <f t="shared" si="2597"/>
        <v>2.8789301915785255</v>
      </c>
      <c r="Q2530" s="361">
        <f t="shared" si="2597"/>
        <v>3.8167417014851708</v>
      </c>
      <c r="R2530" s="361">
        <f t="shared" si="2597"/>
        <v>5.0600453107438863</v>
      </c>
      <c r="S2530" s="361">
        <f t="shared" si="2597"/>
        <v>6.7083550707186026</v>
      </c>
      <c r="T2530" s="361">
        <f t="shared" si="2597"/>
        <v>8.8936017350050491</v>
      </c>
      <c r="U2530" s="361">
        <f t="shared" si="2597"/>
        <v>11.790692500182761</v>
      </c>
      <c r="V2530" s="362">
        <f t="shared" si="2597"/>
        <v>15.631510582117052</v>
      </c>
      <c r="X2530" s="351"/>
    </row>
    <row r="2531" spans="3:24" ht="24.75" customHeight="1" x14ac:dyDescent="0.3">
      <c r="C2531" s="353">
        <f>ABS(E2531-Dashboard!$F$14)</f>
        <v>49.697965457790374</v>
      </c>
      <c r="D2531" s="350">
        <f t="shared" si="2577"/>
        <v>0.32584999999997938</v>
      </c>
      <c r="E2531" s="359" cm="1">
        <f t="array" ref="E2531">1000*SUM('DRE + DCF'!$L$36/M2531,'DRE + DCF'!$N$36:$V$36/N2531:V2531,F2531/V2531)/Dashboard!$F$11</f>
        <v>47.29203454220962</v>
      </c>
      <c r="F2531" s="359">
        <f t="shared" si="2575"/>
        <v>7987645.1092821751</v>
      </c>
      <c r="G2531" s="359">
        <f>'DRE + DCF'!$W$31</f>
        <v>2791623.3540418856</v>
      </c>
      <c r="H2531" s="359">
        <f>'DRE + DCF'!$W$32</f>
        <v>81081.931703745853</v>
      </c>
      <c r="I2531" s="359">
        <f>-H2531*('DRE + DCF'!$V$33+K2531)/'DRE + DCF'!$V$33</f>
        <v>-90858.801614444121</v>
      </c>
      <c r="J2531" s="359">
        <f>-'DRE + DCF'!$V$56*L2531</f>
        <v>-1188924.4255577971</v>
      </c>
      <c r="K2531" s="360">
        <f>(1+L2531)/(1+Ke!$O$12)-1</f>
        <v>2.0000000000000018E-2</v>
      </c>
      <c r="L2531" s="360">
        <f>'DRE + DCF'!$Y$31</f>
        <v>7.3550000000000004E-2</v>
      </c>
      <c r="M2531" s="361">
        <f>(1+D2531)^((5-Dashboard!$F$9)*3/12)</f>
        <v>1.2355797861600546</v>
      </c>
      <c r="N2531" s="361">
        <f t="shared" ref="N2531:V2531" si="2598">M2531*(1+$D2531)</f>
        <v>1.6381934594802829</v>
      </c>
      <c r="O2531" s="361">
        <f t="shared" si="2598"/>
        <v>2.1719987982518991</v>
      </c>
      <c r="P2531" s="361">
        <f t="shared" si="2598"/>
        <v>2.8797446066622356</v>
      </c>
      <c r="Q2531" s="361">
        <f t="shared" si="2598"/>
        <v>3.8181093867430658</v>
      </c>
      <c r="R2531" s="361">
        <f t="shared" si="2598"/>
        <v>5.0622403304132151</v>
      </c>
      <c r="S2531" s="361">
        <f t="shared" si="2598"/>
        <v>6.711771342078257</v>
      </c>
      <c r="T2531" s="361">
        <f t="shared" si="2598"/>
        <v>8.8988020338943183</v>
      </c>
      <c r="U2531" s="361">
        <f t="shared" si="2598"/>
        <v>11.798476676638598</v>
      </c>
      <c r="V2531" s="362">
        <f t="shared" si="2598"/>
        <v>15.643010301721041</v>
      </c>
      <c r="X2531" s="351"/>
    </row>
    <row r="2532" spans="3:24" ht="24.75" customHeight="1" x14ac:dyDescent="0.3">
      <c r="C2532" s="353">
        <f>ABS(E2532-Dashboard!$F$14)</f>
        <v>49.720044534883641</v>
      </c>
      <c r="D2532" s="350">
        <f t="shared" si="2577"/>
        <v>0.32594999999997937</v>
      </c>
      <c r="E2532" s="359" cm="1">
        <f t="array" ref="E2532">1000*SUM('DRE + DCF'!$L$36/M2532,'DRE + DCF'!$N$36:$V$36/N2532:V2532,F2532/V2532)/Dashboard!$F$11</f>
        <v>47.269955465116354</v>
      </c>
      <c r="F2532" s="359">
        <f t="shared" si="2575"/>
        <v>7984891.5569807272</v>
      </c>
      <c r="G2532" s="359">
        <f>'DRE + DCF'!$W$31</f>
        <v>2791623.3540418856</v>
      </c>
      <c r="H2532" s="359">
        <f>'DRE + DCF'!$W$32</f>
        <v>81081.931703745853</v>
      </c>
      <c r="I2532" s="359">
        <f>-H2532*('DRE + DCF'!$V$33+K2532)/'DRE + DCF'!$V$33</f>
        <v>-90858.801614444121</v>
      </c>
      <c r="J2532" s="359">
        <f>-'DRE + DCF'!$V$56*L2532</f>
        <v>-1188924.4255577971</v>
      </c>
      <c r="K2532" s="360">
        <f>(1+L2532)/(1+Ke!$O$12)-1</f>
        <v>2.0000000000000018E-2</v>
      </c>
      <c r="L2532" s="360">
        <f>'DRE + DCF'!$Y$31</f>
        <v>7.3550000000000004E-2</v>
      </c>
      <c r="M2532" s="361">
        <f>(1+D2532)^((5-Dashboard!$F$9)*3/12)</f>
        <v>1.2356496791421558</v>
      </c>
      <c r="N2532" s="361">
        <f t="shared" ref="N2532:V2532" si="2599">M2532*(1+$D2532)</f>
        <v>1.6384096920585161</v>
      </c>
      <c r="O2532" s="361">
        <f t="shared" si="2599"/>
        <v>2.1724493311849553</v>
      </c>
      <c r="P2532" s="361">
        <f t="shared" si="2599"/>
        <v>2.8805591906846466</v>
      </c>
      <c r="Q2532" s="361">
        <f t="shared" si="2599"/>
        <v>3.8194774588882474</v>
      </c>
      <c r="R2532" s="361">
        <f t="shared" si="2599"/>
        <v>5.0644361366127928</v>
      </c>
      <c r="S2532" s="361">
        <f t="shared" si="2599"/>
        <v>6.7151890953416276</v>
      </c>
      <c r="T2532" s="361">
        <f t="shared" si="2599"/>
        <v>8.904004980968093</v>
      </c>
      <c r="U2532" s="361">
        <f t="shared" si="2599"/>
        <v>11.806265404514459</v>
      </c>
      <c r="V2532" s="362">
        <f t="shared" si="2599"/>
        <v>15.654517613115702</v>
      </c>
      <c r="X2532" s="351"/>
    </row>
    <row r="2533" spans="3:24" ht="24.75" customHeight="1" x14ac:dyDescent="0.3">
      <c r="C2533" s="353">
        <f>ABS(E2533-Dashboard!$F$14)</f>
        <v>49.742105022022862</v>
      </c>
      <c r="D2533" s="350">
        <f t="shared" si="2577"/>
        <v>0.32604999999997936</v>
      </c>
      <c r="E2533" s="359" cm="1">
        <f t="array" ref="E2533">1000*SUM('DRE + DCF'!$L$36/M2533,'DRE + DCF'!$N$36:$V$36/N2533:V2533,F2533/V2533)/Dashboard!$F$11</f>
        <v>47.247894977977133</v>
      </c>
      <c r="F2533" s="359">
        <f t="shared" si="2575"/>
        <v>7982139.9336255314</v>
      </c>
      <c r="G2533" s="359">
        <f>'DRE + DCF'!$W$31</f>
        <v>2791623.3540418856</v>
      </c>
      <c r="H2533" s="359">
        <f>'DRE + DCF'!$W$32</f>
        <v>81081.931703745853</v>
      </c>
      <c r="I2533" s="359">
        <f>-H2533*('DRE + DCF'!$V$33+K2533)/'DRE + DCF'!$V$33</f>
        <v>-90858.801614444121</v>
      </c>
      <c r="J2533" s="359">
        <f>-'DRE + DCF'!$V$56*L2533</f>
        <v>-1188924.4255577971</v>
      </c>
      <c r="K2533" s="360">
        <f>(1+L2533)/(1+Ke!$O$12)-1</f>
        <v>2.0000000000000018E-2</v>
      </c>
      <c r="L2533" s="360">
        <f>'DRE + DCF'!$Y$31</f>
        <v>7.3550000000000004E-2</v>
      </c>
      <c r="M2533" s="361">
        <f>(1+D2533)^((5-Dashboard!$F$9)*3/12)</f>
        <v>1.235719570806479</v>
      </c>
      <c r="N2533" s="361">
        <f t="shared" ref="N2533:V2533" si="2600">M2533*(1+$D2533)</f>
        <v>1.6386259368679059</v>
      </c>
      <c r="O2533" s="361">
        <f t="shared" si="2600"/>
        <v>2.1728999235836528</v>
      </c>
      <c r="P2533" s="361">
        <f t="shared" si="2600"/>
        <v>2.8813739436680579</v>
      </c>
      <c r="Q2533" s="361">
        <f t="shared" si="2600"/>
        <v>3.8208459180009684</v>
      </c>
      <c r="R2533" s="361">
        <f t="shared" si="2600"/>
        <v>5.0666327295651055</v>
      </c>
      <c r="S2533" s="361">
        <f t="shared" si="2600"/>
        <v>6.7186083310397029</v>
      </c>
      <c r="T2533" s="361">
        <f t="shared" si="2600"/>
        <v>8.9092105773750596</v>
      </c>
      <c r="U2533" s="361">
        <f t="shared" si="2600"/>
        <v>11.814058686128014</v>
      </c>
      <c r="V2533" s="362">
        <f t="shared" si="2600"/>
        <v>15.666032520739808</v>
      </c>
      <c r="X2533" s="351"/>
    </row>
    <row r="2534" spans="3:24" ht="24.75" customHeight="1" x14ac:dyDescent="0.3">
      <c r="C2534" s="353">
        <f>ABS(E2534-Dashboard!$F$14)</f>
        <v>49.764146941007823</v>
      </c>
      <c r="D2534" s="350">
        <f t="shared" si="2577"/>
        <v>0.32614999999997935</v>
      </c>
      <c r="E2534" s="359" cm="1">
        <f t="array" ref="E2534">1000*SUM('DRE + DCF'!$L$36/M2534,'DRE + DCF'!$N$36:$V$36/N2534:V2534,F2534/V2534)/Dashboard!$F$11</f>
        <v>47.225853058992172</v>
      </c>
      <c r="F2534" s="359">
        <f t="shared" si="2575"/>
        <v>7979390.2371574566</v>
      </c>
      <c r="G2534" s="359">
        <f>'DRE + DCF'!$W$31</f>
        <v>2791623.3540418856</v>
      </c>
      <c r="H2534" s="359">
        <f>'DRE + DCF'!$W$32</f>
        <v>81081.931703745853</v>
      </c>
      <c r="I2534" s="359">
        <f>-H2534*('DRE + DCF'!$V$33+K2534)/'DRE + DCF'!$V$33</f>
        <v>-90858.801614444121</v>
      </c>
      <c r="J2534" s="359">
        <f>-'DRE + DCF'!$V$56*L2534</f>
        <v>-1188924.4255577971</v>
      </c>
      <c r="K2534" s="360">
        <f>(1+L2534)/(1+Ke!$O$12)-1</f>
        <v>2.0000000000000018E-2</v>
      </c>
      <c r="L2534" s="360">
        <f>'DRE + DCF'!$Y$31</f>
        <v>7.3550000000000004E-2</v>
      </c>
      <c r="M2534" s="361">
        <f>(1+D2534)^((5-Dashboard!$F$9)*3/12)</f>
        <v>1.2357894611531479</v>
      </c>
      <c r="N2534" s="361">
        <f t="shared" ref="N2534:V2534" si="2601">M2534*(1+$D2534)</f>
        <v>1.6388421939082216</v>
      </c>
      <c r="O2534" s="361">
        <f t="shared" si="2601"/>
        <v>2.1733505754513542</v>
      </c>
      <c r="P2534" s="361">
        <f t="shared" si="2601"/>
        <v>2.8821888656347685</v>
      </c>
      <c r="Q2534" s="361">
        <f t="shared" si="2601"/>
        <v>3.8222147641614885</v>
      </c>
      <c r="R2534" s="361">
        <f t="shared" si="2601"/>
        <v>5.0688301094926791</v>
      </c>
      <c r="S2534" s="361">
        <f t="shared" si="2601"/>
        <v>6.722029049703611</v>
      </c>
      <c r="T2534" s="361">
        <f t="shared" si="2601"/>
        <v>8.9144188242643043</v>
      </c>
      <c r="U2534" s="361">
        <f t="shared" si="2601"/>
        <v>11.821856523797923</v>
      </c>
      <c r="V2534" s="362">
        <f t="shared" si="2601"/>
        <v>15.677555029034371</v>
      </c>
      <c r="X2534" s="351"/>
    </row>
    <row r="2535" spans="3:24" ht="24.75" customHeight="1" x14ac:dyDescent="0.3">
      <c r="C2535" s="353">
        <f>ABS(E2535-Dashboard!$F$14)</f>
        <v>49.786170313605666</v>
      </c>
      <c r="D2535" s="350">
        <f t="shared" si="2577"/>
        <v>0.32624999999997933</v>
      </c>
      <c r="E2535" s="359" cm="1">
        <f t="array" ref="E2535">1000*SUM('DRE + DCF'!$L$36/M2535,'DRE + DCF'!$N$36:$V$36/N2535:V2535,F2535/V2535)/Dashboard!$F$11</f>
        <v>47.203829686394329</v>
      </c>
      <c r="F2535" s="359">
        <f t="shared" si="2575"/>
        <v>7976642.4655203521</v>
      </c>
      <c r="G2535" s="359">
        <f>'DRE + DCF'!$W$31</f>
        <v>2791623.3540418856</v>
      </c>
      <c r="H2535" s="359">
        <f>'DRE + DCF'!$W$32</f>
        <v>81081.931703745853</v>
      </c>
      <c r="I2535" s="359">
        <f>-H2535*('DRE + DCF'!$V$33+K2535)/'DRE + DCF'!$V$33</f>
        <v>-90858.801614444121</v>
      </c>
      <c r="J2535" s="359">
        <f>-'DRE + DCF'!$V$56*L2535</f>
        <v>-1188924.4255577971</v>
      </c>
      <c r="K2535" s="360">
        <f>(1+L2535)/(1+Ke!$O$12)-1</f>
        <v>2.0000000000000018E-2</v>
      </c>
      <c r="L2535" s="360">
        <f>'DRE + DCF'!$Y$31</f>
        <v>7.3550000000000004E-2</v>
      </c>
      <c r="M2535" s="361">
        <f>(1+D2535)^((5-Dashboard!$F$9)*3/12)</f>
        <v>1.235859350182287</v>
      </c>
      <c r="N2535" s="361">
        <f t="shared" ref="N2535:V2535" si="2602">M2535*(1+$D2535)</f>
        <v>1.6390584631792324</v>
      </c>
      <c r="O2535" s="361">
        <f t="shared" si="2602"/>
        <v>2.1738012867914231</v>
      </c>
      <c r="P2535" s="361">
        <f t="shared" si="2602"/>
        <v>2.8830039566070798</v>
      </c>
      <c r="Q2535" s="361">
        <f t="shared" si="2602"/>
        <v>3.8235839974500796</v>
      </c>
      <c r="R2535" s="361">
        <f t="shared" si="2602"/>
        <v>5.0710282766180885</v>
      </c>
      <c r="S2535" s="361">
        <f t="shared" si="2602"/>
        <v>6.7254512518646345</v>
      </c>
      <c r="T2535" s="361">
        <f t="shared" si="2602"/>
        <v>8.9196297227853325</v>
      </c>
      <c r="U2535" s="361">
        <f t="shared" si="2602"/>
        <v>11.829658919843862</v>
      </c>
      <c r="V2535" s="362">
        <f t="shared" si="2602"/>
        <v>15.689085142442677</v>
      </c>
      <c r="X2535" s="351"/>
    </row>
    <row r="2536" spans="3:24" ht="24.75" customHeight="1" x14ac:dyDescent="0.3">
      <c r="C2536" s="353">
        <f>ABS(E2536-Dashboard!$F$14)</f>
        <v>49.808175161551077</v>
      </c>
      <c r="D2536" s="350">
        <f t="shared" si="2577"/>
        <v>0.32634999999997932</v>
      </c>
      <c r="E2536" s="359" cm="1">
        <f t="array" ref="E2536">1000*SUM('DRE + DCF'!$L$36/M2536,'DRE + DCF'!$N$36:$V$36/N2536:V2536,F2536/V2536)/Dashboard!$F$11</f>
        <v>47.181824838448918</v>
      </c>
      <c r="F2536" s="359">
        <f t="shared" si="2575"/>
        <v>7973896.6166610345</v>
      </c>
      <c r="G2536" s="359">
        <f>'DRE + DCF'!$W$31</f>
        <v>2791623.3540418856</v>
      </c>
      <c r="H2536" s="359">
        <f>'DRE + DCF'!$W$32</f>
        <v>81081.931703745853</v>
      </c>
      <c r="I2536" s="359">
        <f>-H2536*('DRE + DCF'!$V$33+K2536)/'DRE + DCF'!$V$33</f>
        <v>-90858.801614444121</v>
      </c>
      <c r="J2536" s="359">
        <f>-'DRE + DCF'!$V$56*L2536</f>
        <v>-1188924.4255577971</v>
      </c>
      <c r="K2536" s="360">
        <f>(1+L2536)/(1+Ke!$O$12)-1</f>
        <v>2.0000000000000018E-2</v>
      </c>
      <c r="L2536" s="360">
        <f>'DRE + DCF'!$Y$31</f>
        <v>7.3550000000000004E-2</v>
      </c>
      <c r="M2536" s="361">
        <f>(1+D2536)^((5-Dashboard!$F$9)*3/12)</f>
        <v>1.2359292378940203</v>
      </c>
      <c r="N2536" s="361">
        <f t="shared" ref="N2536:V2536" si="2603">M2536*(1+$D2536)</f>
        <v>1.6392747446807083</v>
      </c>
      <c r="O2536" s="361">
        <f t="shared" si="2603"/>
        <v>2.1742520576072235</v>
      </c>
      <c r="P2536" s="361">
        <f t="shared" si="2603"/>
        <v>2.883819216607296</v>
      </c>
      <c r="Q2536" s="361">
        <f t="shared" si="2603"/>
        <v>3.8249536179470272</v>
      </c>
      <c r="R2536" s="361">
        <f t="shared" si="2603"/>
        <v>5.0732272311639601</v>
      </c>
      <c r="S2536" s="361">
        <f t="shared" si="2603"/>
        <v>6.7288749380542132</v>
      </c>
      <c r="T2536" s="361">
        <f t="shared" si="2603"/>
        <v>8.924843274088067</v>
      </c>
      <c r="U2536" s="361">
        <f t="shared" si="2603"/>
        <v>11.837465876586522</v>
      </c>
      <c r="V2536" s="362">
        <f t="shared" si="2603"/>
        <v>15.700622865410288</v>
      </c>
      <c r="X2536" s="351"/>
    </row>
    <row r="2537" spans="3:24" ht="24.75" customHeight="1" x14ac:dyDescent="0.3">
      <c r="C2537" s="353">
        <f>ABS(E2537-Dashboard!$F$14)</f>
        <v>49.830161506546091</v>
      </c>
      <c r="D2537" s="350">
        <f t="shared" si="2577"/>
        <v>0.32644999999997931</v>
      </c>
      <c r="E2537" s="359" cm="1">
        <f t="array" ref="E2537">1000*SUM('DRE + DCF'!$L$36/M2537,'DRE + DCF'!$N$36:$V$36/N2537:V2537,F2537/V2537)/Dashboard!$F$11</f>
        <v>47.159838493453904</v>
      </c>
      <c r="F2537" s="359">
        <f t="shared" si="2575"/>
        <v>7971152.6885292847</v>
      </c>
      <c r="G2537" s="359">
        <f>'DRE + DCF'!$W$31</f>
        <v>2791623.3540418856</v>
      </c>
      <c r="H2537" s="359">
        <f>'DRE + DCF'!$W$32</f>
        <v>81081.931703745853</v>
      </c>
      <c r="I2537" s="359">
        <f>-H2537*('DRE + DCF'!$V$33+K2537)/'DRE + DCF'!$V$33</f>
        <v>-90858.801614444121</v>
      </c>
      <c r="J2537" s="359">
        <f>-'DRE + DCF'!$V$56*L2537</f>
        <v>-1188924.4255577971</v>
      </c>
      <c r="K2537" s="360">
        <f>(1+L2537)/(1+Ke!$O$12)-1</f>
        <v>2.0000000000000018E-2</v>
      </c>
      <c r="L2537" s="360">
        <f>'DRE + DCF'!$Y$31</f>
        <v>7.3550000000000004E-2</v>
      </c>
      <c r="M2537" s="361">
        <f>(1+D2537)^((5-Dashboard!$F$9)*3/12)</f>
        <v>1.2359991242884725</v>
      </c>
      <c r="N2537" s="361">
        <f t="shared" ref="N2537:V2537" si="2604">M2537*(1+$D2537)</f>
        <v>1.6394910384124186</v>
      </c>
      <c r="O2537" s="361">
        <f t="shared" si="2604"/>
        <v>2.1747028879021189</v>
      </c>
      <c r="P2537" s="361">
        <f t="shared" si="2604"/>
        <v>2.8846346456577203</v>
      </c>
      <c r="Q2537" s="361">
        <f t="shared" si="2604"/>
        <v>3.8263236257326234</v>
      </c>
      <c r="R2537" s="361">
        <f t="shared" si="2604"/>
        <v>5.0754269733529593</v>
      </c>
      <c r="S2537" s="361">
        <f t="shared" si="2604"/>
        <v>6.732300108803928</v>
      </c>
      <c r="T2537" s="361">
        <f t="shared" si="2604"/>
        <v>8.9300594793228303</v>
      </c>
      <c r="U2537" s="361">
        <f t="shared" si="2604"/>
        <v>11.845277396347583</v>
      </c>
      <c r="V2537" s="362">
        <f t="shared" si="2604"/>
        <v>15.712168202385007</v>
      </c>
      <c r="X2537" s="351"/>
    </row>
    <row r="2538" spans="3:24" ht="24.75" customHeight="1" x14ac:dyDescent="0.3">
      <c r="C2538" s="353">
        <f>ABS(E2538-Dashboard!$F$14)</f>
        <v>49.852129370260315</v>
      </c>
      <c r="D2538" s="350">
        <f t="shared" si="2577"/>
        <v>0.3265499999999793</v>
      </c>
      <c r="E2538" s="359" cm="1">
        <f t="array" ref="E2538">1000*SUM('DRE + DCF'!$L$36/M2538,'DRE + DCF'!$N$36:$V$36/N2538:V2538,F2538/V2538)/Dashboard!$F$11</f>
        <v>47.13787062973968</v>
      </c>
      <c r="F2538" s="359">
        <f t="shared" si="2575"/>
        <v>7968410.6790778432</v>
      </c>
      <c r="G2538" s="359">
        <f>'DRE + DCF'!$W$31</f>
        <v>2791623.3540418856</v>
      </c>
      <c r="H2538" s="359">
        <f>'DRE + DCF'!$W$32</f>
        <v>81081.931703745853</v>
      </c>
      <c r="I2538" s="359">
        <f>-H2538*('DRE + DCF'!$V$33+K2538)/'DRE + DCF'!$V$33</f>
        <v>-90858.801614444121</v>
      </c>
      <c r="J2538" s="359">
        <f>-'DRE + DCF'!$V$56*L2538</f>
        <v>-1188924.4255577971</v>
      </c>
      <c r="K2538" s="360">
        <f>(1+L2538)/(1+Ke!$O$12)-1</f>
        <v>2.0000000000000018E-2</v>
      </c>
      <c r="L2538" s="360">
        <f>'DRE + DCF'!$Y$31</f>
        <v>7.3550000000000004E-2</v>
      </c>
      <c r="M2538" s="361">
        <f>(1+D2538)^((5-Dashboard!$F$9)*3/12)</f>
        <v>1.2360690093657669</v>
      </c>
      <c r="N2538" s="361">
        <f t="shared" ref="N2538:V2538" si="2605">M2538*(1+$D2538)</f>
        <v>1.6397073443741323</v>
      </c>
      <c r="O2538" s="361">
        <f t="shared" si="2605"/>
        <v>2.1751537776794714</v>
      </c>
      <c r="P2538" s="361">
        <f t="shared" si="2605"/>
        <v>2.8854502437806575</v>
      </c>
      <c r="Q2538" s="361">
        <f t="shared" si="2605"/>
        <v>3.8276940208871713</v>
      </c>
      <c r="R2538" s="361">
        <f t="shared" si="2605"/>
        <v>5.0776275034077978</v>
      </c>
      <c r="S2538" s="361">
        <f t="shared" si="2605"/>
        <v>6.7357267646455083</v>
      </c>
      <c r="T2538" s="361">
        <f t="shared" si="2605"/>
        <v>8.9352783396403588</v>
      </c>
      <c r="U2538" s="361">
        <f t="shared" si="2605"/>
        <v>11.853093481449733</v>
      </c>
      <c r="V2538" s="362">
        <f t="shared" si="2605"/>
        <v>15.723721157816897</v>
      </c>
      <c r="X2538" s="351"/>
    </row>
    <row r="2539" spans="3:24" ht="24.75" customHeight="1" x14ac:dyDescent="0.3">
      <c r="C2539" s="353">
        <f>ABS(E2539-Dashboard!$F$14)</f>
        <v>49.874078774331046</v>
      </c>
      <c r="D2539" s="350">
        <f t="shared" si="2577"/>
        <v>0.32664999999997929</v>
      </c>
      <c r="E2539" s="359" cm="1">
        <f t="array" ref="E2539">1000*SUM('DRE + DCF'!$L$36/M2539,'DRE + DCF'!$N$36:$V$36/N2539:V2539,F2539/V2539)/Dashboard!$F$11</f>
        <v>47.115921225668949</v>
      </c>
      <c r="F2539" s="359">
        <f t="shared" si="2575"/>
        <v>7965670.5862624049</v>
      </c>
      <c r="G2539" s="359">
        <f>'DRE + DCF'!$W$31</f>
        <v>2791623.3540418856</v>
      </c>
      <c r="H2539" s="359">
        <f>'DRE + DCF'!$W$32</f>
        <v>81081.931703745853</v>
      </c>
      <c r="I2539" s="359">
        <f>-H2539*('DRE + DCF'!$V$33+K2539)/'DRE + DCF'!$V$33</f>
        <v>-90858.801614444121</v>
      </c>
      <c r="J2539" s="359">
        <f>-'DRE + DCF'!$V$56*L2539</f>
        <v>-1188924.4255577971</v>
      </c>
      <c r="K2539" s="360">
        <f>(1+L2539)/(1+Ke!$O$12)-1</f>
        <v>2.0000000000000018E-2</v>
      </c>
      <c r="L2539" s="360">
        <f>'DRE + DCF'!$Y$31</f>
        <v>7.3550000000000004E-2</v>
      </c>
      <c r="M2539" s="361">
        <f>(1+D2539)^((5-Dashboard!$F$9)*3/12)</f>
        <v>1.2361388931260282</v>
      </c>
      <c r="N2539" s="361">
        <f t="shared" ref="N2539:V2539" si="2606">M2539*(1+$D2539)</f>
        <v>1.6399236625656197</v>
      </c>
      <c r="O2539" s="361">
        <f t="shared" si="2606"/>
        <v>2.1756047269426455</v>
      </c>
      <c r="P2539" s="361">
        <f t="shared" si="2606"/>
        <v>2.8862660109984155</v>
      </c>
      <c r="Q2539" s="361">
        <f t="shared" si="2606"/>
        <v>3.8290648034909882</v>
      </c>
      <c r="R2539" s="361">
        <f t="shared" si="2606"/>
        <v>5.0798288215512404</v>
      </c>
      <c r="S2539" s="361">
        <f t="shared" si="2606"/>
        <v>6.7391549061108478</v>
      </c>
      <c r="T2539" s="361">
        <f t="shared" si="2606"/>
        <v>8.940499856191817</v>
      </c>
      <c r="U2539" s="361">
        <f t="shared" si="2606"/>
        <v>11.860914134216689</v>
      </c>
      <c r="V2539" s="362">
        <f t="shared" si="2606"/>
        <v>15.735281736158324</v>
      </c>
      <c r="X2539" s="351"/>
    </row>
    <row r="2540" spans="3:24" ht="24.75" customHeight="1" x14ac:dyDescent="0.3">
      <c r="C2540" s="353">
        <f>ABS(E2540-Dashboard!$F$14)</f>
        <v>49.896009740363141</v>
      </c>
      <c r="D2540" s="350">
        <f t="shared" si="2577"/>
        <v>0.32674999999997928</v>
      </c>
      <c r="E2540" s="359" cm="1">
        <f t="array" ref="E2540">1000*SUM('DRE + DCF'!$L$36/M2540,'DRE + DCF'!$N$36:$V$36/N2540:V2540,F2540/V2540)/Dashboard!$F$11</f>
        <v>47.093990259636854</v>
      </c>
      <c r="F2540" s="359">
        <f t="shared" si="2575"/>
        <v>7962932.4080416104</v>
      </c>
      <c r="G2540" s="359">
        <f>'DRE + DCF'!$W$31</f>
        <v>2791623.3540418856</v>
      </c>
      <c r="H2540" s="359">
        <f>'DRE + DCF'!$W$32</f>
        <v>81081.931703745853</v>
      </c>
      <c r="I2540" s="359">
        <f>-H2540*('DRE + DCF'!$V$33+K2540)/'DRE + DCF'!$V$33</f>
        <v>-90858.801614444121</v>
      </c>
      <c r="J2540" s="359">
        <f>-'DRE + DCF'!$V$56*L2540</f>
        <v>-1188924.4255577971</v>
      </c>
      <c r="K2540" s="360">
        <f>(1+L2540)/(1+Ke!$O$12)-1</f>
        <v>2.0000000000000018E-2</v>
      </c>
      <c r="L2540" s="360">
        <f>'DRE + DCF'!$Y$31</f>
        <v>7.3550000000000004E-2</v>
      </c>
      <c r="M2540" s="361">
        <f>(1+D2540)^((5-Dashboard!$F$9)*3/12)</f>
        <v>1.2362087755693802</v>
      </c>
      <c r="N2540" s="361">
        <f t="shared" ref="N2540:V2540" si="2607">M2540*(1+$D2540)</f>
        <v>1.6401399929866496</v>
      </c>
      <c r="O2540" s="361">
        <f t="shared" si="2607"/>
        <v>2.1760557356950034</v>
      </c>
      <c r="P2540" s="361">
        <f t="shared" si="2607"/>
        <v>2.8870819473333005</v>
      </c>
      <c r="Q2540" s="361">
        <f t="shared" si="2607"/>
        <v>3.8304359736243963</v>
      </c>
      <c r="R2540" s="361">
        <f t="shared" si="2607"/>
        <v>5.0820309280060885</v>
      </c>
      <c r="S2540" s="361">
        <f t="shared" si="2607"/>
        <v>6.7425845337319723</v>
      </c>
      <c r="T2540" s="361">
        <f t="shared" si="2607"/>
        <v>8.9457240301287548</v>
      </c>
      <c r="U2540" s="361">
        <f t="shared" si="2607"/>
        <v>11.868739356973139</v>
      </c>
      <c r="V2540" s="362">
        <f t="shared" si="2607"/>
        <v>15.746849941863866</v>
      </c>
      <c r="X2540" s="351"/>
    </row>
    <row r="2541" spans="3:24" ht="24.75" customHeight="1" x14ac:dyDescent="0.3">
      <c r="C2541" s="353">
        <f>ABS(E2541-Dashboard!$F$14)</f>
        <v>49.917922289929251</v>
      </c>
      <c r="D2541" s="350">
        <f t="shared" si="2577"/>
        <v>0.32684999999997927</v>
      </c>
      <c r="E2541" s="359" cm="1">
        <f t="array" ref="E2541">1000*SUM('DRE + DCF'!$L$36/M2541,'DRE + DCF'!$N$36:$V$36/N2541:V2541,F2541/V2541)/Dashboard!$F$11</f>
        <v>47.072077710070744</v>
      </c>
      <c r="F2541" s="359">
        <f t="shared" si="2575"/>
        <v>7960196.1423770469</v>
      </c>
      <c r="G2541" s="359">
        <f>'DRE + DCF'!$W$31</f>
        <v>2791623.3540418856</v>
      </c>
      <c r="H2541" s="359">
        <f>'DRE + DCF'!$W$32</f>
        <v>81081.931703745853</v>
      </c>
      <c r="I2541" s="359">
        <f>-H2541*('DRE + DCF'!$V$33+K2541)/'DRE + DCF'!$V$33</f>
        <v>-90858.801614444121</v>
      </c>
      <c r="J2541" s="359">
        <f>-'DRE + DCF'!$V$56*L2541</f>
        <v>-1188924.4255577971</v>
      </c>
      <c r="K2541" s="360">
        <f>(1+L2541)/(1+Ke!$O$12)-1</f>
        <v>2.0000000000000018E-2</v>
      </c>
      <c r="L2541" s="360">
        <f>'DRE + DCF'!$Y$31</f>
        <v>7.3550000000000004E-2</v>
      </c>
      <c r="M2541" s="361">
        <f>(1+D2541)^((5-Dashboard!$F$9)*3/12)</f>
        <v>1.2362786566959474</v>
      </c>
      <c r="N2541" s="361">
        <f t="shared" ref="N2541:V2541" si="2608">M2541*(1+$D2541)</f>
        <v>1.6403563356369921</v>
      </c>
      <c r="O2541" s="361">
        <f t="shared" si="2608"/>
        <v>2.1765068039399087</v>
      </c>
      <c r="P2541" s="361">
        <f t="shared" si="2608"/>
        <v>2.8878980528076226</v>
      </c>
      <c r="Q2541" s="361">
        <f t="shared" si="2608"/>
        <v>3.8318075313677338</v>
      </c>
      <c r="R2541" s="361">
        <f t="shared" si="2608"/>
        <v>5.0842338229951975</v>
      </c>
      <c r="S2541" s="361">
        <f t="shared" si="2608"/>
        <v>6.7460156480410722</v>
      </c>
      <c r="T2541" s="361">
        <f t="shared" si="2608"/>
        <v>8.9509508626031558</v>
      </c>
      <c r="U2541" s="361">
        <f t="shared" si="2608"/>
        <v>11.87656915204481</v>
      </c>
      <c r="V2541" s="362">
        <f t="shared" si="2608"/>
        <v>15.758425779390409</v>
      </c>
      <c r="X2541" s="351"/>
    </row>
    <row r="2542" spans="3:24" ht="24.75" customHeight="1" x14ac:dyDescent="0.3">
      <c r="C2542" s="353">
        <f>ABS(E2542-Dashboard!$F$14)</f>
        <v>49.9398164445698</v>
      </c>
      <c r="D2542" s="350">
        <f t="shared" si="2577"/>
        <v>0.32694999999997926</v>
      </c>
      <c r="E2542" s="359" cm="1">
        <f t="array" ref="E2542">1000*SUM('DRE + DCF'!$L$36/M2542,'DRE + DCF'!$N$36:$V$36/N2542:V2542,F2542/V2542)/Dashboard!$F$11</f>
        <v>47.050183555430195</v>
      </c>
      <c r="F2542" s="359">
        <f t="shared" si="2575"/>
        <v>7957461.7872332362</v>
      </c>
      <c r="G2542" s="359">
        <f>'DRE + DCF'!$W$31</f>
        <v>2791623.3540418856</v>
      </c>
      <c r="H2542" s="359">
        <f>'DRE + DCF'!$W$32</f>
        <v>81081.931703745853</v>
      </c>
      <c r="I2542" s="359">
        <f>-H2542*('DRE + DCF'!$V$33+K2542)/'DRE + DCF'!$V$33</f>
        <v>-90858.801614444121</v>
      </c>
      <c r="J2542" s="359">
        <f>-'DRE + DCF'!$V$56*L2542</f>
        <v>-1188924.4255577971</v>
      </c>
      <c r="K2542" s="360">
        <f>(1+L2542)/(1+Ke!$O$12)-1</f>
        <v>2.0000000000000018E-2</v>
      </c>
      <c r="L2542" s="360">
        <f>'DRE + DCF'!$Y$31</f>
        <v>7.3550000000000004E-2</v>
      </c>
      <c r="M2542" s="361">
        <f>(1+D2542)^((5-Dashboard!$F$9)*3/12)</f>
        <v>1.2363485365058533</v>
      </c>
      <c r="N2542" s="361">
        <f t="shared" ref="N2542:V2542" si="2609">M2542*(1+$D2542)</f>
        <v>1.6405726905164164</v>
      </c>
      <c r="O2542" s="361">
        <f t="shared" si="2609"/>
        <v>2.1769579316807248</v>
      </c>
      <c r="P2542" s="361">
        <f t="shared" si="2609"/>
        <v>2.8887143274436924</v>
      </c>
      <c r="Q2542" s="361">
        <f t="shared" si="2609"/>
        <v>3.8331794768013476</v>
      </c>
      <c r="R2542" s="361">
        <f t="shared" si="2609"/>
        <v>5.0864375067414684</v>
      </c>
      <c r="S2542" s="361">
        <f t="shared" si="2609"/>
        <v>6.7494482495704862</v>
      </c>
      <c r="T2542" s="361">
        <f t="shared" si="2609"/>
        <v>8.956180354767417</v>
      </c>
      <c r="U2542" s="361">
        <f t="shared" si="2609"/>
        <v>11.884403521758438</v>
      </c>
      <c r="V2542" s="362">
        <f t="shared" si="2609"/>
        <v>15.770009253197113</v>
      </c>
      <c r="X2542" s="351"/>
    </row>
    <row r="2543" spans="3:24" ht="24.75" customHeight="1" x14ac:dyDescent="0.3">
      <c r="C2543" s="353">
        <f>ABS(E2543-Dashboard!$F$14)</f>
        <v>49.961692225792994</v>
      </c>
      <c r="D2543" s="350">
        <f t="shared" si="2577"/>
        <v>0.32704999999997925</v>
      </c>
      <c r="E2543" s="359" cm="1">
        <f t="array" ref="E2543">1000*SUM('DRE + DCF'!$L$36/M2543,'DRE + DCF'!$N$36:$V$36/N2543:V2543,F2543/V2543)/Dashboard!$F$11</f>
        <v>47.028307774207001</v>
      </c>
      <c r="F2543" s="359">
        <f t="shared" si="2575"/>
        <v>7954729.3405776322</v>
      </c>
      <c r="G2543" s="359">
        <f>'DRE + DCF'!$W$31</f>
        <v>2791623.3540418856</v>
      </c>
      <c r="H2543" s="359">
        <f>'DRE + DCF'!$W$32</f>
        <v>81081.931703745853</v>
      </c>
      <c r="I2543" s="359">
        <f>-H2543*('DRE + DCF'!$V$33+K2543)/'DRE + DCF'!$V$33</f>
        <v>-90858.801614444121</v>
      </c>
      <c r="J2543" s="359">
        <f>-'DRE + DCF'!$V$56*L2543</f>
        <v>-1188924.4255577971</v>
      </c>
      <c r="K2543" s="360">
        <f>(1+L2543)/(1+Ke!$O$12)-1</f>
        <v>2.0000000000000018E-2</v>
      </c>
      <c r="L2543" s="360">
        <f>'DRE + DCF'!$Y$31</f>
        <v>7.3550000000000004E-2</v>
      </c>
      <c r="M2543" s="361">
        <f>(1+D2543)^((5-Dashboard!$F$9)*3/12)</f>
        <v>1.2364184149992223</v>
      </c>
      <c r="N2543" s="361">
        <f t="shared" ref="N2543:V2543" si="2610">M2543*(1+$D2543)</f>
        <v>1.6407890576246922</v>
      </c>
      <c r="O2543" s="361">
        <f t="shared" si="2610"/>
        <v>2.1774091189208136</v>
      </c>
      <c r="P2543" s="361">
        <f t="shared" si="2610"/>
        <v>2.8895307712638205</v>
      </c>
      <c r="Q2543" s="361">
        <f t="shared" si="2610"/>
        <v>3.8345518100055931</v>
      </c>
      <c r="R2543" s="361">
        <f t="shared" si="2610"/>
        <v>5.0886419794678428</v>
      </c>
      <c r="S2543" s="361">
        <f t="shared" si="2610"/>
        <v>6.7528823388526948</v>
      </c>
      <c r="T2543" s="361">
        <f t="shared" si="2610"/>
        <v>8.9614125077743285</v>
      </c>
      <c r="U2543" s="361">
        <f t="shared" si="2610"/>
        <v>11.892242468441736</v>
      </c>
      <c r="V2543" s="362">
        <f t="shared" si="2610"/>
        <v>15.781600367745359</v>
      </c>
      <c r="X2543" s="351"/>
    </row>
    <row r="2544" spans="3:24" ht="24.75" customHeight="1" x14ac:dyDescent="0.3">
      <c r="C2544" s="353">
        <f>ABS(E2544-Dashboard!$F$14)</f>
        <v>49.983549655075016</v>
      </c>
      <c r="D2544" s="350">
        <f t="shared" si="2577"/>
        <v>0.32714999999997924</v>
      </c>
      <c r="E2544" s="359" cm="1">
        <f t="array" ref="E2544">1000*SUM('DRE + DCF'!$L$36/M2544,'DRE + DCF'!$N$36:$V$36/N2544:V2544,F2544/V2544)/Dashboard!$F$11</f>
        <v>47.006450344924978</v>
      </c>
      <c r="F2544" s="359">
        <f t="shared" si="2575"/>
        <v>7951998.8003806192</v>
      </c>
      <c r="G2544" s="359">
        <f>'DRE + DCF'!$W$31</f>
        <v>2791623.3540418856</v>
      </c>
      <c r="H2544" s="359">
        <f>'DRE + DCF'!$W$32</f>
        <v>81081.931703745853</v>
      </c>
      <c r="I2544" s="359">
        <f>-H2544*('DRE + DCF'!$V$33+K2544)/'DRE + DCF'!$V$33</f>
        <v>-90858.801614444121</v>
      </c>
      <c r="J2544" s="359">
        <f>-'DRE + DCF'!$V$56*L2544</f>
        <v>-1188924.4255577971</v>
      </c>
      <c r="K2544" s="360">
        <f>(1+L2544)/(1+Ke!$O$12)-1</f>
        <v>2.0000000000000018E-2</v>
      </c>
      <c r="L2544" s="360">
        <f>'DRE + DCF'!$Y$31</f>
        <v>7.3550000000000004E-2</v>
      </c>
      <c r="M2544" s="361">
        <f>(1+D2544)^((5-Dashboard!$F$9)*3/12)</f>
        <v>1.2364882921761784</v>
      </c>
      <c r="N2544" s="361">
        <f t="shared" ref="N2544:V2544" si="2611">M2544*(1+$D2544)</f>
        <v>1.6410054369615894</v>
      </c>
      <c r="O2544" s="361">
        <f t="shared" si="2611"/>
        <v>2.1778603656635394</v>
      </c>
      <c r="P2544" s="361">
        <f t="shared" si="2611"/>
        <v>2.8903473842903211</v>
      </c>
      <c r="Q2544" s="361">
        <f t="shared" si="2611"/>
        <v>3.8359245310608396</v>
      </c>
      <c r="R2544" s="361">
        <f t="shared" si="2611"/>
        <v>5.0908472413973138</v>
      </c>
      <c r="S2544" s="361">
        <f t="shared" si="2611"/>
        <v>6.7563179164203389</v>
      </c>
      <c r="T2544" s="361">
        <f t="shared" si="2611"/>
        <v>8.9666473227771117</v>
      </c>
      <c r="U2544" s="361">
        <f t="shared" si="2611"/>
        <v>11.900085994423456</v>
      </c>
      <c r="V2544" s="362">
        <f t="shared" si="2611"/>
        <v>15.793199127498843</v>
      </c>
      <c r="X2544" s="351"/>
    </row>
    <row r="2545" spans="3:24" ht="24.75" customHeight="1" x14ac:dyDescent="0.3">
      <c r="C2545" s="353">
        <f>ABS(E2545-Dashboard!$F$14)</f>
        <v>50.005388753859918</v>
      </c>
      <c r="D2545" s="350">
        <f t="shared" si="2577"/>
        <v>0.32724999999997922</v>
      </c>
      <c r="E2545" s="359" cm="1">
        <f t="array" ref="E2545">1000*SUM('DRE + DCF'!$L$36/M2545,'DRE + DCF'!$N$36:$V$36/N2545:V2545,F2545/V2545)/Dashboard!$F$11</f>
        <v>46.984611246140076</v>
      </c>
      <c r="F2545" s="359">
        <f t="shared" si="2575"/>
        <v>7949270.1646154961</v>
      </c>
      <c r="G2545" s="359">
        <f>'DRE + DCF'!$W$31</f>
        <v>2791623.3540418856</v>
      </c>
      <c r="H2545" s="359">
        <f>'DRE + DCF'!$W$32</f>
        <v>81081.931703745853</v>
      </c>
      <c r="I2545" s="359">
        <f>-H2545*('DRE + DCF'!$V$33+K2545)/'DRE + DCF'!$V$33</f>
        <v>-90858.801614444121</v>
      </c>
      <c r="J2545" s="359">
        <f>-'DRE + DCF'!$V$56*L2545</f>
        <v>-1188924.4255577971</v>
      </c>
      <c r="K2545" s="360">
        <f>(1+L2545)/(1+Ke!$O$12)-1</f>
        <v>2.0000000000000018E-2</v>
      </c>
      <c r="L2545" s="360">
        <f>'DRE + DCF'!$Y$31</f>
        <v>7.3550000000000004E-2</v>
      </c>
      <c r="M2545" s="361">
        <f>(1+D2545)^((5-Dashboard!$F$9)*3/12)</f>
        <v>1.2365581680368452</v>
      </c>
      <c r="N2545" s="361">
        <f t="shared" ref="N2545:V2545" si="2612">M2545*(1+$D2545)</f>
        <v>1.6412218285268769</v>
      </c>
      <c r="O2545" s="361">
        <f t="shared" si="2612"/>
        <v>2.178311671912263</v>
      </c>
      <c r="P2545" s="361">
        <f t="shared" si="2612"/>
        <v>2.8911641665455057</v>
      </c>
      <c r="Q2545" s="361">
        <f t="shared" si="2612"/>
        <v>3.8372976400474621</v>
      </c>
      <c r="R2545" s="361">
        <f t="shared" si="2612"/>
        <v>5.0930532927529137</v>
      </c>
      <c r="S2545" s="361">
        <f t="shared" si="2612"/>
        <v>6.7597549828061982</v>
      </c>
      <c r="T2545" s="361">
        <f t="shared" si="2612"/>
        <v>8.9718848009293861</v>
      </c>
      <c r="U2545" s="361">
        <f t="shared" si="2612"/>
        <v>11.907934102033341</v>
      </c>
      <c r="V2545" s="362">
        <f t="shared" si="2612"/>
        <v>15.804805536923503</v>
      </c>
      <c r="X2545" s="351"/>
    </row>
    <row r="2546" spans="3:24" ht="24.75" customHeight="1" x14ac:dyDescent="0.3">
      <c r="C2546" s="353">
        <f>ABS(E2546-Dashboard!$F$14)</f>
        <v>50.02720954355992</v>
      </c>
      <c r="D2546" s="350">
        <f t="shared" si="2577"/>
        <v>0.32734999999997921</v>
      </c>
      <c r="E2546" s="359" cm="1">
        <f t="array" ref="E2546">1000*SUM('DRE + DCF'!$L$36/M2546,'DRE + DCF'!$N$36:$V$36/N2546:V2546,F2546/V2546)/Dashboard!$F$11</f>
        <v>46.962790456440075</v>
      </c>
      <c r="F2546" s="359">
        <f t="shared" si="2575"/>
        <v>7946543.4312584829</v>
      </c>
      <c r="G2546" s="359">
        <f>'DRE + DCF'!$W$31</f>
        <v>2791623.3540418856</v>
      </c>
      <c r="H2546" s="359">
        <f>'DRE + DCF'!$W$32</f>
        <v>81081.931703745853</v>
      </c>
      <c r="I2546" s="359">
        <f>-H2546*('DRE + DCF'!$V$33+K2546)/'DRE + DCF'!$V$33</f>
        <v>-90858.801614444121</v>
      </c>
      <c r="J2546" s="359">
        <f>-'DRE + DCF'!$V$56*L2546</f>
        <v>-1188924.4255577971</v>
      </c>
      <c r="K2546" s="360">
        <f>(1+L2546)/(1+Ke!$O$12)-1</f>
        <v>2.0000000000000018E-2</v>
      </c>
      <c r="L2546" s="360">
        <f>'DRE + DCF'!$Y$31</f>
        <v>7.3550000000000004E-2</v>
      </c>
      <c r="M2546" s="361">
        <f>(1+D2546)^((5-Dashboard!$F$9)*3/12)</f>
        <v>1.2366280425813472</v>
      </c>
      <c r="N2546" s="361">
        <f t="shared" ref="N2546:V2546" si="2613">M2546*(1+$D2546)</f>
        <v>1.6414382323203254</v>
      </c>
      <c r="O2546" s="361">
        <f t="shared" si="2613"/>
        <v>2.1787630376703495</v>
      </c>
      <c r="P2546" s="361">
        <f t="shared" si="2613"/>
        <v>2.8919811180516932</v>
      </c>
      <c r="Q2546" s="361">
        <f t="shared" si="2613"/>
        <v>3.8386711370458548</v>
      </c>
      <c r="R2546" s="361">
        <f t="shared" si="2613"/>
        <v>5.0952601337577352</v>
      </c>
      <c r="S2546" s="361">
        <f t="shared" si="2613"/>
        <v>6.7631935385432236</v>
      </c>
      <c r="T2546" s="361">
        <f t="shared" si="2613"/>
        <v>8.9771249433852063</v>
      </c>
      <c r="U2546" s="361">
        <f t="shared" si="2613"/>
        <v>11.915786793602166</v>
      </c>
      <c r="V2546" s="362">
        <f t="shared" si="2613"/>
        <v>15.816419600487587</v>
      </c>
      <c r="X2546" s="351"/>
    </row>
    <row r="2547" spans="3:24" ht="24.75" customHeight="1" x14ac:dyDescent="0.3">
      <c r="C2547" s="353">
        <f>ABS(E2547-Dashboard!$F$14)</f>
        <v>50.049012045555152</v>
      </c>
      <c r="D2547" s="350">
        <f t="shared" si="2577"/>
        <v>0.3274499999999792</v>
      </c>
      <c r="E2547" s="359" cm="1">
        <f t="array" ref="E2547">1000*SUM('DRE + DCF'!$L$36/M2547,'DRE + DCF'!$N$36:$V$36/N2547:V2547,F2547/V2547)/Dashboard!$F$11</f>
        <v>46.940987954444843</v>
      </c>
      <c r="F2547" s="359">
        <f t="shared" si="2575"/>
        <v>7943818.5982887112</v>
      </c>
      <c r="G2547" s="359">
        <f>'DRE + DCF'!$W$31</f>
        <v>2791623.3540418856</v>
      </c>
      <c r="H2547" s="359">
        <f>'DRE + DCF'!$W$32</f>
        <v>81081.931703745853</v>
      </c>
      <c r="I2547" s="359">
        <f>-H2547*('DRE + DCF'!$V$33+K2547)/'DRE + DCF'!$V$33</f>
        <v>-90858.801614444121</v>
      </c>
      <c r="J2547" s="359">
        <f>-'DRE + DCF'!$V$56*L2547</f>
        <v>-1188924.4255577971</v>
      </c>
      <c r="K2547" s="360">
        <f>(1+L2547)/(1+Ke!$O$12)-1</f>
        <v>2.0000000000000018E-2</v>
      </c>
      <c r="L2547" s="360">
        <f>'DRE + DCF'!$Y$31</f>
        <v>7.3550000000000004E-2</v>
      </c>
      <c r="M2547" s="361">
        <f>(1+D2547)^((5-Dashboard!$F$9)*3/12)</f>
        <v>1.2366979158098079</v>
      </c>
      <c r="N2547" s="361">
        <f t="shared" ref="N2547:V2547" si="2614">M2547*(1+$D2547)</f>
        <v>1.6416546483417038</v>
      </c>
      <c r="O2547" s="361">
        <f t="shared" si="2614"/>
        <v>2.1792144629411605</v>
      </c>
      <c r="P2547" s="361">
        <f t="shared" si="2614"/>
        <v>2.8927982388311979</v>
      </c>
      <c r="Q2547" s="361">
        <f t="shared" si="2614"/>
        <v>3.8400450221364135</v>
      </c>
      <c r="R2547" s="361">
        <f t="shared" si="2614"/>
        <v>5.097467764634902</v>
      </c>
      <c r="S2547" s="361">
        <f t="shared" si="2614"/>
        <v>6.7666335841644942</v>
      </c>
      <c r="T2547" s="361">
        <f t="shared" si="2614"/>
        <v>8.9823677512990159</v>
      </c>
      <c r="U2547" s="361">
        <f t="shared" si="2614"/>
        <v>11.923644071461691</v>
      </c>
      <c r="V2547" s="362">
        <f t="shared" si="2614"/>
        <v>15.828041322661573</v>
      </c>
      <c r="X2547" s="351"/>
    </row>
    <row r="2548" spans="3:24" ht="24.75" customHeight="1" x14ac:dyDescent="0.3">
      <c r="C2548" s="353">
        <f>ABS(E2548-Dashboard!$F$14)</f>
        <v>50.070796281193971</v>
      </c>
      <c r="D2548" s="350">
        <f t="shared" si="2577"/>
        <v>0.32754999999997919</v>
      </c>
      <c r="E2548" s="359" cm="1">
        <f t="array" ref="E2548">1000*SUM('DRE + DCF'!$L$36/M2548,'DRE + DCF'!$N$36:$V$36/N2548:V2548,F2548/V2548)/Dashboard!$F$11</f>
        <v>46.919203718806024</v>
      </c>
      <c r="F2548" s="359">
        <f t="shared" si="2575"/>
        <v>7941095.6636882145</v>
      </c>
      <c r="G2548" s="359">
        <f>'DRE + DCF'!$W$31</f>
        <v>2791623.3540418856</v>
      </c>
      <c r="H2548" s="359">
        <f>'DRE + DCF'!$W$32</f>
        <v>81081.931703745853</v>
      </c>
      <c r="I2548" s="359">
        <f>-H2548*('DRE + DCF'!$V$33+K2548)/'DRE + DCF'!$V$33</f>
        <v>-90858.801614444121</v>
      </c>
      <c r="J2548" s="359">
        <f>-'DRE + DCF'!$V$56*L2548</f>
        <v>-1188924.4255577971</v>
      </c>
      <c r="K2548" s="360">
        <f>(1+L2548)/(1+Ke!$O$12)-1</f>
        <v>2.0000000000000018E-2</v>
      </c>
      <c r="L2548" s="360">
        <f>'DRE + DCF'!$Y$31</f>
        <v>7.3550000000000004E-2</v>
      </c>
      <c r="M2548" s="361">
        <f>(1+D2548)^((5-Dashboard!$F$9)*3/12)</f>
        <v>1.2367677877223515</v>
      </c>
      <c r="N2548" s="361">
        <f t="shared" ref="N2548:V2548" si="2615">M2548*(1+$D2548)</f>
        <v>1.641871076590782</v>
      </c>
      <c r="O2548" s="361">
        <f t="shared" si="2615"/>
        <v>2.1796659477280582</v>
      </c>
      <c r="P2548" s="361">
        <f t="shared" si="2615"/>
        <v>2.8936155289063383</v>
      </c>
      <c r="Q2548" s="361">
        <f t="shared" si="2615"/>
        <v>3.841419295399549</v>
      </c>
      <c r="R2548" s="361">
        <f t="shared" si="2615"/>
        <v>5.0996761856075912</v>
      </c>
      <c r="S2548" s="361">
        <f t="shared" si="2615"/>
        <v>6.7700751202032512</v>
      </c>
      <c r="T2548" s="361">
        <f t="shared" si="2615"/>
        <v>8.9876132258256849</v>
      </c>
      <c r="U2548" s="361">
        <f t="shared" si="2615"/>
        <v>11.931505937944701</v>
      </c>
      <c r="V2548" s="362">
        <f t="shared" si="2615"/>
        <v>15.83967070791824</v>
      </c>
      <c r="X2548" s="351"/>
    </row>
    <row r="2549" spans="3:24" ht="24.75" customHeight="1" x14ac:dyDescent="0.3">
      <c r="C2549" s="353">
        <f>ABS(E2549-Dashboard!$F$14)</f>
        <v>50.092562271792893</v>
      </c>
      <c r="D2549" s="350">
        <f t="shared" si="2577"/>
        <v>0.32764999999997918</v>
      </c>
      <c r="E2549" s="359" cm="1">
        <f t="array" ref="E2549">1000*SUM('DRE + DCF'!$L$36/M2549,'DRE + DCF'!$N$36:$V$36/N2549:V2549,F2549/V2549)/Dashboard!$F$11</f>
        <v>46.897437728207102</v>
      </c>
      <c r="F2549" s="359">
        <f t="shared" si="2575"/>
        <v>7938374.6254419256</v>
      </c>
      <c r="G2549" s="359">
        <f>'DRE + DCF'!$W$31</f>
        <v>2791623.3540418856</v>
      </c>
      <c r="H2549" s="359">
        <f>'DRE + DCF'!$W$32</f>
        <v>81081.931703745853</v>
      </c>
      <c r="I2549" s="359">
        <f>-H2549*('DRE + DCF'!$V$33+K2549)/'DRE + DCF'!$V$33</f>
        <v>-90858.801614444121</v>
      </c>
      <c r="J2549" s="359">
        <f>-'DRE + DCF'!$V$56*L2549</f>
        <v>-1188924.4255577971</v>
      </c>
      <c r="K2549" s="360">
        <f>(1+L2549)/(1+Ke!$O$12)-1</f>
        <v>2.0000000000000018E-2</v>
      </c>
      <c r="L2549" s="360">
        <f>'DRE + DCF'!$Y$31</f>
        <v>7.3550000000000004E-2</v>
      </c>
      <c r="M2549" s="361">
        <f>(1+D2549)^((5-Dashboard!$F$9)*3/12)</f>
        <v>1.2368376583191019</v>
      </c>
      <c r="N2549" s="361">
        <f t="shared" ref="N2549:V2549" si="2616">M2549*(1+$D2549)</f>
        <v>1.6420875170673297</v>
      </c>
      <c r="O2549" s="361">
        <f t="shared" si="2616"/>
        <v>2.1801174920344062</v>
      </c>
      <c r="P2549" s="361">
        <f t="shared" si="2616"/>
        <v>2.894432988299434</v>
      </c>
      <c r="Q2549" s="361">
        <f t="shared" si="2616"/>
        <v>3.842793956915683</v>
      </c>
      <c r="R2549" s="361">
        <f t="shared" si="2616"/>
        <v>5.1018853968990268</v>
      </c>
      <c r="S2549" s="361">
        <f t="shared" si="2616"/>
        <v>6.7735181471928865</v>
      </c>
      <c r="T2549" s="361">
        <f t="shared" si="2616"/>
        <v>8.9928613681204936</v>
      </c>
      <c r="U2549" s="361">
        <f t="shared" si="2616"/>
        <v>11.939372395384986</v>
      </c>
      <c r="V2549" s="362">
        <f t="shared" si="2616"/>
        <v>15.851307760732627</v>
      </c>
      <c r="X2549" s="351"/>
    </row>
    <row r="2550" spans="3:24" ht="24.75" customHeight="1" x14ac:dyDescent="0.3">
      <c r="C2550" s="353">
        <f>ABS(E2550-Dashboard!$F$14)</f>
        <v>50.114310038636695</v>
      </c>
      <c r="D2550" s="350">
        <f t="shared" si="2577"/>
        <v>0.32774999999997917</v>
      </c>
      <c r="E2550" s="359" cm="1">
        <f t="array" ref="E2550">1000*SUM('DRE + DCF'!$L$36/M2550,'DRE + DCF'!$N$36:$V$36/N2550:V2550,F2550/V2550)/Dashboard!$F$11</f>
        <v>46.8756899613633</v>
      </c>
      <c r="F2550" s="359">
        <f t="shared" si="2575"/>
        <v>7935655.4815376792</v>
      </c>
      <c r="G2550" s="359">
        <f>'DRE + DCF'!$W$31</f>
        <v>2791623.3540418856</v>
      </c>
      <c r="H2550" s="359">
        <f>'DRE + DCF'!$W$32</f>
        <v>81081.931703745853</v>
      </c>
      <c r="I2550" s="359">
        <f>-H2550*('DRE + DCF'!$V$33+K2550)/'DRE + DCF'!$V$33</f>
        <v>-90858.801614444121</v>
      </c>
      <c r="J2550" s="359">
        <f>-'DRE + DCF'!$V$56*L2550</f>
        <v>-1188924.4255577971</v>
      </c>
      <c r="K2550" s="360">
        <f>(1+L2550)/(1+Ke!$O$12)-1</f>
        <v>2.0000000000000018E-2</v>
      </c>
      <c r="L2550" s="360">
        <f>'DRE + DCF'!$Y$31</f>
        <v>7.3550000000000004E-2</v>
      </c>
      <c r="M2550" s="361">
        <f>(1+D2550)^((5-Dashboard!$F$9)*3/12)</f>
        <v>1.2369075276001829</v>
      </c>
      <c r="N2550" s="361">
        <f t="shared" ref="N2550:V2550" si="2617">M2550*(1+$D2550)</f>
        <v>1.642303969771117</v>
      </c>
      <c r="O2550" s="361">
        <f t="shared" si="2617"/>
        <v>2.1805690958635662</v>
      </c>
      <c r="P2550" s="361">
        <f t="shared" si="2617"/>
        <v>2.8952506170328043</v>
      </c>
      <c r="Q2550" s="361">
        <f t="shared" si="2617"/>
        <v>3.8441690067652452</v>
      </c>
      <c r="R2550" s="361">
        <f t="shared" si="2617"/>
        <v>5.1040953987324738</v>
      </c>
      <c r="S2550" s="361">
        <f t="shared" si="2617"/>
        <v>6.7769626656669351</v>
      </c>
      <c r="T2550" s="361">
        <f t="shared" si="2617"/>
        <v>8.998112179339131</v>
      </c>
      <c r="U2550" s="361">
        <f t="shared" si="2617"/>
        <v>11.947243446117342</v>
      </c>
      <c r="V2550" s="362">
        <f t="shared" si="2617"/>
        <v>15.862952485582053</v>
      </c>
      <c r="X2550" s="351"/>
    </row>
    <row r="2551" spans="3:24" ht="24.75" customHeight="1" x14ac:dyDescent="0.3">
      <c r="C2551" s="353">
        <f>ABS(E2551-Dashboard!$F$14)</f>
        <v>50.136039602978485</v>
      </c>
      <c r="D2551" s="350">
        <f t="shared" si="2577"/>
        <v>0.32784999999997916</v>
      </c>
      <c r="E2551" s="359" cm="1">
        <f t="array" ref="E2551">1000*SUM('DRE + DCF'!$L$36/M2551,'DRE + DCF'!$N$36:$V$36/N2551:V2551,F2551/V2551)/Dashboard!$F$11</f>
        <v>46.85396039702151</v>
      </c>
      <c r="F2551" s="359">
        <f t="shared" si="2575"/>
        <v>7932938.2299661916</v>
      </c>
      <c r="G2551" s="359">
        <f>'DRE + DCF'!$W$31</f>
        <v>2791623.3540418856</v>
      </c>
      <c r="H2551" s="359">
        <f>'DRE + DCF'!$W$32</f>
        <v>81081.931703745853</v>
      </c>
      <c r="I2551" s="359">
        <f>-H2551*('DRE + DCF'!$V$33+K2551)/'DRE + DCF'!$V$33</f>
        <v>-90858.801614444121</v>
      </c>
      <c r="J2551" s="359">
        <f>-'DRE + DCF'!$V$56*L2551</f>
        <v>-1188924.4255577971</v>
      </c>
      <c r="K2551" s="360">
        <f>(1+L2551)/(1+Ke!$O$12)-1</f>
        <v>2.0000000000000018E-2</v>
      </c>
      <c r="L2551" s="360">
        <f>'DRE + DCF'!$Y$31</f>
        <v>7.3550000000000004E-2</v>
      </c>
      <c r="M2551" s="361">
        <f>(1+D2551)^((5-Dashboard!$F$9)*3/12)</f>
        <v>1.2369773955657182</v>
      </c>
      <c r="N2551" s="361">
        <f t="shared" ref="N2551:V2551" si="2618">M2551*(1+$D2551)</f>
        <v>1.6425204347019131</v>
      </c>
      <c r="O2551" s="361">
        <f t="shared" si="2618"/>
        <v>2.1810207592189008</v>
      </c>
      <c r="P2551" s="361">
        <f t="shared" si="2618"/>
        <v>2.8960684151287719</v>
      </c>
      <c r="Q2551" s="361">
        <f t="shared" si="2618"/>
        <v>3.8455444450286791</v>
      </c>
      <c r="R2551" s="361">
        <f t="shared" si="2618"/>
        <v>5.1063061913312513</v>
      </c>
      <c r="S2551" s="361">
        <f t="shared" si="2618"/>
        <v>6.7804086761590954</v>
      </c>
      <c r="T2551" s="361">
        <f t="shared" si="2618"/>
        <v>9.0033656606377139</v>
      </c>
      <c r="U2551" s="361">
        <f t="shared" si="2618"/>
        <v>11.955119092477601</v>
      </c>
      <c r="V2551" s="362">
        <f t="shared" si="2618"/>
        <v>15.874604886946132</v>
      </c>
      <c r="X2551" s="351"/>
    </row>
    <row r="2552" spans="3:24" ht="24.75" customHeight="1" x14ac:dyDescent="0.3">
      <c r="C2552" s="353">
        <f>ABS(E2552-Dashboard!$F$14)</f>
        <v>50.157750986039673</v>
      </c>
      <c r="D2552" s="350">
        <f t="shared" si="2577"/>
        <v>0.32794999999997915</v>
      </c>
      <c r="E2552" s="359" cm="1">
        <f t="array" ref="E2552">1000*SUM('DRE + DCF'!$L$36/M2552,'DRE + DCF'!$N$36:$V$36/N2552:V2552,F2552/V2552)/Dashboard!$F$11</f>
        <v>46.832249013960322</v>
      </c>
      <c r="F2552" s="359">
        <f t="shared" si="2575"/>
        <v>7930222.868721066</v>
      </c>
      <c r="G2552" s="359">
        <f>'DRE + DCF'!$W$31</f>
        <v>2791623.3540418856</v>
      </c>
      <c r="H2552" s="359">
        <f>'DRE + DCF'!$W$32</f>
        <v>81081.931703745853</v>
      </c>
      <c r="I2552" s="359">
        <f>-H2552*('DRE + DCF'!$V$33+K2552)/'DRE + DCF'!$V$33</f>
        <v>-90858.801614444121</v>
      </c>
      <c r="J2552" s="359">
        <f>-'DRE + DCF'!$V$56*L2552</f>
        <v>-1188924.4255577971</v>
      </c>
      <c r="K2552" s="360">
        <f>(1+L2552)/(1+Ke!$O$12)-1</f>
        <v>2.0000000000000018E-2</v>
      </c>
      <c r="L2552" s="360">
        <f>'DRE + DCF'!$Y$31</f>
        <v>7.3550000000000004E-2</v>
      </c>
      <c r="M2552" s="361">
        <f>(1+D2552)^((5-Dashboard!$F$9)*3/12)</f>
        <v>1.2370472622158319</v>
      </c>
      <c r="N2552" s="361">
        <f t="shared" ref="N2552:V2552" si="2619">M2552*(1+$D2552)</f>
        <v>1.6427369118594881</v>
      </c>
      <c r="O2552" s="361">
        <f t="shared" si="2619"/>
        <v>2.1814724821037728</v>
      </c>
      <c r="P2552" s="361">
        <f t="shared" si="2619"/>
        <v>2.8968863826096594</v>
      </c>
      <c r="Q2552" s="361">
        <f t="shared" si="2619"/>
        <v>3.8469202717864364</v>
      </c>
      <c r="R2552" s="361">
        <f t="shared" si="2619"/>
        <v>5.1085177749187176</v>
      </c>
      <c r="S2552" s="361">
        <f t="shared" si="2619"/>
        <v>6.7838561792032044</v>
      </c>
      <c r="T2552" s="361">
        <f t="shared" si="2619"/>
        <v>9.0086218131727538</v>
      </c>
      <c r="U2552" s="361">
        <f t="shared" si="2619"/>
        <v>11.96299933680257</v>
      </c>
      <c r="V2552" s="362">
        <f t="shared" si="2619"/>
        <v>15.886264969306723</v>
      </c>
      <c r="X2552" s="351"/>
    </row>
    <row r="2553" spans="3:24" ht="24.75" customHeight="1" x14ac:dyDescent="0.3">
      <c r="C2553" s="353">
        <f>ABS(E2553-Dashboard!$F$14)</f>
        <v>50.179444209010178</v>
      </c>
      <c r="D2553" s="350">
        <f t="shared" si="2577"/>
        <v>0.32804999999997914</v>
      </c>
      <c r="E2553" s="359" cm="1">
        <f t="array" ref="E2553">1000*SUM('DRE + DCF'!$L$36/M2553,'DRE + DCF'!$N$36:$V$36/N2553:V2553,F2553/V2553)/Dashboard!$F$11</f>
        <v>46.810555790989817</v>
      </c>
      <c r="F2553" s="359">
        <f t="shared" si="2575"/>
        <v>7927509.3957987884</v>
      </c>
      <c r="G2553" s="359">
        <f>'DRE + DCF'!$W$31</f>
        <v>2791623.3540418856</v>
      </c>
      <c r="H2553" s="359">
        <f>'DRE + DCF'!$W$32</f>
        <v>81081.931703745853</v>
      </c>
      <c r="I2553" s="359">
        <f>-H2553*('DRE + DCF'!$V$33+K2553)/'DRE + DCF'!$V$33</f>
        <v>-90858.801614444121</v>
      </c>
      <c r="J2553" s="359">
        <f>-'DRE + DCF'!$V$56*L2553</f>
        <v>-1188924.4255577971</v>
      </c>
      <c r="K2553" s="360">
        <f>(1+L2553)/(1+Ke!$O$12)-1</f>
        <v>2.0000000000000018E-2</v>
      </c>
      <c r="L2553" s="360">
        <f>'DRE + DCF'!$Y$31</f>
        <v>7.3550000000000004E-2</v>
      </c>
      <c r="M2553" s="361">
        <f>(1+D2553)^((5-Dashboard!$F$9)*3/12)</f>
        <v>1.2371171275506478</v>
      </c>
      <c r="N2553" s="361">
        <f t="shared" ref="N2553:V2553" si="2620">M2553*(1+$D2553)</f>
        <v>1.642953401243612</v>
      </c>
      <c r="O2553" s="361">
        <f t="shared" si="2620"/>
        <v>2.1819242645215446</v>
      </c>
      <c r="P2553" s="361">
        <f t="shared" si="2620"/>
        <v>2.8977045194977915</v>
      </c>
      <c r="Q2553" s="361">
        <f t="shared" si="2620"/>
        <v>3.8482964871189815</v>
      </c>
      <c r="R2553" s="361">
        <f t="shared" si="2620"/>
        <v>5.1107301497182833</v>
      </c>
      <c r="S2553" s="361">
        <f t="shared" si="2620"/>
        <v>6.7873051753332589</v>
      </c>
      <c r="T2553" s="361">
        <f t="shared" si="2620"/>
        <v>9.0138806381011918</v>
      </c>
      <c r="U2553" s="361">
        <f t="shared" si="2620"/>
        <v>11.970884181430099</v>
      </c>
      <c r="V2553" s="362">
        <f t="shared" si="2620"/>
        <v>15.897932737147993</v>
      </c>
      <c r="X2553" s="351"/>
    </row>
    <row r="2554" spans="3:24" ht="24.75" customHeight="1" x14ac:dyDescent="0.3">
      <c r="C2554" s="353">
        <f>ABS(E2554-Dashboard!$F$14)</f>
        <v>50.201119293048286</v>
      </c>
      <c r="D2554" s="350">
        <f t="shared" si="2577"/>
        <v>0.32814999999997913</v>
      </c>
      <c r="E2554" s="359" cm="1">
        <f t="array" ref="E2554">1000*SUM('DRE + DCF'!$L$36/M2554,'DRE + DCF'!$N$36:$V$36/N2554:V2554,F2554/V2554)/Dashboard!$F$11</f>
        <v>46.788880706951709</v>
      </c>
      <c r="F2554" s="359">
        <f t="shared" si="2575"/>
        <v>7924797.8091987148</v>
      </c>
      <c r="G2554" s="359">
        <f>'DRE + DCF'!$W$31</f>
        <v>2791623.3540418856</v>
      </c>
      <c r="H2554" s="359">
        <f>'DRE + DCF'!$W$32</f>
        <v>81081.931703745853</v>
      </c>
      <c r="I2554" s="359">
        <f>-H2554*('DRE + DCF'!$V$33+K2554)/'DRE + DCF'!$V$33</f>
        <v>-90858.801614444121</v>
      </c>
      <c r="J2554" s="359">
        <f>-'DRE + DCF'!$V$56*L2554</f>
        <v>-1188924.4255577971</v>
      </c>
      <c r="K2554" s="360">
        <f>(1+L2554)/(1+Ke!$O$12)-1</f>
        <v>2.0000000000000018E-2</v>
      </c>
      <c r="L2554" s="360">
        <f>'DRE + DCF'!$Y$31</f>
        <v>7.3550000000000004E-2</v>
      </c>
      <c r="M2554" s="361">
        <f>(1+D2554)^((5-Dashboard!$F$9)*3/12)</f>
        <v>1.2371869915702896</v>
      </c>
      <c r="N2554" s="361">
        <f t="shared" ref="N2554:V2554" si="2621">M2554*(1+$D2554)</f>
        <v>1.6431699028540541</v>
      </c>
      <c r="O2554" s="361">
        <f t="shared" si="2621"/>
        <v>2.1823761064755773</v>
      </c>
      <c r="P2554" s="361">
        <f t="shared" si="2621"/>
        <v>2.8985228258154923</v>
      </c>
      <c r="Q2554" s="361">
        <f t="shared" si="2621"/>
        <v>3.8496730911067853</v>
      </c>
      <c r="R2554" s="361">
        <f t="shared" si="2621"/>
        <v>5.1129433159533964</v>
      </c>
      <c r="S2554" s="361">
        <f t="shared" si="2621"/>
        <v>6.7907556650833962</v>
      </c>
      <c r="T2554" s="361">
        <f t="shared" si="2621"/>
        <v>9.0191421365803706</v>
      </c>
      <c r="U2554" s="361">
        <f t="shared" si="2621"/>
        <v>11.978773628699031</v>
      </c>
      <c r="V2554" s="362">
        <f t="shared" si="2621"/>
        <v>15.909608194956368</v>
      </c>
      <c r="X2554" s="351"/>
    </row>
    <row r="2555" spans="3:24" ht="24.75" customHeight="1" x14ac:dyDescent="0.3">
      <c r="C2555" s="353">
        <f>ABS(E2555-Dashboard!$F$14)</f>
        <v>50.222776259280948</v>
      </c>
      <c r="D2555" s="350">
        <f t="shared" si="2577"/>
        <v>0.32824999999997911</v>
      </c>
      <c r="E2555" s="359" cm="1">
        <f t="array" ref="E2555">1000*SUM('DRE + DCF'!$L$36/M2555,'DRE + DCF'!$N$36:$V$36/N2555:V2555,F2555/V2555)/Dashboard!$F$11</f>
        <v>46.767223740719047</v>
      </c>
      <c r="F2555" s="359">
        <f t="shared" si="2575"/>
        <v>7922088.1069230689</v>
      </c>
      <c r="G2555" s="359">
        <f>'DRE + DCF'!$W$31</f>
        <v>2791623.3540418856</v>
      </c>
      <c r="H2555" s="359">
        <f>'DRE + DCF'!$W$32</f>
        <v>81081.931703745853</v>
      </c>
      <c r="I2555" s="359">
        <f>-H2555*('DRE + DCF'!$V$33+K2555)/'DRE + DCF'!$V$33</f>
        <v>-90858.801614444121</v>
      </c>
      <c r="J2555" s="359">
        <f>-'DRE + DCF'!$V$56*L2555</f>
        <v>-1188924.4255577971</v>
      </c>
      <c r="K2555" s="360">
        <f>(1+L2555)/(1+Ke!$O$12)-1</f>
        <v>2.0000000000000018E-2</v>
      </c>
      <c r="L2555" s="360">
        <f>'DRE + DCF'!$Y$31</f>
        <v>7.3550000000000004E-2</v>
      </c>
      <c r="M2555" s="361">
        <f>(1+D2555)^((5-Dashboard!$F$9)*3/12)</f>
        <v>1.237256854274881</v>
      </c>
      <c r="N2555" s="361">
        <f t="shared" ref="N2555:V2555" si="2622">M2555*(1+$D2555)</f>
        <v>1.6433864166905847</v>
      </c>
      <c r="O2555" s="361">
        <f t="shared" si="2622"/>
        <v>2.1828280079692348</v>
      </c>
      <c r="P2555" s="361">
        <f t="shared" si="2622"/>
        <v>2.8993413015850904</v>
      </c>
      <c r="Q2555" s="361">
        <f t="shared" si="2622"/>
        <v>3.8510500838303354</v>
      </c>
      <c r="R2555" s="361">
        <f t="shared" si="2622"/>
        <v>5.1151572738475624</v>
      </c>
      <c r="S2555" s="361">
        <f t="shared" si="2622"/>
        <v>6.7942076489879177</v>
      </c>
      <c r="T2555" s="361">
        <f t="shared" si="2622"/>
        <v>9.0244063097680591</v>
      </c>
      <c r="U2555" s="361">
        <f t="shared" si="2622"/>
        <v>11.986667680949235</v>
      </c>
      <c r="V2555" s="362">
        <f t="shared" si="2622"/>
        <v>15.921291347220571</v>
      </c>
      <c r="X2555" s="351"/>
    </row>
    <row r="2556" spans="3:24" ht="24.75" customHeight="1" x14ac:dyDescent="0.3">
      <c r="C2556" s="353">
        <f>ABS(E2556-Dashboard!$F$14)</f>
        <v>50.244415128803631</v>
      </c>
      <c r="D2556" s="350">
        <f t="shared" si="2577"/>
        <v>0.3283499999999791</v>
      </c>
      <c r="E2556" s="359" cm="1">
        <f t="array" ref="E2556">1000*SUM('DRE + DCF'!$L$36/M2556,'DRE + DCF'!$N$36:$V$36/N2556:V2556,F2556/V2556)/Dashboard!$F$11</f>
        <v>46.745584871196364</v>
      </c>
      <c r="F2556" s="359">
        <f t="shared" si="2575"/>
        <v>7919380.2869769419</v>
      </c>
      <c r="G2556" s="359">
        <f>'DRE + DCF'!$W$31</f>
        <v>2791623.3540418856</v>
      </c>
      <c r="H2556" s="359">
        <f>'DRE + DCF'!$W$32</f>
        <v>81081.931703745853</v>
      </c>
      <c r="I2556" s="359">
        <f>-H2556*('DRE + DCF'!$V$33+K2556)/'DRE + DCF'!$V$33</f>
        <v>-90858.801614444121</v>
      </c>
      <c r="J2556" s="359">
        <f>-'DRE + DCF'!$V$56*L2556</f>
        <v>-1188924.4255577971</v>
      </c>
      <c r="K2556" s="360">
        <f>(1+L2556)/(1+Ke!$O$12)-1</f>
        <v>2.0000000000000018E-2</v>
      </c>
      <c r="L2556" s="360">
        <f>'DRE + DCF'!$Y$31</f>
        <v>7.3550000000000004E-2</v>
      </c>
      <c r="M2556" s="361">
        <f>(1+D2556)^((5-Dashboard!$F$9)*3/12)</f>
        <v>1.2373267156645458</v>
      </c>
      <c r="N2556" s="361">
        <f t="shared" ref="N2556:V2556" si="2623">M2556*(1+$D2556)</f>
        <v>1.6436029427529735</v>
      </c>
      <c r="O2556" s="361">
        <f t="shared" si="2623"/>
        <v>2.183279969005878</v>
      </c>
      <c r="P2556" s="361">
        <f t="shared" si="2623"/>
        <v>2.9001599468289121</v>
      </c>
      <c r="Q2556" s="361">
        <f t="shared" si="2623"/>
        <v>3.8524274653701247</v>
      </c>
      <c r="R2556" s="361">
        <f t="shared" si="2623"/>
        <v>5.1173720236243243</v>
      </c>
      <c r="S2556" s="361">
        <f t="shared" si="2623"/>
        <v>6.7976611275812644</v>
      </c>
      <c r="T2556" s="361">
        <f t="shared" si="2623"/>
        <v>9.0296731588224297</v>
      </c>
      <c r="U2556" s="361">
        <f t="shared" si="2623"/>
        <v>11.994566340521585</v>
      </c>
      <c r="V2556" s="362">
        <f t="shared" si="2623"/>
        <v>15.932982198431596</v>
      </c>
      <c r="X2556" s="351"/>
    </row>
    <row r="2557" spans="3:24" ht="24.75" customHeight="1" x14ac:dyDescent="0.3">
      <c r="C2557" s="353">
        <f>ABS(E2557-Dashboard!$F$14)</f>
        <v>50.266035922680473</v>
      </c>
      <c r="D2557" s="350">
        <f t="shared" si="2577"/>
        <v>0.32844999999997909</v>
      </c>
      <c r="E2557" s="359" cm="1">
        <f t="array" ref="E2557">1000*SUM('DRE + DCF'!$L$36/M2557,'DRE + DCF'!$N$36:$V$36/N2557:V2557,F2557/V2557)/Dashboard!$F$11</f>
        <v>46.723964077319522</v>
      </c>
      <c r="F2557" s="359">
        <f t="shared" si="2575"/>
        <v>7916674.3473682776</v>
      </c>
      <c r="G2557" s="359">
        <f>'DRE + DCF'!$W$31</f>
        <v>2791623.3540418856</v>
      </c>
      <c r="H2557" s="359">
        <f>'DRE + DCF'!$W$32</f>
        <v>81081.931703745853</v>
      </c>
      <c r="I2557" s="359">
        <f>-H2557*('DRE + DCF'!$V$33+K2557)/'DRE + DCF'!$V$33</f>
        <v>-90858.801614444121</v>
      </c>
      <c r="J2557" s="359">
        <f>-'DRE + DCF'!$V$56*L2557</f>
        <v>-1188924.4255577971</v>
      </c>
      <c r="K2557" s="360">
        <f>(1+L2557)/(1+Ke!$O$12)-1</f>
        <v>2.0000000000000018E-2</v>
      </c>
      <c r="L2557" s="360">
        <f>'DRE + DCF'!$Y$31</f>
        <v>7.3550000000000004E-2</v>
      </c>
      <c r="M2557" s="361">
        <f>(1+D2557)^((5-Dashboard!$F$9)*3/12)</f>
        <v>1.2373965757394079</v>
      </c>
      <c r="N2557" s="361">
        <f t="shared" ref="N2557:V2557" si="2624">M2557*(1+$D2557)</f>
        <v>1.6438194810409905</v>
      </c>
      <c r="O2557" s="361">
        <f t="shared" si="2624"/>
        <v>2.1837319895888694</v>
      </c>
      <c r="P2557" s="361">
        <f t="shared" si="2624"/>
        <v>2.9009787615692879</v>
      </c>
      <c r="Q2557" s="361">
        <f t="shared" si="2624"/>
        <v>3.8538052358066599</v>
      </c>
      <c r="R2557" s="361">
        <f t="shared" si="2624"/>
        <v>5.1195875655072767</v>
      </c>
      <c r="S2557" s="361">
        <f t="shared" si="2624"/>
        <v>6.8011161013980344</v>
      </c>
      <c r="T2557" s="361">
        <f t="shared" si="2624"/>
        <v>9.0349426849020755</v>
      </c>
      <c r="U2557" s="361">
        <f t="shared" si="2624"/>
        <v>12.002469609757974</v>
      </c>
      <c r="V2557" s="362">
        <f t="shared" si="2624"/>
        <v>15.944680753082729</v>
      </c>
      <c r="X2557" s="351"/>
    </row>
    <row r="2558" spans="3:24" ht="24.75" customHeight="1" x14ac:dyDescent="0.3">
      <c r="C2558" s="353">
        <f>ABS(E2558-Dashboard!$F$14)</f>
        <v>50.287638661944307</v>
      </c>
      <c r="D2558" s="350">
        <f t="shared" si="2577"/>
        <v>0.32854999999997908</v>
      </c>
      <c r="E2558" s="359" cm="1">
        <f t="array" ref="E2558">1000*SUM('DRE + DCF'!$L$36/M2558,'DRE + DCF'!$N$36:$V$36/N2558:V2558,F2558/V2558)/Dashboard!$F$11</f>
        <v>46.702361338055688</v>
      </c>
      <c r="F2558" s="359">
        <f t="shared" si="2575"/>
        <v>7913970.2861078791</v>
      </c>
      <c r="G2558" s="359">
        <f>'DRE + DCF'!$W$31</f>
        <v>2791623.3540418856</v>
      </c>
      <c r="H2558" s="359">
        <f>'DRE + DCF'!$W$32</f>
        <v>81081.931703745853</v>
      </c>
      <c r="I2558" s="359">
        <f>-H2558*('DRE + DCF'!$V$33+K2558)/'DRE + DCF'!$V$33</f>
        <v>-90858.801614444121</v>
      </c>
      <c r="J2558" s="359">
        <f>-'DRE + DCF'!$V$56*L2558</f>
        <v>-1188924.4255577971</v>
      </c>
      <c r="K2558" s="360">
        <f>(1+L2558)/(1+Ke!$O$12)-1</f>
        <v>2.0000000000000018E-2</v>
      </c>
      <c r="L2558" s="360">
        <f>'DRE + DCF'!$Y$31</f>
        <v>7.3550000000000004E-2</v>
      </c>
      <c r="M2558" s="361">
        <f>(1+D2558)^((5-Dashboard!$F$9)*3/12)</f>
        <v>1.2374664344995909</v>
      </c>
      <c r="N2558" s="361">
        <f t="shared" ref="N2558:V2558" si="2625">M2558*(1+$D2558)</f>
        <v>1.6440360315544056</v>
      </c>
      <c r="O2558" s="361">
        <f t="shared" si="2625"/>
        <v>2.1841840697215709</v>
      </c>
      <c r="P2558" s="361">
        <f t="shared" si="2625"/>
        <v>2.9017977458285471</v>
      </c>
      <c r="Q2558" s="361">
        <f t="shared" si="2625"/>
        <v>3.8551833952204553</v>
      </c>
      <c r="R2558" s="361">
        <f t="shared" si="2625"/>
        <v>5.1218038997200548</v>
      </c>
      <c r="S2558" s="361">
        <f t="shared" si="2625"/>
        <v>6.8045725709729714</v>
      </c>
      <c r="T2558" s="361">
        <f t="shared" si="2625"/>
        <v>9.0402148891659984</v>
      </c>
      <c r="U2558" s="361">
        <f t="shared" si="2625"/>
        <v>12.010377491001298</v>
      </c>
      <c r="V2558" s="362">
        <f t="shared" si="2625"/>
        <v>15.956387015669524</v>
      </c>
      <c r="X2558" s="351"/>
    </row>
    <row r="2559" spans="3:24" ht="24.75" customHeight="1" x14ac:dyDescent="0.3">
      <c r="C2559" s="353">
        <f>ABS(E2559-Dashboard!$F$14)</f>
        <v>50.309223367596779</v>
      </c>
      <c r="D2559" s="350">
        <f t="shared" si="2577"/>
        <v>0.32864999999997907</v>
      </c>
      <c r="E2559" s="359" cm="1">
        <f t="array" ref="E2559">1000*SUM('DRE + DCF'!$L$36/M2559,'DRE + DCF'!$N$36:$V$36/N2559:V2559,F2559/V2559)/Dashboard!$F$11</f>
        <v>46.680776632403216</v>
      </c>
      <c r="F2559" s="359">
        <f t="shared" si="2575"/>
        <v>7911268.1012093937</v>
      </c>
      <c r="G2559" s="359">
        <f>'DRE + DCF'!$W$31</f>
        <v>2791623.3540418856</v>
      </c>
      <c r="H2559" s="359">
        <f>'DRE + DCF'!$W$32</f>
        <v>81081.931703745853</v>
      </c>
      <c r="I2559" s="359">
        <f>-H2559*('DRE + DCF'!$V$33+K2559)/'DRE + DCF'!$V$33</f>
        <v>-90858.801614444121</v>
      </c>
      <c r="J2559" s="359">
        <f>-'DRE + DCF'!$V$56*L2559</f>
        <v>-1188924.4255577971</v>
      </c>
      <c r="K2559" s="360">
        <f>(1+L2559)/(1+Ke!$O$12)-1</f>
        <v>2.0000000000000018E-2</v>
      </c>
      <c r="L2559" s="360">
        <f>'DRE + DCF'!$Y$31</f>
        <v>7.3550000000000004E-2</v>
      </c>
      <c r="M2559" s="361">
        <f>(1+D2559)^((5-Dashboard!$F$9)*3/12)</f>
        <v>1.2375362919452186</v>
      </c>
      <c r="N2559" s="361">
        <f t="shared" ref="N2559:V2559" si="2626">M2559*(1+$D2559)</f>
        <v>1.6442525942929889</v>
      </c>
      <c r="O2559" s="361">
        <f t="shared" si="2626"/>
        <v>2.184636209407345</v>
      </c>
      <c r="P2559" s="361">
        <f t="shared" si="2626"/>
        <v>2.9026168996290234</v>
      </c>
      <c r="Q2559" s="361">
        <f t="shared" si="2626"/>
        <v>3.8565619436920411</v>
      </c>
      <c r="R2559" s="361">
        <f t="shared" si="2626"/>
        <v>5.1240210264863491</v>
      </c>
      <c r="S2559" s="361">
        <f t="shared" si="2626"/>
        <v>6.8080305368409801</v>
      </c>
      <c r="T2559" s="361">
        <f t="shared" si="2626"/>
        <v>9.0454897727736245</v>
      </c>
      <c r="U2559" s="361">
        <f t="shared" si="2626"/>
        <v>12.018289986595486</v>
      </c>
      <c r="V2559" s="362">
        <f t="shared" si="2626"/>
        <v>15.968100990689839</v>
      </c>
      <c r="X2559" s="351"/>
    </row>
    <row r="2560" spans="3:24" ht="24.75" customHeight="1" x14ac:dyDescent="0.3">
      <c r="C2560" s="353">
        <f>ABS(E2560-Dashboard!$F$14)</f>
        <v>50.330790060608287</v>
      </c>
      <c r="D2560" s="350">
        <f t="shared" si="2577"/>
        <v>0.32874999999997906</v>
      </c>
      <c r="E2560" s="359" cm="1">
        <f t="array" ref="E2560">1000*SUM('DRE + DCF'!$L$36/M2560,'DRE + DCF'!$N$36:$V$36/N2560:V2560,F2560/V2560)/Dashboard!$F$11</f>
        <v>46.659209939391708</v>
      </c>
      <c r="F2560" s="359">
        <f t="shared" si="2575"/>
        <v>7908567.7906893101</v>
      </c>
      <c r="G2560" s="359">
        <f>'DRE + DCF'!$W$31</f>
        <v>2791623.3540418856</v>
      </c>
      <c r="H2560" s="359">
        <f>'DRE + DCF'!$W$32</f>
        <v>81081.931703745853</v>
      </c>
      <c r="I2560" s="359">
        <f>-H2560*('DRE + DCF'!$V$33+K2560)/'DRE + DCF'!$V$33</f>
        <v>-90858.801614444121</v>
      </c>
      <c r="J2560" s="359">
        <f>-'DRE + DCF'!$V$56*L2560</f>
        <v>-1188924.4255577971</v>
      </c>
      <c r="K2560" s="360">
        <f>(1+L2560)/(1+Ke!$O$12)-1</f>
        <v>2.0000000000000018E-2</v>
      </c>
      <c r="L2560" s="360">
        <f>'DRE + DCF'!$Y$31</f>
        <v>7.3550000000000004E-2</v>
      </c>
      <c r="M2560" s="361">
        <f>(1+D2560)^((5-Dashboard!$F$9)*3/12)</f>
        <v>1.2376061480764144</v>
      </c>
      <c r="N2560" s="361">
        <f t="shared" ref="N2560:V2560" si="2627">M2560*(1+$D2560)</f>
        <v>1.6444691692565097</v>
      </c>
      <c r="O2560" s="361">
        <f t="shared" si="2627"/>
        <v>2.1850884086495528</v>
      </c>
      <c r="P2560" s="361">
        <f t="shared" si="2627"/>
        <v>2.9034362229930473</v>
      </c>
      <c r="Q2560" s="361">
        <f t="shared" si="2627"/>
        <v>3.8579408813019507</v>
      </c>
      <c r="R2560" s="361">
        <f t="shared" si="2627"/>
        <v>5.1262389460298863</v>
      </c>
      <c r="S2560" s="361">
        <f t="shared" si="2627"/>
        <v>6.8114899995371037</v>
      </c>
      <c r="T2560" s="361">
        <f t="shared" si="2627"/>
        <v>9.0507673368847836</v>
      </c>
      <c r="U2560" s="361">
        <f t="shared" si="2627"/>
        <v>12.026207098885466</v>
      </c>
      <c r="V2560" s="362">
        <f t="shared" si="2627"/>
        <v>15.97982268264381</v>
      </c>
      <c r="X2560" s="351"/>
    </row>
    <row r="2561" spans="3:24" ht="24.75" customHeight="1" x14ac:dyDescent="0.3">
      <c r="C2561" s="353">
        <f>ABS(E2561-Dashboard!$F$14)</f>
        <v>50.35233876191819</v>
      </c>
      <c r="D2561" s="350">
        <f t="shared" si="2577"/>
        <v>0.32884999999997905</v>
      </c>
      <c r="E2561" s="359" cm="1">
        <f t="array" ref="E2561">1000*SUM('DRE + DCF'!$L$36/M2561,'DRE + DCF'!$N$36:$V$36/N2561:V2561,F2561/V2561)/Dashboard!$F$11</f>
        <v>46.637661238081805</v>
      </c>
      <c r="F2561" s="359">
        <f t="shared" si="2575"/>
        <v>7905869.3525669575</v>
      </c>
      <c r="G2561" s="359">
        <f>'DRE + DCF'!$W$31</f>
        <v>2791623.3540418856</v>
      </c>
      <c r="H2561" s="359">
        <f>'DRE + DCF'!$W$32</f>
        <v>81081.931703745853</v>
      </c>
      <c r="I2561" s="359">
        <f>-H2561*('DRE + DCF'!$V$33+K2561)/'DRE + DCF'!$V$33</f>
        <v>-90858.801614444121</v>
      </c>
      <c r="J2561" s="359">
        <f>-'DRE + DCF'!$V$56*L2561</f>
        <v>-1188924.4255577971</v>
      </c>
      <c r="K2561" s="360">
        <f>(1+L2561)/(1+Ke!$O$12)-1</f>
        <v>2.0000000000000018E-2</v>
      </c>
      <c r="L2561" s="360">
        <f>'DRE + DCF'!$Y$31</f>
        <v>7.3550000000000004E-2</v>
      </c>
      <c r="M2561" s="361">
        <f>(1+D2561)^((5-Dashboard!$F$9)*3/12)</f>
        <v>1.2376760028933023</v>
      </c>
      <c r="N2561" s="361">
        <f t="shared" ref="N2561:V2561" si="2628">M2561*(1+$D2561)</f>
        <v>1.6446857564447388</v>
      </c>
      <c r="O2561" s="361">
        <f t="shared" si="2628"/>
        <v>2.1855406674515567</v>
      </c>
      <c r="P2561" s="361">
        <f t="shared" si="2628"/>
        <v>2.9042557159429552</v>
      </c>
      <c r="Q2561" s="361">
        <f t="shared" si="2628"/>
        <v>3.8593202081307352</v>
      </c>
      <c r="R2561" s="361">
        <f t="shared" si="2628"/>
        <v>5.1284576585744466</v>
      </c>
      <c r="S2561" s="361">
        <f t="shared" si="2628"/>
        <v>6.8149509595965458</v>
      </c>
      <c r="T2561" s="361">
        <f t="shared" si="2628"/>
        <v>9.0560475826597262</v>
      </c>
      <c r="U2561" s="361">
        <f t="shared" si="2628"/>
        <v>12.034128830217186</v>
      </c>
      <c r="V2561" s="362">
        <f t="shared" si="2628"/>
        <v>15.991552096033855</v>
      </c>
      <c r="X2561" s="351"/>
    </row>
    <row r="2562" spans="3:24" ht="24.75" customHeight="1" x14ac:dyDescent="0.3">
      <c r="C2562" s="353">
        <f>ABS(E2562-Dashboard!$F$14)</f>
        <v>50.373869492434693</v>
      </c>
      <c r="D2562" s="350">
        <f t="shared" si="2577"/>
        <v>0.32894999999997904</v>
      </c>
      <c r="E2562" s="359" cm="1">
        <f t="array" ref="E2562">1000*SUM('DRE + DCF'!$L$36/M2562,'DRE + DCF'!$N$36:$V$36/N2562:V2562,F2562/V2562)/Dashboard!$F$11</f>
        <v>46.616130507565302</v>
      </c>
      <c r="F2562" s="359">
        <f t="shared" si="2575"/>
        <v>7903172.7848644964</v>
      </c>
      <c r="G2562" s="359">
        <f>'DRE + DCF'!$W$31</f>
        <v>2791623.3540418856</v>
      </c>
      <c r="H2562" s="359">
        <f>'DRE + DCF'!$W$32</f>
        <v>81081.931703745853</v>
      </c>
      <c r="I2562" s="359">
        <f>-H2562*('DRE + DCF'!$V$33+K2562)/'DRE + DCF'!$V$33</f>
        <v>-90858.801614444121</v>
      </c>
      <c r="J2562" s="359">
        <f>-'DRE + DCF'!$V$56*L2562</f>
        <v>-1188924.4255577971</v>
      </c>
      <c r="K2562" s="360">
        <f>(1+L2562)/(1+Ke!$O$12)-1</f>
        <v>2.0000000000000018E-2</v>
      </c>
      <c r="L2562" s="360">
        <f>'DRE + DCF'!$Y$31</f>
        <v>7.3550000000000004E-2</v>
      </c>
      <c r="M2562" s="361">
        <f>(1+D2562)^((5-Dashboard!$F$9)*3/12)</f>
        <v>1.2377458563960055</v>
      </c>
      <c r="N2562" s="361">
        <f t="shared" ref="N2562:V2562" si="2629">M2562*(1+$D2562)</f>
        <v>1.6449023558574456</v>
      </c>
      <c r="O2562" s="361">
        <f t="shared" si="2629"/>
        <v>2.1859929858167177</v>
      </c>
      <c r="P2562" s="361">
        <f t="shared" si="2629"/>
        <v>2.9050753785010812</v>
      </c>
      <c r="Q2562" s="361">
        <f t="shared" si="2629"/>
        <v>3.860699924258951</v>
      </c>
      <c r="R2562" s="361">
        <f t="shared" si="2629"/>
        <v>5.1306771643438518</v>
      </c>
      <c r="S2562" s="361">
        <f t="shared" si="2629"/>
        <v>6.8184134175546536</v>
      </c>
      <c r="T2562" s="361">
        <f t="shared" si="2629"/>
        <v>9.0613305112591132</v>
      </c>
      <c r="U2562" s="361">
        <f t="shared" si="2629"/>
        <v>12.042055182937608</v>
      </c>
      <c r="V2562" s="362">
        <f t="shared" si="2629"/>
        <v>16.003289235364679</v>
      </c>
      <c r="X2562" s="351"/>
    </row>
    <row r="2563" spans="3:24" ht="24.75" customHeight="1" x14ac:dyDescent="0.3">
      <c r="C2563" s="353">
        <f>ABS(E2563-Dashboard!$F$14)</f>
        <v>50.395382273035082</v>
      </c>
      <c r="D2563" s="350">
        <f t="shared" si="2577"/>
        <v>0.32904999999997903</v>
      </c>
      <c r="E2563" s="359" cm="1">
        <f t="array" ref="E2563">1000*SUM('DRE + DCF'!$L$36/M2563,'DRE + DCF'!$N$36:$V$36/N2563:V2563,F2563/V2563)/Dashboard!$F$11</f>
        <v>46.594617726964913</v>
      </c>
      <c r="F2563" s="359">
        <f t="shared" si="2575"/>
        <v>7900478.085606914</v>
      </c>
      <c r="G2563" s="359">
        <f>'DRE + DCF'!$W$31</f>
        <v>2791623.3540418856</v>
      </c>
      <c r="H2563" s="359">
        <f>'DRE + DCF'!$W$32</f>
        <v>81081.931703745853</v>
      </c>
      <c r="I2563" s="359">
        <f>-H2563*('DRE + DCF'!$V$33+K2563)/'DRE + DCF'!$V$33</f>
        <v>-90858.801614444121</v>
      </c>
      <c r="J2563" s="359">
        <f>-'DRE + DCF'!$V$56*L2563</f>
        <v>-1188924.4255577971</v>
      </c>
      <c r="K2563" s="360">
        <f>(1+L2563)/(1+Ke!$O$12)-1</f>
        <v>2.0000000000000018E-2</v>
      </c>
      <c r="L2563" s="360">
        <f>'DRE + DCF'!$Y$31</f>
        <v>7.3550000000000004E-2</v>
      </c>
      <c r="M2563" s="361">
        <f>(1+D2563)^((5-Dashboard!$F$9)*3/12)</f>
        <v>1.2378157085846482</v>
      </c>
      <c r="N2563" s="361">
        <f t="shared" ref="N2563:V2563" si="2630">M2563*(1+$D2563)</f>
        <v>1.6451189674944007</v>
      </c>
      <c r="O2563" s="361">
        <f t="shared" si="2630"/>
        <v>2.1864453637483985</v>
      </c>
      <c r="P2563" s="361">
        <f t="shared" si="2630"/>
        <v>2.9058952106897631</v>
      </c>
      <c r="Q2563" s="361">
        <f t="shared" si="2630"/>
        <v>3.8620800297671685</v>
      </c>
      <c r="R2563" s="361">
        <f t="shared" si="2630"/>
        <v>5.1328974635619744</v>
      </c>
      <c r="S2563" s="361">
        <f t="shared" si="2630"/>
        <v>6.8218773739469345</v>
      </c>
      <c r="T2563" s="361">
        <f t="shared" si="2630"/>
        <v>9.0666161238440299</v>
      </c>
      <c r="U2563" s="361">
        <f t="shared" si="2630"/>
        <v>12.049986159394717</v>
      </c>
      <c r="V2563" s="362">
        <f t="shared" si="2630"/>
        <v>16.015034105143293</v>
      </c>
      <c r="X2563" s="351"/>
    </row>
    <row r="2564" spans="3:24" ht="24.75" customHeight="1" x14ac:dyDescent="0.3">
      <c r="C2564" s="353">
        <f>ABS(E2564-Dashboard!$F$14)</f>
        <v>50.41687712456563</v>
      </c>
      <c r="D2564" s="350">
        <f t="shared" si="2577"/>
        <v>0.32914999999997901</v>
      </c>
      <c r="E2564" s="359" cm="1">
        <f t="array" ref="E2564">1000*SUM('DRE + DCF'!$L$36/M2564,'DRE + DCF'!$N$36:$V$36/N2564:V2564,F2564/V2564)/Dashboard!$F$11</f>
        <v>46.573122875434365</v>
      </c>
      <c r="F2564" s="359">
        <f t="shared" si="2575"/>
        <v>7897785.252822021</v>
      </c>
      <c r="G2564" s="359">
        <f>'DRE + DCF'!$W$31</f>
        <v>2791623.3540418856</v>
      </c>
      <c r="H2564" s="359">
        <f>'DRE + DCF'!$W$32</f>
        <v>81081.931703745853</v>
      </c>
      <c r="I2564" s="359">
        <f>-H2564*('DRE + DCF'!$V$33+K2564)/'DRE + DCF'!$V$33</f>
        <v>-90858.801614444121</v>
      </c>
      <c r="J2564" s="359">
        <f>-'DRE + DCF'!$V$56*L2564</f>
        <v>-1188924.4255577971</v>
      </c>
      <c r="K2564" s="360">
        <f>(1+L2564)/(1+Ke!$O$12)-1</f>
        <v>2.0000000000000018E-2</v>
      </c>
      <c r="L2564" s="360">
        <f>'DRE + DCF'!$Y$31</f>
        <v>7.3550000000000004E-2</v>
      </c>
      <c r="M2564" s="361">
        <f>(1+D2564)^((5-Dashboard!$F$9)*3/12)</f>
        <v>1.2378855594593534</v>
      </c>
      <c r="N2564" s="361">
        <f t="shared" ref="N2564:V2564" si="2631">M2564*(1+$D2564)</f>
        <v>1.6453355913553736</v>
      </c>
      <c r="O2564" s="361">
        <f t="shared" si="2631"/>
        <v>2.1868978012499602</v>
      </c>
      <c r="P2564" s="361">
        <f t="shared" si="2631"/>
        <v>2.9067152125313385</v>
      </c>
      <c r="Q2564" s="361">
        <f t="shared" si="2631"/>
        <v>3.8634605247359675</v>
      </c>
      <c r="R2564" s="361">
        <f t="shared" si="2631"/>
        <v>5.1351185564527295</v>
      </c>
      <c r="S2564" s="361">
        <f t="shared" si="2631"/>
        <v>6.8253428293090375</v>
      </c>
      <c r="T2564" s="361">
        <f t="shared" si="2631"/>
        <v>9.0719044215759634</v>
      </c>
      <c r="U2564" s="361">
        <f t="shared" si="2631"/>
        <v>12.0579217619375</v>
      </c>
      <c r="V2564" s="362">
        <f t="shared" si="2631"/>
        <v>16.026786709878973</v>
      </c>
      <c r="X2564" s="351"/>
    </row>
    <row r="2565" spans="3:24" ht="24.75" customHeight="1" x14ac:dyDescent="0.3">
      <c r="C2565" s="353">
        <f>ABS(E2565-Dashboard!$F$14)</f>
        <v>50.438354067841736</v>
      </c>
      <c r="D2565" s="350">
        <f t="shared" si="2577"/>
        <v>0.329249999999979</v>
      </c>
      <c r="E2565" s="359" cm="1">
        <f t="array" ref="E2565">1000*SUM('DRE + DCF'!$L$36/M2565,'DRE + DCF'!$N$36:$V$36/N2565:V2565,F2565/V2565)/Dashboard!$F$11</f>
        <v>46.551645932158259</v>
      </c>
      <c r="F2565" s="359">
        <f t="shared" si="2575"/>
        <v>7895094.2845404427</v>
      </c>
      <c r="G2565" s="359">
        <f>'DRE + DCF'!$W$31</f>
        <v>2791623.3540418856</v>
      </c>
      <c r="H2565" s="359">
        <f>'DRE + DCF'!$W$32</f>
        <v>81081.931703745853</v>
      </c>
      <c r="I2565" s="359">
        <f>-H2565*('DRE + DCF'!$V$33+K2565)/'DRE + DCF'!$V$33</f>
        <v>-90858.801614444121</v>
      </c>
      <c r="J2565" s="359">
        <f>-'DRE + DCF'!$V$56*L2565</f>
        <v>-1188924.4255577971</v>
      </c>
      <c r="K2565" s="360">
        <f>(1+L2565)/(1+Ke!$O$12)-1</f>
        <v>2.0000000000000018E-2</v>
      </c>
      <c r="L2565" s="360">
        <f>'DRE + DCF'!$Y$31</f>
        <v>7.3550000000000004E-2</v>
      </c>
      <c r="M2565" s="361">
        <f>(1+D2565)^((5-Dashboard!$F$9)*3/12)</f>
        <v>1.2379554090202451</v>
      </c>
      <c r="N2565" s="361">
        <f t="shared" ref="N2565:V2565" si="2632">M2565*(1+$D2565)</f>
        <v>1.6455522274401349</v>
      </c>
      <c r="O2565" s="361">
        <f t="shared" si="2632"/>
        <v>2.1873502983247648</v>
      </c>
      <c r="P2565" s="361">
        <f t="shared" si="2632"/>
        <v>2.9075353840481477</v>
      </c>
      <c r="Q2565" s="361">
        <f t="shared" si="2632"/>
        <v>3.8648414092459391</v>
      </c>
      <c r="R2565" s="361">
        <f t="shared" si="2632"/>
        <v>5.1373404432400829</v>
      </c>
      <c r="S2565" s="361">
        <f t="shared" si="2632"/>
        <v>6.8288097841767721</v>
      </c>
      <c r="T2565" s="361">
        <f t="shared" si="2632"/>
        <v>9.0771954056168305</v>
      </c>
      <c r="U2565" s="361">
        <f t="shared" si="2632"/>
        <v>12.06586199291598</v>
      </c>
      <c r="V2565" s="362">
        <f t="shared" si="2632"/>
        <v>16.038547054083313</v>
      </c>
      <c r="X2565" s="351"/>
    </row>
    <row r="2566" spans="3:24" ht="24.75" customHeight="1" x14ac:dyDescent="0.3">
      <c r="C2566" s="353">
        <f>ABS(E2566-Dashboard!$F$14)</f>
        <v>50.459813123647969</v>
      </c>
      <c r="D2566" s="350">
        <f t="shared" si="2577"/>
        <v>0.32934999999997899</v>
      </c>
      <c r="E2566" s="359" cm="1">
        <f t="array" ref="E2566">1000*SUM('DRE + DCF'!$L$36/M2566,'DRE + DCF'!$N$36:$V$36/N2566:V2566,F2566/V2566)/Dashboard!$F$11</f>
        <v>46.530186876352026</v>
      </c>
      <c r="F2566" s="359">
        <f t="shared" si="2575"/>
        <v>7892405.1787956189</v>
      </c>
      <c r="G2566" s="359">
        <f>'DRE + DCF'!$W$31</f>
        <v>2791623.3540418856</v>
      </c>
      <c r="H2566" s="359">
        <f>'DRE + DCF'!$W$32</f>
        <v>81081.931703745853</v>
      </c>
      <c r="I2566" s="359">
        <f>-H2566*('DRE + DCF'!$V$33+K2566)/'DRE + DCF'!$V$33</f>
        <v>-90858.801614444121</v>
      </c>
      <c r="J2566" s="359">
        <f>-'DRE + DCF'!$V$56*L2566</f>
        <v>-1188924.4255577971</v>
      </c>
      <c r="K2566" s="360">
        <f>(1+L2566)/(1+Ke!$O$12)-1</f>
        <v>2.0000000000000018E-2</v>
      </c>
      <c r="L2566" s="360">
        <f>'DRE + DCF'!$Y$31</f>
        <v>7.3550000000000004E-2</v>
      </c>
      <c r="M2566" s="361">
        <f>(1+D2566)^((5-Dashboard!$F$9)*3/12)</f>
        <v>1.2380252572674466</v>
      </c>
      <c r="N2566" s="361">
        <f t="shared" ref="N2566:V2566" si="2633">M2566*(1+$D2566)</f>
        <v>1.6457688757484541</v>
      </c>
      <c r="O2566" s="361">
        <f t="shared" si="2633"/>
        <v>2.187802854976173</v>
      </c>
      <c r="P2566" s="361">
        <f t="shared" si="2633"/>
        <v>2.9083557252625294</v>
      </c>
      <c r="Q2566" s="361">
        <f t="shared" si="2633"/>
        <v>3.866222683377682</v>
      </c>
      <c r="R2566" s="361">
        <f t="shared" si="2633"/>
        <v>5.1395631241480402</v>
      </c>
      <c r="S2566" s="361">
        <f t="shared" si="2633"/>
        <v>6.8322782390860892</v>
      </c>
      <c r="T2566" s="361">
        <f t="shared" si="2633"/>
        <v>9.0824890771289493</v>
      </c>
      <c r="U2566" s="361">
        <f t="shared" si="2633"/>
        <v>12.073806854681177</v>
      </c>
      <c r="V2566" s="362">
        <f t="shared" si="2633"/>
        <v>16.050315142270168</v>
      </c>
      <c r="X2566" s="351"/>
    </row>
    <row r="2567" spans="3:24" ht="24.75" customHeight="1" x14ac:dyDescent="0.3">
      <c r="C2567" s="353">
        <f>ABS(E2567-Dashboard!$F$14)</f>
        <v>50.481254312738074</v>
      </c>
      <c r="D2567" s="350">
        <f t="shared" si="2577"/>
        <v>0.32944999999997898</v>
      </c>
      <c r="E2567" s="359" cm="1">
        <f t="array" ref="E2567">1000*SUM('DRE + DCF'!$L$36/M2567,'DRE + DCF'!$N$36:$V$36/N2567:V2567,F2567/V2567)/Dashboard!$F$11</f>
        <v>46.508745687261921</v>
      </c>
      <c r="F2567" s="359">
        <f t="shared" si="2575"/>
        <v>7889717.9336237963</v>
      </c>
      <c r="G2567" s="359">
        <f>'DRE + DCF'!$W$31</f>
        <v>2791623.3540418856</v>
      </c>
      <c r="H2567" s="359">
        <f>'DRE + DCF'!$W$32</f>
        <v>81081.931703745853</v>
      </c>
      <c r="I2567" s="359">
        <f>-H2567*('DRE + DCF'!$V$33+K2567)/'DRE + DCF'!$V$33</f>
        <v>-90858.801614444121</v>
      </c>
      <c r="J2567" s="359">
        <f>-'DRE + DCF'!$V$56*L2567</f>
        <v>-1188924.4255577971</v>
      </c>
      <c r="K2567" s="360">
        <f>(1+L2567)/(1+Ke!$O$12)-1</f>
        <v>2.0000000000000018E-2</v>
      </c>
      <c r="L2567" s="360">
        <f>'DRE + DCF'!$Y$31</f>
        <v>7.3550000000000004E-2</v>
      </c>
      <c r="M2567" s="361">
        <f>(1+D2567)^((5-Dashboard!$F$9)*3/12)</f>
        <v>1.2380951042010815</v>
      </c>
      <c r="N2567" s="361">
        <f t="shared" ref="N2567:V2567" si="2634">M2567*(1+$D2567)</f>
        <v>1.6459855362801017</v>
      </c>
      <c r="O2567" s="361">
        <f t="shared" si="2634"/>
        <v>2.1882554712075466</v>
      </c>
      <c r="P2567" s="361">
        <f t="shared" si="2634"/>
        <v>2.9091762361968265</v>
      </c>
      <c r="Q2567" s="361">
        <f t="shared" si="2634"/>
        <v>3.8676043472118096</v>
      </c>
      <c r="R2567" s="361">
        <f t="shared" si="2634"/>
        <v>5.1417865994006586</v>
      </c>
      <c r="S2567" s="361">
        <f t="shared" si="2634"/>
        <v>6.8357481945730969</v>
      </c>
      <c r="T2567" s="361">
        <f t="shared" si="2634"/>
        <v>9.0877854372750591</v>
      </c>
      <c r="U2567" s="361">
        <f t="shared" si="2634"/>
        <v>12.081756349585136</v>
      </c>
      <c r="V2567" s="362">
        <f t="shared" si="2634"/>
        <v>16.062090978955705</v>
      </c>
      <c r="X2567" s="351"/>
    </row>
    <row r="2568" spans="3:24" ht="24.75" customHeight="1" x14ac:dyDescent="0.3">
      <c r="C2568" s="353">
        <f>ABS(E2568-Dashboard!$F$14)</f>
        <v>50.502677655835157</v>
      </c>
      <c r="D2568" s="350">
        <f t="shared" si="2577"/>
        <v>0.32954999999997897</v>
      </c>
      <c r="E2568" s="359" cm="1">
        <f t="array" ref="E2568">1000*SUM('DRE + DCF'!$L$36/M2568,'DRE + DCF'!$N$36:$V$36/N2568:V2568,F2568/V2568)/Dashboard!$F$11</f>
        <v>46.487322344164838</v>
      </c>
      <c r="F2568" s="359">
        <f t="shared" si="2575"/>
        <v>7887032.5470640175</v>
      </c>
      <c r="G2568" s="359">
        <f>'DRE + DCF'!$W$31</f>
        <v>2791623.3540418856</v>
      </c>
      <c r="H2568" s="359">
        <f>'DRE + DCF'!$W$32</f>
        <v>81081.931703745853</v>
      </c>
      <c r="I2568" s="359">
        <f>-H2568*('DRE + DCF'!$V$33+K2568)/'DRE + DCF'!$V$33</f>
        <v>-90858.801614444121</v>
      </c>
      <c r="J2568" s="359">
        <f>-'DRE + DCF'!$V$56*L2568</f>
        <v>-1188924.4255577971</v>
      </c>
      <c r="K2568" s="360">
        <f>(1+L2568)/(1+Ke!$O$12)-1</f>
        <v>2.0000000000000018E-2</v>
      </c>
      <c r="L2568" s="360">
        <f>'DRE + DCF'!$Y$31</f>
        <v>7.3550000000000004E-2</v>
      </c>
      <c r="M2568" s="361">
        <f>(1+D2568)^((5-Dashboard!$F$9)*3/12)</f>
        <v>1.2381649498212732</v>
      </c>
      <c r="N2568" s="361">
        <f t="shared" ref="N2568:V2568" si="2635">M2568*(1+$D2568)</f>
        <v>1.6462022090348478</v>
      </c>
      <c r="O2568" s="361">
        <f t="shared" si="2635"/>
        <v>2.1887081470222474</v>
      </c>
      <c r="P2568" s="361">
        <f t="shared" si="2635"/>
        <v>2.909996916873383</v>
      </c>
      <c r="Q2568" s="361">
        <f t="shared" si="2635"/>
        <v>3.8689864008289452</v>
      </c>
      <c r="R2568" s="361">
        <f t="shared" si="2635"/>
        <v>5.1440108692220425</v>
      </c>
      <c r="S2568" s="361">
        <f t="shared" si="2635"/>
        <v>6.8392196511740586</v>
      </c>
      <c r="T2568" s="361">
        <f t="shared" si="2635"/>
        <v>9.0930844872183254</v>
      </c>
      <c r="U2568" s="361">
        <f t="shared" si="2635"/>
        <v>12.089710479980933</v>
      </c>
      <c r="V2568" s="362">
        <f t="shared" si="2635"/>
        <v>16.073874568658397</v>
      </c>
      <c r="X2568" s="351"/>
    </row>
    <row r="2569" spans="3:24" ht="24.75" customHeight="1" x14ac:dyDescent="0.3">
      <c r="C2569" s="353">
        <f>ABS(E2569-Dashboard!$F$14)</f>
        <v>50.524083173631517</v>
      </c>
      <c r="D2569" s="350">
        <f t="shared" si="2577"/>
        <v>0.32964999999997896</v>
      </c>
      <c r="E2569" s="359" cm="1">
        <f t="array" ref="E2569">1000*SUM('DRE + DCF'!$L$36/M2569,'DRE + DCF'!$N$36:$V$36/N2569:V2569,F2569/V2569)/Dashboard!$F$11</f>
        <v>46.465916826368478</v>
      </c>
      <c r="F2569" s="359">
        <f t="shared" si="2575"/>
        <v>7884349.0171581311</v>
      </c>
      <c r="G2569" s="359">
        <f>'DRE + DCF'!$W$31</f>
        <v>2791623.3540418856</v>
      </c>
      <c r="H2569" s="359">
        <f>'DRE + DCF'!$W$32</f>
        <v>81081.931703745853</v>
      </c>
      <c r="I2569" s="359">
        <f>-H2569*('DRE + DCF'!$V$33+K2569)/'DRE + DCF'!$V$33</f>
        <v>-90858.801614444121</v>
      </c>
      <c r="J2569" s="359">
        <f>-'DRE + DCF'!$V$56*L2569</f>
        <v>-1188924.4255577971</v>
      </c>
      <c r="K2569" s="360">
        <f>(1+L2569)/(1+Ke!$O$12)-1</f>
        <v>2.0000000000000018E-2</v>
      </c>
      <c r="L2569" s="360">
        <f>'DRE + DCF'!$Y$31</f>
        <v>7.3550000000000004E-2</v>
      </c>
      <c r="M2569" s="361">
        <f>(1+D2569)^((5-Dashboard!$F$9)*3/12)</f>
        <v>1.2382347941281453</v>
      </c>
      <c r="N2569" s="361">
        <f t="shared" ref="N2569:V2569" si="2636">M2569*(1+$D2569)</f>
        <v>1.6464188940124622</v>
      </c>
      <c r="O2569" s="361">
        <f t="shared" si="2636"/>
        <v>2.1891608824236357</v>
      </c>
      <c r="P2569" s="361">
        <f t="shared" si="2636"/>
        <v>2.910817767314541</v>
      </c>
      <c r="Q2569" s="361">
        <f t="shared" si="2636"/>
        <v>3.8703688443097182</v>
      </c>
      <c r="R2569" s="361">
        <f t="shared" si="2636"/>
        <v>5.1462359338363353</v>
      </c>
      <c r="S2569" s="361">
        <f t="shared" si="2636"/>
        <v>6.8426926094253746</v>
      </c>
      <c r="T2569" s="361">
        <f t="shared" si="2636"/>
        <v>9.0983862281223047</v>
      </c>
      <c r="U2569" s="361">
        <f t="shared" si="2636"/>
        <v>12.09766924822263</v>
      </c>
      <c r="V2569" s="362">
        <f t="shared" si="2636"/>
        <v>16.085665915898964</v>
      </c>
      <c r="X2569" s="351"/>
    </row>
    <row r="2570" spans="3:24" ht="24.75" customHeight="1" x14ac:dyDescent="0.3">
      <c r="C2570" s="353">
        <f>ABS(E2570-Dashboard!$F$14)</f>
        <v>50.545470886788983</v>
      </c>
      <c r="D2570" s="350">
        <f t="shared" si="2577"/>
        <v>0.32974999999997895</v>
      </c>
      <c r="E2570" s="359" cm="1">
        <f t="array" ref="E2570">1000*SUM('DRE + DCF'!$L$36/M2570,'DRE + DCF'!$N$36:$V$36/N2570:V2570,F2570/V2570)/Dashboard!$F$11</f>
        <v>46.444529113211011</v>
      </c>
      <c r="F2570" s="359">
        <f t="shared" si="2575"/>
        <v>7881667.3419507705</v>
      </c>
      <c r="G2570" s="359">
        <f>'DRE + DCF'!$W$31</f>
        <v>2791623.3540418856</v>
      </c>
      <c r="H2570" s="359">
        <f>'DRE + DCF'!$W$32</f>
        <v>81081.931703745853</v>
      </c>
      <c r="I2570" s="359">
        <f>-H2570*('DRE + DCF'!$V$33+K2570)/'DRE + DCF'!$V$33</f>
        <v>-90858.801614444121</v>
      </c>
      <c r="J2570" s="359">
        <f>-'DRE + DCF'!$V$56*L2570</f>
        <v>-1188924.4255577971</v>
      </c>
      <c r="K2570" s="360">
        <f>(1+L2570)/(1+Ke!$O$12)-1</f>
        <v>2.0000000000000018E-2</v>
      </c>
      <c r="L2570" s="360">
        <f>'DRE + DCF'!$Y$31</f>
        <v>7.3550000000000004E-2</v>
      </c>
      <c r="M2570" s="361">
        <f>(1+D2570)^((5-Dashboard!$F$9)*3/12)</f>
        <v>1.2383046371218214</v>
      </c>
      <c r="N2570" s="361">
        <f t="shared" ref="N2570:V2570" si="2637">M2570*(1+$D2570)</f>
        <v>1.6466355912127157</v>
      </c>
      <c r="O2570" s="361">
        <f t="shared" si="2637"/>
        <v>2.1896136774150738</v>
      </c>
      <c r="P2570" s="361">
        <f t="shared" si="2637"/>
        <v>2.9116387875426484</v>
      </c>
      <c r="Q2570" s="361">
        <f t="shared" si="2637"/>
        <v>3.8717516777347751</v>
      </c>
      <c r="R2570" s="361">
        <f t="shared" si="2637"/>
        <v>5.1484617934677352</v>
      </c>
      <c r="S2570" s="361">
        <f t="shared" si="2637"/>
        <v>6.8461670698636121</v>
      </c>
      <c r="T2570" s="361">
        <f t="shared" si="2637"/>
        <v>9.1036906611509938</v>
      </c>
      <c r="U2570" s="361">
        <f t="shared" si="2637"/>
        <v>12.105632656665342</v>
      </c>
      <c r="V2570" s="362">
        <f t="shared" si="2637"/>
        <v>16.097465025200485</v>
      </c>
      <c r="X2570" s="351"/>
    </row>
    <row r="2571" spans="3:24" ht="24.75" customHeight="1" x14ac:dyDescent="0.3">
      <c r="C2571" s="353">
        <f>ABS(E2571-Dashboard!$F$14)</f>
        <v>50.566840815938725</v>
      </c>
      <c r="D2571" s="350">
        <f t="shared" si="2577"/>
        <v>0.32984999999997894</v>
      </c>
      <c r="E2571" s="359" cm="1">
        <f t="array" ref="E2571">1000*SUM('DRE + DCF'!$L$36/M2571,'DRE + DCF'!$N$36:$V$36/N2571:V2571,F2571/V2571)/Dashboard!$F$11</f>
        <v>46.423159184061269</v>
      </c>
      <c r="F2571" s="359">
        <f t="shared" si="2575"/>
        <v>7878987.5194893563</v>
      </c>
      <c r="G2571" s="359">
        <f>'DRE + DCF'!$W$31</f>
        <v>2791623.3540418856</v>
      </c>
      <c r="H2571" s="359">
        <f>'DRE + DCF'!$W$32</f>
        <v>81081.931703745853</v>
      </c>
      <c r="I2571" s="359">
        <f>-H2571*('DRE + DCF'!$V$33+K2571)/'DRE + DCF'!$V$33</f>
        <v>-90858.801614444121</v>
      </c>
      <c r="J2571" s="359">
        <f>-'DRE + DCF'!$V$56*L2571</f>
        <v>-1188924.4255577971</v>
      </c>
      <c r="K2571" s="360">
        <f>(1+L2571)/(1+Ke!$O$12)-1</f>
        <v>2.0000000000000018E-2</v>
      </c>
      <c r="L2571" s="360">
        <f>'DRE + DCF'!$Y$31</f>
        <v>7.3550000000000004E-2</v>
      </c>
      <c r="M2571" s="361">
        <f>(1+D2571)^((5-Dashboard!$F$9)*3/12)</f>
        <v>1.2383744788024247</v>
      </c>
      <c r="N2571" s="361">
        <f t="shared" ref="N2571:V2571" si="2638">M2571*(1+$D2571)</f>
        <v>1.6468523006353784</v>
      </c>
      <c r="O2571" s="361">
        <f t="shared" si="2638"/>
        <v>2.1900665319999231</v>
      </c>
      <c r="P2571" s="361">
        <f t="shared" si="2638"/>
        <v>2.9124599775800513</v>
      </c>
      <c r="Q2571" s="361">
        <f t="shared" si="2638"/>
        <v>3.8731349011847698</v>
      </c>
      <c r="R2571" s="361">
        <f t="shared" si="2638"/>
        <v>5.1506884483404844</v>
      </c>
      <c r="S2571" s="361">
        <f t="shared" si="2638"/>
        <v>6.8496430330254841</v>
      </c>
      <c r="T2571" s="361">
        <f t="shared" si="2638"/>
        <v>9.1089977874687946</v>
      </c>
      <c r="U2571" s="361">
        <f t="shared" si="2638"/>
        <v>12.113600707665185</v>
      </c>
      <c r="V2571" s="362">
        <f t="shared" si="2638"/>
        <v>16.109271901088292</v>
      </c>
      <c r="X2571" s="351"/>
    </row>
    <row r="2572" spans="3:24" ht="24.75" customHeight="1" x14ac:dyDescent="0.3">
      <c r="C2572" s="353">
        <f>ABS(E2572-Dashboard!$F$14)</f>
        <v>50.588192981681445</v>
      </c>
      <c r="D2572" s="350">
        <f t="shared" si="2577"/>
        <v>0.32994999999997893</v>
      </c>
      <c r="E2572" s="359" cm="1">
        <f t="array" ref="E2572">1000*SUM('DRE + DCF'!$L$36/M2572,'DRE + DCF'!$N$36:$V$36/N2572:V2572,F2572/V2572)/Dashboard!$F$11</f>
        <v>46.40180701831855</v>
      </c>
      <c r="F2572" s="359">
        <f t="shared" si="2575"/>
        <v>7876309.5478240941</v>
      </c>
      <c r="G2572" s="359">
        <f>'DRE + DCF'!$W$31</f>
        <v>2791623.3540418856</v>
      </c>
      <c r="H2572" s="359">
        <f>'DRE + DCF'!$W$32</f>
        <v>81081.931703745853</v>
      </c>
      <c r="I2572" s="359">
        <f>-H2572*('DRE + DCF'!$V$33+K2572)/'DRE + DCF'!$V$33</f>
        <v>-90858.801614444121</v>
      </c>
      <c r="J2572" s="359">
        <f>-'DRE + DCF'!$V$56*L2572</f>
        <v>-1188924.4255577971</v>
      </c>
      <c r="K2572" s="360">
        <f>(1+L2572)/(1+Ke!$O$12)-1</f>
        <v>2.0000000000000018E-2</v>
      </c>
      <c r="L2572" s="360">
        <f>'DRE + DCF'!$Y$31</f>
        <v>7.3550000000000004E-2</v>
      </c>
      <c r="M2572" s="361">
        <f>(1+D2572)^((5-Dashboard!$F$9)*3/12)</f>
        <v>1.2384443191700787</v>
      </c>
      <c r="N2572" s="361">
        <f t="shared" ref="N2572:V2572" si="2639">M2572*(1+$D2572)</f>
        <v>1.64706902228022</v>
      </c>
      <c r="O2572" s="361">
        <f t="shared" si="2639"/>
        <v>2.1905194461815438</v>
      </c>
      <c r="P2572" s="361">
        <f t="shared" si="2639"/>
        <v>2.913281337449098</v>
      </c>
      <c r="Q2572" s="361">
        <f t="shared" si="2639"/>
        <v>3.8745185147403665</v>
      </c>
      <c r="R2572" s="361">
        <f t="shared" si="2639"/>
        <v>5.1529158986788683</v>
      </c>
      <c r="S2572" s="361">
        <f t="shared" si="2639"/>
        <v>6.8531204994478525</v>
      </c>
      <c r="T2572" s="361">
        <f t="shared" si="2639"/>
        <v>9.1143076082405265</v>
      </c>
      <c r="U2572" s="361">
        <f t="shared" si="2639"/>
        <v>12.121573403579296</v>
      </c>
      <c r="V2572" s="362">
        <f t="shared" si="2639"/>
        <v>16.121086548090027</v>
      </c>
      <c r="X2572" s="351"/>
    </row>
    <row r="2573" spans="3:24" ht="24.75" customHeight="1" x14ac:dyDescent="0.3">
      <c r="C2573" s="353">
        <f>ABS(E2573-Dashboard!$F$14)</f>
        <v>50.609527404587368</v>
      </c>
      <c r="D2573" s="350">
        <f t="shared" si="2577"/>
        <v>0.33004999999997892</v>
      </c>
      <c r="E2573" s="359" cm="1">
        <f t="array" ref="E2573">1000*SUM('DRE + DCF'!$L$36/M2573,'DRE + DCF'!$N$36:$V$36/N2573:V2573,F2573/V2573)/Dashboard!$F$11</f>
        <v>46.380472595412627</v>
      </c>
      <c r="F2573" s="359">
        <f t="shared" si="2575"/>
        <v>7873633.4250079645</v>
      </c>
      <c r="G2573" s="359">
        <f>'DRE + DCF'!$W$31</f>
        <v>2791623.3540418856</v>
      </c>
      <c r="H2573" s="359">
        <f>'DRE + DCF'!$W$32</f>
        <v>81081.931703745853</v>
      </c>
      <c r="I2573" s="359">
        <f>-H2573*('DRE + DCF'!$V$33+K2573)/'DRE + DCF'!$V$33</f>
        <v>-90858.801614444121</v>
      </c>
      <c r="J2573" s="359">
        <f>-'DRE + DCF'!$V$56*L2573</f>
        <v>-1188924.4255577971</v>
      </c>
      <c r="K2573" s="360">
        <f>(1+L2573)/(1+Ke!$O$12)-1</f>
        <v>2.0000000000000018E-2</v>
      </c>
      <c r="L2573" s="360">
        <f>'DRE + DCF'!$Y$31</f>
        <v>7.3550000000000004E-2</v>
      </c>
      <c r="M2573" s="361">
        <f>(1+D2573)^((5-Dashboard!$F$9)*3/12)</f>
        <v>1.2385141582249071</v>
      </c>
      <c r="N2573" s="361">
        <f t="shared" ref="N2573:V2573" si="2640">M2573*(1+$D2573)</f>
        <v>1.6472857561470116</v>
      </c>
      <c r="O2573" s="361">
        <f t="shared" si="2640"/>
        <v>2.1909724199632978</v>
      </c>
      <c r="P2573" s="361">
        <f t="shared" si="2640"/>
        <v>2.9141028671721378</v>
      </c>
      <c r="Q2573" s="361">
        <f t="shared" si="2640"/>
        <v>3.8759025184822402</v>
      </c>
      <c r="R2573" s="361">
        <f t="shared" si="2640"/>
        <v>5.1551441447072213</v>
      </c>
      <c r="S2573" s="361">
        <f t="shared" si="2640"/>
        <v>6.8565994696677306</v>
      </c>
      <c r="T2573" s="361">
        <f t="shared" si="2640"/>
        <v>9.1196201246314192</v>
      </c>
      <c r="U2573" s="361">
        <f t="shared" si="2640"/>
        <v>12.129550746765826</v>
      </c>
      <c r="V2573" s="362">
        <f t="shared" si="2640"/>
        <v>16.132908970735631</v>
      </c>
      <c r="X2573" s="351"/>
    </row>
    <row r="2574" spans="3:24" ht="24.75" customHeight="1" x14ac:dyDescent="0.3">
      <c r="C2574" s="353">
        <f>ABS(E2574-Dashboard!$F$14)</f>
        <v>50.63084410519636</v>
      </c>
      <c r="D2574" s="350">
        <f t="shared" si="2577"/>
        <v>0.3301499999999789</v>
      </c>
      <c r="E2574" s="359" cm="1">
        <f t="array" ref="E2574">1000*SUM('DRE + DCF'!$L$36/M2574,'DRE + DCF'!$N$36:$V$36/N2574:V2574,F2574/V2574)/Dashboard!$F$11</f>
        <v>46.359155894803635</v>
      </c>
      <c r="F2574" s="359">
        <f t="shared" ref="F2574:F2637" si="2641">AVERAGE(SUM(G2574:J2574)*(1+L2574)/(D2574-L2574),G2574*(1+L2574)*(1-L2574/D2574)/(D2574-L2574))</f>
        <v>7870959.1490967162</v>
      </c>
      <c r="G2574" s="359">
        <f>'DRE + DCF'!$W$31</f>
        <v>2791623.3540418856</v>
      </c>
      <c r="H2574" s="359">
        <f>'DRE + DCF'!$W$32</f>
        <v>81081.931703745853</v>
      </c>
      <c r="I2574" s="359">
        <f>-H2574*('DRE + DCF'!$V$33+K2574)/'DRE + DCF'!$V$33</f>
        <v>-90858.801614444121</v>
      </c>
      <c r="J2574" s="359">
        <f>-'DRE + DCF'!$V$56*L2574</f>
        <v>-1188924.4255577971</v>
      </c>
      <c r="K2574" s="360">
        <f>(1+L2574)/(1+Ke!$O$12)-1</f>
        <v>2.0000000000000018E-2</v>
      </c>
      <c r="L2574" s="360">
        <f>'DRE + DCF'!$Y$31</f>
        <v>7.3550000000000004E-2</v>
      </c>
      <c r="M2574" s="361">
        <f>(1+D2574)^((5-Dashboard!$F$9)*3/12)</f>
        <v>1.2385839959670326</v>
      </c>
      <c r="N2574" s="361">
        <f t="shared" ref="N2574:V2574" si="2642">M2574*(1+$D2574)</f>
        <v>1.6475025022355223</v>
      </c>
      <c r="O2574" s="361">
        <f t="shared" si="2642"/>
        <v>2.1914254533485451</v>
      </c>
      <c r="P2574" s="361">
        <f t="shared" si="2642"/>
        <v>2.9149245667715209</v>
      </c>
      <c r="Q2574" s="361">
        <f t="shared" si="2642"/>
        <v>3.8772869124910767</v>
      </c>
      <c r="R2574" s="361">
        <f t="shared" si="2642"/>
        <v>5.1573731866499237</v>
      </c>
      <c r="S2574" s="361">
        <f t="shared" si="2642"/>
        <v>6.8600799442222868</v>
      </c>
      <c r="T2574" s="361">
        <f t="shared" si="2642"/>
        <v>9.1249353378071305</v>
      </c>
      <c r="U2574" s="361">
        <f t="shared" si="2642"/>
        <v>12.137532739583962</v>
      </c>
      <c r="V2574" s="362">
        <f t="shared" si="2642"/>
        <v>16.144739173557351</v>
      </c>
      <c r="X2574" s="351"/>
    </row>
    <row r="2575" spans="3:24" ht="24.75" customHeight="1" x14ac:dyDescent="0.3">
      <c r="C2575" s="353">
        <f>ABS(E2575-Dashboard!$F$14)</f>
        <v>50.652143104017924</v>
      </c>
      <c r="D2575" s="350">
        <f t="shared" ref="D2575:D2638" si="2643">D2574+0.0001</f>
        <v>0.33024999999997889</v>
      </c>
      <c r="E2575" s="359" cm="1">
        <f t="array" ref="E2575">1000*SUM('DRE + DCF'!$L$36/M2575,'DRE + DCF'!$N$36:$V$36/N2575:V2575,F2575/V2575)/Dashboard!$F$11</f>
        <v>46.337856895982071</v>
      </c>
      <c r="F2575" s="359">
        <f t="shared" si="2641"/>
        <v>7868286.7181488713</v>
      </c>
      <c r="G2575" s="359">
        <f>'DRE + DCF'!$W$31</f>
        <v>2791623.3540418856</v>
      </c>
      <c r="H2575" s="359">
        <f>'DRE + DCF'!$W$32</f>
        <v>81081.931703745853</v>
      </c>
      <c r="I2575" s="359">
        <f>-H2575*('DRE + DCF'!$V$33+K2575)/'DRE + DCF'!$V$33</f>
        <v>-90858.801614444121</v>
      </c>
      <c r="J2575" s="359">
        <f>-'DRE + DCF'!$V$56*L2575</f>
        <v>-1188924.4255577971</v>
      </c>
      <c r="K2575" s="360">
        <f>(1+L2575)/(1+Ke!$O$12)-1</f>
        <v>2.0000000000000018E-2</v>
      </c>
      <c r="L2575" s="360">
        <f>'DRE + DCF'!$Y$31</f>
        <v>7.3550000000000004E-2</v>
      </c>
      <c r="M2575" s="361">
        <f>(1+D2575)^((5-Dashboard!$F$9)*3/12)</f>
        <v>1.238653832396579</v>
      </c>
      <c r="N2575" s="361">
        <f t="shared" ref="N2575:V2575" si="2644">M2575*(1+$D2575)</f>
        <v>1.6477192605455231</v>
      </c>
      <c r="O2575" s="361">
        <f t="shared" si="2644"/>
        <v>2.1918785463406474</v>
      </c>
      <c r="P2575" s="361">
        <f t="shared" si="2644"/>
        <v>2.9157464362696</v>
      </c>
      <c r="Q2575" s="361">
        <f t="shared" si="2644"/>
        <v>3.8786716968475736</v>
      </c>
      <c r="R2575" s="361">
        <f t="shared" si="2644"/>
        <v>5.1596030247314024</v>
      </c>
      <c r="S2575" s="361">
        <f t="shared" si="2644"/>
        <v>6.863561923648839</v>
      </c>
      <c r="T2575" s="361">
        <f t="shared" si="2644"/>
        <v>9.1302532489337231</v>
      </c>
      <c r="U2575" s="361">
        <f t="shared" si="2644"/>
        <v>12.145519384393891</v>
      </c>
      <c r="V2575" s="362">
        <f t="shared" si="2644"/>
        <v>16.156577161089718</v>
      </c>
      <c r="X2575" s="351"/>
    </row>
    <row r="2576" spans="3:24" ht="24.75" customHeight="1" x14ac:dyDescent="0.3">
      <c r="C2576" s="353">
        <f>ABS(E2576-Dashboard!$F$14)</f>
        <v>50.673424421531273</v>
      </c>
      <c r="D2576" s="350">
        <f t="shared" si="2643"/>
        <v>0.33034999999997888</v>
      </c>
      <c r="E2576" s="359" cm="1">
        <f t="array" ref="E2576">1000*SUM('DRE + DCF'!$L$36/M2576,'DRE + DCF'!$N$36:$V$36/N2576:V2576,F2576/V2576)/Dashboard!$F$11</f>
        <v>46.316575578468722</v>
      </c>
      <c r="F2576" s="359">
        <f t="shared" si="2641"/>
        <v>7865616.1302257068</v>
      </c>
      <c r="G2576" s="359">
        <f>'DRE + DCF'!$W$31</f>
        <v>2791623.3540418856</v>
      </c>
      <c r="H2576" s="359">
        <f>'DRE + DCF'!$W$32</f>
        <v>81081.931703745853</v>
      </c>
      <c r="I2576" s="359">
        <f>-H2576*('DRE + DCF'!$V$33+K2576)/'DRE + DCF'!$V$33</f>
        <v>-90858.801614444121</v>
      </c>
      <c r="J2576" s="359">
        <f>-'DRE + DCF'!$V$56*L2576</f>
        <v>-1188924.4255577971</v>
      </c>
      <c r="K2576" s="360">
        <f>(1+L2576)/(1+Ke!$O$12)-1</f>
        <v>2.0000000000000018E-2</v>
      </c>
      <c r="L2576" s="360">
        <f>'DRE + DCF'!$Y$31</f>
        <v>7.3550000000000004E-2</v>
      </c>
      <c r="M2576" s="361">
        <f>(1+D2576)^((5-Dashboard!$F$9)*3/12)</f>
        <v>1.2387236675136699</v>
      </c>
      <c r="N2576" s="361">
        <f t="shared" ref="N2576:V2576" si="2645">M2576*(1+$D2576)</f>
        <v>1.6479360310767845</v>
      </c>
      <c r="O2576" s="361">
        <f t="shared" si="2645"/>
        <v>2.1923316989429655</v>
      </c>
      <c r="P2576" s="361">
        <f t="shared" si="2645"/>
        <v>2.9165684756887278</v>
      </c>
      <c r="Q2576" s="361">
        <f t="shared" si="2645"/>
        <v>3.8800568716324371</v>
      </c>
      <c r="R2576" s="361">
        <f t="shared" si="2645"/>
        <v>5.1618336591761302</v>
      </c>
      <c r="S2576" s="361">
        <f t="shared" si="2645"/>
        <v>6.8670454084848558</v>
      </c>
      <c r="T2576" s="361">
        <f t="shared" si="2645"/>
        <v>9.1355738591776827</v>
      </c>
      <c r="U2576" s="361">
        <f t="shared" si="2645"/>
        <v>12.153510683556837</v>
      </c>
      <c r="V2576" s="362">
        <f t="shared" si="2645"/>
        <v>16.168422937869579</v>
      </c>
      <c r="X2576" s="351"/>
    </row>
    <row r="2577" spans="3:24" ht="24.75" customHeight="1" x14ac:dyDescent="0.3">
      <c r="C2577" s="353">
        <f>ABS(E2577-Dashboard!$F$14)</f>
        <v>50.694688078185415</v>
      </c>
      <c r="D2577" s="350">
        <f t="shared" si="2643"/>
        <v>0.33044999999997887</v>
      </c>
      <c r="E2577" s="359" cm="1">
        <f t="array" ref="E2577">1000*SUM('DRE + DCF'!$L$36/M2577,'DRE + DCF'!$N$36:$V$36/N2577:V2577,F2577/V2577)/Dashboard!$F$11</f>
        <v>46.29531192181458</v>
      </c>
      <c r="F2577" s="359">
        <f t="shared" si="2641"/>
        <v>7862947.3833912574</v>
      </c>
      <c r="G2577" s="359">
        <f>'DRE + DCF'!$W$31</f>
        <v>2791623.3540418856</v>
      </c>
      <c r="H2577" s="359">
        <f>'DRE + DCF'!$W$32</f>
        <v>81081.931703745853</v>
      </c>
      <c r="I2577" s="359">
        <f>-H2577*('DRE + DCF'!$V$33+K2577)/'DRE + DCF'!$V$33</f>
        <v>-90858.801614444121</v>
      </c>
      <c r="J2577" s="359">
        <f>-'DRE + DCF'!$V$56*L2577</f>
        <v>-1188924.4255577971</v>
      </c>
      <c r="K2577" s="360">
        <f>(1+L2577)/(1+Ke!$O$12)-1</f>
        <v>2.0000000000000018E-2</v>
      </c>
      <c r="L2577" s="360">
        <f>'DRE + DCF'!$Y$31</f>
        <v>7.3550000000000004E-2</v>
      </c>
      <c r="M2577" s="361">
        <f>(1+D2577)^((5-Dashboard!$F$9)*3/12)</f>
        <v>1.2387935013184281</v>
      </c>
      <c r="N2577" s="361">
        <f t="shared" ref="N2577:V2577" si="2646">M2577*(1+$D2577)</f>
        <v>1.6481528138290764</v>
      </c>
      <c r="O2577" s="361">
        <f t="shared" si="2646"/>
        <v>2.19278491115886</v>
      </c>
      <c r="P2577" s="361">
        <f t="shared" si="2646"/>
        <v>2.917390685051259</v>
      </c>
      <c r="Q2577" s="361">
        <f t="shared" si="2646"/>
        <v>3.8814424369263856</v>
      </c>
      <c r="R2577" s="361">
        <f t="shared" si="2646"/>
        <v>5.1640650902086271</v>
      </c>
      <c r="S2577" s="361">
        <f t="shared" si="2646"/>
        <v>6.8705303992679587</v>
      </c>
      <c r="T2577" s="361">
        <f t="shared" si="2646"/>
        <v>9.1408971697059105</v>
      </c>
      <c r="U2577" s="361">
        <f t="shared" si="2646"/>
        <v>12.161506639435036</v>
      </c>
      <c r="V2577" s="362">
        <f t="shared" si="2646"/>
        <v>16.180276508436087</v>
      </c>
      <c r="X2577" s="351"/>
    </row>
    <row r="2578" spans="3:24" ht="24.75" customHeight="1" x14ac:dyDescent="0.3">
      <c r="C2578" s="353">
        <f>ABS(E2578-Dashboard!$F$14)</f>
        <v>50.715934094399152</v>
      </c>
      <c r="D2578" s="350">
        <f t="shared" si="2643"/>
        <v>0.33054999999997886</v>
      </c>
      <c r="E2578" s="359" cm="1">
        <f t="array" ref="E2578">1000*SUM('DRE + DCF'!$L$36/M2578,'DRE + DCF'!$N$36:$V$36/N2578:V2578,F2578/V2578)/Dashboard!$F$11</f>
        <v>46.274065905600843</v>
      </c>
      <c r="F2578" s="359">
        <f t="shared" si="2641"/>
        <v>7860280.4757123142</v>
      </c>
      <c r="G2578" s="359">
        <f>'DRE + DCF'!$W$31</f>
        <v>2791623.3540418856</v>
      </c>
      <c r="H2578" s="359">
        <f>'DRE + DCF'!$W$32</f>
        <v>81081.931703745853</v>
      </c>
      <c r="I2578" s="359">
        <f>-H2578*('DRE + DCF'!$V$33+K2578)/'DRE + DCF'!$V$33</f>
        <v>-90858.801614444121</v>
      </c>
      <c r="J2578" s="359">
        <f>-'DRE + DCF'!$V$56*L2578</f>
        <v>-1188924.4255577971</v>
      </c>
      <c r="K2578" s="360">
        <f>(1+L2578)/(1+Ke!$O$12)-1</f>
        <v>2.0000000000000018E-2</v>
      </c>
      <c r="L2578" s="360">
        <f>'DRE + DCF'!$Y$31</f>
        <v>7.3550000000000004E-2</v>
      </c>
      <c r="M2578" s="361">
        <f>(1+D2578)^((5-Dashboard!$F$9)*3/12)</f>
        <v>1.2388633338109771</v>
      </c>
      <c r="N2578" s="361">
        <f t="shared" ref="N2578:V2578" si="2647">M2578*(1+$D2578)</f>
        <v>1.6483696088021693</v>
      </c>
      <c r="O2578" s="361">
        <f t="shared" si="2647"/>
        <v>2.1932381829916916</v>
      </c>
      <c r="P2578" s="361">
        <f t="shared" si="2647"/>
        <v>2.918213064379549</v>
      </c>
      <c r="Q2578" s="361">
        <f t="shared" si="2647"/>
        <v>3.882828392810147</v>
      </c>
      <c r="R2578" s="361">
        <f t="shared" si="2647"/>
        <v>5.1662973180534593</v>
      </c>
      <c r="S2578" s="361">
        <f t="shared" si="2647"/>
        <v>6.8740168965359203</v>
      </c>
      <c r="T2578" s="361">
        <f t="shared" si="2647"/>
        <v>9.1462231816857233</v>
      </c>
      <c r="U2578" s="361">
        <f t="shared" si="2647"/>
        <v>12.169507254391746</v>
      </c>
      <c r="V2578" s="362">
        <f t="shared" si="2647"/>
        <v>16.19213787733068</v>
      </c>
      <c r="X2578" s="351"/>
    </row>
    <row r="2579" spans="3:24" ht="24.75" customHeight="1" x14ac:dyDescent="0.3">
      <c r="C2579" s="353">
        <f>ABS(E2579-Dashboard!$F$14)</f>
        <v>50.737162490561154</v>
      </c>
      <c r="D2579" s="350">
        <f t="shared" si="2643"/>
        <v>0.33064999999997885</v>
      </c>
      <c r="E2579" s="359" cm="1">
        <f t="array" ref="E2579">1000*SUM('DRE + DCF'!$L$36/M2579,'DRE + DCF'!$N$36:$V$36/N2579:V2579,F2579/V2579)/Dashboard!$F$11</f>
        <v>46.252837509438841</v>
      </c>
      <c r="F2579" s="359">
        <f t="shared" si="2641"/>
        <v>7857615.4052584097</v>
      </c>
      <c r="G2579" s="359">
        <f>'DRE + DCF'!$W$31</f>
        <v>2791623.3540418856</v>
      </c>
      <c r="H2579" s="359">
        <f>'DRE + DCF'!$W$32</f>
        <v>81081.931703745853</v>
      </c>
      <c r="I2579" s="359">
        <f>-H2579*('DRE + DCF'!$V$33+K2579)/'DRE + DCF'!$V$33</f>
        <v>-90858.801614444121</v>
      </c>
      <c r="J2579" s="359">
        <f>-'DRE + DCF'!$V$56*L2579</f>
        <v>-1188924.4255577971</v>
      </c>
      <c r="K2579" s="360">
        <f>(1+L2579)/(1+Ke!$O$12)-1</f>
        <v>2.0000000000000018E-2</v>
      </c>
      <c r="L2579" s="360">
        <f>'DRE + DCF'!$Y$31</f>
        <v>7.3550000000000004E-2</v>
      </c>
      <c r="M2579" s="361">
        <f>(1+D2579)^((5-Dashboard!$F$9)*3/12)</f>
        <v>1.2389331649914401</v>
      </c>
      <c r="N2579" s="361">
        <f t="shared" ref="N2579:V2579" si="2648">M2579*(1+$D2579)</f>
        <v>1.6485864159958334</v>
      </c>
      <c r="O2579" s="361">
        <f t="shared" si="2648"/>
        <v>2.1936915144448208</v>
      </c>
      <c r="P2579" s="361">
        <f t="shared" si="2648"/>
        <v>2.9190356136959541</v>
      </c>
      <c r="Q2579" s="361">
        <f t="shared" si="2648"/>
        <v>3.8842147393644595</v>
      </c>
      <c r="R2579" s="361">
        <f t="shared" si="2648"/>
        <v>5.1685303429352354</v>
      </c>
      <c r="S2579" s="361">
        <f t="shared" si="2648"/>
        <v>6.8775049008266613</v>
      </c>
      <c r="T2579" s="361">
        <f t="shared" si="2648"/>
        <v>9.1515518962848503</v>
      </c>
      <c r="U2579" s="361">
        <f t="shared" si="2648"/>
        <v>12.177512530791242</v>
      </c>
      <c r="V2579" s="362">
        <f t="shared" si="2648"/>
        <v>16.204007049097108</v>
      </c>
      <c r="X2579" s="351"/>
    </row>
    <row r="2580" spans="3:24" ht="24.75" customHeight="1" x14ac:dyDescent="0.3">
      <c r="C2580" s="353">
        <f>ABS(E2580-Dashboard!$F$14)</f>
        <v>50.758373287030089</v>
      </c>
      <c r="D2580" s="350">
        <f t="shared" si="2643"/>
        <v>0.33074999999997884</v>
      </c>
      <c r="E2580" s="359" cm="1">
        <f t="array" ref="E2580">1000*SUM('DRE + DCF'!$L$36/M2580,'DRE + DCF'!$N$36:$V$36/N2580:V2580,F2580/V2580)/Dashboard!$F$11</f>
        <v>46.231626712969906</v>
      </c>
      <c r="F2580" s="359">
        <f t="shared" si="2641"/>
        <v>7854952.1701018196</v>
      </c>
      <c r="G2580" s="359">
        <f>'DRE + DCF'!$W$31</f>
        <v>2791623.3540418856</v>
      </c>
      <c r="H2580" s="359">
        <f>'DRE + DCF'!$W$32</f>
        <v>81081.931703745853</v>
      </c>
      <c r="I2580" s="359">
        <f>-H2580*('DRE + DCF'!$V$33+K2580)/'DRE + DCF'!$V$33</f>
        <v>-90858.801614444121</v>
      </c>
      <c r="J2580" s="359">
        <f>-'DRE + DCF'!$V$56*L2580</f>
        <v>-1188924.4255577971</v>
      </c>
      <c r="K2580" s="360">
        <f>(1+L2580)/(1+Ke!$O$12)-1</f>
        <v>2.0000000000000018E-2</v>
      </c>
      <c r="L2580" s="360">
        <f>'DRE + DCF'!$Y$31</f>
        <v>7.3550000000000004E-2</v>
      </c>
      <c r="M2580" s="361">
        <f>(1+D2580)^((5-Dashboard!$F$9)*3/12)</f>
        <v>1.2390029948599406</v>
      </c>
      <c r="N2580" s="361">
        <f t="shared" ref="N2580:V2580" si="2649">M2580*(1+$D2580)</f>
        <v>1.6488032354098396</v>
      </c>
      <c r="O2580" s="361">
        <f t="shared" si="2649"/>
        <v>2.1941449055216089</v>
      </c>
      <c r="P2580" s="361">
        <f t="shared" si="2649"/>
        <v>2.9198583330228347</v>
      </c>
      <c r="Q2580" s="361">
        <f t="shared" si="2649"/>
        <v>3.8856014766700753</v>
      </c>
      <c r="R2580" s="361">
        <f t="shared" si="2649"/>
        <v>5.1707641650786202</v>
      </c>
      <c r="S2580" s="361">
        <f t="shared" si="2649"/>
        <v>6.8809944126782643</v>
      </c>
      <c r="T2580" s="361">
        <f t="shared" si="2649"/>
        <v>9.1568833146714539</v>
      </c>
      <c r="U2580" s="361">
        <f t="shared" si="2649"/>
        <v>12.185522470998842</v>
      </c>
      <c r="V2580" s="362">
        <f t="shared" si="2649"/>
        <v>16.215884028281451</v>
      </c>
      <c r="X2580" s="351"/>
    </row>
    <row r="2581" spans="3:24" ht="24.75" customHeight="1" x14ac:dyDescent="0.3">
      <c r="C2581" s="353">
        <f>ABS(E2581-Dashboard!$F$14)</f>
        <v>50.779566504134564</v>
      </c>
      <c r="D2581" s="350">
        <f t="shared" si="2643"/>
        <v>0.33084999999997883</v>
      </c>
      <c r="E2581" s="359" cm="1">
        <f t="array" ref="E2581">1000*SUM('DRE + DCF'!$L$36/M2581,'DRE + DCF'!$N$36:$V$36/N2581:V2581,F2581/V2581)/Dashboard!$F$11</f>
        <v>46.210433495865431</v>
      </c>
      <c r="F2581" s="359">
        <f t="shared" si="2641"/>
        <v>7852290.768317556</v>
      </c>
      <c r="G2581" s="359">
        <f>'DRE + DCF'!$W$31</f>
        <v>2791623.3540418856</v>
      </c>
      <c r="H2581" s="359">
        <f>'DRE + DCF'!$W$32</f>
        <v>81081.931703745853</v>
      </c>
      <c r="I2581" s="359">
        <f>-H2581*('DRE + DCF'!$V$33+K2581)/'DRE + DCF'!$V$33</f>
        <v>-90858.801614444121</v>
      </c>
      <c r="J2581" s="359">
        <f>-'DRE + DCF'!$V$56*L2581</f>
        <v>-1188924.4255577971</v>
      </c>
      <c r="K2581" s="360">
        <f>(1+L2581)/(1+Ke!$O$12)-1</f>
        <v>2.0000000000000018E-2</v>
      </c>
      <c r="L2581" s="360">
        <f>'DRE + DCF'!$Y$31</f>
        <v>7.3550000000000004E-2</v>
      </c>
      <c r="M2581" s="361">
        <f>(1+D2581)^((5-Dashboard!$F$9)*3/12)</f>
        <v>1.2390728234166017</v>
      </c>
      <c r="N2581" s="361">
        <f t="shared" ref="N2581:V2581" si="2650">M2581*(1+$D2581)</f>
        <v>1.6490200670439581</v>
      </c>
      <c r="O2581" s="361">
        <f t="shared" si="2650"/>
        <v>2.1945983562254168</v>
      </c>
      <c r="P2581" s="361">
        <f t="shared" si="2650"/>
        <v>2.9206812223825493</v>
      </c>
      <c r="Q2581" s="361">
        <f t="shared" si="2650"/>
        <v>3.8869886048077538</v>
      </c>
      <c r="R2581" s="361">
        <f t="shared" si="2650"/>
        <v>5.1729987847083168</v>
      </c>
      <c r="S2581" s="361">
        <f t="shared" si="2650"/>
        <v>6.8844854326289537</v>
      </c>
      <c r="T2581" s="361">
        <f t="shared" si="2650"/>
        <v>9.1622174380140962</v>
      </c>
      <c r="U2581" s="361">
        <f t="shared" si="2650"/>
        <v>12.193537077380865</v>
      </c>
      <c r="V2581" s="362">
        <f t="shared" si="2650"/>
        <v>16.227768819432065</v>
      </c>
      <c r="X2581" s="351"/>
    </row>
    <row r="2582" spans="3:24" ht="24.75" customHeight="1" x14ac:dyDescent="0.3">
      <c r="C2582" s="353">
        <f>ABS(E2582-Dashboard!$F$14)</f>
        <v>50.800742162173187</v>
      </c>
      <c r="D2582" s="350">
        <f t="shared" si="2643"/>
        <v>0.33094999999997882</v>
      </c>
      <c r="E2582" s="359" cm="1">
        <f t="array" ref="E2582">1000*SUM('DRE + DCF'!$L$36/M2582,'DRE + DCF'!$N$36:$V$36/N2582:V2582,F2582/V2582)/Dashboard!$F$11</f>
        <v>46.189257837826808</v>
      </c>
      <c r="F2582" s="359">
        <f t="shared" si="2641"/>
        <v>7849631.1979833674</v>
      </c>
      <c r="G2582" s="359">
        <f>'DRE + DCF'!$W$31</f>
        <v>2791623.3540418856</v>
      </c>
      <c r="H2582" s="359">
        <f>'DRE + DCF'!$W$32</f>
        <v>81081.931703745853</v>
      </c>
      <c r="I2582" s="359">
        <f>-H2582*('DRE + DCF'!$V$33+K2582)/'DRE + DCF'!$V$33</f>
        <v>-90858.801614444121</v>
      </c>
      <c r="J2582" s="359">
        <f>-'DRE + DCF'!$V$56*L2582</f>
        <v>-1188924.4255577971</v>
      </c>
      <c r="K2582" s="360">
        <f>(1+L2582)/(1+Ke!$O$12)-1</f>
        <v>2.0000000000000018E-2</v>
      </c>
      <c r="L2582" s="360">
        <f>'DRE + DCF'!$Y$31</f>
        <v>7.3550000000000004E-2</v>
      </c>
      <c r="M2582" s="361">
        <f>(1+D2582)^((5-Dashboard!$F$9)*3/12)</f>
        <v>1.2391426506615464</v>
      </c>
      <c r="N2582" s="361">
        <f t="shared" ref="N2582:V2582" si="2651">M2582*(1+$D2582)</f>
        <v>1.6492369108979588</v>
      </c>
      <c r="O2582" s="361">
        <f t="shared" si="2651"/>
        <v>2.195051866559603</v>
      </c>
      <c r="P2582" s="361">
        <f t="shared" si="2651"/>
        <v>2.921504281797457</v>
      </c>
      <c r="Q2582" s="361">
        <f t="shared" si="2651"/>
        <v>3.8883761238582633</v>
      </c>
      <c r="R2582" s="361">
        <f t="shared" si="2651"/>
        <v>5.1752342020490731</v>
      </c>
      <c r="S2582" s="361">
        <f t="shared" si="2651"/>
        <v>6.8879779612171044</v>
      </c>
      <c r="T2582" s="361">
        <f t="shared" si="2651"/>
        <v>9.1675542674817585</v>
      </c>
      <c r="U2582" s="361">
        <f t="shared" si="2651"/>
        <v>12.201556352304651</v>
      </c>
      <c r="V2582" s="362">
        <f t="shared" si="2651"/>
        <v>16.239661427099616</v>
      </c>
      <c r="X2582" s="351"/>
    </row>
    <row r="2583" spans="3:24" ht="24.75" customHeight="1" x14ac:dyDescent="0.3">
      <c r="C2583" s="353">
        <f>ABS(E2583-Dashboard!$F$14)</f>
        <v>50.821900281414742</v>
      </c>
      <c r="D2583" s="350">
        <f t="shared" si="2643"/>
        <v>0.33104999999997881</v>
      </c>
      <c r="E2583" s="359" cm="1">
        <f t="array" ref="E2583">1000*SUM('DRE + DCF'!$L$36/M2583,'DRE + DCF'!$N$36:$V$36/N2583:V2583,F2583/V2583)/Dashboard!$F$11</f>
        <v>46.168099718585253</v>
      </c>
      <c r="F2583" s="359">
        <f t="shared" si="2641"/>
        <v>7846973.4571797205</v>
      </c>
      <c r="G2583" s="359">
        <f>'DRE + DCF'!$W$31</f>
        <v>2791623.3540418856</v>
      </c>
      <c r="H2583" s="359">
        <f>'DRE + DCF'!$W$32</f>
        <v>81081.931703745853</v>
      </c>
      <c r="I2583" s="359">
        <f>-H2583*('DRE + DCF'!$V$33+K2583)/'DRE + DCF'!$V$33</f>
        <v>-90858.801614444121</v>
      </c>
      <c r="J2583" s="359">
        <f>-'DRE + DCF'!$V$56*L2583</f>
        <v>-1188924.4255577971</v>
      </c>
      <c r="K2583" s="360">
        <f>(1+L2583)/(1+Ke!$O$12)-1</f>
        <v>2.0000000000000018E-2</v>
      </c>
      <c r="L2583" s="360">
        <f>'DRE + DCF'!$Y$31</f>
        <v>7.3550000000000004E-2</v>
      </c>
      <c r="M2583" s="361">
        <f>(1+D2583)^((5-Dashboard!$F$9)*3/12)</f>
        <v>1.2392124765948982</v>
      </c>
      <c r="N2583" s="361">
        <f t="shared" ref="N2583:V2583" si="2652">M2583*(1+$D2583)</f>
        <v>1.6494537669716129</v>
      </c>
      <c r="O2583" s="361">
        <f t="shared" si="2652"/>
        <v>2.1955054365275304</v>
      </c>
      <c r="P2583" s="361">
        <f t="shared" si="2652"/>
        <v>2.9223275112899225</v>
      </c>
      <c r="Q2583" s="361">
        <f t="shared" si="2652"/>
        <v>3.8897640339023893</v>
      </c>
      <c r="R2583" s="361">
        <f t="shared" si="2652"/>
        <v>5.1774704173256927</v>
      </c>
      <c r="S2583" s="361">
        <f t="shared" si="2652"/>
        <v>6.8914719989812534</v>
      </c>
      <c r="T2583" s="361">
        <f t="shared" si="2652"/>
        <v>9.1728938042438504</v>
      </c>
      <c r="U2583" s="361">
        <f t="shared" si="2652"/>
        <v>12.209580298138581</v>
      </c>
      <c r="V2583" s="362">
        <f t="shared" si="2652"/>
        <v>16.2515618558371</v>
      </c>
      <c r="X2583" s="351"/>
    </row>
    <row r="2584" spans="3:24" ht="24.75" customHeight="1" x14ac:dyDescent="0.3">
      <c r="C2584" s="353">
        <f>ABS(E2584-Dashboard!$F$14)</f>
        <v>50.843040882098144</v>
      </c>
      <c r="D2584" s="350">
        <f t="shared" si="2643"/>
        <v>0.33114999999997879</v>
      </c>
      <c r="E2584" s="359" cm="1">
        <f t="array" ref="E2584">1000*SUM('DRE + DCF'!$L$36/M2584,'DRE + DCF'!$N$36:$V$36/N2584:V2584,F2584/V2584)/Dashboard!$F$11</f>
        <v>46.146959117901851</v>
      </c>
      <c r="F2584" s="359">
        <f t="shared" si="2641"/>
        <v>7844317.5439898092</v>
      </c>
      <c r="G2584" s="359">
        <f>'DRE + DCF'!$W$31</f>
        <v>2791623.3540418856</v>
      </c>
      <c r="H2584" s="359">
        <f>'DRE + DCF'!$W$32</f>
        <v>81081.931703745853</v>
      </c>
      <c r="I2584" s="359">
        <f>-H2584*('DRE + DCF'!$V$33+K2584)/'DRE + DCF'!$V$33</f>
        <v>-90858.801614444121</v>
      </c>
      <c r="J2584" s="359">
        <f>-'DRE + DCF'!$V$56*L2584</f>
        <v>-1188924.4255577971</v>
      </c>
      <c r="K2584" s="360">
        <f>(1+L2584)/(1+Ke!$O$12)-1</f>
        <v>2.0000000000000018E-2</v>
      </c>
      <c r="L2584" s="360">
        <f>'DRE + DCF'!$Y$31</f>
        <v>7.3550000000000004E-2</v>
      </c>
      <c r="M2584" s="361">
        <f>(1+D2584)^((5-Dashboard!$F$9)*3/12)</f>
        <v>1.2392823012167802</v>
      </c>
      <c r="N2584" s="361">
        <f t="shared" ref="N2584:V2584" si="2653">M2584*(1+$D2584)</f>
        <v>1.6496706352646906</v>
      </c>
      <c r="O2584" s="361">
        <f t="shared" si="2653"/>
        <v>2.1959590661325579</v>
      </c>
      <c r="P2584" s="361">
        <f t="shared" si="2653"/>
        <v>2.9231509108823079</v>
      </c>
      <c r="Q2584" s="361">
        <f t="shared" si="2653"/>
        <v>3.8911523350209221</v>
      </c>
      <c r="R2584" s="361">
        <f t="shared" si="2653"/>
        <v>5.1797074307630178</v>
      </c>
      <c r="S2584" s="361">
        <f t="shared" si="2653"/>
        <v>6.894967546460081</v>
      </c>
      <c r="T2584" s="361">
        <f t="shared" si="2653"/>
        <v>9.1782360494701898</v>
      </c>
      <c r="U2584" s="361">
        <f t="shared" si="2653"/>
        <v>12.217608917252049</v>
      </c>
      <c r="V2584" s="362">
        <f t="shared" si="2653"/>
        <v>16.263470110199805</v>
      </c>
      <c r="X2584" s="351"/>
    </row>
    <row r="2585" spans="3:24" ht="24.75" customHeight="1" x14ac:dyDescent="0.3">
      <c r="C2585" s="353">
        <f>ABS(E2585-Dashboard!$F$14)</f>
        <v>50.864163984432423</v>
      </c>
      <c r="D2585" s="350">
        <f t="shared" si="2643"/>
        <v>0.33124999999997878</v>
      </c>
      <c r="E2585" s="359" cm="1">
        <f t="array" ref="E2585">1000*SUM('DRE + DCF'!$L$36/M2585,'DRE + DCF'!$N$36:$V$36/N2585:V2585,F2585/V2585)/Dashboard!$F$11</f>
        <v>46.125836015567572</v>
      </c>
      <c r="F2585" s="359">
        <f t="shared" si="2641"/>
        <v>7841663.4564995496</v>
      </c>
      <c r="G2585" s="359">
        <f>'DRE + DCF'!$W$31</f>
        <v>2791623.3540418856</v>
      </c>
      <c r="H2585" s="359">
        <f>'DRE + DCF'!$W$32</f>
        <v>81081.931703745853</v>
      </c>
      <c r="I2585" s="359">
        <f>-H2585*('DRE + DCF'!$V$33+K2585)/'DRE + DCF'!$V$33</f>
        <v>-90858.801614444121</v>
      </c>
      <c r="J2585" s="359">
        <f>-'DRE + DCF'!$V$56*L2585</f>
        <v>-1188924.4255577971</v>
      </c>
      <c r="K2585" s="360">
        <f>(1+L2585)/(1+Ke!$O$12)-1</f>
        <v>2.0000000000000018E-2</v>
      </c>
      <c r="L2585" s="360">
        <f>'DRE + DCF'!$Y$31</f>
        <v>7.3550000000000004E-2</v>
      </c>
      <c r="M2585" s="361">
        <f>(1+D2585)^((5-Dashboard!$F$9)*3/12)</f>
        <v>1.2393521245273154</v>
      </c>
      <c r="N2585" s="361">
        <f t="shared" ref="N2585:V2585" si="2654">M2585*(1+$D2585)</f>
        <v>1.6498875157769621</v>
      </c>
      <c r="O2585" s="361">
        <f t="shared" si="2654"/>
        <v>2.1964127553780459</v>
      </c>
      <c r="P2585" s="361">
        <f t="shared" si="2654"/>
        <v>2.9239744805969767</v>
      </c>
      <c r="Q2585" s="361">
        <f t="shared" si="2654"/>
        <v>3.892541027294663</v>
      </c>
      <c r="R2585" s="361">
        <f t="shared" si="2654"/>
        <v>5.1819452425859369</v>
      </c>
      <c r="S2585" s="361">
        <f t="shared" si="2654"/>
        <v>6.8984646041924185</v>
      </c>
      <c r="T2585" s="361">
        <f t="shared" si="2654"/>
        <v>9.1835810043310104</v>
      </c>
      <c r="U2585" s="361">
        <f t="shared" si="2654"/>
        <v>12.225642212015462</v>
      </c>
      <c r="V2585" s="362">
        <f t="shared" si="2654"/>
        <v>16.275386194745323</v>
      </c>
      <c r="X2585" s="351"/>
    </row>
    <row r="2586" spans="3:24" ht="24.75" customHeight="1" x14ac:dyDescent="0.3">
      <c r="C2586" s="353">
        <f>ABS(E2586-Dashboard!$F$14)</f>
        <v>50.885269608596992</v>
      </c>
      <c r="D2586" s="350">
        <f t="shared" si="2643"/>
        <v>0.33134999999997877</v>
      </c>
      <c r="E2586" s="359" cm="1">
        <f t="array" ref="E2586">1000*SUM('DRE + DCF'!$L$36/M2586,'DRE + DCF'!$N$36:$V$36/N2586:V2586,F2586/V2586)/Dashboard!$F$11</f>
        <v>46.104730391403002</v>
      </c>
      <c r="F2586" s="359">
        <f t="shared" si="2641"/>
        <v>7839011.1927975584</v>
      </c>
      <c r="G2586" s="359">
        <f>'DRE + DCF'!$W$31</f>
        <v>2791623.3540418856</v>
      </c>
      <c r="H2586" s="359">
        <f>'DRE + DCF'!$W$32</f>
        <v>81081.931703745853</v>
      </c>
      <c r="I2586" s="359">
        <f>-H2586*('DRE + DCF'!$V$33+K2586)/'DRE + DCF'!$V$33</f>
        <v>-90858.801614444121</v>
      </c>
      <c r="J2586" s="359">
        <f>-'DRE + DCF'!$V$56*L2586</f>
        <v>-1188924.4255577971</v>
      </c>
      <c r="K2586" s="360">
        <f>(1+L2586)/(1+Ke!$O$12)-1</f>
        <v>2.0000000000000018E-2</v>
      </c>
      <c r="L2586" s="360">
        <f>'DRE + DCF'!$Y$31</f>
        <v>7.3550000000000004E-2</v>
      </c>
      <c r="M2586" s="361">
        <f>(1+D2586)^((5-Dashboard!$F$9)*3/12)</f>
        <v>1.2394219465266272</v>
      </c>
      <c r="N2586" s="361">
        <f t="shared" ref="N2586:V2586" si="2655">M2586*(1+$D2586)</f>
        <v>1.6501044085081986</v>
      </c>
      <c r="O2586" s="361">
        <f t="shared" si="2655"/>
        <v>2.196866504267355</v>
      </c>
      <c r="P2586" s="361">
        <f t="shared" si="2655"/>
        <v>2.9247982204562963</v>
      </c>
      <c r="Q2586" s="361">
        <f t="shared" si="2655"/>
        <v>3.893930110804428</v>
      </c>
      <c r="R2586" s="361">
        <f t="shared" si="2655"/>
        <v>5.184183853019392</v>
      </c>
      <c r="S2586" s="361">
        <f t="shared" si="2655"/>
        <v>6.9019631727172568</v>
      </c>
      <c r="T2586" s="361">
        <f t="shared" si="2655"/>
        <v>9.1889286699969723</v>
      </c>
      <c r="U2586" s="361">
        <f t="shared" si="2655"/>
        <v>12.233680184800274</v>
      </c>
      <c r="V2586" s="362">
        <f t="shared" si="2655"/>
        <v>16.287310114033584</v>
      </c>
      <c r="X2586" s="351"/>
    </row>
    <row r="2587" spans="3:24" ht="24.75" customHeight="1" x14ac:dyDescent="0.3">
      <c r="C2587" s="353">
        <f>ABS(E2587-Dashboard!$F$14)</f>
        <v>50.906357774741508</v>
      </c>
      <c r="D2587" s="350">
        <f t="shared" si="2643"/>
        <v>0.33144999999997876</v>
      </c>
      <c r="E2587" s="359" cm="1">
        <f t="array" ref="E2587">1000*SUM('DRE + DCF'!$L$36/M2587,'DRE + DCF'!$N$36:$V$36/N2587:V2587,F2587/V2587)/Dashboard!$F$11</f>
        <v>46.083642225258487</v>
      </c>
      <c r="F2587" s="359">
        <f t="shared" si="2641"/>
        <v>7836360.7509751674</v>
      </c>
      <c r="G2587" s="359">
        <f>'DRE + DCF'!$W$31</f>
        <v>2791623.3540418856</v>
      </c>
      <c r="H2587" s="359">
        <f>'DRE + DCF'!$W$32</f>
        <v>81081.931703745853</v>
      </c>
      <c r="I2587" s="359">
        <f>-H2587*('DRE + DCF'!$V$33+K2587)/'DRE + DCF'!$V$33</f>
        <v>-90858.801614444121</v>
      </c>
      <c r="J2587" s="359">
        <f>-'DRE + DCF'!$V$56*L2587</f>
        <v>-1188924.4255577971</v>
      </c>
      <c r="K2587" s="360">
        <f>(1+L2587)/(1+Ke!$O$12)-1</f>
        <v>2.0000000000000018E-2</v>
      </c>
      <c r="L2587" s="360">
        <f>'DRE + DCF'!$Y$31</f>
        <v>7.3550000000000004E-2</v>
      </c>
      <c r="M2587" s="361">
        <f>(1+D2587)^((5-Dashboard!$F$9)*3/12)</f>
        <v>1.2394917672148382</v>
      </c>
      <c r="N2587" s="361">
        <f t="shared" ref="N2587:V2587" si="2656">M2587*(1+$D2587)</f>
        <v>1.65032131345817</v>
      </c>
      <c r="O2587" s="361">
        <f t="shared" si="2656"/>
        <v>2.1973203128038454</v>
      </c>
      <c r="P2587" s="361">
        <f t="shared" si="2656"/>
        <v>2.9256221304826333</v>
      </c>
      <c r="Q2587" s="361">
        <f t="shared" si="2656"/>
        <v>3.8953195856310399</v>
      </c>
      <c r="R2587" s="361">
        <f t="shared" si="2656"/>
        <v>5.1864232622883648</v>
      </c>
      <c r="S2587" s="361">
        <f t="shared" si="2656"/>
        <v>6.9054632525737327</v>
      </c>
      <c r="T2587" s="361">
        <f t="shared" si="2656"/>
        <v>9.1942790476391494</v>
      </c>
      <c r="U2587" s="361">
        <f t="shared" si="2656"/>
        <v>12.24172283797895</v>
      </c>
      <c r="V2587" s="362">
        <f t="shared" si="2656"/>
        <v>16.299241872626812</v>
      </c>
      <c r="X2587" s="351"/>
    </row>
    <row r="2588" spans="3:24" ht="24.75" customHeight="1" x14ac:dyDescent="0.3">
      <c r="C2588" s="353">
        <f>ABS(E2588-Dashboard!$F$14)</f>
        <v>50.927428502985975</v>
      </c>
      <c r="D2588" s="350">
        <f t="shared" si="2643"/>
        <v>0.33154999999997875</v>
      </c>
      <c r="E2588" s="359" cm="1">
        <f t="array" ref="E2588">1000*SUM('DRE + DCF'!$L$36/M2588,'DRE + DCF'!$N$36:$V$36/N2588:V2588,F2588/V2588)/Dashboard!$F$11</f>
        <v>46.062571497014019</v>
      </c>
      <c r="F2588" s="359">
        <f t="shared" si="2641"/>
        <v>7833712.1291264091</v>
      </c>
      <c r="G2588" s="359">
        <f>'DRE + DCF'!$W$31</f>
        <v>2791623.3540418856</v>
      </c>
      <c r="H2588" s="359">
        <f>'DRE + DCF'!$W$32</f>
        <v>81081.931703745853</v>
      </c>
      <c r="I2588" s="359">
        <f>-H2588*('DRE + DCF'!$V$33+K2588)/'DRE + DCF'!$V$33</f>
        <v>-90858.801614444121</v>
      </c>
      <c r="J2588" s="359">
        <f>-'DRE + DCF'!$V$56*L2588</f>
        <v>-1188924.4255577971</v>
      </c>
      <c r="K2588" s="360">
        <f>(1+L2588)/(1+Ke!$O$12)-1</f>
        <v>2.0000000000000018E-2</v>
      </c>
      <c r="L2588" s="360">
        <f>'DRE + DCF'!$Y$31</f>
        <v>7.3550000000000004E-2</v>
      </c>
      <c r="M2588" s="361">
        <f>(1+D2588)^((5-Dashboard!$F$9)*3/12)</f>
        <v>1.2395615865920722</v>
      </c>
      <c r="N2588" s="361">
        <f t="shared" ref="N2588:V2588" si="2657">M2588*(1+$D2588)</f>
        <v>1.6505382306266472</v>
      </c>
      <c r="O2588" s="361">
        <f t="shared" si="2657"/>
        <v>2.1977741809908768</v>
      </c>
      <c r="P2588" s="361">
        <f t="shared" si="2657"/>
        <v>2.9264462106983551</v>
      </c>
      <c r="Q2588" s="361">
        <f t="shared" si="2657"/>
        <v>3.8967094518553322</v>
      </c>
      <c r="R2588" s="361">
        <f t="shared" si="2657"/>
        <v>5.1886634706178842</v>
      </c>
      <c r="S2588" s="361">
        <f t="shared" si="2657"/>
        <v>6.9089648443011331</v>
      </c>
      <c r="T2588" s="361">
        <f t="shared" si="2657"/>
        <v>9.1996321384290258</v>
      </c>
      <c r="U2588" s="361">
        <f t="shared" si="2657"/>
        <v>12.249770173924974</v>
      </c>
      <c r="V2588" s="362">
        <f t="shared" si="2657"/>
        <v>16.311181475089537</v>
      </c>
      <c r="X2588" s="351"/>
    </row>
    <row r="2589" spans="3:24" ht="24.75" customHeight="1" x14ac:dyDescent="0.3">
      <c r="C2589" s="353">
        <f>ABS(E2589-Dashboard!$F$14)</f>
        <v>50.948481813420848</v>
      </c>
      <c r="D2589" s="350">
        <f t="shared" si="2643"/>
        <v>0.33164999999997874</v>
      </c>
      <c r="E2589" s="359" cm="1">
        <f t="array" ref="E2589">1000*SUM('DRE + DCF'!$L$36/M2589,'DRE + DCF'!$N$36:$V$36/N2589:V2589,F2589/V2589)/Dashboard!$F$11</f>
        <v>46.041518186579147</v>
      </c>
      <c r="F2589" s="359">
        <f t="shared" si="2641"/>
        <v>7831065.3253480149</v>
      </c>
      <c r="G2589" s="359">
        <f>'DRE + DCF'!$W$31</f>
        <v>2791623.3540418856</v>
      </c>
      <c r="H2589" s="359">
        <f>'DRE + DCF'!$W$32</f>
        <v>81081.931703745853</v>
      </c>
      <c r="I2589" s="359">
        <f>-H2589*('DRE + DCF'!$V$33+K2589)/'DRE + DCF'!$V$33</f>
        <v>-90858.801614444121</v>
      </c>
      <c r="J2589" s="359">
        <f>-'DRE + DCF'!$V$56*L2589</f>
        <v>-1188924.4255577971</v>
      </c>
      <c r="K2589" s="360">
        <f>(1+L2589)/(1+Ke!$O$12)-1</f>
        <v>2.0000000000000018E-2</v>
      </c>
      <c r="L2589" s="360">
        <f>'DRE + DCF'!$Y$31</f>
        <v>7.3550000000000004E-2</v>
      </c>
      <c r="M2589" s="361">
        <f>(1+D2589)^((5-Dashboard!$F$9)*3/12)</f>
        <v>1.2396314046584518</v>
      </c>
      <c r="N2589" s="361">
        <f t="shared" ref="N2589:V2589" si="2658">M2589*(1+$D2589)</f>
        <v>1.6507551600134009</v>
      </c>
      <c r="O2589" s="361">
        <f t="shared" si="2658"/>
        <v>2.1982281088318101</v>
      </c>
      <c r="P2589" s="361">
        <f t="shared" si="2658"/>
        <v>2.9272704611258331</v>
      </c>
      <c r="Q2589" s="361">
        <f t="shared" si="2658"/>
        <v>3.8980997095581533</v>
      </c>
      <c r="R2589" s="361">
        <f t="shared" si="2658"/>
        <v>5.1909044782330316</v>
      </c>
      <c r="S2589" s="361">
        <f t="shared" si="2658"/>
        <v>6.9124679484389056</v>
      </c>
      <c r="T2589" s="361">
        <f t="shared" si="2658"/>
        <v>9.2049879435385211</v>
      </c>
      <c r="U2589" s="361">
        <f t="shared" si="2658"/>
        <v>12.257822195012876</v>
      </c>
      <c r="V2589" s="362">
        <f t="shared" si="2658"/>
        <v>16.323128925988634</v>
      </c>
      <c r="X2589" s="351"/>
    </row>
    <row r="2590" spans="3:24" ht="24.75" customHeight="1" x14ac:dyDescent="0.3">
      <c r="C2590" s="353">
        <f>ABS(E2590-Dashboard!$F$14)</f>
        <v>50.96951772610705</v>
      </c>
      <c r="D2590" s="350">
        <f t="shared" si="2643"/>
        <v>0.33174999999997873</v>
      </c>
      <c r="E2590" s="359" cm="1">
        <f t="array" ref="E2590">1000*SUM('DRE + DCF'!$L$36/M2590,'DRE + DCF'!$N$36:$V$36/N2590:V2590,F2590/V2590)/Dashboard!$F$11</f>
        <v>46.020482273892945</v>
      </c>
      <c r="F2590" s="359">
        <f t="shared" si="2641"/>
        <v>7828420.3377394071</v>
      </c>
      <c r="G2590" s="359">
        <f>'DRE + DCF'!$W$31</f>
        <v>2791623.3540418856</v>
      </c>
      <c r="H2590" s="359">
        <f>'DRE + DCF'!$W$32</f>
        <v>81081.931703745853</v>
      </c>
      <c r="I2590" s="359">
        <f>-H2590*('DRE + DCF'!$V$33+K2590)/'DRE + DCF'!$V$33</f>
        <v>-90858.801614444121</v>
      </c>
      <c r="J2590" s="359">
        <f>-'DRE + DCF'!$V$56*L2590</f>
        <v>-1188924.4255577971</v>
      </c>
      <c r="K2590" s="360">
        <f>(1+L2590)/(1+Ke!$O$12)-1</f>
        <v>2.0000000000000018E-2</v>
      </c>
      <c r="L2590" s="360">
        <f>'DRE + DCF'!$Y$31</f>
        <v>7.3550000000000004E-2</v>
      </c>
      <c r="M2590" s="361">
        <f>(1+D2590)^((5-Dashboard!$F$9)*3/12)</f>
        <v>1.2397012214141001</v>
      </c>
      <c r="N2590" s="361">
        <f t="shared" ref="N2590:V2590" si="2659">M2590*(1+$D2590)</f>
        <v>1.6509721016182013</v>
      </c>
      <c r="O2590" s="361">
        <f t="shared" si="2659"/>
        <v>2.1986820963300042</v>
      </c>
      <c r="P2590" s="361">
        <f t="shared" si="2659"/>
        <v>2.9280948817874362</v>
      </c>
      <c r="Q2590" s="361">
        <f t="shared" si="2659"/>
        <v>3.8994903588203558</v>
      </c>
      <c r="R2590" s="361">
        <f t="shared" si="2659"/>
        <v>5.1931462853589254</v>
      </c>
      <c r="S2590" s="361">
        <f t="shared" si="2659"/>
        <v>6.915972565526638</v>
      </c>
      <c r="T2590" s="361">
        <f t="shared" si="2659"/>
        <v>9.2103464641399526</v>
      </c>
      <c r="U2590" s="361">
        <f t="shared" si="2659"/>
        <v>12.265878903618185</v>
      </c>
      <c r="V2590" s="362">
        <f t="shared" si="2659"/>
        <v>16.335084229893258</v>
      </c>
      <c r="X2590" s="351"/>
    </row>
    <row r="2591" spans="3:24" ht="24.75" customHeight="1" x14ac:dyDescent="0.3">
      <c r="C2591" s="353">
        <f>ABS(E2591-Dashboard!$F$14)</f>
        <v>50.990536261076002</v>
      </c>
      <c r="D2591" s="350">
        <f t="shared" si="2643"/>
        <v>0.33184999999997872</v>
      </c>
      <c r="E2591" s="359" cm="1">
        <f t="array" ref="E2591">1000*SUM('DRE + DCF'!$L$36/M2591,'DRE + DCF'!$N$36:$V$36/N2591:V2591,F2591/V2591)/Dashboard!$F$11</f>
        <v>45.999463738923993</v>
      </c>
      <c r="F2591" s="359">
        <f t="shared" si="2641"/>
        <v>7825777.1644026972</v>
      </c>
      <c r="G2591" s="359">
        <f>'DRE + DCF'!$W$31</f>
        <v>2791623.3540418856</v>
      </c>
      <c r="H2591" s="359">
        <f>'DRE + DCF'!$W$32</f>
        <v>81081.931703745853</v>
      </c>
      <c r="I2591" s="359">
        <f>-H2591*('DRE + DCF'!$V$33+K2591)/'DRE + DCF'!$V$33</f>
        <v>-90858.801614444121</v>
      </c>
      <c r="J2591" s="359">
        <f>-'DRE + DCF'!$V$56*L2591</f>
        <v>-1188924.4255577971</v>
      </c>
      <c r="K2591" s="360">
        <f>(1+L2591)/(1+Ke!$O$12)-1</f>
        <v>2.0000000000000018E-2</v>
      </c>
      <c r="L2591" s="360">
        <f>'DRE + DCF'!$Y$31</f>
        <v>7.3550000000000004E-2</v>
      </c>
      <c r="M2591" s="361">
        <f>(1+D2591)^((5-Dashboard!$F$9)*3/12)</f>
        <v>1.2397710368591401</v>
      </c>
      <c r="N2591" s="361">
        <f t="shared" ref="N2591:V2591" si="2660">M2591*(1+$D2591)</f>
        <v>1.6511890554408193</v>
      </c>
      <c r="O2591" s="361">
        <f t="shared" si="2660"/>
        <v>2.1991361434888201</v>
      </c>
      <c r="P2591" s="361">
        <f t="shared" si="2660"/>
        <v>2.9289194727055383</v>
      </c>
      <c r="Q2591" s="361">
        <f t="shared" si="2660"/>
        <v>3.9008813997228087</v>
      </c>
      <c r="R2591" s="361">
        <f t="shared" si="2660"/>
        <v>5.1953888922207394</v>
      </c>
      <c r="S2591" s="361">
        <f t="shared" si="2660"/>
        <v>6.9194786961040808</v>
      </c>
      <c r="T2591" s="361">
        <f t="shared" si="2660"/>
        <v>9.2157077014060729</v>
      </c>
      <c r="U2591" s="361">
        <f t="shared" si="2660"/>
        <v>12.273940302117481</v>
      </c>
      <c r="V2591" s="362">
        <f t="shared" si="2660"/>
        <v>16.347047391374904</v>
      </c>
      <c r="X2591" s="351"/>
    </row>
    <row r="2592" spans="3:24" ht="24.75" customHeight="1" x14ac:dyDescent="0.3">
      <c r="C2592" s="353">
        <f>ABS(E2592-Dashboard!$F$14)</f>
        <v>51.011537438329711</v>
      </c>
      <c r="D2592" s="350">
        <f t="shared" si="2643"/>
        <v>0.33194999999997871</v>
      </c>
      <c r="E2592" s="359" cm="1">
        <f t="array" ref="E2592">1000*SUM('DRE + DCF'!$L$36/M2592,'DRE + DCF'!$N$36:$V$36/N2592:V2592,F2592/V2592)/Dashboard!$F$11</f>
        <v>45.978462561670284</v>
      </c>
      <c r="F2592" s="359">
        <f t="shared" si="2641"/>
        <v>7823135.8034426793</v>
      </c>
      <c r="G2592" s="359">
        <f>'DRE + DCF'!$W$31</f>
        <v>2791623.3540418856</v>
      </c>
      <c r="H2592" s="359">
        <f>'DRE + DCF'!$W$32</f>
        <v>81081.931703745853</v>
      </c>
      <c r="I2592" s="359">
        <f>-H2592*('DRE + DCF'!$V$33+K2592)/'DRE + DCF'!$V$33</f>
        <v>-90858.801614444121</v>
      </c>
      <c r="J2592" s="359">
        <f>-'DRE + DCF'!$V$56*L2592</f>
        <v>-1188924.4255577971</v>
      </c>
      <c r="K2592" s="360">
        <f>(1+L2592)/(1+Ke!$O$12)-1</f>
        <v>2.0000000000000018E-2</v>
      </c>
      <c r="L2592" s="360">
        <f>'DRE + DCF'!$Y$31</f>
        <v>7.3550000000000004E-2</v>
      </c>
      <c r="M2592" s="361">
        <f>(1+D2592)^((5-Dashboard!$F$9)*3/12)</f>
        <v>1.2398408509936949</v>
      </c>
      <c r="N2592" s="361">
        <f t="shared" ref="N2592:V2592" si="2661">M2592*(1+$D2592)</f>
        <v>1.6514060214810256</v>
      </c>
      <c r="O2592" s="361">
        <f t="shared" si="2661"/>
        <v>2.1995902503116169</v>
      </c>
      <c r="P2592" s="361">
        <f t="shared" si="2661"/>
        <v>2.929744233902511</v>
      </c>
      <c r="Q2592" s="361">
        <f t="shared" si="2661"/>
        <v>3.9022728323463869</v>
      </c>
      <c r="R2592" s="361">
        <f t="shared" si="2661"/>
        <v>5.1976322990436863</v>
      </c>
      <c r="S2592" s="361">
        <f t="shared" si="2661"/>
        <v>6.9229863407111267</v>
      </c>
      <c r="T2592" s="361">
        <f t="shared" si="2661"/>
        <v>9.2210716565100377</v>
      </c>
      <c r="U2592" s="361">
        <f t="shared" si="2661"/>
        <v>12.282006392888349</v>
      </c>
      <c r="V2592" s="362">
        <f t="shared" si="2661"/>
        <v>16.359018415007373</v>
      </c>
      <c r="X2592" s="351"/>
    </row>
    <row r="2593" spans="3:24" ht="24.75" customHeight="1" x14ac:dyDescent="0.3">
      <c r="C2593" s="353">
        <f>ABS(E2593-Dashboard!$F$14)</f>
        <v>51.032521277840829</v>
      </c>
      <c r="D2593" s="350">
        <f t="shared" si="2643"/>
        <v>0.3320499999999787</v>
      </c>
      <c r="E2593" s="359" cm="1">
        <f t="array" ref="E2593">1000*SUM('DRE + DCF'!$L$36/M2593,'DRE + DCF'!$N$36:$V$36/N2593:V2593,F2593/V2593)/Dashboard!$F$11</f>
        <v>45.957478722159166</v>
      </c>
      <c r="F2593" s="359">
        <f t="shared" si="2641"/>
        <v>7820496.2529668249</v>
      </c>
      <c r="G2593" s="359">
        <f>'DRE + DCF'!$W$31</f>
        <v>2791623.3540418856</v>
      </c>
      <c r="H2593" s="359">
        <f>'DRE + DCF'!$W$32</f>
        <v>81081.931703745853</v>
      </c>
      <c r="I2593" s="359">
        <f>-H2593*('DRE + DCF'!$V$33+K2593)/'DRE + DCF'!$V$33</f>
        <v>-90858.801614444121</v>
      </c>
      <c r="J2593" s="359">
        <f>-'DRE + DCF'!$V$56*L2593</f>
        <v>-1188924.4255577971</v>
      </c>
      <c r="K2593" s="360">
        <f>(1+L2593)/(1+Ke!$O$12)-1</f>
        <v>2.0000000000000018E-2</v>
      </c>
      <c r="L2593" s="360">
        <f>'DRE + DCF'!$Y$31</f>
        <v>7.3550000000000004E-2</v>
      </c>
      <c r="M2593" s="361">
        <f>(1+D2593)^((5-Dashboard!$F$9)*3/12)</f>
        <v>1.2399106638178876</v>
      </c>
      <c r="N2593" s="361">
        <f t="shared" ref="N2593:V2593" si="2662">M2593*(1+$D2593)</f>
        <v>1.6516229997385907</v>
      </c>
      <c r="O2593" s="361">
        <f t="shared" si="2662"/>
        <v>2.2000444168017546</v>
      </c>
      <c r="P2593" s="361">
        <f t="shared" si="2662"/>
        <v>2.9305691654007302</v>
      </c>
      <c r="Q2593" s="361">
        <f t="shared" si="2662"/>
        <v>3.9036646567719799</v>
      </c>
      <c r="R2593" s="361">
        <f t="shared" si="2662"/>
        <v>5.1998765060530321</v>
      </c>
      <c r="S2593" s="361">
        <f t="shared" si="2662"/>
        <v>6.9264954998878308</v>
      </c>
      <c r="T2593" s="361">
        <f t="shared" si="2662"/>
        <v>9.2264383306254363</v>
      </c>
      <c r="U2593" s="361">
        <f t="shared" si="2662"/>
        <v>12.290077178309415</v>
      </c>
      <c r="V2593" s="362">
        <f t="shared" si="2662"/>
        <v>16.370997305366796</v>
      </c>
      <c r="X2593" s="351"/>
    </row>
    <row r="2594" spans="3:24" ht="24.75" customHeight="1" x14ac:dyDescent="0.3">
      <c r="C2594" s="353">
        <f>ABS(E2594-Dashboard!$F$14)</f>
        <v>51.05348779955267</v>
      </c>
      <c r="D2594" s="350">
        <f t="shared" si="2643"/>
        <v>0.33214999999997868</v>
      </c>
      <c r="E2594" s="359" cm="1">
        <f t="array" ref="E2594">1000*SUM('DRE + DCF'!$L$36/M2594,'DRE + DCF'!$N$36:$V$36/N2594:V2594,F2594/V2594)/Dashboard!$F$11</f>
        <v>45.936512200447325</v>
      </c>
      <c r="F2594" s="359">
        <f t="shared" si="2641"/>
        <v>7817858.511085283</v>
      </c>
      <c r="G2594" s="359">
        <f>'DRE + DCF'!$W$31</f>
        <v>2791623.3540418856</v>
      </c>
      <c r="H2594" s="359">
        <f>'DRE + DCF'!$W$32</f>
        <v>81081.931703745853</v>
      </c>
      <c r="I2594" s="359">
        <f>-H2594*('DRE + DCF'!$V$33+K2594)/'DRE + DCF'!$V$33</f>
        <v>-90858.801614444121</v>
      </c>
      <c r="J2594" s="359">
        <f>-'DRE + DCF'!$V$56*L2594</f>
        <v>-1188924.4255577971</v>
      </c>
      <c r="K2594" s="360">
        <f>(1+L2594)/(1+Ke!$O$12)-1</f>
        <v>2.0000000000000018E-2</v>
      </c>
      <c r="L2594" s="360">
        <f>'DRE + DCF'!$Y$31</f>
        <v>7.3550000000000004E-2</v>
      </c>
      <c r="M2594" s="361">
        <f>(1+D2594)^((5-Dashboard!$F$9)*3/12)</f>
        <v>1.2399804753318409</v>
      </c>
      <c r="N2594" s="361">
        <f t="shared" ref="N2594:V2594" si="2663">M2594*(1+$D2594)</f>
        <v>1.6518399902132852</v>
      </c>
      <c r="O2594" s="361">
        <f t="shared" si="2663"/>
        <v>2.2004986429625926</v>
      </c>
      <c r="P2594" s="361">
        <f t="shared" si="2663"/>
        <v>2.9313942672225708</v>
      </c>
      <c r="Q2594" s="361">
        <f t="shared" si="2663"/>
        <v>3.9050568730804849</v>
      </c>
      <c r="R2594" s="361">
        <f t="shared" si="2663"/>
        <v>5.2021215134740846</v>
      </c>
      <c r="S2594" s="361">
        <f t="shared" si="2663"/>
        <v>6.930006174174391</v>
      </c>
      <c r="T2594" s="361">
        <f t="shared" si="2663"/>
        <v>9.2318077249262664</v>
      </c>
      <c r="U2594" s="361">
        <f t="shared" si="2663"/>
        <v>12.298152660760328</v>
      </c>
      <c r="V2594" s="362">
        <f t="shared" si="2663"/>
        <v>16.382984067031607</v>
      </c>
      <c r="X2594" s="351"/>
    </row>
    <row r="2595" spans="3:24" ht="24.75" customHeight="1" x14ac:dyDescent="0.3">
      <c r="C2595" s="353">
        <f>ABS(E2595-Dashboard!$F$14)</f>
        <v>51.074437023379303</v>
      </c>
      <c r="D2595" s="350">
        <f t="shared" si="2643"/>
        <v>0.33224999999997867</v>
      </c>
      <c r="E2595" s="359" cm="1">
        <f t="array" ref="E2595">1000*SUM('DRE + DCF'!$L$36/M2595,'DRE + DCF'!$N$36:$V$36/N2595:V2595,F2595/V2595)/Dashboard!$F$11</f>
        <v>45.915562976620691</v>
      </c>
      <c r="F2595" s="359">
        <f t="shared" si="2641"/>
        <v>7815222.5759108672</v>
      </c>
      <c r="G2595" s="359">
        <f>'DRE + DCF'!$W$31</f>
        <v>2791623.3540418856</v>
      </c>
      <c r="H2595" s="359">
        <f>'DRE + DCF'!$W$32</f>
        <v>81081.931703745853</v>
      </c>
      <c r="I2595" s="359">
        <f>-H2595*('DRE + DCF'!$V$33+K2595)/'DRE + DCF'!$V$33</f>
        <v>-90858.801614444121</v>
      </c>
      <c r="J2595" s="359">
        <f>-'DRE + DCF'!$V$56*L2595</f>
        <v>-1188924.4255577971</v>
      </c>
      <c r="K2595" s="360">
        <f>(1+L2595)/(1+Ke!$O$12)-1</f>
        <v>2.0000000000000018E-2</v>
      </c>
      <c r="L2595" s="360">
        <f>'DRE + DCF'!$Y$31</f>
        <v>7.3550000000000004E-2</v>
      </c>
      <c r="M2595" s="361">
        <f>(1+D2595)^((5-Dashboard!$F$9)*3/12)</f>
        <v>1.2400502855356779</v>
      </c>
      <c r="N2595" s="361">
        <f t="shared" ref="N2595:V2595" si="2664">M2595*(1+$D2595)</f>
        <v>1.6520569929048803</v>
      </c>
      <c r="O2595" s="361">
        <f t="shared" si="2664"/>
        <v>2.2009529287974914</v>
      </c>
      <c r="P2595" s="361">
        <f t="shared" si="2664"/>
        <v>2.9322195393904109</v>
      </c>
      <c r="Q2595" s="361">
        <f t="shared" si="2664"/>
        <v>3.9064494813528121</v>
      </c>
      <c r="R2595" s="361">
        <f t="shared" si="2664"/>
        <v>5.2043673215322004</v>
      </c>
      <c r="S2595" s="361">
        <f t="shared" si="2664"/>
        <v>6.9335183641111628</v>
      </c>
      <c r="T2595" s="361">
        <f t="shared" si="2664"/>
        <v>9.2371798405869487</v>
      </c>
      <c r="U2595" s="361">
        <f t="shared" si="2664"/>
        <v>12.306232842621766</v>
      </c>
      <c r="V2595" s="362">
        <f t="shared" si="2664"/>
        <v>16.394978704582584</v>
      </c>
      <c r="X2595" s="351"/>
    </row>
    <row r="2596" spans="3:24" ht="24.75" customHeight="1" x14ac:dyDescent="0.3">
      <c r="C2596" s="353">
        <f>ABS(E2596-Dashboard!$F$14)</f>
        <v>51.095368969205545</v>
      </c>
      <c r="D2596" s="350">
        <f t="shared" si="2643"/>
        <v>0.33234999999997866</v>
      </c>
      <c r="E2596" s="359" cm="1">
        <f t="array" ref="E2596">1000*SUM('DRE + DCF'!$L$36/M2596,'DRE + DCF'!$N$36:$V$36/N2596:V2596,F2596/V2596)/Dashboard!$F$11</f>
        <v>45.89463103079445</v>
      </c>
      <c r="F2596" s="359">
        <f t="shared" si="2641"/>
        <v>7812588.4455590528</v>
      </c>
      <c r="G2596" s="359">
        <f>'DRE + DCF'!$W$31</f>
        <v>2791623.3540418856</v>
      </c>
      <c r="H2596" s="359">
        <f>'DRE + DCF'!$W$32</f>
        <v>81081.931703745853</v>
      </c>
      <c r="I2596" s="359">
        <f>-H2596*('DRE + DCF'!$V$33+K2596)/'DRE + DCF'!$V$33</f>
        <v>-90858.801614444121</v>
      </c>
      <c r="J2596" s="359">
        <f>-'DRE + DCF'!$V$56*L2596</f>
        <v>-1188924.4255577971</v>
      </c>
      <c r="K2596" s="360">
        <f>(1+L2596)/(1+Ke!$O$12)-1</f>
        <v>2.0000000000000018E-2</v>
      </c>
      <c r="L2596" s="360">
        <f>'DRE + DCF'!$Y$31</f>
        <v>7.3550000000000004E-2</v>
      </c>
      <c r="M2596" s="361">
        <f>(1+D2596)^((5-Dashboard!$F$9)*3/12)</f>
        <v>1.2401200944295214</v>
      </c>
      <c r="N2596" s="361">
        <f t="shared" ref="N2596:V2596" si="2665">M2596*(1+$D2596)</f>
        <v>1.6522740078131464</v>
      </c>
      <c r="O2596" s="361">
        <f t="shared" si="2665"/>
        <v>2.2014072743098101</v>
      </c>
      <c r="P2596" s="361">
        <f t="shared" si="2665"/>
        <v>2.9330449819266282</v>
      </c>
      <c r="Q2596" s="361">
        <f t="shared" si="2665"/>
        <v>3.9078424816698805</v>
      </c>
      <c r="R2596" s="361">
        <f t="shared" si="2665"/>
        <v>5.2066139304527814</v>
      </c>
      <c r="S2596" s="361">
        <f t="shared" si="2665"/>
        <v>6.9370320702386516</v>
      </c>
      <c r="T2596" s="361">
        <f t="shared" si="2665"/>
        <v>9.2425546787823194</v>
      </c>
      <c r="U2596" s="361">
        <f t="shared" si="2665"/>
        <v>12.314317726275425</v>
      </c>
      <c r="V2596" s="362">
        <f t="shared" si="2665"/>
        <v>16.406981222602798</v>
      </c>
      <c r="X2596" s="351"/>
    </row>
    <row r="2597" spans="3:24" ht="24.75" customHeight="1" x14ac:dyDescent="0.3">
      <c r="C2597" s="353">
        <f>ABS(E2597-Dashboard!$F$14)</f>
        <v>51.116283656887084</v>
      </c>
      <c r="D2597" s="350">
        <f t="shared" si="2643"/>
        <v>0.33244999999997865</v>
      </c>
      <c r="E2597" s="359" cm="1">
        <f t="array" ref="E2597">1000*SUM('DRE + DCF'!$L$36/M2597,'DRE + DCF'!$N$36:$V$36/N2597:V2597,F2597/V2597)/Dashboard!$F$11</f>
        <v>45.87371634311291</v>
      </c>
      <c r="F2597" s="359">
        <f t="shared" si="2641"/>
        <v>7809956.1181479841</v>
      </c>
      <c r="G2597" s="359">
        <f>'DRE + DCF'!$W$31</f>
        <v>2791623.3540418856</v>
      </c>
      <c r="H2597" s="359">
        <f>'DRE + DCF'!$W$32</f>
        <v>81081.931703745853</v>
      </c>
      <c r="I2597" s="359">
        <f>-H2597*('DRE + DCF'!$V$33+K2597)/'DRE + DCF'!$V$33</f>
        <v>-90858.801614444121</v>
      </c>
      <c r="J2597" s="359">
        <f>-'DRE + DCF'!$V$56*L2597</f>
        <v>-1188924.4255577971</v>
      </c>
      <c r="K2597" s="360">
        <f>(1+L2597)/(1+Ke!$O$12)-1</f>
        <v>2.0000000000000018E-2</v>
      </c>
      <c r="L2597" s="360">
        <f>'DRE + DCF'!$Y$31</f>
        <v>7.3550000000000004E-2</v>
      </c>
      <c r="M2597" s="361">
        <f>(1+D2597)^((5-Dashboard!$F$9)*3/12)</f>
        <v>1.2401899020134943</v>
      </c>
      <c r="N2597" s="361">
        <f t="shared" ref="N2597:V2597" si="2666">M2597*(1+$D2597)</f>
        <v>1.6524910349378539</v>
      </c>
      <c r="O2597" s="361">
        <f t="shared" si="2666"/>
        <v>2.2018616795029082</v>
      </c>
      <c r="P2597" s="361">
        <f t="shared" si="2666"/>
        <v>2.933870594853603</v>
      </c>
      <c r="Q2597" s="361">
        <f t="shared" si="2666"/>
        <v>3.9092358741126207</v>
      </c>
      <c r="R2597" s="361">
        <f t="shared" si="2666"/>
        <v>5.2088613404612776</v>
      </c>
      <c r="S2597" s="361">
        <f t="shared" si="2666"/>
        <v>6.9405472930975174</v>
      </c>
      <c r="T2597" s="361">
        <f t="shared" si="2666"/>
        <v>9.2479322406876392</v>
      </c>
      <c r="U2597" s="361">
        <f t="shared" si="2666"/>
        <v>12.322407314104048</v>
      </c>
      <c r="V2597" s="362">
        <f t="shared" si="2666"/>
        <v>16.418991625677673</v>
      </c>
      <c r="X2597" s="351"/>
    </row>
    <row r="2598" spans="3:24" ht="24.75" customHeight="1" x14ac:dyDescent="0.3">
      <c r="C2598" s="353">
        <f>ABS(E2598-Dashboard!$F$14)</f>
        <v>51.137181106250502</v>
      </c>
      <c r="D2598" s="350">
        <f t="shared" si="2643"/>
        <v>0.33254999999997864</v>
      </c>
      <c r="E2598" s="359" cm="1">
        <f t="array" ref="E2598">1000*SUM('DRE + DCF'!$L$36/M2598,'DRE + DCF'!$N$36:$V$36/N2598:V2598,F2598/V2598)/Dashboard!$F$11</f>
        <v>45.852818893749493</v>
      </c>
      <c r="F2598" s="359">
        <f t="shared" si="2641"/>
        <v>7807325.5917984517</v>
      </c>
      <c r="G2598" s="359">
        <f>'DRE + DCF'!$W$31</f>
        <v>2791623.3540418856</v>
      </c>
      <c r="H2598" s="359">
        <f>'DRE + DCF'!$W$32</f>
        <v>81081.931703745853</v>
      </c>
      <c r="I2598" s="359">
        <f>-H2598*('DRE + DCF'!$V$33+K2598)/'DRE + DCF'!$V$33</f>
        <v>-90858.801614444121</v>
      </c>
      <c r="J2598" s="359">
        <f>-'DRE + DCF'!$V$56*L2598</f>
        <v>-1188924.4255577971</v>
      </c>
      <c r="K2598" s="360">
        <f>(1+L2598)/(1+Ke!$O$12)-1</f>
        <v>2.0000000000000018E-2</v>
      </c>
      <c r="L2598" s="360">
        <f>'DRE + DCF'!$Y$31</f>
        <v>7.3550000000000004E-2</v>
      </c>
      <c r="M2598" s="361">
        <f>(1+D2598)^((5-Dashboard!$F$9)*3/12)</f>
        <v>1.2402597082877198</v>
      </c>
      <c r="N2598" s="361">
        <f t="shared" ref="N2598:V2598" si="2667">M2598*(1+$D2598)</f>
        <v>1.6527080742787745</v>
      </c>
      <c r="O2598" s="361">
        <f t="shared" si="2667"/>
        <v>2.2023161443801458</v>
      </c>
      <c r="P2598" s="361">
        <f t="shared" si="2667"/>
        <v>2.9346963781937161</v>
      </c>
      <c r="Q2598" s="361">
        <f t="shared" si="2667"/>
        <v>3.9106296587619735</v>
      </c>
      <c r="R2598" s="361">
        <f t="shared" si="2667"/>
        <v>5.211109551783184</v>
      </c>
      <c r="S2598" s="361">
        <f t="shared" si="2667"/>
        <v>6.9440640332285701</v>
      </c>
      <c r="T2598" s="361">
        <f t="shared" si="2667"/>
        <v>9.2533125274785828</v>
      </c>
      <c r="U2598" s="361">
        <f t="shared" si="2667"/>
        <v>12.330501608491387</v>
      </c>
      <c r="V2598" s="362">
        <f t="shared" si="2667"/>
        <v>16.431009918394935</v>
      </c>
      <c r="X2598" s="351"/>
    </row>
    <row r="2599" spans="3:24" ht="24.75" customHeight="1" x14ac:dyDescent="0.3">
      <c r="C2599" s="353">
        <f>ABS(E2599-Dashboard!$F$14)</f>
        <v>51.158061337093294</v>
      </c>
      <c r="D2599" s="350">
        <f t="shared" si="2643"/>
        <v>0.33264999999997863</v>
      </c>
      <c r="E2599" s="359" cm="1">
        <f t="array" ref="E2599">1000*SUM('DRE + DCF'!$L$36/M2599,'DRE + DCF'!$N$36:$V$36/N2599:V2599,F2599/V2599)/Dashboard!$F$11</f>
        <v>45.831938662906701</v>
      </c>
      <c r="F2599" s="359">
        <f t="shared" si="2641"/>
        <v>7804696.8646338955</v>
      </c>
      <c r="G2599" s="359">
        <f>'DRE + DCF'!$W$31</f>
        <v>2791623.3540418856</v>
      </c>
      <c r="H2599" s="359">
        <f>'DRE + DCF'!$W$32</f>
        <v>81081.931703745853</v>
      </c>
      <c r="I2599" s="359">
        <f>-H2599*('DRE + DCF'!$V$33+K2599)/'DRE + DCF'!$V$33</f>
        <v>-90858.801614444121</v>
      </c>
      <c r="J2599" s="359">
        <f>-'DRE + DCF'!$V$56*L2599</f>
        <v>-1188924.4255577971</v>
      </c>
      <c r="K2599" s="360">
        <f>(1+L2599)/(1+Ke!$O$12)-1</f>
        <v>2.0000000000000018E-2</v>
      </c>
      <c r="L2599" s="360">
        <f>'DRE + DCF'!$Y$31</f>
        <v>7.3550000000000004E-2</v>
      </c>
      <c r="M2599" s="361">
        <f>(1+D2599)^((5-Dashboard!$F$9)*3/12)</f>
        <v>1.2403295132523204</v>
      </c>
      <c r="N2599" s="361">
        <f t="shared" ref="N2599:V2599" si="2668">M2599*(1+$D2599)</f>
        <v>1.6529251258356783</v>
      </c>
      <c r="O2599" s="361">
        <f t="shared" si="2668"/>
        <v>2.2027706689448814</v>
      </c>
      <c r="P2599" s="361">
        <f t="shared" si="2668"/>
        <v>2.9355223319693491</v>
      </c>
      <c r="Q2599" s="361">
        <f t="shared" si="2668"/>
        <v>3.9120238356988901</v>
      </c>
      <c r="R2599" s="361">
        <f t="shared" si="2668"/>
        <v>5.2133585646440421</v>
      </c>
      <c r="S2599" s="361">
        <f t="shared" si="2668"/>
        <v>6.9475822911727709</v>
      </c>
      <c r="T2599" s="361">
        <f t="shared" si="2668"/>
        <v>9.2586955403312441</v>
      </c>
      <c r="U2599" s="361">
        <f t="shared" si="2668"/>
        <v>12.338600611822233</v>
      </c>
      <c r="V2599" s="362">
        <f t="shared" si="2668"/>
        <v>16.443036105344635</v>
      </c>
      <c r="X2599" s="351"/>
    </row>
    <row r="2600" spans="3:24" ht="24.75" customHeight="1" x14ac:dyDescent="0.3">
      <c r="C2600" s="353">
        <f>ABS(E2600-Dashboard!$F$14)</f>
        <v>51.178924369183989</v>
      </c>
      <c r="D2600" s="350">
        <f t="shared" si="2643"/>
        <v>0.33274999999997862</v>
      </c>
      <c r="E2600" s="359" cm="1">
        <f t="array" ref="E2600">1000*SUM('DRE + DCF'!$L$36/M2600,'DRE + DCF'!$N$36:$V$36/N2600:V2600,F2600/V2600)/Dashboard!$F$11</f>
        <v>45.811075630816006</v>
      </c>
      <c r="F2600" s="359">
        <f t="shared" si="2641"/>
        <v>7802069.9347804068</v>
      </c>
      <c r="G2600" s="359">
        <f>'DRE + DCF'!$W$31</f>
        <v>2791623.3540418856</v>
      </c>
      <c r="H2600" s="359">
        <f>'DRE + DCF'!$W$32</f>
        <v>81081.931703745853</v>
      </c>
      <c r="I2600" s="359">
        <f>-H2600*('DRE + DCF'!$V$33+K2600)/'DRE + DCF'!$V$33</f>
        <v>-90858.801614444121</v>
      </c>
      <c r="J2600" s="359">
        <f>-'DRE + DCF'!$V$56*L2600</f>
        <v>-1188924.4255577971</v>
      </c>
      <c r="K2600" s="360">
        <f>(1+L2600)/(1+Ke!$O$12)-1</f>
        <v>2.0000000000000018E-2</v>
      </c>
      <c r="L2600" s="360">
        <f>'DRE + DCF'!$Y$31</f>
        <v>7.3550000000000004E-2</v>
      </c>
      <c r="M2600" s="361">
        <f>(1+D2600)^((5-Dashboard!$F$9)*3/12)</f>
        <v>1.2403993169074192</v>
      </c>
      <c r="N2600" s="361">
        <f t="shared" ref="N2600:V2600" si="2669">M2600*(1+$D2600)</f>
        <v>1.6531421896083365</v>
      </c>
      <c r="O2600" s="361">
        <f t="shared" si="2669"/>
        <v>2.203225253200475</v>
      </c>
      <c r="P2600" s="361">
        <f t="shared" si="2669"/>
        <v>2.9363484562028859</v>
      </c>
      <c r="Q2600" s="361">
        <f t="shared" si="2669"/>
        <v>3.9134184050043332</v>
      </c>
      <c r="R2600" s="361">
        <f t="shared" si="2669"/>
        <v>5.2156083792694412</v>
      </c>
      <c r="S2600" s="361">
        <f t="shared" si="2669"/>
        <v>6.9511020674712363</v>
      </c>
      <c r="T2600" s="361">
        <f t="shared" si="2669"/>
        <v>9.2640812804221415</v>
      </c>
      <c r="U2600" s="361">
        <f t="shared" si="2669"/>
        <v>12.34670432648241</v>
      </c>
      <c r="V2600" s="362">
        <f t="shared" si="2669"/>
        <v>16.455070191119166</v>
      </c>
      <c r="X2600" s="351"/>
    </row>
    <row r="2601" spans="3:24" ht="24.75" customHeight="1" x14ac:dyDescent="0.3">
      <c r="C2601" s="353">
        <f>ABS(E2601-Dashboard!$F$14)</f>
        <v>51.199770222262124</v>
      </c>
      <c r="D2601" s="350">
        <f t="shared" si="2643"/>
        <v>0.33284999999997861</v>
      </c>
      <c r="E2601" s="359" cm="1">
        <f t="array" ref="E2601">1000*SUM('DRE + DCF'!$L$36/M2601,'DRE + DCF'!$N$36:$V$36/N2601:V2601,F2601/V2601)/Dashboard!$F$11</f>
        <v>45.790229777737871</v>
      </c>
      <c r="F2601" s="359">
        <f t="shared" si="2641"/>
        <v>7799444.800366709</v>
      </c>
      <c r="G2601" s="359">
        <f>'DRE + DCF'!$W$31</f>
        <v>2791623.3540418856</v>
      </c>
      <c r="H2601" s="359">
        <f>'DRE + DCF'!$W$32</f>
        <v>81081.931703745853</v>
      </c>
      <c r="I2601" s="359">
        <f>-H2601*('DRE + DCF'!$V$33+K2601)/'DRE + DCF'!$V$33</f>
        <v>-90858.801614444121</v>
      </c>
      <c r="J2601" s="359">
        <f>-'DRE + DCF'!$V$56*L2601</f>
        <v>-1188924.4255577971</v>
      </c>
      <c r="K2601" s="360">
        <f>(1+L2601)/(1+Ke!$O$12)-1</f>
        <v>2.0000000000000018E-2</v>
      </c>
      <c r="L2601" s="360">
        <f>'DRE + DCF'!$Y$31</f>
        <v>7.3550000000000004E-2</v>
      </c>
      <c r="M2601" s="361">
        <f>(1+D2601)^((5-Dashboard!$F$9)*3/12)</f>
        <v>1.240469119253139</v>
      </c>
      <c r="N2601" s="361">
        <f t="shared" ref="N2601:V2601" si="2670">M2601*(1+$D2601)</f>
        <v>1.6533592655965197</v>
      </c>
      <c r="O2601" s="361">
        <f t="shared" si="2670"/>
        <v>2.2036798971502858</v>
      </c>
      <c r="P2601" s="361">
        <f t="shared" si="2670"/>
        <v>2.9371747509167112</v>
      </c>
      <c r="Q2601" s="361">
        <f t="shared" si="2670"/>
        <v>3.9148133667592755</v>
      </c>
      <c r="R2601" s="361">
        <f t="shared" si="2670"/>
        <v>5.2178589958850168</v>
      </c>
      <c r="S2601" s="361">
        <f t="shared" si="2670"/>
        <v>6.9546233626652327</v>
      </c>
      <c r="T2601" s="361">
        <f t="shared" si="2670"/>
        <v>9.2694697489282056</v>
      </c>
      <c r="U2601" s="361">
        <f t="shared" si="2670"/>
        <v>12.354812754858759</v>
      </c>
      <c r="V2601" s="362">
        <f t="shared" si="2670"/>
        <v>16.467112180313233</v>
      </c>
      <c r="X2601" s="351"/>
    </row>
    <row r="2602" spans="3:24" ht="24.75" customHeight="1" x14ac:dyDescent="0.3">
      <c r="C2602" s="353">
        <f>ABS(E2602-Dashboard!$F$14)</f>
        <v>51.220598916038334</v>
      </c>
      <c r="D2602" s="350">
        <f t="shared" si="2643"/>
        <v>0.3329499999999786</v>
      </c>
      <c r="E2602" s="359" cm="1">
        <f t="array" ref="E2602">1000*SUM('DRE + DCF'!$L$36/M2602,'DRE + DCF'!$N$36:$V$36/N2602:V2602,F2602/V2602)/Dashboard!$F$11</f>
        <v>45.769401083961661</v>
      </c>
      <c r="F2602" s="359">
        <f t="shared" si="2641"/>
        <v>7796821.4595241696</v>
      </c>
      <c r="G2602" s="359">
        <f>'DRE + DCF'!$W$31</f>
        <v>2791623.3540418856</v>
      </c>
      <c r="H2602" s="359">
        <f>'DRE + DCF'!$W$32</f>
        <v>81081.931703745853</v>
      </c>
      <c r="I2602" s="359">
        <f>-H2602*('DRE + DCF'!$V$33+K2602)/'DRE + DCF'!$V$33</f>
        <v>-90858.801614444121</v>
      </c>
      <c r="J2602" s="359">
        <f>-'DRE + DCF'!$V$56*L2602</f>
        <v>-1188924.4255577971</v>
      </c>
      <c r="K2602" s="360">
        <f>(1+L2602)/(1+Ke!$O$12)-1</f>
        <v>2.0000000000000018E-2</v>
      </c>
      <c r="L2602" s="360">
        <f>'DRE + DCF'!$Y$31</f>
        <v>7.3550000000000004E-2</v>
      </c>
      <c r="M2602" s="361">
        <f>(1+D2602)^((5-Dashboard!$F$9)*3/12)</f>
        <v>1.2405389202896022</v>
      </c>
      <c r="N2602" s="361">
        <f t="shared" ref="N2602:V2602" si="2671">M2602*(1+$D2602)</f>
        <v>1.6535763537999986</v>
      </c>
      <c r="O2602" s="361">
        <f t="shared" si="2671"/>
        <v>2.2041346007976728</v>
      </c>
      <c r="P2602" s="361">
        <f t="shared" si="2671"/>
        <v>2.9380012161332107</v>
      </c>
      <c r="Q2602" s="361">
        <f t="shared" si="2671"/>
        <v>3.9162087210447001</v>
      </c>
      <c r="R2602" s="361">
        <f t="shared" si="2671"/>
        <v>5.2201104147164488</v>
      </c>
      <c r="S2602" s="361">
        <f t="shared" si="2671"/>
        <v>6.9581461772961788</v>
      </c>
      <c r="T2602" s="361">
        <f t="shared" si="2671"/>
        <v>9.2748609470267915</v>
      </c>
      <c r="U2602" s="361">
        <f t="shared" si="2671"/>
        <v>12.362925899339162</v>
      </c>
      <c r="V2602" s="362">
        <f t="shared" si="2671"/>
        <v>16.479162077523871</v>
      </c>
      <c r="X2602" s="351"/>
    </row>
    <row r="2603" spans="3:24" ht="24.75" customHeight="1" x14ac:dyDescent="0.3">
      <c r="C2603" s="353">
        <f>ABS(E2603-Dashboard!$F$14)</f>
        <v>51.241410470194474</v>
      </c>
      <c r="D2603" s="350">
        <f t="shared" si="2643"/>
        <v>0.33304999999997859</v>
      </c>
      <c r="E2603" s="359" cm="1">
        <f t="array" ref="E2603">1000*SUM('DRE + DCF'!$L$36/M2603,'DRE + DCF'!$N$36:$V$36/N2603:V2603,F2603/V2603)/Dashboard!$F$11</f>
        <v>45.748589529805521</v>
      </c>
      <c r="F2603" s="359">
        <f t="shared" si="2641"/>
        <v>7794199.9103867812</v>
      </c>
      <c r="G2603" s="359">
        <f>'DRE + DCF'!$W$31</f>
        <v>2791623.3540418856</v>
      </c>
      <c r="H2603" s="359">
        <f>'DRE + DCF'!$W$32</f>
        <v>81081.931703745853</v>
      </c>
      <c r="I2603" s="359">
        <f>-H2603*('DRE + DCF'!$V$33+K2603)/'DRE + DCF'!$V$33</f>
        <v>-90858.801614444121</v>
      </c>
      <c r="J2603" s="359">
        <f>-'DRE + DCF'!$V$56*L2603</f>
        <v>-1188924.4255577971</v>
      </c>
      <c r="K2603" s="360">
        <f>(1+L2603)/(1+Ke!$O$12)-1</f>
        <v>2.0000000000000018E-2</v>
      </c>
      <c r="L2603" s="360">
        <f>'DRE + DCF'!$Y$31</f>
        <v>7.3550000000000004E-2</v>
      </c>
      <c r="M2603" s="361">
        <f>(1+D2603)^((5-Dashboard!$F$9)*3/12)</f>
        <v>1.240608720016932</v>
      </c>
      <c r="N2603" s="361">
        <f t="shared" ref="N2603:V2603" si="2672">M2603*(1+$D2603)</f>
        <v>1.6537934542185446</v>
      </c>
      <c r="O2603" s="361">
        <f t="shared" si="2672"/>
        <v>2.2045893641459955</v>
      </c>
      <c r="P2603" s="361">
        <f t="shared" si="2672"/>
        <v>2.9388278518747719</v>
      </c>
      <c r="Q2603" s="361">
        <f t="shared" si="2672"/>
        <v>3.9176044679416018</v>
      </c>
      <c r="R2603" s="361">
        <f t="shared" si="2672"/>
        <v>5.2223626359894677</v>
      </c>
      <c r="S2603" s="361">
        <f t="shared" si="2672"/>
        <v>6.9616705119056475</v>
      </c>
      <c r="T2603" s="361">
        <f t="shared" si="2672"/>
        <v>9.2802548758956735</v>
      </c>
      <c r="U2603" s="361">
        <f t="shared" si="2672"/>
        <v>12.371043762312528</v>
      </c>
      <c r="V2603" s="362">
        <f t="shared" si="2672"/>
        <v>16.49121988735045</v>
      </c>
      <c r="X2603" s="351"/>
    </row>
    <row r="2604" spans="3:24" ht="24.75" customHeight="1" x14ac:dyDescent="0.3">
      <c r="C2604" s="353">
        <f>ABS(E2604-Dashboard!$F$14)</f>
        <v>51.26220490438353</v>
      </c>
      <c r="D2604" s="350">
        <f t="shared" si="2643"/>
        <v>0.33314999999997857</v>
      </c>
      <c r="E2604" s="359" cm="1">
        <f t="array" ref="E2604">1000*SUM('DRE + DCF'!$L$36/M2604,'DRE + DCF'!$N$36:$V$36/N2604:V2604,F2604/V2604)/Dashboard!$F$11</f>
        <v>45.727795095616464</v>
      </c>
      <c r="F2604" s="359">
        <f t="shared" si="2641"/>
        <v>7791580.1510911621</v>
      </c>
      <c r="G2604" s="359">
        <f>'DRE + DCF'!$W$31</f>
        <v>2791623.3540418856</v>
      </c>
      <c r="H2604" s="359">
        <f>'DRE + DCF'!$W$32</f>
        <v>81081.931703745853</v>
      </c>
      <c r="I2604" s="359">
        <f>-H2604*('DRE + DCF'!$V$33+K2604)/'DRE + DCF'!$V$33</f>
        <v>-90858.801614444121</v>
      </c>
      <c r="J2604" s="359">
        <f>-'DRE + DCF'!$V$56*L2604</f>
        <v>-1188924.4255577971</v>
      </c>
      <c r="K2604" s="360">
        <f>(1+L2604)/(1+Ke!$O$12)-1</f>
        <v>2.0000000000000018E-2</v>
      </c>
      <c r="L2604" s="360">
        <f>'DRE + DCF'!$Y$31</f>
        <v>7.3550000000000004E-2</v>
      </c>
      <c r="M2604" s="361">
        <f>(1+D2604)^((5-Dashboard!$F$9)*3/12)</f>
        <v>1.2406785184352509</v>
      </c>
      <c r="N2604" s="361">
        <f t="shared" ref="N2604:V2604" si="2673">M2604*(1+$D2604)</f>
        <v>1.654010566851928</v>
      </c>
      <c r="O2604" s="361">
        <f t="shared" si="2673"/>
        <v>2.2050441871986122</v>
      </c>
      <c r="P2604" s="361">
        <f t="shared" si="2673"/>
        <v>2.9396546581637826</v>
      </c>
      <c r="Q2604" s="361">
        <f t="shared" si="2673"/>
        <v>3.9190006075309838</v>
      </c>
      <c r="R2604" s="361">
        <f t="shared" si="2673"/>
        <v>5.2246156599298468</v>
      </c>
      <c r="S2604" s="361">
        <f t="shared" si="2673"/>
        <v>6.9651963670353627</v>
      </c>
      <c r="T2604" s="361">
        <f t="shared" si="2673"/>
        <v>9.2856515367130434</v>
      </c>
      <c r="U2604" s="361">
        <f t="shared" si="2673"/>
        <v>12.379166346168795</v>
      </c>
      <c r="V2604" s="362">
        <f t="shared" si="2673"/>
        <v>16.503285614394663</v>
      </c>
      <c r="X2604" s="351"/>
    </row>
    <row r="2605" spans="3:24" ht="24.75" customHeight="1" x14ac:dyDescent="0.3">
      <c r="C2605" s="353">
        <f>ABS(E2605-Dashboard!$F$14)</f>
        <v>51.282982238229778</v>
      </c>
      <c r="D2605" s="350">
        <f t="shared" si="2643"/>
        <v>0.33324999999997856</v>
      </c>
      <c r="E2605" s="359" cm="1">
        <f t="array" ref="E2605">1000*SUM('DRE + DCF'!$L$36/M2605,'DRE + DCF'!$N$36:$V$36/N2605:V2605,F2605/V2605)/Dashboard!$F$11</f>
        <v>45.707017761770217</v>
      </c>
      <c r="F2605" s="359">
        <f t="shared" si="2641"/>
        <v>7788962.1797765577</v>
      </c>
      <c r="G2605" s="359">
        <f>'DRE + DCF'!$W$31</f>
        <v>2791623.3540418856</v>
      </c>
      <c r="H2605" s="359">
        <f>'DRE + DCF'!$W$32</f>
        <v>81081.931703745853</v>
      </c>
      <c r="I2605" s="359">
        <f>-H2605*('DRE + DCF'!$V$33+K2605)/'DRE + DCF'!$V$33</f>
        <v>-90858.801614444121</v>
      </c>
      <c r="J2605" s="359">
        <f>-'DRE + DCF'!$V$56*L2605</f>
        <v>-1188924.4255577971</v>
      </c>
      <c r="K2605" s="360">
        <f>(1+L2605)/(1+Ke!$O$12)-1</f>
        <v>2.0000000000000018E-2</v>
      </c>
      <c r="L2605" s="360">
        <f>'DRE + DCF'!$Y$31</f>
        <v>7.3550000000000004E-2</v>
      </c>
      <c r="M2605" s="361">
        <f>(1+D2605)^((5-Dashboard!$F$9)*3/12)</f>
        <v>1.2407483155446819</v>
      </c>
      <c r="N2605" s="361">
        <f t="shared" ref="N2605:V2605" si="2674">M2605*(1+$D2605)</f>
        <v>1.6542276916999206</v>
      </c>
      <c r="O2605" s="361">
        <f t="shared" si="2674"/>
        <v>2.2054990699588837</v>
      </c>
      <c r="P2605" s="361">
        <f t="shared" si="2674"/>
        <v>2.9404816350226342</v>
      </c>
      <c r="Q2605" s="361">
        <f t="shared" si="2674"/>
        <v>3.920397139893864</v>
      </c>
      <c r="R2605" s="361">
        <f t="shared" si="2674"/>
        <v>5.2268694867634098</v>
      </c>
      <c r="S2605" s="361">
        <f t="shared" si="2674"/>
        <v>6.968723743227204</v>
      </c>
      <c r="T2605" s="361">
        <f t="shared" si="2674"/>
        <v>9.2910509306575193</v>
      </c>
      <c r="U2605" s="361">
        <f t="shared" si="2674"/>
        <v>12.387293653298938</v>
      </c>
      <c r="V2605" s="362">
        <f t="shared" si="2674"/>
        <v>16.515359263260542</v>
      </c>
      <c r="X2605" s="351"/>
    </row>
    <row r="2606" spans="3:24" ht="24.75" customHeight="1" x14ac:dyDescent="0.3">
      <c r="C2606" s="353">
        <f>ABS(E2606-Dashboard!$F$14)</f>
        <v>51.303742491328741</v>
      </c>
      <c r="D2606" s="350">
        <f t="shared" si="2643"/>
        <v>0.33334999999997855</v>
      </c>
      <c r="E2606" s="359" cm="1">
        <f t="array" ref="E2606">1000*SUM('DRE + DCF'!$L$36/M2606,'DRE + DCF'!$N$36:$V$36/N2606:V2606,F2606/V2606)/Dashboard!$F$11</f>
        <v>45.686257508671254</v>
      </c>
      <c r="F2606" s="359">
        <f t="shared" si="2641"/>
        <v>7786345.9945848249</v>
      </c>
      <c r="G2606" s="359">
        <f>'DRE + DCF'!$W$31</f>
        <v>2791623.3540418856</v>
      </c>
      <c r="H2606" s="359">
        <f>'DRE + DCF'!$W$32</f>
        <v>81081.931703745853</v>
      </c>
      <c r="I2606" s="359">
        <f>-H2606*('DRE + DCF'!$V$33+K2606)/'DRE + DCF'!$V$33</f>
        <v>-90858.801614444121</v>
      </c>
      <c r="J2606" s="359">
        <f>-'DRE + DCF'!$V$56*L2606</f>
        <v>-1188924.4255577971</v>
      </c>
      <c r="K2606" s="360">
        <f>(1+L2606)/(1+Ke!$O$12)-1</f>
        <v>2.0000000000000018E-2</v>
      </c>
      <c r="L2606" s="360">
        <f>'DRE + DCF'!$Y$31</f>
        <v>7.3550000000000004E-2</v>
      </c>
      <c r="M2606" s="361">
        <f>(1+D2606)^((5-Dashboard!$F$9)*3/12)</f>
        <v>1.2408181113453474</v>
      </c>
      <c r="N2606" s="361">
        <f t="shared" ref="N2606:V2606" si="2675">M2606*(1+$D2606)</f>
        <v>1.6544448287622922</v>
      </c>
      <c r="O2606" s="361">
        <f t="shared" si="2675"/>
        <v>2.2059540124301669</v>
      </c>
      <c r="P2606" s="361">
        <f t="shared" si="2675"/>
        <v>2.9413087824737154</v>
      </c>
      <c r="Q2606" s="361">
        <f t="shared" si="2675"/>
        <v>3.921794065111265</v>
      </c>
      <c r="R2606" s="361">
        <f t="shared" si="2675"/>
        <v>5.2291241167160205</v>
      </c>
      <c r="S2606" s="361">
        <f t="shared" si="2675"/>
        <v>6.9722526410231938</v>
      </c>
      <c r="T2606" s="361">
        <f t="shared" si="2675"/>
        <v>9.296453058908126</v>
      </c>
      <c r="U2606" s="361">
        <f t="shared" si="2675"/>
        <v>12.395425686094949</v>
      </c>
      <c r="V2606" s="362">
        <f t="shared" si="2675"/>
        <v>16.527440838554433</v>
      </c>
      <c r="X2606" s="351"/>
    </row>
    <row r="2607" spans="3:24" ht="24.75" customHeight="1" x14ac:dyDescent="0.3">
      <c r="C2607" s="353">
        <f>ABS(E2607-Dashboard!$F$14)</f>
        <v>51.324485683247374</v>
      </c>
      <c r="D2607" s="350">
        <f t="shared" si="2643"/>
        <v>0.33344999999997854</v>
      </c>
      <c r="E2607" s="359" cm="1">
        <f t="array" ref="E2607">1000*SUM('DRE + DCF'!$L$36/M2607,'DRE + DCF'!$N$36:$V$36/N2607:V2607,F2607/V2607)/Dashboard!$F$11</f>
        <v>45.665514316752621</v>
      </c>
      <c r="F2607" s="359">
        <f t="shared" si="2641"/>
        <v>7783731.5936604328</v>
      </c>
      <c r="G2607" s="359">
        <f>'DRE + DCF'!$W$31</f>
        <v>2791623.3540418856</v>
      </c>
      <c r="H2607" s="359">
        <f>'DRE + DCF'!$W$32</f>
        <v>81081.931703745853</v>
      </c>
      <c r="I2607" s="359">
        <f>-H2607*('DRE + DCF'!$V$33+K2607)/'DRE + DCF'!$V$33</f>
        <v>-90858.801614444121</v>
      </c>
      <c r="J2607" s="359">
        <f>-'DRE + DCF'!$V$56*L2607</f>
        <v>-1188924.4255577971</v>
      </c>
      <c r="K2607" s="360">
        <f>(1+L2607)/(1+Ke!$O$12)-1</f>
        <v>2.0000000000000018E-2</v>
      </c>
      <c r="L2607" s="360">
        <f>'DRE + DCF'!$Y$31</f>
        <v>7.3550000000000004E-2</v>
      </c>
      <c r="M2607" s="361">
        <f>(1+D2607)^((5-Dashboard!$F$9)*3/12)</f>
        <v>1.2408879058373705</v>
      </c>
      <c r="N2607" s="361">
        <f t="shared" ref="N2607:V2607" si="2676">M2607*(1+$D2607)</f>
        <v>1.654661978038815</v>
      </c>
      <c r="O2607" s="361">
        <f t="shared" si="2676"/>
        <v>2.2064090146158222</v>
      </c>
      <c r="P2607" s="361">
        <f t="shared" si="2676"/>
        <v>2.9421361005394204</v>
      </c>
      <c r="Q2607" s="361">
        <f t="shared" si="2676"/>
        <v>3.9231913832642267</v>
      </c>
      <c r="R2607" s="361">
        <f t="shared" si="2676"/>
        <v>5.2313795500135987</v>
      </c>
      <c r="S2607" s="361">
        <f t="shared" si="2676"/>
        <v>6.9757830609655205</v>
      </c>
      <c r="T2607" s="361">
        <f t="shared" si="2676"/>
        <v>9.3018579226443237</v>
      </c>
      <c r="U2607" s="361">
        <f t="shared" si="2676"/>
        <v>12.403562446949874</v>
      </c>
      <c r="V2607" s="362">
        <f t="shared" si="2676"/>
        <v>16.539530344885041</v>
      </c>
      <c r="X2607" s="351"/>
    </row>
    <row r="2608" spans="3:24" ht="24.75" customHeight="1" x14ac:dyDescent="0.3">
      <c r="C2608" s="353">
        <f>ABS(E2608-Dashboard!$F$14)</f>
        <v>51.345211833524019</v>
      </c>
      <c r="D2608" s="350">
        <f t="shared" si="2643"/>
        <v>0.33354999999997853</v>
      </c>
      <c r="E2608" s="359" cm="1">
        <f t="array" ref="E2608">1000*SUM('DRE + DCF'!$L$36/M2608,'DRE + DCF'!$N$36:$V$36/N2608:V2608,F2608/V2608)/Dashboard!$F$11</f>
        <v>45.644788166475976</v>
      </c>
      <c r="F2608" s="359">
        <f t="shared" si="2641"/>
        <v>7781118.9751504641</v>
      </c>
      <c r="G2608" s="359">
        <f>'DRE + DCF'!$W$31</f>
        <v>2791623.3540418856</v>
      </c>
      <c r="H2608" s="359">
        <f>'DRE + DCF'!$W$32</f>
        <v>81081.931703745853</v>
      </c>
      <c r="I2608" s="359">
        <f>-H2608*('DRE + DCF'!$V$33+K2608)/'DRE + DCF'!$V$33</f>
        <v>-90858.801614444121</v>
      </c>
      <c r="J2608" s="359">
        <f>-'DRE + DCF'!$V$56*L2608</f>
        <v>-1188924.4255577971</v>
      </c>
      <c r="K2608" s="360">
        <f>(1+L2608)/(1+Ke!$O$12)-1</f>
        <v>2.0000000000000018E-2</v>
      </c>
      <c r="L2608" s="360">
        <f>'DRE + DCF'!$Y$31</f>
        <v>7.3550000000000004E-2</v>
      </c>
      <c r="M2608" s="361">
        <f>(1+D2608)^((5-Dashboard!$F$9)*3/12)</f>
        <v>1.2409576990208735</v>
      </c>
      <c r="N2608" s="361">
        <f t="shared" ref="N2608:V2608" si="2677">M2608*(1+$D2608)</f>
        <v>1.6548791395292592</v>
      </c>
      <c r="O2608" s="361">
        <f t="shared" si="2677"/>
        <v>2.2068640765192082</v>
      </c>
      <c r="P2608" s="361">
        <f t="shared" si="2677"/>
        <v>2.9429635892421429</v>
      </c>
      <c r="Q2608" s="361">
        <f t="shared" si="2677"/>
        <v>3.9245890944337964</v>
      </c>
      <c r="R2608" s="361">
        <f t="shared" si="2677"/>
        <v>5.2336357868821048</v>
      </c>
      <c r="S2608" s="361">
        <f t="shared" si="2677"/>
        <v>6.9793150035965184</v>
      </c>
      <c r="T2608" s="361">
        <f t="shared" si="2677"/>
        <v>9.3072655230459862</v>
      </c>
      <c r="U2608" s="361">
        <f t="shared" si="2677"/>
        <v>12.411703938257775</v>
      </c>
      <c r="V2608" s="362">
        <f t="shared" si="2677"/>
        <v>16.551627786863389</v>
      </c>
      <c r="X2608" s="351"/>
    </row>
    <row r="2609" spans="3:24" ht="24.75" customHeight="1" x14ac:dyDescent="0.3">
      <c r="C2609" s="353">
        <f>ABS(E2609-Dashboard!$F$14)</f>
        <v>51.365920961668429</v>
      </c>
      <c r="D2609" s="350">
        <f t="shared" si="2643"/>
        <v>0.33364999999997852</v>
      </c>
      <c r="E2609" s="359" cm="1">
        <f t="array" ref="E2609">1000*SUM('DRE + DCF'!$L$36/M2609,'DRE + DCF'!$N$36:$V$36/N2609:V2609,F2609/V2609)/Dashboard!$F$11</f>
        <v>45.624079038331566</v>
      </c>
      <c r="F2609" s="359">
        <f t="shared" si="2641"/>
        <v>7778508.1372045968</v>
      </c>
      <c r="G2609" s="359">
        <f>'DRE + DCF'!$W$31</f>
        <v>2791623.3540418856</v>
      </c>
      <c r="H2609" s="359">
        <f>'DRE + DCF'!$W$32</f>
        <v>81081.931703745853</v>
      </c>
      <c r="I2609" s="359">
        <f>-H2609*('DRE + DCF'!$V$33+K2609)/'DRE + DCF'!$V$33</f>
        <v>-90858.801614444121</v>
      </c>
      <c r="J2609" s="359">
        <f>-'DRE + DCF'!$V$56*L2609</f>
        <v>-1188924.4255577971</v>
      </c>
      <c r="K2609" s="360">
        <f>(1+L2609)/(1+Ke!$O$12)-1</f>
        <v>2.0000000000000018E-2</v>
      </c>
      <c r="L2609" s="360">
        <f>'DRE + DCF'!$Y$31</f>
        <v>7.3550000000000004E-2</v>
      </c>
      <c r="M2609" s="361">
        <f>(1+D2609)^((5-Dashboard!$F$9)*3/12)</f>
        <v>1.2410274908959791</v>
      </c>
      <c r="N2609" s="361">
        <f t="shared" ref="N2609:V2609" si="2678">M2609*(1+$D2609)</f>
        <v>1.6550963132333958</v>
      </c>
      <c r="O2609" s="361">
        <f t="shared" si="2678"/>
        <v>2.2073191981436828</v>
      </c>
      <c r="P2609" s="361">
        <f t="shared" si="2678"/>
        <v>2.943791248604275</v>
      </c>
      <c r="Q2609" s="361">
        <f t="shared" si="2678"/>
        <v>3.9259871987010277</v>
      </c>
      <c r="R2609" s="361">
        <f t="shared" si="2678"/>
        <v>5.2358928275475414</v>
      </c>
      <c r="S2609" s="361">
        <f t="shared" si="2678"/>
        <v>6.9828484694586654</v>
      </c>
      <c r="T2609" s="361">
        <f t="shared" si="2678"/>
        <v>9.312675861293398</v>
      </c>
      <c r="U2609" s="361">
        <f t="shared" si="2678"/>
        <v>12.41985016241374</v>
      </c>
      <c r="V2609" s="362">
        <f t="shared" si="2678"/>
        <v>16.563733169102818</v>
      </c>
      <c r="X2609" s="351"/>
    </row>
    <row r="2610" spans="3:24" ht="24.75" customHeight="1" x14ac:dyDescent="0.3">
      <c r="C2610" s="353">
        <f>ABS(E2610-Dashboard!$F$14)</f>
        <v>51.38661308716194</v>
      </c>
      <c r="D2610" s="350">
        <f t="shared" si="2643"/>
        <v>0.33374999999997851</v>
      </c>
      <c r="E2610" s="359" cm="1">
        <f t="array" ref="E2610">1000*SUM('DRE + DCF'!$L$36/M2610,'DRE + DCF'!$N$36:$V$36/N2610:V2610,F2610/V2610)/Dashboard!$F$11</f>
        <v>45.603386912838054</v>
      </c>
      <c r="F2610" s="359">
        <f t="shared" si="2641"/>
        <v>7775899.0779751111</v>
      </c>
      <c r="G2610" s="359">
        <f>'DRE + DCF'!$W$31</f>
        <v>2791623.3540418856</v>
      </c>
      <c r="H2610" s="359">
        <f>'DRE + DCF'!$W$32</f>
        <v>81081.931703745853</v>
      </c>
      <c r="I2610" s="359">
        <f>-H2610*('DRE + DCF'!$V$33+K2610)/'DRE + DCF'!$V$33</f>
        <v>-90858.801614444121</v>
      </c>
      <c r="J2610" s="359">
        <f>-'DRE + DCF'!$V$56*L2610</f>
        <v>-1188924.4255577971</v>
      </c>
      <c r="K2610" s="360">
        <f>(1+L2610)/(1+Ke!$O$12)-1</f>
        <v>2.0000000000000018E-2</v>
      </c>
      <c r="L2610" s="360">
        <f>'DRE + DCF'!$Y$31</f>
        <v>7.3550000000000004E-2</v>
      </c>
      <c r="M2610" s="361">
        <f>(1+D2610)^((5-Dashboard!$F$9)*3/12)</f>
        <v>1.2410972814628101</v>
      </c>
      <c r="N2610" s="361">
        <f t="shared" ref="N2610:V2610" si="2679">M2610*(1+$D2610)</f>
        <v>1.6553134991509961</v>
      </c>
      <c r="O2610" s="361">
        <f t="shared" si="2679"/>
        <v>2.2077743794926055</v>
      </c>
      <c r="P2610" s="361">
        <f t="shared" si="2679"/>
        <v>2.9446190786482149</v>
      </c>
      <c r="Q2610" s="361">
        <f t="shared" si="2679"/>
        <v>3.9273856961469931</v>
      </c>
      <c r="R2610" s="361">
        <f t="shared" si="2679"/>
        <v>5.2381506722359674</v>
      </c>
      <c r="S2610" s="361">
        <f t="shared" si="2679"/>
        <v>6.9863834590946086</v>
      </c>
      <c r="T2610" s="361">
        <f t="shared" si="2679"/>
        <v>9.3180889385672838</v>
      </c>
      <c r="U2610" s="361">
        <f t="shared" si="2679"/>
        <v>12.428001121813914</v>
      </c>
      <c r="V2610" s="362">
        <f t="shared" si="2679"/>
        <v>16.575846496219039</v>
      </c>
      <c r="X2610" s="351"/>
    </row>
    <row r="2611" spans="3:24" ht="24.75" customHeight="1" x14ac:dyDescent="0.3">
      <c r="C2611" s="353">
        <f>ABS(E2611-Dashboard!$F$14)</f>
        <v>51.407288229457407</v>
      </c>
      <c r="D2611" s="350">
        <f t="shared" si="2643"/>
        <v>0.3338499999999785</v>
      </c>
      <c r="E2611" s="359" cm="1">
        <f t="array" ref="E2611">1000*SUM('DRE + DCF'!$L$36/M2611,'DRE + DCF'!$N$36:$V$36/N2611:V2611,F2611/V2611)/Dashboard!$F$11</f>
        <v>45.582711770542588</v>
      </c>
      <c r="F2611" s="359">
        <f t="shared" si="2641"/>
        <v>7773291.7956168791</v>
      </c>
      <c r="G2611" s="359">
        <f>'DRE + DCF'!$W$31</f>
        <v>2791623.3540418856</v>
      </c>
      <c r="H2611" s="359">
        <f>'DRE + DCF'!$W$32</f>
        <v>81081.931703745853</v>
      </c>
      <c r="I2611" s="359">
        <f>-H2611*('DRE + DCF'!$V$33+K2611)/'DRE + DCF'!$V$33</f>
        <v>-90858.801614444121</v>
      </c>
      <c r="J2611" s="359">
        <f>-'DRE + DCF'!$V$56*L2611</f>
        <v>-1188924.4255577971</v>
      </c>
      <c r="K2611" s="360">
        <f>(1+L2611)/(1+Ke!$O$12)-1</f>
        <v>2.0000000000000018E-2</v>
      </c>
      <c r="L2611" s="360">
        <f>'DRE + DCF'!$Y$31</f>
        <v>7.3550000000000004E-2</v>
      </c>
      <c r="M2611" s="361">
        <f>(1+D2611)^((5-Dashboard!$F$9)*3/12)</f>
        <v>1.241167070721489</v>
      </c>
      <c r="N2611" s="361">
        <f t="shared" ref="N2611:V2611" si="2680">M2611*(1+$D2611)</f>
        <v>1.6555306972818313</v>
      </c>
      <c r="O2611" s="361">
        <f t="shared" si="2680"/>
        <v>2.2082296205693352</v>
      </c>
      <c r="P2611" s="361">
        <f t="shared" si="2680"/>
        <v>2.9454470793963603</v>
      </c>
      <c r="Q2611" s="361">
        <f t="shared" si="2680"/>
        <v>3.9287845868527715</v>
      </c>
      <c r="R2611" s="361">
        <f t="shared" si="2680"/>
        <v>5.2404093211734848</v>
      </c>
      <c r="S2611" s="361">
        <f t="shared" si="2680"/>
        <v>6.9899199730471393</v>
      </c>
      <c r="T2611" s="361">
        <f t="shared" si="2680"/>
        <v>9.3235047560487754</v>
      </c>
      <c r="U2611" s="361">
        <f t="shared" si="2680"/>
        <v>12.436156818855459</v>
      </c>
      <c r="V2611" s="362">
        <f t="shared" si="2680"/>
        <v>16.587967772830087</v>
      </c>
      <c r="X2611" s="351"/>
    </row>
    <row r="2612" spans="3:24" ht="24.75" customHeight="1" x14ac:dyDescent="0.3">
      <c r="C2612" s="353">
        <f>ABS(E2612-Dashboard!$F$14)</f>
        <v>51.42794640797927</v>
      </c>
      <c r="D2612" s="350">
        <f t="shared" si="2643"/>
        <v>0.33394999999997849</v>
      </c>
      <c r="E2612" s="359" cm="1">
        <f t="array" ref="E2612">1000*SUM('DRE + DCF'!$L$36/M2612,'DRE + DCF'!$N$36:$V$36/N2612:V2612,F2612/V2612)/Dashboard!$F$11</f>
        <v>45.562053592020725</v>
      </c>
      <c r="F2612" s="359">
        <f t="shared" si="2641"/>
        <v>7770686.2882873649</v>
      </c>
      <c r="G2612" s="359">
        <f>'DRE + DCF'!$W$31</f>
        <v>2791623.3540418856</v>
      </c>
      <c r="H2612" s="359">
        <f>'DRE + DCF'!$W$32</f>
        <v>81081.931703745853</v>
      </c>
      <c r="I2612" s="359">
        <f>-H2612*('DRE + DCF'!$V$33+K2612)/'DRE + DCF'!$V$33</f>
        <v>-90858.801614444121</v>
      </c>
      <c r="J2612" s="359">
        <f>-'DRE + DCF'!$V$56*L2612</f>
        <v>-1188924.4255577971</v>
      </c>
      <c r="K2612" s="360">
        <f>(1+L2612)/(1+Ke!$O$12)-1</f>
        <v>2.0000000000000018E-2</v>
      </c>
      <c r="L2612" s="360">
        <f>'DRE + DCF'!$Y$31</f>
        <v>7.3550000000000004E-2</v>
      </c>
      <c r="M2612" s="361">
        <f>(1+D2612)^((5-Dashboard!$F$9)*3/12)</f>
        <v>1.2412368586721385</v>
      </c>
      <c r="N2612" s="361">
        <f t="shared" ref="N2612:V2612" si="2681">M2612*(1+$D2612)</f>
        <v>1.6557479076256725</v>
      </c>
      <c r="O2612" s="361">
        <f t="shared" si="2681"/>
        <v>2.2086849213772299</v>
      </c>
      <c r="P2612" s="361">
        <f t="shared" si="2681"/>
        <v>2.9462752508711083</v>
      </c>
      <c r="Q2612" s="361">
        <f t="shared" si="2681"/>
        <v>3.9301838708994512</v>
      </c>
      <c r="R2612" s="361">
        <f t="shared" si="2681"/>
        <v>5.2426687745862379</v>
      </c>
      <c r="S2612" s="361">
        <f t="shared" si="2681"/>
        <v>6.9934580118591994</v>
      </c>
      <c r="T2612" s="361">
        <f t="shared" si="2681"/>
        <v>9.3289233149194288</v>
      </c>
      <c r="U2612" s="361">
        <f t="shared" si="2681"/>
        <v>12.444317255936571</v>
      </c>
      <c r="V2612" s="362">
        <f t="shared" si="2681"/>
        <v>16.600097003556321</v>
      </c>
      <c r="X2612" s="351"/>
    </row>
    <row r="2613" spans="3:24" ht="24.75" customHeight="1" x14ac:dyDescent="0.3">
      <c r="C2613" s="353">
        <f>ABS(E2613-Dashboard!$F$14)</f>
        <v>51.448587642123705</v>
      </c>
      <c r="D2613" s="350">
        <f t="shared" si="2643"/>
        <v>0.33404999999997848</v>
      </c>
      <c r="E2613" s="359" cm="1">
        <f t="array" ref="E2613">1000*SUM('DRE + DCF'!$L$36/M2613,'DRE + DCF'!$N$36:$V$36/N2613:V2613,F2613/V2613)/Dashboard!$F$11</f>
        <v>45.54141235787629</v>
      </c>
      <c r="F2613" s="359">
        <f t="shared" si="2641"/>
        <v>7768082.554146613</v>
      </c>
      <c r="G2613" s="359">
        <f>'DRE + DCF'!$W$31</f>
        <v>2791623.3540418856</v>
      </c>
      <c r="H2613" s="359">
        <f>'DRE + DCF'!$W$32</f>
        <v>81081.931703745853</v>
      </c>
      <c r="I2613" s="359">
        <f>-H2613*('DRE + DCF'!$V$33+K2613)/'DRE + DCF'!$V$33</f>
        <v>-90858.801614444121</v>
      </c>
      <c r="J2613" s="359">
        <f>-'DRE + DCF'!$V$56*L2613</f>
        <v>-1188924.4255577971</v>
      </c>
      <c r="K2613" s="360">
        <f>(1+L2613)/(1+Ke!$O$12)-1</f>
        <v>2.0000000000000018E-2</v>
      </c>
      <c r="L2613" s="360">
        <f>'DRE + DCF'!$Y$31</f>
        <v>7.3550000000000004E-2</v>
      </c>
      <c r="M2613" s="361">
        <f>(1+D2613)^((5-Dashboard!$F$9)*3/12)</f>
        <v>1.2413066453148811</v>
      </c>
      <c r="N2613" s="361">
        <f t="shared" ref="N2613:V2613" si="2682">M2613*(1+$D2613)</f>
        <v>1.6559651301822904</v>
      </c>
      <c r="O2613" s="361">
        <f t="shared" si="2682"/>
        <v>2.2091402819196486</v>
      </c>
      <c r="P2613" s="361">
        <f t="shared" si="2682"/>
        <v>2.9471035930948597</v>
      </c>
      <c r="Q2613" s="361">
        <f t="shared" si="2682"/>
        <v>3.9315835483681338</v>
      </c>
      <c r="R2613" s="361">
        <f t="shared" si="2682"/>
        <v>5.2449290327004245</v>
      </c>
      <c r="S2613" s="361">
        <f t="shared" si="2682"/>
        <v>6.9969975760738885</v>
      </c>
      <c r="T2613" s="361">
        <f t="shared" si="2682"/>
        <v>9.3343446163612196</v>
      </c>
      <c r="U2613" s="361">
        <f t="shared" si="2682"/>
        <v>12.452482435456483</v>
      </c>
      <c r="V2613" s="362">
        <f t="shared" si="2682"/>
        <v>16.612234193020452</v>
      </c>
      <c r="X2613" s="351"/>
    </row>
    <row r="2614" spans="3:24" ht="24.75" customHeight="1" x14ac:dyDescent="0.3">
      <c r="C2614" s="353">
        <f>ABS(E2614-Dashboard!$F$14)</f>
        <v>51.469211951258522</v>
      </c>
      <c r="D2614" s="350">
        <f t="shared" si="2643"/>
        <v>0.33414999999997846</v>
      </c>
      <c r="E2614" s="359" cm="1">
        <f t="array" ref="E2614">1000*SUM('DRE + DCF'!$L$36/M2614,'DRE + DCF'!$N$36:$V$36/N2614:V2614,F2614/V2614)/Dashboard!$F$11</f>
        <v>45.520788048741473</v>
      </c>
      <c r="F2614" s="359">
        <f t="shared" si="2641"/>
        <v>7765480.5913572507</v>
      </c>
      <c r="G2614" s="359">
        <f>'DRE + DCF'!$W$31</f>
        <v>2791623.3540418856</v>
      </c>
      <c r="H2614" s="359">
        <f>'DRE + DCF'!$W$32</f>
        <v>81081.931703745853</v>
      </c>
      <c r="I2614" s="359">
        <f>-H2614*('DRE + DCF'!$V$33+K2614)/'DRE + DCF'!$V$33</f>
        <v>-90858.801614444121</v>
      </c>
      <c r="J2614" s="359">
        <f>-'DRE + DCF'!$V$56*L2614</f>
        <v>-1188924.4255577971</v>
      </c>
      <c r="K2614" s="360">
        <f>(1+L2614)/(1+Ke!$O$12)-1</f>
        <v>2.0000000000000018E-2</v>
      </c>
      <c r="L2614" s="360">
        <f>'DRE + DCF'!$Y$31</f>
        <v>7.3550000000000004E-2</v>
      </c>
      <c r="M2614" s="361">
        <f>(1+D2614)^((5-Dashboard!$F$9)*3/12)</f>
        <v>1.2413764306498394</v>
      </c>
      <c r="N2614" s="361">
        <f t="shared" ref="N2614:V2614" si="2683">M2614*(1+$D2614)</f>
        <v>1.6561823649514564</v>
      </c>
      <c r="O2614" s="361">
        <f t="shared" si="2683"/>
        <v>2.2095957021999499</v>
      </c>
      <c r="P2614" s="361">
        <f t="shared" si="2683"/>
        <v>2.9479321060900157</v>
      </c>
      <c r="Q2614" s="361">
        <f t="shared" si="2683"/>
        <v>3.9329836193399306</v>
      </c>
      <c r="R2614" s="361">
        <f t="shared" si="2683"/>
        <v>5.2471900957422832</v>
      </c>
      <c r="S2614" s="361">
        <f t="shared" si="2683"/>
        <v>7.000538666234454</v>
      </c>
      <c r="T2614" s="361">
        <f t="shared" si="2683"/>
        <v>9.3397686615565458</v>
      </c>
      <c r="U2614" s="361">
        <f t="shared" si="2683"/>
        <v>12.460652359815464</v>
      </c>
      <c r="V2614" s="362">
        <f t="shared" si="2683"/>
        <v>16.624379345847533</v>
      </c>
      <c r="X2614" s="351"/>
    </row>
    <row r="2615" spans="3:24" ht="24.75" customHeight="1" x14ac:dyDescent="0.3">
      <c r="C2615" s="353">
        <f>ABS(E2615-Dashboard!$F$14)</f>
        <v>51.489819354723352</v>
      </c>
      <c r="D2615" s="350">
        <f t="shared" si="2643"/>
        <v>0.33424999999997845</v>
      </c>
      <c r="E2615" s="359" cm="1">
        <f t="array" ref="E2615">1000*SUM('DRE + DCF'!$L$36/M2615,'DRE + DCF'!$N$36:$V$36/N2615:V2615,F2615/V2615)/Dashboard!$F$11</f>
        <v>45.500180645276643</v>
      </c>
      <c r="F2615" s="359">
        <f t="shared" si="2641"/>
        <v>7762880.3980844803</v>
      </c>
      <c r="G2615" s="359">
        <f>'DRE + DCF'!$W$31</f>
        <v>2791623.3540418856</v>
      </c>
      <c r="H2615" s="359">
        <f>'DRE + DCF'!$W$32</f>
        <v>81081.931703745853</v>
      </c>
      <c r="I2615" s="359">
        <f>-H2615*('DRE + DCF'!$V$33+K2615)/'DRE + DCF'!$V$33</f>
        <v>-90858.801614444121</v>
      </c>
      <c r="J2615" s="359">
        <f>-'DRE + DCF'!$V$56*L2615</f>
        <v>-1188924.4255577971</v>
      </c>
      <c r="K2615" s="360">
        <f>(1+L2615)/(1+Ke!$O$12)-1</f>
        <v>2.0000000000000018E-2</v>
      </c>
      <c r="L2615" s="360">
        <f>'DRE + DCF'!$Y$31</f>
        <v>7.3550000000000004E-2</v>
      </c>
      <c r="M2615" s="361">
        <f>(1+D2615)^((5-Dashboard!$F$9)*3/12)</f>
        <v>1.2414462146771357</v>
      </c>
      <c r="N2615" s="361">
        <f t="shared" ref="N2615:V2615" si="2684">M2615*(1+$D2615)</f>
        <v>1.6563996119329414</v>
      </c>
      <c r="O2615" s="361">
        <f t="shared" si="2684"/>
        <v>2.2100511822214912</v>
      </c>
      <c r="P2615" s="361">
        <f t="shared" si="2684"/>
        <v>2.9487607898789769</v>
      </c>
      <c r="Q2615" s="361">
        <f t="shared" si="2684"/>
        <v>3.9343840838959614</v>
      </c>
      <c r="R2615" s="361">
        <f t="shared" si="2684"/>
        <v>5.2494519639381014</v>
      </c>
      <c r="S2615" s="361">
        <f t="shared" si="2684"/>
        <v>7.0040812828842984</v>
      </c>
      <c r="T2615" s="361">
        <f t="shared" si="2684"/>
        <v>9.3451954516882232</v>
      </c>
      <c r="U2615" s="361">
        <f t="shared" si="2684"/>
        <v>12.46882703141481</v>
      </c>
      <c r="V2615" s="362">
        <f t="shared" si="2684"/>
        <v>16.636532466664939</v>
      </c>
      <c r="X2615" s="351"/>
    </row>
    <row r="2616" spans="3:24" ht="24.75" customHeight="1" x14ac:dyDescent="0.3">
      <c r="C2616" s="353">
        <f>ABS(E2616-Dashboard!$F$14)</f>
        <v>51.510409871829616</v>
      </c>
      <c r="D2616" s="350">
        <f t="shared" si="2643"/>
        <v>0.33434999999997844</v>
      </c>
      <c r="E2616" s="359" cm="1">
        <f t="array" ref="E2616">1000*SUM('DRE + DCF'!$L$36/M2616,'DRE + DCF'!$N$36:$V$36/N2616:V2616,F2616/V2616)/Dashboard!$F$11</f>
        <v>45.479590128170379</v>
      </c>
      <c r="F2616" s="359">
        <f t="shared" si="2641"/>
        <v>7760281.9724960709</v>
      </c>
      <c r="G2616" s="359">
        <f>'DRE + DCF'!$W$31</f>
        <v>2791623.3540418856</v>
      </c>
      <c r="H2616" s="359">
        <f>'DRE + DCF'!$W$32</f>
        <v>81081.931703745853</v>
      </c>
      <c r="I2616" s="359">
        <f>-H2616*('DRE + DCF'!$V$33+K2616)/'DRE + DCF'!$V$33</f>
        <v>-90858.801614444121</v>
      </c>
      <c r="J2616" s="359">
        <f>-'DRE + DCF'!$V$56*L2616</f>
        <v>-1188924.4255577971</v>
      </c>
      <c r="K2616" s="360">
        <f>(1+L2616)/(1+Ke!$O$12)-1</f>
        <v>2.0000000000000018E-2</v>
      </c>
      <c r="L2616" s="360">
        <f>'DRE + DCF'!$Y$31</f>
        <v>7.3550000000000004E-2</v>
      </c>
      <c r="M2616" s="361">
        <f>(1+D2616)^((5-Dashboard!$F$9)*3/12)</f>
        <v>1.2415159973968928</v>
      </c>
      <c r="N2616" s="361">
        <f t="shared" ref="N2616:V2616" si="2685">M2616*(1+$D2616)</f>
        <v>1.656616871126517</v>
      </c>
      <c r="O2616" s="361">
        <f t="shared" si="2685"/>
        <v>2.210506721987632</v>
      </c>
      <c r="P2616" s="361">
        <f t="shared" si="2685"/>
        <v>2.9495896444841492</v>
      </c>
      <c r="Q2616" s="361">
        <f t="shared" si="2685"/>
        <v>3.9357849421173605</v>
      </c>
      <c r="R2616" s="361">
        <f t="shared" si="2685"/>
        <v>5.2517146375142145</v>
      </c>
      <c r="S2616" s="361">
        <f t="shared" si="2685"/>
        <v>7.0076254265669791</v>
      </c>
      <c r="T2616" s="361">
        <f t="shared" si="2685"/>
        <v>9.3506249879394971</v>
      </c>
      <c r="U2616" s="361">
        <f t="shared" si="2685"/>
        <v>12.477006452656866</v>
      </c>
      <c r="V2616" s="362">
        <f t="shared" si="2685"/>
        <v>16.648693560102419</v>
      </c>
      <c r="X2616" s="351"/>
    </row>
    <row r="2617" spans="3:24" ht="24.75" customHeight="1" x14ac:dyDescent="0.3">
      <c r="C2617" s="353">
        <f>ABS(E2617-Dashboard!$F$14)</f>
        <v>51.530983521860605</v>
      </c>
      <c r="D2617" s="350">
        <f t="shared" si="2643"/>
        <v>0.33444999999997843</v>
      </c>
      <c r="E2617" s="359" cm="1">
        <f t="array" ref="E2617">1000*SUM('DRE + DCF'!$L$36/M2617,'DRE + DCF'!$N$36:$V$36/N2617:V2617,F2617/V2617)/Dashboard!$F$11</f>
        <v>45.45901647813939</v>
      </c>
      <c r="F2617" s="359">
        <f t="shared" si="2641"/>
        <v>7757685.3127623647</v>
      </c>
      <c r="G2617" s="359">
        <f>'DRE + DCF'!$W$31</f>
        <v>2791623.3540418856</v>
      </c>
      <c r="H2617" s="359">
        <f>'DRE + DCF'!$W$32</f>
        <v>81081.931703745853</v>
      </c>
      <c r="I2617" s="359">
        <f>-H2617*('DRE + DCF'!$V$33+K2617)/'DRE + DCF'!$V$33</f>
        <v>-90858.801614444121</v>
      </c>
      <c r="J2617" s="359">
        <f>-'DRE + DCF'!$V$56*L2617</f>
        <v>-1188924.4255577971</v>
      </c>
      <c r="K2617" s="360">
        <f>(1+L2617)/(1+Ke!$O$12)-1</f>
        <v>2.0000000000000018E-2</v>
      </c>
      <c r="L2617" s="360">
        <f>'DRE + DCF'!$Y$31</f>
        <v>7.3550000000000004E-2</v>
      </c>
      <c r="M2617" s="361">
        <f>(1+D2617)^((5-Dashboard!$F$9)*3/12)</f>
        <v>1.241585778809233</v>
      </c>
      <c r="N2617" s="361">
        <f t="shared" ref="N2617:V2617" si="2686">M2617*(1+$D2617)</f>
        <v>1.6568341425319542</v>
      </c>
      <c r="O2617" s="361">
        <f t="shared" si="2686"/>
        <v>2.2109623215017304</v>
      </c>
      <c r="P2617" s="361">
        <f t="shared" si="2686"/>
        <v>2.9504186699279362</v>
      </c>
      <c r="Q2617" s="361">
        <f t="shared" si="2686"/>
        <v>3.9371861940852706</v>
      </c>
      <c r="R2617" s="361">
        <f t="shared" si="2686"/>
        <v>5.2539781166970041</v>
      </c>
      <c r="S2617" s="361">
        <f t="shared" si="2686"/>
        <v>7.0111710978262032</v>
      </c>
      <c r="T2617" s="361">
        <f t="shared" si="2686"/>
        <v>9.3560572714940253</v>
      </c>
      <c r="U2617" s="361">
        <f t="shared" si="2686"/>
        <v>12.485190625945</v>
      </c>
      <c r="V2617" s="362">
        <f t="shared" si="2686"/>
        <v>16.660862630792035</v>
      </c>
      <c r="X2617" s="351"/>
    </row>
    <row r="2618" spans="3:24" ht="24.75" customHeight="1" x14ac:dyDescent="0.3">
      <c r="C2618" s="353">
        <f>ABS(E2618-Dashboard!$F$14)</f>
        <v>51.551540324071496</v>
      </c>
      <c r="D2618" s="350">
        <f t="shared" si="2643"/>
        <v>0.33454999999997842</v>
      </c>
      <c r="E2618" s="359" cm="1">
        <f t="array" ref="E2618">1000*SUM('DRE + DCF'!$L$36/M2618,'DRE + DCF'!$N$36:$V$36/N2618:V2618,F2618/V2618)/Dashboard!$F$11</f>
        <v>45.438459675928499</v>
      </c>
      <c r="F2618" s="359">
        <f t="shared" si="2641"/>
        <v>7755090.4170562569</v>
      </c>
      <c r="G2618" s="359">
        <f>'DRE + DCF'!$W$31</f>
        <v>2791623.3540418856</v>
      </c>
      <c r="H2618" s="359">
        <f>'DRE + DCF'!$W$32</f>
        <v>81081.931703745853</v>
      </c>
      <c r="I2618" s="359">
        <f>-H2618*('DRE + DCF'!$V$33+K2618)/'DRE + DCF'!$V$33</f>
        <v>-90858.801614444121</v>
      </c>
      <c r="J2618" s="359">
        <f>-'DRE + DCF'!$V$56*L2618</f>
        <v>-1188924.4255577971</v>
      </c>
      <c r="K2618" s="360">
        <f>(1+L2618)/(1+Ke!$O$12)-1</f>
        <v>2.0000000000000018E-2</v>
      </c>
      <c r="L2618" s="360">
        <f>'DRE + DCF'!$Y$31</f>
        <v>7.3550000000000004E-2</v>
      </c>
      <c r="M2618" s="361">
        <f>(1+D2618)^((5-Dashboard!$F$9)*3/12)</f>
        <v>1.2416555589142788</v>
      </c>
      <c r="N2618" s="361">
        <f t="shared" ref="N2618:V2618" si="2687">M2618*(1+$D2618)</f>
        <v>1.6570514261490239</v>
      </c>
      <c r="O2618" s="361">
        <f t="shared" si="2687"/>
        <v>2.2114179807671439</v>
      </c>
      <c r="P2618" s="361">
        <f t="shared" si="2687"/>
        <v>2.9512478662327442</v>
      </c>
      <c r="Q2618" s="361">
        <f t="shared" si="2687"/>
        <v>3.9385878398808449</v>
      </c>
      <c r="R2618" s="361">
        <f t="shared" si="2687"/>
        <v>5.2562424017128961</v>
      </c>
      <c r="S2618" s="361">
        <f t="shared" si="2687"/>
        <v>7.0147182972058317</v>
      </c>
      <c r="T2618" s="361">
        <f t="shared" si="2687"/>
        <v>9.3614923035358917</v>
      </c>
      <c r="U2618" s="361">
        <f t="shared" si="2687"/>
        <v>12.493379553683623</v>
      </c>
      <c r="V2618" s="362">
        <f t="shared" si="2687"/>
        <v>16.673039683368209</v>
      </c>
      <c r="X2618" s="351"/>
    </row>
    <row r="2619" spans="3:24" ht="24.75" customHeight="1" x14ac:dyDescent="0.3">
      <c r="C2619" s="353">
        <f>ABS(E2619-Dashboard!$F$14)</f>
        <v>51.572080297689467</v>
      </c>
      <c r="D2619" s="350">
        <f t="shared" si="2643"/>
        <v>0.33464999999997841</v>
      </c>
      <c r="E2619" s="359" cm="1">
        <f t="array" ref="E2619">1000*SUM('DRE + DCF'!$L$36/M2619,'DRE + DCF'!$N$36:$V$36/N2619:V2619,F2619/V2619)/Dashboard!$F$11</f>
        <v>45.417919702310527</v>
      </c>
      <c r="F2619" s="359">
        <f t="shared" si="2641"/>
        <v>7752497.2835532073</v>
      </c>
      <c r="G2619" s="359">
        <f>'DRE + DCF'!$W$31</f>
        <v>2791623.3540418856</v>
      </c>
      <c r="H2619" s="359">
        <f>'DRE + DCF'!$W$32</f>
        <v>81081.931703745853</v>
      </c>
      <c r="I2619" s="359">
        <f>-H2619*('DRE + DCF'!$V$33+K2619)/'DRE + DCF'!$V$33</f>
        <v>-90858.801614444121</v>
      </c>
      <c r="J2619" s="359">
        <f>-'DRE + DCF'!$V$56*L2619</f>
        <v>-1188924.4255577971</v>
      </c>
      <c r="K2619" s="360">
        <f>(1+L2619)/(1+Ke!$O$12)-1</f>
        <v>2.0000000000000018E-2</v>
      </c>
      <c r="L2619" s="360">
        <f>'DRE + DCF'!$Y$31</f>
        <v>7.3550000000000004E-2</v>
      </c>
      <c r="M2619" s="361">
        <f>(1+D2619)^((5-Dashboard!$F$9)*3/12)</f>
        <v>1.2417253377121527</v>
      </c>
      <c r="N2619" s="361">
        <f t="shared" ref="N2619:V2619" si="2688">M2619*(1+$D2619)</f>
        <v>1.6572687219774977</v>
      </c>
      <c r="O2619" s="361">
        <f t="shared" si="2688"/>
        <v>2.2118736997872315</v>
      </c>
      <c r="P2619" s="361">
        <f t="shared" si="2688"/>
        <v>2.9520772334209808</v>
      </c>
      <c r="Q2619" s="361">
        <f t="shared" si="2688"/>
        <v>3.9399898795852484</v>
      </c>
      <c r="R2619" s="361">
        <f t="shared" si="2688"/>
        <v>5.2585074927883664</v>
      </c>
      <c r="S2619" s="361">
        <f t="shared" si="2688"/>
        <v>7.0182670252498793</v>
      </c>
      <c r="T2619" s="361">
        <f t="shared" si="2688"/>
        <v>9.3669300852495994</v>
      </c>
      <c r="U2619" s="361">
        <f t="shared" si="2688"/>
        <v>12.501573238278175</v>
      </c>
      <c r="V2619" s="362">
        <f t="shared" si="2688"/>
        <v>16.685224722467694</v>
      </c>
      <c r="X2619" s="351"/>
    </row>
    <row r="2620" spans="3:24" ht="24.75" customHeight="1" x14ac:dyDescent="0.3">
      <c r="C2620" s="353">
        <f>ABS(E2620-Dashboard!$F$14)</f>
        <v>51.592603461913704</v>
      </c>
      <c r="D2620" s="350">
        <f t="shared" si="2643"/>
        <v>0.3347499999999784</v>
      </c>
      <c r="E2620" s="359" cm="1">
        <f t="array" ref="E2620">1000*SUM('DRE + DCF'!$L$36/M2620,'DRE + DCF'!$N$36:$V$36/N2620:V2620,F2620/V2620)/Dashboard!$F$11</f>
        <v>45.397396538086291</v>
      </c>
      <c r="F2620" s="359">
        <f t="shared" si="2641"/>
        <v>7749905.9104312249</v>
      </c>
      <c r="G2620" s="359">
        <f>'DRE + DCF'!$W$31</f>
        <v>2791623.3540418856</v>
      </c>
      <c r="H2620" s="359">
        <f>'DRE + DCF'!$W$32</f>
        <v>81081.931703745853</v>
      </c>
      <c r="I2620" s="359">
        <f>-H2620*('DRE + DCF'!$V$33+K2620)/'DRE + DCF'!$V$33</f>
        <v>-90858.801614444121</v>
      </c>
      <c r="J2620" s="359">
        <f>-'DRE + DCF'!$V$56*L2620</f>
        <v>-1188924.4255577971</v>
      </c>
      <c r="K2620" s="360">
        <f>(1+L2620)/(1+Ke!$O$12)-1</f>
        <v>2.0000000000000018E-2</v>
      </c>
      <c r="L2620" s="360">
        <f>'DRE + DCF'!$Y$31</f>
        <v>7.3550000000000004E-2</v>
      </c>
      <c r="M2620" s="361">
        <f>(1+D2620)^((5-Dashboard!$F$9)*3/12)</f>
        <v>1.2417951152029771</v>
      </c>
      <c r="N2620" s="361">
        <f t="shared" ref="N2620:V2620" si="2689">M2620*(1+$D2620)</f>
        <v>1.6574860300171468</v>
      </c>
      <c r="O2620" s="361">
        <f t="shared" si="2689"/>
        <v>2.2123294785653509</v>
      </c>
      <c r="P2620" s="361">
        <f t="shared" si="2689"/>
        <v>2.9529067715150541</v>
      </c>
      <c r="Q2620" s="361">
        <f t="shared" si="2689"/>
        <v>3.9413923132796547</v>
      </c>
      <c r="R2620" s="361">
        <f t="shared" si="2689"/>
        <v>5.2607733901499341</v>
      </c>
      <c r="S2620" s="361">
        <f t="shared" si="2689"/>
        <v>7.0218172825025107</v>
      </c>
      <c r="T2620" s="361">
        <f t="shared" si="2689"/>
        <v>9.3723706178200743</v>
      </c>
      <c r="U2620" s="361">
        <f t="shared" si="2689"/>
        <v>12.509771682135142</v>
      </c>
      <c r="V2620" s="362">
        <f t="shared" si="2689"/>
        <v>16.69741775272961</v>
      </c>
      <c r="X2620" s="351"/>
    </row>
    <row r="2621" spans="3:24" ht="24.75" customHeight="1" x14ac:dyDescent="0.3">
      <c r="C2621" s="353">
        <f>ABS(E2621-Dashboard!$F$14)</f>
        <v>51.613109835915438</v>
      </c>
      <c r="D2621" s="350">
        <f t="shared" si="2643"/>
        <v>0.33484999999997839</v>
      </c>
      <c r="E2621" s="359" cm="1">
        <f t="array" ref="E2621">1000*SUM('DRE + DCF'!$L$36/M2621,'DRE + DCF'!$N$36:$V$36/N2621:V2621,F2621/V2621)/Dashboard!$F$11</f>
        <v>45.376890164084557</v>
      </c>
      <c r="F2621" s="359">
        <f t="shared" si="2641"/>
        <v>7747316.2958708666</v>
      </c>
      <c r="G2621" s="359">
        <f>'DRE + DCF'!$W$31</f>
        <v>2791623.3540418856</v>
      </c>
      <c r="H2621" s="359">
        <f>'DRE + DCF'!$W$32</f>
        <v>81081.931703745853</v>
      </c>
      <c r="I2621" s="359">
        <f>-H2621*('DRE + DCF'!$V$33+K2621)/'DRE + DCF'!$V$33</f>
        <v>-90858.801614444121</v>
      </c>
      <c r="J2621" s="359">
        <f>-'DRE + DCF'!$V$56*L2621</f>
        <v>-1188924.4255577971</v>
      </c>
      <c r="K2621" s="360">
        <f>(1+L2621)/(1+Ke!$O$12)-1</f>
        <v>2.0000000000000018E-2</v>
      </c>
      <c r="L2621" s="360">
        <f>'DRE + DCF'!$Y$31</f>
        <v>7.3550000000000004E-2</v>
      </c>
      <c r="M2621" s="361">
        <f>(1+D2621)^((5-Dashboard!$F$9)*3/12)</f>
        <v>1.2418648913868744</v>
      </c>
      <c r="N2621" s="361">
        <f t="shared" ref="N2621:V2621" si="2690">M2621*(1+$D2621)</f>
        <v>1.6577033502677423</v>
      </c>
      <c r="O2621" s="361">
        <f t="shared" si="2690"/>
        <v>2.2127853171048599</v>
      </c>
      <c r="P2621" s="361">
        <f t="shared" si="2690"/>
        <v>2.9537364805373745</v>
      </c>
      <c r="Q2621" s="361">
        <f t="shared" si="2690"/>
        <v>3.9427951410452504</v>
      </c>
      <c r="R2621" s="361">
        <f t="shared" si="2690"/>
        <v>5.2630400940241673</v>
      </c>
      <c r="S2621" s="361">
        <f t="shared" si="2690"/>
        <v>7.025369069508046</v>
      </c>
      <c r="T2621" s="361">
        <f t="shared" si="2690"/>
        <v>9.3778139024326634</v>
      </c>
      <c r="U2621" s="361">
        <f t="shared" si="2690"/>
        <v>12.517974887662037</v>
      </c>
      <c r="V2621" s="362">
        <f t="shared" si="2690"/>
        <v>16.709618778795399</v>
      </c>
      <c r="X2621" s="351"/>
    </row>
    <row r="2622" spans="3:24" ht="24.75" customHeight="1" x14ac:dyDescent="0.3">
      <c r="C2622" s="353">
        <f>ABS(E2622-Dashboard!$F$14)</f>
        <v>51.633599438837997</v>
      </c>
      <c r="D2622" s="350">
        <f t="shared" si="2643"/>
        <v>0.33494999999997838</v>
      </c>
      <c r="E2622" s="359" cm="1">
        <f t="array" ref="E2622">1000*SUM('DRE + DCF'!$L$36/M2622,'DRE + DCF'!$N$36:$V$36/N2622:V2622,F2622/V2622)/Dashboard!$F$11</f>
        <v>45.356400561161998</v>
      </c>
      <c r="F2622" s="359">
        <f t="shared" si="2641"/>
        <v>7744728.4380552322</v>
      </c>
      <c r="G2622" s="359">
        <f>'DRE + DCF'!$W$31</f>
        <v>2791623.3540418856</v>
      </c>
      <c r="H2622" s="359">
        <f>'DRE + DCF'!$W$32</f>
        <v>81081.931703745853</v>
      </c>
      <c r="I2622" s="359">
        <f>-H2622*('DRE + DCF'!$V$33+K2622)/'DRE + DCF'!$V$33</f>
        <v>-90858.801614444121</v>
      </c>
      <c r="J2622" s="359">
        <f>-'DRE + DCF'!$V$56*L2622</f>
        <v>-1188924.4255577971</v>
      </c>
      <c r="K2622" s="360">
        <f>(1+L2622)/(1+Ke!$O$12)-1</f>
        <v>2.0000000000000018E-2</v>
      </c>
      <c r="L2622" s="360">
        <f>'DRE + DCF'!$Y$31</f>
        <v>7.3550000000000004E-2</v>
      </c>
      <c r="M2622" s="361">
        <f>(1+D2622)^((5-Dashboard!$F$9)*3/12)</f>
        <v>1.2419346662639672</v>
      </c>
      <c r="N2622" s="361">
        <f t="shared" ref="N2622:V2622" si="2691">M2622*(1+$D2622)</f>
        <v>1.657920682729056</v>
      </c>
      <c r="O2622" s="361">
        <f t="shared" si="2691"/>
        <v>2.2132412154091172</v>
      </c>
      <c r="P2622" s="361">
        <f t="shared" si="2691"/>
        <v>2.9545663605103529</v>
      </c>
      <c r="Q2622" s="361">
        <f t="shared" si="2691"/>
        <v>3.9441983629632316</v>
      </c>
      <c r="R2622" s="361">
        <f t="shared" si="2691"/>
        <v>5.2653076046376803</v>
      </c>
      <c r="S2622" s="361">
        <f t="shared" si="2691"/>
        <v>7.0289223868109572</v>
      </c>
      <c r="T2622" s="361">
        <f t="shared" si="2691"/>
        <v>9.3832599402731347</v>
      </c>
      <c r="U2622" s="361">
        <f t="shared" si="2691"/>
        <v>12.526182857267418</v>
      </c>
      <c r="V2622" s="362">
        <f t="shared" si="2691"/>
        <v>16.72182780530887</v>
      </c>
      <c r="X2622" s="351"/>
    </row>
    <row r="2623" spans="3:24" ht="24.75" customHeight="1" x14ac:dyDescent="0.3">
      <c r="C2623" s="353">
        <f>ABS(E2623-Dashboard!$F$14)</f>
        <v>51.654072289796943</v>
      </c>
      <c r="D2623" s="350">
        <f t="shared" si="2643"/>
        <v>0.33504999999997837</v>
      </c>
      <c r="E2623" s="359" cm="1">
        <f t="array" ref="E2623">1000*SUM('DRE + DCF'!$L$36/M2623,'DRE + DCF'!$N$36:$V$36/N2623:V2623,F2623/V2623)/Dashboard!$F$11</f>
        <v>45.335927710203052</v>
      </c>
      <c r="F2623" s="359">
        <f t="shared" si="2641"/>
        <v>7742142.3351699626</v>
      </c>
      <c r="G2623" s="359">
        <f>'DRE + DCF'!$W$31</f>
        <v>2791623.3540418856</v>
      </c>
      <c r="H2623" s="359">
        <f>'DRE + DCF'!$W$32</f>
        <v>81081.931703745853</v>
      </c>
      <c r="I2623" s="359">
        <f>-H2623*('DRE + DCF'!$V$33+K2623)/'DRE + DCF'!$V$33</f>
        <v>-90858.801614444121</v>
      </c>
      <c r="J2623" s="359">
        <f>-'DRE + DCF'!$V$56*L2623</f>
        <v>-1188924.4255577971</v>
      </c>
      <c r="K2623" s="360">
        <f>(1+L2623)/(1+Ke!$O$12)-1</f>
        <v>2.0000000000000018E-2</v>
      </c>
      <c r="L2623" s="360">
        <f>'DRE + DCF'!$Y$31</f>
        <v>7.3550000000000004E-2</v>
      </c>
      <c r="M2623" s="361">
        <f>(1+D2623)^((5-Dashboard!$F$9)*3/12)</f>
        <v>1.2420044398343775</v>
      </c>
      <c r="N2623" s="361">
        <f t="shared" ref="N2623:V2623" si="2692">M2623*(1+$D2623)</f>
        <v>1.6581380274008588</v>
      </c>
      <c r="O2623" s="361">
        <f t="shared" si="2692"/>
        <v>2.2136971734814805</v>
      </c>
      <c r="P2623" s="361">
        <f t="shared" si="2692"/>
        <v>2.9553964114564026</v>
      </c>
      <c r="Q2623" s="361">
        <f t="shared" si="2692"/>
        <v>3.945601979114806</v>
      </c>
      <c r="R2623" s="361">
        <f t="shared" si="2692"/>
        <v>5.2675759222171363</v>
      </c>
      <c r="S2623" s="361">
        <f t="shared" si="2692"/>
        <v>7.0324772349558735</v>
      </c>
      <c r="T2623" s="361">
        <f t="shared" si="2692"/>
        <v>9.3887087325276859</v>
      </c>
      <c r="U2623" s="361">
        <f t="shared" si="2692"/>
        <v>12.534395593360884</v>
      </c>
      <c r="V2623" s="362">
        <f t="shared" si="2692"/>
        <v>16.734044836916176</v>
      </c>
      <c r="X2623" s="351"/>
    </row>
    <row r="2624" spans="3:24" ht="24.75" customHeight="1" x14ac:dyDescent="0.3">
      <c r="C2624" s="353">
        <f>ABS(E2624-Dashboard!$F$14)</f>
        <v>51.674528407879961</v>
      </c>
      <c r="D2624" s="350">
        <f t="shared" si="2643"/>
        <v>0.33514999999997835</v>
      </c>
      <c r="E2624" s="359" cm="1">
        <f t="array" ref="E2624">1000*SUM('DRE + DCF'!$L$36/M2624,'DRE + DCF'!$N$36:$V$36/N2624:V2624,F2624/V2624)/Dashboard!$F$11</f>
        <v>45.315471592120034</v>
      </c>
      <c r="F2624" s="359">
        <f t="shared" si="2641"/>
        <v>7739557.9854032295</v>
      </c>
      <c r="G2624" s="359">
        <f>'DRE + DCF'!$W$31</f>
        <v>2791623.3540418856</v>
      </c>
      <c r="H2624" s="359">
        <f>'DRE + DCF'!$W$32</f>
        <v>81081.931703745853</v>
      </c>
      <c r="I2624" s="359">
        <f>-H2624*('DRE + DCF'!$V$33+K2624)/'DRE + DCF'!$V$33</f>
        <v>-90858.801614444121</v>
      </c>
      <c r="J2624" s="359">
        <f>-'DRE + DCF'!$V$56*L2624</f>
        <v>-1188924.4255577971</v>
      </c>
      <c r="K2624" s="360">
        <f>(1+L2624)/(1+Ke!$O$12)-1</f>
        <v>2.0000000000000018E-2</v>
      </c>
      <c r="L2624" s="360">
        <f>'DRE + DCF'!$Y$31</f>
        <v>7.3550000000000004E-2</v>
      </c>
      <c r="M2624" s="361">
        <f>(1+D2624)^((5-Dashboard!$F$9)*3/12)</f>
        <v>1.2420742120982278</v>
      </c>
      <c r="N2624" s="361">
        <f t="shared" ref="N2624:V2624" si="2693">M2624*(1+$D2624)</f>
        <v>1.658355384282922</v>
      </c>
      <c r="O2624" s="361">
        <f t="shared" si="2693"/>
        <v>2.2141531913253072</v>
      </c>
      <c r="P2624" s="361">
        <f t="shared" si="2693"/>
        <v>2.9562266333979359</v>
      </c>
      <c r="Q2624" s="361">
        <f t="shared" si="2693"/>
        <v>3.9470059895811898</v>
      </c>
      <c r="R2624" s="361">
        <f t="shared" si="2693"/>
        <v>5.2698450469892402</v>
      </c>
      <c r="S2624" s="361">
        <f t="shared" si="2693"/>
        <v>7.0360336144875699</v>
      </c>
      <c r="T2624" s="361">
        <f t="shared" si="2693"/>
        <v>9.3941602803829269</v>
      </c>
      <c r="U2624" s="361">
        <f t="shared" si="2693"/>
        <v>12.54261309835306</v>
      </c>
      <c r="V2624" s="362">
        <f t="shared" si="2693"/>
        <v>16.746269878265817</v>
      </c>
      <c r="X2624" s="351"/>
    </row>
    <row r="2625" spans="3:24" ht="24.75" customHeight="1" x14ac:dyDescent="0.3">
      <c r="C2625" s="353">
        <f>ABS(E2625-Dashboard!$F$14)</f>
        <v>51.694967812147084</v>
      </c>
      <c r="D2625" s="350">
        <f t="shared" si="2643"/>
        <v>0.33524999999997834</v>
      </c>
      <c r="E2625" s="359" cm="1">
        <f t="array" ref="E2625">1000*SUM('DRE + DCF'!$L$36/M2625,'DRE + DCF'!$N$36:$V$36/N2625:V2625,F2625/V2625)/Dashboard!$F$11</f>
        <v>45.295032187852911</v>
      </c>
      <c r="F2625" s="359">
        <f t="shared" si="2641"/>
        <v>7736975.3869457385</v>
      </c>
      <c r="G2625" s="359">
        <f>'DRE + DCF'!$W$31</f>
        <v>2791623.3540418856</v>
      </c>
      <c r="H2625" s="359">
        <f>'DRE + DCF'!$W$32</f>
        <v>81081.931703745853</v>
      </c>
      <c r="I2625" s="359">
        <f>-H2625*('DRE + DCF'!$V$33+K2625)/'DRE + DCF'!$V$33</f>
        <v>-90858.801614444121</v>
      </c>
      <c r="J2625" s="359">
        <f>-'DRE + DCF'!$V$56*L2625</f>
        <v>-1188924.4255577971</v>
      </c>
      <c r="K2625" s="360">
        <f>(1+L2625)/(1+Ke!$O$12)-1</f>
        <v>2.0000000000000018E-2</v>
      </c>
      <c r="L2625" s="360">
        <f>'DRE + DCF'!$Y$31</f>
        <v>7.3550000000000004E-2</v>
      </c>
      <c r="M2625" s="361">
        <f>(1+D2625)^((5-Dashboard!$F$9)*3/12)</f>
        <v>1.2421439830556404</v>
      </c>
      <c r="N2625" s="361">
        <f t="shared" ref="N2625:V2625" si="2694">M2625*(1+$D2625)</f>
        <v>1.658572753375017</v>
      </c>
      <c r="O2625" s="361">
        <f t="shared" si="2694"/>
        <v>2.2146092689439554</v>
      </c>
      <c r="P2625" s="361">
        <f t="shared" si="2694"/>
        <v>2.9570570263573681</v>
      </c>
      <c r="Q2625" s="361">
        <f t="shared" si="2694"/>
        <v>3.9484103944436115</v>
      </c>
      <c r="R2625" s="361">
        <f t="shared" si="2694"/>
        <v>5.2721149791807465</v>
      </c>
      <c r="S2625" s="361">
        <f t="shared" si="2694"/>
        <v>7.0395915259509776</v>
      </c>
      <c r="T2625" s="361">
        <f t="shared" si="2694"/>
        <v>9.3996145850258905</v>
      </c>
      <c r="U2625" s="361">
        <f t="shared" si="2694"/>
        <v>12.550835374655616</v>
      </c>
      <c r="V2625" s="362">
        <f t="shared" si="2694"/>
        <v>16.758502934008639</v>
      </c>
      <c r="X2625" s="351"/>
    </row>
    <row r="2626" spans="3:24" ht="24.75" customHeight="1" x14ac:dyDescent="0.3">
      <c r="C2626" s="353">
        <f>ABS(E2626-Dashboard!$F$14)</f>
        <v>51.715390521630553</v>
      </c>
      <c r="D2626" s="350">
        <f t="shared" si="2643"/>
        <v>0.33534999999997833</v>
      </c>
      <c r="E2626" s="359" cm="1">
        <f t="array" ref="E2626">1000*SUM('DRE + DCF'!$L$36/M2626,'DRE + DCF'!$N$36:$V$36/N2626:V2626,F2626/V2626)/Dashboard!$F$11</f>
        <v>45.274609478369442</v>
      </c>
      <c r="F2626" s="359">
        <f t="shared" si="2641"/>
        <v>7734394.5379907181</v>
      </c>
      <c r="G2626" s="359">
        <f>'DRE + DCF'!$W$31</f>
        <v>2791623.3540418856</v>
      </c>
      <c r="H2626" s="359">
        <f>'DRE + DCF'!$W$32</f>
        <v>81081.931703745853</v>
      </c>
      <c r="I2626" s="359">
        <f>-H2626*('DRE + DCF'!$V$33+K2626)/'DRE + DCF'!$V$33</f>
        <v>-90858.801614444121</v>
      </c>
      <c r="J2626" s="359">
        <f>-'DRE + DCF'!$V$56*L2626</f>
        <v>-1188924.4255577971</v>
      </c>
      <c r="K2626" s="360">
        <f>(1+L2626)/(1+Ke!$O$12)-1</f>
        <v>2.0000000000000018E-2</v>
      </c>
      <c r="L2626" s="360">
        <f>'DRE + DCF'!$Y$31</f>
        <v>7.3550000000000004E-2</v>
      </c>
      <c r="M2626" s="361">
        <f>(1+D2626)^((5-Dashboard!$F$9)*3/12)</f>
        <v>1.2422137527067376</v>
      </c>
      <c r="N2626" s="361">
        <f t="shared" ref="N2626:V2626" si="2695">M2626*(1+$D2626)</f>
        <v>1.6587901346769152</v>
      </c>
      <c r="O2626" s="361">
        <f t="shared" si="2695"/>
        <v>2.2150654063407824</v>
      </c>
      <c r="P2626" s="361">
        <f t="shared" si="2695"/>
        <v>2.9578875903571156</v>
      </c>
      <c r="Q2626" s="361">
        <f t="shared" si="2695"/>
        <v>3.9498151937833099</v>
      </c>
      <c r="R2626" s="361">
        <f t="shared" si="2695"/>
        <v>5.2743857190184569</v>
      </c>
      <c r="S2626" s="361">
        <f t="shared" si="2695"/>
        <v>7.0431509698911814</v>
      </c>
      <c r="T2626" s="361">
        <f t="shared" si="2695"/>
        <v>9.4050716476440357</v>
      </c>
      <c r="U2626" s="361">
        <f t="shared" si="2695"/>
        <v>12.559062424681258</v>
      </c>
      <c r="V2626" s="362">
        <f t="shared" si="2695"/>
        <v>16.770744008797845</v>
      </c>
      <c r="X2626" s="351"/>
    </row>
    <row r="2627" spans="3:24" ht="24.75" customHeight="1" x14ac:dyDescent="0.3">
      <c r="C2627" s="353">
        <f>ABS(E2627-Dashboard!$F$14)</f>
        <v>51.735796555335071</v>
      </c>
      <c r="D2627" s="350">
        <f t="shared" si="2643"/>
        <v>0.33544999999997832</v>
      </c>
      <c r="E2627" s="359" cm="1">
        <f t="array" ref="E2627">1000*SUM('DRE + DCF'!$L$36/M2627,'DRE + DCF'!$N$36:$V$36/N2627:V2627,F2627/V2627)/Dashboard!$F$11</f>
        <v>45.254203444664924</v>
      </c>
      <c r="F2627" s="359">
        <f t="shared" si="2641"/>
        <v>7731815.4367339183</v>
      </c>
      <c r="G2627" s="359">
        <f>'DRE + DCF'!$W$31</f>
        <v>2791623.3540418856</v>
      </c>
      <c r="H2627" s="359">
        <f>'DRE + DCF'!$W$32</f>
        <v>81081.931703745853</v>
      </c>
      <c r="I2627" s="359">
        <f>-H2627*('DRE + DCF'!$V$33+K2627)/'DRE + DCF'!$V$33</f>
        <v>-90858.801614444121</v>
      </c>
      <c r="J2627" s="359">
        <f>-'DRE + DCF'!$V$56*L2627</f>
        <v>-1188924.4255577971</v>
      </c>
      <c r="K2627" s="360">
        <f>(1+L2627)/(1+Ke!$O$12)-1</f>
        <v>2.0000000000000018E-2</v>
      </c>
      <c r="L2627" s="360">
        <f>'DRE + DCF'!$Y$31</f>
        <v>7.3550000000000004E-2</v>
      </c>
      <c r="M2627" s="361">
        <f>(1+D2627)^((5-Dashboard!$F$9)*3/12)</f>
        <v>1.2422835210516416</v>
      </c>
      <c r="N2627" s="361">
        <f t="shared" ref="N2627:V2627" si="2696">M2627*(1+$D2627)</f>
        <v>1.6590075281883878</v>
      </c>
      <c r="O2627" s="361">
        <f t="shared" si="2696"/>
        <v>2.2155216035191465</v>
      </c>
      <c r="P2627" s="361">
        <f t="shared" si="2696"/>
        <v>2.9587183254195959</v>
      </c>
      <c r="Q2627" s="361">
        <f t="shared" si="2696"/>
        <v>3.9512203876815351</v>
      </c>
      <c r="R2627" s="361">
        <f t="shared" si="2696"/>
        <v>5.2766572667292202</v>
      </c>
      <c r="S2627" s="361">
        <f t="shared" si="2696"/>
        <v>7.0467119468534225</v>
      </c>
      <c r="T2627" s="361">
        <f t="shared" si="2696"/>
        <v>9.4105314694252495</v>
      </c>
      <c r="U2627" s="361">
        <f t="shared" si="2696"/>
        <v>12.567294250843744</v>
      </c>
      <c r="V2627" s="362">
        <f t="shared" si="2696"/>
        <v>16.782993107289006</v>
      </c>
      <c r="X2627" s="351"/>
    </row>
    <row r="2628" spans="3:24" ht="24.75" customHeight="1" x14ac:dyDescent="0.3">
      <c r="C2628" s="353">
        <f>ABS(E2628-Dashboard!$F$14)</f>
        <v>51.756185932237706</v>
      </c>
      <c r="D2628" s="350">
        <f t="shared" si="2643"/>
        <v>0.33554999999997831</v>
      </c>
      <c r="E2628" s="359" cm="1">
        <f t="array" ref="E2628">1000*SUM('DRE + DCF'!$L$36/M2628,'DRE + DCF'!$N$36:$V$36/N2628:V2628,F2628/V2628)/Dashboard!$F$11</f>
        <v>45.233814067762289</v>
      </c>
      <c r="F2628" s="359">
        <f t="shared" si="2641"/>
        <v>7729238.0813736068</v>
      </c>
      <c r="G2628" s="359">
        <f>'DRE + DCF'!$W$31</f>
        <v>2791623.3540418856</v>
      </c>
      <c r="H2628" s="359">
        <f>'DRE + DCF'!$W$32</f>
        <v>81081.931703745853</v>
      </c>
      <c r="I2628" s="359">
        <f>-H2628*('DRE + DCF'!$V$33+K2628)/'DRE + DCF'!$V$33</f>
        <v>-90858.801614444121</v>
      </c>
      <c r="J2628" s="359">
        <f>-'DRE + DCF'!$V$56*L2628</f>
        <v>-1188924.4255577971</v>
      </c>
      <c r="K2628" s="360">
        <f>(1+L2628)/(1+Ke!$O$12)-1</f>
        <v>2.0000000000000018E-2</v>
      </c>
      <c r="L2628" s="360">
        <f>'DRE + DCF'!$Y$31</f>
        <v>7.3550000000000004E-2</v>
      </c>
      <c r="M2628" s="361">
        <f>(1+D2628)^((5-Dashboard!$F$9)*3/12)</f>
        <v>1.2423532880904751</v>
      </c>
      <c r="N2628" s="361">
        <f t="shared" ref="N2628:V2628" si="2697">M2628*(1+$D2628)</f>
        <v>1.6592249339092069</v>
      </c>
      <c r="O2628" s="361">
        <f t="shared" si="2697"/>
        <v>2.215977860482405</v>
      </c>
      <c r="P2628" s="361">
        <f t="shared" si="2697"/>
        <v>2.9595492315672276</v>
      </c>
      <c r="Q2628" s="361">
        <f t="shared" si="2697"/>
        <v>3.9526259762195464</v>
      </c>
      <c r="R2628" s="361">
        <f t="shared" si="2697"/>
        <v>5.2789296225399296</v>
      </c>
      <c r="S2628" s="361">
        <f t="shared" si="2697"/>
        <v>7.0502744573830878</v>
      </c>
      <c r="T2628" s="361">
        <f t="shared" si="2697"/>
        <v>9.4159940515578295</v>
      </c>
      <c r="U2628" s="361">
        <f t="shared" si="2697"/>
        <v>12.575530855557854</v>
      </c>
      <c r="V2628" s="362">
        <f t="shared" si="2697"/>
        <v>16.79525023414002</v>
      </c>
      <c r="X2628" s="351"/>
    </row>
    <row r="2629" spans="3:24" ht="24.75" customHeight="1" x14ac:dyDescent="0.3">
      <c r="C2629" s="353">
        <f>ABS(E2629-Dashboard!$F$14)</f>
        <v>51.776558671287958</v>
      </c>
      <c r="D2629" s="350">
        <f t="shared" si="2643"/>
        <v>0.3356499999999783</v>
      </c>
      <c r="E2629" s="359" cm="1">
        <f t="array" ref="E2629">1000*SUM('DRE + DCF'!$L$36/M2629,'DRE + DCF'!$N$36:$V$36/N2629:V2629,F2629/V2629)/Dashboard!$F$11</f>
        <v>45.213441328712037</v>
      </c>
      <c r="F2629" s="359">
        <f t="shared" si="2641"/>
        <v>7726662.4701105617</v>
      </c>
      <c r="G2629" s="359">
        <f>'DRE + DCF'!$W$31</f>
        <v>2791623.3540418856</v>
      </c>
      <c r="H2629" s="359">
        <f>'DRE + DCF'!$W$32</f>
        <v>81081.931703745853</v>
      </c>
      <c r="I2629" s="359">
        <f>-H2629*('DRE + DCF'!$V$33+K2629)/'DRE + DCF'!$V$33</f>
        <v>-90858.801614444121</v>
      </c>
      <c r="J2629" s="359">
        <f>-'DRE + DCF'!$V$56*L2629</f>
        <v>-1188924.4255577971</v>
      </c>
      <c r="K2629" s="360">
        <f>(1+L2629)/(1+Ke!$O$12)-1</f>
        <v>2.0000000000000018E-2</v>
      </c>
      <c r="L2629" s="360">
        <f>'DRE + DCF'!$Y$31</f>
        <v>7.3550000000000004E-2</v>
      </c>
      <c r="M2629" s="361">
        <f>(1+D2629)^((5-Dashboard!$F$9)*3/12)</f>
        <v>1.2424230538233596</v>
      </c>
      <c r="N2629" s="361">
        <f t="shared" ref="N2629:V2629" si="2698">M2629*(1+$D2629)</f>
        <v>1.6594423518391432</v>
      </c>
      <c r="O2629" s="361">
        <f t="shared" si="2698"/>
        <v>2.2164341772339156</v>
      </c>
      <c r="P2629" s="361">
        <f t="shared" si="2698"/>
        <v>2.960380308822431</v>
      </c>
      <c r="Q2629" s="361">
        <f t="shared" si="2698"/>
        <v>3.9540319594786153</v>
      </c>
      <c r="R2629" s="361">
        <f t="shared" si="2698"/>
        <v>5.2812027866775262</v>
      </c>
      <c r="S2629" s="361">
        <f t="shared" si="2698"/>
        <v>7.053838502025723</v>
      </c>
      <c r="T2629" s="361">
        <f t="shared" si="2698"/>
        <v>9.421459395230503</v>
      </c>
      <c r="U2629" s="361">
        <f t="shared" si="2698"/>
        <v>12.583772241239416</v>
      </c>
      <c r="V2629" s="362">
        <f t="shared" si="2698"/>
        <v>16.807515394011151</v>
      </c>
      <c r="X2629" s="351"/>
    </row>
    <row r="2630" spans="3:24" ht="24.75" customHeight="1" x14ac:dyDescent="0.3">
      <c r="C2630" s="353">
        <f>ABS(E2630-Dashboard!$F$14)</f>
        <v>51.796914791407886</v>
      </c>
      <c r="D2630" s="350">
        <f t="shared" si="2643"/>
        <v>0.33574999999997829</v>
      </c>
      <c r="E2630" s="359" cm="1">
        <f t="array" ref="E2630">1000*SUM('DRE + DCF'!$L$36/M2630,'DRE + DCF'!$N$36:$V$36/N2630:V2630,F2630/V2630)/Dashboard!$F$11</f>
        <v>45.193085208592109</v>
      </c>
      <c r="F2630" s="359">
        <f t="shared" si="2641"/>
        <v>7724088.6011480689</v>
      </c>
      <c r="G2630" s="359">
        <f>'DRE + DCF'!$W$31</f>
        <v>2791623.3540418856</v>
      </c>
      <c r="H2630" s="359">
        <f>'DRE + DCF'!$W$32</f>
        <v>81081.931703745853</v>
      </c>
      <c r="I2630" s="359">
        <f>-H2630*('DRE + DCF'!$V$33+K2630)/'DRE + DCF'!$V$33</f>
        <v>-90858.801614444121</v>
      </c>
      <c r="J2630" s="359">
        <f>-'DRE + DCF'!$V$56*L2630</f>
        <v>-1188924.4255577971</v>
      </c>
      <c r="K2630" s="360">
        <f>(1+L2630)/(1+Ke!$O$12)-1</f>
        <v>2.0000000000000018E-2</v>
      </c>
      <c r="L2630" s="360">
        <f>'DRE + DCF'!$Y$31</f>
        <v>7.3550000000000004E-2</v>
      </c>
      <c r="M2630" s="361">
        <f>(1+D2630)^((5-Dashboard!$F$9)*3/12)</f>
        <v>1.242492818250418</v>
      </c>
      <c r="N2630" s="361">
        <f t="shared" ref="N2630:V2630" si="2699">M2630*(1+$D2630)</f>
        <v>1.6596597819779688</v>
      </c>
      <c r="O2630" s="361">
        <f t="shared" si="2699"/>
        <v>2.2168905537770356</v>
      </c>
      <c r="P2630" s="361">
        <f t="shared" si="2699"/>
        <v>2.9612115572076272</v>
      </c>
      <c r="Q2630" s="361">
        <f t="shared" si="2699"/>
        <v>3.9554383375400235</v>
      </c>
      <c r="R2630" s="361">
        <f t="shared" si="2699"/>
        <v>5.283476759369</v>
      </c>
      <c r="S2630" s="361">
        <f t="shared" si="2699"/>
        <v>7.0574040813270269</v>
      </c>
      <c r="T2630" s="361">
        <f t="shared" si="2699"/>
        <v>9.4269275016324219</v>
      </c>
      <c r="U2630" s="361">
        <f t="shared" si="2699"/>
        <v>12.592018410305302</v>
      </c>
      <c r="V2630" s="362">
        <f t="shared" si="2699"/>
        <v>16.819788591565032</v>
      </c>
      <c r="X2630" s="351"/>
    </row>
    <row r="2631" spans="3:24" ht="24.75" customHeight="1" x14ac:dyDescent="0.3">
      <c r="C2631" s="353">
        <f>ABS(E2631-Dashboard!$F$14)</f>
        <v>51.81725431149205</v>
      </c>
      <c r="D2631" s="350">
        <f t="shared" si="2643"/>
        <v>0.33584999999997828</v>
      </c>
      <c r="E2631" s="359" cm="1">
        <f t="array" ref="E2631">1000*SUM('DRE + DCF'!$L$36/M2631,'DRE + DCF'!$N$36:$V$36/N2631:V2631,F2631/V2631)/Dashboard!$F$11</f>
        <v>45.172745688507945</v>
      </c>
      <c r="F2631" s="359">
        <f t="shared" si="2641"/>
        <v>7721516.4726919197</v>
      </c>
      <c r="G2631" s="359">
        <f>'DRE + DCF'!$W$31</f>
        <v>2791623.3540418856</v>
      </c>
      <c r="H2631" s="359">
        <f>'DRE + DCF'!$W$32</f>
        <v>81081.931703745853</v>
      </c>
      <c r="I2631" s="359">
        <f>-H2631*('DRE + DCF'!$V$33+K2631)/'DRE + DCF'!$V$33</f>
        <v>-90858.801614444121</v>
      </c>
      <c r="J2631" s="359">
        <f>-'DRE + DCF'!$V$56*L2631</f>
        <v>-1188924.4255577971</v>
      </c>
      <c r="K2631" s="360">
        <f>(1+L2631)/(1+Ke!$O$12)-1</f>
        <v>2.0000000000000018E-2</v>
      </c>
      <c r="L2631" s="360">
        <f>'DRE + DCF'!$Y$31</f>
        <v>7.3550000000000004E-2</v>
      </c>
      <c r="M2631" s="361">
        <f>(1+D2631)^((5-Dashboard!$F$9)*3/12)</f>
        <v>1.2425625813717722</v>
      </c>
      <c r="N2631" s="361">
        <f t="shared" ref="N2631:V2631" si="2700">M2631*(1+$D2631)</f>
        <v>1.6598772243254549</v>
      </c>
      <c r="O2631" s="361">
        <f t="shared" si="2700"/>
        <v>2.2173469901151228</v>
      </c>
      <c r="P2631" s="361">
        <f t="shared" si="2700"/>
        <v>2.9620429767452383</v>
      </c>
      <c r="Q2631" s="361">
        <f t="shared" si="2700"/>
        <v>3.9568451104850619</v>
      </c>
      <c r="R2631" s="361">
        <f t="shared" si="2700"/>
        <v>5.2857515408413835</v>
      </c>
      <c r="S2631" s="361">
        <f t="shared" si="2700"/>
        <v>7.0609711958328472</v>
      </c>
      <c r="T2631" s="361">
        <f t="shared" si="2700"/>
        <v>9.4323983719531554</v>
      </c>
      <c r="U2631" s="361">
        <f t="shared" si="2700"/>
        <v>12.600269365173418</v>
      </c>
      <c r="V2631" s="362">
        <f t="shared" si="2700"/>
        <v>16.832069831466637</v>
      </c>
      <c r="X2631" s="351"/>
    </row>
    <row r="2632" spans="3:24" ht="24.75" customHeight="1" x14ac:dyDescent="0.3">
      <c r="C2632" s="353">
        <f>ABS(E2632-Dashboard!$F$14)</f>
        <v>51.837577250407676</v>
      </c>
      <c r="D2632" s="350">
        <f t="shared" si="2643"/>
        <v>0.33594999999997827</v>
      </c>
      <c r="E2632" s="359" cm="1">
        <f t="array" ref="E2632">1000*SUM('DRE + DCF'!$L$36/M2632,'DRE + DCF'!$N$36:$V$36/N2632:V2632,F2632/V2632)/Dashboard!$F$11</f>
        <v>45.152422749592318</v>
      </c>
      <c r="F2632" s="359">
        <f t="shared" si="2641"/>
        <v>7718946.0829504039</v>
      </c>
      <c r="G2632" s="359">
        <f>'DRE + DCF'!$W$31</f>
        <v>2791623.3540418856</v>
      </c>
      <c r="H2632" s="359">
        <f>'DRE + DCF'!$W$32</f>
        <v>81081.931703745853</v>
      </c>
      <c r="I2632" s="359">
        <f>-H2632*('DRE + DCF'!$V$33+K2632)/'DRE + DCF'!$V$33</f>
        <v>-90858.801614444121</v>
      </c>
      <c r="J2632" s="359">
        <f>-'DRE + DCF'!$V$56*L2632</f>
        <v>-1188924.4255577971</v>
      </c>
      <c r="K2632" s="360">
        <f>(1+L2632)/(1+Ke!$O$12)-1</f>
        <v>2.0000000000000018E-2</v>
      </c>
      <c r="L2632" s="360">
        <f>'DRE + DCF'!$Y$31</f>
        <v>7.3550000000000004E-2</v>
      </c>
      <c r="M2632" s="361">
        <f>(1+D2632)^((5-Dashboard!$F$9)*3/12)</f>
        <v>1.2426323431875443</v>
      </c>
      <c r="N2632" s="361">
        <f t="shared" ref="N2632:V2632" si="2701">M2632*(1+$D2632)</f>
        <v>1.6600946788813729</v>
      </c>
      <c r="O2632" s="361">
        <f t="shared" si="2701"/>
        <v>2.2178034862515337</v>
      </c>
      <c r="P2632" s="361">
        <f t="shared" si="2701"/>
        <v>2.9628745674576882</v>
      </c>
      <c r="Q2632" s="361">
        <f t="shared" si="2701"/>
        <v>3.958252278395034</v>
      </c>
      <c r="R2632" s="361">
        <f t="shared" si="2701"/>
        <v>5.2880271313217593</v>
      </c>
      <c r="S2632" s="361">
        <f t="shared" si="2701"/>
        <v>7.0645398460891888</v>
      </c>
      <c r="T2632" s="361">
        <f t="shared" si="2701"/>
        <v>9.4378720073826976</v>
      </c>
      <c r="U2632" s="361">
        <f t="shared" si="2701"/>
        <v>12.608525108262709</v>
      </c>
      <c r="V2632" s="362">
        <f t="shared" si="2701"/>
        <v>16.844359118383291</v>
      </c>
      <c r="X2632" s="351"/>
    </row>
    <row r="2633" spans="3:24" ht="24.75" customHeight="1" x14ac:dyDescent="0.3">
      <c r="C2633" s="353">
        <f>ABS(E2633-Dashboard!$F$14)</f>
        <v>51.857883626994578</v>
      </c>
      <c r="D2633" s="350">
        <f t="shared" si="2643"/>
        <v>0.33604999999997825</v>
      </c>
      <c r="E2633" s="359" cm="1">
        <f t="array" ref="E2633">1000*SUM('DRE + DCF'!$L$36/M2633,'DRE + DCF'!$N$36:$V$36/N2633:V2633,F2633/V2633)/Dashboard!$F$11</f>
        <v>45.132116373005417</v>
      </c>
      <c r="F2633" s="359">
        <f t="shared" si="2641"/>
        <v>7716377.4301343001</v>
      </c>
      <c r="G2633" s="359">
        <f>'DRE + DCF'!$W$31</f>
        <v>2791623.3540418856</v>
      </c>
      <c r="H2633" s="359">
        <f>'DRE + DCF'!$W$32</f>
        <v>81081.931703745853</v>
      </c>
      <c r="I2633" s="359">
        <f>-H2633*('DRE + DCF'!$V$33+K2633)/'DRE + DCF'!$V$33</f>
        <v>-90858.801614444121</v>
      </c>
      <c r="J2633" s="359">
        <f>-'DRE + DCF'!$V$56*L2633</f>
        <v>-1188924.4255577971</v>
      </c>
      <c r="K2633" s="360">
        <f>(1+L2633)/(1+Ke!$O$12)-1</f>
        <v>2.0000000000000018E-2</v>
      </c>
      <c r="L2633" s="360">
        <f>'DRE + DCF'!$Y$31</f>
        <v>7.3550000000000004E-2</v>
      </c>
      <c r="M2633" s="361">
        <f>(1+D2633)^((5-Dashboard!$F$9)*3/12)</f>
        <v>1.2427021036978565</v>
      </c>
      <c r="N2633" s="361">
        <f t="shared" ref="N2633:V2633" si="2702">M2633*(1+$D2633)</f>
        <v>1.6603121456454941</v>
      </c>
      <c r="O2633" s="361">
        <f t="shared" si="2702"/>
        <v>2.2182600421896264</v>
      </c>
      <c r="P2633" s="361">
        <f t="shared" si="2702"/>
        <v>2.963706329367402</v>
      </c>
      <c r="Q2633" s="361">
        <f t="shared" si="2702"/>
        <v>3.9596598413512529</v>
      </c>
      <c r="R2633" s="361">
        <f t="shared" si="2702"/>
        <v>5.2903035310372548</v>
      </c>
      <c r="S2633" s="361">
        <f t="shared" si="2702"/>
        <v>7.0681100326422088</v>
      </c>
      <c r="T2633" s="361">
        <f t="shared" si="2702"/>
        <v>9.4433484091114686</v>
      </c>
      <c r="U2633" s="361">
        <f t="shared" si="2702"/>
        <v>12.616785641993172</v>
      </c>
      <c r="V2633" s="362">
        <f t="shared" si="2702"/>
        <v>16.856656456984702</v>
      </c>
      <c r="X2633" s="351"/>
    </row>
    <row r="2634" spans="3:24" ht="24.75" customHeight="1" x14ac:dyDescent="0.3">
      <c r="C2634" s="353">
        <f>ABS(E2634-Dashboard!$F$14)</f>
        <v>51.878173460065319</v>
      </c>
      <c r="D2634" s="350">
        <f t="shared" si="2643"/>
        <v>0.33614999999997824</v>
      </c>
      <c r="E2634" s="359" cm="1">
        <f t="array" ref="E2634">1000*SUM('DRE + DCF'!$L$36/M2634,'DRE + DCF'!$N$36:$V$36/N2634:V2634,F2634/V2634)/Dashboard!$F$11</f>
        <v>45.111826539934675</v>
      </c>
      <c r="F2634" s="359">
        <f t="shared" si="2641"/>
        <v>7713810.5124568846</v>
      </c>
      <c r="G2634" s="359">
        <f>'DRE + DCF'!$W$31</f>
        <v>2791623.3540418856</v>
      </c>
      <c r="H2634" s="359">
        <f>'DRE + DCF'!$W$32</f>
        <v>81081.931703745853</v>
      </c>
      <c r="I2634" s="359">
        <f>-H2634*('DRE + DCF'!$V$33+K2634)/'DRE + DCF'!$V$33</f>
        <v>-90858.801614444121</v>
      </c>
      <c r="J2634" s="359">
        <f>-'DRE + DCF'!$V$56*L2634</f>
        <v>-1188924.4255577971</v>
      </c>
      <c r="K2634" s="360">
        <f>(1+L2634)/(1+Ke!$O$12)-1</f>
        <v>2.0000000000000018E-2</v>
      </c>
      <c r="L2634" s="360">
        <f>'DRE + DCF'!$Y$31</f>
        <v>7.3550000000000004E-2</v>
      </c>
      <c r="M2634" s="361">
        <f>(1+D2634)^((5-Dashboard!$F$9)*3/12)</f>
        <v>1.242771862902831</v>
      </c>
      <c r="N2634" s="361">
        <f t="shared" ref="N2634:V2634" si="2703">M2634*(1+$D2634)</f>
        <v>1.6605296246175907</v>
      </c>
      <c r="O2634" s="361">
        <f t="shared" si="2703"/>
        <v>2.2187166579327577</v>
      </c>
      <c r="P2634" s="361">
        <f t="shared" si="2703"/>
        <v>2.9645382624968057</v>
      </c>
      <c r="Q2634" s="361">
        <f t="shared" si="2703"/>
        <v>3.9610677994350425</v>
      </c>
      <c r="R2634" s="361">
        <f t="shared" si="2703"/>
        <v>5.2925807402150458</v>
      </c>
      <c r="S2634" s="361">
        <f t="shared" si="2703"/>
        <v>7.0716817560382177</v>
      </c>
      <c r="T2634" s="361">
        <f t="shared" si="2703"/>
        <v>9.4488275783303095</v>
      </c>
      <c r="U2634" s="361">
        <f t="shared" si="2703"/>
        <v>12.625050968785837</v>
      </c>
      <c r="V2634" s="362">
        <f t="shared" si="2703"/>
        <v>16.86896185194292</v>
      </c>
      <c r="X2634" s="351"/>
    </row>
    <row r="2635" spans="3:24" ht="24.75" customHeight="1" x14ac:dyDescent="0.3">
      <c r="C2635" s="353">
        <f>ABS(E2635-Dashboard!$F$14)</f>
        <v>51.898446768405172</v>
      </c>
      <c r="D2635" s="350">
        <f t="shared" si="2643"/>
        <v>0.33624999999997823</v>
      </c>
      <c r="E2635" s="359" cm="1">
        <f t="array" ref="E2635">1000*SUM('DRE + DCF'!$L$36/M2635,'DRE + DCF'!$N$36:$V$36/N2635:V2635,F2635/V2635)/Dashboard!$F$11</f>
        <v>45.091553231594823</v>
      </c>
      <c r="F2635" s="359">
        <f t="shared" si="2641"/>
        <v>7711245.3281339156</v>
      </c>
      <c r="G2635" s="359">
        <f>'DRE + DCF'!$W$31</f>
        <v>2791623.3540418856</v>
      </c>
      <c r="H2635" s="359">
        <f>'DRE + DCF'!$W$32</f>
        <v>81081.931703745853</v>
      </c>
      <c r="I2635" s="359">
        <f>-H2635*('DRE + DCF'!$V$33+K2635)/'DRE + DCF'!$V$33</f>
        <v>-90858.801614444121</v>
      </c>
      <c r="J2635" s="359">
        <f>-'DRE + DCF'!$V$56*L2635</f>
        <v>-1188924.4255577971</v>
      </c>
      <c r="K2635" s="360">
        <f>(1+L2635)/(1+Ke!$O$12)-1</f>
        <v>2.0000000000000018E-2</v>
      </c>
      <c r="L2635" s="360">
        <f>'DRE + DCF'!$Y$31</f>
        <v>7.3550000000000004E-2</v>
      </c>
      <c r="M2635" s="361">
        <f>(1+D2635)^((5-Dashboard!$F$9)*3/12)</f>
        <v>1.2428416208025901</v>
      </c>
      <c r="N2635" s="361">
        <f t="shared" ref="N2635:V2635" si="2704">M2635*(1+$D2635)</f>
        <v>1.6607471157974338</v>
      </c>
      <c r="O2635" s="361">
        <f t="shared" si="2704"/>
        <v>2.2191733334842847</v>
      </c>
      <c r="P2635" s="361">
        <f t="shared" si="2704"/>
        <v>2.9653703668683269</v>
      </c>
      <c r="Q2635" s="361">
        <f t="shared" si="2704"/>
        <v>3.9624761527277372</v>
      </c>
      <c r="R2635" s="361">
        <f t="shared" si="2704"/>
        <v>5.2948587590823522</v>
      </c>
      <c r="S2635" s="361">
        <f t="shared" si="2704"/>
        <v>7.0752550168236779</v>
      </c>
      <c r="T2635" s="361">
        <f t="shared" si="2704"/>
        <v>9.4543095162304844</v>
      </c>
      <c r="U2635" s="361">
        <f t="shared" si="2704"/>
        <v>12.633321091062779</v>
      </c>
      <c r="V2635" s="362">
        <f t="shared" si="2704"/>
        <v>16.881275307932363</v>
      </c>
      <c r="X2635" s="351"/>
    </row>
    <row r="2636" spans="3:24" ht="24.75" customHeight="1" x14ac:dyDescent="0.3">
      <c r="C2636" s="353">
        <f>ABS(E2636-Dashboard!$F$14)</f>
        <v>51.918703570772259</v>
      </c>
      <c r="D2636" s="350">
        <f t="shared" si="2643"/>
        <v>0.33634999999997822</v>
      </c>
      <c r="E2636" s="359" cm="1">
        <f t="array" ref="E2636">1000*SUM('DRE + DCF'!$L$36/M2636,'DRE + DCF'!$N$36:$V$36/N2636:V2636,F2636/V2636)/Dashboard!$F$11</f>
        <v>45.071296429227736</v>
      </c>
      <c r="F2636" s="359">
        <f t="shared" si="2641"/>
        <v>7708681.8753836323</v>
      </c>
      <c r="G2636" s="359">
        <f>'DRE + DCF'!$W$31</f>
        <v>2791623.3540418856</v>
      </c>
      <c r="H2636" s="359">
        <f>'DRE + DCF'!$W$32</f>
        <v>81081.931703745853</v>
      </c>
      <c r="I2636" s="359">
        <f>-H2636*('DRE + DCF'!$V$33+K2636)/'DRE + DCF'!$V$33</f>
        <v>-90858.801614444121</v>
      </c>
      <c r="J2636" s="359">
        <f>-'DRE + DCF'!$V$56*L2636</f>
        <v>-1188924.4255577971</v>
      </c>
      <c r="K2636" s="360">
        <f>(1+L2636)/(1+Ke!$O$12)-1</f>
        <v>2.0000000000000018E-2</v>
      </c>
      <c r="L2636" s="360">
        <f>'DRE + DCF'!$Y$31</f>
        <v>7.3550000000000004E-2</v>
      </c>
      <c r="M2636" s="361">
        <f>(1+D2636)^((5-Dashboard!$F$9)*3/12)</f>
        <v>1.2429113773972558</v>
      </c>
      <c r="N2636" s="361">
        <f t="shared" ref="N2636:V2636" si="2705">M2636*(1+$D2636)</f>
        <v>1.6609646191847955</v>
      </c>
      <c r="O2636" s="361">
        <f t="shared" si="2705"/>
        <v>2.2196300688475654</v>
      </c>
      <c r="P2636" s="361">
        <f t="shared" si="2705"/>
        <v>2.9662026425043955</v>
      </c>
      <c r="Q2636" s="361">
        <f t="shared" si="2705"/>
        <v>3.9638849013106841</v>
      </c>
      <c r="R2636" s="361">
        <f t="shared" si="2705"/>
        <v>5.2971375878664464</v>
      </c>
      <c r="S2636" s="361">
        <f t="shared" si="2705"/>
        <v>7.0788298155452098</v>
      </c>
      <c r="T2636" s="361">
        <f t="shared" si="2705"/>
        <v>9.4597942240036872</v>
      </c>
      <c r="U2636" s="361">
        <f t="shared" si="2705"/>
        <v>12.64159601124712</v>
      </c>
      <c r="V2636" s="362">
        <f t="shared" si="2705"/>
        <v>16.893596829629814</v>
      </c>
      <c r="X2636" s="351"/>
    </row>
    <row r="2637" spans="3:24" ht="24.75" customHeight="1" x14ac:dyDescent="0.3">
      <c r="C2637" s="353">
        <f>ABS(E2637-Dashboard!$F$14)</f>
        <v>51.938943885897494</v>
      </c>
      <c r="D2637" s="350">
        <f t="shared" si="2643"/>
        <v>0.33644999999997821</v>
      </c>
      <c r="E2637" s="359" cm="1">
        <f t="array" ref="E2637">1000*SUM('DRE + DCF'!$L$36/M2637,'DRE + DCF'!$N$36:$V$36/N2637:V2637,F2637/V2637)/Dashboard!$F$11</f>
        <v>45.051056114102501</v>
      </c>
      <c r="F2637" s="359">
        <f t="shared" si="2641"/>
        <v>7706120.1524267513</v>
      </c>
      <c r="G2637" s="359">
        <f>'DRE + DCF'!$W$31</f>
        <v>2791623.3540418856</v>
      </c>
      <c r="H2637" s="359">
        <f>'DRE + DCF'!$W$32</f>
        <v>81081.931703745853</v>
      </c>
      <c r="I2637" s="359">
        <f>-H2637*('DRE + DCF'!$V$33+K2637)/'DRE + DCF'!$V$33</f>
        <v>-90858.801614444121</v>
      </c>
      <c r="J2637" s="359">
        <f>-'DRE + DCF'!$V$56*L2637</f>
        <v>-1188924.4255577971</v>
      </c>
      <c r="K2637" s="360">
        <f>(1+L2637)/(1+Ke!$O$12)-1</f>
        <v>2.0000000000000018E-2</v>
      </c>
      <c r="L2637" s="360">
        <f>'DRE + DCF'!$Y$31</f>
        <v>7.3550000000000004E-2</v>
      </c>
      <c r="M2637" s="361">
        <f>(1+D2637)^((5-Dashboard!$F$9)*3/12)</f>
        <v>1.2429811326869498</v>
      </c>
      <c r="N2637" s="361">
        <f t="shared" ref="N2637:V2637" si="2706">M2637*(1+$D2637)</f>
        <v>1.6611821347794469</v>
      </c>
      <c r="O2637" s="361">
        <f t="shared" si="2706"/>
        <v>2.2200868640259555</v>
      </c>
      <c r="P2637" s="361">
        <f t="shared" si="2706"/>
        <v>2.9670350894274398</v>
      </c>
      <c r="Q2637" s="361">
        <f t="shared" si="2706"/>
        <v>3.965294045265237</v>
      </c>
      <c r="R2637" s="361">
        <f t="shared" si="2706"/>
        <v>5.2994172267946391</v>
      </c>
      <c r="S2637" s="361">
        <f t="shared" si="2706"/>
        <v>7.0824061527495799</v>
      </c>
      <c r="T2637" s="361">
        <f t="shared" si="2706"/>
        <v>9.465281702842022</v>
      </c>
      <c r="U2637" s="361">
        <f t="shared" si="2706"/>
        <v>12.649875731763014</v>
      </c>
      <c r="V2637" s="362">
        <f t="shared" si="2706"/>
        <v>16.905926421714405</v>
      </c>
      <c r="X2637" s="351"/>
    </row>
    <row r="2638" spans="3:24" ht="24.75" customHeight="1" x14ac:dyDescent="0.3">
      <c r="C2638" s="353">
        <f>ABS(E2638-Dashboard!$F$14)</f>
        <v>51.959167732484708</v>
      </c>
      <c r="D2638" s="350">
        <f t="shared" si="2643"/>
        <v>0.3365499999999782</v>
      </c>
      <c r="E2638" s="359" cm="1">
        <f t="array" ref="E2638">1000*SUM('DRE + DCF'!$L$36/M2638,'DRE + DCF'!$N$36:$V$36/N2638:V2638,F2638/V2638)/Dashboard!$F$11</f>
        <v>45.030832267515287</v>
      </c>
      <c r="F2638" s="359">
        <f t="shared" ref="F2638:F2701" si="2707">AVERAGE(SUM(G2638:J2638)*(1+L2638)/(D2638-L2638),G2638*(1+L2638)*(1-L2638/D2638)/(D2638-L2638))</f>
        <v>7703560.157486463</v>
      </c>
      <c r="G2638" s="359">
        <f>'DRE + DCF'!$W$31</f>
        <v>2791623.3540418856</v>
      </c>
      <c r="H2638" s="359">
        <f>'DRE + DCF'!$W$32</f>
        <v>81081.931703745853</v>
      </c>
      <c r="I2638" s="359">
        <f>-H2638*('DRE + DCF'!$V$33+K2638)/'DRE + DCF'!$V$33</f>
        <v>-90858.801614444121</v>
      </c>
      <c r="J2638" s="359">
        <f>-'DRE + DCF'!$V$56*L2638</f>
        <v>-1188924.4255577971</v>
      </c>
      <c r="K2638" s="360">
        <f>(1+L2638)/(1+Ke!$O$12)-1</f>
        <v>2.0000000000000018E-2</v>
      </c>
      <c r="L2638" s="360">
        <f>'DRE + DCF'!$Y$31</f>
        <v>7.3550000000000004E-2</v>
      </c>
      <c r="M2638" s="361">
        <f>(1+D2638)^((5-Dashboard!$F$9)*3/12)</f>
        <v>1.2430508866717944</v>
      </c>
      <c r="N2638" s="361">
        <f t="shared" ref="N2638:V2638" si="2708">M2638*(1+$D2638)</f>
        <v>1.6613996625811596</v>
      </c>
      <c r="O2638" s="361">
        <f t="shared" si="2708"/>
        <v>2.2205437190228126</v>
      </c>
      <c r="P2638" s="361">
        <f t="shared" si="2708"/>
        <v>2.9678677076598916</v>
      </c>
      <c r="Q2638" s="361">
        <f t="shared" si="2708"/>
        <v>3.9667035846727634</v>
      </c>
      <c r="R2638" s="361">
        <f t="shared" si="2708"/>
        <v>5.3016976760942951</v>
      </c>
      <c r="S2638" s="361">
        <f t="shared" si="2708"/>
        <v>7.0859840289837139</v>
      </c>
      <c r="T2638" s="361">
        <f t="shared" si="2708"/>
        <v>9.4707719539380282</v>
      </c>
      <c r="U2638" s="361">
        <f t="shared" si="2708"/>
        <v>12.658160255035664</v>
      </c>
      <c r="V2638" s="362">
        <f t="shared" si="2708"/>
        <v>16.918264088867641</v>
      </c>
      <c r="X2638" s="351"/>
    </row>
    <row r="2639" spans="3:24" ht="24.75" customHeight="1" x14ac:dyDescent="0.3">
      <c r="C2639" s="353">
        <f>ABS(E2639-Dashboard!$F$14)</f>
        <v>51.979375129210688</v>
      </c>
      <c r="D2639" s="350">
        <f t="shared" ref="D2639:D2702" si="2709">D2638+0.0001</f>
        <v>0.33664999999997819</v>
      </c>
      <c r="E2639" s="359" cm="1">
        <f t="array" ref="E2639">1000*SUM('DRE + DCF'!$L$36/M2639,'DRE + DCF'!$N$36:$V$36/N2639:V2639,F2639/V2639)/Dashboard!$F$11</f>
        <v>45.010624870789307</v>
      </c>
      <c r="F2639" s="359">
        <f t="shared" si="2707"/>
        <v>7701001.8887884244</v>
      </c>
      <c r="G2639" s="359">
        <f>'DRE + DCF'!$W$31</f>
        <v>2791623.3540418856</v>
      </c>
      <c r="H2639" s="359">
        <f>'DRE + DCF'!$W$32</f>
        <v>81081.931703745853</v>
      </c>
      <c r="I2639" s="359">
        <f>-H2639*('DRE + DCF'!$V$33+K2639)/'DRE + DCF'!$V$33</f>
        <v>-90858.801614444121</v>
      </c>
      <c r="J2639" s="359">
        <f>-'DRE + DCF'!$V$56*L2639</f>
        <v>-1188924.4255577971</v>
      </c>
      <c r="K2639" s="360">
        <f>(1+L2639)/(1+Ke!$O$12)-1</f>
        <v>2.0000000000000018E-2</v>
      </c>
      <c r="L2639" s="360">
        <f>'DRE + DCF'!$Y$31</f>
        <v>7.3550000000000004E-2</v>
      </c>
      <c r="M2639" s="361">
        <f>(1+D2639)^((5-Dashboard!$F$9)*3/12)</f>
        <v>1.2431206393519119</v>
      </c>
      <c r="N2639" s="361">
        <f t="shared" ref="N2639:V2639" si="2710">M2639*(1+$D2639)</f>
        <v>1.6616172025897058</v>
      </c>
      <c r="O2639" s="361">
        <f t="shared" si="2710"/>
        <v>2.221000633841494</v>
      </c>
      <c r="P2639" s="361">
        <f t="shared" si="2710"/>
        <v>2.9687004972241846</v>
      </c>
      <c r="Q2639" s="361">
        <f t="shared" si="2710"/>
        <v>3.9681135196146413</v>
      </c>
      <c r="R2639" s="361">
        <f t="shared" si="2710"/>
        <v>5.3039789359928236</v>
      </c>
      <c r="S2639" s="361">
        <f t="shared" si="2710"/>
        <v>7.0895634447946918</v>
      </c>
      <c r="T2639" s="361">
        <f t="shared" si="2710"/>
        <v>9.4762649784846698</v>
      </c>
      <c r="U2639" s="361">
        <f t="shared" si="2710"/>
        <v>12.666449583491326</v>
      </c>
      <c r="V2639" s="362">
        <f t="shared" si="2710"/>
        <v>16.930609835773403</v>
      </c>
      <c r="X2639" s="351"/>
    </row>
    <row r="2640" spans="3:24" ht="24.75" customHeight="1" x14ac:dyDescent="0.3">
      <c r="C2640" s="353">
        <f>ABS(E2640-Dashboard!$F$14)</f>
        <v>51.999566094725189</v>
      </c>
      <c r="D2640" s="350">
        <f t="shared" si="2709"/>
        <v>0.33674999999997818</v>
      </c>
      <c r="E2640" s="359" cm="1">
        <f t="array" ref="E2640">1000*SUM('DRE + DCF'!$L$36/M2640,'DRE + DCF'!$N$36:$V$36/N2640:V2640,F2640/V2640)/Dashboard!$F$11</f>
        <v>44.990433905274806</v>
      </c>
      <c r="F2640" s="359">
        <f t="shared" si="2707"/>
        <v>7698445.3445607545</v>
      </c>
      <c r="G2640" s="359">
        <f>'DRE + DCF'!$W$31</f>
        <v>2791623.3540418856</v>
      </c>
      <c r="H2640" s="359">
        <f>'DRE + DCF'!$W$32</f>
        <v>81081.931703745853</v>
      </c>
      <c r="I2640" s="359">
        <f>-H2640*('DRE + DCF'!$V$33+K2640)/'DRE + DCF'!$V$33</f>
        <v>-90858.801614444121</v>
      </c>
      <c r="J2640" s="359">
        <f>-'DRE + DCF'!$V$56*L2640</f>
        <v>-1188924.4255577971</v>
      </c>
      <c r="K2640" s="360">
        <f>(1+L2640)/(1+Ke!$O$12)-1</f>
        <v>2.0000000000000018E-2</v>
      </c>
      <c r="L2640" s="360">
        <f>'DRE + DCF'!$Y$31</f>
        <v>7.3550000000000004E-2</v>
      </c>
      <c r="M2640" s="361">
        <f>(1+D2640)^((5-Dashboard!$F$9)*3/12)</f>
        <v>1.243190390727424</v>
      </c>
      <c r="N2640" s="361">
        <f t="shared" ref="N2640:V2640" si="2711">M2640*(1+$D2640)</f>
        <v>1.6618347548048569</v>
      </c>
      <c r="O2640" s="361">
        <f t="shared" si="2711"/>
        <v>2.2214576084853559</v>
      </c>
      <c r="P2640" s="361">
        <f t="shared" si="2711"/>
        <v>2.969533458142751</v>
      </c>
      <c r="Q2640" s="361">
        <f t="shared" si="2711"/>
        <v>3.9695238501722576</v>
      </c>
      <c r="R2640" s="361">
        <f t="shared" si="2711"/>
        <v>5.3062610067176781</v>
      </c>
      <c r="S2640" s="361">
        <f t="shared" si="2711"/>
        <v>7.0931444007297397</v>
      </c>
      <c r="T2640" s="361">
        <f t="shared" si="2711"/>
        <v>9.4817607776753245</v>
      </c>
      <c r="U2640" s="361">
        <f t="shared" si="2711"/>
        <v>12.674743719557283</v>
      </c>
      <c r="V2640" s="362">
        <f t="shared" si="2711"/>
        <v>16.942963667117919</v>
      </c>
      <c r="X2640" s="351"/>
    </row>
    <row r="2641" spans="3:24" ht="24.75" customHeight="1" x14ac:dyDescent="0.3">
      <c r="C2641" s="353">
        <f>ABS(E2641-Dashboard!$F$14)</f>
        <v>52.01974064765102</v>
      </c>
      <c r="D2641" s="350">
        <f t="shared" si="2709"/>
        <v>0.33684999999997817</v>
      </c>
      <c r="E2641" s="359" cm="1">
        <f t="array" ref="E2641">1000*SUM('DRE + DCF'!$L$36/M2641,'DRE + DCF'!$N$36:$V$36/N2641:V2641,F2641/V2641)/Dashboard!$F$11</f>
        <v>44.970259352348975</v>
      </c>
      <c r="F2641" s="359">
        <f t="shared" si="2707"/>
        <v>7695890.5230340362</v>
      </c>
      <c r="G2641" s="359">
        <f>'DRE + DCF'!$W$31</f>
        <v>2791623.3540418856</v>
      </c>
      <c r="H2641" s="359">
        <f>'DRE + DCF'!$W$32</f>
        <v>81081.931703745853</v>
      </c>
      <c r="I2641" s="359">
        <f>-H2641*('DRE + DCF'!$V$33+K2641)/'DRE + DCF'!$V$33</f>
        <v>-90858.801614444121</v>
      </c>
      <c r="J2641" s="359">
        <f>-'DRE + DCF'!$V$56*L2641</f>
        <v>-1188924.4255577971</v>
      </c>
      <c r="K2641" s="360">
        <f>(1+L2641)/(1+Ke!$O$12)-1</f>
        <v>2.0000000000000018E-2</v>
      </c>
      <c r="L2641" s="360">
        <f>'DRE + DCF'!$Y$31</f>
        <v>7.3550000000000004E-2</v>
      </c>
      <c r="M2641" s="361">
        <f>(1+D2641)^((5-Dashboard!$F$9)*3/12)</f>
        <v>1.2432601407984527</v>
      </c>
      <c r="N2641" s="361">
        <f t="shared" ref="N2641:V2641" si="2712">M2641*(1+$D2641)</f>
        <v>1.6620523192263843</v>
      </c>
      <c r="O2641" s="361">
        <f t="shared" si="2712"/>
        <v>2.2219146429577554</v>
      </c>
      <c r="P2641" s="361">
        <f t="shared" si="2712"/>
        <v>2.9703665904380268</v>
      </c>
      <c r="Q2641" s="361">
        <f t="shared" si="2712"/>
        <v>3.9709345764270112</v>
      </c>
      <c r="R2641" s="361">
        <f t="shared" si="2712"/>
        <v>5.3085438884963629</v>
      </c>
      <c r="S2641" s="361">
        <f t="shared" si="2712"/>
        <v>7.0967268973362465</v>
      </c>
      <c r="T2641" s="361">
        <f t="shared" si="2712"/>
        <v>9.4872593527038056</v>
      </c>
      <c r="U2641" s="361">
        <f t="shared" si="2712"/>
        <v>12.683042665661874</v>
      </c>
      <c r="V2641" s="362">
        <f t="shared" si="2712"/>
        <v>16.955325587589797</v>
      </c>
      <c r="X2641" s="351"/>
    </row>
    <row r="2642" spans="3:24" ht="24.75" customHeight="1" x14ac:dyDescent="0.3">
      <c r="C2642" s="353">
        <f>ABS(E2642-Dashboard!$F$14)</f>
        <v>52.039898806584034</v>
      </c>
      <c r="D2642" s="350">
        <f t="shared" si="2709"/>
        <v>0.33694999999997816</v>
      </c>
      <c r="E2642" s="359" cm="1">
        <f t="array" ref="E2642">1000*SUM('DRE + DCF'!$L$36/M2642,'DRE + DCF'!$N$36:$V$36/N2642:V2642,F2642/V2642)/Dashboard!$F$11</f>
        <v>44.950101193415961</v>
      </c>
      <c r="F2642" s="359">
        <f t="shared" si="2707"/>
        <v>7693337.4224413056</v>
      </c>
      <c r="G2642" s="359">
        <f>'DRE + DCF'!$W$31</f>
        <v>2791623.3540418856</v>
      </c>
      <c r="H2642" s="359">
        <f>'DRE + DCF'!$W$32</f>
        <v>81081.931703745853</v>
      </c>
      <c r="I2642" s="359">
        <f>-H2642*('DRE + DCF'!$V$33+K2642)/'DRE + DCF'!$V$33</f>
        <v>-90858.801614444121</v>
      </c>
      <c r="J2642" s="359">
        <f>-'DRE + DCF'!$V$56*L2642</f>
        <v>-1188924.4255577971</v>
      </c>
      <c r="K2642" s="360">
        <f>(1+L2642)/(1+Ke!$O$12)-1</f>
        <v>2.0000000000000018E-2</v>
      </c>
      <c r="L2642" s="360">
        <f>'DRE + DCF'!$Y$31</f>
        <v>7.3550000000000004E-2</v>
      </c>
      <c r="M2642" s="361">
        <f>(1+D2642)^((5-Dashboard!$F$9)*3/12)</f>
        <v>1.2433298895651201</v>
      </c>
      <c r="N2642" s="361">
        <f t="shared" ref="N2642:V2642" si="2713">M2642*(1+$D2642)</f>
        <v>1.66226989585406</v>
      </c>
      <c r="O2642" s="361">
        <f t="shared" si="2713"/>
        <v>2.2223717372620491</v>
      </c>
      <c r="P2642" s="361">
        <f t="shared" si="2713"/>
        <v>2.971199894132448</v>
      </c>
      <c r="Q2642" s="361">
        <f t="shared" si="2713"/>
        <v>3.9723456984603112</v>
      </c>
      <c r="R2642" s="361">
        <f t="shared" si="2713"/>
        <v>5.3108275815564259</v>
      </c>
      <c r="S2642" s="361">
        <f t="shared" si="2713"/>
        <v>7.1003109351617475</v>
      </c>
      <c r="T2642" s="361">
        <f t="shared" si="2713"/>
        <v>9.4927607047643434</v>
      </c>
      <c r="U2642" s="361">
        <f t="shared" si="2713"/>
        <v>12.691346424234482</v>
      </c>
      <c r="V2642" s="362">
        <f t="shared" si="2713"/>
        <v>16.967695601880013</v>
      </c>
      <c r="X2642" s="351"/>
    </row>
    <row r="2643" spans="3:24" ht="24.75" customHeight="1" x14ac:dyDescent="0.3">
      <c r="C2643" s="353">
        <f>ABS(E2643-Dashboard!$F$14)</f>
        <v>52.060040590093301</v>
      </c>
      <c r="D2643" s="350">
        <f t="shared" si="2709"/>
        <v>0.33704999999997814</v>
      </c>
      <c r="E2643" s="359" cm="1">
        <f t="array" ref="E2643">1000*SUM('DRE + DCF'!$L$36/M2643,'DRE + DCF'!$N$36:$V$36/N2643:V2643,F2643/V2643)/Dashboard!$F$11</f>
        <v>44.929959409906694</v>
      </c>
      <c r="F2643" s="359">
        <f t="shared" si="2707"/>
        <v>7690786.0410180483</v>
      </c>
      <c r="G2643" s="359">
        <f>'DRE + DCF'!$W$31</f>
        <v>2791623.3540418856</v>
      </c>
      <c r="H2643" s="359">
        <f>'DRE + DCF'!$W$32</f>
        <v>81081.931703745853</v>
      </c>
      <c r="I2643" s="359">
        <f>-H2643*('DRE + DCF'!$V$33+K2643)/'DRE + DCF'!$V$33</f>
        <v>-90858.801614444121</v>
      </c>
      <c r="J2643" s="359">
        <f>-'DRE + DCF'!$V$56*L2643</f>
        <v>-1188924.4255577971</v>
      </c>
      <c r="K2643" s="360">
        <f>(1+L2643)/(1+Ke!$O$12)-1</f>
        <v>2.0000000000000018E-2</v>
      </c>
      <c r="L2643" s="360">
        <f>'DRE + DCF'!$Y$31</f>
        <v>7.3550000000000004E-2</v>
      </c>
      <c r="M2643" s="361">
        <f>(1+D2643)^((5-Dashboard!$F$9)*3/12)</f>
        <v>1.2433996370275482</v>
      </c>
      <c r="N2643" s="361">
        <f t="shared" ref="N2643:V2643" si="2714">M2643*(1+$D2643)</f>
        <v>1.6624874846876561</v>
      </c>
      <c r="O2643" s="361">
        <f t="shared" si="2714"/>
        <v>2.2228288914015941</v>
      </c>
      <c r="P2643" s="361">
        <f t="shared" si="2714"/>
        <v>2.9720333692484528</v>
      </c>
      <c r="Q2643" s="361">
        <f t="shared" si="2714"/>
        <v>3.9737572163535786</v>
      </c>
      <c r="R2643" s="361">
        <f t="shared" si="2714"/>
        <v>5.3131120861254653</v>
      </c>
      <c r="S2643" s="361">
        <f t="shared" si="2714"/>
        <v>7.103896514753937</v>
      </c>
      <c r="T2643" s="361">
        <f t="shared" si="2714"/>
        <v>9.4982648350515966</v>
      </c>
      <c r="U2643" s="361">
        <f t="shared" si="2714"/>
        <v>12.69965499770553</v>
      </c>
      <c r="V2643" s="362">
        <f t="shared" si="2714"/>
        <v>16.9800737146819</v>
      </c>
      <c r="X2643" s="351"/>
    </row>
    <row r="2644" spans="3:24" ht="24.75" customHeight="1" x14ac:dyDescent="0.3">
      <c r="C2644" s="353">
        <f>ABS(E2644-Dashboard!$F$14)</f>
        <v>52.080166016720966</v>
      </c>
      <c r="D2644" s="350">
        <f t="shared" si="2709"/>
        <v>0.33714999999997813</v>
      </c>
      <c r="E2644" s="359" cm="1">
        <f t="array" ref="E2644">1000*SUM('DRE + DCF'!$L$36/M2644,'DRE + DCF'!$N$36:$V$36/N2644:V2644,F2644/V2644)/Dashboard!$F$11</f>
        <v>44.909833983279029</v>
      </c>
      <c r="F2644" s="359">
        <f t="shared" si="2707"/>
        <v>7688236.3770021973</v>
      </c>
      <c r="G2644" s="359">
        <f>'DRE + DCF'!$W$31</f>
        <v>2791623.3540418856</v>
      </c>
      <c r="H2644" s="359">
        <f>'DRE + DCF'!$W$32</f>
        <v>81081.931703745853</v>
      </c>
      <c r="I2644" s="359">
        <f>-H2644*('DRE + DCF'!$V$33+K2644)/'DRE + DCF'!$V$33</f>
        <v>-90858.801614444121</v>
      </c>
      <c r="J2644" s="359">
        <f>-'DRE + DCF'!$V$56*L2644</f>
        <v>-1188924.4255577971</v>
      </c>
      <c r="K2644" s="360">
        <f>(1+L2644)/(1+Ke!$O$12)-1</f>
        <v>2.0000000000000018E-2</v>
      </c>
      <c r="L2644" s="360">
        <f>'DRE + DCF'!$Y$31</f>
        <v>7.3550000000000004E-2</v>
      </c>
      <c r="M2644" s="361">
        <f>(1+D2644)^((5-Dashboard!$F$9)*3/12)</f>
        <v>1.2434693831858585</v>
      </c>
      <c r="N2644" s="361">
        <f t="shared" ref="N2644:V2644" si="2715">M2644*(1+$D2644)</f>
        <v>1.6627050857269434</v>
      </c>
      <c r="O2644" s="361">
        <f t="shared" si="2715"/>
        <v>2.2232861053797461</v>
      </c>
      <c r="P2644" s="361">
        <f t="shared" si="2715"/>
        <v>2.9728670158084789</v>
      </c>
      <c r="Q2644" s="361">
        <f t="shared" si="2715"/>
        <v>3.9751691301882426</v>
      </c>
      <c r="R2644" s="361">
        <f t="shared" si="2715"/>
        <v>5.3153974024311212</v>
      </c>
      <c r="S2644" s="361">
        <f t="shared" si="2715"/>
        <v>7.1074836366606569</v>
      </c>
      <c r="T2644" s="361">
        <f t="shared" si="2715"/>
        <v>9.5037717447606411</v>
      </c>
      <c r="U2644" s="361">
        <f t="shared" si="2715"/>
        <v>12.707968388506483</v>
      </c>
      <c r="V2644" s="362">
        <f t="shared" si="2715"/>
        <v>16.992459930691165</v>
      </c>
      <c r="X2644" s="351"/>
    </row>
    <row r="2645" spans="3:24" ht="24.75" customHeight="1" x14ac:dyDescent="0.3">
      <c r="C2645" s="353">
        <f>ABS(E2645-Dashboard!$F$14)</f>
        <v>52.100275104982472</v>
      </c>
      <c r="D2645" s="350">
        <f t="shared" si="2709"/>
        <v>0.33724999999997812</v>
      </c>
      <c r="E2645" s="359" cm="1">
        <f t="array" ref="E2645">1000*SUM('DRE + DCF'!$L$36/M2645,'DRE + DCF'!$N$36:$V$36/N2645:V2645,F2645/V2645)/Dashboard!$F$11</f>
        <v>44.889724895017522</v>
      </c>
      <c r="F2645" s="359">
        <f t="shared" si="2707"/>
        <v>7685688.4286341276</v>
      </c>
      <c r="G2645" s="359">
        <f>'DRE + DCF'!$W$31</f>
        <v>2791623.3540418856</v>
      </c>
      <c r="H2645" s="359">
        <f>'DRE + DCF'!$W$32</f>
        <v>81081.931703745853</v>
      </c>
      <c r="I2645" s="359">
        <f>-H2645*('DRE + DCF'!$V$33+K2645)/'DRE + DCF'!$V$33</f>
        <v>-90858.801614444121</v>
      </c>
      <c r="J2645" s="359">
        <f>-'DRE + DCF'!$V$56*L2645</f>
        <v>-1188924.4255577971</v>
      </c>
      <c r="K2645" s="360">
        <f>(1+L2645)/(1+Ke!$O$12)-1</f>
        <v>2.0000000000000018E-2</v>
      </c>
      <c r="L2645" s="360">
        <f>'DRE + DCF'!$Y$31</f>
        <v>7.3550000000000004E-2</v>
      </c>
      <c r="M2645" s="361">
        <f>(1+D2645)^((5-Dashboard!$F$9)*3/12)</f>
        <v>1.2435391280401735</v>
      </c>
      <c r="N2645" s="361">
        <f t="shared" ref="N2645:V2645" si="2716">M2645*(1+$D2645)</f>
        <v>1.6629226989716948</v>
      </c>
      <c r="O2645" s="361">
        <f t="shared" si="2716"/>
        <v>2.2237433791998624</v>
      </c>
      <c r="P2645" s="361">
        <f t="shared" si="2716"/>
        <v>2.9737008338349673</v>
      </c>
      <c r="Q2645" s="361">
        <f t="shared" si="2716"/>
        <v>3.9765814400457447</v>
      </c>
      <c r="R2645" s="361">
        <f t="shared" si="2716"/>
        <v>5.3176835307010846</v>
      </c>
      <c r="S2645" s="361">
        <f t="shared" si="2716"/>
        <v>7.1110723014299086</v>
      </c>
      <c r="T2645" s="361">
        <f t="shared" si="2716"/>
        <v>9.5092814350869901</v>
      </c>
      <c r="U2645" s="361">
        <f t="shared" si="2716"/>
        <v>12.716286599069869</v>
      </c>
      <c r="V2645" s="362">
        <f t="shared" si="2716"/>
        <v>17.004854254605902</v>
      </c>
      <c r="X2645" s="351"/>
    </row>
    <row r="2646" spans="3:24" ht="24.75" customHeight="1" x14ac:dyDescent="0.3">
      <c r="C2646" s="353">
        <f>ABS(E2646-Dashboard!$F$14)</f>
        <v>52.120367873366511</v>
      </c>
      <c r="D2646" s="350">
        <f t="shared" si="2709"/>
        <v>0.33734999999997811</v>
      </c>
      <c r="E2646" s="359" cm="1">
        <f t="array" ref="E2646">1000*SUM('DRE + DCF'!$L$36/M2646,'DRE + DCF'!$N$36:$V$36/N2646:V2646,F2646/V2646)/Dashboard!$F$11</f>
        <v>44.869632126633483</v>
      </c>
      <c r="F2646" s="359">
        <f t="shared" si="2707"/>
        <v>7683142.194156656</v>
      </c>
      <c r="G2646" s="359">
        <f>'DRE + DCF'!$W$31</f>
        <v>2791623.3540418856</v>
      </c>
      <c r="H2646" s="359">
        <f>'DRE + DCF'!$W$32</f>
        <v>81081.931703745853</v>
      </c>
      <c r="I2646" s="359">
        <f>-H2646*('DRE + DCF'!$V$33+K2646)/'DRE + DCF'!$V$33</f>
        <v>-90858.801614444121</v>
      </c>
      <c r="J2646" s="359">
        <f>-'DRE + DCF'!$V$56*L2646</f>
        <v>-1188924.4255577971</v>
      </c>
      <c r="K2646" s="360">
        <f>(1+L2646)/(1+Ke!$O$12)-1</f>
        <v>2.0000000000000018E-2</v>
      </c>
      <c r="L2646" s="360">
        <f>'DRE + DCF'!$Y$31</f>
        <v>7.3550000000000004E-2</v>
      </c>
      <c r="M2646" s="361">
        <f>(1+D2646)^((5-Dashboard!$F$9)*3/12)</f>
        <v>1.2436088715906148</v>
      </c>
      <c r="N2646" s="361">
        <f t="shared" ref="N2646:V2646" si="2717">M2646*(1+$D2646)</f>
        <v>1.6631403244216814</v>
      </c>
      <c r="O2646" s="361">
        <f t="shared" si="2717"/>
        <v>2.224200712865299</v>
      </c>
      <c r="P2646" s="361">
        <f t="shared" si="2717"/>
        <v>2.9745348233503588</v>
      </c>
      <c r="Q2646" s="361">
        <f t="shared" si="2717"/>
        <v>3.977994146007537</v>
      </c>
      <c r="R2646" s="361">
        <f t="shared" si="2717"/>
        <v>5.3199704711630922</v>
      </c>
      <c r="S2646" s="361">
        <f t="shared" si="2717"/>
        <v>7.114662509609845</v>
      </c>
      <c r="T2646" s="361">
        <f t="shared" si="2717"/>
        <v>9.5147939072265704</v>
      </c>
      <c r="U2646" s="361">
        <f t="shared" si="2717"/>
        <v>12.724609631829246</v>
      </c>
      <c r="V2646" s="362">
        <f t="shared" si="2717"/>
        <v>17.017256691126562</v>
      </c>
      <c r="X2646" s="351"/>
    </row>
    <row r="2647" spans="3:24" ht="24.75" customHeight="1" x14ac:dyDescent="0.3">
      <c r="C2647" s="353">
        <f>ABS(E2647-Dashboard!$F$14)</f>
        <v>52.140444340335122</v>
      </c>
      <c r="D2647" s="350">
        <f t="shared" si="2709"/>
        <v>0.3374499999999781</v>
      </c>
      <c r="E2647" s="359" cm="1">
        <f t="array" ref="E2647">1000*SUM('DRE + DCF'!$L$36/M2647,'DRE + DCF'!$N$36:$V$36/N2647:V2647,F2647/V2647)/Dashboard!$F$11</f>
        <v>44.849555659664873</v>
      </c>
      <c r="F2647" s="359">
        <f t="shared" si="2707"/>
        <v>7680597.6718150247</v>
      </c>
      <c r="G2647" s="359">
        <f>'DRE + DCF'!$W$31</f>
        <v>2791623.3540418856</v>
      </c>
      <c r="H2647" s="359">
        <f>'DRE + DCF'!$W$32</f>
        <v>81081.931703745853</v>
      </c>
      <c r="I2647" s="359">
        <f>-H2647*('DRE + DCF'!$V$33+K2647)/'DRE + DCF'!$V$33</f>
        <v>-90858.801614444121</v>
      </c>
      <c r="J2647" s="359">
        <f>-'DRE + DCF'!$V$56*L2647</f>
        <v>-1188924.4255577971</v>
      </c>
      <c r="K2647" s="360">
        <f>(1+L2647)/(1+Ke!$O$12)-1</f>
        <v>2.0000000000000018E-2</v>
      </c>
      <c r="L2647" s="360">
        <f>'DRE + DCF'!$Y$31</f>
        <v>7.3550000000000004E-2</v>
      </c>
      <c r="M2647" s="361">
        <f>(1+D2647)^((5-Dashboard!$F$9)*3/12)</f>
        <v>1.2436786138373044</v>
      </c>
      <c r="N2647" s="361">
        <f t="shared" ref="N2647:V2647" si="2718">M2647*(1+$D2647)</f>
        <v>1.6633579620766754</v>
      </c>
      <c r="O2647" s="361">
        <f t="shared" si="2718"/>
        <v>2.2246581063794131</v>
      </c>
      <c r="P2647" s="361">
        <f t="shared" si="2718"/>
        <v>2.9753689843770972</v>
      </c>
      <c r="Q2647" s="361">
        <f t="shared" si="2718"/>
        <v>3.9794072481550833</v>
      </c>
      <c r="R2647" s="361">
        <f t="shared" si="2718"/>
        <v>5.322258224044929</v>
      </c>
      <c r="S2647" s="361">
        <f t="shared" si="2718"/>
        <v>7.1182542617487732</v>
      </c>
      <c r="T2647" s="361">
        <f t="shared" si="2718"/>
        <v>9.5203091623757405</v>
      </c>
      <c r="U2647" s="361">
        <f t="shared" si="2718"/>
        <v>12.732937489219225</v>
      </c>
      <c r="V2647" s="362">
        <f t="shared" si="2718"/>
        <v>17.029667244955974</v>
      </c>
      <c r="X2647" s="351"/>
    </row>
    <row r="2648" spans="3:24" ht="24.75" customHeight="1" x14ac:dyDescent="0.3">
      <c r="C2648" s="353">
        <f>ABS(E2648-Dashboard!$F$14)</f>
        <v>52.160504524323684</v>
      </c>
      <c r="D2648" s="350">
        <f t="shared" si="2709"/>
        <v>0.33754999999997809</v>
      </c>
      <c r="E2648" s="359" cm="1">
        <f t="array" ref="E2648">1000*SUM('DRE + DCF'!$L$36/M2648,'DRE + DCF'!$N$36:$V$36/N2648:V2648,F2648/V2648)/Dashboard!$F$11</f>
        <v>44.82949547567631</v>
      </c>
      <c r="F2648" s="359">
        <f t="shared" si="2707"/>
        <v>7678054.8598569129</v>
      </c>
      <c r="G2648" s="359">
        <f>'DRE + DCF'!$W$31</f>
        <v>2791623.3540418856</v>
      </c>
      <c r="H2648" s="359">
        <f>'DRE + DCF'!$W$32</f>
        <v>81081.931703745853</v>
      </c>
      <c r="I2648" s="359">
        <f>-H2648*('DRE + DCF'!$V$33+K2648)/'DRE + DCF'!$V$33</f>
        <v>-90858.801614444121</v>
      </c>
      <c r="J2648" s="359">
        <f>-'DRE + DCF'!$V$56*L2648</f>
        <v>-1188924.4255577971</v>
      </c>
      <c r="K2648" s="360">
        <f>(1+L2648)/(1+Ke!$O$12)-1</f>
        <v>2.0000000000000018E-2</v>
      </c>
      <c r="L2648" s="360">
        <f>'DRE + DCF'!$Y$31</f>
        <v>7.3550000000000004E-2</v>
      </c>
      <c r="M2648" s="361">
        <f>(1+D2648)^((5-Dashboard!$F$9)*3/12)</f>
        <v>1.2437483547803641</v>
      </c>
      <c r="N2648" s="361">
        <f t="shared" ref="N2648:V2648" si="2719">M2648*(1+$D2648)</f>
        <v>1.6635756119364487</v>
      </c>
      <c r="O2648" s="361">
        <f t="shared" si="2719"/>
        <v>2.2251155597455603</v>
      </c>
      <c r="P2648" s="361">
        <f t="shared" si="2719"/>
        <v>2.9762033169376254</v>
      </c>
      <c r="Q2648" s="361">
        <f t="shared" si="2719"/>
        <v>3.9808207465698553</v>
      </c>
      <c r="R2648" s="361">
        <f t="shared" si="2719"/>
        <v>5.3245467895744225</v>
      </c>
      <c r="S2648" s="361">
        <f t="shared" si="2719"/>
        <v>7.1218475583951522</v>
      </c>
      <c r="T2648" s="361">
        <f t="shared" si="2719"/>
        <v>9.5258272017312802</v>
      </c>
      <c r="U2648" s="361">
        <f t="shared" si="2719"/>
        <v>12.741270173675465</v>
      </c>
      <c r="V2648" s="362">
        <f t="shared" si="2719"/>
        <v>17.042085920799337</v>
      </c>
      <c r="X2648" s="351"/>
    </row>
    <row r="2649" spans="3:24" ht="24.75" customHeight="1" x14ac:dyDescent="0.3">
      <c r="C2649" s="353">
        <f>ABS(E2649-Dashboard!$F$14)</f>
        <v>52.180548443740982</v>
      </c>
      <c r="D2649" s="350">
        <f t="shared" si="2709"/>
        <v>0.33764999999997808</v>
      </c>
      <c r="E2649" s="359" cm="1">
        <f t="array" ref="E2649">1000*SUM('DRE + DCF'!$L$36/M2649,'DRE + DCF'!$N$36:$V$36/N2649:V2649,F2649/V2649)/Dashboard!$F$11</f>
        <v>44.809451556259013</v>
      </c>
      <c r="F2649" s="359">
        <f t="shared" si="2707"/>
        <v>7675513.7565324204</v>
      </c>
      <c r="G2649" s="359">
        <f>'DRE + DCF'!$W$31</f>
        <v>2791623.3540418856</v>
      </c>
      <c r="H2649" s="359">
        <f>'DRE + DCF'!$W$32</f>
        <v>81081.931703745853</v>
      </c>
      <c r="I2649" s="359">
        <f>-H2649*('DRE + DCF'!$V$33+K2649)/'DRE + DCF'!$V$33</f>
        <v>-90858.801614444121</v>
      </c>
      <c r="J2649" s="359">
        <f>-'DRE + DCF'!$V$56*L2649</f>
        <v>-1188924.4255577971</v>
      </c>
      <c r="K2649" s="360">
        <f>(1+L2649)/(1+Ke!$O$12)-1</f>
        <v>2.0000000000000018E-2</v>
      </c>
      <c r="L2649" s="360">
        <f>'DRE + DCF'!$Y$31</f>
        <v>7.3550000000000004E-2</v>
      </c>
      <c r="M2649" s="361">
        <f>(1+D2649)^((5-Dashboard!$F$9)*3/12)</f>
        <v>1.2438180944199153</v>
      </c>
      <c r="N2649" s="361">
        <f t="shared" ref="N2649:V2649" si="2720">M2649*(1+$D2649)</f>
        <v>1.6637932740007724</v>
      </c>
      <c r="O2649" s="361">
        <f t="shared" si="2720"/>
        <v>2.2255730729670966</v>
      </c>
      <c r="P2649" s="361">
        <f t="shared" si="2720"/>
        <v>2.9770378210543877</v>
      </c>
      <c r="Q2649" s="361">
        <f t="shared" si="2720"/>
        <v>3.9822346413333363</v>
      </c>
      <c r="R2649" s="361">
        <f t="shared" si="2720"/>
        <v>5.32683616797945</v>
      </c>
      <c r="S2649" s="361">
        <f t="shared" si="2720"/>
        <v>7.1254424000975947</v>
      </c>
      <c r="T2649" s="361">
        <f t="shared" si="2720"/>
        <v>9.5313480264903916</v>
      </c>
      <c r="U2649" s="361">
        <f t="shared" si="2720"/>
        <v>12.749607687634663</v>
      </c>
      <c r="V2649" s="362">
        <f t="shared" si="2720"/>
        <v>17.054512723364226</v>
      </c>
      <c r="X2649" s="351"/>
    </row>
    <row r="2650" spans="3:24" ht="24.75" customHeight="1" x14ac:dyDescent="0.3">
      <c r="C2650" s="353">
        <f>ABS(E2650-Dashboard!$F$14)</f>
        <v>52.200576116969302</v>
      </c>
      <c r="D2650" s="350">
        <f t="shared" si="2709"/>
        <v>0.33774999999997807</v>
      </c>
      <c r="E2650" s="359" cm="1">
        <f t="array" ref="E2650">1000*SUM('DRE + DCF'!$L$36/M2650,'DRE + DCF'!$N$36:$V$36/N2650:V2650,F2650/V2650)/Dashboard!$F$11</f>
        <v>44.789423883030693</v>
      </c>
      <c r="F2650" s="359">
        <f t="shared" si="2707"/>
        <v>7672974.3600940714</v>
      </c>
      <c r="G2650" s="359">
        <f>'DRE + DCF'!$W$31</f>
        <v>2791623.3540418856</v>
      </c>
      <c r="H2650" s="359">
        <f>'DRE + DCF'!$W$32</f>
        <v>81081.931703745853</v>
      </c>
      <c r="I2650" s="359">
        <f>-H2650*('DRE + DCF'!$V$33+K2650)/'DRE + DCF'!$V$33</f>
        <v>-90858.801614444121</v>
      </c>
      <c r="J2650" s="359">
        <f>-'DRE + DCF'!$V$56*L2650</f>
        <v>-1188924.4255577971</v>
      </c>
      <c r="K2650" s="360">
        <f>(1+L2650)/(1+Ke!$O$12)-1</f>
        <v>2.0000000000000018E-2</v>
      </c>
      <c r="L2650" s="360">
        <f>'DRE + DCF'!$Y$31</f>
        <v>7.3550000000000004E-2</v>
      </c>
      <c r="M2650" s="361">
        <f>(1+D2650)^((5-Dashboard!$F$9)*3/12)</f>
        <v>1.2438878327560805</v>
      </c>
      <c r="N2650" s="361">
        <f t="shared" ref="N2650:V2650" si="2721">M2650*(1+$D2650)</f>
        <v>1.6640109482694194</v>
      </c>
      <c r="O2650" s="361">
        <f t="shared" si="2721"/>
        <v>2.2260306460473793</v>
      </c>
      <c r="P2650" s="361">
        <f t="shared" si="2721"/>
        <v>2.9778724967498329</v>
      </c>
      <c r="Q2650" s="361">
        <f t="shared" si="2721"/>
        <v>3.9836489325270237</v>
      </c>
      <c r="R2650" s="361">
        <f t="shared" si="2721"/>
        <v>5.3291263594879386</v>
      </c>
      <c r="S2650" s="361">
        <f t="shared" si="2721"/>
        <v>7.1290387874048724</v>
      </c>
      <c r="T2650" s="361">
        <f t="shared" si="2721"/>
        <v>9.5368716378507106</v>
      </c>
      <c r="U2650" s="361">
        <f t="shared" si="2721"/>
        <v>12.757950033534579</v>
      </c>
      <c r="V2650" s="362">
        <f t="shared" si="2721"/>
        <v>17.0669476573606</v>
      </c>
      <c r="X2650" s="351"/>
    </row>
    <row r="2651" spans="3:24" ht="24.75" customHeight="1" x14ac:dyDescent="0.3">
      <c r="C2651" s="353">
        <f>ABS(E2651-Dashboard!$F$14)</f>
        <v>52.220587562364393</v>
      </c>
      <c r="D2651" s="350">
        <f t="shared" si="2709"/>
        <v>0.33784999999997806</v>
      </c>
      <c r="E2651" s="359" cm="1">
        <f t="array" ref="E2651">1000*SUM('DRE + DCF'!$L$36/M2651,'DRE + DCF'!$N$36:$V$36/N2651:V2651,F2651/V2651)/Dashboard!$F$11</f>
        <v>44.769412437635602</v>
      </c>
      <c r="F2651" s="359">
        <f t="shared" si="2707"/>
        <v>7670436.6687968057</v>
      </c>
      <c r="G2651" s="359">
        <f>'DRE + DCF'!$W$31</f>
        <v>2791623.3540418856</v>
      </c>
      <c r="H2651" s="359">
        <f>'DRE + DCF'!$W$32</f>
        <v>81081.931703745853</v>
      </c>
      <c r="I2651" s="359">
        <f>-H2651*('DRE + DCF'!$V$33+K2651)/'DRE + DCF'!$V$33</f>
        <v>-90858.801614444121</v>
      </c>
      <c r="J2651" s="359">
        <f>-'DRE + DCF'!$V$56*L2651</f>
        <v>-1188924.4255577971</v>
      </c>
      <c r="K2651" s="360">
        <f>(1+L2651)/(1+Ke!$O$12)-1</f>
        <v>2.0000000000000018E-2</v>
      </c>
      <c r="L2651" s="360">
        <f>'DRE + DCF'!$Y$31</f>
        <v>7.3550000000000004E-2</v>
      </c>
      <c r="M2651" s="361">
        <f>(1+D2651)^((5-Dashboard!$F$9)*3/12)</f>
        <v>1.2439575697889811</v>
      </c>
      <c r="N2651" s="361">
        <f t="shared" ref="N2651:V2651" si="2722">M2651*(1+$D2651)</f>
        <v>1.6642286347421609</v>
      </c>
      <c r="O2651" s="361">
        <f t="shared" si="2722"/>
        <v>2.2264882789897631</v>
      </c>
      <c r="P2651" s="361">
        <f t="shared" si="2722"/>
        <v>2.9787073440464056</v>
      </c>
      <c r="Q2651" s="361">
        <f t="shared" si="2722"/>
        <v>3.9850636202324181</v>
      </c>
      <c r="R2651" s="361">
        <f t="shared" si="2722"/>
        <v>5.3314173643278533</v>
      </c>
      <c r="S2651" s="361">
        <f t="shared" si="2722"/>
        <v>7.1326367208659009</v>
      </c>
      <c r="T2651" s="361">
        <f t="shared" si="2722"/>
        <v>9.5423980370102885</v>
      </c>
      <c r="U2651" s="361">
        <f t="shared" si="2722"/>
        <v>12.766297213814005</v>
      </c>
      <c r="V2651" s="362">
        <f t="shared" si="2722"/>
        <v>17.079390727500787</v>
      </c>
      <c r="X2651" s="351"/>
    </row>
    <row r="2652" spans="3:24" ht="24.75" customHeight="1" x14ac:dyDescent="0.3">
      <c r="C2652" s="353">
        <f>ABS(E2652-Dashboard!$F$14)</f>
        <v>52.240582798255616</v>
      </c>
      <c r="D2652" s="350">
        <f t="shared" si="2709"/>
        <v>0.33794999999997805</v>
      </c>
      <c r="E2652" s="359" cm="1">
        <f t="array" ref="E2652">1000*SUM('DRE + DCF'!$L$36/M2652,'DRE + DCF'!$N$36:$V$36/N2652:V2652,F2652/V2652)/Dashboard!$F$11</f>
        <v>44.749417201744379</v>
      </c>
      <c r="F2652" s="359">
        <f t="shared" si="2707"/>
        <v>7667900.6808979725</v>
      </c>
      <c r="G2652" s="359">
        <f>'DRE + DCF'!$W$31</f>
        <v>2791623.3540418856</v>
      </c>
      <c r="H2652" s="359">
        <f>'DRE + DCF'!$W$32</f>
        <v>81081.931703745853</v>
      </c>
      <c r="I2652" s="359">
        <f>-H2652*('DRE + DCF'!$V$33+K2652)/'DRE + DCF'!$V$33</f>
        <v>-90858.801614444121</v>
      </c>
      <c r="J2652" s="359">
        <f>-'DRE + DCF'!$V$56*L2652</f>
        <v>-1188924.4255577971</v>
      </c>
      <c r="K2652" s="360">
        <f>(1+L2652)/(1+Ke!$O$12)-1</f>
        <v>2.0000000000000018E-2</v>
      </c>
      <c r="L2652" s="360">
        <f>'DRE + DCF'!$Y$31</f>
        <v>7.3550000000000004E-2</v>
      </c>
      <c r="M2652" s="361">
        <f>(1+D2652)^((5-Dashboard!$F$9)*3/12)</f>
        <v>1.244027305518739</v>
      </c>
      <c r="N2652" s="361">
        <f t="shared" ref="N2652:V2652" si="2723">M2652*(1+$D2652)</f>
        <v>1.6644463334187694</v>
      </c>
      <c r="O2652" s="361">
        <f t="shared" si="2723"/>
        <v>2.2269459717976057</v>
      </c>
      <c r="P2652" s="361">
        <f t="shared" si="2723"/>
        <v>2.9795423629665576</v>
      </c>
      <c r="Q2652" s="361">
        <f t="shared" si="2723"/>
        <v>3.9864787045310401</v>
      </c>
      <c r="R2652" s="361">
        <f t="shared" si="2723"/>
        <v>5.3337091827272172</v>
      </c>
      <c r="S2652" s="361">
        <f t="shared" si="2723"/>
        <v>7.1362362010297629</v>
      </c>
      <c r="T2652" s="361">
        <f t="shared" si="2723"/>
        <v>9.5479272251676139</v>
      </c>
      <c r="U2652" s="361">
        <f t="shared" si="2723"/>
        <v>12.774649230912798</v>
      </c>
      <c r="V2652" s="362">
        <f t="shared" si="2723"/>
        <v>17.091841938499499</v>
      </c>
      <c r="X2652" s="351"/>
    </row>
    <row r="2653" spans="3:24" ht="24.75" customHeight="1" x14ac:dyDescent="0.3">
      <c r="C2653" s="353">
        <f>ABS(E2653-Dashboard!$F$14)</f>
        <v>52.260561842945897</v>
      </c>
      <c r="D2653" s="350">
        <f t="shared" si="2709"/>
        <v>0.33804999999997803</v>
      </c>
      <c r="E2653" s="359" cm="1">
        <f t="array" ref="E2653">1000*SUM('DRE + DCF'!$L$36/M2653,'DRE + DCF'!$N$36:$V$36/N2653:V2653,F2653/V2653)/Dashboard!$F$11</f>
        <v>44.729438157054098</v>
      </c>
      <c r="F2653" s="359">
        <f t="shared" si="2707"/>
        <v>7665366.3946573325</v>
      </c>
      <c r="G2653" s="359">
        <f>'DRE + DCF'!$W$31</f>
        <v>2791623.3540418856</v>
      </c>
      <c r="H2653" s="359">
        <f>'DRE + DCF'!$W$32</f>
        <v>81081.931703745853</v>
      </c>
      <c r="I2653" s="359">
        <f>-H2653*('DRE + DCF'!$V$33+K2653)/'DRE + DCF'!$V$33</f>
        <v>-90858.801614444121</v>
      </c>
      <c r="J2653" s="359">
        <f>-'DRE + DCF'!$V$56*L2653</f>
        <v>-1188924.4255577971</v>
      </c>
      <c r="K2653" s="360">
        <f>(1+L2653)/(1+Ke!$O$12)-1</f>
        <v>2.0000000000000018E-2</v>
      </c>
      <c r="L2653" s="360">
        <f>'DRE + DCF'!$Y$31</f>
        <v>7.3550000000000004E-2</v>
      </c>
      <c r="M2653" s="361">
        <f>(1+D2653)^((5-Dashboard!$F$9)*3/12)</f>
        <v>1.2440970399454758</v>
      </c>
      <c r="N2653" s="361">
        <f t="shared" ref="N2653:V2653" si="2724">M2653*(1+$D2653)</f>
        <v>1.6646640442990166</v>
      </c>
      <c r="O2653" s="361">
        <f t="shared" si="2724"/>
        <v>2.2274037244742626</v>
      </c>
      <c r="P2653" s="361">
        <f t="shared" si="2724"/>
        <v>2.9803775535327381</v>
      </c>
      <c r="Q2653" s="361">
        <f t="shared" si="2724"/>
        <v>3.9878941855044148</v>
      </c>
      <c r="R2653" s="361">
        <f t="shared" si="2724"/>
        <v>5.336001814914094</v>
      </c>
      <c r="S2653" s="361">
        <f t="shared" si="2724"/>
        <v>7.1398372284456864</v>
      </c>
      <c r="T2653" s="361">
        <f t="shared" si="2724"/>
        <v>9.5534592035215926</v>
      </c>
      <c r="U2653" s="361">
        <f t="shared" si="2724"/>
        <v>12.783006087271856</v>
      </c>
      <c r="V2653" s="362">
        <f t="shared" si="2724"/>
        <v>17.104301295073824</v>
      </c>
      <c r="X2653" s="351"/>
    </row>
    <row r="2654" spans="3:24" ht="24.75" customHeight="1" x14ac:dyDescent="0.3">
      <c r="C2654" s="353">
        <f>ABS(E2654-Dashboard!$F$14)</f>
        <v>52.280524714711802</v>
      </c>
      <c r="D2654" s="350">
        <f t="shared" si="2709"/>
        <v>0.33814999999997802</v>
      </c>
      <c r="E2654" s="359" cm="1">
        <f t="array" ref="E2654">1000*SUM('DRE + DCF'!$L$36/M2654,'DRE + DCF'!$N$36:$V$36/N2654:V2654,F2654/V2654)/Dashboard!$F$11</f>
        <v>44.709475285288192</v>
      </c>
      <c r="F2654" s="359">
        <f t="shared" si="2707"/>
        <v>7662833.8083370477</v>
      </c>
      <c r="G2654" s="359">
        <f>'DRE + DCF'!$W$31</f>
        <v>2791623.3540418856</v>
      </c>
      <c r="H2654" s="359">
        <f>'DRE + DCF'!$W$32</f>
        <v>81081.931703745853</v>
      </c>
      <c r="I2654" s="359">
        <f>-H2654*('DRE + DCF'!$V$33+K2654)/'DRE + DCF'!$V$33</f>
        <v>-90858.801614444121</v>
      </c>
      <c r="J2654" s="359">
        <f>-'DRE + DCF'!$V$56*L2654</f>
        <v>-1188924.4255577971</v>
      </c>
      <c r="K2654" s="360">
        <f>(1+L2654)/(1+Ke!$O$12)-1</f>
        <v>2.0000000000000018E-2</v>
      </c>
      <c r="L2654" s="360">
        <f>'DRE + DCF'!$Y$31</f>
        <v>7.3550000000000004E-2</v>
      </c>
      <c r="M2654" s="361">
        <f>(1+D2654)^((5-Dashboard!$F$9)*3/12)</f>
        <v>1.2441667730693136</v>
      </c>
      <c r="N2654" s="361">
        <f t="shared" ref="N2654:V2654" si="2725">M2654*(1+$D2654)</f>
        <v>1.6648817673826746</v>
      </c>
      <c r="O2654" s="361">
        <f t="shared" si="2725"/>
        <v>2.2278615370230894</v>
      </c>
      <c r="P2654" s="361">
        <f t="shared" si="2725"/>
        <v>2.9812129157673981</v>
      </c>
      <c r="Q2654" s="361">
        <f t="shared" si="2725"/>
        <v>3.9893100632340781</v>
      </c>
      <c r="R2654" s="361">
        <f t="shared" si="2725"/>
        <v>5.3382952611165937</v>
      </c>
      <c r="S2654" s="361">
        <f t="shared" si="2725"/>
        <v>7.1434398036630524</v>
      </c>
      <c r="T2654" s="361">
        <f t="shared" si="2725"/>
        <v>9.5589939732715568</v>
      </c>
      <c r="U2654" s="361">
        <f t="shared" si="2725"/>
        <v>12.791367785333122</v>
      </c>
      <c r="V2654" s="362">
        <f t="shared" si="2725"/>
        <v>17.116768801943234</v>
      </c>
      <c r="X2654" s="351"/>
    </row>
    <row r="2655" spans="3:24" ht="24.75" customHeight="1" x14ac:dyDescent="0.3">
      <c r="C2655" s="353">
        <f>ABS(E2655-Dashboard!$F$14)</f>
        <v>52.300471431803587</v>
      </c>
      <c r="D2655" s="350">
        <f t="shared" si="2709"/>
        <v>0.33824999999997801</v>
      </c>
      <c r="E2655" s="359" cm="1">
        <f t="array" ref="E2655">1000*SUM('DRE + DCF'!$L$36/M2655,'DRE + DCF'!$N$36:$V$36/N2655:V2655,F2655/V2655)/Dashboard!$F$11</f>
        <v>44.689528568196408</v>
      </c>
      <c r="F2655" s="359">
        <f t="shared" si="2707"/>
        <v>7660302.9202016843</v>
      </c>
      <c r="G2655" s="359">
        <f>'DRE + DCF'!$W$31</f>
        <v>2791623.3540418856</v>
      </c>
      <c r="H2655" s="359">
        <f>'DRE + DCF'!$W$32</f>
        <v>81081.931703745853</v>
      </c>
      <c r="I2655" s="359">
        <f>-H2655*('DRE + DCF'!$V$33+K2655)/'DRE + DCF'!$V$33</f>
        <v>-90858.801614444121</v>
      </c>
      <c r="J2655" s="359">
        <f>-'DRE + DCF'!$V$56*L2655</f>
        <v>-1188924.4255577971</v>
      </c>
      <c r="K2655" s="360">
        <f>(1+L2655)/(1+Ke!$O$12)-1</f>
        <v>2.0000000000000018E-2</v>
      </c>
      <c r="L2655" s="360">
        <f>'DRE + DCF'!$Y$31</f>
        <v>7.3550000000000004E-2</v>
      </c>
      <c r="M2655" s="361">
        <f>(1+D2655)^((5-Dashboard!$F$9)*3/12)</f>
        <v>1.2442365048903734</v>
      </c>
      <c r="N2655" s="361">
        <f t="shared" ref="N2655:V2655" si="2726">M2655*(1+$D2655)</f>
        <v>1.6650995026695148</v>
      </c>
      <c r="O2655" s="361">
        <f t="shared" si="2726"/>
        <v>2.2283194094474417</v>
      </c>
      <c r="P2655" s="361">
        <f t="shared" si="2726"/>
        <v>2.9820484496929898</v>
      </c>
      <c r="Q2655" s="361">
        <f t="shared" si="2726"/>
        <v>3.9907263378015778</v>
      </c>
      <c r="R2655" s="361">
        <f t="shared" si="2726"/>
        <v>5.3405895215628734</v>
      </c>
      <c r="S2655" s="361">
        <f t="shared" si="2726"/>
        <v>7.1470439272313975</v>
      </c>
      <c r="T2655" s="361">
        <f t="shared" si="2726"/>
        <v>9.5645315356172596</v>
      </c>
      <c r="U2655" s="361">
        <f t="shared" si="2726"/>
        <v>12.799734327539587</v>
      </c>
      <c r="V2655" s="362">
        <f t="shared" si="2726"/>
        <v>17.129244463829572</v>
      </c>
      <c r="X2655" s="351"/>
    </row>
    <row r="2656" spans="3:24" ht="24.75" customHeight="1" x14ac:dyDescent="0.3">
      <c r="C2656" s="353">
        <f>ABS(E2656-Dashboard!$F$14)</f>
        <v>52.3204020124453</v>
      </c>
      <c r="D2656" s="350">
        <f t="shared" si="2709"/>
        <v>0.338349999999978</v>
      </c>
      <c r="E2656" s="359" cm="1">
        <f t="array" ref="E2656">1000*SUM('DRE + DCF'!$L$36/M2656,'DRE + DCF'!$N$36:$V$36/N2656:V2656,F2656/V2656)/Dashboard!$F$11</f>
        <v>44.669597987554695</v>
      </c>
      <c r="F2656" s="359">
        <f t="shared" si="2707"/>
        <v>7657773.728518201</v>
      </c>
      <c r="G2656" s="359">
        <f>'DRE + DCF'!$W$31</f>
        <v>2791623.3540418856</v>
      </c>
      <c r="H2656" s="359">
        <f>'DRE + DCF'!$W$32</f>
        <v>81081.931703745853</v>
      </c>
      <c r="I2656" s="359">
        <f>-H2656*('DRE + DCF'!$V$33+K2656)/'DRE + DCF'!$V$33</f>
        <v>-90858.801614444121</v>
      </c>
      <c r="J2656" s="359">
        <f>-'DRE + DCF'!$V$56*L2656</f>
        <v>-1188924.4255577971</v>
      </c>
      <c r="K2656" s="360">
        <f>(1+L2656)/(1+Ke!$O$12)-1</f>
        <v>2.0000000000000018E-2</v>
      </c>
      <c r="L2656" s="360">
        <f>'DRE + DCF'!$Y$31</f>
        <v>7.3550000000000004E-2</v>
      </c>
      <c r="M2656" s="361">
        <f>(1+D2656)^((5-Dashboard!$F$9)*3/12)</f>
        <v>1.2443062354087775</v>
      </c>
      <c r="N2656" s="361">
        <f t="shared" ref="N2656:V2656" si="2727">M2656*(1+$D2656)</f>
        <v>1.6653172501593099</v>
      </c>
      <c r="O2656" s="361">
        <f t="shared" si="2727"/>
        <v>2.2287773417506758</v>
      </c>
      <c r="P2656" s="361">
        <f t="shared" si="2727"/>
        <v>2.9828841553319676</v>
      </c>
      <c r="Q2656" s="361">
        <f t="shared" si="2727"/>
        <v>3.9921430092884731</v>
      </c>
      <c r="R2656" s="361">
        <f t="shared" si="2727"/>
        <v>5.3428845964811398</v>
      </c>
      <c r="S2656" s="361">
        <f t="shared" si="2727"/>
        <v>7.150649599700416</v>
      </c>
      <c r="T2656" s="361">
        <f t="shared" si="2727"/>
        <v>9.5700718917588947</v>
      </c>
      <c r="U2656" s="361">
        <f t="shared" si="2727"/>
        <v>12.808105716335305</v>
      </c>
      <c r="V2656" s="362">
        <f t="shared" si="2727"/>
        <v>17.141728285457074</v>
      </c>
      <c r="X2656" s="351"/>
    </row>
    <row r="2657" spans="3:24" ht="24.75" customHeight="1" x14ac:dyDescent="0.3">
      <c r="C2657" s="353">
        <f>ABS(E2657-Dashboard!$F$14)</f>
        <v>52.340316474834751</v>
      </c>
      <c r="D2657" s="350">
        <f t="shared" si="2709"/>
        <v>0.33844999999997799</v>
      </c>
      <c r="E2657" s="359" cm="1">
        <f t="array" ref="E2657">1000*SUM('DRE + DCF'!$L$36/M2657,'DRE + DCF'!$N$36:$V$36/N2657:V2657,F2657/V2657)/Dashboard!$F$11</f>
        <v>44.649683525165244</v>
      </c>
      <c r="F2657" s="359">
        <f t="shared" si="2707"/>
        <v>7655246.2315559462</v>
      </c>
      <c r="G2657" s="359">
        <f>'DRE + DCF'!$W$31</f>
        <v>2791623.3540418856</v>
      </c>
      <c r="H2657" s="359">
        <f>'DRE + DCF'!$W$32</f>
        <v>81081.931703745853</v>
      </c>
      <c r="I2657" s="359">
        <f>-H2657*('DRE + DCF'!$V$33+K2657)/'DRE + DCF'!$V$33</f>
        <v>-90858.801614444121</v>
      </c>
      <c r="J2657" s="359">
        <f>-'DRE + DCF'!$V$56*L2657</f>
        <v>-1188924.4255577971</v>
      </c>
      <c r="K2657" s="360">
        <f>(1+L2657)/(1+Ke!$O$12)-1</f>
        <v>2.0000000000000018E-2</v>
      </c>
      <c r="L2657" s="360">
        <f>'DRE + DCF'!$Y$31</f>
        <v>7.3550000000000004E-2</v>
      </c>
      <c r="M2657" s="361">
        <f>(1+D2657)^((5-Dashboard!$F$9)*3/12)</f>
        <v>1.2443759646246475</v>
      </c>
      <c r="N2657" s="361">
        <f t="shared" ref="N2657:V2657" si="2728">M2657*(1+$D2657)</f>
        <v>1.665535009851832</v>
      </c>
      <c r="O2657" s="361">
        <f t="shared" si="2728"/>
        <v>2.2292353339361477</v>
      </c>
      <c r="P2657" s="361">
        <f t="shared" si="2728"/>
        <v>2.9837200327067879</v>
      </c>
      <c r="Q2657" s="361">
        <f t="shared" si="2728"/>
        <v>3.9935600777763343</v>
      </c>
      <c r="R2657" s="361">
        <f t="shared" si="2728"/>
        <v>5.3451804860996468</v>
      </c>
      <c r="S2657" s="361">
        <f t="shared" si="2728"/>
        <v>7.1542568216199545</v>
      </c>
      <c r="T2657" s="361">
        <f t="shared" si="2728"/>
        <v>9.5756150428970699</v>
      </c>
      <c r="U2657" s="361">
        <f t="shared" si="2728"/>
        <v>12.816481954165372</v>
      </c>
      <c r="V2657" s="362">
        <f t="shared" si="2728"/>
        <v>17.154220271552358</v>
      </c>
      <c r="X2657" s="351"/>
    </row>
    <row r="2658" spans="3:24" ht="24.75" customHeight="1" x14ac:dyDescent="0.3">
      <c r="C2658" s="353">
        <f>ABS(E2658-Dashboard!$F$14)</f>
        <v>52.360214837143545</v>
      </c>
      <c r="D2658" s="350">
        <f t="shared" si="2709"/>
        <v>0.33854999999997798</v>
      </c>
      <c r="E2658" s="359" cm="1">
        <f t="array" ref="E2658">1000*SUM('DRE + DCF'!$L$36/M2658,'DRE + DCF'!$N$36:$V$36/N2658:V2658,F2658/V2658)/Dashboard!$F$11</f>
        <v>44.62978516285645</v>
      </c>
      <c r="F2658" s="359">
        <f t="shared" si="2707"/>
        <v>7652720.4275866598</v>
      </c>
      <c r="G2658" s="359">
        <f>'DRE + DCF'!$W$31</f>
        <v>2791623.3540418856</v>
      </c>
      <c r="H2658" s="359">
        <f>'DRE + DCF'!$W$32</f>
        <v>81081.931703745853</v>
      </c>
      <c r="I2658" s="359">
        <f>-H2658*('DRE + DCF'!$V$33+K2658)/'DRE + DCF'!$V$33</f>
        <v>-90858.801614444121</v>
      </c>
      <c r="J2658" s="359">
        <f>-'DRE + DCF'!$V$56*L2658</f>
        <v>-1188924.4255577971</v>
      </c>
      <c r="K2658" s="360">
        <f>(1+L2658)/(1+Ke!$O$12)-1</f>
        <v>2.0000000000000018E-2</v>
      </c>
      <c r="L2658" s="360">
        <f>'DRE + DCF'!$Y$31</f>
        <v>7.3550000000000004E-2</v>
      </c>
      <c r="M2658" s="361">
        <f>(1+D2658)^((5-Dashboard!$F$9)*3/12)</f>
        <v>1.2444456925381047</v>
      </c>
      <c r="N2658" s="361">
        <f t="shared" ref="N2658:V2658" si="2729">M2658*(1+$D2658)</f>
        <v>1.6657527817468525</v>
      </c>
      <c r="O2658" s="361">
        <f t="shared" si="2729"/>
        <v>2.2296933860072126</v>
      </c>
      <c r="P2658" s="361">
        <f t="shared" si="2729"/>
        <v>2.9845560818399051</v>
      </c>
      <c r="Q2658" s="361">
        <f t="shared" si="2729"/>
        <v>3.9949775433467392</v>
      </c>
      <c r="R2658" s="361">
        <f t="shared" si="2729"/>
        <v>5.3474771906466891</v>
      </c>
      <c r="S2658" s="361">
        <f t="shared" si="2729"/>
        <v>7.1578655935400075</v>
      </c>
      <c r="T2658" s="361">
        <f t="shared" si="2729"/>
        <v>9.581160990232819</v>
      </c>
      <c r="U2658" s="361">
        <f t="shared" si="2729"/>
        <v>12.824863043475929</v>
      </c>
      <c r="V2658" s="362">
        <f t="shared" si="2729"/>
        <v>17.166720426844421</v>
      </c>
      <c r="X2658" s="351"/>
    </row>
    <row r="2659" spans="3:24" ht="24.75" customHeight="1" x14ac:dyDescent="0.3">
      <c r="C2659" s="353">
        <f>ABS(E2659-Dashboard!$F$14)</f>
        <v>52.380097117517224</v>
      </c>
      <c r="D2659" s="350">
        <f t="shared" si="2709"/>
        <v>0.33864999999997797</v>
      </c>
      <c r="E2659" s="359" cm="1">
        <f t="array" ref="E2659">1000*SUM('DRE + DCF'!$L$36/M2659,'DRE + DCF'!$N$36:$V$36/N2659:V2659,F2659/V2659)/Dashboard!$F$11</f>
        <v>44.609902882482771</v>
      </c>
      <c r="F2659" s="359">
        <f t="shared" si="2707"/>
        <v>7650196.3148844596</v>
      </c>
      <c r="G2659" s="359">
        <f>'DRE + DCF'!$W$31</f>
        <v>2791623.3540418856</v>
      </c>
      <c r="H2659" s="359">
        <f>'DRE + DCF'!$W$32</f>
        <v>81081.931703745853</v>
      </c>
      <c r="I2659" s="359">
        <f>-H2659*('DRE + DCF'!$V$33+K2659)/'DRE + DCF'!$V$33</f>
        <v>-90858.801614444121</v>
      </c>
      <c r="J2659" s="359">
        <f>-'DRE + DCF'!$V$56*L2659</f>
        <v>-1188924.4255577971</v>
      </c>
      <c r="K2659" s="360">
        <f>(1+L2659)/(1+Ke!$O$12)-1</f>
        <v>2.0000000000000018E-2</v>
      </c>
      <c r="L2659" s="360">
        <f>'DRE + DCF'!$Y$31</f>
        <v>7.3550000000000004E-2</v>
      </c>
      <c r="M2659" s="361">
        <f>(1+D2659)^((5-Dashboard!$F$9)*3/12)</f>
        <v>1.2445154191492711</v>
      </c>
      <c r="N2659" s="361">
        <f t="shared" ref="N2659:V2659" si="2730">M2659*(1+$D2659)</f>
        <v>1.6659705658441444</v>
      </c>
      <c r="O2659" s="361">
        <f t="shared" si="2730"/>
        <v>2.2301514979672272</v>
      </c>
      <c r="P2659" s="361">
        <f t="shared" si="2730"/>
        <v>2.9853923027537794</v>
      </c>
      <c r="Q2659" s="361">
        <f t="shared" si="2730"/>
        <v>3.9963954060812807</v>
      </c>
      <c r="R2659" s="361">
        <f t="shared" si="2730"/>
        <v>5.3497747103506184</v>
      </c>
      <c r="S2659" s="361">
        <f t="shared" si="2730"/>
        <v>7.1614759160107369</v>
      </c>
      <c r="T2659" s="361">
        <f t="shared" si="2730"/>
        <v>9.5867097349676147</v>
      </c>
      <c r="U2659" s="361">
        <f t="shared" si="2730"/>
        <v>12.833248986714185</v>
      </c>
      <c r="V2659" s="362">
        <f t="shared" si="2730"/>
        <v>17.17922875606466</v>
      </c>
      <c r="X2659" s="351"/>
    </row>
    <row r="2660" spans="3:24" ht="24.75" customHeight="1" x14ac:dyDescent="0.3">
      <c r="C2660" s="353">
        <f>ABS(E2660-Dashboard!$F$14)</f>
        <v>52.399963334075196</v>
      </c>
      <c r="D2660" s="350">
        <f t="shared" si="2709"/>
        <v>0.33874999999997796</v>
      </c>
      <c r="E2660" s="359" cm="1">
        <f t="array" ref="E2660">1000*SUM('DRE + DCF'!$L$36/M2660,'DRE + DCF'!$N$36:$V$36/N2660:V2660,F2660/V2660)/Dashboard!$F$11</f>
        <v>44.590036665924799</v>
      </c>
      <c r="F2660" s="359">
        <f t="shared" si="2707"/>
        <v>7647673.8917258494</v>
      </c>
      <c r="G2660" s="359">
        <f>'DRE + DCF'!$W$31</f>
        <v>2791623.3540418856</v>
      </c>
      <c r="H2660" s="359">
        <f>'DRE + DCF'!$W$32</f>
        <v>81081.931703745853</v>
      </c>
      <c r="I2660" s="359">
        <f>-H2660*('DRE + DCF'!$V$33+K2660)/'DRE + DCF'!$V$33</f>
        <v>-90858.801614444121</v>
      </c>
      <c r="J2660" s="359">
        <f>-'DRE + DCF'!$V$56*L2660</f>
        <v>-1188924.4255577971</v>
      </c>
      <c r="K2660" s="360">
        <f>(1+L2660)/(1+Ke!$O$12)-1</f>
        <v>2.0000000000000018E-2</v>
      </c>
      <c r="L2660" s="360">
        <f>'DRE + DCF'!$Y$31</f>
        <v>7.3550000000000004E-2</v>
      </c>
      <c r="M2660" s="361">
        <f>(1+D2660)^((5-Dashboard!$F$9)*3/12)</f>
        <v>1.2445851444582681</v>
      </c>
      <c r="N2660" s="361">
        <f t="shared" ref="N2660:V2660" si="2731">M2660*(1+$D2660)</f>
        <v>1.6661883621434788</v>
      </c>
      <c r="O2660" s="361">
        <f t="shared" si="2731"/>
        <v>2.2306096698195454</v>
      </c>
      <c r="P2660" s="361">
        <f t="shared" si="2731"/>
        <v>2.9862286954708672</v>
      </c>
      <c r="Q2660" s="361">
        <f t="shared" si="2731"/>
        <v>3.9978136660615573</v>
      </c>
      <c r="R2660" s="361">
        <f t="shared" si="2731"/>
        <v>5.3520730454398215</v>
      </c>
      <c r="S2660" s="361">
        <f t="shared" si="2731"/>
        <v>7.1650877895824427</v>
      </c>
      <c r="T2660" s="361">
        <f t="shared" si="2731"/>
        <v>9.5922612783033365</v>
      </c>
      <c r="U2660" s="361">
        <f t="shared" si="2731"/>
        <v>12.841639786328379</v>
      </c>
      <c r="V2660" s="362">
        <f t="shared" si="2731"/>
        <v>17.191745263946835</v>
      </c>
      <c r="X2660" s="351"/>
    </row>
    <row r="2661" spans="3:24" ht="24.75" customHeight="1" x14ac:dyDescent="0.3">
      <c r="C2661" s="353">
        <f>ABS(E2661-Dashboard!$F$14)</f>
        <v>52.41981350491092</v>
      </c>
      <c r="D2661" s="350">
        <f t="shared" si="2709"/>
        <v>0.33884999999997795</v>
      </c>
      <c r="E2661" s="359" cm="1">
        <f t="array" ref="E2661">1000*SUM('DRE + DCF'!$L$36/M2661,'DRE + DCF'!$N$36:$V$36/N2661:V2661,F2661/V2661)/Dashboard!$F$11</f>
        <v>44.570186495089075</v>
      </c>
      <c r="F2661" s="359">
        <f t="shared" si="2707"/>
        <v>7645153.1563896984</v>
      </c>
      <c r="G2661" s="359">
        <f>'DRE + DCF'!$W$31</f>
        <v>2791623.3540418856</v>
      </c>
      <c r="H2661" s="359">
        <f>'DRE + DCF'!$W$32</f>
        <v>81081.931703745853</v>
      </c>
      <c r="I2661" s="359">
        <f>-H2661*('DRE + DCF'!$V$33+K2661)/'DRE + DCF'!$V$33</f>
        <v>-90858.801614444121</v>
      </c>
      <c r="J2661" s="359">
        <f>-'DRE + DCF'!$V$56*L2661</f>
        <v>-1188924.4255577971</v>
      </c>
      <c r="K2661" s="360">
        <f>(1+L2661)/(1+Ke!$O$12)-1</f>
        <v>2.0000000000000018E-2</v>
      </c>
      <c r="L2661" s="360">
        <f>'DRE + DCF'!$Y$31</f>
        <v>7.3550000000000004E-2</v>
      </c>
      <c r="M2661" s="361">
        <f>(1+D2661)^((5-Dashboard!$F$9)*3/12)</f>
        <v>1.2446548684652172</v>
      </c>
      <c r="N2661" s="361">
        <f t="shared" ref="N2661:V2661" si="2732">M2661*(1+$D2661)</f>
        <v>1.6664061706446285</v>
      </c>
      <c r="O2661" s="361">
        <f t="shared" si="2732"/>
        <v>2.2310679015675241</v>
      </c>
      <c r="P2661" s="361">
        <f t="shared" si="2732"/>
        <v>2.9870652600136305</v>
      </c>
      <c r="Q2661" s="361">
        <f t="shared" si="2732"/>
        <v>3.9992323233691831</v>
      </c>
      <c r="R2661" s="361">
        <f t="shared" si="2732"/>
        <v>5.3543721961427426</v>
      </c>
      <c r="S2661" s="361">
        <f t="shared" si="2732"/>
        <v>7.1687012148055924</v>
      </c>
      <c r="T2661" s="361">
        <f t="shared" si="2732"/>
        <v>9.597815621442308</v>
      </c>
      <c r="U2661" s="361">
        <f t="shared" si="2732"/>
        <v>12.850035444767823</v>
      </c>
      <c r="V2661" s="362">
        <f t="shared" si="2732"/>
        <v>17.204269955227115</v>
      </c>
      <c r="X2661" s="351"/>
    </row>
    <row r="2662" spans="3:24" ht="24.75" customHeight="1" x14ac:dyDescent="0.3">
      <c r="C2662" s="353">
        <f>ABS(E2662-Dashboard!$F$14)</f>
        <v>52.439647648091778</v>
      </c>
      <c r="D2662" s="350">
        <f t="shared" si="2709"/>
        <v>0.33894999999997794</v>
      </c>
      <c r="E2662" s="359" cm="1">
        <f t="array" ref="E2662">1000*SUM('DRE + DCF'!$L$36/M2662,'DRE + DCF'!$N$36:$V$36/N2662:V2662,F2662/V2662)/Dashboard!$F$11</f>
        <v>44.550352351908217</v>
      </c>
      <c r="F2662" s="359">
        <f t="shared" si="2707"/>
        <v>7642634.1071572555</v>
      </c>
      <c r="G2662" s="359">
        <f>'DRE + DCF'!$W$31</f>
        <v>2791623.3540418856</v>
      </c>
      <c r="H2662" s="359">
        <f>'DRE + DCF'!$W$32</f>
        <v>81081.931703745853</v>
      </c>
      <c r="I2662" s="359">
        <f>-H2662*('DRE + DCF'!$V$33+K2662)/'DRE + DCF'!$V$33</f>
        <v>-90858.801614444121</v>
      </c>
      <c r="J2662" s="359">
        <f>-'DRE + DCF'!$V$56*L2662</f>
        <v>-1188924.4255577971</v>
      </c>
      <c r="K2662" s="360">
        <f>(1+L2662)/(1+Ke!$O$12)-1</f>
        <v>2.0000000000000018E-2</v>
      </c>
      <c r="L2662" s="360">
        <f>'DRE + DCF'!$Y$31</f>
        <v>7.3550000000000004E-2</v>
      </c>
      <c r="M2662" s="361">
        <f>(1+D2662)^((5-Dashboard!$F$9)*3/12)</f>
        <v>1.2447245911702403</v>
      </c>
      <c r="N2662" s="361">
        <f t="shared" ref="N2662:V2662" si="2733">M2662*(1+$D2662)</f>
        <v>1.6666239913473657</v>
      </c>
      <c r="O2662" s="361">
        <f t="shared" si="2733"/>
        <v>2.2315261932145183</v>
      </c>
      <c r="P2662" s="361">
        <f t="shared" si="2733"/>
        <v>2.9879019964045299</v>
      </c>
      <c r="Q2662" s="361">
        <f t="shared" si="2733"/>
        <v>4.0006513780857791</v>
      </c>
      <c r="R2662" s="361">
        <f t="shared" si="2733"/>
        <v>5.3566721626878655</v>
      </c>
      <c r="S2662" s="361">
        <f t="shared" si="2733"/>
        <v>7.1723161922307987</v>
      </c>
      <c r="T2662" s="361">
        <f t="shared" si="2733"/>
        <v>9.6033727655872685</v>
      </c>
      <c r="U2662" s="361">
        <f t="shared" si="2733"/>
        <v>12.85843596448286</v>
      </c>
      <c r="V2662" s="362">
        <f t="shared" si="2733"/>
        <v>17.216802834644042</v>
      </c>
      <c r="X2662" s="351"/>
    </row>
    <row r="2663" spans="3:24" ht="24.75" customHeight="1" x14ac:dyDescent="0.3">
      <c r="C2663" s="353">
        <f>ABS(E2663-Dashboard!$F$14)</f>
        <v>52.459465781659311</v>
      </c>
      <c r="D2663" s="350">
        <f t="shared" si="2709"/>
        <v>0.33904999999997792</v>
      </c>
      <c r="E2663" s="359" cm="1">
        <f t="array" ref="E2663">1000*SUM('DRE + DCF'!$L$36/M2663,'DRE + DCF'!$N$36:$V$36/N2663:V2663,F2663/V2663)/Dashboard!$F$11</f>
        <v>44.530534218340684</v>
      </c>
      <c r="F2663" s="359">
        <f t="shared" si="2707"/>
        <v>7640116.7423121296</v>
      </c>
      <c r="G2663" s="359">
        <f>'DRE + DCF'!$W$31</f>
        <v>2791623.3540418856</v>
      </c>
      <c r="H2663" s="359">
        <f>'DRE + DCF'!$W$32</f>
        <v>81081.931703745853</v>
      </c>
      <c r="I2663" s="359">
        <f>-H2663*('DRE + DCF'!$V$33+K2663)/'DRE + DCF'!$V$33</f>
        <v>-90858.801614444121</v>
      </c>
      <c r="J2663" s="359">
        <f>-'DRE + DCF'!$V$56*L2663</f>
        <v>-1188924.4255577971</v>
      </c>
      <c r="K2663" s="360">
        <f>(1+L2663)/(1+Ke!$O$12)-1</f>
        <v>2.0000000000000018E-2</v>
      </c>
      <c r="L2663" s="360">
        <f>'DRE + DCF'!$Y$31</f>
        <v>7.3550000000000004E-2</v>
      </c>
      <c r="M2663" s="361">
        <f>(1+D2663)^((5-Dashboard!$F$9)*3/12)</f>
        <v>1.2447943125734586</v>
      </c>
      <c r="N2663" s="361">
        <f t="shared" ref="N2663:V2663" si="2734">M2663*(1+$D2663)</f>
        <v>1.6668418242514622</v>
      </c>
      <c r="O2663" s="361">
        <f t="shared" si="2734"/>
        <v>2.2319845447638835</v>
      </c>
      <c r="P2663" s="361">
        <f t="shared" si="2734"/>
        <v>2.9887389046660289</v>
      </c>
      <c r="Q2663" s="361">
        <f t="shared" si="2734"/>
        <v>4.0020708302929799</v>
      </c>
      <c r="R2663" s="361">
        <f t="shared" si="2734"/>
        <v>5.3589729453037265</v>
      </c>
      <c r="S2663" s="361">
        <f t="shared" si="2734"/>
        <v>7.1759327224088363</v>
      </c>
      <c r="T2663" s="361">
        <f t="shared" si="2734"/>
        <v>9.6089327119413941</v>
      </c>
      <c r="U2663" s="361">
        <f t="shared" si="2734"/>
        <v>12.866841347924911</v>
      </c>
      <c r="V2663" s="362">
        <f t="shared" si="2734"/>
        <v>17.229343906938567</v>
      </c>
      <c r="X2663" s="351"/>
    </row>
    <row r="2664" spans="3:24" ht="24.75" customHeight="1" x14ac:dyDescent="0.3">
      <c r="C2664" s="353">
        <f>ABS(E2664-Dashboard!$F$14)</f>
        <v>52.479267923629067</v>
      </c>
      <c r="D2664" s="350">
        <f t="shared" si="2709"/>
        <v>0.33914999999997791</v>
      </c>
      <c r="E2664" s="359" cm="1">
        <f t="array" ref="E2664">1000*SUM('DRE + DCF'!$L$36/M2664,'DRE + DCF'!$N$36:$V$36/N2664:V2664,F2664/V2664)/Dashboard!$F$11</f>
        <v>44.510732076370928</v>
      </c>
      <c r="F2664" s="359">
        <f t="shared" si="2707"/>
        <v>7637601.060140295</v>
      </c>
      <c r="G2664" s="359">
        <f>'DRE + DCF'!$W$31</f>
        <v>2791623.3540418856</v>
      </c>
      <c r="H2664" s="359">
        <f>'DRE + DCF'!$W$32</f>
        <v>81081.931703745853</v>
      </c>
      <c r="I2664" s="359">
        <f>-H2664*('DRE + DCF'!$V$33+K2664)/'DRE + DCF'!$V$33</f>
        <v>-90858.801614444121</v>
      </c>
      <c r="J2664" s="359">
        <f>-'DRE + DCF'!$V$56*L2664</f>
        <v>-1188924.4255577971</v>
      </c>
      <c r="K2664" s="360">
        <f>(1+L2664)/(1+Ke!$O$12)-1</f>
        <v>2.0000000000000018E-2</v>
      </c>
      <c r="L2664" s="360">
        <f>'DRE + DCF'!$Y$31</f>
        <v>7.3550000000000004E-2</v>
      </c>
      <c r="M2664" s="361">
        <f>(1+D2664)^((5-Dashboard!$F$9)*3/12)</f>
        <v>1.2448640326749938</v>
      </c>
      <c r="N2664" s="361">
        <f t="shared" ref="N2664:V2664" si="2735">M2664*(1+$D2664)</f>
        <v>1.6670596693566904</v>
      </c>
      <c r="O2664" s="361">
        <f t="shared" si="2735"/>
        <v>2.2324429562189749</v>
      </c>
      <c r="P2664" s="361">
        <f t="shared" si="2735"/>
        <v>2.9895759848205907</v>
      </c>
      <c r="Q2664" s="361">
        <f t="shared" si="2735"/>
        <v>4.0034906800724279</v>
      </c>
      <c r="R2664" s="361">
        <f t="shared" si="2735"/>
        <v>5.3612745442189036</v>
      </c>
      <c r="S2664" s="361">
        <f t="shared" si="2735"/>
        <v>7.1795508058906261</v>
      </c>
      <c r="T2664" s="361">
        <f t="shared" si="2735"/>
        <v>9.6144954617082732</v>
      </c>
      <c r="U2664" s="361">
        <f t="shared" si="2735"/>
        <v>12.875251597546422</v>
      </c>
      <c r="V2664" s="362">
        <f t="shared" si="2735"/>
        <v>17.241893176854006</v>
      </c>
      <c r="X2664" s="351"/>
    </row>
    <row r="2665" spans="3:24" ht="24.75" customHeight="1" x14ac:dyDescent="0.3">
      <c r="C2665" s="353">
        <f>ABS(E2665-Dashboard!$F$14)</f>
        <v>52.499054091990807</v>
      </c>
      <c r="D2665" s="350">
        <f t="shared" si="2709"/>
        <v>0.3392499999999779</v>
      </c>
      <c r="E2665" s="359" cm="1">
        <f t="array" ref="E2665">1000*SUM('DRE + DCF'!$L$36/M2665,'DRE + DCF'!$N$36:$V$36/N2665:V2665,F2665/V2665)/Dashboard!$F$11</f>
        <v>44.490945908009188</v>
      </c>
      <c r="F2665" s="359">
        <f t="shared" si="2707"/>
        <v>7635087.0589300841</v>
      </c>
      <c r="G2665" s="359">
        <f>'DRE + DCF'!$W$31</f>
        <v>2791623.3540418856</v>
      </c>
      <c r="H2665" s="359">
        <f>'DRE + DCF'!$W$32</f>
        <v>81081.931703745853</v>
      </c>
      <c r="I2665" s="359">
        <f>-H2665*('DRE + DCF'!$V$33+K2665)/'DRE + DCF'!$V$33</f>
        <v>-90858.801614444121</v>
      </c>
      <c r="J2665" s="359">
        <f>-'DRE + DCF'!$V$56*L2665</f>
        <v>-1188924.4255577971</v>
      </c>
      <c r="K2665" s="360">
        <f>(1+L2665)/(1+Ke!$O$12)-1</f>
        <v>2.0000000000000018E-2</v>
      </c>
      <c r="L2665" s="360">
        <f>'DRE + DCF'!$Y$31</f>
        <v>7.3550000000000004E-2</v>
      </c>
      <c r="M2665" s="361">
        <f>(1+D2665)^((5-Dashboard!$F$9)*3/12)</f>
        <v>1.2449337514749674</v>
      </c>
      <c r="N2665" s="361">
        <f t="shared" ref="N2665:V2665" si="2736">M2665*(1+$D2665)</f>
        <v>1.6672775266628226</v>
      </c>
      <c r="O2665" s="361">
        <f t="shared" si="2736"/>
        <v>2.232901427583148</v>
      </c>
      <c r="P2665" s="361">
        <f t="shared" si="2736"/>
        <v>2.9904132368906815</v>
      </c>
      <c r="Q2665" s="361">
        <f t="shared" si="2736"/>
        <v>4.0049109275057786</v>
      </c>
      <c r="R2665" s="361">
        <f t="shared" si="2736"/>
        <v>5.3635769596620255</v>
      </c>
      <c r="S2665" s="361">
        <f t="shared" si="2736"/>
        <v>7.1831704432272492</v>
      </c>
      <c r="T2665" s="361">
        <f t="shared" si="2736"/>
        <v>9.6200610160919346</v>
      </c>
      <c r="U2665" s="361">
        <f t="shared" si="2736"/>
        <v>12.88366671580091</v>
      </c>
      <c r="V2665" s="362">
        <f t="shared" si="2736"/>
        <v>17.254450649136082</v>
      </c>
      <c r="X2665" s="351"/>
    </row>
    <row r="2666" spans="3:24" ht="24.75" customHeight="1" x14ac:dyDescent="0.3">
      <c r="C2666" s="353">
        <f>ABS(E2666-Dashboard!$F$14)</f>
        <v>52.518824304708517</v>
      </c>
      <c r="D2666" s="350">
        <f t="shared" si="2709"/>
        <v>0.33934999999997789</v>
      </c>
      <c r="E2666" s="359" cm="1">
        <f t="array" ref="E2666">1000*SUM('DRE + DCF'!$L$36/M2666,'DRE + DCF'!$N$36:$V$36/N2666:V2666,F2666/V2666)/Dashboard!$F$11</f>
        <v>44.471175695291478</v>
      </c>
      <c r="F2666" s="359">
        <f t="shared" si="2707"/>
        <v>7632574.7369721811</v>
      </c>
      <c r="G2666" s="359">
        <f>'DRE + DCF'!$W$31</f>
        <v>2791623.3540418856</v>
      </c>
      <c r="H2666" s="359">
        <f>'DRE + DCF'!$W$32</f>
        <v>81081.931703745853</v>
      </c>
      <c r="I2666" s="359">
        <f>-H2666*('DRE + DCF'!$V$33+K2666)/'DRE + DCF'!$V$33</f>
        <v>-90858.801614444121</v>
      </c>
      <c r="J2666" s="359">
        <f>-'DRE + DCF'!$V$56*L2666</f>
        <v>-1188924.4255577971</v>
      </c>
      <c r="K2666" s="360">
        <f>(1+L2666)/(1+Ke!$O$12)-1</f>
        <v>2.0000000000000018E-2</v>
      </c>
      <c r="L2666" s="360">
        <f>'DRE + DCF'!$Y$31</f>
        <v>7.3550000000000004E-2</v>
      </c>
      <c r="M2666" s="361">
        <f>(1+D2666)^((5-Dashboard!$F$9)*3/12)</f>
        <v>1.2450034689735008</v>
      </c>
      <c r="N2666" s="361">
        <f t="shared" ref="N2666:V2666" si="2737">M2666*(1+$D2666)</f>
        <v>1.6674953961696306</v>
      </c>
      <c r="O2666" s="361">
        <f t="shared" si="2737"/>
        <v>2.2333599588597579</v>
      </c>
      <c r="P2666" s="361">
        <f t="shared" si="2737"/>
        <v>2.9912506608987672</v>
      </c>
      <c r="Q2666" s="361">
        <f t="shared" si="2737"/>
        <v>4.0063315726746973</v>
      </c>
      <c r="R2666" s="361">
        <f t="shared" si="2737"/>
        <v>5.3658801918617671</v>
      </c>
      <c r="S2666" s="361">
        <f t="shared" si="2737"/>
        <v>7.1867916349699392</v>
      </c>
      <c r="T2666" s="361">
        <f t="shared" si="2737"/>
        <v>9.6256293762968284</v>
      </c>
      <c r="U2666" s="361">
        <f t="shared" si="2737"/>
        <v>12.892086705142944</v>
      </c>
      <c r="V2666" s="362">
        <f t="shared" si="2737"/>
        <v>17.267016328532915</v>
      </c>
      <c r="X2666" s="351"/>
    </row>
    <row r="2667" spans="3:24" ht="24.75" customHeight="1" x14ac:dyDescent="0.3">
      <c r="C2667" s="353">
        <f>ABS(E2667-Dashboard!$F$14)</f>
        <v>52.538578579720351</v>
      </c>
      <c r="D2667" s="350">
        <f t="shared" si="2709"/>
        <v>0.33944999999997788</v>
      </c>
      <c r="E2667" s="359" cm="1">
        <f t="array" ref="E2667">1000*SUM('DRE + DCF'!$L$36/M2667,'DRE + DCF'!$N$36:$V$36/N2667:V2667,F2667/V2667)/Dashboard!$F$11</f>
        <v>44.451421420279644</v>
      </c>
      <c r="F2667" s="359">
        <f t="shared" si="2707"/>
        <v>7630064.0925596235</v>
      </c>
      <c r="G2667" s="359">
        <f>'DRE + DCF'!$W$31</f>
        <v>2791623.3540418856</v>
      </c>
      <c r="H2667" s="359">
        <f>'DRE + DCF'!$W$32</f>
        <v>81081.931703745853</v>
      </c>
      <c r="I2667" s="359">
        <f>-H2667*('DRE + DCF'!$V$33+K2667)/'DRE + DCF'!$V$33</f>
        <v>-90858.801614444121</v>
      </c>
      <c r="J2667" s="359">
        <f>-'DRE + DCF'!$V$56*L2667</f>
        <v>-1188924.4255577971</v>
      </c>
      <c r="K2667" s="360">
        <f>(1+L2667)/(1+Ke!$O$12)-1</f>
        <v>2.0000000000000018E-2</v>
      </c>
      <c r="L2667" s="360">
        <f>'DRE + DCF'!$Y$31</f>
        <v>7.3550000000000004E-2</v>
      </c>
      <c r="M2667" s="361">
        <f>(1+D2667)^((5-Dashboard!$F$9)*3/12)</f>
        <v>1.2450731851707155</v>
      </c>
      <c r="N2667" s="361">
        <f t="shared" ref="N2667:V2667" si="2738">M2667*(1+$D2667)</f>
        <v>1.6677132778768873</v>
      </c>
      <c r="O2667" s="361">
        <f t="shared" si="2738"/>
        <v>2.2338185500521597</v>
      </c>
      <c r="P2667" s="361">
        <f t="shared" si="2738"/>
        <v>2.9920882568673157</v>
      </c>
      <c r="Q2667" s="361">
        <f t="shared" si="2738"/>
        <v>4.0077526156608601</v>
      </c>
      <c r="R2667" s="361">
        <f t="shared" si="2738"/>
        <v>5.3681842410468503</v>
      </c>
      <c r="S2667" s="361">
        <f t="shared" si="2738"/>
        <v>7.1904143816700845</v>
      </c>
      <c r="T2667" s="361">
        <f t="shared" si="2738"/>
        <v>9.6312005435278358</v>
      </c>
      <c r="U2667" s="361">
        <f t="shared" si="2738"/>
        <v>12.900511568028145</v>
      </c>
      <c r="V2667" s="362">
        <f t="shared" si="2738"/>
        <v>17.279590219795011</v>
      </c>
      <c r="X2667" s="351"/>
    </row>
    <row r="2668" spans="3:24" ht="24.75" customHeight="1" x14ac:dyDescent="0.3">
      <c r="C2668" s="353">
        <f>ABS(E2668-Dashboard!$F$14)</f>
        <v>52.558316934938802</v>
      </c>
      <c r="D2668" s="350">
        <f t="shared" si="2709"/>
        <v>0.33954999999997787</v>
      </c>
      <c r="E2668" s="359" cm="1">
        <f t="array" ref="E2668">1000*SUM('DRE + DCF'!$L$36/M2668,'DRE + DCF'!$N$36:$V$36/N2668:V2668,F2668/V2668)/Dashboard!$F$11</f>
        <v>44.431683065061193</v>
      </c>
      <c r="F2668" s="359">
        <f t="shared" si="2707"/>
        <v>7627555.1239877939</v>
      </c>
      <c r="G2668" s="359">
        <f>'DRE + DCF'!$W$31</f>
        <v>2791623.3540418856</v>
      </c>
      <c r="H2668" s="359">
        <f>'DRE + DCF'!$W$32</f>
        <v>81081.931703745853</v>
      </c>
      <c r="I2668" s="359">
        <f>-H2668*('DRE + DCF'!$V$33+K2668)/'DRE + DCF'!$V$33</f>
        <v>-90858.801614444121</v>
      </c>
      <c r="J2668" s="359">
        <f>-'DRE + DCF'!$V$56*L2668</f>
        <v>-1188924.4255577971</v>
      </c>
      <c r="K2668" s="360">
        <f>(1+L2668)/(1+Ke!$O$12)-1</f>
        <v>2.0000000000000018E-2</v>
      </c>
      <c r="L2668" s="360">
        <f>'DRE + DCF'!$Y$31</f>
        <v>7.3550000000000004E-2</v>
      </c>
      <c r="M2668" s="361">
        <f>(1+D2668)^((5-Dashboard!$F$9)*3/12)</f>
        <v>1.2451429000667329</v>
      </c>
      <c r="N2668" s="361">
        <f t="shared" ref="N2668:V2668" si="2739">M2668*(1+$D2668)</f>
        <v>1.6679311717843643</v>
      </c>
      <c r="O2668" s="361">
        <f t="shared" si="2739"/>
        <v>2.2342772011637084</v>
      </c>
      <c r="P2668" s="361">
        <f t="shared" si="2739"/>
        <v>2.9929260248187961</v>
      </c>
      <c r="Q2668" s="361">
        <f t="shared" si="2739"/>
        <v>4.0091740565459517</v>
      </c>
      <c r="R2668" s="361">
        <f t="shared" si="2739"/>
        <v>5.3704891074460406</v>
      </c>
      <c r="S2668" s="361">
        <f t="shared" si="2739"/>
        <v>7.1940386838792243</v>
      </c>
      <c r="T2668" s="361">
        <f t="shared" si="2739"/>
        <v>9.6367745189902561</v>
      </c>
      <c r="U2668" s="361">
        <f t="shared" si="2739"/>
        <v>12.908941306913183</v>
      </c>
      <c r="V2668" s="362">
        <f t="shared" si="2739"/>
        <v>17.292172327675267</v>
      </c>
      <c r="X2668" s="351"/>
    </row>
    <row r="2669" spans="3:24" ht="24.75" customHeight="1" x14ac:dyDescent="0.3">
      <c r="C2669" s="353">
        <f>ABS(E2669-Dashboard!$F$14)</f>
        <v>52.578039388250694</v>
      </c>
      <c r="D2669" s="350">
        <f t="shared" si="2709"/>
        <v>0.33964999999997786</v>
      </c>
      <c r="E2669" s="359" cm="1">
        <f t="array" ref="E2669">1000*SUM('DRE + DCF'!$L$36/M2669,'DRE + DCF'!$N$36:$V$36/N2669:V2669,F2669/V2669)/Dashboard!$F$11</f>
        <v>44.411960611749301</v>
      </c>
      <c r="F2669" s="359">
        <f t="shared" si="2707"/>
        <v>7625047.8295544107</v>
      </c>
      <c r="G2669" s="359">
        <f>'DRE + DCF'!$W$31</f>
        <v>2791623.3540418856</v>
      </c>
      <c r="H2669" s="359">
        <f>'DRE + DCF'!$W$32</f>
        <v>81081.931703745853</v>
      </c>
      <c r="I2669" s="359">
        <f>-H2669*('DRE + DCF'!$V$33+K2669)/'DRE + DCF'!$V$33</f>
        <v>-90858.801614444121</v>
      </c>
      <c r="J2669" s="359">
        <f>-'DRE + DCF'!$V$56*L2669</f>
        <v>-1188924.4255577971</v>
      </c>
      <c r="K2669" s="360">
        <f>(1+L2669)/(1+Ke!$O$12)-1</f>
        <v>2.0000000000000018E-2</v>
      </c>
      <c r="L2669" s="360">
        <f>'DRE + DCF'!$Y$31</f>
        <v>7.3550000000000004E-2</v>
      </c>
      <c r="M2669" s="361">
        <f>(1+D2669)^((5-Dashboard!$F$9)*3/12)</f>
        <v>1.2452126136616746</v>
      </c>
      <c r="N2669" s="361">
        <f t="shared" ref="N2669:V2669" si="2740">M2669*(1+$D2669)</f>
        <v>1.6681490778918346</v>
      </c>
      <c r="O2669" s="361">
        <f t="shared" si="2740"/>
        <v>2.2347359121977592</v>
      </c>
      <c r="P2669" s="361">
        <f t="shared" si="2740"/>
        <v>2.9937639647756784</v>
      </c>
      <c r="Q2669" s="361">
        <f t="shared" si="2740"/>
        <v>4.0105958954116714</v>
      </c>
      <c r="R2669" s="361">
        <f t="shared" si="2740"/>
        <v>5.3727947912881566</v>
      </c>
      <c r="S2669" s="361">
        <f t="shared" si="2740"/>
        <v>7.1976645421490595</v>
      </c>
      <c r="T2669" s="361">
        <f t="shared" si="2740"/>
        <v>9.6423513038898285</v>
      </c>
      <c r="U2669" s="361">
        <f t="shared" si="2740"/>
        <v>12.917375924255795</v>
      </c>
      <c r="V2669" s="362">
        <f t="shared" si="2740"/>
        <v>17.30476265692899</v>
      </c>
      <c r="X2669" s="351"/>
    </row>
    <row r="2670" spans="3:24" ht="24.75" customHeight="1" x14ac:dyDescent="0.3">
      <c r="C2670" s="353">
        <f>ABS(E2670-Dashboard!$F$14)</f>
        <v>52.597745957517198</v>
      </c>
      <c r="D2670" s="350">
        <f t="shared" si="2709"/>
        <v>0.33974999999997785</v>
      </c>
      <c r="E2670" s="359" cm="1">
        <f t="array" ref="E2670">1000*SUM('DRE + DCF'!$L$36/M2670,'DRE + DCF'!$N$36:$V$36/N2670:V2670,F2670/V2670)/Dashboard!$F$11</f>
        <v>44.392254042482797</v>
      </c>
      <c r="F2670" s="359">
        <f t="shared" si="2707"/>
        <v>7622542.2075595427</v>
      </c>
      <c r="G2670" s="359">
        <f>'DRE + DCF'!$W$31</f>
        <v>2791623.3540418856</v>
      </c>
      <c r="H2670" s="359">
        <f>'DRE + DCF'!$W$32</f>
        <v>81081.931703745853</v>
      </c>
      <c r="I2670" s="359">
        <f>-H2670*('DRE + DCF'!$V$33+K2670)/'DRE + DCF'!$V$33</f>
        <v>-90858.801614444121</v>
      </c>
      <c r="J2670" s="359">
        <f>-'DRE + DCF'!$V$56*L2670</f>
        <v>-1188924.4255577971</v>
      </c>
      <c r="K2670" s="360">
        <f>(1+L2670)/(1+Ke!$O$12)-1</f>
        <v>2.0000000000000018E-2</v>
      </c>
      <c r="L2670" s="360">
        <f>'DRE + DCF'!$Y$31</f>
        <v>7.3550000000000004E-2</v>
      </c>
      <c r="M2670" s="361">
        <f>(1+D2670)^((5-Dashboard!$F$9)*3/12)</f>
        <v>1.2452823259556618</v>
      </c>
      <c r="N2670" s="361">
        <f t="shared" ref="N2670:V2670" si="2741">M2670*(1+$D2670)</f>
        <v>1.6683669961990701</v>
      </c>
      <c r="O2670" s="361">
        <f t="shared" si="2741"/>
        <v>2.2351946831576672</v>
      </c>
      <c r="P2670" s="361">
        <f t="shared" si="2741"/>
        <v>2.9946020767604349</v>
      </c>
      <c r="Q2670" s="361">
        <f t="shared" si="2741"/>
        <v>4.0120181323397262</v>
      </c>
      <c r="R2670" s="361">
        <f t="shared" si="2741"/>
        <v>5.3751012928020589</v>
      </c>
      <c r="S2670" s="361">
        <f t="shared" si="2741"/>
        <v>7.2012919570314393</v>
      </c>
      <c r="T2670" s="361">
        <f t="shared" si="2741"/>
        <v>9.6479308994327102</v>
      </c>
      <c r="U2670" s="361">
        <f t="shared" si="2741"/>
        <v>12.925815422514759</v>
      </c>
      <c r="V2670" s="362">
        <f t="shared" si="2741"/>
        <v>17.317361212313862</v>
      </c>
      <c r="X2670" s="351"/>
    </row>
    <row r="2671" spans="3:24" ht="24.75" customHeight="1" x14ac:dyDescent="0.3">
      <c r="C2671" s="353">
        <f>ABS(E2671-Dashboard!$F$14)</f>
        <v>52.617436660573958</v>
      </c>
      <c r="D2671" s="350">
        <f t="shared" si="2709"/>
        <v>0.33984999999997784</v>
      </c>
      <c r="E2671" s="359" cm="1">
        <f t="array" ref="E2671">1000*SUM('DRE + DCF'!$L$36/M2671,'DRE + DCF'!$N$36:$V$36/N2671:V2671,F2671/V2671)/Dashboard!$F$11</f>
        <v>44.372563339426037</v>
      </c>
      <c r="F2671" s="359">
        <f t="shared" si="2707"/>
        <v>7620038.256305581</v>
      </c>
      <c r="G2671" s="359">
        <f>'DRE + DCF'!$W$31</f>
        <v>2791623.3540418856</v>
      </c>
      <c r="H2671" s="359">
        <f>'DRE + DCF'!$W$32</f>
        <v>81081.931703745853</v>
      </c>
      <c r="I2671" s="359">
        <f>-H2671*('DRE + DCF'!$V$33+K2671)/'DRE + DCF'!$V$33</f>
        <v>-90858.801614444121</v>
      </c>
      <c r="J2671" s="359">
        <f>-'DRE + DCF'!$V$56*L2671</f>
        <v>-1188924.4255577971</v>
      </c>
      <c r="K2671" s="360">
        <f>(1+L2671)/(1+Ke!$O$12)-1</f>
        <v>2.0000000000000018E-2</v>
      </c>
      <c r="L2671" s="360">
        <f>'DRE + DCF'!$Y$31</f>
        <v>7.3550000000000004E-2</v>
      </c>
      <c r="M2671" s="361">
        <f>(1+D2671)^((5-Dashboard!$F$9)*3/12)</f>
        <v>1.2453520369488158</v>
      </c>
      <c r="N2671" s="361">
        <f t="shared" ref="N2671:V2671" si="2742">M2671*(1+$D2671)</f>
        <v>1.6685849267058432</v>
      </c>
      <c r="O2671" s="361">
        <f t="shared" si="2742"/>
        <v>2.235653514046787</v>
      </c>
      <c r="P2671" s="361">
        <f t="shared" si="2742"/>
        <v>2.9954403607955378</v>
      </c>
      <c r="Q2671" s="361">
        <f t="shared" si="2742"/>
        <v>4.0134407674118346</v>
      </c>
      <c r="R2671" s="361">
        <f t="shared" si="2742"/>
        <v>5.3774086122166578</v>
      </c>
      <c r="S2671" s="361">
        <f t="shared" si="2742"/>
        <v>7.2049209290783693</v>
      </c>
      <c r="T2671" s="361">
        <f t="shared" si="2742"/>
        <v>9.6535133068254932</v>
      </c>
      <c r="U2671" s="361">
        <f t="shared" si="2742"/>
        <v>12.934259804149923</v>
      </c>
      <c r="V2671" s="362">
        <f t="shared" si="2742"/>
        <v>17.329967998589986</v>
      </c>
      <c r="X2671" s="351"/>
    </row>
    <row r="2672" spans="3:24" ht="24.75" customHeight="1" x14ac:dyDescent="0.3">
      <c r="C2672" s="353">
        <f>ABS(E2672-Dashboard!$F$14)</f>
        <v>52.637111515231041</v>
      </c>
      <c r="D2672" s="350">
        <f t="shared" si="2709"/>
        <v>0.33994999999997783</v>
      </c>
      <c r="E2672" s="359" cm="1">
        <f t="array" ref="E2672">1000*SUM('DRE + DCF'!$L$36/M2672,'DRE + DCF'!$N$36:$V$36/N2672:V2672,F2672/V2672)/Dashboard!$F$11</f>
        <v>44.352888484768954</v>
      </c>
      <c r="F2672" s="359">
        <f t="shared" si="2707"/>
        <v>7617535.9740972482</v>
      </c>
      <c r="G2672" s="359">
        <f>'DRE + DCF'!$W$31</f>
        <v>2791623.3540418856</v>
      </c>
      <c r="H2672" s="359">
        <f>'DRE + DCF'!$W$32</f>
        <v>81081.931703745853</v>
      </c>
      <c r="I2672" s="359">
        <f>-H2672*('DRE + DCF'!$V$33+K2672)/'DRE + DCF'!$V$33</f>
        <v>-90858.801614444121</v>
      </c>
      <c r="J2672" s="359">
        <f>-'DRE + DCF'!$V$56*L2672</f>
        <v>-1188924.4255577971</v>
      </c>
      <c r="K2672" s="360">
        <f>(1+L2672)/(1+Ke!$O$12)-1</f>
        <v>2.0000000000000018E-2</v>
      </c>
      <c r="L2672" s="360">
        <f>'DRE + DCF'!$Y$31</f>
        <v>7.3550000000000004E-2</v>
      </c>
      <c r="M2672" s="361">
        <f>(1+D2672)^((5-Dashboard!$F$9)*3/12)</f>
        <v>1.2454217466412583</v>
      </c>
      <c r="N2672" s="361">
        <f t="shared" ref="N2672:V2672" si="2743">M2672*(1+$D2672)</f>
        <v>1.6688028694119263</v>
      </c>
      <c r="O2672" s="361">
        <f t="shared" si="2743"/>
        <v>2.2361124048684737</v>
      </c>
      <c r="P2672" s="361">
        <f t="shared" si="2743"/>
        <v>2.9962788169034615</v>
      </c>
      <c r="Q2672" s="361">
        <f t="shared" si="2743"/>
        <v>4.014863800709727</v>
      </c>
      <c r="R2672" s="361">
        <f t="shared" si="2743"/>
        <v>5.3797167497609095</v>
      </c>
      <c r="S2672" s="361">
        <f t="shared" si="2743"/>
        <v>7.2085514588420114</v>
      </c>
      <c r="T2672" s="361">
        <f t="shared" si="2743"/>
        <v>9.6590985272751926</v>
      </c>
      <c r="U2672" s="361">
        <f t="shared" si="2743"/>
        <v>12.942709071622179</v>
      </c>
      <c r="V2672" s="362">
        <f t="shared" si="2743"/>
        <v>17.34258302051985</v>
      </c>
      <c r="X2672" s="351"/>
    </row>
    <row r="2673" spans="3:24" ht="24.75" customHeight="1" x14ac:dyDescent="0.3">
      <c r="C2673" s="353">
        <f>ABS(E2673-Dashboard!$F$14)</f>
        <v>52.656770539273033</v>
      </c>
      <c r="D2673" s="350">
        <f t="shared" si="2709"/>
        <v>0.34004999999997781</v>
      </c>
      <c r="E2673" s="359" cm="1">
        <f t="array" ref="E2673">1000*SUM('DRE + DCF'!$L$36/M2673,'DRE + DCF'!$N$36:$V$36/N2673:V2673,F2673/V2673)/Dashboard!$F$11</f>
        <v>44.333229460726962</v>
      </c>
      <c r="F2673" s="359">
        <f t="shared" si="2707"/>
        <v>7615035.3592415974</v>
      </c>
      <c r="G2673" s="359">
        <f>'DRE + DCF'!$W$31</f>
        <v>2791623.3540418856</v>
      </c>
      <c r="H2673" s="359">
        <f>'DRE + DCF'!$W$32</f>
        <v>81081.931703745853</v>
      </c>
      <c r="I2673" s="359">
        <f>-H2673*('DRE + DCF'!$V$33+K2673)/'DRE + DCF'!$V$33</f>
        <v>-90858.801614444121</v>
      </c>
      <c r="J2673" s="359">
        <f>-'DRE + DCF'!$V$56*L2673</f>
        <v>-1188924.4255577971</v>
      </c>
      <c r="K2673" s="360">
        <f>(1+L2673)/(1+Ke!$O$12)-1</f>
        <v>2.0000000000000018E-2</v>
      </c>
      <c r="L2673" s="360">
        <f>'DRE + DCF'!$Y$31</f>
        <v>7.3550000000000004E-2</v>
      </c>
      <c r="M2673" s="361">
        <f>(1+D2673)^((5-Dashboard!$F$9)*3/12)</f>
        <v>1.2454914550331102</v>
      </c>
      <c r="N2673" s="361">
        <f t="shared" ref="N2673:V2673" si="2744">M2673*(1+$D2673)</f>
        <v>1.6690208243170916</v>
      </c>
      <c r="O2673" s="361">
        <f t="shared" si="2744"/>
        <v>2.2365713556260816</v>
      </c>
      <c r="P2673" s="361">
        <f t="shared" si="2744"/>
        <v>2.9971174451066807</v>
      </c>
      <c r="Q2673" s="361">
        <f t="shared" si="2744"/>
        <v>4.0162872323151406</v>
      </c>
      <c r="R2673" s="361">
        <f t="shared" si="2744"/>
        <v>5.382025705663815</v>
      </c>
      <c r="S2673" s="361">
        <f t="shared" si="2744"/>
        <v>7.2121835468746758</v>
      </c>
      <c r="T2673" s="361">
        <f t="shared" si="2744"/>
        <v>9.6646865619892495</v>
      </c>
      <c r="U2673" s="361">
        <f t="shared" si="2744"/>
        <v>12.951163227393479</v>
      </c>
      <c r="V2673" s="362">
        <f t="shared" si="2744"/>
        <v>17.355206282868345</v>
      </c>
      <c r="X2673" s="351"/>
    </row>
    <row r="2674" spans="3:24" ht="24.75" customHeight="1" x14ac:dyDescent="0.3">
      <c r="C2674" s="353">
        <f>ABS(E2674-Dashboard!$F$14)</f>
        <v>52.676413750459112</v>
      </c>
      <c r="D2674" s="350">
        <f t="shared" si="2709"/>
        <v>0.3401499999999778</v>
      </c>
      <c r="E2674" s="359" cm="1">
        <f t="array" ref="E2674">1000*SUM('DRE + DCF'!$L$36/M2674,'DRE + DCF'!$N$36:$V$36/N2674:V2674,F2674/V2674)/Dashboard!$F$11</f>
        <v>44.313586249540883</v>
      </c>
      <c r="F2674" s="359">
        <f t="shared" si="2707"/>
        <v>7612536.4100479996</v>
      </c>
      <c r="G2674" s="359">
        <f>'DRE + DCF'!$W$31</f>
        <v>2791623.3540418856</v>
      </c>
      <c r="H2674" s="359">
        <f>'DRE + DCF'!$W$32</f>
        <v>81081.931703745853</v>
      </c>
      <c r="I2674" s="359">
        <f>-H2674*('DRE + DCF'!$V$33+K2674)/'DRE + DCF'!$V$33</f>
        <v>-90858.801614444121</v>
      </c>
      <c r="J2674" s="359">
        <f>-'DRE + DCF'!$V$56*L2674</f>
        <v>-1188924.4255577971</v>
      </c>
      <c r="K2674" s="360">
        <f>(1+L2674)/(1+Ke!$O$12)-1</f>
        <v>2.0000000000000018E-2</v>
      </c>
      <c r="L2674" s="360">
        <f>'DRE + DCF'!$Y$31</f>
        <v>7.3550000000000004E-2</v>
      </c>
      <c r="M2674" s="361">
        <f>(1+D2674)^((5-Dashboard!$F$9)*3/12)</f>
        <v>1.2455611621244933</v>
      </c>
      <c r="N2674" s="361">
        <f t="shared" ref="N2674:V2674" si="2745">M2674*(1+$D2674)</f>
        <v>1.669238791421112</v>
      </c>
      <c r="O2674" s="361">
        <f t="shared" si="2745"/>
        <v>2.237030366322966</v>
      </c>
      <c r="P2674" s="361">
        <f t="shared" si="2745"/>
        <v>2.9979562454276731</v>
      </c>
      <c r="Q2674" s="361">
        <f t="shared" si="2745"/>
        <v>4.0177110623098296</v>
      </c>
      <c r="R2674" s="361">
        <f t="shared" si="2745"/>
        <v>5.3843354801544283</v>
      </c>
      <c r="S2674" s="361">
        <f t="shared" si="2745"/>
        <v>7.2158171937288369</v>
      </c>
      <c r="T2674" s="361">
        <f t="shared" si="2745"/>
        <v>9.6702774121755404</v>
      </c>
      <c r="U2674" s="361">
        <f t="shared" si="2745"/>
        <v>12.959622273926835</v>
      </c>
      <c r="V2674" s="362">
        <f t="shared" si="2745"/>
        <v>17.36783779040276</v>
      </c>
      <c r="X2674" s="351"/>
    </row>
    <row r="2675" spans="3:24" ht="24.75" customHeight="1" x14ac:dyDescent="0.3">
      <c r="C2675" s="353">
        <f>ABS(E2675-Dashboard!$F$14)</f>
        <v>52.696041166523024</v>
      </c>
      <c r="D2675" s="350">
        <f t="shared" si="2709"/>
        <v>0.34024999999997779</v>
      </c>
      <c r="E2675" s="359" cm="1">
        <f t="array" ref="E2675">1000*SUM('DRE + DCF'!$L$36/M2675,'DRE + DCF'!$N$36:$V$36/N2675:V2675,F2675/V2675)/Dashboard!$F$11</f>
        <v>44.293958833476971</v>
      </c>
      <c r="F2675" s="359">
        <f t="shared" si="2707"/>
        <v>7610039.1248281449</v>
      </c>
      <c r="G2675" s="359">
        <f>'DRE + DCF'!$W$31</f>
        <v>2791623.3540418856</v>
      </c>
      <c r="H2675" s="359">
        <f>'DRE + DCF'!$W$32</f>
        <v>81081.931703745853</v>
      </c>
      <c r="I2675" s="359">
        <f>-H2675*('DRE + DCF'!$V$33+K2675)/'DRE + DCF'!$V$33</f>
        <v>-90858.801614444121</v>
      </c>
      <c r="J2675" s="359">
        <f>-'DRE + DCF'!$V$56*L2675</f>
        <v>-1188924.4255577971</v>
      </c>
      <c r="K2675" s="360">
        <f>(1+L2675)/(1+Ke!$O$12)-1</f>
        <v>2.0000000000000018E-2</v>
      </c>
      <c r="L2675" s="360">
        <f>'DRE + DCF'!$Y$31</f>
        <v>7.3550000000000004E-2</v>
      </c>
      <c r="M2675" s="361">
        <f>(1+D2675)^((5-Dashboard!$F$9)*3/12)</f>
        <v>1.2456308679155286</v>
      </c>
      <c r="N2675" s="361">
        <f t="shared" ref="N2675:V2675" si="2746">M2675*(1+$D2675)</f>
        <v>1.6694567707237595</v>
      </c>
      <c r="O2675" s="361">
        <f t="shared" si="2746"/>
        <v>2.2374894369624814</v>
      </c>
      <c r="P2675" s="361">
        <f t="shared" si="2746"/>
        <v>2.9987952178889157</v>
      </c>
      <c r="Q2675" s="361">
        <f t="shared" si="2746"/>
        <v>4.0191352907755524</v>
      </c>
      <c r="R2675" s="361">
        <f t="shared" si="2746"/>
        <v>5.3866460734618444</v>
      </c>
      <c r="S2675" s="361">
        <f t="shared" si="2746"/>
        <v>7.2194523999571167</v>
      </c>
      <c r="T2675" s="361">
        <f t="shared" si="2746"/>
        <v>9.6758710790423645</v>
      </c>
      <c r="U2675" s="361">
        <f t="shared" si="2746"/>
        <v>12.968086213686314</v>
      </c>
      <c r="V2675" s="362">
        <f t="shared" si="2746"/>
        <v>17.380477547892795</v>
      </c>
      <c r="X2675" s="351"/>
    </row>
    <row r="2676" spans="3:24" ht="24.75" customHeight="1" x14ac:dyDescent="0.3">
      <c r="C2676" s="353">
        <f>ABS(E2676-Dashboard!$F$14)</f>
        <v>52.715652805173171</v>
      </c>
      <c r="D2676" s="350">
        <f t="shared" si="2709"/>
        <v>0.34034999999997778</v>
      </c>
      <c r="E2676" s="359" cm="1">
        <f t="array" ref="E2676">1000*SUM('DRE + DCF'!$L$36/M2676,'DRE + DCF'!$N$36:$V$36/N2676:V2676,F2676/V2676)/Dashboard!$F$11</f>
        <v>44.274347194826824</v>
      </c>
      <c r="F2676" s="359">
        <f t="shared" si="2707"/>
        <v>7607543.5018960331</v>
      </c>
      <c r="G2676" s="359">
        <f>'DRE + DCF'!$W$31</f>
        <v>2791623.3540418856</v>
      </c>
      <c r="H2676" s="359">
        <f>'DRE + DCF'!$W$32</f>
        <v>81081.931703745853</v>
      </c>
      <c r="I2676" s="359">
        <f>-H2676*('DRE + DCF'!$V$33+K2676)/'DRE + DCF'!$V$33</f>
        <v>-90858.801614444121</v>
      </c>
      <c r="J2676" s="359">
        <f>-'DRE + DCF'!$V$56*L2676</f>
        <v>-1188924.4255577971</v>
      </c>
      <c r="K2676" s="360">
        <f>(1+L2676)/(1+Ke!$O$12)-1</f>
        <v>2.0000000000000018E-2</v>
      </c>
      <c r="L2676" s="360">
        <f>'DRE + DCF'!$Y$31</f>
        <v>7.3550000000000004E-2</v>
      </c>
      <c r="M2676" s="361">
        <f>(1+D2676)^((5-Dashboard!$F$9)*3/12)</f>
        <v>1.2457005724063372</v>
      </c>
      <c r="N2676" s="361">
        <f t="shared" ref="N2676:V2676" si="2747">M2676*(1+$D2676)</f>
        <v>1.6696747622248065</v>
      </c>
      <c r="O2676" s="361">
        <f t="shared" si="2747"/>
        <v>2.2379485675479822</v>
      </c>
      <c r="P2676" s="361">
        <f t="shared" si="2747"/>
        <v>2.9996343625128881</v>
      </c>
      <c r="Q2676" s="361">
        <f t="shared" si="2747"/>
        <v>4.0205599177940829</v>
      </c>
      <c r="R2676" s="361">
        <f t="shared" si="2747"/>
        <v>5.3889574858152098</v>
      </c>
      <c r="S2676" s="361">
        <f t="shared" si="2747"/>
        <v>7.2230891661122962</v>
      </c>
      <c r="T2676" s="361">
        <f t="shared" si="2747"/>
        <v>9.6814675637984546</v>
      </c>
      <c r="U2676" s="361">
        <f t="shared" si="2747"/>
        <v>12.976555049137042</v>
      </c>
      <c r="V2676" s="362">
        <f t="shared" si="2747"/>
        <v>17.393125560110544</v>
      </c>
      <c r="X2676" s="351"/>
    </row>
    <row r="2677" spans="3:24" ht="24.75" customHeight="1" x14ac:dyDescent="0.3">
      <c r="C2677" s="353">
        <f>ABS(E2677-Dashboard!$F$14)</f>
        <v>52.73524868409266</v>
      </c>
      <c r="D2677" s="350">
        <f t="shared" si="2709"/>
        <v>0.34044999999997777</v>
      </c>
      <c r="E2677" s="359" cm="1">
        <f t="array" ref="E2677">1000*SUM('DRE + DCF'!$L$36/M2677,'DRE + DCF'!$N$36:$V$36/N2677:V2677,F2677/V2677)/Dashboard!$F$11</f>
        <v>44.254751315907335</v>
      </c>
      <c r="F2677" s="359">
        <f t="shared" si="2707"/>
        <v>7605049.5395679809</v>
      </c>
      <c r="G2677" s="359">
        <f>'DRE + DCF'!$W$31</f>
        <v>2791623.3540418856</v>
      </c>
      <c r="H2677" s="359">
        <f>'DRE + DCF'!$W$32</f>
        <v>81081.931703745853</v>
      </c>
      <c r="I2677" s="359">
        <f>-H2677*('DRE + DCF'!$V$33+K2677)/'DRE + DCF'!$V$33</f>
        <v>-90858.801614444121</v>
      </c>
      <c r="J2677" s="359">
        <f>-'DRE + DCF'!$V$56*L2677</f>
        <v>-1188924.4255577971</v>
      </c>
      <c r="K2677" s="360">
        <f>(1+L2677)/(1+Ke!$O$12)-1</f>
        <v>2.0000000000000018E-2</v>
      </c>
      <c r="L2677" s="360">
        <f>'DRE + DCF'!$Y$31</f>
        <v>7.3550000000000004E-2</v>
      </c>
      <c r="M2677" s="361">
        <f>(1+D2677)^((5-Dashboard!$F$9)*3/12)</f>
        <v>1.245770275597041</v>
      </c>
      <c r="N2677" s="361">
        <f t="shared" ref="N2677:V2677" si="2748">M2677*(1+$D2677)</f>
        <v>1.6698927659240259</v>
      </c>
      <c r="O2677" s="361">
        <f t="shared" si="2748"/>
        <v>2.2384077580828232</v>
      </c>
      <c r="P2677" s="361">
        <f t="shared" si="2748"/>
        <v>3.0004736793220705</v>
      </c>
      <c r="Q2677" s="361">
        <f t="shared" si="2748"/>
        <v>4.0219849434472028</v>
      </c>
      <c r="R2677" s="361">
        <f t="shared" si="2748"/>
        <v>5.3912697174437136</v>
      </c>
      <c r="S2677" s="361">
        <f t="shared" si="2748"/>
        <v>7.2267274927473055</v>
      </c>
      <c r="T2677" s="361">
        <f t="shared" si="2748"/>
        <v>9.6870668676529643</v>
      </c>
      <c r="U2677" s="361">
        <f t="shared" si="2748"/>
        <v>12.9850287827452</v>
      </c>
      <c r="V2677" s="362">
        <f t="shared" si="2748"/>
        <v>17.405781831830513</v>
      </c>
      <c r="X2677" s="351"/>
    </row>
    <row r="2678" spans="3:24" ht="24.75" customHeight="1" x14ac:dyDescent="0.3">
      <c r="C2678" s="353">
        <f>ABS(E2678-Dashboard!$F$14)</f>
        <v>52.754828820939281</v>
      </c>
      <c r="D2678" s="350">
        <f t="shared" si="2709"/>
        <v>0.34054999999997776</v>
      </c>
      <c r="E2678" s="359" cm="1">
        <f t="array" ref="E2678">1000*SUM('DRE + DCF'!$L$36/M2678,'DRE + DCF'!$N$36:$V$36/N2678:V2678,F2678/V2678)/Dashboard!$F$11</f>
        <v>44.235171179060714</v>
      </c>
      <c r="F2678" s="359">
        <f t="shared" si="2707"/>
        <v>7602557.236162601</v>
      </c>
      <c r="G2678" s="359">
        <f>'DRE + DCF'!$W$31</f>
        <v>2791623.3540418856</v>
      </c>
      <c r="H2678" s="359">
        <f>'DRE + DCF'!$W$32</f>
        <v>81081.931703745853</v>
      </c>
      <c r="I2678" s="359">
        <f>-H2678*('DRE + DCF'!$V$33+K2678)/'DRE + DCF'!$V$33</f>
        <v>-90858.801614444121</v>
      </c>
      <c r="J2678" s="359">
        <f>-'DRE + DCF'!$V$56*L2678</f>
        <v>-1188924.4255577971</v>
      </c>
      <c r="K2678" s="360">
        <f>(1+L2678)/(1+Ke!$O$12)-1</f>
        <v>2.0000000000000018E-2</v>
      </c>
      <c r="L2678" s="360">
        <f>'DRE + DCF'!$Y$31</f>
        <v>7.3550000000000004E-2</v>
      </c>
      <c r="M2678" s="361">
        <f>(1+D2678)^((5-Dashboard!$F$9)*3/12)</f>
        <v>1.2458399774877604</v>
      </c>
      <c r="N2678" s="361">
        <f t="shared" ref="N2678:V2678" si="2749">M2678*(1+$D2678)</f>
        <v>1.6701107818211895</v>
      </c>
      <c r="O2678" s="361">
        <f t="shared" si="2749"/>
        <v>2.2388670085703586</v>
      </c>
      <c r="P2678" s="361">
        <f t="shared" si="2749"/>
        <v>3.0013131683389442</v>
      </c>
      <c r="Q2678" s="361">
        <f t="shared" si="2749"/>
        <v>4.0234103678167044</v>
      </c>
      <c r="R2678" s="361">
        <f t="shared" si="2749"/>
        <v>5.3935827685765929</v>
      </c>
      <c r="S2678" s="361">
        <f t="shared" si="2749"/>
        <v>7.2303673804152311</v>
      </c>
      <c r="T2678" s="361">
        <f t="shared" si="2749"/>
        <v>9.6926689918154771</v>
      </c>
      <c r="U2678" s="361">
        <f t="shared" si="2749"/>
        <v>12.993507416978021</v>
      </c>
      <c r="V2678" s="362">
        <f t="shared" si="2749"/>
        <v>17.418446367829596</v>
      </c>
      <c r="X2678" s="351"/>
    </row>
    <row r="2679" spans="3:24" ht="24.75" customHeight="1" x14ac:dyDescent="0.3">
      <c r="C2679" s="353">
        <f>ABS(E2679-Dashboard!$F$14)</f>
        <v>52.774393233345677</v>
      </c>
      <c r="D2679" s="350">
        <f t="shared" si="2709"/>
        <v>0.34064999999997775</v>
      </c>
      <c r="E2679" s="359" cm="1">
        <f t="array" ref="E2679">1000*SUM('DRE + DCF'!$L$36/M2679,'DRE + DCF'!$N$36:$V$36/N2679:V2679,F2679/V2679)/Dashboard!$F$11</f>
        <v>44.215606766654318</v>
      </c>
      <c r="F2679" s="359">
        <f t="shared" si="2707"/>
        <v>7600066.5900008157</v>
      </c>
      <c r="G2679" s="359">
        <f>'DRE + DCF'!$W$31</f>
        <v>2791623.3540418856</v>
      </c>
      <c r="H2679" s="359">
        <f>'DRE + DCF'!$W$32</f>
        <v>81081.931703745853</v>
      </c>
      <c r="I2679" s="359">
        <f>-H2679*('DRE + DCF'!$V$33+K2679)/'DRE + DCF'!$V$33</f>
        <v>-90858.801614444121</v>
      </c>
      <c r="J2679" s="359">
        <f>-'DRE + DCF'!$V$56*L2679</f>
        <v>-1188924.4255577971</v>
      </c>
      <c r="K2679" s="360">
        <f>(1+L2679)/(1+Ke!$O$12)-1</f>
        <v>2.0000000000000018E-2</v>
      </c>
      <c r="L2679" s="360">
        <f>'DRE + DCF'!$Y$31</f>
        <v>7.3550000000000004E-2</v>
      </c>
      <c r="M2679" s="361">
        <f>(1+D2679)^((5-Dashboard!$F$9)*3/12)</f>
        <v>1.2459096780786174</v>
      </c>
      <c r="N2679" s="361">
        <f t="shared" ref="N2679:V2679" si="2750">M2679*(1+$D2679)</f>
        <v>1.6703288099160707</v>
      </c>
      <c r="O2679" s="361">
        <f t="shared" si="2750"/>
        <v>2.239326319013943</v>
      </c>
      <c r="P2679" s="361">
        <f t="shared" si="2750"/>
        <v>3.0021528295859925</v>
      </c>
      <c r="Q2679" s="361">
        <f t="shared" si="2750"/>
        <v>4.0248361909843942</v>
      </c>
      <c r="R2679" s="361">
        <f t="shared" si="2750"/>
        <v>5.395896639443138</v>
      </c>
      <c r="S2679" s="361">
        <f t="shared" si="2750"/>
        <v>7.2340088296693228</v>
      </c>
      <c r="T2679" s="361">
        <f t="shared" si="2750"/>
        <v>9.6982739374960154</v>
      </c>
      <c r="U2679" s="361">
        <f t="shared" si="2750"/>
        <v>13.001990954303817</v>
      </c>
      <c r="V2679" s="362">
        <f t="shared" si="2750"/>
        <v>17.431119172887122</v>
      </c>
      <c r="X2679" s="351"/>
    </row>
    <row r="2680" spans="3:24" ht="24.75" customHeight="1" x14ac:dyDescent="0.3">
      <c r="C2680" s="353">
        <f>ABS(E2680-Dashboard!$F$14)</f>
        <v>52.793941938919232</v>
      </c>
      <c r="D2680" s="350">
        <f t="shared" si="2709"/>
        <v>0.34074999999997774</v>
      </c>
      <c r="E2680" s="359" cm="1">
        <f t="array" ref="E2680">1000*SUM('DRE + DCF'!$L$36/M2680,'DRE + DCF'!$N$36:$V$36/N2680:V2680,F2680/V2680)/Dashboard!$F$11</f>
        <v>44.196058061080763</v>
      </c>
      <c r="F2680" s="359">
        <f t="shared" si="2707"/>
        <v>7597577.5994058419</v>
      </c>
      <c r="G2680" s="359">
        <f>'DRE + DCF'!$W$31</f>
        <v>2791623.3540418856</v>
      </c>
      <c r="H2680" s="359">
        <f>'DRE + DCF'!$W$32</f>
        <v>81081.931703745853</v>
      </c>
      <c r="I2680" s="359">
        <f>-H2680*('DRE + DCF'!$V$33+K2680)/'DRE + DCF'!$V$33</f>
        <v>-90858.801614444121</v>
      </c>
      <c r="J2680" s="359">
        <f>-'DRE + DCF'!$V$56*L2680</f>
        <v>-1188924.4255577971</v>
      </c>
      <c r="K2680" s="360">
        <f>(1+L2680)/(1+Ke!$O$12)-1</f>
        <v>2.0000000000000018E-2</v>
      </c>
      <c r="L2680" s="360">
        <f>'DRE + DCF'!$Y$31</f>
        <v>7.3550000000000004E-2</v>
      </c>
      <c r="M2680" s="361">
        <f>(1+D2680)^((5-Dashboard!$F$9)*3/12)</f>
        <v>1.2459793773697325</v>
      </c>
      <c r="N2680" s="361">
        <f t="shared" ref="N2680:V2680" si="2751">M2680*(1+$D2680)</f>
        <v>1.6705468502084411</v>
      </c>
      <c r="O2680" s="361">
        <f t="shared" si="2751"/>
        <v>2.2397856894169301</v>
      </c>
      <c r="P2680" s="361">
        <f t="shared" si="2751"/>
        <v>3.0029926630856991</v>
      </c>
      <c r="Q2680" s="361">
        <f t="shared" si="2751"/>
        <v>4.0262624130320841</v>
      </c>
      <c r="R2680" s="361">
        <f t="shared" si="2751"/>
        <v>5.3982113302726766</v>
      </c>
      <c r="S2680" s="361">
        <f t="shared" si="2751"/>
        <v>7.2376518410629709</v>
      </c>
      <c r="T2680" s="361">
        <f t="shared" si="2751"/>
        <v>9.7038817059050171</v>
      </c>
      <c r="U2680" s="361">
        <f t="shared" si="2751"/>
        <v>13.010479397191935</v>
      </c>
      <c r="V2680" s="362">
        <f t="shared" si="2751"/>
        <v>17.443800251784797</v>
      </c>
      <c r="X2680" s="351"/>
    </row>
    <row r="2681" spans="3:24" ht="24.75" customHeight="1" x14ac:dyDescent="0.3">
      <c r="C2681" s="353">
        <f>ABS(E2681-Dashboard!$F$14)</f>
        <v>52.813474955242285</v>
      </c>
      <c r="D2681" s="350">
        <f t="shared" si="2709"/>
        <v>0.34084999999997773</v>
      </c>
      <c r="E2681" s="359" cm="1">
        <f t="array" ref="E2681">1000*SUM('DRE + DCF'!$L$36/M2681,'DRE + DCF'!$N$36:$V$36/N2681:V2681,F2681/V2681)/Dashboard!$F$11</f>
        <v>44.17652504475771</v>
      </c>
      <c r="F2681" s="359">
        <f t="shared" si="2707"/>
        <v>7595090.2627031859</v>
      </c>
      <c r="G2681" s="359">
        <f>'DRE + DCF'!$W$31</f>
        <v>2791623.3540418856</v>
      </c>
      <c r="H2681" s="359">
        <f>'DRE + DCF'!$W$32</f>
        <v>81081.931703745853</v>
      </c>
      <c r="I2681" s="359">
        <f>-H2681*('DRE + DCF'!$V$33+K2681)/'DRE + DCF'!$V$33</f>
        <v>-90858.801614444121</v>
      </c>
      <c r="J2681" s="359">
        <f>-'DRE + DCF'!$V$56*L2681</f>
        <v>-1188924.4255577971</v>
      </c>
      <c r="K2681" s="360">
        <f>(1+L2681)/(1+Ke!$O$12)-1</f>
        <v>2.0000000000000018E-2</v>
      </c>
      <c r="L2681" s="360">
        <f>'DRE + DCF'!$Y$31</f>
        <v>7.3550000000000004E-2</v>
      </c>
      <c r="M2681" s="361">
        <f>(1+D2681)^((5-Dashboard!$F$9)*3/12)</f>
        <v>1.2460490753612274</v>
      </c>
      <c r="N2681" s="361">
        <f t="shared" ref="N2681:V2681" si="2752">M2681*(1+$D2681)</f>
        <v>1.670764902698074</v>
      </c>
      <c r="O2681" s="361">
        <f t="shared" si="2752"/>
        <v>2.2402451197826752</v>
      </c>
      <c r="P2681" s="361">
        <f t="shared" si="2752"/>
        <v>3.0038326688605501</v>
      </c>
      <c r="Q2681" s="361">
        <f t="shared" si="2752"/>
        <v>4.0276890340416012</v>
      </c>
      <c r="R2681" s="361">
        <f t="shared" si="2752"/>
        <v>5.4005268412945906</v>
      </c>
      <c r="S2681" s="361">
        <f t="shared" si="2752"/>
        <v>7.2412964151497308</v>
      </c>
      <c r="T2681" s="361">
        <f t="shared" si="2752"/>
        <v>9.7094922982533554</v>
      </c>
      <c r="U2681" s="361">
        <f t="shared" si="2752"/>
        <v>13.018972748112795</v>
      </c>
      <c r="V2681" s="362">
        <f t="shared" si="2752"/>
        <v>17.45648960930675</v>
      </c>
      <c r="X2681" s="351"/>
    </row>
    <row r="2682" spans="3:24" ht="24.75" customHeight="1" x14ac:dyDescent="0.3">
      <c r="C2682" s="353">
        <f>ABS(E2682-Dashboard!$F$14)</f>
        <v>52.832992299872025</v>
      </c>
      <c r="D2682" s="350">
        <f t="shared" si="2709"/>
        <v>0.34094999999997772</v>
      </c>
      <c r="E2682" s="359" cm="1">
        <f t="array" ref="E2682">1000*SUM('DRE + DCF'!$L$36/M2682,'DRE + DCF'!$N$36:$V$36/N2682:V2682,F2682/V2682)/Dashboard!$F$11</f>
        <v>44.15700770012797</v>
      </c>
      <c r="F2682" s="359">
        <f t="shared" si="2707"/>
        <v>7592604.5782206506</v>
      </c>
      <c r="G2682" s="359">
        <f>'DRE + DCF'!$W$31</f>
        <v>2791623.3540418856</v>
      </c>
      <c r="H2682" s="359">
        <f>'DRE + DCF'!$W$32</f>
        <v>81081.931703745853</v>
      </c>
      <c r="I2682" s="359">
        <f>-H2682*('DRE + DCF'!$V$33+K2682)/'DRE + DCF'!$V$33</f>
        <v>-90858.801614444121</v>
      </c>
      <c r="J2682" s="359">
        <f>-'DRE + DCF'!$V$56*L2682</f>
        <v>-1188924.4255577971</v>
      </c>
      <c r="K2682" s="360">
        <f>(1+L2682)/(1+Ke!$O$12)-1</f>
        <v>2.0000000000000018E-2</v>
      </c>
      <c r="L2682" s="360">
        <f>'DRE + DCF'!$Y$31</f>
        <v>7.3550000000000004E-2</v>
      </c>
      <c r="M2682" s="361">
        <f>(1+D2682)^((5-Dashboard!$F$9)*3/12)</f>
        <v>1.2461187720532232</v>
      </c>
      <c r="N2682" s="361">
        <f t="shared" ref="N2682:V2682" si="2753">M2682*(1+$D2682)</f>
        <v>1.6709829673847418</v>
      </c>
      <c r="O2682" s="361">
        <f t="shared" si="2753"/>
        <v>2.2407046101145323</v>
      </c>
      <c r="P2682" s="361">
        <f t="shared" si="2753"/>
        <v>3.0046728469330319</v>
      </c>
      <c r="Q2682" s="361">
        <f t="shared" si="2753"/>
        <v>4.0291160540947821</v>
      </c>
      <c r="R2682" s="361">
        <f t="shared" si="2753"/>
        <v>5.4028431727383079</v>
      </c>
      <c r="S2682" s="361">
        <f t="shared" si="2753"/>
        <v>7.2449425524833133</v>
      </c>
      <c r="T2682" s="361">
        <f t="shared" si="2753"/>
        <v>9.7151057157523368</v>
      </c>
      <c r="U2682" s="361">
        <f t="shared" si="2753"/>
        <v>13.027471009537878</v>
      </c>
      <c r="V2682" s="362">
        <f t="shared" si="2753"/>
        <v>17.469187250239528</v>
      </c>
      <c r="X2682" s="351"/>
    </row>
    <row r="2683" spans="3:24" ht="24.75" customHeight="1" x14ac:dyDescent="0.3">
      <c r="C2683" s="353">
        <f>ABS(E2683-Dashboard!$F$14)</f>
        <v>52.852493990340619</v>
      </c>
      <c r="D2683" s="350">
        <f t="shared" si="2709"/>
        <v>0.3410499999999777</v>
      </c>
      <c r="E2683" s="359" cm="1">
        <f t="array" ref="E2683">1000*SUM('DRE + DCF'!$L$36/M2683,'DRE + DCF'!$N$36:$V$36/N2683:V2683,F2683/V2683)/Dashboard!$F$11</f>
        <v>44.137506009659376</v>
      </c>
      <c r="F2683" s="359">
        <f t="shared" si="2707"/>
        <v>7590120.5442883223</v>
      </c>
      <c r="G2683" s="359">
        <f>'DRE + DCF'!$W$31</f>
        <v>2791623.3540418856</v>
      </c>
      <c r="H2683" s="359">
        <f>'DRE + DCF'!$W$32</f>
        <v>81081.931703745853</v>
      </c>
      <c r="I2683" s="359">
        <f>-H2683*('DRE + DCF'!$V$33+K2683)/'DRE + DCF'!$V$33</f>
        <v>-90858.801614444121</v>
      </c>
      <c r="J2683" s="359">
        <f>-'DRE + DCF'!$V$56*L2683</f>
        <v>-1188924.4255577971</v>
      </c>
      <c r="K2683" s="360">
        <f>(1+L2683)/(1+Ke!$O$12)-1</f>
        <v>2.0000000000000018E-2</v>
      </c>
      <c r="L2683" s="360">
        <f>'DRE + DCF'!$Y$31</f>
        <v>7.3550000000000004E-2</v>
      </c>
      <c r="M2683" s="361">
        <f>(1+D2683)^((5-Dashboard!$F$9)*3/12)</f>
        <v>1.2461884674458408</v>
      </c>
      <c r="N2683" s="361">
        <f t="shared" ref="N2683:V2683" si="2754">M2683*(1+$D2683)</f>
        <v>1.671201044268217</v>
      </c>
      <c r="O2683" s="361">
        <f t="shared" si="2754"/>
        <v>2.2411641604158552</v>
      </c>
      <c r="P2683" s="361">
        <f t="shared" si="2754"/>
        <v>3.0055131973256324</v>
      </c>
      <c r="Q2683" s="361">
        <f t="shared" si="2754"/>
        <v>4.0305434732734717</v>
      </c>
      <c r="R2683" s="361">
        <f t="shared" si="2754"/>
        <v>5.4051603248332993</v>
      </c>
      <c r="S2683" s="361">
        <f t="shared" si="2754"/>
        <v>7.248590253617575</v>
      </c>
      <c r="T2683" s="361">
        <f t="shared" si="2754"/>
        <v>9.7207219596136873</v>
      </c>
      <c r="U2683" s="361">
        <f t="shared" si="2754"/>
        <v>13.035974183939718</v>
      </c>
      <c r="V2683" s="362">
        <f t="shared" si="2754"/>
        <v>17.481893179372069</v>
      </c>
      <c r="X2683" s="351"/>
    </row>
    <row r="2684" spans="3:24" ht="24.75" customHeight="1" x14ac:dyDescent="0.3">
      <c r="C2684" s="353">
        <f>ABS(E2684-Dashboard!$F$14)</f>
        <v>52.87198004415518</v>
      </c>
      <c r="D2684" s="350">
        <f t="shared" si="2709"/>
        <v>0.34114999999997769</v>
      </c>
      <c r="E2684" s="359" cm="1">
        <f t="array" ref="E2684">1000*SUM('DRE + DCF'!$L$36/M2684,'DRE + DCF'!$N$36:$V$36/N2684:V2684,F2684/V2684)/Dashboard!$F$11</f>
        <v>44.118019955844815</v>
      </c>
      <c r="F2684" s="359">
        <f t="shared" si="2707"/>
        <v>7587638.1592385639</v>
      </c>
      <c r="G2684" s="359">
        <f>'DRE + DCF'!$W$31</f>
        <v>2791623.3540418856</v>
      </c>
      <c r="H2684" s="359">
        <f>'DRE + DCF'!$W$32</f>
        <v>81081.931703745853</v>
      </c>
      <c r="I2684" s="359">
        <f>-H2684*('DRE + DCF'!$V$33+K2684)/'DRE + DCF'!$V$33</f>
        <v>-90858.801614444121</v>
      </c>
      <c r="J2684" s="359">
        <f>-'DRE + DCF'!$V$56*L2684</f>
        <v>-1188924.4255577971</v>
      </c>
      <c r="K2684" s="360">
        <f>(1+L2684)/(1+Ke!$O$12)-1</f>
        <v>2.0000000000000018E-2</v>
      </c>
      <c r="L2684" s="360">
        <f>'DRE + DCF'!$Y$31</f>
        <v>7.3550000000000004E-2</v>
      </c>
      <c r="M2684" s="361">
        <f>(1+D2684)^((5-Dashboard!$F$9)*3/12)</f>
        <v>1.2462581615392014</v>
      </c>
      <c r="N2684" s="361">
        <f t="shared" ref="N2684:V2684" si="2755">M2684*(1+$D2684)</f>
        <v>1.6714191333482722</v>
      </c>
      <c r="O2684" s="361">
        <f t="shared" si="2755"/>
        <v>2.2416237706899977</v>
      </c>
      <c r="P2684" s="361">
        <f t="shared" si="2755"/>
        <v>3.0063537200608406</v>
      </c>
      <c r="Q2684" s="361">
        <f t="shared" si="2755"/>
        <v>4.0319712916595289</v>
      </c>
      <c r="R2684" s="361">
        <f t="shared" si="2755"/>
        <v>5.407478297809087</v>
      </c>
      <c r="S2684" s="361">
        <f t="shared" si="2755"/>
        <v>7.2522395191065359</v>
      </c>
      <c r="T2684" s="361">
        <f t="shared" si="2755"/>
        <v>9.7263410310495679</v>
      </c>
      <c r="U2684" s="361">
        <f t="shared" si="2755"/>
        <v>13.04448227379191</v>
      </c>
      <c r="V2684" s="362">
        <f t="shared" si="2755"/>
        <v>17.494607401495728</v>
      </c>
      <c r="X2684" s="351"/>
    </row>
    <row r="2685" spans="3:24" ht="24.75" customHeight="1" x14ac:dyDescent="0.3">
      <c r="C2685" s="353">
        <f>ABS(E2685-Dashboard!$F$14)</f>
        <v>52.891450478797928</v>
      </c>
      <c r="D2685" s="350">
        <f t="shared" si="2709"/>
        <v>0.34124999999997768</v>
      </c>
      <c r="E2685" s="359" cm="1">
        <f t="array" ref="E2685">1000*SUM('DRE + DCF'!$L$36/M2685,'DRE + DCF'!$N$36:$V$36/N2685:V2685,F2685/V2685)/Dashboard!$F$11</f>
        <v>44.098549521202067</v>
      </c>
      <c r="F2685" s="359">
        <f t="shared" si="2707"/>
        <v>7585157.4214060213</v>
      </c>
      <c r="G2685" s="359">
        <f>'DRE + DCF'!$W$31</f>
        <v>2791623.3540418856</v>
      </c>
      <c r="H2685" s="359">
        <f>'DRE + DCF'!$W$32</f>
        <v>81081.931703745853</v>
      </c>
      <c r="I2685" s="359">
        <f>-H2685*('DRE + DCF'!$V$33+K2685)/'DRE + DCF'!$V$33</f>
        <v>-90858.801614444121</v>
      </c>
      <c r="J2685" s="359">
        <f>-'DRE + DCF'!$V$56*L2685</f>
        <v>-1188924.4255577971</v>
      </c>
      <c r="K2685" s="360">
        <f>(1+L2685)/(1+Ke!$O$12)-1</f>
        <v>2.0000000000000018E-2</v>
      </c>
      <c r="L2685" s="360">
        <f>'DRE + DCF'!$Y$31</f>
        <v>7.3550000000000004E-2</v>
      </c>
      <c r="M2685" s="361">
        <f>(1+D2685)^((5-Dashboard!$F$9)*3/12)</f>
        <v>1.246327854333426</v>
      </c>
      <c r="N2685" s="361">
        <f t="shared" ref="N2685:V2685" si="2756">M2685*(1+$D2685)</f>
        <v>1.6716372346246797</v>
      </c>
      <c r="O2685" s="361">
        <f t="shared" si="2756"/>
        <v>2.2420834409403141</v>
      </c>
      <c r="P2685" s="361">
        <f t="shared" si="2756"/>
        <v>3.0071944151611461</v>
      </c>
      <c r="Q2685" s="361">
        <f t="shared" si="2756"/>
        <v>4.0333995093348198</v>
      </c>
      <c r="R2685" s="361">
        <f t="shared" si="2756"/>
        <v>5.4097970918952365</v>
      </c>
      <c r="S2685" s="361">
        <f t="shared" si="2756"/>
        <v>7.255890349504365</v>
      </c>
      <c r="T2685" s="361">
        <f t="shared" si="2756"/>
        <v>9.7319629312725677</v>
      </c>
      <c r="U2685" s="361">
        <f t="shared" si="2756"/>
        <v>13.052995281569114</v>
      </c>
      <c r="V2685" s="362">
        <f t="shared" si="2756"/>
        <v>17.507329921404281</v>
      </c>
      <c r="X2685" s="351"/>
    </row>
    <row r="2686" spans="3:24" ht="24.75" customHeight="1" x14ac:dyDescent="0.3">
      <c r="C2686" s="353">
        <f>ABS(E2686-Dashboard!$F$14)</f>
        <v>52.910905311726168</v>
      </c>
      <c r="D2686" s="350">
        <f t="shared" si="2709"/>
        <v>0.34134999999997767</v>
      </c>
      <c r="E2686" s="359" cm="1">
        <f t="array" ref="E2686">1000*SUM('DRE + DCF'!$L$36/M2686,'DRE + DCF'!$N$36:$V$36/N2686:V2686,F2686/V2686)/Dashboard!$F$11</f>
        <v>44.079094688273827</v>
      </c>
      <c r="F2686" s="359">
        <f t="shared" si="2707"/>
        <v>7582678.3291276135</v>
      </c>
      <c r="G2686" s="359">
        <f>'DRE + DCF'!$W$31</f>
        <v>2791623.3540418856</v>
      </c>
      <c r="H2686" s="359">
        <f>'DRE + DCF'!$W$32</f>
        <v>81081.931703745853</v>
      </c>
      <c r="I2686" s="359">
        <f>-H2686*('DRE + DCF'!$V$33+K2686)/'DRE + DCF'!$V$33</f>
        <v>-90858.801614444121</v>
      </c>
      <c r="J2686" s="359">
        <f>-'DRE + DCF'!$V$56*L2686</f>
        <v>-1188924.4255577971</v>
      </c>
      <c r="K2686" s="360">
        <f>(1+L2686)/(1+Ke!$O$12)-1</f>
        <v>2.0000000000000018E-2</v>
      </c>
      <c r="L2686" s="360">
        <f>'DRE + DCF'!$Y$31</f>
        <v>7.3550000000000004E-2</v>
      </c>
      <c r="M2686" s="361">
        <f>(1+D2686)^((5-Dashboard!$F$9)*3/12)</f>
        <v>1.2463975458286358</v>
      </c>
      <c r="N2686" s="361">
        <f t="shared" ref="N2686:V2686" si="2757">M2686*(1+$D2686)</f>
        <v>1.6718553480972127</v>
      </c>
      <c r="O2686" s="361">
        <f t="shared" si="2757"/>
        <v>2.2425431711701589</v>
      </c>
      <c r="P2686" s="361">
        <f t="shared" si="2757"/>
        <v>3.0080352826490424</v>
      </c>
      <c r="Q2686" s="361">
        <f t="shared" si="2757"/>
        <v>4.0348281263812256</v>
      </c>
      <c r="R2686" s="361">
        <f t="shared" si="2757"/>
        <v>5.412116707321367</v>
      </c>
      <c r="S2686" s="361">
        <f t="shared" si="2757"/>
        <v>7.259542745365394</v>
      </c>
      <c r="T2686" s="361">
        <f t="shared" si="2757"/>
        <v>9.7375876614957093</v>
      </c>
      <c r="U2686" s="361">
        <f t="shared" si="2757"/>
        <v>13.061513209747051</v>
      </c>
      <c r="V2686" s="362">
        <f t="shared" si="2757"/>
        <v>17.520060743893914</v>
      </c>
      <c r="X2686" s="351"/>
    </row>
    <row r="2687" spans="3:24" ht="24.75" customHeight="1" x14ac:dyDescent="0.3">
      <c r="C2687" s="353">
        <f>ABS(E2687-Dashboard!$F$14)</f>
        <v>52.930344560372284</v>
      </c>
      <c r="D2687" s="350">
        <f t="shared" si="2709"/>
        <v>0.34144999999997766</v>
      </c>
      <c r="E2687" s="359" cm="1">
        <f t="array" ref="E2687">1000*SUM('DRE + DCF'!$L$36/M2687,'DRE + DCF'!$N$36:$V$36/N2687:V2687,F2687/V2687)/Dashboard!$F$11</f>
        <v>44.059655439627711</v>
      </c>
      <c r="F2687" s="359">
        <f t="shared" si="2707"/>
        <v>7580200.8807425257</v>
      </c>
      <c r="G2687" s="359">
        <f>'DRE + DCF'!$W$31</f>
        <v>2791623.3540418856</v>
      </c>
      <c r="H2687" s="359">
        <f>'DRE + DCF'!$W$32</f>
        <v>81081.931703745853</v>
      </c>
      <c r="I2687" s="359">
        <f>-H2687*('DRE + DCF'!$V$33+K2687)/'DRE + DCF'!$V$33</f>
        <v>-90858.801614444121</v>
      </c>
      <c r="J2687" s="359">
        <f>-'DRE + DCF'!$V$56*L2687</f>
        <v>-1188924.4255577971</v>
      </c>
      <c r="K2687" s="360">
        <f>(1+L2687)/(1+Ke!$O$12)-1</f>
        <v>2.0000000000000018E-2</v>
      </c>
      <c r="L2687" s="360">
        <f>'DRE + DCF'!$Y$31</f>
        <v>7.3550000000000004E-2</v>
      </c>
      <c r="M2687" s="361">
        <f>(1+D2687)^((5-Dashboard!$F$9)*3/12)</f>
        <v>1.246467236024952</v>
      </c>
      <c r="N2687" s="361">
        <f t="shared" ref="N2687:V2687" si="2758">M2687*(1+$D2687)</f>
        <v>1.672073473765644</v>
      </c>
      <c r="O2687" s="361">
        <f t="shared" si="2758"/>
        <v>2.2430029613828855</v>
      </c>
      <c r="P2687" s="361">
        <f t="shared" si="2758"/>
        <v>3.0088763225470214</v>
      </c>
      <c r="Q2687" s="361">
        <f t="shared" si="2758"/>
        <v>4.0362571428806344</v>
      </c>
      <c r="R2687" s="361">
        <f t="shared" si="2758"/>
        <v>5.4144371443171364</v>
      </c>
      <c r="S2687" s="361">
        <f t="shared" si="2758"/>
        <v>7.2631967072441013</v>
      </c>
      <c r="T2687" s="361">
        <f t="shared" si="2758"/>
        <v>9.7432152229324362</v>
      </c>
      <c r="U2687" s="361">
        <f t="shared" si="2758"/>
        <v>13.070036060802499</v>
      </c>
      <c r="V2687" s="362">
        <f t="shared" si="2758"/>
        <v>17.532799873763221</v>
      </c>
      <c r="X2687" s="351"/>
    </row>
    <row r="2688" spans="3:24" ht="24.75" customHeight="1" x14ac:dyDescent="0.3">
      <c r="C2688" s="353">
        <f>ABS(E2688-Dashboard!$F$14)</f>
        <v>52.949768242143861</v>
      </c>
      <c r="D2688" s="350">
        <f t="shared" si="2709"/>
        <v>0.34154999999997765</v>
      </c>
      <c r="E2688" s="359" cm="1">
        <f t="array" ref="E2688">1000*SUM('DRE + DCF'!$L$36/M2688,'DRE + DCF'!$N$36:$V$36/N2688:V2688,F2688/V2688)/Dashboard!$F$11</f>
        <v>44.040231757856134</v>
      </c>
      <c r="F2688" s="359">
        <f t="shared" si="2707"/>
        <v>7577725.0745922159</v>
      </c>
      <c r="G2688" s="359">
        <f>'DRE + DCF'!$W$31</f>
        <v>2791623.3540418856</v>
      </c>
      <c r="H2688" s="359">
        <f>'DRE + DCF'!$W$32</f>
        <v>81081.931703745853</v>
      </c>
      <c r="I2688" s="359">
        <f>-H2688*('DRE + DCF'!$V$33+K2688)/'DRE + DCF'!$V$33</f>
        <v>-90858.801614444121</v>
      </c>
      <c r="J2688" s="359">
        <f>-'DRE + DCF'!$V$56*L2688</f>
        <v>-1188924.4255577971</v>
      </c>
      <c r="K2688" s="360">
        <f>(1+L2688)/(1+Ke!$O$12)-1</f>
        <v>2.0000000000000018E-2</v>
      </c>
      <c r="L2688" s="360">
        <f>'DRE + DCF'!$Y$31</f>
        <v>7.3550000000000004E-2</v>
      </c>
      <c r="M2688" s="361">
        <f>(1+D2688)^((5-Dashboard!$F$9)*3/12)</f>
        <v>1.2465369249224953</v>
      </c>
      <c r="N2688" s="361">
        <f t="shared" ref="N2688:V2688" si="2759">M2688*(1+$D2688)</f>
        <v>1.6722916116297457</v>
      </c>
      <c r="O2688" s="361">
        <f t="shared" si="2759"/>
        <v>2.243462811581848</v>
      </c>
      <c r="P2688" s="361">
        <f t="shared" si="2759"/>
        <v>3.009717534877578</v>
      </c>
      <c r="Q2688" s="361">
        <f t="shared" si="2759"/>
        <v>4.0376865589149471</v>
      </c>
      <c r="R2688" s="361">
        <f t="shared" si="2759"/>
        <v>5.4167584031122571</v>
      </c>
      <c r="S2688" s="361">
        <f t="shared" si="2759"/>
        <v>7.2668522356951275</v>
      </c>
      <c r="T2688" s="361">
        <f t="shared" si="2759"/>
        <v>9.7488456167966362</v>
      </c>
      <c r="U2688" s="361">
        <f t="shared" si="2759"/>
        <v>13.078563837213309</v>
      </c>
      <c r="V2688" s="362">
        <f t="shared" si="2759"/>
        <v>17.545547315813224</v>
      </c>
      <c r="X2688" s="351"/>
    </row>
    <row r="2689" spans="3:24" ht="24.75" customHeight="1" x14ac:dyDescent="0.3">
      <c r="C2689" s="353">
        <f>ABS(E2689-Dashboard!$F$14)</f>
        <v>52.969176374423682</v>
      </c>
      <c r="D2689" s="350">
        <f t="shared" si="2709"/>
        <v>0.34164999999997764</v>
      </c>
      <c r="E2689" s="359" cm="1">
        <f t="array" ref="E2689">1000*SUM('DRE + DCF'!$L$36/M2689,'DRE + DCF'!$N$36:$V$36/N2689:V2689,F2689/V2689)/Dashboard!$F$11</f>
        <v>44.020823625576313</v>
      </c>
      <c r="F2689" s="359">
        <f t="shared" si="2707"/>
        <v>7575250.9090203959</v>
      </c>
      <c r="G2689" s="359">
        <f>'DRE + DCF'!$W$31</f>
        <v>2791623.3540418856</v>
      </c>
      <c r="H2689" s="359">
        <f>'DRE + DCF'!$W$32</f>
        <v>81081.931703745853</v>
      </c>
      <c r="I2689" s="359">
        <f>-H2689*('DRE + DCF'!$V$33+K2689)/'DRE + DCF'!$V$33</f>
        <v>-90858.801614444121</v>
      </c>
      <c r="J2689" s="359">
        <f>-'DRE + DCF'!$V$56*L2689</f>
        <v>-1188924.4255577971</v>
      </c>
      <c r="K2689" s="360">
        <f>(1+L2689)/(1+Ke!$O$12)-1</f>
        <v>2.0000000000000018E-2</v>
      </c>
      <c r="L2689" s="360">
        <f>'DRE + DCF'!$Y$31</f>
        <v>7.3550000000000004E-2</v>
      </c>
      <c r="M2689" s="361">
        <f>(1+D2689)^((5-Dashboard!$F$9)*3/12)</f>
        <v>1.246606612521387</v>
      </c>
      <c r="N2689" s="361">
        <f t="shared" ref="N2689:V2689" si="2760">M2689*(1+$D2689)</f>
        <v>1.672509761689291</v>
      </c>
      <c r="O2689" s="361">
        <f t="shared" si="2760"/>
        <v>2.2439227217703999</v>
      </c>
      <c r="P2689" s="361">
        <f t="shared" si="2760"/>
        <v>3.0105589196632065</v>
      </c>
      <c r="Q2689" s="361">
        <f t="shared" si="2760"/>
        <v>4.0391163745660732</v>
      </c>
      <c r="R2689" s="361">
        <f t="shared" si="2760"/>
        <v>5.4190804839364812</v>
      </c>
      <c r="S2689" s="361">
        <f t="shared" si="2760"/>
        <v>7.2705093312732583</v>
      </c>
      <c r="T2689" s="361">
        <f t="shared" si="2760"/>
        <v>9.7544788443026036</v>
      </c>
      <c r="U2689" s="361">
        <f t="shared" si="2760"/>
        <v>13.087096541458369</v>
      </c>
      <c r="V2689" s="362">
        <f t="shared" si="2760"/>
        <v>17.558303074847327</v>
      </c>
      <c r="X2689" s="351"/>
    </row>
    <row r="2690" spans="3:24" ht="24.75" customHeight="1" x14ac:dyDescent="0.3">
      <c r="C2690" s="353">
        <f>ABS(E2690-Dashboard!$F$14)</f>
        <v>52.98856897456983</v>
      </c>
      <c r="D2690" s="350">
        <f t="shared" si="2709"/>
        <v>0.34174999999997763</v>
      </c>
      <c r="E2690" s="359" cm="1">
        <f t="array" ref="E2690">1000*SUM('DRE + DCF'!$L$36/M2690,'DRE + DCF'!$N$36:$V$36/N2690:V2690,F2690/V2690)/Dashboard!$F$11</f>
        <v>44.001431025430165</v>
      </c>
      <c r="F2690" s="359">
        <f t="shared" si="2707"/>
        <v>7572778.3823730415</v>
      </c>
      <c r="G2690" s="359">
        <f>'DRE + DCF'!$W$31</f>
        <v>2791623.3540418856</v>
      </c>
      <c r="H2690" s="359">
        <f>'DRE + DCF'!$W$32</f>
        <v>81081.931703745853</v>
      </c>
      <c r="I2690" s="359">
        <f>-H2690*('DRE + DCF'!$V$33+K2690)/'DRE + DCF'!$V$33</f>
        <v>-90858.801614444121</v>
      </c>
      <c r="J2690" s="359">
        <f>-'DRE + DCF'!$V$56*L2690</f>
        <v>-1188924.4255577971</v>
      </c>
      <c r="K2690" s="360">
        <f>(1+L2690)/(1+Ke!$O$12)-1</f>
        <v>2.0000000000000018E-2</v>
      </c>
      <c r="L2690" s="360">
        <f>'DRE + DCF'!$Y$31</f>
        <v>7.3550000000000004E-2</v>
      </c>
      <c r="M2690" s="361">
        <f>(1+D2690)^((5-Dashboard!$F$9)*3/12)</f>
        <v>1.2466762988217481</v>
      </c>
      <c r="N2690" s="361">
        <f t="shared" ref="N2690:V2690" si="2761">M2690*(1+$D2690)</f>
        <v>1.6727279239440527</v>
      </c>
      <c r="O2690" s="361">
        <f t="shared" si="2761"/>
        <v>2.2443826919518952</v>
      </c>
      <c r="P2690" s="361">
        <f t="shared" si="2761"/>
        <v>3.0114004769264051</v>
      </c>
      <c r="Q2690" s="361">
        <f t="shared" si="2761"/>
        <v>4.0405465899159365</v>
      </c>
      <c r="R2690" s="361">
        <f t="shared" si="2761"/>
        <v>5.421403387019617</v>
      </c>
      <c r="S2690" s="361">
        <f t="shared" si="2761"/>
        <v>7.2741679945334496</v>
      </c>
      <c r="T2690" s="361">
        <f t="shared" si="2761"/>
        <v>9.760114906665093</v>
      </c>
      <c r="U2690" s="361">
        <f t="shared" si="2761"/>
        <v>13.09563417601767</v>
      </c>
      <c r="V2690" s="362">
        <f t="shared" si="2761"/>
        <v>17.571067155671415</v>
      </c>
      <c r="X2690" s="351"/>
    </row>
    <row r="2691" spans="3:24" ht="24.75" customHeight="1" x14ac:dyDescent="0.3">
      <c r="C2691" s="353">
        <f>ABS(E2691-Dashboard!$F$14)</f>
        <v>53.007946059915589</v>
      </c>
      <c r="D2691" s="350">
        <f t="shared" si="2709"/>
        <v>0.34184999999997762</v>
      </c>
      <c r="E2691" s="359" cm="1">
        <f t="array" ref="E2691">1000*SUM('DRE + DCF'!$L$36/M2691,'DRE + DCF'!$N$36:$V$36/N2691:V2691,F2691/V2691)/Dashboard!$F$11</f>
        <v>43.982053940084405</v>
      </c>
      <c r="F2691" s="359">
        <f t="shared" si="2707"/>
        <v>7570307.4929983784</v>
      </c>
      <c r="G2691" s="359">
        <f>'DRE + DCF'!$W$31</f>
        <v>2791623.3540418856</v>
      </c>
      <c r="H2691" s="359">
        <f>'DRE + DCF'!$W$32</f>
        <v>81081.931703745853</v>
      </c>
      <c r="I2691" s="359">
        <f>-H2691*('DRE + DCF'!$V$33+K2691)/'DRE + DCF'!$V$33</f>
        <v>-90858.801614444121</v>
      </c>
      <c r="J2691" s="359">
        <f>-'DRE + DCF'!$V$56*L2691</f>
        <v>-1188924.4255577971</v>
      </c>
      <c r="K2691" s="360">
        <f>(1+L2691)/(1+Ke!$O$12)-1</f>
        <v>2.0000000000000018E-2</v>
      </c>
      <c r="L2691" s="360">
        <f>'DRE + DCF'!$Y$31</f>
        <v>7.3550000000000004E-2</v>
      </c>
      <c r="M2691" s="361">
        <f>(1+D2691)^((5-Dashboard!$F$9)*3/12)</f>
        <v>1.2467459838236992</v>
      </c>
      <c r="N2691" s="361">
        <f t="shared" ref="N2691:V2691" si="2762">M2691*(1+$D2691)</f>
        <v>1.6729460983938027</v>
      </c>
      <c r="O2691" s="361">
        <f t="shared" si="2762"/>
        <v>2.2448427221296865</v>
      </c>
      <c r="P2691" s="361">
        <f t="shared" si="2762"/>
        <v>3.0122422066896695</v>
      </c>
      <c r="Q2691" s="361">
        <f t="shared" si="2762"/>
        <v>4.0419772050464653</v>
      </c>
      <c r="R2691" s="361">
        <f t="shared" si="2762"/>
        <v>5.423727112591509</v>
      </c>
      <c r="S2691" s="361">
        <f t="shared" si="2762"/>
        <v>7.2778282260307945</v>
      </c>
      <c r="T2691" s="361">
        <f t="shared" si="2762"/>
        <v>9.7657538050992585</v>
      </c>
      <c r="U2691" s="361">
        <f t="shared" si="2762"/>
        <v>13.104176743372221</v>
      </c>
      <c r="V2691" s="362">
        <f t="shared" si="2762"/>
        <v>17.583839563093722</v>
      </c>
      <c r="X2691" s="351"/>
    </row>
    <row r="2692" spans="3:24" ht="24.75" customHeight="1" x14ac:dyDescent="0.3">
      <c r="C2692" s="353">
        <f>ABS(E2692-Dashboard!$F$14)</f>
        <v>53.027307647769746</v>
      </c>
      <c r="D2692" s="350">
        <f t="shared" si="2709"/>
        <v>0.34194999999997761</v>
      </c>
      <c r="E2692" s="359" cm="1">
        <f t="array" ref="E2692">1000*SUM('DRE + DCF'!$L$36/M2692,'DRE + DCF'!$N$36:$V$36/N2692:V2692,F2692/V2692)/Dashboard!$F$11</f>
        <v>43.962692352230249</v>
      </c>
      <c r="F2692" s="359">
        <f t="shared" si="2707"/>
        <v>7567838.2392468881</v>
      </c>
      <c r="G2692" s="359">
        <f>'DRE + DCF'!$W$31</f>
        <v>2791623.3540418856</v>
      </c>
      <c r="H2692" s="359">
        <f>'DRE + DCF'!$W$32</f>
        <v>81081.931703745853</v>
      </c>
      <c r="I2692" s="359">
        <f>-H2692*('DRE + DCF'!$V$33+K2692)/'DRE + DCF'!$V$33</f>
        <v>-90858.801614444121</v>
      </c>
      <c r="J2692" s="359">
        <f>-'DRE + DCF'!$V$56*L2692</f>
        <v>-1188924.4255577971</v>
      </c>
      <c r="K2692" s="360">
        <f>(1+L2692)/(1+Ke!$O$12)-1</f>
        <v>2.0000000000000018E-2</v>
      </c>
      <c r="L2692" s="360">
        <f>'DRE + DCF'!$Y$31</f>
        <v>7.3550000000000004E-2</v>
      </c>
      <c r="M2692" s="361">
        <f>(1+D2692)^((5-Dashboard!$F$9)*3/12)</f>
        <v>1.2468156675273616</v>
      </c>
      <c r="N2692" s="361">
        <f t="shared" ref="N2692:V2692" si="2763">M2692*(1+$D2692)</f>
        <v>1.6731642850383148</v>
      </c>
      <c r="O2692" s="361">
        <f t="shared" si="2763"/>
        <v>2.2453028123071288</v>
      </c>
      <c r="P2692" s="361">
        <f t="shared" si="2763"/>
        <v>3.0130841089755012</v>
      </c>
      <c r="Q2692" s="361">
        <f t="shared" si="2763"/>
        <v>4.0434082200396064</v>
      </c>
      <c r="R2692" s="361">
        <f t="shared" si="2763"/>
        <v>5.4260516608820595</v>
      </c>
      <c r="S2692" s="361">
        <f t="shared" si="2763"/>
        <v>7.281490026320558</v>
      </c>
      <c r="T2692" s="361">
        <f t="shared" si="2763"/>
        <v>9.7713955408207092</v>
      </c>
      <c r="U2692" s="361">
        <f t="shared" si="2763"/>
        <v>13.112724246004131</v>
      </c>
      <c r="V2692" s="362">
        <f t="shared" si="2763"/>
        <v>17.596620301924951</v>
      </c>
      <c r="X2692" s="351"/>
    </row>
    <row r="2693" spans="3:24" ht="24.75" customHeight="1" x14ac:dyDescent="0.3">
      <c r="C2693" s="353">
        <f>ABS(E2693-Dashboard!$F$14)</f>
        <v>53.046653755416308</v>
      </c>
      <c r="D2693" s="350">
        <f t="shared" si="2709"/>
        <v>0.34204999999997759</v>
      </c>
      <c r="E2693" s="359" cm="1">
        <f t="array" ref="E2693">1000*SUM('DRE + DCF'!$L$36/M2693,'DRE + DCF'!$N$36:$V$36/N2693:V2693,F2693/V2693)/Dashboard!$F$11</f>
        <v>43.943346244583687</v>
      </c>
      <c r="F2693" s="359">
        <f t="shared" si="2707"/>
        <v>7565370.6194712911</v>
      </c>
      <c r="G2693" s="359">
        <f>'DRE + DCF'!$W$31</f>
        <v>2791623.3540418856</v>
      </c>
      <c r="H2693" s="359">
        <f>'DRE + DCF'!$W$32</f>
        <v>81081.931703745853</v>
      </c>
      <c r="I2693" s="359">
        <f>-H2693*('DRE + DCF'!$V$33+K2693)/'DRE + DCF'!$V$33</f>
        <v>-90858.801614444121</v>
      </c>
      <c r="J2693" s="359">
        <f>-'DRE + DCF'!$V$56*L2693</f>
        <v>-1188924.4255577971</v>
      </c>
      <c r="K2693" s="360">
        <f>(1+L2693)/(1+Ke!$O$12)-1</f>
        <v>2.0000000000000018E-2</v>
      </c>
      <c r="L2693" s="360">
        <f>'DRE + DCF'!$Y$31</f>
        <v>7.3550000000000004E-2</v>
      </c>
      <c r="M2693" s="361">
        <f>(1+D2693)^((5-Dashboard!$F$9)*3/12)</f>
        <v>1.2468853499328563</v>
      </c>
      <c r="N2693" s="361">
        <f t="shared" ref="N2693:V2693" si="2764">M2693*(1+$D2693)</f>
        <v>1.6733824838773617</v>
      </c>
      <c r="O2693" s="361">
        <f t="shared" si="2764"/>
        <v>2.2457629624875755</v>
      </c>
      <c r="P2693" s="361">
        <f t="shared" si="2764"/>
        <v>3.0139261838064</v>
      </c>
      <c r="Q2693" s="361">
        <f t="shared" si="2764"/>
        <v>4.0448396349773112</v>
      </c>
      <c r="R2693" s="361">
        <f t="shared" si="2764"/>
        <v>5.4283770321212099</v>
      </c>
      <c r="S2693" s="361">
        <f t="shared" si="2764"/>
        <v>7.2851533959581483</v>
      </c>
      <c r="T2693" s="361">
        <f t="shared" si="2764"/>
        <v>9.7770401150454695</v>
      </c>
      <c r="U2693" s="361">
        <f t="shared" si="2764"/>
        <v>13.121276686396552</v>
      </c>
      <c r="V2693" s="362">
        <f t="shared" si="2764"/>
        <v>17.609409376978199</v>
      </c>
      <c r="X2693" s="351"/>
    </row>
    <row r="2694" spans="3:24" ht="24.75" customHeight="1" x14ac:dyDescent="0.3">
      <c r="C2694" s="353">
        <f>ABS(E2694-Dashboard!$F$14)</f>
        <v>53.065984400114807</v>
      </c>
      <c r="D2694" s="350">
        <f t="shared" si="2709"/>
        <v>0.34214999999997758</v>
      </c>
      <c r="E2694" s="359" cm="1">
        <f t="array" ref="E2694">1000*SUM('DRE + DCF'!$L$36/M2694,'DRE + DCF'!$N$36:$V$36/N2694:V2694,F2694/V2694)/Dashboard!$F$11</f>
        <v>43.924015599885188</v>
      </c>
      <c r="F2694" s="359">
        <f t="shared" si="2707"/>
        <v>7562904.6320265578</v>
      </c>
      <c r="G2694" s="359">
        <f>'DRE + DCF'!$W$31</f>
        <v>2791623.3540418856</v>
      </c>
      <c r="H2694" s="359">
        <f>'DRE + DCF'!$W$32</f>
        <v>81081.931703745853</v>
      </c>
      <c r="I2694" s="359">
        <f>-H2694*('DRE + DCF'!$V$33+K2694)/'DRE + DCF'!$V$33</f>
        <v>-90858.801614444121</v>
      </c>
      <c r="J2694" s="359">
        <f>-'DRE + DCF'!$V$56*L2694</f>
        <v>-1188924.4255577971</v>
      </c>
      <c r="K2694" s="360">
        <f>(1+L2694)/(1+Ke!$O$12)-1</f>
        <v>2.0000000000000018E-2</v>
      </c>
      <c r="L2694" s="360">
        <f>'DRE + DCF'!$Y$31</f>
        <v>7.3550000000000004E-2</v>
      </c>
      <c r="M2694" s="361">
        <f>(1+D2694)^((5-Dashboard!$F$9)*3/12)</f>
        <v>1.2469550310403039</v>
      </c>
      <c r="N2694" s="361">
        <f t="shared" ref="N2694:V2694" si="2765">M2694*(1+$D2694)</f>
        <v>1.6736006949107158</v>
      </c>
      <c r="O2694" s="361">
        <f t="shared" si="2765"/>
        <v>2.2462231726743798</v>
      </c>
      <c r="P2694" s="361">
        <f t="shared" si="2765"/>
        <v>3.0147684312048684</v>
      </c>
      <c r="Q2694" s="361">
        <f t="shared" si="2765"/>
        <v>4.0462714499415462</v>
      </c>
      <c r="R2694" s="361">
        <f t="shared" si="2765"/>
        <v>5.430703226538955</v>
      </c>
      <c r="S2694" s="361">
        <f t="shared" si="2765"/>
        <v>7.288818335499136</v>
      </c>
      <c r="T2694" s="361">
        <f t="shared" si="2765"/>
        <v>9.7826875289900013</v>
      </c>
      <c r="U2694" s="361">
        <f t="shared" si="2765"/>
        <v>13.129834067033711</v>
      </c>
      <c r="V2694" s="362">
        <f t="shared" si="2765"/>
        <v>17.622206793069001</v>
      </c>
      <c r="X2694" s="351"/>
    </row>
    <row r="2695" spans="3:24" ht="24.75" customHeight="1" x14ac:dyDescent="0.3">
      <c r="C2695" s="353">
        <f>ABS(E2695-Dashboard!$F$14)</f>
        <v>53.085299599100225</v>
      </c>
      <c r="D2695" s="350">
        <f t="shared" si="2709"/>
        <v>0.34224999999997757</v>
      </c>
      <c r="E2695" s="359" cm="1">
        <f t="array" ref="E2695">1000*SUM('DRE + DCF'!$L$36/M2695,'DRE + DCF'!$N$36:$V$36/N2695:V2695,F2695/V2695)/Dashboard!$F$11</f>
        <v>43.90470040089977</v>
      </c>
      <c r="F2695" s="359">
        <f t="shared" si="2707"/>
        <v>7560440.2752698921</v>
      </c>
      <c r="G2695" s="359">
        <f>'DRE + DCF'!$W$31</f>
        <v>2791623.3540418856</v>
      </c>
      <c r="H2695" s="359">
        <f>'DRE + DCF'!$W$32</f>
        <v>81081.931703745853</v>
      </c>
      <c r="I2695" s="359">
        <f>-H2695*('DRE + DCF'!$V$33+K2695)/'DRE + DCF'!$V$33</f>
        <v>-90858.801614444121</v>
      </c>
      <c r="J2695" s="359">
        <f>-'DRE + DCF'!$V$56*L2695</f>
        <v>-1188924.4255577971</v>
      </c>
      <c r="K2695" s="360">
        <f>(1+L2695)/(1+Ke!$O$12)-1</f>
        <v>2.0000000000000018E-2</v>
      </c>
      <c r="L2695" s="360">
        <f>'DRE + DCF'!$Y$31</f>
        <v>7.3550000000000004E-2</v>
      </c>
      <c r="M2695" s="361">
        <f>(1+D2695)^((5-Dashboard!$F$9)*3/12)</f>
        <v>1.2470247108498254</v>
      </c>
      <c r="N2695" s="361">
        <f t="shared" ref="N2695:V2695" si="2766">M2695*(1+$D2695)</f>
        <v>1.67381891813815</v>
      </c>
      <c r="O2695" s="361">
        <f t="shared" si="2766"/>
        <v>2.2466834428708942</v>
      </c>
      <c r="P2695" s="361">
        <f t="shared" si="2766"/>
        <v>3.015610851193407</v>
      </c>
      <c r="Q2695" s="361">
        <f t="shared" si="2766"/>
        <v>4.047703665014283</v>
      </c>
      <c r="R2695" s="361">
        <f t="shared" si="2766"/>
        <v>5.4330302443653302</v>
      </c>
      <c r="S2695" s="361">
        <f t="shared" si="2766"/>
        <v>7.2924848454992421</v>
      </c>
      <c r="T2695" s="361">
        <f t="shared" si="2766"/>
        <v>9.788337783871194</v>
      </c>
      <c r="U2695" s="361">
        <f t="shared" si="2766"/>
        <v>13.13839639040089</v>
      </c>
      <c r="V2695" s="362">
        <f t="shared" si="2766"/>
        <v>17.635012555015301</v>
      </c>
      <c r="X2695" s="351"/>
    </row>
    <row r="2696" spans="3:24" ht="24.75" customHeight="1" x14ac:dyDescent="0.3">
      <c r="C2696" s="353">
        <f>ABS(E2696-Dashboard!$F$14)</f>
        <v>53.10459936958307</v>
      </c>
      <c r="D2696" s="350">
        <f t="shared" si="2709"/>
        <v>0.34234999999997756</v>
      </c>
      <c r="E2696" s="359" cm="1">
        <f t="array" ref="E2696">1000*SUM('DRE + DCF'!$L$36/M2696,'DRE + DCF'!$N$36:$V$36/N2696:V2696,F2696/V2696)/Dashboard!$F$11</f>
        <v>43.885400630416925</v>
      </c>
      <c r="F2696" s="359">
        <f t="shared" si="2707"/>
        <v>7557977.5475607347</v>
      </c>
      <c r="G2696" s="359">
        <f>'DRE + DCF'!$W$31</f>
        <v>2791623.3540418856</v>
      </c>
      <c r="H2696" s="359">
        <f>'DRE + DCF'!$W$32</f>
        <v>81081.931703745853</v>
      </c>
      <c r="I2696" s="359">
        <f>-H2696*('DRE + DCF'!$V$33+K2696)/'DRE + DCF'!$V$33</f>
        <v>-90858.801614444121</v>
      </c>
      <c r="J2696" s="359">
        <f>-'DRE + DCF'!$V$56*L2696</f>
        <v>-1188924.4255577971</v>
      </c>
      <c r="K2696" s="360">
        <f>(1+L2696)/(1+Ke!$O$12)-1</f>
        <v>2.0000000000000018E-2</v>
      </c>
      <c r="L2696" s="360">
        <f>'DRE + DCF'!$Y$31</f>
        <v>7.3550000000000004E-2</v>
      </c>
      <c r="M2696" s="361">
        <f>(1+D2696)^((5-Dashboard!$F$9)*3/12)</f>
        <v>1.2470943893615416</v>
      </c>
      <c r="N2696" s="361">
        <f t="shared" ref="N2696:V2696" si="2767">M2696*(1+$D2696)</f>
        <v>1.6740371535594374</v>
      </c>
      <c r="O2696" s="361">
        <f t="shared" si="2767"/>
        <v>2.2471437730804733</v>
      </c>
      <c r="P2696" s="361">
        <f t="shared" si="2767"/>
        <v>3.0164534437945227</v>
      </c>
      <c r="Q2696" s="361">
        <f t="shared" si="2767"/>
        <v>4.0491362802775095</v>
      </c>
      <c r="R2696" s="361">
        <f t="shared" si="2767"/>
        <v>5.4353580858304236</v>
      </c>
      <c r="S2696" s="361">
        <f t="shared" si="2767"/>
        <v>7.2961529265143472</v>
      </c>
      <c r="T2696" s="361">
        <f t="shared" si="2767"/>
        <v>9.7939908809063692</v>
      </c>
      <c r="U2696" s="361">
        <f t="shared" si="2767"/>
        <v>13.146963658984445</v>
      </c>
      <c r="V2696" s="362">
        <f t="shared" si="2767"/>
        <v>17.647826667637474</v>
      </c>
      <c r="X2696" s="351"/>
    </row>
    <row r="2697" spans="3:24" ht="24.75" customHeight="1" x14ac:dyDescent="0.3">
      <c r="C2697" s="353">
        <f>ABS(E2697-Dashboard!$F$14)</f>
        <v>53.123883728749384</v>
      </c>
      <c r="D2697" s="350">
        <f t="shared" si="2709"/>
        <v>0.34244999999997755</v>
      </c>
      <c r="E2697" s="359" cm="1">
        <f t="array" ref="E2697">1000*SUM('DRE + DCF'!$L$36/M2697,'DRE + DCF'!$N$36:$V$36/N2697:V2697,F2697/V2697)/Dashboard!$F$11</f>
        <v>43.866116271250611</v>
      </c>
      <c r="F2697" s="359">
        <f t="shared" si="2707"/>
        <v>7555516.4472607542</v>
      </c>
      <c r="G2697" s="359">
        <f>'DRE + DCF'!$W$31</f>
        <v>2791623.3540418856</v>
      </c>
      <c r="H2697" s="359">
        <f>'DRE + DCF'!$W$32</f>
        <v>81081.931703745853</v>
      </c>
      <c r="I2697" s="359">
        <f>-H2697*('DRE + DCF'!$V$33+K2697)/'DRE + DCF'!$V$33</f>
        <v>-90858.801614444121</v>
      </c>
      <c r="J2697" s="359">
        <f>-'DRE + DCF'!$V$56*L2697</f>
        <v>-1188924.4255577971</v>
      </c>
      <c r="K2697" s="360">
        <f>(1+L2697)/(1+Ke!$O$12)-1</f>
        <v>2.0000000000000018E-2</v>
      </c>
      <c r="L2697" s="360">
        <f>'DRE + DCF'!$Y$31</f>
        <v>7.3550000000000004E-2</v>
      </c>
      <c r="M2697" s="361">
        <f>(1+D2697)^((5-Dashboard!$F$9)*3/12)</f>
        <v>1.2471640665755737</v>
      </c>
      <c r="N2697" s="361">
        <f t="shared" ref="N2697:V2697" si="2768">M2697*(1+$D2697)</f>
        <v>1.6742554011743509</v>
      </c>
      <c r="O2697" s="361">
        <f t="shared" si="2768"/>
        <v>2.2476041633064696</v>
      </c>
      <c r="P2697" s="361">
        <f t="shared" si="2768"/>
        <v>3.0172962090307194</v>
      </c>
      <c r="Q2697" s="361">
        <f t="shared" si="2768"/>
        <v>4.0505692958132213</v>
      </c>
      <c r="R2697" s="361">
        <f t="shared" si="2768"/>
        <v>5.4376867511643674</v>
      </c>
      <c r="S2697" s="361">
        <f t="shared" si="2768"/>
        <v>7.2998225791004829</v>
      </c>
      <c r="T2697" s="361">
        <f t="shared" si="2768"/>
        <v>9.7996468213132797</v>
      </c>
      <c r="U2697" s="361">
        <f t="shared" si="2768"/>
        <v>13.155535875271791</v>
      </c>
      <c r="V2697" s="362">
        <f t="shared" si="2768"/>
        <v>17.66064913575832</v>
      </c>
      <c r="X2697" s="351"/>
    </row>
    <row r="2698" spans="3:24" ht="24.75" customHeight="1" x14ac:dyDescent="0.3">
      <c r="C2698" s="353">
        <f>ABS(E2698-Dashboard!$F$14)</f>
        <v>53.14315269376079</v>
      </c>
      <c r="D2698" s="350">
        <f t="shared" si="2709"/>
        <v>0.34254999999997754</v>
      </c>
      <c r="E2698" s="359" cm="1">
        <f t="array" ref="E2698">1000*SUM('DRE + DCF'!$L$36/M2698,'DRE + DCF'!$N$36:$V$36/N2698:V2698,F2698/V2698)/Dashboard!$F$11</f>
        <v>43.846847306239205</v>
      </c>
      <c r="F2698" s="359">
        <f t="shared" si="2707"/>
        <v>7553056.9727338543</v>
      </c>
      <c r="G2698" s="359">
        <f>'DRE + DCF'!$W$31</f>
        <v>2791623.3540418856</v>
      </c>
      <c r="H2698" s="359">
        <f>'DRE + DCF'!$W$32</f>
        <v>81081.931703745853</v>
      </c>
      <c r="I2698" s="359">
        <f>-H2698*('DRE + DCF'!$V$33+K2698)/'DRE + DCF'!$V$33</f>
        <v>-90858.801614444121</v>
      </c>
      <c r="J2698" s="359">
        <f>-'DRE + DCF'!$V$56*L2698</f>
        <v>-1188924.4255577971</v>
      </c>
      <c r="K2698" s="360">
        <f>(1+L2698)/(1+Ke!$O$12)-1</f>
        <v>2.0000000000000018E-2</v>
      </c>
      <c r="L2698" s="360">
        <f>'DRE + DCF'!$Y$31</f>
        <v>7.3550000000000004E-2</v>
      </c>
      <c r="M2698" s="361">
        <f>(1+D2698)^((5-Dashboard!$F$9)*3/12)</f>
        <v>1.2472337424920421</v>
      </c>
      <c r="N2698" s="361">
        <f t="shared" ref="N2698:V2698" si="2769">M2698*(1+$D2698)</f>
        <v>1.6744736609826631</v>
      </c>
      <c r="O2698" s="361">
        <f t="shared" si="2769"/>
        <v>2.2480646135522369</v>
      </c>
      <c r="P2698" s="361">
        <f t="shared" si="2769"/>
        <v>3.0181391469245051</v>
      </c>
      <c r="Q2698" s="361">
        <f t="shared" si="2769"/>
        <v>4.0520027117034267</v>
      </c>
      <c r="R2698" s="361">
        <f t="shared" si="2769"/>
        <v>5.4400162405973447</v>
      </c>
      <c r="S2698" s="361">
        <f t="shared" si="2769"/>
        <v>7.3034938038138426</v>
      </c>
      <c r="T2698" s="361">
        <f t="shared" si="2769"/>
        <v>9.8053056063101103</v>
      </c>
      <c r="U2698" s="361">
        <f t="shared" si="2769"/>
        <v>13.164113041751417</v>
      </c>
      <c r="V2698" s="362">
        <f t="shared" si="2769"/>
        <v>17.673479964203068</v>
      </c>
      <c r="X2698" s="351"/>
    </row>
    <row r="2699" spans="3:24" ht="24.75" customHeight="1" x14ac:dyDescent="0.3">
      <c r="C2699" s="353">
        <f>ABS(E2699-Dashboard!$F$14)</f>
        <v>53.162406281754599</v>
      </c>
      <c r="D2699" s="350">
        <f t="shared" si="2709"/>
        <v>0.34264999999997753</v>
      </c>
      <c r="E2699" s="359" cm="1">
        <f t="array" ref="E2699">1000*SUM('DRE + DCF'!$L$36/M2699,'DRE + DCF'!$N$36:$V$36/N2699:V2699,F2699/V2699)/Dashboard!$F$11</f>
        <v>43.827593718245396</v>
      </c>
      <c r="F2699" s="359">
        <f t="shared" si="2707"/>
        <v>7550599.1223461516</v>
      </c>
      <c r="G2699" s="359">
        <f>'DRE + DCF'!$W$31</f>
        <v>2791623.3540418856</v>
      </c>
      <c r="H2699" s="359">
        <f>'DRE + DCF'!$W$32</f>
        <v>81081.931703745853</v>
      </c>
      <c r="I2699" s="359">
        <f>-H2699*('DRE + DCF'!$V$33+K2699)/'DRE + DCF'!$V$33</f>
        <v>-90858.801614444121</v>
      </c>
      <c r="J2699" s="359">
        <f>-'DRE + DCF'!$V$56*L2699</f>
        <v>-1188924.4255577971</v>
      </c>
      <c r="K2699" s="360">
        <f>(1+L2699)/(1+Ke!$O$12)-1</f>
        <v>2.0000000000000018E-2</v>
      </c>
      <c r="L2699" s="360">
        <f>'DRE + DCF'!$Y$31</f>
        <v>7.3550000000000004E-2</v>
      </c>
      <c r="M2699" s="361">
        <f>(1+D2699)^((5-Dashboard!$F$9)*3/12)</f>
        <v>1.247303417111068</v>
      </c>
      <c r="N2699" s="361">
        <f t="shared" ref="N2699:V2699" si="2770">M2699*(1+$D2699)</f>
        <v>1.6746919329841472</v>
      </c>
      <c r="O2699" s="361">
        <f t="shared" si="2770"/>
        <v>2.2485251238211275</v>
      </c>
      <c r="P2699" s="361">
        <f t="shared" si="2770"/>
        <v>3.018982257498386</v>
      </c>
      <c r="Q2699" s="361">
        <f t="shared" si="2770"/>
        <v>4.0534365280301401</v>
      </c>
      <c r="R2699" s="361">
        <f t="shared" si="2770"/>
        <v>5.4423465543595766</v>
      </c>
      <c r="S2699" s="361">
        <f t="shared" si="2770"/>
        <v>7.3071666012107626</v>
      </c>
      <c r="T2699" s="361">
        <f t="shared" si="2770"/>
        <v>9.8109672371154666</v>
      </c>
      <c r="U2699" s="361">
        <f t="shared" si="2770"/>
        <v>13.172695160912861</v>
      </c>
      <c r="V2699" s="362">
        <f t="shared" si="2770"/>
        <v>17.686319157799357</v>
      </c>
      <c r="X2699" s="351"/>
    </row>
    <row r="2700" spans="3:24" ht="24.75" customHeight="1" x14ac:dyDescent="0.3">
      <c r="C2700" s="353">
        <f>ABS(E2700-Dashboard!$F$14)</f>
        <v>53.1816445098438</v>
      </c>
      <c r="D2700" s="350">
        <f t="shared" si="2709"/>
        <v>0.34274999999997752</v>
      </c>
      <c r="E2700" s="359" cm="1">
        <f t="array" ref="E2700">1000*SUM('DRE + DCF'!$L$36/M2700,'DRE + DCF'!$N$36:$V$36/N2700:V2700,F2700/V2700)/Dashboard!$F$11</f>
        <v>43.808355490156195</v>
      </c>
      <c r="F2700" s="359">
        <f t="shared" si="2707"/>
        <v>7548142.8944659913</v>
      </c>
      <c r="G2700" s="359">
        <f>'DRE + DCF'!$W$31</f>
        <v>2791623.3540418856</v>
      </c>
      <c r="H2700" s="359">
        <f>'DRE + DCF'!$W$32</f>
        <v>81081.931703745853</v>
      </c>
      <c r="I2700" s="359">
        <f>-H2700*('DRE + DCF'!$V$33+K2700)/'DRE + DCF'!$V$33</f>
        <v>-90858.801614444121</v>
      </c>
      <c r="J2700" s="359">
        <f>-'DRE + DCF'!$V$56*L2700</f>
        <v>-1188924.4255577971</v>
      </c>
      <c r="K2700" s="360">
        <f>(1+L2700)/(1+Ke!$O$12)-1</f>
        <v>2.0000000000000018E-2</v>
      </c>
      <c r="L2700" s="360">
        <f>'DRE + DCF'!$Y$31</f>
        <v>7.3550000000000004E-2</v>
      </c>
      <c r="M2700" s="361">
        <f>(1+D2700)^((5-Dashboard!$F$9)*3/12)</f>
        <v>1.2473730904327718</v>
      </c>
      <c r="N2700" s="361">
        <f t="shared" ref="N2700:V2700" si="2771">M2700*(1+$D2700)</f>
        <v>1.6749102171785761</v>
      </c>
      <c r="O2700" s="361">
        <f t="shared" si="2771"/>
        <v>2.2489856941164952</v>
      </c>
      <c r="P2700" s="361">
        <f t="shared" si="2771"/>
        <v>3.0198255407748733</v>
      </c>
      <c r="Q2700" s="361">
        <f t="shared" si="2771"/>
        <v>4.0548707448753927</v>
      </c>
      <c r="R2700" s="361">
        <f t="shared" si="2771"/>
        <v>5.4446776926813421</v>
      </c>
      <c r="S2700" s="361">
        <f t="shared" si="2771"/>
        <v>7.3108409718477496</v>
      </c>
      <c r="T2700" s="361">
        <f t="shared" si="2771"/>
        <v>9.8166317149484001</v>
      </c>
      <c r="U2700" s="361">
        <f t="shared" si="2771"/>
        <v>13.181282235246742</v>
      </c>
      <c r="V2700" s="362">
        <f t="shared" si="2771"/>
        <v>17.699166721377267</v>
      </c>
      <c r="X2700" s="351"/>
    </row>
    <row r="2701" spans="3:24" ht="24.75" customHeight="1" x14ac:dyDescent="0.3">
      <c r="C2701" s="353">
        <f>ABS(E2701-Dashboard!$F$14)</f>
        <v>53.200867395117072</v>
      </c>
      <c r="D2701" s="350">
        <f t="shared" si="2709"/>
        <v>0.34284999999997751</v>
      </c>
      <c r="E2701" s="359" cm="1">
        <f t="array" ref="E2701">1000*SUM('DRE + DCF'!$L$36/M2701,'DRE + DCF'!$N$36:$V$36/N2701:V2701,F2701/V2701)/Dashboard!$F$11</f>
        <v>43.789132604882923</v>
      </c>
      <c r="F2701" s="359">
        <f t="shared" si="2707"/>
        <v>7545688.2874639276</v>
      </c>
      <c r="G2701" s="359">
        <f>'DRE + DCF'!$W$31</f>
        <v>2791623.3540418856</v>
      </c>
      <c r="H2701" s="359">
        <f>'DRE + DCF'!$W$32</f>
        <v>81081.931703745853</v>
      </c>
      <c r="I2701" s="359">
        <f>-H2701*('DRE + DCF'!$V$33+K2701)/'DRE + DCF'!$V$33</f>
        <v>-90858.801614444121</v>
      </c>
      <c r="J2701" s="359">
        <f>-'DRE + DCF'!$V$56*L2701</f>
        <v>-1188924.4255577971</v>
      </c>
      <c r="K2701" s="360">
        <f>(1+L2701)/(1+Ke!$O$12)-1</f>
        <v>2.0000000000000018E-2</v>
      </c>
      <c r="L2701" s="360">
        <f>'DRE + DCF'!$Y$31</f>
        <v>7.3550000000000004E-2</v>
      </c>
      <c r="M2701" s="361">
        <f>(1+D2701)^((5-Dashboard!$F$9)*3/12)</f>
        <v>1.2474427624572746</v>
      </c>
      <c r="N2701" s="361">
        <f t="shared" ref="N2701:V2701" si="2772">M2701*(1+$D2701)</f>
        <v>1.675128513565723</v>
      </c>
      <c r="O2701" s="361">
        <f t="shared" si="2772"/>
        <v>2.2494463244416933</v>
      </c>
      <c r="P2701" s="361">
        <f t="shared" si="2772"/>
        <v>3.020668996776477</v>
      </c>
      <c r="Q2701" s="361">
        <f t="shared" si="2772"/>
        <v>4.0563053623212237</v>
      </c>
      <c r="R2701" s="361">
        <f t="shared" si="2772"/>
        <v>5.4470096557929635</v>
      </c>
      <c r="S2701" s="361">
        <f t="shared" si="2772"/>
        <v>7.3145169162814581</v>
      </c>
      <c r="T2701" s="361">
        <f t="shared" si="2772"/>
        <v>9.8222990410283906</v>
      </c>
      <c r="U2701" s="361">
        <f t="shared" si="2772"/>
        <v>13.189874267244752</v>
      </c>
      <c r="V2701" s="362">
        <f t="shared" si="2772"/>
        <v>17.712022659769318</v>
      </c>
      <c r="X2701" s="351"/>
    </row>
    <row r="2702" spans="3:24" ht="24.75" customHeight="1" x14ac:dyDescent="0.3">
      <c r="C2702" s="353">
        <f>ABS(E2702-Dashboard!$F$14)</f>
        <v>53.220074954638896</v>
      </c>
      <c r="D2702" s="350">
        <f t="shared" si="2709"/>
        <v>0.3429499999999775</v>
      </c>
      <c r="E2702" s="359" cm="1">
        <f t="array" ref="E2702">1000*SUM('DRE + DCF'!$L$36/M2702,'DRE + DCF'!$N$36:$V$36/N2702:V2702,F2702/V2702)/Dashboard!$F$11</f>
        <v>43.769925045361099</v>
      </c>
      <c r="F2702" s="359">
        <f t="shared" ref="F2702:F2765" si="2773">AVERAGE(SUM(G2702:J2702)*(1+L2702)/(D2702-L2702),G2702*(1+L2702)*(1-L2702/D2702)/(D2702-L2702))</f>
        <v>7543235.2997127287</v>
      </c>
      <c r="G2702" s="359">
        <f>'DRE + DCF'!$W$31</f>
        <v>2791623.3540418856</v>
      </c>
      <c r="H2702" s="359">
        <f>'DRE + DCF'!$W$32</f>
        <v>81081.931703745853</v>
      </c>
      <c r="I2702" s="359">
        <f>-H2702*('DRE + DCF'!$V$33+K2702)/'DRE + DCF'!$V$33</f>
        <v>-90858.801614444121</v>
      </c>
      <c r="J2702" s="359">
        <f>-'DRE + DCF'!$V$56*L2702</f>
        <v>-1188924.4255577971</v>
      </c>
      <c r="K2702" s="360">
        <f>(1+L2702)/(1+Ke!$O$12)-1</f>
        <v>2.0000000000000018E-2</v>
      </c>
      <c r="L2702" s="360">
        <f>'DRE + DCF'!$Y$31</f>
        <v>7.3550000000000004E-2</v>
      </c>
      <c r="M2702" s="361">
        <f>(1+D2702)^((5-Dashboard!$F$9)*3/12)</f>
        <v>1.247512433184697</v>
      </c>
      <c r="N2702" s="361">
        <f t="shared" ref="N2702:V2702" si="2774">M2702*(1+$D2702)</f>
        <v>1.6753468221453607</v>
      </c>
      <c r="O2702" s="361">
        <f t="shared" si="2774"/>
        <v>2.2499070148000744</v>
      </c>
      <c r="P2702" s="361">
        <f t="shared" si="2774"/>
        <v>3.021512625525709</v>
      </c>
      <c r="Q2702" s="361">
        <f t="shared" si="2774"/>
        <v>4.0577403804496823</v>
      </c>
      <c r="R2702" s="361">
        <f t="shared" si="2774"/>
        <v>5.4493424439248095</v>
      </c>
      <c r="S2702" s="361">
        <f t="shared" si="2774"/>
        <v>7.3181944350687003</v>
      </c>
      <c r="T2702" s="361">
        <f t="shared" si="2774"/>
        <v>9.8279692165753456</v>
      </c>
      <c r="U2702" s="361">
        <f t="shared" si="2774"/>
        <v>13.198471259399639</v>
      </c>
      <c r="V2702" s="362">
        <f t="shared" si="2774"/>
        <v>17.724886977810449</v>
      </c>
      <c r="X2702" s="351"/>
    </row>
    <row r="2703" spans="3:24" ht="24.75" customHeight="1" x14ac:dyDescent="0.3">
      <c r="C2703" s="353">
        <f>ABS(E2703-Dashboard!$F$14)</f>
        <v>53.239267205449522</v>
      </c>
      <c r="D2703" s="350">
        <f t="shared" ref="D2703:D2766" si="2775">D2702+0.0001</f>
        <v>0.34304999999997748</v>
      </c>
      <c r="E2703" s="359" cm="1">
        <f t="array" ref="E2703">1000*SUM('DRE + DCF'!$L$36/M2703,'DRE + DCF'!$N$36:$V$36/N2703:V2703,F2703/V2703)/Dashboard!$F$11</f>
        <v>43.750732794550473</v>
      </c>
      <c r="F2703" s="359">
        <f t="shared" si="2773"/>
        <v>7540783.9295873716</v>
      </c>
      <c r="G2703" s="359">
        <f>'DRE + DCF'!$W$31</f>
        <v>2791623.3540418856</v>
      </c>
      <c r="H2703" s="359">
        <f>'DRE + DCF'!$W$32</f>
        <v>81081.931703745853</v>
      </c>
      <c r="I2703" s="359">
        <f>-H2703*('DRE + DCF'!$V$33+K2703)/'DRE + DCF'!$V$33</f>
        <v>-90858.801614444121</v>
      </c>
      <c r="J2703" s="359">
        <f>-'DRE + DCF'!$V$56*L2703</f>
        <v>-1188924.4255577971</v>
      </c>
      <c r="K2703" s="360">
        <f>(1+L2703)/(1+Ke!$O$12)-1</f>
        <v>2.0000000000000018E-2</v>
      </c>
      <c r="L2703" s="360">
        <f>'DRE + DCF'!$Y$31</f>
        <v>7.3550000000000004E-2</v>
      </c>
      <c r="M2703" s="361">
        <f>(1+D2703)^((5-Dashboard!$F$9)*3/12)</f>
        <v>1.2475821026151597</v>
      </c>
      <c r="N2703" s="361">
        <f t="shared" ref="N2703:V2703" si="2776">M2703*(1+$D2703)</f>
        <v>1.675565142917262</v>
      </c>
      <c r="O2703" s="361">
        <f t="shared" si="2776"/>
        <v>2.2503677651949907</v>
      </c>
      <c r="P2703" s="361">
        <f t="shared" si="2776"/>
        <v>3.0223564270450813</v>
      </c>
      <c r="Q2703" s="361">
        <f t="shared" si="2776"/>
        <v>4.0591757993428281</v>
      </c>
      <c r="R2703" s="361">
        <f t="shared" si="2776"/>
        <v>5.451676057307294</v>
      </c>
      <c r="S2703" s="361">
        <f t="shared" si="2776"/>
        <v>7.3218735287664378</v>
      </c>
      <c r="T2703" s="361">
        <f t="shared" si="2776"/>
        <v>9.8336422428095993</v>
      </c>
      <c r="U2703" s="361">
        <f t="shared" si="2776"/>
        <v>13.207073214205211</v>
      </c>
      <c r="V2703" s="362">
        <f t="shared" si="2776"/>
        <v>17.737759680338012</v>
      </c>
      <c r="X2703" s="351"/>
    </row>
    <row r="2704" spans="3:24" ht="24.75" customHeight="1" x14ac:dyDescent="0.3">
      <c r="C2704" s="353">
        <f>ABS(E2704-Dashboard!$F$14)</f>
        <v>53.258444164565113</v>
      </c>
      <c r="D2704" s="350">
        <f t="shared" si="2775"/>
        <v>0.34314999999997747</v>
      </c>
      <c r="E2704" s="359" cm="1">
        <f t="array" ref="E2704">1000*SUM('DRE + DCF'!$L$36/M2704,'DRE + DCF'!$N$36:$V$36/N2704:V2704,F2704/V2704)/Dashboard!$F$11</f>
        <v>43.731555835434882</v>
      </c>
      <c r="F2704" s="359">
        <f t="shared" si="2773"/>
        <v>7538334.1754650371</v>
      </c>
      <c r="G2704" s="359">
        <f>'DRE + DCF'!$W$31</f>
        <v>2791623.3540418856</v>
      </c>
      <c r="H2704" s="359">
        <f>'DRE + DCF'!$W$32</f>
        <v>81081.931703745853</v>
      </c>
      <c r="I2704" s="359">
        <f>-H2704*('DRE + DCF'!$V$33+K2704)/'DRE + DCF'!$V$33</f>
        <v>-90858.801614444121</v>
      </c>
      <c r="J2704" s="359">
        <f>-'DRE + DCF'!$V$56*L2704</f>
        <v>-1188924.4255577971</v>
      </c>
      <c r="K2704" s="360">
        <f>(1+L2704)/(1+Ke!$O$12)-1</f>
        <v>2.0000000000000018E-2</v>
      </c>
      <c r="L2704" s="360">
        <f>'DRE + DCF'!$Y$31</f>
        <v>7.3550000000000004E-2</v>
      </c>
      <c r="M2704" s="361">
        <f>(1+D2704)^((5-Dashboard!$F$9)*3/12)</f>
        <v>1.2476517707487833</v>
      </c>
      <c r="N2704" s="361">
        <f t="shared" ref="N2704:V2704" si="2777">M2704*(1+$D2704)</f>
        <v>1.6757834758812</v>
      </c>
      <c r="O2704" s="361">
        <f t="shared" si="2777"/>
        <v>2.2508285756297961</v>
      </c>
      <c r="P2704" s="361">
        <f t="shared" si="2777"/>
        <v>3.0232004013571099</v>
      </c>
      <c r="Q2704" s="361">
        <f t="shared" si="2777"/>
        <v>4.0606116190827342</v>
      </c>
      <c r="R2704" s="361">
        <f t="shared" si="2777"/>
        <v>5.4540104961708824</v>
      </c>
      <c r="S2704" s="361">
        <f t="shared" si="2777"/>
        <v>7.3255541979317975</v>
      </c>
      <c r="T2704" s="361">
        <f t="shared" si="2777"/>
        <v>9.839318120951928</v>
      </c>
      <c r="U2704" s="361">
        <f t="shared" si="2777"/>
        <v>13.21568013415636</v>
      </c>
      <c r="V2704" s="362">
        <f t="shared" si="2777"/>
        <v>17.750640772191815</v>
      </c>
      <c r="X2704" s="351"/>
    </row>
    <row r="2705" spans="3:24" ht="24.75" customHeight="1" x14ac:dyDescent="0.3">
      <c r="C2705" s="353">
        <f>ABS(E2705-Dashboard!$F$14)</f>
        <v>53.277605848977672</v>
      </c>
      <c r="D2705" s="350">
        <f t="shared" si="2775"/>
        <v>0.34324999999997746</v>
      </c>
      <c r="E2705" s="359" cm="1">
        <f t="array" ref="E2705">1000*SUM('DRE + DCF'!$L$36/M2705,'DRE + DCF'!$N$36:$V$36/N2705:V2705,F2705/V2705)/Dashboard!$F$11</f>
        <v>43.712394151022323</v>
      </c>
      <c r="F2705" s="359">
        <f t="shared" si="2773"/>
        <v>7535886.0357251074</v>
      </c>
      <c r="G2705" s="359">
        <f>'DRE + DCF'!$W$31</f>
        <v>2791623.3540418856</v>
      </c>
      <c r="H2705" s="359">
        <f>'DRE + DCF'!$W$32</f>
        <v>81081.931703745853</v>
      </c>
      <c r="I2705" s="359">
        <f>-H2705*('DRE + DCF'!$V$33+K2705)/'DRE + DCF'!$V$33</f>
        <v>-90858.801614444121</v>
      </c>
      <c r="J2705" s="359">
        <f>-'DRE + DCF'!$V$56*L2705</f>
        <v>-1188924.4255577971</v>
      </c>
      <c r="K2705" s="360">
        <f>(1+L2705)/(1+Ke!$O$12)-1</f>
        <v>2.0000000000000018E-2</v>
      </c>
      <c r="L2705" s="360">
        <f>'DRE + DCF'!$Y$31</f>
        <v>7.3550000000000004E-2</v>
      </c>
      <c r="M2705" s="361">
        <f>(1+D2705)^((5-Dashboard!$F$9)*3/12)</f>
        <v>1.2477214375856889</v>
      </c>
      <c r="N2705" s="361">
        <f t="shared" ref="N2705:V2705" si="2778">M2705*(1+$D2705)</f>
        <v>1.6760018210369483</v>
      </c>
      <c r="O2705" s="361">
        <f t="shared" si="2778"/>
        <v>2.251289446107843</v>
      </c>
      <c r="P2705" s="361">
        <f t="shared" si="2778"/>
        <v>3.024044548484309</v>
      </c>
      <c r="Q2705" s="361">
        <f t="shared" si="2778"/>
        <v>4.0620478397514796</v>
      </c>
      <c r="R2705" s="361">
        <f t="shared" si="2778"/>
        <v>5.4563457607460837</v>
      </c>
      <c r="S2705" s="361">
        <f t="shared" si="2778"/>
        <v>7.3292364431220536</v>
      </c>
      <c r="T2705" s="361">
        <f t="shared" si="2778"/>
        <v>9.8449968522235327</v>
      </c>
      <c r="U2705" s="361">
        <f t="shared" si="2778"/>
        <v>13.224292021749038</v>
      </c>
      <c r="V2705" s="362">
        <f t="shared" si="2778"/>
        <v>17.763530258214097</v>
      </c>
      <c r="X2705" s="351"/>
    </row>
    <row r="2706" spans="3:24" ht="24.75" customHeight="1" x14ac:dyDescent="0.3">
      <c r="C2706" s="353">
        <f>ABS(E2706-Dashboard!$F$14)</f>
        <v>53.29675227565513</v>
      </c>
      <c r="D2706" s="350">
        <f t="shared" si="2775"/>
        <v>0.34334999999997745</v>
      </c>
      <c r="E2706" s="359" cm="1">
        <f t="array" ref="E2706">1000*SUM('DRE + DCF'!$L$36/M2706,'DRE + DCF'!$N$36:$V$36/N2706:V2706,F2706/V2706)/Dashboard!$F$11</f>
        <v>43.693247724344864</v>
      </c>
      <c r="F2706" s="359">
        <f t="shared" si="2773"/>
        <v>7533439.5087491572</v>
      </c>
      <c r="G2706" s="359">
        <f>'DRE + DCF'!$W$31</f>
        <v>2791623.3540418856</v>
      </c>
      <c r="H2706" s="359">
        <f>'DRE + DCF'!$W$32</f>
        <v>81081.931703745853</v>
      </c>
      <c r="I2706" s="359">
        <f>-H2706*('DRE + DCF'!$V$33+K2706)/'DRE + DCF'!$V$33</f>
        <v>-90858.801614444121</v>
      </c>
      <c r="J2706" s="359">
        <f>-'DRE + DCF'!$V$56*L2706</f>
        <v>-1188924.4255577971</v>
      </c>
      <c r="K2706" s="360">
        <f>(1+L2706)/(1+Ke!$O$12)-1</f>
        <v>2.0000000000000018E-2</v>
      </c>
      <c r="L2706" s="360">
        <f>'DRE + DCF'!$Y$31</f>
        <v>7.3550000000000004E-2</v>
      </c>
      <c r="M2706" s="361">
        <f>(1+D2706)^((5-Dashboard!$F$9)*3/12)</f>
        <v>1.2477911031259967</v>
      </c>
      <c r="N2706" s="361">
        <f t="shared" ref="N2706:V2706" si="2779">M2706*(1+$D2706)</f>
        <v>1.6762201783842794</v>
      </c>
      <c r="O2706" s="361">
        <f t="shared" si="2779"/>
        <v>2.2517503766324838</v>
      </c>
      <c r="P2706" s="361">
        <f t="shared" si="2779"/>
        <v>3.0248888684491964</v>
      </c>
      <c r="Q2706" s="361">
        <f t="shared" si="2779"/>
        <v>4.0634844614311598</v>
      </c>
      <c r="R2706" s="361">
        <f t="shared" si="2779"/>
        <v>5.4586818512634565</v>
      </c>
      <c r="S2706" s="361">
        <f t="shared" si="2779"/>
        <v>7.332920264894641</v>
      </c>
      <c r="T2706" s="361">
        <f t="shared" si="2779"/>
        <v>9.8506784378460495</v>
      </c>
      <c r="U2706" s="361">
        <f t="shared" si="2779"/>
        <v>13.232908879480268</v>
      </c>
      <c r="V2706" s="362">
        <f t="shared" si="2779"/>
        <v>17.776428143249518</v>
      </c>
      <c r="X2706" s="351"/>
    </row>
    <row r="2707" spans="3:24" ht="24.75" customHeight="1" x14ac:dyDescent="0.3">
      <c r="C2707" s="353">
        <f>ABS(E2707-Dashboard!$F$14)</f>
        <v>53.315883461541468</v>
      </c>
      <c r="D2707" s="350">
        <f t="shared" si="2775"/>
        <v>0.34344999999997744</v>
      </c>
      <c r="E2707" s="359" cm="1">
        <f t="array" ref="E2707">1000*SUM('DRE + DCF'!$L$36/M2707,'DRE + DCF'!$N$36:$V$36/N2707:V2707,F2707/V2707)/Dashboard!$F$11</f>
        <v>43.674116538458527</v>
      </c>
      <c r="F2707" s="359">
        <f t="shared" si="2773"/>
        <v>7530994.5929209609</v>
      </c>
      <c r="G2707" s="359">
        <f>'DRE + DCF'!$W$31</f>
        <v>2791623.3540418856</v>
      </c>
      <c r="H2707" s="359">
        <f>'DRE + DCF'!$W$32</f>
        <v>81081.931703745853</v>
      </c>
      <c r="I2707" s="359">
        <f>-H2707*('DRE + DCF'!$V$33+K2707)/'DRE + DCF'!$V$33</f>
        <v>-90858.801614444121</v>
      </c>
      <c r="J2707" s="359">
        <f>-'DRE + DCF'!$V$56*L2707</f>
        <v>-1188924.4255577971</v>
      </c>
      <c r="K2707" s="360">
        <f>(1+L2707)/(1+Ke!$O$12)-1</f>
        <v>2.0000000000000018E-2</v>
      </c>
      <c r="L2707" s="360">
        <f>'DRE + DCF'!$Y$31</f>
        <v>7.3550000000000004E-2</v>
      </c>
      <c r="M2707" s="361">
        <f>(1+D2707)^((5-Dashboard!$F$9)*3/12)</f>
        <v>1.2478607673698277</v>
      </c>
      <c r="N2707" s="361">
        <f t="shared" ref="N2707:V2707" si="2780">M2707*(1+$D2707)</f>
        <v>1.6764385479229666</v>
      </c>
      <c r="O2707" s="361">
        <f t="shared" si="2780"/>
        <v>2.2522113672070718</v>
      </c>
      <c r="P2707" s="361">
        <f t="shared" si="2780"/>
        <v>3.0257333612742898</v>
      </c>
      <c r="Q2707" s="361">
        <f t="shared" si="2780"/>
        <v>4.0649214842038761</v>
      </c>
      <c r="R2707" s="361">
        <f t="shared" si="2780"/>
        <v>5.4610187679536057</v>
      </c>
      <c r="S2707" s="361">
        <f t="shared" si="2780"/>
        <v>7.3366056638071484</v>
      </c>
      <c r="T2707" s="361">
        <f t="shared" si="2780"/>
        <v>9.8563628790415478</v>
      </c>
      <c r="U2707" s="361">
        <f t="shared" si="2780"/>
        <v>13.241530709848144</v>
      </c>
      <c r="V2707" s="362">
        <f t="shared" si="2780"/>
        <v>17.789334432145189</v>
      </c>
      <c r="X2707" s="351"/>
    </row>
    <row r="2708" spans="3:24" ht="24.75" customHeight="1" x14ac:dyDescent="0.3">
      <c r="C2708" s="353">
        <f>ABS(E2708-Dashboard!$F$14)</f>
        <v>53.334999423556596</v>
      </c>
      <c r="D2708" s="350">
        <f t="shared" si="2775"/>
        <v>0.34354999999997743</v>
      </c>
      <c r="E2708" s="359" cm="1">
        <f t="array" ref="E2708">1000*SUM('DRE + DCF'!$L$36/M2708,'DRE + DCF'!$N$36:$V$36/N2708:V2708,F2708/V2708)/Dashboard!$F$11</f>
        <v>43.655000576443399</v>
      </c>
      <c r="F2708" s="359">
        <f t="shared" si="2773"/>
        <v>7528551.2866264749</v>
      </c>
      <c r="G2708" s="359">
        <f>'DRE + DCF'!$W$31</f>
        <v>2791623.3540418856</v>
      </c>
      <c r="H2708" s="359">
        <f>'DRE + DCF'!$W$32</f>
        <v>81081.931703745853</v>
      </c>
      <c r="I2708" s="359">
        <f>-H2708*('DRE + DCF'!$V$33+K2708)/'DRE + DCF'!$V$33</f>
        <v>-90858.801614444121</v>
      </c>
      <c r="J2708" s="359">
        <f>-'DRE + DCF'!$V$56*L2708</f>
        <v>-1188924.4255577971</v>
      </c>
      <c r="K2708" s="360">
        <f>(1+L2708)/(1+Ke!$O$12)-1</f>
        <v>2.0000000000000018E-2</v>
      </c>
      <c r="L2708" s="360">
        <f>'DRE + DCF'!$Y$31</f>
        <v>7.3550000000000004E-2</v>
      </c>
      <c r="M2708" s="361">
        <f>(1+D2708)^((5-Dashboard!$F$9)*3/12)</f>
        <v>1.2479304303173024</v>
      </c>
      <c r="N2708" s="361">
        <f t="shared" ref="N2708:V2708" si="2781">M2708*(1+$D2708)</f>
        <v>1.6766569296527836</v>
      </c>
      <c r="O2708" s="361">
        <f t="shared" si="2781"/>
        <v>2.2526724178349595</v>
      </c>
      <c r="P2708" s="361">
        <f t="shared" si="2781"/>
        <v>3.0265780269821088</v>
      </c>
      <c r="Q2708" s="361">
        <f t="shared" si="2781"/>
        <v>4.0663589081517442</v>
      </c>
      <c r="R2708" s="361">
        <f t="shared" si="2781"/>
        <v>5.4633565110471842</v>
      </c>
      <c r="S2708" s="361">
        <f t="shared" si="2781"/>
        <v>7.3402926404173208</v>
      </c>
      <c r="T2708" s="361">
        <f t="shared" si="2781"/>
        <v>9.8620501770325255</v>
      </c>
      <c r="U2708" s="361">
        <f t="shared" si="2781"/>
        <v>13.250157515351827</v>
      </c>
      <c r="V2708" s="362">
        <f t="shared" si="2781"/>
        <v>17.802249129750646</v>
      </c>
      <c r="X2708" s="351"/>
    </row>
    <row r="2709" spans="3:24" ht="24.75" customHeight="1" x14ac:dyDescent="0.3">
      <c r="C2709" s="353">
        <f>ABS(E2709-Dashboard!$F$14)</f>
        <v>53.354100178596511</v>
      </c>
      <c r="D2709" s="350">
        <f t="shared" si="2775"/>
        <v>0.34364999999997742</v>
      </c>
      <c r="E2709" s="359" cm="1">
        <f t="array" ref="E2709">1000*SUM('DRE + DCF'!$L$36/M2709,'DRE + DCF'!$N$36:$V$36/N2709:V2709,F2709/V2709)/Dashboard!$F$11</f>
        <v>43.635899821403484</v>
      </c>
      <c r="F2709" s="359">
        <f t="shared" si="2773"/>
        <v>7526109.5882538464</v>
      </c>
      <c r="G2709" s="359">
        <f>'DRE + DCF'!$W$31</f>
        <v>2791623.3540418856</v>
      </c>
      <c r="H2709" s="359">
        <f>'DRE + DCF'!$W$32</f>
        <v>81081.931703745853</v>
      </c>
      <c r="I2709" s="359">
        <f>-H2709*('DRE + DCF'!$V$33+K2709)/'DRE + DCF'!$V$33</f>
        <v>-90858.801614444121</v>
      </c>
      <c r="J2709" s="359">
        <f>-'DRE + DCF'!$V$56*L2709</f>
        <v>-1188924.4255577971</v>
      </c>
      <c r="K2709" s="360">
        <f>(1+L2709)/(1+Ke!$O$12)-1</f>
        <v>2.0000000000000018E-2</v>
      </c>
      <c r="L2709" s="360">
        <f>'DRE + DCF'!$Y$31</f>
        <v>7.3550000000000004E-2</v>
      </c>
      <c r="M2709" s="361">
        <f>(1+D2709)^((5-Dashboard!$F$9)*3/12)</f>
        <v>1.2480000919685412</v>
      </c>
      <c r="N2709" s="361">
        <f t="shared" ref="N2709:V2709" si="2782">M2709*(1+$D2709)</f>
        <v>1.6768753235735021</v>
      </c>
      <c r="O2709" s="361">
        <f t="shared" si="2782"/>
        <v>2.253133528519498</v>
      </c>
      <c r="P2709" s="361">
        <f t="shared" si="2782"/>
        <v>3.0274228655951725</v>
      </c>
      <c r="Q2709" s="361">
        <f t="shared" si="2782"/>
        <v>4.067796733356885</v>
      </c>
      <c r="R2709" s="361">
        <f t="shared" si="2782"/>
        <v>5.4656950807748865</v>
      </c>
      <c r="S2709" s="361">
        <f t="shared" si="2782"/>
        <v>7.3439811952830523</v>
      </c>
      <c r="T2709" s="361">
        <f t="shared" si="2782"/>
        <v>9.8677403330419065</v>
      </c>
      <c r="U2709" s="361">
        <f t="shared" si="2782"/>
        <v>13.258789298491534</v>
      </c>
      <c r="V2709" s="362">
        <f t="shared" si="2782"/>
        <v>17.81517224091785</v>
      </c>
      <c r="X2709" s="351"/>
    </row>
    <row r="2710" spans="3:24" ht="24.75" customHeight="1" x14ac:dyDescent="0.3">
      <c r="C2710" s="353">
        <f>ABS(E2710-Dashboard!$F$14)</f>
        <v>53.373185743533355</v>
      </c>
      <c r="D2710" s="350">
        <f t="shared" si="2775"/>
        <v>0.34374999999997741</v>
      </c>
      <c r="E2710" s="359" cm="1">
        <f t="array" ref="E2710">1000*SUM('DRE + DCF'!$L$36/M2710,'DRE + DCF'!$N$36:$V$36/N2710:V2710,F2710/V2710)/Dashboard!$F$11</f>
        <v>43.61681425646664</v>
      </c>
      <c r="F2710" s="359">
        <f t="shared" si="2773"/>
        <v>7523669.4961933997</v>
      </c>
      <c r="G2710" s="359">
        <f>'DRE + DCF'!$W$31</f>
        <v>2791623.3540418856</v>
      </c>
      <c r="H2710" s="359">
        <f>'DRE + DCF'!$W$32</f>
        <v>81081.931703745853</v>
      </c>
      <c r="I2710" s="359">
        <f>-H2710*('DRE + DCF'!$V$33+K2710)/'DRE + DCF'!$V$33</f>
        <v>-90858.801614444121</v>
      </c>
      <c r="J2710" s="359">
        <f>-'DRE + DCF'!$V$56*L2710</f>
        <v>-1188924.4255577971</v>
      </c>
      <c r="K2710" s="360">
        <f>(1+L2710)/(1+Ke!$O$12)-1</f>
        <v>2.0000000000000018E-2</v>
      </c>
      <c r="L2710" s="360">
        <f>'DRE + DCF'!$Y$31</f>
        <v>7.3550000000000004E-2</v>
      </c>
      <c r="M2710" s="361">
        <f>(1+D2710)^((5-Dashboard!$F$9)*3/12)</f>
        <v>1.248069752323665</v>
      </c>
      <c r="N2710" s="361">
        <f t="shared" ref="N2710:V2710" si="2783">M2710*(1+$D2710)</f>
        <v>1.6770937296848967</v>
      </c>
      <c r="O2710" s="361">
        <f t="shared" si="2783"/>
        <v>2.2535946992640419</v>
      </c>
      <c r="P2710" s="361">
        <f t="shared" si="2783"/>
        <v>3.0282678771360052</v>
      </c>
      <c r="Q2710" s="361">
        <f t="shared" si="2783"/>
        <v>4.0692349599014381</v>
      </c>
      <c r="R2710" s="361">
        <f t="shared" si="2783"/>
        <v>5.468034477367465</v>
      </c>
      <c r="S2710" s="361">
        <f t="shared" si="2783"/>
        <v>7.3476713289624076</v>
      </c>
      <c r="T2710" s="361">
        <f t="shared" si="2783"/>
        <v>9.8734333482930694</v>
      </c>
      <c r="U2710" s="361">
        <f t="shared" si="2783"/>
        <v>13.267426061768589</v>
      </c>
      <c r="V2710" s="362">
        <f t="shared" si="2783"/>
        <v>17.82810377050124</v>
      </c>
      <c r="X2710" s="351"/>
    </row>
    <row r="2711" spans="3:24" ht="24.75" customHeight="1" x14ac:dyDescent="0.3">
      <c r="C2711" s="353">
        <f>ABS(E2711-Dashboard!$F$14)</f>
        <v>53.392256135215376</v>
      </c>
      <c r="D2711" s="350">
        <f t="shared" si="2775"/>
        <v>0.3438499999999774</v>
      </c>
      <c r="E2711" s="359" cm="1">
        <f t="array" ref="E2711">1000*SUM('DRE + DCF'!$L$36/M2711,'DRE + DCF'!$N$36:$V$36/N2711:V2711,F2711/V2711)/Dashboard!$F$11</f>
        <v>43.597743864784618</v>
      </c>
      <c r="F2711" s="359">
        <f t="shared" si="2773"/>
        <v>7521231.0088376421</v>
      </c>
      <c r="G2711" s="359">
        <f>'DRE + DCF'!$W$31</f>
        <v>2791623.3540418856</v>
      </c>
      <c r="H2711" s="359">
        <f>'DRE + DCF'!$W$32</f>
        <v>81081.931703745853</v>
      </c>
      <c r="I2711" s="359">
        <f>-H2711*('DRE + DCF'!$V$33+K2711)/'DRE + DCF'!$V$33</f>
        <v>-90858.801614444121</v>
      </c>
      <c r="J2711" s="359">
        <f>-'DRE + DCF'!$V$56*L2711</f>
        <v>-1188924.4255577971</v>
      </c>
      <c r="K2711" s="360">
        <f>(1+L2711)/(1+Ke!$O$12)-1</f>
        <v>2.0000000000000018E-2</v>
      </c>
      <c r="L2711" s="360">
        <f>'DRE + DCF'!$Y$31</f>
        <v>7.3550000000000004E-2</v>
      </c>
      <c r="M2711" s="361">
        <f>(1+D2711)^((5-Dashboard!$F$9)*3/12)</f>
        <v>1.2481394113827944</v>
      </c>
      <c r="N2711" s="361">
        <f t="shared" ref="N2711:V2711" si="2784">M2711*(1+$D2711)</f>
        <v>1.6773121479867399</v>
      </c>
      <c r="O2711" s="361">
        <f t="shared" si="2784"/>
        <v>2.2540559300719423</v>
      </c>
      <c r="P2711" s="361">
        <f t="shared" si="2784"/>
        <v>3.0291130616271285</v>
      </c>
      <c r="Q2711" s="361">
        <f t="shared" si="2784"/>
        <v>4.0706735878675477</v>
      </c>
      <c r="R2711" s="361">
        <f t="shared" si="2784"/>
        <v>5.4703747010557118</v>
      </c>
      <c r="S2711" s="361">
        <f t="shared" si="2784"/>
        <v>7.3513630420135945</v>
      </c>
      <c r="T2711" s="361">
        <f t="shared" si="2784"/>
        <v>9.8791292240098016</v>
      </c>
      <c r="U2711" s="361">
        <f t="shared" si="2784"/>
        <v>13.276067807685347</v>
      </c>
      <c r="V2711" s="362">
        <f t="shared" si="2784"/>
        <v>17.841043723357654</v>
      </c>
      <c r="X2711" s="351"/>
    </row>
    <row r="2712" spans="3:24" ht="24.75" customHeight="1" x14ac:dyDescent="0.3">
      <c r="C2712" s="353">
        <f>ABS(E2712-Dashboard!$F$14)</f>
        <v>53.41131137046699</v>
      </c>
      <c r="D2712" s="350">
        <f t="shared" si="2775"/>
        <v>0.34394999999997738</v>
      </c>
      <c r="E2712" s="359" cm="1">
        <f t="array" ref="E2712">1000*SUM('DRE + DCF'!$L$36/M2712,'DRE + DCF'!$N$36:$V$36/N2712:V2712,F2712/V2712)/Dashboard!$F$11</f>
        <v>43.578688629533005</v>
      </c>
      <c r="F2712" s="359">
        <f t="shared" si="2773"/>
        <v>7518794.1245812513</v>
      </c>
      <c r="G2712" s="359">
        <f>'DRE + DCF'!$W$31</f>
        <v>2791623.3540418856</v>
      </c>
      <c r="H2712" s="359">
        <f>'DRE + DCF'!$W$32</f>
        <v>81081.931703745853</v>
      </c>
      <c r="I2712" s="359">
        <f>-H2712*('DRE + DCF'!$V$33+K2712)/'DRE + DCF'!$V$33</f>
        <v>-90858.801614444121</v>
      </c>
      <c r="J2712" s="359">
        <f>-'DRE + DCF'!$V$56*L2712</f>
        <v>-1188924.4255577971</v>
      </c>
      <c r="K2712" s="360">
        <f>(1+L2712)/(1+Ke!$O$12)-1</f>
        <v>2.0000000000000018E-2</v>
      </c>
      <c r="L2712" s="360">
        <f>'DRE + DCF'!$Y$31</f>
        <v>7.3550000000000004E-2</v>
      </c>
      <c r="M2712" s="361">
        <f>(1+D2712)^((5-Dashboard!$F$9)*3/12)</f>
        <v>1.2482090691460495</v>
      </c>
      <c r="N2712" s="361">
        <f t="shared" ref="N2712:V2712" si="2785">M2712*(1+$D2712)</f>
        <v>1.6775305784788048</v>
      </c>
      <c r="O2712" s="361">
        <f t="shared" si="2785"/>
        <v>2.2545172209465516</v>
      </c>
      <c r="P2712" s="361">
        <f t="shared" si="2785"/>
        <v>3.0299584190910669</v>
      </c>
      <c r="Q2712" s="361">
        <f t="shared" si="2785"/>
        <v>4.0721126173373703</v>
      </c>
      <c r="R2712" s="361">
        <f t="shared" si="2785"/>
        <v>5.4727157520704663</v>
      </c>
      <c r="S2712" s="361">
        <f t="shared" si="2785"/>
        <v>7.3550563349949796</v>
      </c>
      <c r="T2712" s="361">
        <f t="shared" si="2785"/>
        <v>9.8848279614163364</v>
      </c>
      <c r="U2712" s="361">
        <f t="shared" si="2785"/>
        <v>13.284714538745261</v>
      </c>
      <c r="V2712" s="362">
        <f t="shared" si="2785"/>
        <v>17.853992104346393</v>
      </c>
      <c r="X2712" s="351"/>
    </row>
    <row r="2713" spans="3:24" ht="24.75" customHeight="1" x14ac:dyDescent="0.3">
      <c r="C2713" s="353">
        <f>ABS(E2713-Dashboard!$F$14)</f>
        <v>53.430351466088865</v>
      </c>
      <c r="D2713" s="350">
        <f t="shared" si="2775"/>
        <v>0.34404999999997737</v>
      </c>
      <c r="E2713" s="359" cm="1">
        <f t="array" ref="E2713">1000*SUM('DRE + DCF'!$L$36/M2713,'DRE + DCF'!$N$36:$V$36/N2713:V2713,F2713/V2713)/Dashboard!$F$11</f>
        <v>43.55964853391113</v>
      </c>
      <c r="F2713" s="359">
        <f t="shared" si="2773"/>
        <v>7516358.8418210754</v>
      </c>
      <c r="G2713" s="359">
        <f>'DRE + DCF'!$W$31</f>
        <v>2791623.3540418856</v>
      </c>
      <c r="H2713" s="359">
        <f>'DRE + DCF'!$W$32</f>
        <v>81081.931703745853</v>
      </c>
      <c r="I2713" s="359">
        <f>-H2713*('DRE + DCF'!$V$33+K2713)/'DRE + DCF'!$V$33</f>
        <v>-90858.801614444121</v>
      </c>
      <c r="J2713" s="359">
        <f>-'DRE + DCF'!$V$56*L2713</f>
        <v>-1188924.4255577971</v>
      </c>
      <c r="K2713" s="360">
        <f>(1+L2713)/(1+Ke!$O$12)-1</f>
        <v>2.0000000000000018E-2</v>
      </c>
      <c r="L2713" s="360">
        <f>'DRE + DCF'!$Y$31</f>
        <v>7.3550000000000004E-2</v>
      </c>
      <c r="M2713" s="361">
        <f>(1+D2713)^((5-Dashboard!$F$9)*3/12)</f>
        <v>1.2482787256135512</v>
      </c>
      <c r="N2713" s="361">
        <f t="shared" ref="N2713:V2713" si="2786">M2713*(1+$D2713)</f>
        <v>1.6777490211608652</v>
      </c>
      <c r="O2713" s="361">
        <f t="shared" si="2786"/>
        <v>2.2549785718912227</v>
      </c>
      <c r="P2713" s="361">
        <f t="shared" si="2786"/>
        <v>3.0308039495503469</v>
      </c>
      <c r="Q2713" s="361">
        <f t="shared" si="2786"/>
        <v>4.0735520483930747</v>
      </c>
      <c r="R2713" s="361">
        <f t="shared" si="2786"/>
        <v>5.4750576306426195</v>
      </c>
      <c r="S2713" s="361">
        <f t="shared" si="2786"/>
        <v>7.3587512084650886</v>
      </c>
      <c r="T2713" s="361">
        <f t="shared" si="2786"/>
        <v>9.8905295617373348</v>
      </c>
      <c r="U2713" s="361">
        <f t="shared" si="2786"/>
        <v>13.29336625745284</v>
      </c>
      <c r="V2713" s="362">
        <f t="shared" si="2786"/>
        <v>17.866948918329189</v>
      </c>
      <c r="X2713" s="351"/>
    </row>
    <row r="2714" spans="3:24" ht="24.75" customHeight="1" x14ac:dyDescent="0.3">
      <c r="C2714" s="353">
        <f>ABS(E2714-Dashboard!$F$14)</f>
        <v>53.449376438857925</v>
      </c>
      <c r="D2714" s="350">
        <f t="shared" si="2775"/>
        <v>0.34414999999997736</v>
      </c>
      <c r="E2714" s="359" cm="1">
        <f t="array" ref="E2714">1000*SUM('DRE + DCF'!$L$36/M2714,'DRE + DCF'!$N$36:$V$36/N2714:V2714,F2714/V2714)/Dashboard!$F$11</f>
        <v>43.54062356114207</v>
      </c>
      <c r="F2714" s="359">
        <f t="shared" si="2773"/>
        <v>7513925.158956131</v>
      </c>
      <c r="G2714" s="359">
        <f>'DRE + DCF'!$W$31</f>
        <v>2791623.3540418856</v>
      </c>
      <c r="H2714" s="359">
        <f>'DRE + DCF'!$W$32</f>
        <v>81081.931703745853</v>
      </c>
      <c r="I2714" s="359">
        <f>-H2714*('DRE + DCF'!$V$33+K2714)/'DRE + DCF'!$V$33</f>
        <v>-90858.801614444121</v>
      </c>
      <c r="J2714" s="359">
        <f>-'DRE + DCF'!$V$56*L2714</f>
        <v>-1188924.4255577971</v>
      </c>
      <c r="K2714" s="360">
        <f>(1+L2714)/(1+Ke!$O$12)-1</f>
        <v>2.0000000000000018E-2</v>
      </c>
      <c r="L2714" s="360">
        <f>'DRE + DCF'!$Y$31</f>
        <v>7.3550000000000004E-2</v>
      </c>
      <c r="M2714" s="361">
        <f>(1+D2714)^((5-Dashboard!$F$9)*3/12)</f>
        <v>1.2483483807854201</v>
      </c>
      <c r="N2714" s="361">
        <f t="shared" ref="N2714:V2714" si="2787">M2714*(1+$D2714)</f>
        <v>1.6779674760326941</v>
      </c>
      <c r="O2714" s="361">
        <f t="shared" si="2787"/>
        <v>2.2554399829093077</v>
      </c>
      <c r="P2714" s="361">
        <f t="shared" si="2787"/>
        <v>3.0316496530274946</v>
      </c>
      <c r="Q2714" s="361">
        <f t="shared" si="2787"/>
        <v>4.074991881116838</v>
      </c>
      <c r="R2714" s="361">
        <f t="shared" si="2787"/>
        <v>5.4774003370031057</v>
      </c>
      <c r="S2714" s="361">
        <f t="shared" si="2787"/>
        <v>7.3624476629825999</v>
      </c>
      <c r="T2714" s="361">
        <f t="shared" si="2787"/>
        <v>9.8962340261978952</v>
      </c>
      <c r="U2714" s="361">
        <f t="shared" si="2787"/>
        <v>13.302022966313677</v>
      </c>
      <c r="V2714" s="362">
        <f t="shared" si="2787"/>
        <v>17.879914170170228</v>
      </c>
      <c r="X2714" s="351"/>
    </row>
    <row r="2715" spans="3:24" ht="24.75" customHeight="1" x14ac:dyDescent="0.3">
      <c r="C2715" s="353">
        <f>ABS(E2715-Dashboard!$F$14)</f>
        <v>53.46838630552736</v>
      </c>
      <c r="D2715" s="350">
        <f t="shared" si="2775"/>
        <v>0.34424999999997735</v>
      </c>
      <c r="E2715" s="359" cm="1">
        <f t="array" ref="E2715">1000*SUM('DRE + DCF'!$L$36/M2715,'DRE + DCF'!$N$36:$V$36/N2715:V2715,F2715/V2715)/Dashboard!$F$11</f>
        <v>43.521613694472634</v>
      </c>
      <c r="F2715" s="359">
        <f t="shared" si="2773"/>
        <v>7511493.0743875969</v>
      </c>
      <c r="G2715" s="359">
        <f>'DRE + DCF'!$W$31</f>
        <v>2791623.3540418856</v>
      </c>
      <c r="H2715" s="359">
        <f>'DRE + DCF'!$W$32</f>
        <v>81081.931703745853</v>
      </c>
      <c r="I2715" s="359">
        <f>-H2715*('DRE + DCF'!$V$33+K2715)/'DRE + DCF'!$V$33</f>
        <v>-90858.801614444121</v>
      </c>
      <c r="J2715" s="359">
        <f>-'DRE + DCF'!$V$56*L2715</f>
        <v>-1188924.4255577971</v>
      </c>
      <c r="K2715" s="360">
        <f>(1+L2715)/(1+Ke!$O$12)-1</f>
        <v>2.0000000000000018E-2</v>
      </c>
      <c r="L2715" s="360">
        <f>'DRE + DCF'!$Y$31</f>
        <v>7.3550000000000004E-2</v>
      </c>
      <c r="M2715" s="361">
        <f>(1+D2715)^((5-Dashboard!$F$9)*3/12)</f>
        <v>1.2484180346617764</v>
      </c>
      <c r="N2715" s="361">
        <f t="shared" ref="N2715:V2715" si="2788">M2715*(1+$D2715)</f>
        <v>1.6781859430940644</v>
      </c>
      <c r="O2715" s="361">
        <f t="shared" si="2788"/>
        <v>2.255901454004158</v>
      </c>
      <c r="P2715" s="361">
        <f t="shared" si="2788"/>
        <v>3.032495529545038</v>
      </c>
      <c r="Q2715" s="361">
        <f t="shared" si="2788"/>
        <v>4.0764321155908485</v>
      </c>
      <c r="R2715" s="361">
        <f t="shared" si="2788"/>
        <v>5.4797438713829054</v>
      </c>
      <c r="S2715" s="361">
        <f t="shared" si="2788"/>
        <v>7.3661456991063465</v>
      </c>
      <c r="T2715" s="361">
        <f t="shared" si="2788"/>
        <v>9.9019413560235385</v>
      </c>
      <c r="U2715" s="361">
        <f t="shared" si="2788"/>
        <v>13.310684667834417</v>
      </c>
      <c r="V2715" s="362">
        <f t="shared" si="2788"/>
        <v>17.892887864736114</v>
      </c>
      <c r="X2715" s="351"/>
    </row>
    <row r="2716" spans="3:24" ht="24.75" customHeight="1" x14ac:dyDescent="0.3">
      <c r="C2716" s="353">
        <f>ABS(E2716-Dashboard!$F$14)</f>
        <v>53.487381082826808</v>
      </c>
      <c r="D2716" s="350">
        <f t="shared" si="2775"/>
        <v>0.34434999999997734</v>
      </c>
      <c r="E2716" s="359" cm="1">
        <f t="array" ref="E2716">1000*SUM('DRE + DCF'!$L$36/M2716,'DRE + DCF'!$N$36:$V$36/N2716:V2716,F2716/V2716)/Dashboard!$F$11</f>
        <v>43.502618917173187</v>
      </c>
      <c r="F2716" s="359">
        <f t="shared" si="2773"/>
        <v>7509062.5865188111</v>
      </c>
      <c r="G2716" s="359">
        <f>'DRE + DCF'!$W$31</f>
        <v>2791623.3540418856</v>
      </c>
      <c r="H2716" s="359">
        <f>'DRE + DCF'!$W$32</f>
        <v>81081.931703745853</v>
      </c>
      <c r="I2716" s="359">
        <f>-H2716*('DRE + DCF'!$V$33+K2716)/'DRE + DCF'!$V$33</f>
        <v>-90858.801614444121</v>
      </c>
      <c r="J2716" s="359">
        <f>-'DRE + DCF'!$V$56*L2716</f>
        <v>-1188924.4255577971</v>
      </c>
      <c r="K2716" s="360">
        <f>(1+L2716)/(1+Ke!$O$12)-1</f>
        <v>2.0000000000000018E-2</v>
      </c>
      <c r="L2716" s="360">
        <f>'DRE + DCF'!$Y$31</f>
        <v>7.3550000000000004E-2</v>
      </c>
      <c r="M2716" s="361">
        <f>(1+D2716)^((5-Dashboard!$F$9)*3/12)</f>
        <v>1.2484876872427406</v>
      </c>
      <c r="N2716" s="361">
        <f t="shared" ref="N2716:V2716" si="2789">M2716*(1+$D2716)</f>
        <v>1.6784044223447501</v>
      </c>
      <c r="O2716" s="361">
        <f t="shared" si="2789"/>
        <v>2.2563629851791265</v>
      </c>
      <c r="P2716" s="361">
        <f t="shared" si="2789"/>
        <v>3.0333415791255076</v>
      </c>
      <c r="Q2716" s="361">
        <f t="shared" si="2789"/>
        <v>4.0778727518973072</v>
      </c>
      <c r="R2716" s="361">
        <f t="shared" si="2789"/>
        <v>5.4820882340130526</v>
      </c>
      <c r="S2716" s="361">
        <f t="shared" si="2789"/>
        <v>7.3698453173953231</v>
      </c>
      <c r="T2716" s="361">
        <f t="shared" si="2789"/>
        <v>9.9076515524402353</v>
      </c>
      <c r="U2716" s="361">
        <f t="shared" si="2789"/>
        <v>13.319351364522806</v>
      </c>
      <c r="V2716" s="362">
        <f t="shared" si="2789"/>
        <v>17.905870006895931</v>
      </c>
      <c r="X2716" s="351"/>
    </row>
    <row r="2717" spans="3:24" ht="24.75" customHeight="1" x14ac:dyDescent="0.3">
      <c r="C2717" s="353">
        <f>ABS(E2717-Dashboard!$F$14)</f>
        <v>53.506360787462185</v>
      </c>
      <c r="D2717" s="350">
        <f t="shared" si="2775"/>
        <v>0.34444999999997733</v>
      </c>
      <c r="E2717" s="359" cm="1">
        <f t="array" ref="E2717">1000*SUM('DRE + DCF'!$L$36/M2717,'DRE + DCF'!$N$36:$V$36/N2717:V2717,F2717/V2717)/Dashboard!$F$11</f>
        <v>43.48363921253781</v>
      </c>
      <c r="F2717" s="359">
        <f t="shared" si="2773"/>
        <v>7506633.6937552663</v>
      </c>
      <c r="G2717" s="359">
        <f>'DRE + DCF'!$W$31</f>
        <v>2791623.3540418856</v>
      </c>
      <c r="H2717" s="359">
        <f>'DRE + DCF'!$W$32</f>
        <v>81081.931703745853</v>
      </c>
      <c r="I2717" s="359">
        <f>-H2717*('DRE + DCF'!$V$33+K2717)/'DRE + DCF'!$V$33</f>
        <v>-90858.801614444121</v>
      </c>
      <c r="J2717" s="359">
        <f>-'DRE + DCF'!$V$56*L2717</f>
        <v>-1188924.4255577971</v>
      </c>
      <c r="K2717" s="360">
        <f>(1+L2717)/(1+Ke!$O$12)-1</f>
        <v>2.0000000000000018E-2</v>
      </c>
      <c r="L2717" s="360">
        <f>'DRE + DCF'!$Y$31</f>
        <v>7.3550000000000004E-2</v>
      </c>
      <c r="M2717" s="361">
        <f>(1+D2717)^((5-Dashboard!$F$9)*3/12)</f>
        <v>1.2485573385284334</v>
      </c>
      <c r="N2717" s="361">
        <f t="shared" ref="N2717:V2717" si="2790">M2717*(1+$D2717)</f>
        <v>1.6786229137845239</v>
      </c>
      <c r="O2717" s="361">
        <f t="shared" si="2790"/>
        <v>2.2568245764375652</v>
      </c>
      <c r="P2717" s="361">
        <f t="shared" si="2790"/>
        <v>3.0341878017914334</v>
      </c>
      <c r="Q2717" s="361">
        <f t="shared" si="2790"/>
        <v>4.079313790118424</v>
      </c>
      <c r="R2717" s="361">
        <f t="shared" si="2790"/>
        <v>5.4844334251246227</v>
      </c>
      <c r="S2717" s="361">
        <f t="shared" si="2790"/>
        <v>7.3735465184086744</v>
      </c>
      <c r="T2717" s="361">
        <f t="shared" si="2790"/>
        <v>9.9133646166743752</v>
      </c>
      <c r="U2717" s="361">
        <f t="shared" si="2790"/>
        <v>13.328023058887638</v>
      </c>
      <c r="V2717" s="362">
        <f t="shared" si="2790"/>
        <v>17.918860601521182</v>
      </c>
      <c r="X2717" s="351"/>
    </row>
    <row r="2718" spans="3:24" ht="24.75" customHeight="1" x14ac:dyDescent="0.3">
      <c r="C2718" s="353">
        <f>ABS(E2718-Dashboard!$F$14)</f>
        <v>53.525325436115899</v>
      </c>
      <c r="D2718" s="350">
        <f t="shared" si="2775"/>
        <v>0.34454999999997732</v>
      </c>
      <c r="E2718" s="359" cm="1">
        <f t="array" ref="E2718">1000*SUM('DRE + DCF'!$L$36/M2718,'DRE + DCF'!$N$36:$V$36/N2718:V2718,F2718/V2718)/Dashboard!$F$11</f>
        <v>43.464674563884095</v>
      </c>
      <c r="F2718" s="359">
        <f t="shared" si="2773"/>
        <v>7504206.3945046104</v>
      </c>
      <c r="G2718" s="359">
        <f>'DRE + DCF'!$W$31</f>
        <v>2791623.3540418856</v>
      </c>
      <c r="H2718" s="359">
        <f>'DRE + DCF'!$W$32</f>
        <v>81081.931703745853</v>
      </c>
      <c r="I2718" s="359">
        <f>-H2718*('DRE + DCF'!$V$33+K2718)/'DRE + DCF'!$V$33</f>
        <v>-90858.801614444121</v>
      </c>
      <c r="J2718" s="359">
        <f>-'DRE + DCF'!$V$56*L2718</f>
        <v>-1188924.4255577971</v>
      </c>
      <c r="K2718" s="360">
        <f>(1+L2718)/(1+Ke!$O$12)-1</f>
        <v>2.0000000000000018E-2</v>
      </c>
      <c r="L2718" s="360">
        <f>'DRE + DCF'!$Y$31</f>
        <v>7.3550000000000004E-2</v>
      </c>
      <c r="M2718" s="361">
        <f>(1+D2718)^((5-Dashboard!$F$9)*3/12)</f>
        <v>1.2486269885189749</v>
      </c>
      <c r="N2718" s="361">
        <f t="shared" ref="N2718:V2718" si="2791">M2718*(1+$D2718)</f>
        <v>1.6788414174131594</v>
      </c>
      <c r="O2718" s="361">
        <f t="shared" si="2791"/>
        <v>2.2572862277828252</v>
      </c>
      <c r="P2718" s="361">
        <f t="shared" si="2791"/>
        <v>3.0350341975653463</v>
      </c>
      <c r="Q2718" s="361">
        <f t="shared" si="2791"/>
        <v>4.0807552303364174</v>
      </c>
      <c r="R2718" s="361">
        <f t="shared" si="2791"/>
        <v>5.4867794449487368</v>
      </c>
      <c r="S2718" s="361">
        <f t="shared" si="2791"/>
        <v>7.3772493027056996</v>
      </c>
      <c r="T2718" s="361">
        <f t="shared" si="2791"/>
        <v>9.9190805499527812</v>
      </c>
      <c r="U2718" s="361">
        <f t="shared" si="2791"/>
        <v>13.336699753438786</v>
      </c>
      <c r="V2718" s="362">
        <f t="shared" si="2791"/>
        <v>17.931859653485816</v>
      </c>
      <c r="X2718" s="351"/>
    </row>
    <row r="2719" spans="3:24" ht="24.75" customHeight="1" x14ac:dyDescent="0.3">
      <c r="C2719" s="353">
        <f>ABS(E2719-Dashboard!$F$14)</f>
        <v>53.544275045446817</v>
      </c>
      <c r="D2719" s="350">
        <f t="shared" si="2775"/>
        <v>0.34464999999997731</v>
      </c>
      <c r="E2719" s="359" cm="1">
        <f t="array" ref="E2719">1000*SUM('DRE + DCF'!$L$36/M2719,'DRE + DCF'!$N$36:$V$36/N2719:V2719,F2719/V2719)/Dashboard!$F$11</f>
        <v>43.445724954553178</v>
      </c>
      <c r="F2719" s="359">
        <f t="shared" si="2773"/>
        <v>7501780.6871766355</v>
      </c>
      <c r="G2719" s="359">
        <f>'DRE + DCF'!$W$31</f>
        <v>2791623.3540418856</v>
      </c>
      <c r="H2719" s="359">
        <f>'DRE + DCF'!$W$32</f>
        <v>81081.931703745853</v>
      </c>
      <c r="I2719" s="359">
        <f>-H2719*('DRE + DCF'!$V$33+K2719)/'DRE + DCF'!$V$33</f>
        <v>-90858.801614444121</v>
      </c>
      <c r="J2719" s="359">
        <f>-'DRE + DCF'!$V$56*L2719</f>
        <v>-1188924.4255577971</v>
      </c>
      <c r="K2719" s="360">
        <f>(1+L2719)/(1+Ke!$O$12)-1</f>
        <v>2.0000000000000018E-2</v>
      </c>
      <c r="L2719" s="360">
        <f>'DRE + DCF'!$Y$31</f>
        <v>7.3550000000000004E-2</v>
      </c>
      <c r="M2719" s="361">
        <f>(1+D2719)^((5-Dashboard!$F$9)*3/12)</f>
        <v>1.2486966372144859</v>
      </c>
      <c r="N2719" s="361">
        <f t="shared" ref="N2719:V2719" si="2792">M2719*(1+$D2719)</f>
        <v>1.6790599332304301</v>
      </c>
      <c r="O2719" s="361">
        <f t="shared" si="2792"/>
        <v>2.2577479392182598</v>
      </c>
      <c r="P2719" s="361">
        <f t="shared" si="2792"/>
        <v>3.0358807664697816</v>
      </c>
      <c r="Q2719" s="361">
        <f t="shared" si="2792"/>
        <v>4.082197072633523</v>
      </c>
      <c r="R2719" s="361">
        <f t="shared" si="2792"/>
        <v>5.4891262937165743</v>
      </c>
      <c r="S2719" s="361">
        <f t="shared" si="2792"/>
        <v>7.3809536708458667</v>
      </c>
      <c r="T2719" s="361">
        <f t="shared" si="2792"/>
        <v>9.9247993535027277</v>
      </c>
      <c r="U2719" s="361">
        <f t="shared" si="2792"/>
        <v>13.345381450687217</v>
      </c>
      <c r="V2719" s="362">
        <f t="shared" si="2792"/>
        <v>17.944867167666263</v>
      </c>
      <c r="X2719" s="351"/>
    </row>
    <row r="2720" spans="3:24" ht="24.75" customHeight="1" x14ac:dyDescent="0.3">
      <c r="C2720" s="353">
        <f>ABS(E2720-Dashboard!$F$14)</f>
        <v>53.56320963209027</v>
      </c>
      <c r="D2720" s="350">
        <f t="shared" si="2775"/>
        <v>0.3447499999999773</v>
      </c>
      <c r="E2720" s="359" cm="1">
        <f t="array" ref="E2720">1000*SUM('DRE + DCF'!$L$36/M2720,'DRE + DCF'!$N$36:$V$36/N2720:V2720,F2720/V2720)/Dashboard!$F$11</f>
        <v>43.426790367909724</v>
      </c>
      <c r="F2720" s="359">
        <f t="shared" si="2773"/>
        <v>7499356.5701832809</v>
      </c>
      <c r="G2720" s="359">
        <f>'DRE + DCF'!$W$31</f>
        <v>2791623.3540418856</v>
      </c>
      <c r="H2720" s="359">
        <f>'DRE + DCF'!$W$32</f>
        <v>81081.931703745853</v>
      </c>
      <c r="I2720" s="359">
        <f>-H2720*('DRE + DCF'!$V$33+K2720)/'DRE + DCF'!$V$33</f>
        <v>-90858.801614444121</v>
      </c>
      <c r="J2720" s="359">
        <f>-'DRE + DCF'!$V$56*L2720</f>
        <v>-1188924.4255577971</v>
      </c>
      <c r="K2720" s="360">
        <f>(1+L2720)/(1+Ke!$O$12)-1</f>
        <v>2.0000000000000018E-2</v>
      </c>
      <c r="L2720" s="360">
        <f>'DRE + DCF'!$Y$31</f>
        <v>7.3550000000000004E-2</v>
      </c>
      <c r="M2720" s="361">
        <f>(1+D2720)^((5-Dashboard!$F$9)*3/12)</f>
        <v>1.2487662846150864</v>
      </c>
      <c r="N2720" s="361">
        <f t="shared" ref="N2720:V2720" si="2793">M2720*(1+$D2720)</f>
        <v>1.6792784612361091</v>
      </c>
      <c r="O2720" s="361">
        <f t="shared" si="2793"/>
        <v>2.2582097107472197</v>
      </c>
      <c r="P2720" s="361">
        <f t="shared" si="2793"/>
        <v>3.0367275085272722</v>
      </c>
      <c r="Q2720" s="361">
        <f t="shared" si="2793"/>
        <v>4.08363931709198</v>
      </c>
      <c r="R2720" s="361">
        <f t="shared" si="2793"/>
        <v>5.4914739716593468</v>
      </c>
      <c r="S2720" s="361">
        <f t="shared" si="2793"/>
        <v>7.3846596233887816</v>
      </c>
      <c r="T2720" s="361">
        <f t="shared" si="2793"/>
        <v>9.9305210285518957</v>
      </c>
      <c r="U2720" s="361">
        <f t="shared" si="2793"/>
        <v>13.354068153144937</v>
      </c>
      <c r="V2720" s="362">
        <f t="shared" si="2793"/>
        <v>17.957883148941349</v>
      </c>
      <c r="X2720" s="351"/>
    </row>
    <row r="2721" spans="3:24" ht="24.75" customHeight="1" x14ac:dyDescent="0.3">
      <c r="C2721" s="353">
        <f>ABS(E2721-Dashboard!$F$14)</f>
        <v>53.582129212658209</v>
      </c>
      <c r="D2721" s="350">
        <f t="shared" si="2775"/>
        <v>0.34484999999997729</v>
      </c>
      <c r="E2721" s="359" cm="1">
        <f t="array" ref="E2721">1000*SUM('DRE + DCF'!$L$36/M2721,'DRE + DCF'!$N$36:$V$36/N2721:V2721,F2721/V2721)/Dashboard!$F$11</f>
        <v>43.407870787341786</v>
      </c>
      <c r="F2721" s="359">
        <f t="shared" si="2773"/>
        <v>7496934.0419386253</v>
      </c>
      <c r="G2721" s="359">
        <f>'DRE + DCF'!$W$31</f>
        <v>2791623.3540418856</v>
      </c>
      <c r="H2721" s="359">
        <f>'DRE + DCF'!$W$32</f>
        <v>81081.931703745853</v>
      </c>
      <c r="I2721" s="359">
        <f>-H2721*('DRE + DCF'!$V$33+K2721)/'DRE + DCF'!$V$33</f>
        <v>-90858.801614444121</v>
      </c>
      <c r="J2721" s="359">
        <f>-'DRE + DCF'!$V$56*L2721</f>
        <v>-1188924.4255577971</v>
      </c>
      <c r="K2721" s="360">
        <f>(1+L2721)/(1+Ke!$O$12)-1</f>
        <v>2.0000000000000018E-2</v>
      </c>
      <c r="L2721" s="360">
        <f>'DRE + DCF'!$Y$31</f>
        <v>7.3550000000000004E-2</v>
      </c>
      <c r="M2721" s="361">
        <f>(1+D2721)^((5-Dashboard!$F$9)*3/12)</f>
        <v>1.2488359307208969</v>
      </c>
      <c r="N2721" s="361">
        <f t="shared" ref="N2721:V2721" si="2794">M2721*(1+$D2721)</f>
        <v>1.6794970014299697</v>
      </c>
      <c r="O2721" s="361">
        <f t="shared" si="2794"/>
        <v>2.2586715423730563</v>
      </c>
      <c r="P2721" s="361">
        <f t="shared" si="2794"/>
        <v>3.0375744237603532</v>
      </c>
      <c r="Q2721" s="361">
        <f t="shared" si="2794"/>
        <v>4.0850819637940416</v>
      </c>
      <c r="R2721" s="361">
        <f t="shared" si="2794"/>
        <v>5.4938224790083243</v>
      </c>
      <c r="S2721" s="361">
        <f t="shared" si="2794"/>
        <v>7.3883671608942203</v>
      </c>
      <c r="T2721" s="361">
        <f t="shared" si="2794"/>
        <v>9.9362455763284245</v>
      </c>
      <c r="U2721" s="361">
        <f t="shared" si="2794"/>
        <v>13.362759863325055</v>
      </c>
      <c r="V2721" s="362">
        <f t="shared" si="2794"/>
        <v>17.970907602192394</v>
      </c>
      <c r="X2721" s="351"/>
    </row>
    <row r="2722" spans="3:24" ht="24.75" customHeight="1" x14ac:dyDescent="0.3">
      <c r="C2722" s="353">
        <f>ABS(E2722-Dashboard!$F$14)</f>
        <v>53.601033803739142</v>
      </c>
      <c r="D2722" s="350">
        <f t="shared" si="2775"/>
        <v>0.34494999999997727</v>
      </c>
      <c r="E2722" s="359" cm="1">
        <f t="array" ref="E2722">1000*SUM('DRE + DCF'!$L$36/M2722,'DRE + DCF'!$N$36:$V$36/N2722:V2722,F2722/V2722)/Dashboard!$F$11</f>
        <v>43.388966196260853</v>
      </c>
      <c r="F2722" s="359">
        <f t="shared" si="2773"/>
        <v>7494513.1008588858</v>
      </c>
      <c r="G2722" s="359">
        <f>'DRE + DCF'!$W$31</f>
        <v>2791623.3540418856</v>
      </c>
      <c r="H2722" s="359">
        <f>'DRE + DCF'!$W$32</f>
        <v>81081.931703745853</v>
      </c>
      <c r="I2722" s="359">
        <f>-H2722*('DRE + DCF'!$V$33+K2722)/'DRE + DCF'!$V$33</f>
        <v>-90858.801614444121</v>
      </c>
      <c r="J2722" s="359">
        <f>-'DRE + DCF'!$V$56*L2722</f>
        <v>-1188924.4255577971</v>
      </c>
      <c r="K2722" s="360">
        <f>(1+L2722)/(1+Ke!$O$12)-1</f>
        <v>2.0000000000000018E-2</v>
      </c>
      <c r="L2722" s="360">
        <f>'DRE + DCF'!$Y$31</f>
        <v>7.3550000000000004E-2</v>
      </c>
      <c r="M2722" s="361">
        <f>(1+D2722)^((5-Dashboard!$F$9)*3/12)</f>
        <v>1.2489055755320377</v>
      </c>
      <c r="N2722" s="361">
        <f t="shared" ref="N2722:V2722" si="2795">M2722*(1+$D2722)</f>
        <v>1.6797155538117856</v>
      </c>
      <c r="O2722" s="361">
        <f t="shared" si="2795"/>
        <v>2.2591334340991227</v>
      </c>
      <c r="P2722" s="361">
        <f t="shared" si="2795"/>
        <v>3.0384215121915634</v>
      </c>
      <c r="Q2722" s="361">
        <f t="shared" si="2795"/>
        <v>4.0865250128219737</v>
      </c>
      <c r="R2722" s="361">
        <f t="shared" si="2795"/>
        <v>5.4961718159948205</v>
      </c>
      <c r="S2722" s="361">
        <f t="shared" si="2795"/>
        <v>7.3920762839221084</v>
      </c>
      <c r="T2722" s="361">
        <f t="shared" si="2795"/>
        <v>9.9419729980608711</v>
      </c>
      <c r="U2722" s="361">
        <f t="shared" si="2795"/>
        <v>13.371456583741741</v>
      </c>
      <c r="V2722" s="362">
        <f t="shared" si="2795"/>
        <v>17.983940532303151</v>
      </c>
      <c r="X2722" s="351"/>
    </row>
    <row r="2723" spans="3:24" ht="24.75" customHeight="1" x14ac:dyDescent="0.3">
      <c r="C2723" s="353">
        <f>ABS(E2723-Dashboard!$F$14)</f>
        <v>53.619923421898207</v>
      </c>
      <c r="D2723" s="350">
        <f t="shared" si="2775"/>
        <v>0.34504999999997726</v>
      </c>
      <c r="E2723" s="359" cm="1">
        <f t="array" ref="E2723">1000*SUM('DRE + DCF'!$L$36/M2723,'DRE + DCF'!$N$36:$V$36/N2723:V2723,F2723/V2723)/Dashboard!$F$11</f>
        <v>43.370076578101788</v>
      </c>
      <c r="F2723" s="359">
        <f t="shared" si="2773"/>
        <v>7492093.745362414</v>
      </c>
      <c r="G2723" s="359">
        <f>'DRE + DCF'!$W$31</f>
        <v>2791623.3540418856</v>
      </c>
      <c r="H2723" s="359">
        <f>'DRE + DCF'!$W$32</f>
        <v>81081.931703745853</v>
      </c>
      <c r="I2723" s="359">
        <f>-H2723*('DRE + DCF'!$V$33+K2723)/'DRE + DCF'!$V$33</f>
        <v>-90858.801614444121</v>
      </c>
      <c r="J2723" s="359">
        <f>-'DRE + DCF'!$V$56*L2723</f>
        <v>-1188924.4255577971</v>
      </c>
      <c r="K2723" s="360">
        <f>(1+L2723)/(1+Ke!$O$12)-1</f>
        <v>2.0000000000000018E-2</v>
      </c>
      <c r="L2723" s="360">
        <f>'DRE + DCF'!$Y$31</f>
        <v>7.3550000000000004E-2</v>
      </c>
      <c r="M2723" s="361">
        <f>(1+D2723)^((5-Dashboard!$F$9)*3/12)</f>
        <v>1.2489752190486292</v>
      </c>
      <c r="N2723" s="361">
        <f t="shared" ref="N2723:V2723" si="2796">M2723*(1+$D2723)</f>
        <v>1.6799341183813301</v>
      </c>
      <c r="O2723" s="361">
        <f t="shared" si="2796"/>
        <v>2.2595953859287699</v>
      </c>
      <c r="P2723" s="361">
        <f t="shared" si="2796"/>
        <v>3.0392687738434403</v>
      </c>
      <c r="Q2723" s="361">
        <f t="shared" si="2796"/>
        <v>4.0879684642580498</v>
      </c>
      <c r="R2723" s="361">
        <f t="shared" si="2796"/>
        <v>5.498521982850197</v>
      </c>
      <c r="S2723" s="361">
        <f t="shared" si="2796"/>
        <v>7.395786993032532</v>
      </c>
      <c r="T2723" s="361">
        <f t="shared" si="2796"/>
        <v>9.947703294978238</v>
      </c>
      <c r="U2723" s="361">
        <f t="shared" si="2796"/>
        <v>13.380158316910252</v>
      </c>
      <c r="V2723" s="362">
        <f t="shared" si="2796"/>
        <v>17.996981944159831</v>
      </c>
      <c r="X2723" s="351"/>
    </row>
    <row r="2724" spans="3:24" ht="24.75" customHeight="1" x14ac:dyDescent="0.3">
      <c r="C2724" s="353">
        <f>ABS(E2724-Dashboard!$F$14)</f>
        <v>53.638798083677194</v>
      </c>
      <c r="D2724" s="350">
        <f t="shared" si="2775"/>
        <v>0.34514999999997725</v>
      </c>
      <c r="E2724" s="359" cm="1">
        <f t="array" ref="E2724">1000*SUM('DRE + DCF'!$L$36/M2724,'DRE + DCF'!$N$36:$V$36/N2724:V2724,F2724/V2724)/Dashboard!$F$11</f>
        <v>43.3512019163228</v>
      </c>
      <c r="F2724" s="359">
        <f t="shared" si="2773"/>
        <v>7489675.973869686</v>
      </c>
      <c r="G2724" s="359">
        <f>'DRE + DCF'!$W$31</f>
        <v>2791623.3540418856</v>
      </c>
      <c r="H2724" s="359">
        <f>'DRE + DCF'!$W$32</f>
        <v>81081.931703745853</v>
      </c>
      <c r="I2724" s="359">
        <f>-H2724*('DRE + DCF'!$V$33+K2724)/'DRE + DCF'!$V$33</f>
        <v>-90858.801614444121</v>
      </c>
      <c r="J2724" s="359">
        <f>-'DRE + DCF'!$V$56*L2724</f>
        <v>-1188924.4255577971</v>
      </c>
      <c r="K2724" s="360">
        <f>(1+L2724)/(1+Ke!$O$12)-1</f>
        <v>2.0000000000000018E-2</v>
      </c>
      <c r="L2724" s="360">
        <f>'DRE + DCF'!$Y$31</f>
        <v>7.3550000000000004E-2</v>
      </c>
      <c r="M2724" s="361">
        <f>(1+D2724)^((5-Dashboard!$F$9)*3/12)</f>
        <v>1.2490448612707918</v>
      </c>
      <c r="N2724" s="361">
        <f t="shared" ref="N2724:V2724" si="2797">M2724*(1+$D2724)</f>
        <v>1.6801526951383772</v>
      </c>
      <c r="O2724" s="361">
        <f t="shared" si="2797"/>
        <v>2.2600573978653498</v>
      </c>
      <c r="P2724" s="361">
        <f t="shared" si="2797"/>
        <v>3.0401162087385236</v>
      </c>
      <c r="Q2724" s="361">
        <f t="shared" si="2797"/>
        <v>4.0894123181845554</v>
      </c>
      <c r="R2724" s="361">
        <f t="shared" si="2797"/>
        <v>5.5008729798058615</v>
      </c>
      <c r="S2724" s="361">
        <f t="shared" si="2797"/>
        <v>7.3994992887857292</v>
      </c>
      <c r="T2724" s="361">
        <f t="shared" si="2797"/>
        <v>9.9534364683099543</v>
      </c>
      <c r="U2724" s="361">
        <f t="shared" si="2797"/>
        <v>13.388865065346907</v>
      </c>
      <c r="V2724" s="362">
        <f t="shared" si="2797"/>
        <v>18.010031842651088</v>
      </c>
      <c r="X2724" s="351"/>
    </row>
    <row r="2725" spans="3:24" ht="24.75" customHeight="1" x14ac:dyDescent="0.3">
      <c r="C2725" s="353">
        <f>ABS(E2725-Dashboard!$F$14)</f>
        <v>53.657657805594638</v>
      </c>
      <c r="D2725" s="350">
        <f t="shared" si="2775"/>
        <v>0.34524999999997724</v>
      </c>
      <c r="E2725" s="359" cm="1">
        <f t="array" ref="E2725">1000*SUM('DRE + DCF'!$L$36/M2725,'DRE + DCF'!$N$36:$V$36/N2725:V2725,F2725/V2725)/Dashboard!$F$11</f>
        <v>43.332342194405356</v>
      </c>
      <c r="F2725" s="359">
        <f t="shared" si="2773"/>
        <v>7487259.7848033123</v>
      </c>
      <c r="G2725" s="359">
        <f>'DRE + DCF'!$W$31</f>
        <v>2791623.3540418856</v>
      </c>
      <c r="H2725" s="359">
        <f>'DRE + DCF'!$W$32</f>
        <v>81081.931703745853</v>
      </c>
      <c r="I2725" s="359">
        <f>-H2725*('DRE + DCF'!$V$33+K2725)/'DRE + DCF'!$V$33</f>
        <v>-90858.801614444121</v>
      </c>
      <c r="J2725" s="359">
        <f>-'DRE + DCF'!$V$56*L2725</f>
        <v>-1188924.4255577971</v>
      </c>
      <c r="K2725" s="360">
        <f>(1+L2725)/(1+Ke!$O$12)-1</f>
        <v>2.0000000000000018E-2</v>
      </c>
      <c r="L2725" s="360">
        <f>'DRE + DCF'!$Y$31</f>
        <v>7.3550000000000004E-2</v>
      </c>
      <c r="M2725" s="361">
        <f>(1+D2725)^((5-Dashboard!$F$9)*3/12)</f>
        <v>1.2491145021986456</v>
      </c>
      <c r="N2725" s="361">
        <f t="shared" ref="N2725:V2725" si="2798">M2725*(1+$D2725)</f>
        <v>1.6803712840826994</v>
      </c>
      <c r="O2725" s="361">
        <f t="shared" si="2798"/>
        <v>2.2605194699122131</v>
      </c>
      <c r="P2725" s="361">
        <f t="shared" si="2798"/>
        <v>3.0409638168993531</v>
      </c>
      <c r="Q2725" s="361">
        <f t="shared" si="2798"/>
        <v>4.0908565746837855</v>
      </c>
      <c r="R2725" s="361">
        <f t="shared" si="2798"/>
        <v>5.503224807093269</v>
      </c>
      <c r="S2725" s="361">
        <f t="shared" si="2798"/>
        <v>7.4032131717420944</v>
      </c>
      <c r="T2725" s="361">
        <f t="shared" si="2798"/>
        <v>9.9591725192858842</v>
      </c>
      <c r="U2725" s="361">
        <f t="shared" si="2798"/>
        <v>13.397576831569108</v>
      </c>
      <c r="V2725" s="362">
        <f t="shared" si="2798"/>
        <v>18.023090232668036</v>
      </c>
      <c r="X2725" s="351"/>
    </row>
    <row r="2726" spans="3:24" ht="24.75" customHeight="1" x14ac:dyDescent="0.3">
      <c r="C2726" s="353">
        <f>ABS(E2726-Dashboard!$F$14)</f>
        <v>53.67650260414581</v>
      </c>
      <c r="D2726" s="350">
        <f t="shared" si="2775"/>
        <v>0.34534999999997723</v>
      </c>
      <c r="E2726" s="359" cm="1">
        <f t="array" ref="E2726">1000*SUM('DRE + DCF'!$L$36/M2726,'DRE + DCF'!$N$36:$V$36/N2726:V2726,F2726/V2726)/Dashboard!$F$11</f>
        <v>43.313497395854185</v>
      </c>
      <c r="F2726" s="359">
        <f t="shared" si="2773"/>
        <v>7484845.1765880212</v>
      </c>
      <c r="G2726" s="359">
        <f>'DRE + DCF'!$W$31</f>
        <v>2791623.3540418856</v>
      </c>
      <c r="H2726" s="359">
        <f>'DRE + DCF'!$W$32</f>
        <v>81081.931703745853</v>
      </c>
      <c r="I2726" s="359">
        <f>-H2726*('DRE + DCF'!$V$33+K2726)/'DRE + DCF'!$V$33</f>
        <v>-90858.801614444121</v>
      </c>
      <c r="J2726" s="359">
        <f>-'DRE + DCF'!$V$56*L2726</f>
        <v>-1188924.4255577971</v>
      </c>
      <c r="K2726" s="360">
        <f>(1+L2726)/(1+Ke!$O$12)-1</f>
        <v>2.0000000000000018E-2</v>
      </c>
      <c r="L2726" s="360">
        <f>'DRE + DCF'!$Y$31</f>
        <v>7.3550000000000004E-2</v>
      </c>
      <c r="M2726" s="361">
        <f>(1+D2726)^((5-Dashboard!$F$9)*3/12)</f>
        <v>1.2491841418323111</v>
      </c>
      <c r="N2726" s="361">
        <f t="shared" ref="N2726:V2726" si="2799">M2726*(1+$D2726)</f>
        <v>1.6805898852140713</v>
      </c>
      <c r="O2726" s="361">
        <f t="shared" si="2799"/>
        <v>2.2609816020727123</v>
      </c>
      <c r="P2726" s="361">
        <f t="shared" si="2799"/>
        <v>3.0418115983484717</v>
      </c>
      <c r="Q2726" s="361">
        <f t="shared" si="2799"/>
        <v>4.0923012338380467</v>
      </c>
      <c r="R2726" s="361">
        <f t="shared" si="2799"/>
        <v>5.5055774649439231</v>
      </c>
      <c r="S2726" s="361">
        <f t="shared" si="2799"/>
        <v>7.406928642462181</v>
      </c>
      <c r="T2726" s="361">
        <f t="shared" si="2799"/>
        <v>9.9649114491363253</v>
      </c>
      <c r="U2726" s="361">
        <f t="shared" si="2799"/>
        <v>13.406293618095328</v>
      </c>
      <c r="V2726" s="362">
        <f t="shared" si="2799"/>
        <v>18.036157119104242</v>
      </c>
      <c r="X2726" s="351"/>
    </row>
    <row r="2727" spans="3:24" ht="24.75" customHeight="1" x14ac:dyDescent="0.3">
      <c r="C2727" s="353">
        <f>ABS(E2727-Dashboard!$F$14)</f>
        <v>53.695332495802745</v>
      </c>
      <c r="D2727" s="350">
        <f t="shared" si="2775"/>
        <v>0.34544999999997722</v>
      </c>
      <c r="E2727" s="359" cm="1">
        <f t="array" ref="E2727">1000*SUM('DRE + DCF'!$L$36/M2727,'DRE + DCF'!$N$36:$V$36/N2727:V2727,F2727/V2727)/Dashboard!$F$11</f>
        <v>43.29466750419725</v>
      </c>
      <c r="F2727" s="359">
        <f t="shared" si="2773"/>
        <v>7482432.1476506609</v>
      </c>
      <c r="G2727" s="359">
        <f>'DRE + DCF'!$W$31</f>
        <v>2791623.3540418856</v>
      </c>
      <c r="H2727" s="359">
        <f>'DRE + DCF'!$W$32</f>
        <v>81081.931703745853</v>
      </c>
      <c r="I2727" s="359">
        <f>-H2727*('DRE + DCF'!$V$33+K2727)/'DRE + DCF'!$V$33</f>
        <v>-90858.801614444121</v>
      </c>
      <c r="J2727" s="359">
        <f>-'DRE + DCF'!$V$56*L2727</f>
        <v>-1188924.4255577971</v>
      </c>
      <c r="K2727" s="360">
        <f>(1+L2727)/(1+Ke!$O$12)-1</f>
        <v>2.0000000000000018E-2</v>
      </c>
      <c r="L2727" s="360">
        <f>'DRE + DCF'!$Y$31</f>
        <v>7.3550000000000004E-2</v>
      </c>
      <c r="M2727" s="361">
        <f>(1+D2727)^((5-Dashboard!$F$9)*3/12)</f>
        <v>1.2492537801719081</v>
      </c>
      <c r="N2727" s="361">
        <f t="shared" ref="N2727:V2727" si="2800">M2727*(1+$D2727)</f>
        <v>1.6808084985322653</v>
      </c>
      <c r="O2727" s="361">
        <f t="shared" si="2800"/>
        <v>2.2614437943501979</v>
      </c>
      <c r="P2727" s="361">
        <f t="shared" si="2800"/>
        <v>3.0426595531084222</v>
      </c>
      <c r="Q2727" s="361">
        <f t="shared" si="2800"/>
        <v>4.0937462957296571</v>
      </c>
      <c r="R2727" s="361">
        <f t="shared" si="2800"/>
        <v>5.5079309535893737</v>
      </c>
      <c r="S2727" s="361">
        <f t="shared" si="2800"/>
        <v>7.4106457015066969</v>
      </c>
      <c r="T2727" s="361">
        <f t="shared" si="2800"/>
        <v>9.9706532590920158</v>
      </c>
      <c r="U2727" s="361">
        <f t="shared" si="2800"/>
        <v>13.415015427445125</v>
      </c>
      <c r="V2727" s="362">
        <f t="shared" si="2800"/>
        <v>18.049232506855738</v>
      </c>
      <c r="X2727" s="351"/>
    </row>
    <row r="2728" spans="3:24" ht="24.75" customHeight="1" x14ac:dyDescent="0.3">
      <c r="C2728" s="353">
        <f>ABS(E2728-Dashboard!$F$14)</f>
        <v>53.714147497014388</v>
      </c>
      <c r="D2728" s="350">
        <f t="shared" si="2775"/>
        <v>0.34554999999997721</v>
      </c>
      <c r="E2728" s="359" cm="1">
        <f t="array" ref="E2728">1000*SUM('DRE + DCF'!$L$36/M2728,'DRE + DCF'!$N$36:$V$36/N2728:V2728,F2728/V2728)/Dashboard!$F$11</f>
        <v>43.275852502985607</v>
      </c>
      <c r="F2728" s="359">
        <f t="shared" si="2773"/>
        <v>7480020.6964201946</v>
      </c>
      <c r="G2728" s="359">
        <f>'DRE + DCF'!$W$31</f>
        <v>2791623.3540418856</v>
      </c>
      <c r="H2728" s="359">
        <f>'DRE + DCF'!$W$32</f>
        <v>81081.931703745853</v>
      </c>
      <c r="I2728" s="359">
        <f>-H2728*('DRE + DCF'!$V$33+K2728)/'DRE + DCF'!$V$33</f>
        <v>-90858.801614444121</v>
      </c>
      <c r="J2728" s="359">
        <f>-'DRE + DCF'!$V$56*L2728</f>
        <v>-1188924.4255577971</v>
      </c>
      <c r="K2728" s="360">
        <f>(1+L2728)/(1+Ke!$O$12)-1</f>
        <v>2.0000000000000018E-2</v>
      </c>
      <c r="L2728" s="360">
        <f>'DRE + DCF'!$Y$31</f>
        <v>7.3550000000000004E-2</v>
      </c>
      <c r="M2728" s="361">
        <f>(1+D2728)^((5-Dashboard!$F$9)*3/12)</f>
        <v>1.2493234172175574</v>
      </c>
      <c r="N2728" s="361">
        <f t="shared" ref="N2728:V2728" si="2801">M2728*(1+$D2728)</f>
        <v>1.6810271240370558</v>
      </c>
      <c r="O2728" s="361">
        <f t="shared" si="2801"/>
        <v>2.2619060467480221</v>
      </c>
      <c r="P2728" s="361">
        <f t="shared" si="2801"/>
        <v>3.0435076812017496</v>
      </c>
      <c r="Q2728" s="361">
        <f t="shared" si="2801"/>
        <v>4.0951917604409447</v>
      </c>
      <c r="R2728" s="361">
        <f t="shared" si="2801"/>
        <v>5.5102852732612195</v>
      </c>
      <c r="S2728" s="361">
        <f t="shared" si="2801"/>
        <v>7.4143643494365081</v>
      </c>
      <c r="T2728" s="361">
        <f t="shared" si="2801"/>
        <v>9.9763979503841238</v>
      </c>
      <c r="U2728" s="361">
        <f t="shared" si="2801"/>
        <v>13.423742262139131</v>
      </c>
      <c r="V2728" s="362">
        <f t="shared" si="2801"/>
        <v>18.062316400821</v>
      </c>
      <c r="X2728" s="351"/>
    </row>
    <row r="2729" spans="3:24" ht="24.75" customHeight="1" x14ac:dyDescent="0.3">
      <c r="C2729" s="353">
        <f>ABS(E2729-Dashboard!$F$14)</f>
        <v>53.732947624206439</v>
      </c>
      <c r="D2729" s="350">
        <f t="shared" si="2775"/>
        <v>0.3456499999999772</v>
      </c>
      <c r="E2729" s="359" cm="1">
        <f t="array" ref="E2729">1000*SUM('DRE + DCF'!$L$36/M2729,'DRE + DCF'!$N$36:$V$36/N2729:V2729,F2729/V2729)/Dashboard!$F$11</f>
        <v>43.257052375793556</v>
      </c>
      <c r="F2729" s="359">
        <f t="shared" si="2773"/>
        <v>7477610.8213276984</v>
      </c>
      <c r="G2729" s="359">
        <f>'DRE + DCF'!$W$31</f>
        <v>2791623.3540418856</v>
      </c>
      <c r="H2729" s="359">
        <f>'DRE + DCF'!$W$32</f>
        <v>81081.931703745853</v>
      </c>
      <c r="I2729" s="359">
        <f>-H2729*('DRE + DCF'!$V$33+K2729)/'DRE + DCF'!$V$33</f>
        <v>-90858.801614444121</v>
      </c>
      <c r="J2729" s="359">
        <f>-'DRE + DCF'!$V$56*L2729</f>
        <v>-1188924.4255577971</v>
      </c>
      <c r="K2729" s="360">
        <f>(1+L2729)/(1+Ke!$O$12)-1</f>
        <v>2.0000000000000018E-2</v>
      </c>
      <c r="L2729" s="360">
        <f>'DRE + DCF'!$Y$31</f>
        <v>7.3550000000000004E-2</v>
      </c>
      <c r="M2729" s="361">
        <f>(1+D2729)^((5-Dashboard!$F$9)*3/12)</f>
        <v>1.2493930529693789</v>
      </c>
      <c r="N2729" s="361">
        <f t="shared" ref="N2729:V2729" si="2802">M2729*(1+$D2729)</f>
        <v>1.6812457617282162</v>
      </c>
      <c r="O2729" s="361">
        <f t="shared" si="2802"/>
        <v>2.2623683592695358</v>
      </c>
      <c r="P2729" s="361">
        <f t="shared" si="2802"/>
        <v>3.0443559826509992</v>
      </c>
      <c r="Q2729" s="361">
        <f t="shared" si="2802"/>
        <v>4.0966376280542471</v>
      </c>
      <c r="R2729" s="361">
        <f t="shared" si="2802"/>
        <v>5.5126404241911038</v>
      </c>
      <c r="S2729" s="361">
        <f t="shared" si="2802"/>
        <v>7.4180845868126326</v>
      </c>
      <c r="T2729" s="361">
        <f t="shared" si="2802"/>
        <v>9.9821455242442489</v>
      </c>
      <c r="U2729" s="361">
        <f t="shared" si="2802"/>
        <v>13.432474124699045</v>
      </c>
      <c r="V2729" s="362">
        <f t="shared" si="2802"/>
        <v>18.075408805900963</v>
      </c>
      <c r="X2729" s="351"/>
    </row>
    <row r="2730" spans="3:24" ht="24.75" customHeight="1" x14ac:dyDescent="0.3">
      <c r="C2730" s="353">
        <f>ABS(E2730-Dashboard!$F$14)</f>
        <v>53.751732893781607</v>
      </c>
      <c r="D2730" s="350">
        <f t="shared" si="2775"/>
        <v>0.34574999999997719</v>
      </c>
      <c r="E2730" s="359" cm="1">
        <f t="array" ref="E2730">1000*SUM('DRE + DCF'!$L$36/M2730,'DRE + DCF'!$N$36:$V$36/N2730:V2730,F2730/V2730)/Dashboard!$F$11</f>
        <v>43.238267106218387</v>
      </c>
      <c r="F2730" s="359">
        <f t="shared" si="2773"/>
        <v>7475202.5208063573</v>
      </c>
      <c r="G2730" s="359">
        <f>'DRE + DCF'!$W$31</f>
        <v>2791623.3540418856</v>
      </c>
      <c r="H2730" s="359">
        <f>'DRE + DCF'!$W$32</f>
        <v>81081.931703745853</v>
      </c>
      <c r="I2730" s="359">
        <f>-H2730*('DRE + DCF'!$V$33+K2730)/'DRE + DCF'!$V$33</f>
        <v>-90858.801614444121</v>
      </c>
      <c r="J2730" s="359">
        <f>-'DRE + DCF'!$V$56*L2730</f>
        <v>-1188924.4255577971</v>
      </c>
      <c r="K2730" s="360">
        <f>(1+L2730)/(1+Ke!$O$12)-1</f>
        <v>2.0000000000000018E-2</v>
      </c>
      <c r="L2730" s="360">
        <f>'DRE + DCF'!$Y$31</f>
        <v>7.3550000000000004E-2</v>
      </c>
      <c r="M2730" s="361">
        <f>(1+D2730)^((5-Dashboard!$F$9)*3/12)</f>
        <v>1.2494626874274926</v>
      </c>
      <c r="N2730" s="361">
        <f t="shared" ref="N2730:V2730" si="2803">M2730*(1+$D2730)</f>
        <v>1.6814644116055195</v>
      </c>
      <c r="O2730" s="361">
        <f t="shared" si="2803"/>
        <v>2.2628307319180894</v>
      </c>
      <c r="P2730" s="361">
        <f t="shared" si="2803"/>
        <v>3.0452044574787172</v>
      </c>
      <c r="Q2730" s="361">
        <f t="shared" si="2803"/>
        <v>4.0980838986519137</v>
      </c>
      <c r="R2730" s="361">
        <f t="shared" si="2803"/>
        <v>5.5149964066107193</v>
      </c>
      <c r="S2730" s="361">
        <f t="shared" si="2803"/>
        <v>7.421806414196249</v>
      </c>
      <c r="T2730" s="361">
        <f t="shared" si="2803"/>
        <v>9.9878959819044315</v>
      </c>
      <c r="U2730" s="361">
        <f t="shared" si="2803"/>
        <v>13.44121101764766</v>
      </c>
      <c r="V2730" s="362">
        <f t="shared" si="2803"/>
        <v>18.088509726999032</v>
      </c>
      <c r="X2730" s="351"/>
    </row>
    <row r="2731" spans="3:24" ht="24.75" customHeight="1" x14ac:dyDescent="0.3">
      <c r="C2731" s="353">
        <f>ABS(E2731-Dashboard!$F$14)</f>
        <v>53.770503322119481</v>
      </c>
      <c r="D2731" s="350">
        <f t="shared" si="2775"/>
        <v>0.34584999999997718</v>
      </c>
      <c r="E2731" s="359" cm="1">
        <f t="array" ref="E2731">1000*SUM('DRE + DCF'!$L$36/M2731,'DRE + DCF'!$N$36:$V$36/N2731:V2731,F2731/V2731)/Dashboard!$F$11</f>
        <v>43.219496677880514</v>
      </c>
      <c r="F2731" s="359">
        <f t="shared" si="2773"/>
        <v>7472795.7932914607</v>
      </c>
      <c r="G2731" s="359">
        <f>'DRE + DCF'!$W$31</f>
        <v>2791623.3540418856</v>
      </c>
      <c r="H2731" s="359">
        <f>'DRE + DCF'!$W$32</f>
        <v>81081.931703745853</v>
      </c>
      <c r="I2731" s="359">
        <f>-H2731*('DRE + DCF'!$V$33+K2731)/'DRE + DCF'!$V$33</f>
        <v>-90858.801614444121</v>
      </c>
      <c r="J2731" s="359">
        <f>-'DRE + DCF'!$V$56*L2731</f>
        <v>-1188924.4255577971</v>
      </c>
      <c r="K2731" s="360">
        <f>(1+L2731)/(1+Ke!$O$12)-1</f>
        <v>2.0000000000000018E-2</v>
      </c>
      <c r="L2731" s="360">
        <f>'DRE + DCF'!$Y$31</f>
        <v>7.3550000000000004E-2</v>
      </c>
      <c r="M2731" s="361">
        <f>(1+D2731)^((5-Dashboard!$F$9)*3/12)</f>
        <v>1.249532320592019</v>
      </c>
      <c r="N2731" s="361">
        <f t="shared" ref="N2731:V2731" si="2804">M2731*(1+$D2731)</f>
        <v>1.6816830736687403</v>
      </c>
      <c r="O2731" s="361">
        <f t="shared" si="2804"/>
        <v>2.2632931646970356</v>
      </c>
      <c r="P2731" s="361">
        <f t="shared" si="2804"/>
        <v>3.0460531057074536</v>
      </c>
      <c r="Q2731" s="361">
        <f t="shared" si="2804"/>
        <v>4.0995305723163069</v>
      </c>
      <c r="R2731" s="361">
        <f t="shared" si="2804"/>
        <v>5.5173532207518079</v>
      </c>
      <c r="S2731" s="361">
        <f t="shared" si="2804"/>
        <v>7.425529832148694</v>
      </c>
      <c r="T2731" s="361">
        <f t="shared" si="2804"/>
        <v>9.9936493245971505</v>
      </c>
      <c r="U2731" s="361">
        <f t="shared" si="2804"/>
        <v>13.449952943508846</v>
      </c>
      <c r="V2731" s="362">
        <f t="shared" si="2804"/>
        <v>18.101619169021074</v>
      </c>
      <c r="X2731" s="351"/>
    </row>
    <row r="2732" spans="3:24" ht="24.75" customHeight="1" x14ac:dyDescent="0.3">
      <c r="C2732" s="353">
        <f>ABS(E2732-Dashboard!$F$14)</f>
        <v>53.789258925576696</v>
      </c>
      <c r="D2732" s="350">
        <f t="shared" si="2775"/>
        <v>0.34594999999997716</v>
      </c>
      <c r="E2732" s="359" cm="1">
        <f t="array" ref="E2732">1000*SUM('DRE + DCF'!$L$36/M2732,'DRE + DCF'!$N$36:$V$36/N2732:V2732,F2732/V2732)/Dashboard!$F$11</f>
        <v>43.200741074423298</v>
      </c>
      <c r="F2732" s="359">
        <f t="shared" si="2773"/>
        <v>7470390.6372203957</v>
      </c>
      <c r="G2732" s="359">
        <f>'DRE + DCF'!$W$31</f>
        <v>2791623.3540418856</v>
      </c>
      <c r="H2732" s="359">
        <f>'DRE + DCF'!$W$32</f>
        <v>81081.931703745853</v>
      </c>
      <c r="I2732" s="359">
        <f>-H2732*('DRE + DCF'!$V$33+K2732)/'DRE + DCF'!$V$33</f>
        <v>-90858.801614444121</v>
      </c>
      <c r="J2732" s="359">
        <f>-'DRE + DCF'!$V$56*L2732</f>
        <v>-1188924.4255577971</v>
      </c>
      <c r="K2732" s="360">
        <f>(1+L2732)/(1+Ke!$O$12)-1</f>
        <v>2.0000000000000018E-2</v>
      </c>
      <c r="L2732" s="360">
        <f>'DRE + DCF'!$Y$31</f>
        <v>7.3550000000000004E-2</v>
      </c>
      <c r="M2732" s="361">
        <f>(1+D2732)^((5-Dashboard!$F$9)*3/12)</f>
        <v>1.2496019524630779</v>
      </c>
      <c r="N2732" s="361">
        <f t="shared" ref="N2732:V2732" si="2805">M2732*(1+$D2732)</f>
        <v>1.6819017479176512</v>
      </c>
      <c r="O2732" s="361">
        <f t="shared" si="2805"/>
        <v>2.2637556576097242</v>
      </c>
      <c r="P2732" s="361">
        <f t="shared" si="2805"/>
        <v>3.0469019273597566</v>
      </c>
      <c r="Q2732" s="361">
        <f t="shared" si="2805"/>
        <v>4.1009776491297947</v>
      </c>
      <c r="R2732" s="361">
        <f t="shared" si="2805"/>
        <v>5.519710866846153</v>
      </c>
      <c r="S2732" s="361">
        <f t="shared" si="2805"/>
        <v>7.4292548412314536</v>
      </c>
      <c r="T2732" s="361">
        <f t="shared" si="2805"/>
        <v>9.9994055535553041</v>
      </c>
      <c r="U2732" s="361">
        <f t="shared" si="2805"/>
        <v>13.458699904807533</v>
      </c>
      <c r="V2732" s="362">
        <f t="shared" si="2805"/>
        <v>18.114737136875391</v>
      </c>
      <c r="X2732" s="351"/>
    </row>
    <row r="2733" spans="3:24" ht="24.75" customHeight="1" x14ac:dyDescent="0.3">
      <c r="C2733" s="353">
        <f>ABS(E2733-Dashboard!$F$14)</f>
        <v>53.807999720486876</v>
      </c>
      <c r="D2733" s="350">
        <f t="shared" si="2775"/>
        <v>0.34604999999997715</v>
      </c>
      <c r="E2733" s="359" cm="1">
        <f t="array" ref="E2733">1000*SUM('DRE + DCF'!$L$36/M2733,'DRE + DCF'!$N$36:$V$36/N2733:V2733,F2733/V2733)/Dashboard!$F$11</f>
        <v>43.182000279513119</v>
      </c>
      <c r="F2733" s="359">
        <f t="shared" si="2773"/>
        <v>7467987.0510326521</v>
      </c>
      <c r="G2733" s="359">
        <f>'DRE + DCF'!$W$31</f>
        <v>2791623.3540418856</v>
      </c>
      <c r="H2733" s="359">
        <f>'DRE + DCF'!$W$32</f>
        <v>81081.931703745853</v>
      </c>
      <c r="I2733" s="359">
        <f>-H2733*('DRE + DCF'!$V$33+K2733)/'DRE + DCF'!$V$33</f>
        <v>-90858.801614444121</v>
      </c>
      <c r="J2733" s="359">
        <f>-'DRE + DCF'!$V$56*L2733</f>
        <v>-1188924.4255577971</v>
      </c>
      <c r="K2733" s="360">
        <f>(1+L2733)/(1+Ke!$O$12)-1</f>
        <v>2.0000000000000018E-2</v>
      </c>
      <c r="L2733" s="360">
        <f>'DRE + DCF'!$Y$31</f>
        <v>7.3550000000000004E-2</v>
      </c>
      <c r="M2733" s="361">
        <f>(1+D2733)^((5-Dashboard!$F$9)*3/12)</f>
        <v>1.2496715830407898</v>
      </c>
      <c r="N2733" s="361">
        <f t="shared" ref="N2733:V2733" si="2806">M2733*(1+$D2733)</f>
        <v>1.6821204343520266</v>
      </c>
      <c r="O2733" s="361">
        <f t="shared" si="2806"/>
        <v>2.2642182106595068</v>
      </c>
      <c r="P2733" s="361">
        <f t="shared" si="2806"/>
        <v>3.0477509224581771</v>
      </c>
      <c r="Q2733" s="361">
        <f t="shared" si="2806"/>
        <v>4.1024251291747591</v>
      </c>
      <c r="R2733" s="361">
        <f t="shared" si="2806"/>
        <v>5.5220693451255904</v>
      </c>
      <c r="S2733" s="361">
        <f t="shared" si="2806"/>
        <v>7.4329814420061746</v>
      </c>
      <c r="T2733" s="361">
        <f t="shared" si="2806"/>
        <v>10.005164670012242</v>
      </c>
      <c r="U2733" s="361">
        <f t="shared" si="2806"/>
        <v>13.467451904069749</v>
      </c>
      <c r="V2733" s="362">
        <f t="shared" si="2806"/>
        <v>18.127863635472778</v>
      </c>
      <c r="X2733" s="351"/>
    </row>
    <row r="2734" spans="3:24" ht="24.75" customHeight="1" x14ac:dyDescent="0.3">
      <c r="C2734" s="353">
        <f>ABS(E2734-Dashboard!$F$14)</f>
        <v>53.826725723160742</v>
      </c>
      <c r="D2734" s="350">
        <f t="shared" si="2775"/>
        <v>0.34614999999997714</v>
      </c>
      <c r="E2734" s="359" cm="1">
        <f t="array" ref="E2734">1000*SUM('DRE + DCF'!$L$36/M2734,'DRE + DCF'!$N$36:$V$36/N2734:V2734,F2734/V2734)/Dashboard!$F$11</f>
        <v>43.163274276839253</v>
      </c>
      <c r="F2734" s="359">
        <f t="shared" si="2773"/>
        <v>7465585.0331698107</v>
      </c>
      <c r="G2734" s="359">
        <f>'DRE + DCF'!$W$31</f>
        <v>2791623.3540418856</v>
      </c>
      <c r="H2734" s="359">
        <f>'DRE + DCF'!$W$32</f>
        <v>81081.931703745853</v>
      </c>
      <c r="I2734" s="359">
        <f>-H2734*('DRE + DCF'!$V$33+K2734)/'DRE + DCF'!$V$33</f>
        <v>-90858.801614444121</v>
      </c>
      <c r="J2734" s="359">
        <f>-'DRE + DCF'!$V$56*L2734</f>
        <v>-1188924.4255577971</v>
      </c>
      <c r="K2734" s="360">
        <f>(1+L2734)/(1+Ke!$O$12)-1</f>
        <v>2.0000000000000018E-2</v>
      </c>
      <c r="L2734" s="360">
        <f>'DRE + DCF'!$Y$31</f>
        <v>7.3550000000000004E-2</v>
      </c>
      <c r="M2734" s="361">
        <f>(1+D2734)^((5-Dashboard!$F$9)*3/12)</f>
        <v>1.2497412123252749</v>
      </c>
      <c r="N2734" s="361">
        <f t="shared" ref="N2734:V2734" si="2807">M2734*(1+$D2734)</f>
        <v>1.6823391329716402</v>
      </c>
      <c r="O2734" s="361">
        <f t="shared" si="2807"/>
        <v>2.2646808238497349</v>
      </c>
      <c r="P2734" s="361">
        <f t="shared" si="2807"/>
        <v>3.0486000910252686</v>
      </c>
      <c r="Q2734" s="361">
        <f t="shared" si="2807"/>
        <v>4.1038730125335956</v>
      </c>
      <c r="R2734" s="361">
        <f t="shared" si="2807"/>
        <v>5.5244286558220059</v>
      </c>
      <c r="S2734" s="361">
        <f t="shared" si="2807"/>
        <v>7.4367096350346671</v>
      </c>
      <c r="T2734" s="361">
        <f t="shared" si="2807"/>
        <v>10.010926675201747</v>
      </c>
      <c r="U2734" s="361">
        <f t="shared" si="2807"/>
        <v>13.476208943822602</v>
      </c>
      <c r="V2734" s="362">
        <f t="shared" si="2807"/>
        <v>18.140998669726486</v>
      </c>
      <c r="X2734" s="351"/>
    </row>
    <row r="2735" spans="3:24" ht="24.75" customHeight="1" x14ac:dyDescent="0.3">
      <c r="C2735" s="353">
        <f>ABS(E2735-Dashboard!$F$14)</f>
        <v>53.845436949886086</v>
      </c>
      <c r="D2735" s="350">
        <f t="shared" si="2775"/>
        <v>0.34624999999997713</v>
      </c>
      <c r="E2735" s="359" cm="1">
        <f t="array" ref="E2735">1000*SUM('DRE + DCF'!$L$36/M2735,'DRE + DCF'!$N$36:$V$36/N2735:V2735,F2735/V2735)/Dashboard!$F$11</f>
        <v>43.144563050113909</v>
      </c>
      <c r="F2735" s="359">
        <f t="shared" si="2773"/>
        <v>7463184.5820755437</v>
      </c>
      <c r="G2735" s="359">
        <f>'DRE + DCF'!$W$31</f>
        <v>2791623.3540418856</v>
      </c>
      <c r="H2735" s="359">
        <f>'DRE + DCF'!$W$32</f>
        <v>81081.931703745853</v>
      </c>
      <c r="I2735" s="359">
        <f>-H2735*('DRE + DCF'!$V$33+K2735)/'DRE + DCF'!$V$33</f>
        <v>-90858.801614444121</v>
      </c>
      <c r="J2735" s="359">
        <f>-'DRE + DCF'!$V$56*L2735</f>
        <v>-1188924.4255577971</v>
      </c>
      <c r="K2735" s="360">
        <f>(1+L2735)/(1+Ke!$O$12)-1</f>
        <v>2.0000000000000018E-2</v>
      </c>
      <c r="L2735" s="360">
        <f>'DRE + DCF'!$Y$31</f>
        <v>7.3550000000000004E-2</v>
      </c>
      <c r="M2735" s="361">
        <f>(1+D2735)^((5-Dashboard!$F$9)*3/12)</f>
        <v>1.2498108403166528</v>
      </c>
      <c r="N2735" s="361">
        <f t="shared" ref="N2735:V2735" si="2808">M2735*(1+$D2735)</f>
        <v>1.6825578437762652</v>
      </c>
      <c r="O2735" s="361">
        <f t="shared" si="2808"/>
        <v>2.2651434971837583</v>
      </c>
      <c r="P2735" s="361">
        <f t="shared" si="2808"/>
        <v>3.0494494330835828</v>
      </c>
      <c r="Q2735" s="361">
        <f t="shared" si="2808"/>
        <v>4.1053212992887032</v>
      </c>
      <c r="R2735" s="361">
        <f t="shared" si="2808"/>
        <v>5.5267887991673224</v>
      </c>
      <c r="S2735" s="361">
        <f t="shared" si="2808"/>
        <v>7.4404394208788807</v>
      </c>
      <c r="T2735" s="361">
        <f t="shared" si="2808"/>
        <v>10.016691570358022</v>
      </c>
      <c r="U2735" s="361">
        <f t="shared" si="2808"/>
        <v>13.484971026594257</v>
      </c>
      <c r="V2735" s="362">
        <f t="shared" si="2808"/>
        <v>18.154142244552208</v>
      </c>
      <c r="X2735" s="351"/>
    </row>
    <row r="2736" spans="3:24" ht="24.75" customHeight="1" x14ac:dyDescent="0.3">
      <c r="C2736" s="353">
        <f>ABS(E2736-Dashboard!$F$14)</f>
        <v>53.864133416927871</v>
      </c>
      <c r="D2736" s="350">
        <f t="shared" si="2775"/>
        <v>0.34634999999997712</v>
      </c>
      <c r="E2736" s="359" cm="1">
        <f t="array" ref="E2736">1000*SUM('DRE + DCF'!$L$36/M2736,'DRE + DCF'!$N$36:$V$36/N2736:V2736,F2736/V2736)/Dashboard!$F$11</f>
        <v>43.125866583072124</v>
      </c>
      <c r="F2736" s="359">
        <f t="shared" si="2773"/>
        <v>7460785.6961956099</v>
      </c>
      <c r="G2736" s="359">
        <f>'DRE + DCF'!$W$31</f>
        <v>2791623.3540418856</v>
      </c>
      <c r="H2736" s="359">
        <f>'DRE + DCF'!$W$32</f>
        <v>81081.931703745853</v>
      </c>
      <c r="I2736" s="359">
        <f>-H2736*('DRE + DCF'!$V$33+K2736)/'DRE + DCF'!$V$33</f>
        <v>-90858.801614444121</v>
      </c>
      <c r="J2736" s="359">
        <f>-'DRE + DCF'!$V$56*L2736</f>
        <v>-1188924.4255577971</v>
      </c>
      <c r="K2736" s="360">
        <f>(1+L2736)/(1+Ke!$O$12)-1</f>
        <v>2.0000000000000018E-2</v>
      </c>
      <c r="L2736" s="360">
        <f>'DRE + DCF'!$Y$31</f>
        <v>7.3550000000000004E-2</v>
      </c>
      <c r="M2736" s="361">
        <f>(1+D2736)^((5-Dashboard!$F$9)*3/12)</f>
        <v>1.2498804670150436</v>
      </c>
      <c r="N2736" s="361">
        <f t="shared" ref="N2736:V2736" si="2809">M2736*(1+$D2736)</f>
        <v>1.6827765667656753</v>
      </c>
      <c r="O2736" s="361">
        <f t="shared" si="2809"/>
        <v>2.2656062306649285</v>
      </c>
      <c r="P2736" s="361">
        <f t="shared" si="2809"/>
        <v>3.0502989486556746</v>
      </c>
      <c r="Q2736" s="361">
        <f t="shared" si="2809"/>
        <v>4.1067699895224976</v>
      </c>
      <c r="R2736" s="361">
        <f t="shared" si="2809"/>
        <v>5.5291497753935204</v>
      </c>
      <c r="S2736" s="361">
        <f t="shared" si="2809"/>
        <v>7.444170800100939</v>
      </c>
      <c r="T2736" s="361">
        <f t="shared" si="2809"/>
        <v>10.022459356715729</v>
      </c>
      <c r="U2736" s="361">
        <f t="shared" si="2809"/>
        <v>13.493738154913991</v>
      </c>
      <c r="V2736" s="362">
        <f t="shared" si="2809"/>
        <v>18.167294364868145</v>
      </c>
      <c r="X2736" s="351"/>
    </row>
    <row r="2737" spans="3:24" ht="24.75" customHeight="1" x14ac:dyDescent="0.3">
      <c r="C2737" s="353">
        <f>ABS(E2737-Dashboard!$F$14)</f>
        <v>53.882815140528237</v>
      </c>
      <c r="D2737" s="350">
        <f t="shared" si="2775"/>
        <v>0.34644999999997711</v>
      </c>
      <c r="E2737" s="359" cm="1">
        <f t="array" ref="E2737">1000*SUM('DRE + DCF'!$L$36/M2737,'DRE + DCF'!$N$36:$V$36/N2737:V2737,F2737/V2737)/Dashboard!$F$11</f>
        <v>43.107184859471758</v>
      </c>
      <c r="F2737" s="359">
        <f t="shared" si="2773"/>
        <v>7458388.3739778511</v>
      </c>
      <c r="G2737" s="359">
        <f>'DRE + DCF'!$W$31</f>
        <v>2791623.3540418856</v>
      </c>
      <c r="H2737" s="359">
        <f>'DRE + DCF'!$W$32</f>
        <v>81081.931703745853</v>
      </c>
      <c r="I2737" s="359">
        <f>-H2737*('DRE + DCF'!$V$33+K2737)/'DRE + DCF'!$V$33</f>
        <v>-90858.801614444121</v>
      </c>
      <c r="J2737" s="359">
        <f>-'DRE + DCF'!$V$56*L2737</f>
        <v>-1188924.4255577971</v>
      </c>
      <c r="K2737" s="360">
        <f>(1+L2737)/(1+Ke!$O$12)-1</f>
        <v>2.0000000000000018E-2</v>
      </c>
      <c r="L2737" s="360">
        <f>'DRE + DCF'!$Y$31</f>
        <v>7.3550000000000004E-2</v>
      </c>
      <c r="M2737" s="361">
        <f>(1+D2737)^((5-Dashboard!$F$9)*3/12)</f>
        <v>1.2499500924205678</v>
      </c>
      <c r="N2737" s="361">
        <f t="shared" ref="N2737:V2737" si="2810">M2737*(1+$D2737)</f>
        <v>1.6829953019396449</v>
      </c>
      <c r="O2737" s="361">
        <f t="shared" si="2810"/>
        <v>2.2660690242965962</v>
      </c>
      <c r="P2737" s="361">
        <f t="shared" si="2810"/>
        <v>3.0511486377640997</v>
      </c>
      <c r="Q2737" s="361">
        <f t="shared" si="2810"/>
        <v>4.1082190833174019</v>
      </c>
      <c r="R2737" s="361">
        <f t="shared" si="2810"/>
        <v>5.5315115847326215</v>
      </c>
      <c r="S2737" s="361">
        <f t="shared" si="2810"/>
        <v>7.4479037732631115</v>
      </c>
      <c r="T2737" s="361">
        <f t="shared" si="2810"/>
        <v>10.028230035509946</v>
      </c>
      <c r="U2737" s="361">
        <f t="shared" si="2810"/>
        <v>13.502510331312136</v>
      </c>
      <c r="V2737" s="362">
        <f t="shared" si="2810"/>
        <v>18.180455035594914</v>
      </c>
      <c r="X2737" s="351"/>
    </row>
    <row r="2738" spans="3:24" ht="24.75" customHeight="1" x14ac:dyDescent="0.3">
      <c r="C2738" s="353">
        <f>ABS(E2738-Dashboard!$F$14)</f>
        <v>53.901482136906566</v>
      </c>
      <c r="D2738" s="350">
        <f t="shared" si="2775"/>
        <v>0.3465499999999771</v>
      </c>
      <c r="E2738" s="359" cm="1">
        <f t="array" ref="E2738">1000*SUM('DRE + DCF'!$L$36/M2738,'DRE + DCF'!$N$36:$V$36/N2738:V2738,F2738/V2738)/Dashboard!$F$11</f>
        <v>43.088517863093429</v>
      </c>
      <c r="F2738" s="359">
        <f t="shared" si="2773"/>
        <v>7455992.6138721909</v>
      </c>
      <c r="G2738" s="359">
        <f>'DRE + DCF'!$W$31</f>
        <v>2791623.3540418856</v>
      </c>
      <c r="H2738" s="359">
        <f>'DRE + DCF'!$W$32</f>
        <v>81081.931703745853</v>
      </c>
      <c r="I2738" s="359">
        <f>-H2738*('DRE + DCF'!$V$33+K2738)/'DRE + DCF'!$V$33</f>
        <v>-90858.801614444121</v>
      </c>
      <c r="J2738" s="359">
        <f>-'DRE + DCF'!$V$56*L2738</f>
        <v>-1188924.4255577971</v>
      </c>
      <c r="K2738" s="360">
        <f>(1+L2738)/(1+Ke!$O$12)-1</f>
        <v>2.0000000000000018E-2</v>
      </c>
      <c r="L2738" s="360">
        <f>'DRE + DCF'!$Y$31</f>
        <v>7.3550000000000004E-2</v>
      </c>
      <c r="M2738" s="361">
        <f>(1+D2738)^((5-Dashboard!$F$9)*3/12)</f>
        <v>1.2500197165333451</v>
      </c>
      <c r="N2738" s="361">
        <f t="shared" ref="N2738:V2738" si="2811">M2738*(1+$D2738)</f>
        <v>1.683214049297947</v>
      </c>
      <c r="O2738" s="361">
        <f t="shared" si="2811"/>
        <v>2.266531878082112</v>
      </c>
      <c r="P2738" s="361">
        <f t="shared" si="2811"/>
        <v>3.0519985004314161</v>
      </c>
      <c r="Q2738" s="361">
        <f t="shared" si="2811"/>
        <v>4.1096685807558533</v>
      </c>
      <c r="R2738" s="361">
        <f t="shared" si="2811"/>
        <v>5.5338742274166997</v>
      </c>
      <c r="S2738" s="361">
        <f t="shared" si="2811"/>
        <v>7.45163834092783</v>
      </c>
      <c r="T2738" s="361">
        <f t="shared" si="2811"/>
        <v>10.034003607976198</v>
      </c>
      <c r="U2738" s="361">
        <f t="shared" si="2811"/>
        <v>13.511287558320118</v>
      </c>
      <c r="V2738" s="362">
        <f t="shared" si="2811"/>
        <v>18.193624261655646</v>
      </c>
      <c r="X2738" s="351"/>
    </row>
    <row r="2739" spans="3:24" ht="24.75" customHeight="1" x14ac:dyDescent="0.3">
      <c r="C2739" s="353">
        <f>ABS(E2739-Dashboard!$F$14)</f>
        <v>53.920134422259466</v>
      </c>
      <c r="D2739" s="350">
        <f t="shared" si="2775"/>
        <v>0.34664999999997709</v>
      </c>
      <c r="E2739" s="359" cm="1">
        <f t="array" ref="E2739">1000*SUM('DRE + DCF'!$L$36/M2739,'DRE + DCF'!$N$36:$V$36/N2739:V2739,F2739/V2739)/Dashboard!$F$11</f>
        <v>43.069865577740529</v>
      </c>
      <c r="F2739" s="359">
        <f t="shared" si="2773"/>
        <v>7453598.4143306259</v>
      </c>
      <c r="G2739" s="359">
        <f>'DRE + DCF'!$W$31</f>
        <v>2791623.3540418856</v>
      </c>
      <c r="H2739" s="359">
        <f>'DRE + DCF'!$W$32</f>
        <v>81081.931703745853</v>
      </c>
      <c r="I2739" s="359">
        <f>-H2739*('DRE + DCF'!$V$33+K2739)/'DRE + DCF'!$V$33</f>
        <v>-90858.801614444121</v>
      </c>
      <c r="J2739" s="359">
        <f>-'DRE + DCF'!$V$56*L2739</f>
        <v>-1188924.4255577971</v>
      </c>
      <c r="K2739" s="360">
        <f>(1+L2739)/(1+Ke!$O$12)-1</f>
        <v>2.0000000000000018E-2</v>
      </c>
      <c r="L2739" s="360">
        <f>'DRE + DCF'!$Y$31</f>
        <v>7.3550000000000004E-2</v>
      </c>
      <c r="M2739" s="361">
        <f>(1+D2739)^((5-Dashboard!$F$9)*3/12)</f>
        <v>1.2500893393534955</v>
      </c>
      <c r="N2739" s="361">
        <f t="shared" ref="N2739:V2739" si="2812">M2739*(1+$D2739)</f>
        <v>1.6834328088403561</v>
      </c>
      <c r="O2739" s="361">
        <f t="shared" si="2812"/>
        <v>2.266994792024827</v>
      </c>
      <c r="P2739" s="361">
        <f t="shared" si="2812"/>
        <v>3.0528485366801812</v>
      </c>
      <c r="Q2739" s="361">
        <f t="shared" si="2812"/>
        <v>4.1111184819202959</v>
      </c>
      <c r="R2739" s="361">
        <f t="shared" si="2812"/>
        <v>5.5362377036778723</v>
      </c>
      <c r="S2739" s="361">
        <f t="shared" si="2812"/>
        <v>7.45537450365768</v>
      </c>
      <c r="T2739" s="361">
        <f t="shared" si="2812"/>
        <v>10.039780075350443</v>
      </c>
      <c r="U2739" s="361">
        <f t="shared" si="2812"/>
        <v>13.520069838470443</v>
      </c>
      <c r="V2739" s="362">
        <f t="shared" si="2812"/>
        <v>18.206802047975913</v>
      </c>
      <c r="X2739" s="351"/>
    </row>
    <row r="2740" spans="3:24" ht="24.75" customHeight="1" x14ac:dyDescent="0.3">
      <c r="C2740" s="353">
        <f>ABS(E2740-Dashboard!$F$14)</f>
        <v>53.938772012760872</v>
      </c>
      <c r="D2740" s="350">
        <f t="shared" si="2775"/>
        <v>0.34674999999997708</v>
      </c>
      <c r="E2740" s="359" cm="1">
        <f t="array" ref="E2740">1000*SUM('DRE + DCF'!$L$36/M2740,'DRE + DCF'!$N$36:$V$36/N2740:V2740,F2740/V2740)/Dashboard!$F$11</f>
        <v>43.051227987239123</v>
      </c>
      <c r="F2740" s="359">
        <f t="shared" si="2773"/>
        <v>7451205.7738072285</v>
      </c>
      <c r="G2740" s="359">
        <f>'DRE + DCF'!$W$31</f>
        <v>2791623.3540418856</v>
      </c>
      <c r="H2740" s="359">
        <f>'DRE + DCF'!$W$32</f>
        <v>81081.931703745853</v>
      </c>
      <c r="I2740" s="359">
        <f>-H2740*('DRE + DCF'!$V$33+K2740)/'DRE + DCF'!$V$33</f>
        <v>-90858.801614444121</v>
      </c>
      <c r="J2740" s="359">
        <f>-'DRE + DCF'!$V$56*L2740</f>
        <v>-1188924.4255577971</v>
      </c>
      <c r="K2740" s="360">
        <f>(1+L2740)/(1+Ke!$O$12)-1</f>
        <v>2.0000000000000018E-2</v>
      </c>
      <c r="L2740" s="360">
        <f>'DRE + DCF'!$Y$31</f>
        <v>7.3550000000000004E-2</v>
      </c>
      <c r="M2740" s="361">
        <f>(1+D2740)^((5-Dashboard!$F$9)*3/12)</f>
        <v>1.2501589608811392</v>
      </c>
      <c r="N2740" s="361">
        <f t="shared" ref="N2740:V2740" si="2813">M2740*(1+$D2740)</f>
        <v>1.6836515805666454</v>
      </c>
      <c r="O2740" s="361">
        <f t="shared" si="2813"/>
        <v>2.267457766128091</v>
      </c>
      <c r="P2740" s="361">
        <f t="shared" si="2813"/>
        <v>3.0536987465329544</v>
      </c>
      <c r="Q2740" s="361">
        <f t="shared" si="2813"/>
        <v>4.1125687868931857</v>
      </c>
      <c r="R2740" s="361">
        <f t="shared" si="2813"/>
        <v>5.538602013748303</v>
      </c>
      <c r="S2740" s="361">
        <f t="shared" si="2813"/>
        <v>7.4591122620153998</v>
      </c>
      <c r="T2740" s="361">
        <f t="shared" si="2813"/>
        <v>10.045559438869068</v>
      </c>
      <c r="U2740" s="361">
        <f t="shared" si="2813"/>
        <v>13.528857174296686</v>
      </c>
      <c r="V2740" s="362">
        <f t="shared" si="2813"/>
        <v>18.21998839948375</v>
      </c>
      <c r="X2740" s="351"/>
    </row>
    <row r="2741" spans="3:24" ht="24.75" customHeight="1" x14ac:dyDescent="0.3">
      <c r="C2741" s="353">
        <f>ABS(E2741-Dashboard!$F$14)</f>
        <v>53.957394924562067</v>
      </c>
      <c r="D2741" s="350">
        <f t="shared" si="2775"/>
        <v>0.34684999999997707</v>
      </c>
      <c r="E2741" s="359" cm="1">
        <f t="array" ref="E2741">1000*SUM('DRE + DCF'!$L$36/M2741,'DRE + DCF'!$N$36:$V$36/N2741:V2741,F2741/V2741)/Dashboard!$F$11</f>
        <v>43.032605075437928</v>
      </c>
      <c r="F2741" s="359">
        <f t="shared" si="2773"/>
        <v>7448814.690758138</v>
      </c>
      <c r="G2741" s="359">
        <f>'DRE + DCF'!$W$31</f>
        <v>2791623.3540418856</v>
      </c>
      <c r="H2741" s="359">
        <f>'DRE + DCF'!$W$32</f>
        <v>81081.931703745853</v>
      </c>
      <c r="I2741" s="359">
        <f>-H2741*('DRE + DCF'!$V$33+K2741)/'DRE + DCF'!$V$33</f>
        <v>-90858.801614444121</v>
      </c>
      <c r="J2741" s="359">
        <f>-'DRE + DCF'!$V$56*L2741</f>
        <v>-1188924.4255577971</v>
      </c>
      <c r="K2741" s="360">
        <f>(1+L2741)/(1+Ke!$O$12)-1</f>
        <v>2.0000000000000018E-2</v>
      </c>
      <c r="L2741" s="360">
        <f>'DRE + DCF'!$Y$31</f>
        <v>7.3550000000000004E-2</v>
      </c>
      <c r="M2741" s="361">
        <f>(1+D2741)^((5-Dashboard!$F$9)*3/12)</f>
        <v>1.2502285811163958</v>
      </c>
      <c r="N2741" s="361">
        <f t="shared" ref="N2741:V2741" si="2814">M2741*(1+$D2741)</f>
        <v>1.6838703644765889</v>
      </c>
      <c r="O2741" s="361">
        <f t="shared" si="2814"/>
        <v>2.2679208003952551</v>
      </c>
      <c r="P2741" s="361">
        <f t="shared" si="2814"/>
        <v>3.0545491300122971</v>
      </c>
      <c r="Q2741" s="361">
        <f t="shared" si="2814"/>
        <v>4.1140194957569918</v>
      </c>
      <c r="R2741" s="361">
        <f t="shared" si="2814"/>
        <v>5.5409671578602095</v>
      </c>
      <c r="S2741" s="361">
        <f t="shared" si="2814"/>
        <v>7.4628516165638956</v>
      </c>
      <c r="T2741" s="361">
        <f t="shared" si="2814"/>
        <v>10.051341699768912</v>
      </c>
      <c r="U2741" s="361">
        <f t="shared" si="2814"/>
        <v>13.537649568333528</v>
      </c>
      <c r="V2741" s="362">
        <f t="shared" si="2814"/>
        <v>18.233183321109699</v>
      </c>
      <c r="X2741" s="351"/>
    </row>
    <row r="2742" spans="3:24" ht="24.75" customHeight="1" x14ac:dyDescent="0.3">
      <c r="C2742" s="353">
        <f>ABS(E2742-Dashboard!$F$14)</f>
        <v>53.97600317379171</v>
      </c>
      <c r="D2742" s="350">
        <f t="shared" si="2775"/>
        <v>0.34694999999997705</v>
      </c>
      <c r="E2742" s="359" cm="1">
        <f t="array" ref="E2742">1000*SUM('DRE + DCF'!$L$36/M2742,'DRE + DCF'!$N$36:$V$36/N2742:V2742,F2742/V2742)/Dashboard!$F$11</f>
        <v>43.013996826208285</v>
      </c>
      <c r="F2742" s="359">
        <f t="shared" si="2773"/>
        <v>7446425.163641559</v>
      </c>
      <c r="G2742" s="359">
        <f>'DRE + DCF'!$W$31</f>
        <v>2791623.3540418856</v>
      </c>
      <c r="H2742" s="359">
        <f>'DRE + DCF'!$W$32</f>
        <v>81081.931703745853</v>
      </c>
      <c r="I2742" s="359">
        <f>-H2742*('DRE + DCF'!$V$33+K2742)/'DRE + DCF'!$V$33</f>
        <v>-90858.801614444121</v>
      </c>
      <c r="J2742" s="359">
        <f>-'DRE + DCF'!$V$56*L2742</f>
        <v>-1188924.4255577971</v>
      </c>
      <c r="K2742" s="360">
        <f>(1+L2742)/(1+Ke!$O$12)-1</f>
        <v>2.0000000000000018E-2</v>
      </c>
      <c r="L2742" s="360">
        <f>'DRE + DCF'!$Y$31</f>
        <v>7.3550000000000004E-2</v>
      </c>
      <c r="M2742" s="361">
        <f>(1+D2742)^((5-Dashboard!$F$9)*3/12)</f>
        <v>1.2502982000593856</v>
      </c>
      <c r="N2742" s="361">
        <f t="shared" ref="N2742:V2742" si="2815">M2742*(1+$D2742)</f>
        <v>1.6840891605699608</v>
      </c>
      <c r="O2742" s="361">
        <f t="shared" si="2815"/>
        <v>2.26838389482967</v>
      </c>
      <c r="P2742" s="361">
        <f t="shared" si="2815"/>
        <v>3.0553996871407718</v>
      </c>
      <c r="Q2742" s="361">
        <f t="shared" si="2815"/>
        <v>4.1154706085941921</v>
      </c>
      <c r="R2742" s="361">
        <f t="shared" si="2815"/>
        <v>5.5433331362458524</v>
      </c>
      <c r="S2742" s="361">
        <f t="shared" si="2815"/>
        <v>7.4665925678662237</v>
      </c>
      <c r="T2742" s="361">
        <f t="shared" si="2815"/>
        <v>10.057126859287239</v>
      </c>
      <c r="U2742" s="361">
        <f t="shared" si="2815"/>
        <v>13.546447023116714</v>
      </c>
      <c r="V2742" s="362">
        <f t="shared" si="2815"/>
        <v>18.246386817786746</v>
      </c>
      <c r="X2742" s="351"/>
    </row>
    <row r="2743" spans="3:24" ht="24.75" customHeight="1" x14ac:dyDescent="0.3">
      <c r="C2743" s="353">
        <f>ABS(E2743-Dashboard!$F$14)</f>
        <v>53.994596776555859</v>
      </c>
      <c r="D2743" s="350">
        <f t="shared" si="2775"/>
        <v>0.34704999999997704</v>
      </c>
      <c r="E2743" s="359" cm="1">
        <f t="array" ref="E2743">1000*SUM('DRE + DCF'!$L$36/M2743,'DRE + DCF'!$N$36:$V$36/N2743:V2743,F2743/V2743)/Dashboard!$F$11</f>
        <v>42.995403223444136</v>
      </c>
      <c r="F2743" s="359">
        <f t="shared" si="2773"/>
        <v>7444037.1909177639</v>
      </c>
      <c r="G2743" s="359">
        <f>'DRE + DCF'!$W$31</f>
        <v>2791623.3540418856</v>
      </c>
      <c r="H2743" s="359">
        <f>'DRE + DCF'!$W$32</f>
        <v>81081.931703745853</v>
      </c>
      <c r="I2743" s="359">
        <f>-H2743*('DRE + DCF'!$V$33+K2743)/'DRE + DCF'!$V$33</f>
        <v>-90858.801614444121</v>
      </c>
      <c r="J2743" s="359">
        <f>-'DRE + DCF'!$V$56*L2743</f>
        <v>-1188924.4255577971</v>
      </c>
      <c r="K2743" s="360">
        <f>(1+L2743)/(1+Ke!$O$12)-1</f>
        <v>2.0000000000000018E-2</v>
      </c>
      <c r="L2743" s="360">
        <f>'DRE + DCF'!$Y$31</f>
        <v>7.3550000000000004E-2</v>
      </c>
      <c r="M2743" s="361">
        <f>(1+D2743)^((5-Dashboard!$F$9)*3/12)</f>
        <v>1.2503678177102284</v>
      </c>
      <c r="N2743" s="361">
        <f t="shared" ref="N2743:V2743" si="2816">M2743*(1+$D2743)</f>
        <v>1.6843079688465343</v>
      </c>
      <c r="O2743" s="361">
        <f t="shared" si="2816"/>
        <v>2.2688470494346853</v>
      </c>
      <c r="P2743" s="361">
        <f t="shared" si="2816"/>
        <v>3.0562504179409404</v>
      </c>
      <c r="Q2743" s="361">
        <f t="shared" si="2816"/>
        <v>4.1169221254872737</v>
      </c>
      <c r="R2743" s="361">
        <f t="shared" si="2816"/>
        <v>5.5456999491375374</v>
      </c>
      <c r="S2743" s="361">
        <f t="shared" si="2816"/>
        <v>7.4703351164855922</v>
      </c>
      <c r="T2743" s="361">
        <f t="shared" si="2816"/>
        <v>10.062914918661745</v>
      </c>
      <c r="U2743" s="361">
        <f t="shared" si="2816"/>
        <v>13.555249541183072</v>
      </c>
      <c r="V2743" s="362">
        <f t="shared" si="2816"/>
        <v>18.259598894450345</v>
      </c>
      <c r="X2743" s="351"/>
    </row>
    <row r="2744" spans="3:24" ht="24.75" customHeight="1" x14ac:dyDescent="0.3">
      <c r="C2744" s="353">
        <f>ABS(E2744-Dashboard!$F$14)</f>
        <v>54.013175748938053</v>
      </c>
      <c r="D2744" s="350">
        <f t="shared" si="2775"/>
        <v>0.34714999999997703</v>
      </c>
      <c r="E2744" s="359" cm="1">
        <f t="array" ref="E2744">1000*SUM('DRE + DCF'!$L$36/M2744,'DRE + DCF'!$N$36:$V$36/N2744:V2744,F2744/V2744)/Dashboard!$F$11</f>
        <v>42.976824251061942</v>
      </c>
      <c r="F2744" s="359">
        <f t="shared" si="2773"/>
        <v>7441650.7710490786</v>
      </c>
      <c r="G2744" s="359">
        <f>'DRE + DCF'!$W$31</f>
        <v>2791623.3540418856</v>
      </c>
      <c r="H2744" s="359">
        <f>'DRE + DCF'!$W$32</f>
        <v>81081.931703745853</v>
      </c>
      <c r="I2744" s="359">
        <f>-H2744*('DRE + DCF'!$V$33+K2744)/'DRE + DCF'!$V$33</f>
        <v>-90858.801614444121</v>
      </c>
      <c r="J2744" s="359">
        <f>-'DRE + DCF'!$V$56*L2744</f>
        <v>-1188924.4255577971</v>
      </c>
      <c r="K2744" s="360">
        <f>(1+L2744)/(1+Ke!$O$12)-1</f>
        <v>2.0000000000000018E-2</v>
      </c>
      <c r="L2744" s="360">
        <f>'DRE + DCF'!$Y$31</f>
        <v>7.3550000000000004E-2</v>
      </c>
      <c r="M2744" s="361">
        <f>(1+D2744)^((5-Dashboard!$F$9)*3/12)</f>
        <v>1.2504374340690441</v>
      </c>
      <c r="N2744" s="361">
        <f t="shared" ref="N2744:V2744" si="2817">M2744*(1+$D2744)</f>
        <v>1.684526789306084</v>
      </c>
      <c r="O2744" s="361">
        <f t="shared" si="2817"/>
        <v>2.2693102642136522</v>
      </c>
      <c r="P2744" s="361">
        <f t="shared" si="2817"/>
        <v>3.0571013224353694</v>
      </c>
      <c r="Q2744" s="361">
        <f t="shared" si="2817"/>
        <v>4.1183740465187375</v>
      </c>
      <c r="R2744" s="361">
        <f t="shared" si="2817"/>
        <v>5.5480675967676225</v>
      </c>
      <c r="S2744" s="361">
        <f t="shared" si="2817"/>
        <v>7.4740792629853745</v>
      </c>
      <c r="T2744" s="361">
        <f t="shared" si="2817"/>
        <v>10.068705879130576</v>
      </c>
      <c r="U2744" s="361">
        <f t="shared" si="2817"/>
        <v>13.564057125070523</v>
      </c>
      <c r="V2744" s="362">
        <f t="shared" si="2817"/>
        <v>18.272819556038442</v>
      </c>
      <c r="X2744" s="351"/>
    </row>
    <row r="2745" spans="3:24" ht="24.75" customHeight="1" x14ac:dyDescent="0.3">
      <c r="C2745" s="353">
        <f>ABS(E2745-Dashboard!$F$14)</f>
        <v>54.031740106999301</v>
      </c>
      <c r="D2745" s="350">
        <f t="shared" si="2775"/>
        <v>0.34724999999997702</v>
      </c>
      <c r="E2745" s="359" cm="1">
        <f t="array" ref="E2745">1000*SUM('DRE + DCF'!$L$36/M2745,'DRE + DCF'!$N$36:$V$36/N2745:V2745,F2745/V2745)/Dashboard!$F$11</f>
        <v>42.958259893000694</v>
      </c>
      <c r="F2745" s="359">
        <f t="shared" si="2773"/>
        <v>7439265.9024998816</v>
      </c>
      <c r="G2745" s="359">
        <f>'DRE + DCF'!$W$31</f>
        <v>2791623.3540418856</v>
      </c>
      <c r="H2745" s="359">
        <f>'DRE + DCF'!$W$32</f>
        <v>81081.931703745853</v>
      </c>
      <c r="I2745" s="359">
        <f>-H2745*('DRE + DCF'!$V$33+K2745)/'DRE + DCF'!$V$33</f>
        <v>-90858.801614444121</v>
      </c>
      <c r="J2745" s="359">
        <f>-'DRE + DCF'!$V$56*L2745</f>
        <v>-1188924.4255577971</v>
      </c>
      <c r="K2745" s="360">
        <f>(1+L2745)/(1+Ke!$O$12)-1</f>
        <v>2.0000000000000018E-2</v>
      </c>
      <c r="L2745" s="360">
        <f>'DRE + DCF'!$Y$31</f>
        <v>7.3550000000000004E-2</v>
      </c>
      <c r="M2745" s="361">
        <f>(1+D2745)^((5-Dashboard!$F$9)*3/12)</f>
        <v>1.2505070491359525</v>
      </c>
      <c r="N2745" s="361">
        <f t="shared" ref="N2745:V2745" si="2818">M2745*(1+$D2745)</f>
        <v>1.6847456219483832</v>
      </c>
      <c r="O2745" s="361">
        <f t="shared" si="2818"/>
        <v>2.2697735391699205</v>
      </c>
      <c r="P2745" s="361">
        <f t="shared" si="2818"/>
        <v>3.0579524006466232</v>
      </c>
      <c r="Q2745" s="361">
        <f t="shared" si="2818"/>
        <v>4.1198263717710928</v>
      </c>
      <c r="R2745" s="361">
        <f t="shared" si="2818"/>
        <v>5.5504360793685095</v>
      </c>
      <c r="S2745" s="361">
        <f t="shared" si="2818"/>
        <v>7.4778250079290967</v>
      </c>
      <c r="T2745" s="361">
        <f t="shared" si="2818"/>
        <v>10.074499741932303</v>
      </c>
      <c r="U2745" s="361">
        <f t="shared" si="2818"/>
        <v>13.572869777318063</v>
      </c>
      <c r="V2745" s="362">
        <f t="shared" si="2818"/>
        <v>18.286048807491447</v>
      </c>
      <c r="X2745" s="351"/>
    </row>
    <row r="2746" spans="3:24" ht="24.75" customHeight="1" x14ac:dyDescent="0.3">
      <c r="C2746" s="353">
        <f>ABS(E2746-Dashboard!$F$14)</f>
        <v>54.050289866778172</v>
      </c>
      <c r="D2746" s="350">
        <f t="shared" si="2775"/>
        <v>0.34734999999997701</v>
      </c>
      <c r="E2746" s="359" cm="1">
        <f t="array" ref="E2746">1000*SUM('DRE + DCF'!$L$36/M2746,'DRE + DCF'!$N$36:$V$36/N2746:V2746,F2746/V2746)/Dashboard!$F$11</f>
        <v>42.939710133221823</v>
      </c>
      <c r="F2746" s="359">
        <f t="shared" si="2773"/>
        <v>7436882.5837366115</v>
      </c>
      <c r="G2746" s="359">
        <f>'DRE + DCF'!$W$31</f>
        <v>2791623.3540418856</v>
      </c>
      <c r="H2746" s="359">
        <f>'DRE + DCF'!$W$32</f>
        <v>81081.931703745853</v>
      </c>
      <c r="I2746" s="359">
        <f>-H2746*('DRE + DCF'!$V$33+K2746)/'DRE + DCF'!$V$33</f>
        <v>-90858.801614444121</v>
      </c>
      <c r="J2746" s="359">
        <f>-'DRE + DCF'!$V$56*L2746</f>
        <v>-1188924.4255577971</v>
      </c>
      <c r="K2746" s="360">
        <f>(1+L2746)/(1+Ke!$O$12)-1</f>
        <v>2.0000000000000018E-2</v>
      </c>
      <c r="L2746" s="360">
        <f>'DRE + DCF'!$Y$31</f>
        <v>7.3550000000000004E-2</v>
      </c>
      <c r="M2746" s="361">
        <f>(1+D2746)^((5-Dashboard!$F$9)*3/12)</f>
        <v>1.2505766629110735</v>
      </c>
      <c r="N2746" s="361">
        <f t="shared" ref="N2746:V2746" si="2819">M2746*(1+$D2746)</f>
        <v>1.684964466773206</v>
      </c>
      <c r="O2746" s="361">
        <f t="shared" si="2819"/>
        <v>2.2702368743068404</v>
      </c>
      <c r="P2746" s="361">
        <f t="shared" si="2819"/>
        <v>3.0588036525972693</v>
      </c>
      <c r="Q2746" s="361">
        <f t="shared" si="2819"/>
        <v>4.1212791013268602</v>
      </c>
      <c r="R2746" s="361">
        <f t="shared" si="2819"/>
        <v>5.5528053971726496</v>
      </c>
      <c r="S2746" s="361">
        <f t="shared" si="2819"/>
        <v>7.4815723518804411</v>
      </c>
      <c r="T2746" s="361">
        <f t="shared" si="2819"/>
        <v>10.08029650830594</v>
      </c>
      <c r="U2746" s="361">
        <f t="shared" si="2819"/>
        <v>13.581687500465776</v>
      </c>
      <c r="V2746" s="362">
        <f t="shared" si="2819"/>
        <v>18.299286653752251</v>
      </c>
      <c r="X2746" s="351"/>
    </row>
    <row r="2747" spans="3:24" ht="24.75" customHeight="1" x14ac:dyDescent="0.3">
      <c r="C2747" s="353">
        <f>ABS(E2747-Dashboard!$F$14)</f>
        <v>54.068825044290776</v>
      </c>
      <c r="D2747" s="350">
        <f t="shared" si="2775"/>
        <v>0.347449999999977</v>
      </c>
      <c r="E2747" s="359" cm="1">
        <f t="array" ref="E2747">1000*SUM('DRE + DCF'!$L$36/M2747,'DRE + DCF'!$N$36:$V$36/N2747:V2747,F2747/V2747)/Dashboard!$F$11</f>
        <v>42.921174955709219</v>
      </c>
      <c r="F2747" s="359">
        <f t="shared" si="2773"/>
        <v>7434500.8132277513</v>
      </c>
      <c r="G2747" s="359">
        <f>'DRE + DCF'!$W$31</f>
        <v>2791623.3540418856</v>
      </c>
      <c r="H2747" s="359">
        <f>'DRE + DCF'!$W$32</f>
        <v>81081.931703745853</v>
      </c>
      <c r="I2747" s="359">
        <f>-H2747*('DRE + DCF'!$V$33+K2747)/'DRE + DCF'!$V$33</f>
        <v>-90858.801614444121</v>
      </c>
      <c r="J2747" s="359">
        <f>-'DRE + DCF'!$V$56*L2747</f>
        <v>-1188924.4255577971</v>
      </c>
      <c r="K2747" s="360">
        <f>(1+L2747)/(1+Ke!$O$12)-1</f>
        <v>2.0000000000000018E-2</v>
      </c>
      <c r="L2747" s="360">
        <f>'DRE + DCF'!$Y$31</f>
        <v>7.3550000000000004E-2</v>
      </c>
      <c r="M2747" s="361">
        <f>(1+D2747)^((5-Dashboard!$F$9)*3/12)</f>
        <v>1.2506462753945271</v>
      </c>
      <c r="N2747" s="361">
        <f t="shared" ref="N2747:V2747" si="2820">M2747*(1+$D2747)</f>
        <v>1.6851833237803266</v>
      </c>
      <c r="O2747" s="361">
        <f t="shared" si="2820"/>
        <v>2.2707002696277625</v>
      </c>
      <c r="P2747" s="361">
        <f t="shared" si="2820"/>
        <v>3.0596550783098762</v>
      </c>
      <c r="Q2747" s="361">
        <f t="shared" si="2820"/>
        <v>4.1227322352685718</v>
      </c>
      <c r="R2747" s="361">
        <f t="shared" si="2820"/>
        <v>5.5551755504125424</v>
      </c>
      <c r="S2747" s="361">
        <f t="shared" si="2820"/>
        <v>7.485321295403252</v>
      </c>
      <c r="T2747" s="361">
        <f t="shared" si="2820"/>
        <v>10.086096179490939</v>
      </c>
      <c r="U2747" s="361">
        <f t="shared" si="2820"/>
        <v>13.590510297054832</v>
      </c>
      <c r="V2747" s="362">
        <f t="shared" si="2820"/>
        <v>18.31253309976622</v>
      </c>
      <c r="X2747" s="351"/>
    </row>
    <row r="2748" spans="3:24" ht="24.75" customHeight="1" x14ac:dyDescent="0.3">
      <c r="C2748" s="353">
        <f>ABS(E2748-Dashboard!$F$14)</f>
        <v>54.087345655530882</v>
      </c>
      <c r="D2748" s="350">
        <f t="shared" si="2775"/>
        <v>0.34754999999997699</v>
      </c>
      <c r="E2748" s="359" cm="1">
        <f t="array" ref="E2748">1000*SUM('DRE + DCF'!$L$36/M2748,'DRE + DCF'!$N$36:$V$36/N2748:V2748,F2748/V2748)/Dashboard!$F$11</f>
        <v>42.902654344469113</v>
      </c>
      <c r="F2748" s="359">
        <f t="shared" si="2773"/>
        <v>7432120.5894438252</v>
      </c>
      <c r="G2748" s="359">
        <f>'DRE + DCF'!$W$31</f>
        <v>2791623.3540418856</v>
      </c>
      <c r="H2748" s="359">
        <f>'DRE + DCF'!$W$32</f>
        <v>81081.931703745853</v>
      </c>
      <c r="I2748" s="359">
        <f>-H2748*('DRE + DCF'!$V$33+K2748)/'DRE + DCF'!$V$33</f>
        <v>-90858.801614444121</v>
      </c>
      <c r="J2748" s="359">
        <f>-'DRE + DCF'!$V$56*L2748</f>
        <v>-1188924.4255577971</v>
      </c>
      <c r="K2748" s="360">
        <f>(1+L2748)/(1+Ke!$O$12)-1</f>
        <v>2.0000000000000018E-2</v>
      </c>
      <c r="L2748" s="360">
        <f>'DRE + DCF'!$Y$31</f>
        <v>7.3550000000000004E-2</v>
      </c>
      <c r="M2748" s="361">
        <f>(1+D2748)^((5-Dashboard!$F$9)*3/12)</f>
        <v>1.250715886586433</v>
      </c>
      <c r="N2748" s="361">
        <f t="shared" ref="N2748:V2748" si="2821">M2748*(1+$D2748)</f>
        <v>1.6854021929695189</v>
      </c>
      <c r="O2748" s="361">
        <f t="shared" si="2821"/>
        <v>2.2711637251360361</v>
      </c>
      <c r="P2748" s="361">
        <f t="shared" si="2821"/>
        <v>3.0605066778070129</v>
      </c>
      <c r="Q2748" s="361">
        <f t="shared" si="2821"/>
        <v>4.1241857736787697</v>
      </c>
      <c r="R2748" s="361">
        <f t="shared" si="2821"/>
        <v>5.5575465393207306</v>
      </c>
      <c r="S2748" s="361">
        <f t="shared" si="2821"/>
        <v>7.4890718390615225</v>
      </c>
      <c r="T2748" s="361">
        <f t="shared" si="2821"/>
        <v>10.091898756727183</v>
      </c>
      <c r="U2748" s="361">
        <f t="shared" si="2821"/>
        <v>13.599338169627483</v>
      </c>
      <c r="V2748" s="362">
        <f t="shared" si="2821"/>
        <v>18.325788150481202</v>
      </c>
      <c r="X2748" s="351"/>
    </row>
    <row r="2749" spans="3:24" ht="24.75" customHeight="1" x14ac:dyDescent="0.3">
      <c r="C2749" s="353">
        <f>ABS(E2749-Dashboard!$F$14)</f>
        <v>54.10585171646985</v>
      </c>
      <c r="D2749" s="350">
        <f t="shared" si="2775"/>
        <v>0.34764999999997698</v>
      </c>
      <c r="E2749" s="359" cm="1">
        <f t="array" ref="E2749">1000*SUM('DRE + DCF'!$L$36/M2749,'DRE + DCF'!$N$36:$V$36/N2749:V2749,F2749/V2749)/Dashboard!$F$11</f>
        <v>42.884148283530145</v>
      </c>
      <c r="F2749" s="359">
        <f t="shared" si="2773"/>
        <v>7429741.9108574018</v>
      </c>
      <c r="G2749" s="359">
        <f>'DRE + DCF'!$W$31</f>
        <v>2791623.3540418856</v>
      </c>
      <c r="H2749" s="359">
        <f>'DRE + DCF'!$W$32</f>
        <v>81081.931703745853</v>
      </c>
      <c r="I2749" s="359">
        <f>-H2749*('DRE + DCF'!$V$33+K2749)/'DRE + DCF'!$V$33</f>
        <v>-90858.801614444121</v>
      </c>
      <c r="J2749" s="359">
        <f>-'DRE + DCF'!$V$56*L2749</f>
        <v>-1188924.4255577971</v>
      </c>
      <c r="K2749" s="360">
        <f>(1+L2749)/(1+Ke!$O$12)-1</f>
        <v>2.0000000000000018E-2</v>
      </c>
      <c r="L2749" s="360">
        <f>'DRE + DCF'!$Y$31</f>
        <v>7.3550000000000004E-2</v>
      </c>
      <c r="M2749" s="361">
        <f>(1+D2749)^((5-Dashboard!$F$9)*3/12)</f>
        <v>1.2507854964869107</v>
      </c>
      <c r="N2749" s="361">
        <f t="shared" ref="N2749:V2749" si="2822">M2749*(1+$D2749)</f>
        <v>1.6856210743405564</v>
      </c>
      <c r="O2749" s="361">
        <f t="shared" si="2822"/>
        <v>2.271627240835012</v>
      </c>
      <c r="P2749" s="361">
        <f t="shared" si="2822"/>
        <v>3.0613584511112517</v>
      </c>
      <c r="Q2749" s="361">
        <f t="shared" si="2822"/>
        <v>4.1256397166400074</v>
      </c>
      <c r="R2749" s="361">
        <f t="shared" si="2822"/>
        <v>5.5599183641298104</v>
      </c>
      <c r="S2749" s="361">
        <f t="shared" si="2822"/>
        <v>7.4928239834194104</v>
      </c>
      <c r="T2749" s="361">
        <f t="shared" si="2822"/>
        <v>10.097704241254995</v>
      </c>
      <c r="U2749" s="361">
        <f t="shared" si="2822"/>
        <v>13.608171120727061</v>
      </c>
      <c r="V2749" s="362">
        <f t="shared" si="2822"/>
        <v>18.339051810847508</v>
      </c>
      <c r="X2749" s="351"/>
    </row>
    <row r="2750" spans="3:24" ht="24.75" customHeight="1" x14ac:dyDescent="0.3">
      <c r="C2750" s="353">
        <f>ABS(E2750-Dashboard!$F$14)</f>
        <v>54.124343243056792</v>
      </c>
      <c r="D2750" s="350">
        <f t="shared" si="2775"/>
        <v>0.34774999999997697</v>
      </c>
      <c r="E2750" s="359" cm="1">
        <f t="array" ref="E2750">1000*SUM('DRE + DCF'!$L$36/M2750,'DRE + DCF'!$N$36:$V$36/N2750:V2750,F2750/V2750)/Dashboard!$F$11</f>
        <v>42.865656756943203</v>
      </c>
      <c r="F2750" s="359">
        <f t="shared" si="2773"/>
        <v>7427364.775943093</v>
      </c>
      <c r="G2750" s="359">
        <f>'DRE + DCF'!$W$31</f>
        <v>2791623.3540418856</v>
      </c>
      <c r="H2750" s="359">
        <f>'DRE + DCF'!$W$32</f>
        <v>81081.931703745853</v>
      </c>
      <c r="I2750" s="359">
        <f>-H2750*('DRE + DCF'!$V$33+K2750)/'DRE + DCF'!$V$33</f>
        <v>-90858.801614444121</v>
      </c>
      <c r="J2750" s="359">
        <f>-'DRE + DCF'!$V$56*L2750</f>
        <v>-1188924.4255577971</v>
      </c>
      <c r="K2750" s="360">
        <f>(1+L2750)/(1+Ke!$O$12)-1</f>
        <v>2.0000000000000018E-2</v>
      </c>
      <c r="L2750" s="360">
        <f>'DRE + DCF'!$Y$31</f>
        <v>7.3550000000000004E-2</v>
      </c>
      <c r="M2750" s="361">
        <f>(1+D2750)^((5-Dashboard!$F$9)*3/12)</f>
        <v>1.2508551050960808</v>
      </c>
      <c r="N2750" s="361">
        <f t="shared" ref="N2750:V2750" si="2823">M2750*(1+$D2750)</f>
        <v>1.6858399678932139</v>
      </c>
      <c r="O2750" s="361">
        <f t="shared" si="2823"/>
        <v>2.2720908167280403</v>
      </c>
      <c r="P2750" s="361">
        <f t="shared" si="2823"/>
        <v>3.0622103982451638</v>
      </c>
      <c r="Q2750" s="361">
        <f t="shared" si="2823"/>
        <v>4.127094064234849</v>
      </c>
      <c r="R2750" s="361">
        <f t="shared" si="2823"/>
        <v>5.5622910250724225</v>
      </c>
      <c r="S2750" s="361">
        <f t="shared" si="2823"/>
        <v>7.4965777290412285</v>
      </c>
      <c r="T2750" s="361">
        <f t="shared" si="2823"/>
        <v>10.103512634315143</v>
      </c>
      <c r="U2750" s="361">
        <f t="shared" si="2823"/>
        <v>13.617009152898001</v>
      </c>
      <c r="V2750" s="362">
        <f t="shared" si="2823"/>
        <v>18.352324085817965</v>
      </c>
      <c r="X2750" s="351"/>
    </row>
    <row r="2751" spans="3:24" ht="24.75" customHeight="1" x14ac:dyDescent="0.3">
      <c r="C2751" s="353">
        <f>ABS(E2751-Dashboard!$F$14)</f>
        <v>54.142820251218438</v>
      </c>
      <c r="D2751" s="350">
        <f t="shared" si="2775"/>
        <v>0.34784999999997696</v>
      </c>
      <c r="E2751" s="359" cm="1">
        <f t="array" ref="E2751">1000*SUM('DRE + DCF'!$L$36/M2751,'DRE + DCF'!$N$36:$V$36/N2751:V2751,F2751/V2751)/Dashboard!$F$11</f>
        <v>42.847179748781556</v>
      </c>
      <c r="F2751" s="359">
        <f t="shared" si="2773"/>
        <v>7424989.1831775354</v>
      </c>
      <c r="G2751" s="359">
        <f>'DRE + DCF'!$W$31</f>
        <v>2791623.3540418856</v>
      </c>
      <c r="H2751" s="359">
        <f>'DRE + DCF'!$W$32</f>
        <v>81081.931703745853</v>
      </c>
      <c r="I2751" s="359">
        <f>-H2751*('DRE + DCF'!$V$33+K2751)/'DRE + DCF'!$V$33</f>
        <v>-90858.801614444121</v>
      </c>
      <c r="J2751" s="359">
        <f>-'DRE + DCF'!$V$56*L2751</f>
        <v>-1188924.4255577971</v>
      </c>
      <c r="K2751" s="360">
        <f>(1+L2751)/(1+Ke!$O$12)-1</f>
        <v>2.0000000000000018E-2</v>
      </c>
      <c r="L2751" s="360">
        <f>'DRE + DCF'!$Y$31</f>
        <v>7.3550000000000004E-2</v>
      </c>
      <c r="M2751" s="361">
        <f>(1+D2751)^((5-Dashboard!$F$9)*3/12)</f>
        <v>1.2509247124140621</v>
      </c>
      <c r="N2751" s="361">
        <f t="shared" ref="N2751:V2751" si="2824">M2751*(1+$D2751)</f>
        <v>1.6860588736272648</v>
      </c>
      <c r="O2751" s="361">
        <f t="shared" si="2824"/>
        <v>2.2725544528184698</v>
      </c>
      <c r="P2751" s="361">
        <f t="shared" si="2824"/>
        <v>3.0630625192313219</v>
      </c>
      <c r="Q2751" s="361">
        <f t="shared" si="2824"/>
        <v>4.1285488165458668</v>
      </c>
      <c r="R2751" s="361">
        <f t="shared" si="2824"/>
        <v>5.5646645223812516</v>
      </c>
      <c r="S2751" s="361">
        <f t="shared" si="2824"/>
        <v>7.5003330764914411</v>
      </c>
      <c r="T2751" s="361">
        <f t="shared" si="2824"/>
        <v>10.109323937148815</v>
      </c>
      <c r="U2751" s="361">
        <f t="shared" si="2824"/>
        <v>13.625852268685797</v>
      </c>
      <c r="V2751" s="362">
        <f t="shared" si="2824"/>
        <v>18.365604980347836</v>
      </c>
      <c r="X2751" s="351"/>
    </row>
    <row r="2752" spans="3:24" ht="24.75" customHeight="1" x14ac:dyDescent="0.3">
      <c r="C2752" s="353">
        <f>ABS(E2752-Dashboard!$F$14)</f>
        <v>54.161282756859421</v>
      </c>
      <c r="D2752" s="350">
        <f t="shared" si="2775"/>
        <v>0.34794999999997694</v>
      </c>
      <c r="E2752" s="359" cm="1">
        <f t="array" ref="E2752">1000*SUM('DRE + DCF'!$L$36/M2752,'DRE + DCF'!$N$36:$V$36/N2752:V2752,F2752/V2752)/Dashboard!$F$11</f>
        <v>42.828717243140574</v>
      </c>
      <c r="F2752" s="359">
        <f t="shared" si="2773"/>
        <v>7422615.1310394015</v>
      </c>
      <c r="G2752" s="359">
        <f>'DRE + DCF'!$W$31</f>
        <v>2791623.3540418856</v>
      </c>
      <c r="H2752" s="359">
        <f>'DRE + DCF'!$W$32</f>
        <v>81081.931703745853</v>
      </c>
      <c r="I2752" s="359">
        <f>-H2752*('DRE + DCF'!$V$33+K2752)/'DRE + DCF'!$V$33</f>
        <v>-90858.801614444121</v>
      </c>
      <c r="J2752" s="359">
        <f>-'DRE + DCF'!$V$56*L2752</f>
        <v>-1188924.4255577971</v>
      </c>
      <c r="K2752" s="360">
        <f>(1+L2752)/(1+Ke!$O$12)-1</f>
        <v>2.0000000000000018E-2</v>
      </c>
      <c r="L2752" s="360">
        <f>'DRE + DCF'!$Y$31</f>
        <v>7.3550000000000004E-2</v>
      </c>
      <c r="M2752" s="361">
        <f>(1+D2752)^((5-Dashboard!$F$9)*3/12)</f>
        <v>1.2509943184409751</v>
      </c>
      <c r="N2752" s="361">
        <f t="shared" ref="N2752:V2752" si="2825">M2752*(1+$D2752)</f>
        <v>1.6862777915424834</v>
      </c>
      <c r="O2752" s="361">
        <f t="shared" si="2825"/>
        <v>2.2730181491096513</v>
      </c>
      <c r="P2752" s="361">
        <f t="shared" si="2825"/>
        <v>3.063914814092302</v>
      </c>
      <c r="Q2752" s="361">
        <f t="shared" si="2825"/>
        <v>4.130003973655648</v>
      </c>
      <c r="R2752" s="361">
        <f t="shared" si="2825"/>
        <v>5.5670388562890354</v>
      </c>
      <c r="S2752" s="361">
        <f t="shared" si="2825"/>
        <v>7.5040900263346764</v>
      </c>
      <c r="T2752" s="361">
        <f t="shared" si="2825"/>
        <v>10.115138150997653</v>
      </c>
      <c r="U2752" s="361">
        <f t="shared" si="2825"/>
        <v>13.634700470637053</v>
      </c>
      <c r="V2752" s="362">
        <f t="shared" si="2825"/>
        <v>18.378894499394899</v>
      </c>
      <c r="X2752" s="351"/>
    </row>
    <row r="2753" spans="3:24" ht="24.75" customHeight="1" x14ac:dyDescent="0.3">
      <c r="C2753" s="353">
        <f>ABS(E2753-Dashboard!$F$14)</f>
        <v>54.179730775862083</v>
      </c>
      <c r="D2753" s="350">
        <f t="shared" si="2775"/>
        <v>0.34804999999997693</v>
      </c>
      <c r="E2753" s="359" cm="1">
        <f t="array" ref="E2753">1000*SUM('DRE + DCF'!$L$36/M2753,'DRE + DCF'!$N$36:$V$36/N2753:V2753,F2753/V2753)/Dashboard!$F$11</f>
        <v>42.810269224137912</v>
      </c>
      <c r="F2753" s="359">
        <f t="shared" si="2773"/>
        <v>7420242.618009394</v>
      </c>
      <c r="G2753" s="359">
        <f>'DRE + DCF'!$W$31</f>
        <v>2791623.3540418856</v>
      </c>
      <c r="H2753" s="359">
        <f>'DRE + DCF'!$W$32</f>
        <v>81081.931703745853</v>
      </c>
      <c r="I2753" s="359">
        <f>-H2753*('DRE + DCF'!$V$33+K2753)/'DRE + DCF'!$V$33</f>
        <v>-90858.801614444121</v>
      </c>
      <c r="J2753" s="359">
        <f>-'DRE + DCF'!$V$56*L2753</f>
        <v>-1188924.4255577971</v>
      </c>
      <c r="K2753" s="360">
        <f>(1+L2753)/(1+Ke!$O$12)-1</f>
        <v>2.0000000000000018E-2</v>
      </c>
      <c r="L2753" s="360">
        <f>'DRE + DCF'!$Y$31</f>
        <v>7.3550000000000004E-2</v>
      </c>
      <c r="M2753" s="361">
        <f>(1+D2753)^((5-Dashboard!$F$9)*3/12)</f>
        <v>1.2510639231769392</v>
      </c>
      <c r="N2753" s="361">
        <f t="shared" ref="N2753:V2753" si="2826">M2753*(1+$D2753)</f>
        <v>1.6864967216386439</v>
      </c>
      <c r="O2753" s="361">
        <f t="shared" si="2826"/>
        <v>2.2734819056049349</v>
      </c>
      <c r="P2753" s="361">
        <f t="shared" si="2826"/>
        <v>3.06476728285068</v>
      </c>
      <c r="Q2753" s="361">
        <f t="shared" si="2826"/>
        <v>4.1314595356467887</v>
      </c>
      <c r="R2753" s="361">
        <f t="shared" si="2826"/>
        <v>5.5694140270285581</v>
      </c>
      <c r="S2753" s="361">
        <f t="shared" si="2826"/>
        <v>7.507848579135719</v>
      </c>
      <c r="T2753" s="361">
        <f t="shared" si="2826"/>
        <v>10.120955277103732</v>
      </c>
      <c r="U2753" s="361">
        <f t="shared" si="2826"/>
        <v>13.643553761299453</v>
      </c>
      <c r="V2753" s="362">
        <f t="shared" si="2826"/>
        <v>18.392192647919412</v>
      </c>
      <c r="X2753" s="351"/>
    </row>
    <row r="2754" spans="3:24" ht="24.75" customHeight="1" x14ac:dyDescent="0.3">
      <c r="C2754" s="353">
        <f>ABS(E2754-Dashboard!$F$14)</f>
        <v>54.198164324086591</v>
      </c>
      <c r="D2754" s="350">
        <f t="shared" si="2775"/>
        <v>0.34814999999997692</v>
      </c>
      <c r="E2754" s="359" cm="1">
        <f t="array" ref="E2754">1000*SUM('DRE + DCF'!$L$36/M2754,'DRE + DCF'!$N$36:$V$36/N2754:V2754,F2754/V2754)/Dashboard!$F$11</f>
        <v>42.791835675913404</v>
      </c>
      <c r="F2754" s="359">
        <f t="shared" si="2773"/>
        <v>7417871.6425702358</v>
      </c>
      <c r="G2754" s="359">
        <f>'DRE + DCF'!$W$31</f>
        <v>2791623.3540418856</v>
      </c>
      <c r="H2754" s="359">
        <f>'DRE + DCF'!$W$32</f>
        <v>81081.931703745853</v>
      </c>
      <c r="I2754" s="359">
        <f>-H2754*('DRE + DCF'!$V$33+K2754)/'DRE + DCF'!$V$33</f>
        <v>-90858.801614444121</v>
      </c>
      <c r="J2754" s="359">
        <f>-'DRE + DCF'!$V$56*L2754</f>
        <v>-1188924.4255577971</v>
      </c>
      <c r="K2754" s="360">
        <f>(1+L2754)/(1+Ke!$O$12)-1</f>
        <v>2.0000000000000018E-2</v>
      </c>
      <c r="L2754" s="360">
        <f>'DRE + DCF'!$Y$31</f>
        <v>7.3550000000000004E-2</v>
      </c>
      <c r="M2754" s="361">
        <f>(1+D2754)^((5-Dashboard!$F$9)*3/12)</f>
        <v>1.2511335266220738</v>
      </c>
      <c r="N2754" s="361">
        <f t="shared" ref="N2754:V2754" si="2827">M2754*(1+$D2754)</f>
        <v>1.6867156639155199</v>
      </c>
      <c r="O2754" s="361">
        <f t="shared" si="2827"/>
        <v>2.2739457223076691</v>
      </c>
      <c r="P2754" s="361">
        <f t="shared" si="2827"/>
        <v>3.0656199255290315</v>
      </c>
      <c r="Q2754" s="361">
        <f t="shared" si="2827"/>
        <v>4.1329155026018931</v>
      </c>
      <c r="R2754" s="361">
        <f t="shared" si="2827"/>
        <v>5.571790034832647</v>
      </c>
      <c r="S2754" s="361">
        <f t="shared" si="2827"/>
        <v>7.5116087354595038</v>
      </c>
      <c r="T2754" s="361">
        <f t="shared" si="2827"/>
        <v>10.126775316709557</v>
      </c>
      <c r="U2754" s="361">
        <f t="shared" si="2827"/>
        <v>13.652412143221754</v>
      </c>
      <c r="V2754" s="362">
        <f t="shared" si="2827"/>
        <v>18.405499430884092</v>
      </c>
      <c r="X2754" s="351"/>
    </row>
    <row r="2755" spans="3:24" ht="24.75" customHeight="1" x14ac:dyDescent="0.3">
      <c r="C2755" s="353">
        <f>ABS(E2755-Dashboard!$F$14)</f>
        <v>54.216583417371048</v>
      </c>
      <c r="D2755" s="350">
        <f t="shared" si="2775"/>
        <v>0.34824999999997691</v>
      </c>
      <c r="E2755" s="359" cm="1">
        <f t="array" ref="E2755">1000*SUM('DRE + DCF'!$L$36/M2755,'DRE + DCF'!$N$36:$V$36/N2755:V2755,F2755/V2755)/Dashboard!$F$11</f>
        <v>42.773416582628947</v>
      </c>
      <c r="F2755" s="359">
        <f t="shared" si="2773"/>
        <v>7415502.2032066714</v>
      </c>
      <c r="G2755" s="359">
        <f>'DRE + DCF'!$W$31</f>
        <v>2791623.3540418856</v>
      </c>
      <c r="H2755" s="359">
        <f>'DRE + DCF'!$W$32</f>
        <v>81081.931703745853</v>
      </c>
      <c r="I2755" s="359">
        <f>-H2755*('DRE + DCF'!$V$33+K2755)/'DRE + DCF'!$V$33</f>
        <v>-90858.801614444121</v>
      </c>
      <c r="J2755" s="359">
        <f>-'DRE + DCF'!$V$56*L2755</f>
        <v>-1188924.4255577971</v>
      </c>
      <c r="K2755" s="360">
        <f>(1+L2755)/(1+Ke!$O$12)-1</f>
        <v>2.0000000000000018E-2</v>
      </c>
      <c r="L2755" s="360">
        <f>'DRE + DCF'!$Y$31</f>
        <v>7.3550000000000004E-2</v>
      </c>
      <c r="M2755" s="361">
        <f>(1+D2755)^((5-Dashboard!$F$9)*3/12)</f>
        <v>1.2512031287764993</v>
      </c>
      <c r="N2755" s="361">
        <f t="shared" ref="N2755:V2755" si="2828">M2755*(1+$D2755)</f>
        <v>1.6869346183728862</v>
      </c>
      <c r="O2755" s="361">
        <f t="shared" si="2828"/>
        <v>2.2744095992212046</v>
      </c>
      <c r="P2755" s="361">
        <f t="shared" si="2828"/>
        <v>3.0664727421499363</v>
      </c>
      <c r="Q2755" s="361">
        <f t="shared" si="2828"/>
        <v>4.1343718746035805</v>
      </c>
      <c r="R2755" s="361">
        <f t="shared" si="2828"/>
        <v>5.5741668799341815</v>
      </c>
      <c r="S2755" s="361">
        <f t="shared" si="2828"/>
        <v>7.5153704958711316</v>
      </c>
      <c r="T2755" s="361">
        <f t="shared" si="2828"/>
        <v>10.132598271058079</v>
      </c>
      <c r="U2755" s="361">
        <f t="shared" si="2828"/>
        <v>13.66127561895382</v>
      </c>
      <c r="V2755" s="362">
        <f t="shared" si="2828"/>
        <v>18.418814853254172</v>
      </c>
      <c r="X2755" s="351"/>
    </row>
    <row r="2756" spans="3:24" ht="24.75" customHeight="1" x14ac:dyDescent="0.3">
      <c r="C2756" s="353">
        <f>ABS(E2756-Dashboard!$F$14)</f>
        <v>54.234988071531454</v>
      </c>
      <c r="D2756" s="350">
        <f t="shared" si="2775"/>
        <v>0.3483499999999769</v>
      </c>
      <c r="E2756" s="359" cm="1">
        <f t="array" ref="E2756">1000*SUM('DRE + DCF'!$L$36/M2756,'DRE + DCF'!$N$36:$V$36/N2756:V2756,F2756/V2756)/Dashboard!$F$11</f>
        <v>42.755011928468541</v>
      </c>
      <c r="F2756" s="359">
        <f t="shared" si="2773"/>
        <v>7413134.2984054647</v>
      </c>
      <c r="G2756" s="359">
        <f>'DRE + DCF'!$W$31</f>
        <v>2791623.3540418856</v>
      </c>
      <c r="H2756" s="359">
        <f>'DRE + DCF'!$W$32</f>
        <v>81081.931703745853</v>
      </c>
      <c r="I2756" s="359">
        <f>-H2756*('DRE + DCF'!$V$33+K2756)/'DRE + DCF'!$V$33</f>
        <v>-90858.801614444121</v>
      </c>
      <c r="J2756" s="359">
        <f>-'DRE + DCF'!$V$56*L2756</f>
        <v>-1188924.4255577971</v>
      </c>
      <c r="K2756" s="360">
        <f>(1+L2756)/(1+Ke!$O$12)-1</f>
        <v>2.0000000000000018E-2</v>
      </c>
      <c r="L2756" s="360">
        <f>'DRE + DCF'!$Y$31</f>
        <v>7.3550000000000004E-2</v>
      </c>
      <c r="M2756" s="361">
        <f>(1+D2756)^((5-Dashboard!$F$9)*3/12)</f>
        <v>1.2512727296403348</v>
      </c>
      <c r="N2756" s="361">
        <f t="shared" ref="N2756:V2756" si="2829">M2756*(1+$D2756)</f>
        <v>1.6871535850105164</v>
      </c>
      <c r="O2756" s="361">
        <f t="shared" si="2829"/>
        <v>2.2748735363488906</v>
      </c>
      <c r="P2756" s="361">
        <f t="shared" si="2829"/>
        <v>3.067325732735974</v>
      </c>
      <c r="Q2756" s="361">
        <f t="shared" si="2829"/>
        <v>4.1358286517344798</v>
      </c>
      <c r="R2756" s="361">
        <f t="shared" si="2829"/>
        <v>5.5765445625660899</v>
      </c>
      <c r="S2756" s="361">
        <f t="shared" si="2829"/>
        <v>7.5191338609358578</v>
      </c>
      <c r="T2756" s="361">
        <f t="shared" si="2829"/>
        <v>10.13842414139269</v>
      </c>
      <c r="U2756" s="361">
        <f t="shared" si="2829"/>
        <v>13.6701441910466</v>
      </c>
      <c r="V2756" s="362">
        <f t="shared" si="2829"/>
        <v>18.432138919997367</v>
      </c>
      <c r="X2756" s="351"/>
    </row>
    <row r="2757" spans="3:24" ht="24.75" customHeight="1" x14ac:dyDescent="0.3">
      <c r="C2757" s="353">
        <f>ABS(E2757-Dashboard!$F$14)</f>
        <v>54.253378302361739</v>
      </c>
      <c r="D2757" s="350">
        <f t="shared" si="2775"/>
        <v>0.34844999999997689</v>
      </c>
      <c r="E2757" s="359" cm="1">
        <f t="array" ref="E2757">1000*SUM('DRE + DCF'!$L$36/M2757,'DRE + DCF'!$N$36:$V$36/N2757:V2757,F2757/V2757)/Dashboard!$F$11</f>
        <v>42.736621697638256</v>
      </c>
      <c r="F2757" s="359">
        <f t="shared" si="2773"/>
        <v>7410767.9266553912</v>
      </c>
      <c r="G2757" s="359">
        <f>'DRE + DCF'!$W$31</f>
        <v>2791623.3540418856</v>
      </c>
      <c r="H2757" s="359">
        <f>'DRE + DCF'!$W$32</f>
        <v>81081.931703745853</v>
      </c>
      <c r="I2757" s="359">
        <f>-H2757*('DRE + DCF'!$V$33+K2757)/'DRE + DCF'!$V$33</f>
        <v>-90858.801614444121</v>
      </c>
      <c r="J2757" s="359">
        <f>-'DRE + DCF'!$V$56*L2757</f>
        <v>-1188924.4255577971</v>
      </c>
      <c r="K2757" s="360">
        <f>(1+L2757)/(1+Ke!$O$12)-1</f>
        <v>2.0000000000000018E-2</v>
      </c>
      <c r="L2757" s="360">
        <f>'DRE + DCF'!$Y$31</f>
        <v>7.3550000000000004E-2</v>
      </c>
      <c r="M2757" s="361">
        <f>(1+D2757)^((5-Dashboard!$F$9)*3/12)</f>
        <v>1.2513423292137</v>
      </c>
      <c r="N2757" s="361">
        <f t="shared" ref="N2757:V2757" si="2830">M2757*(1+$D2757)</f>
        <v>1.6873725638281849</v>
      </c>
      <c r="O2757" s="361">
        <f t="shared" si="2830"/>
        <v>2.2753375336940769</v>
      </c>
      <c r="P2757" s="361">
        <f t="shared" si="2830"/>
        <v>3.0681788973097253</v>
      </c>
      <c r="Q2757" s="361">
        <f t="shared" si="2830"/>
        <v>4.1372858340772281</v>
      </c>
      <c r="R2757" s="361">
        <f t="shared" si="2830"/>
        <v>5.5789230829613423</v>
      </c>
      <c r="S2757" s="361">
        <f t="shared" si="2830"/>
        <v>7.5228988312190932</v>
      </c>
      <c r="T2757" s="361">
        <f t="shared" si="2830"/>
        <v>10.144252928957211</v>
      </c>
      <c r="U2757" s="361">
        <f t="shared" si="2830"/>
        <v>13.679017862052117</v>
      </c>
      <c r="V2757" s="362">
        <f t="shared" si="2830"/>
        <v>18.445471636083859</v>
      </c>
      <c r="X2757" s="351"/>
    </row>
    <row r="2758" spans="3:24" ht="24.75" customHeight="1" x14ac:dyDescent="0.3">
      <c r="C2758" s="353">
        <f>ABS(E2758-Dashboard!$F$14)</f>
        <v>54.271754125633791</v>
      </c>
      <c r="D2758" s="350">
        <f t="shared" si="2775"/>
        <v>0.34854999999997688</v>
      </c>
      <c r="E2758" s="359" cm="1">
        <f t="array" ref="E2758">1000*SUM('DRE + DCF'!$L$36/M2758,'DRE + DCF'!$N$36:$V$36/N2758:V2758,F2758/V2758)/Dashboard!$F$11</f>
        <v>42.718245874366204</v>
      </c>
      <c r="F2758" s="359">
        <f t="shared" si="2773"/>
        <v>7408403.0864472389</v>
      </c>
      <c r="G2758" s="359">
        <f>'DRE + DCF'!$W$31</f>
        <v>2791623.3540418856</v>
      </c>
      <c r="H2758" s="359">
        <f>'DRE + DCF'!$W$32</f>
        <v>81081.931703745853</v>
      </c>
      <c r="I2758" s="359">
        <f>-H2758*('DRE + DCF'!$V$33+K2758)/'DRE + DCF'!$V$33</f>
        <v>-90858.801614444121</v>
      </c>
      <c r="J2758" s="359">
        <f>-'DRE + DCF'!$V$56*L2758</f>
        <v>-1188924.4255577971</v>
      </c>
      <c r="K2758" s="360">
        <f>(1+L2758)/(1+Ke!$O$12)-1</f>
        <v>2.0000000000000018E-2</v>
      </c>
      <c r="L2758" s="360">
        <f>'DRE + DCF'!$Y$31</f>
        <v>7.3550000000000004E-2</v>
      </c>
      <c r="M2758" s="361">
        <f>(1+D2758)^((5-Dashboard!$F$9)*3/12)</f>
        <v>1.2514119274967148</v>
      </c>
      <c r="N2758" s="361">
        <f t="shared" ref="N2758:V2758" si="2831">M2758*(1+$D2758)</f>
        <v>1.6875915548256657</v>
      </c>
      <c r="O2758" s="361">
        <f t="shared" si="2831"/>
        <v>2.2758015912601124</v>
      </c>
      <c r="P2758" s="361">
        <f t="shared" si="2831"/>
        <v>3.0690322358937716</v>
      </c>
      <c r="Q2758" s="361">
        <f t="shared" si="2831"/>
        <v>4.1387434217144747</v>
      </c>
      <c r="R2758" s="361">
        <f t="shared" si="2831"/>
        <v>5.5813024413529586</v>
      </c>
      <c r="S2758" s="361">
        <f t="shared" si="2831"/>
        <v>7.5266654072864032</v>
      </c>
      <c r="T2758" s="361">
        <f t="shared" si="2831"/>
        <v>10.150084634995904</v>
      </c>
      <c r="U2758" s="361">
        <f t="shared" si="2831"/>
        <v>13.687896634523492</v>
      </c>
      <c r="V2758" s="362">
        <f t="shared" si="2831"/>
        <v>18.458813006486338</v>
      </c>
      <c r="X2758" s="351"/>
    </row>
    <row r="2759" spans="3:24" ht="24.75" customHeight="1" x14ac:dyDescent="0.3">
      <c r="C2759" s="353">
        <f>ABS(E2759-Dashboard!$F$14)</f>
        <v>54.290115557097664</v>
      </c>
      <c r="D2759" s="350">
        <f t="shared" si="2775"/>
        <v>0.34864999999997687</v>
      </c>
      <c r="E2759" s="359" cm="1">
        <f t="array" ref="E2759">1000*SUM('DRE + DCF'!$L$36/M2759,'DRE + DCF'!$N$36:$V$36/N2759:V2759,F2759/V2759)/Dashboard!$F$11</f>
        <v>42.699884442902331</v>
      </c>
      <c r="F2759" s="359">
        <f t="shared" si="2773"/>
        <v>7406039.7762738019</v>
      </c>
      <c r="G2759" s="359">
        <f>'DRE + DCF'!$W$31</f>
        <v>2791623.3540418856</v>
      </c>
      <c r="H2759" s="359">
        <f>'DRE + DCF'!$W$32</f>
        <v>81081.931703745853</v>
      </c>
      <c r="I2759" s="359">
        <f>-H2759*('DRE + DCF'!$V$33+K2759)/'DRE + DCF'!$V$33</f>
        <v>-90858.801614444121</v>
      </c>
      <c r="J2759" s="359">
        <f>-'DRE + DCF'!$V$56*L2759</f>
        <v>-1188924.4255577971</v>
      </c>
      <c r="K2759" s="360">
        <f>(1+L2759)/(1+Ke!$O$12)-1</f>
        <v>2.0000000000000018E-2</v>
      </c>
      <c r="L2759" s="360">
        <f>'DRE + DCF'!$Y$31</f>
        <v>7.3550000000000004E-2</v>
      </c>
      <c r="M2759" s="361">
        <f>(1+D2759)^((5-Dashboard!$F$9)*3/12)</f>
        <v>1.2514815244894988</v>
      </c>
      <c r="N2759" s="361">
        <f t="shared" ref="N2759:V2759" si="2832">M2759*(1+$D2759)</f>
        <v>1.6878105580027336</v>
      </c>
      <c r="O2759" s="361">
        <f t="shared" si="2832"/>
        <v>2.2762657090503478</v>
      </c>
      <c r="P2759" s="361">
        <f t="shared" si="2832"/>
        <v>3.0698857485106985</v>
      </c>
      <c r="Q2759" s="361">
        <f t="shared" si="2832"/>
        <v>4.1402014147288826</v>
      </c>
      <c r="R2759" s="361">
        <f t="shared" si="2832"/>
        <v>5.5836826379740119</v>
      </c>
      <c r="S2759" s="361">
        <f t="shared" si="2832"/>
        <v>7.5304335897035219</v>
      </c>
      <c r="T2759" s="361">
        <f t="shared" si="2832"/>
        <v>10.15591926075348</v>
      </c>
      <c r="U2759" s="361">
        <f t="shared" si="2832"/>
        <v>13.696780511014945</v>
      </c>
      <c r="V2759" s="362">
        <f t="shared" si="2832"/>
        <v>18.472163036179989</v>
      </c>
      <c r="X2759" s="351"/>
    </row>
    <row r="2760" spans="3:24" ht="24.75" customHeight="1" x14ac:dyDescent="0.3">
      <c r="C2760" s="353">
        <f>ABS(E2760-Dashboard!$F$14)</f>
        <v>54.308462612481264</v>
      </c>
      <c r="D2760" s="350">
        <f t="shared" si="2775"/>
        <v>0.34874999999997686</v>
      </c>
      <c r="E2760" s="359" cm="1">
        <f t="array" ref="E2760">1000*SUM('DRE + DCF'!$L$36/M2760,'DRE + DCF'!$N$36:$V$36/N2760:V2760,F2760/V2760)/Dashboard!$F$11</f>
        <v>42.68153738751873</v>
      </c>
      <c r="F2760" s="359">
        <f t="shared" si="2773"/>
        <v>7403677.9946298804</v>
      </c>
      <c r="G2760" s="359">
        <f>'DRE + DCF'!$W$31</f>
        <v>2791623.3540418856</v>
      </c>
      <c r="H2760" s="359">
        <f>'DRE + DCF'!$W$32</f>
        <v>81081.931703745853</v>
      </c>
      <c r="I2760" s="359">
        <f>-H2760*('DRE + DCF'!$V$33+K2760)/'DRE + DCF'!$V$33</f>
        <v>-90858.801614444121</v>
      </c>
      <c r="J2760" s="359">
        <f>-'DRE + DCF'!$V$56*L2760</f>
        <v>-1188924.4255577971</v>
      </c>
      <c r="K2760" s="360">
        <f>(1+L2760)/(1+Ke!$O$12)-1</f>
        <v>2.0000000000000018E-2</v>
      </c>
      <c r="L2760" s="360">
        <f>'DRE + DCF'!$Y$31</f>
        <v>7.3550000000000004E-2</v>
      </c>
      <c r="M2760" s="361">
        <f>(1+D2760)^((5-Dashboard!$F$9)*3/12)</f>
        <v>1.2515511201921712</v>
      </c>
      <c r="N2760" s="361">
        <f t="shared" ref="N2760:V2760" si="2833">M2760*(1+$D2760)</f>
        <v>1.6880295733591619</v>
      </c>
      <c r="O2760" s="361">
        <f t="shared" si="2833"/>
        <v>2.2767298870681305</v>
      </c>
      <c r="P2760" s="361">
        <f t="shared" si="2833"/>
        <v>3.0707394351830883</v>
      </c>
      <c r="Q2760" s="361">
        <f t="shared" si="2833"/>
        <v>4.1416598132031188</v>
      </c>
      <c r="R2760" s="361">
        <f t="shared" si="2833"/>
        <v>5.5860636730576108</v>
      </c>
      <c r="S2760" s="361">
        <f t="shared" si="2833"/>
        <v>7.534203379036323</v>
      </c>
      <c r="T2760" s="361">
        <f t="shared" si="2833"/>
        <v>10.161756807475065</v>
      </c>
      <c r="U2760" s="361">
        <f t="shared" si="2833"/>
        <v>13.705669494081759</v>
      </c>
      <c r="V2760" s="362">
        <f t="shared" si="2833"/>
        <v>18.485521730142455</v>
      </c>
      <c r="X2760" s="351"/>
    </row>
    <row r="2761" spans="3:24" ht="24.75" customHeight="1" x14ac:dyDescent="0.3">
      <c r="C2761" s="353">
        <f>ABS(E2761-Dashboard!$F$14)</f>
        <v>54.326795307490784</v>
      </c>
      <c r="D2761" s="350">
        <f t="shared" si="2775"/>
        <v>0.34884999999997685</v>
      </c>
      <c r="E2761" s="359" cm="1">
        <f t="array" ref="E2761">1000*SUM('DRE + DCF'!$L$36/M2761,'DRE + DCF'!$N$36:$V$36/N2761:V2761,F2761/V2761)/Dashboard!$F$11</f>
        <v>42.663204692509211</v>
      </c>
      <c r="F2761" s="359">
        <f t="shared" si="2773"/>
        <v>7401317.7400122685</v>
      </c>
      <c r="G2761" s="359">
        <f>'DRE + DCF'!$W$31</f>
        <v>2791623.3540418856</v>
      </c>
      <c r="H2761" s="359">
        <f>'DRE + DCF'!$W$32</f>
        <v>81081.931703745853</v>
      </c>
      <c r="I2761" s="359">
        <f>-H2761*('DRE + DCF'!$V$33+K2761)/'DRE + DCF'!$V$33</f>
        <v>-90858.801614444121</v>
      </c>
      <c r="J2761" s="359">
        <f>-'DRE + DCF'!$V$56*L2761</f>
        <v>-1188924.4255577971</v>
      </c>
      <c r="K2761" s="360">
        <f>(1+L2761)/(1+Ke!$O$12)-1</f>
        <v>2.0000000000000018E-2</v>
      </c>
      <c r="L2761" s="360">
        <f>'DRE + DCF'!$Y$31</f>
        <v>7.3550000000000004E-2</v>
      </c>
      <c r="M2761" s="361">
        <f>(1+D2761)^((5-Dashboard!$F$9)*3/12)</f>
        <v>1.2516207146048519</v>
      </c>
      <c r="N2761" s="361">
        <f t="shared" ref="N2761:V2761" si="2834">M2761*(1+$D2761)</f>
        <v>1.6882486008947255</v>
      </c>
      <c r="O2761" s="361">
        <f t="shared" si="2834"/>
        <v>2.2771941253168113</v>
      </c>
      <c r="P2761" s="361">
        <f t="shared" si="2834"/>
        <v>3.0715932959335279</v>
      </c>
      <c r="Q2761" s="361">
        <f t="shared" si="2834"/>
        <v>4.1431186172198675</v>
      </c>
      <c r="R2761" s="361">
        <f t="shared" si="2834"/>
        <v>5.5884455468369225</v>
      </c>
      <c r="S2761" s="361">
        <f t="shared" si="2834"/>
        <v>7.5379747758508531</v>
      </c>
      <c r="T2761" s="361">
        <f t="shared" si="2834"/>
        <v>10.167597276406248</v>
      </c>
      <c r="U2761" s="361">
        <f t="shared" si="2834"/>
        <v>13.714563586280331</v>
      </c>
      <c r="V2761" s="362">
        <f t="shared" si="2834"/>
        <v>18.498889093353906</v>
      </c>
      <c r="X2761" s="351"/>
    </row>
    <row r="2762" spans="3:24" ht="24.75" customHeight="1" x14ac:dyDescent="0.3">
      <c r="C2762" s="353">
        <f>ABS(E2762-Dashboard!$F$14)</f>
        <v>54.345113657810451</v>
      </c>
      <c r="D2762" s="350">
        <f t="shared" si="2775"/>
        <v>0.34894999999997683</v>
      </c>
      <c r="E2762" s="359" cm="1">
        <f t="array" ref="E2762">1000*SUM('DRE + DCF'!$L$36/M2762,'DRE + DCF'!$N$36:$V$36/N2762:V2762,F2762/V2762)/Dashboard!$F$11</f>
        <v>42.644886342189544</v>
      </c>
      <c r="F2762" s="359">
        <f t="shared" si="2773"/>
        <v>7398959.0109197665</v>
      </c>
      <c r="G2762" s="359">
        <f>'DRE + DCF'!$W$31</f>
        <v>2791623.3540418856</v>
      </c>
      <c r="H2762" s="359">
        <f>'DRE + DCF'!$W$32</f>
        <v>81081.931703745853</v>
      </c>
      <c r="I2762" s="359">
        <f>-H2762*('DRE + DCF'!$V$33+K2762)/'DRE + DCF'!$V$33</f>
        <v>-90858.801614444121</v>
      </c>
      <c r="J2762" s="359">
        <f>-'DRE + DCF'!$V$56*L2762</f>
        <v>-1188924.4255577971</v>
      </c>
      <c r="K2762" s="360">
        <f>(1+L2762)/(1+Ke!$O$12)-1</f>
        <v>2.0000000000000018E-2</v>
      </c>
      <c r="L2762" s="360">
        <f>'DRE + DCF'!$Y$31</f>
        <v>7.3550000000000004E-2</v>
      </c>
      <c r="M2762" s="361">
        <f>(1+D2762)^((5-Dashboard!$F$9)*3/12)</f>
        <v>1.2516903077276604</v>
      </c>
      <c r="N2762" s="361">
        <f t="shared" ref="N2762:V2762" si="2835">M2762*(1+$D2762)</f>
        <v>1.6884676406091985</v>
      </c>
      <c r="O2762" s="361">
        <f t="shared" si="2835"/>
        <v>2.277658423799739</v>
      </c>
      <c r="P2762" s="361">
        <f t="shared" si="2835"/>
        <v>3.072447330784605</v>
      </c>
      <c r="Q2762" s="361">
        <f t="shared" si="2835"/>
        <v>4.1445778268618216</v>
      </c>
      <c r="R2762" s="361">
        <f t="shared" si="2835"/>
        <v>5.5908282595451579</v>
      </c>
      <c r="S2762" s="361">
        <f t="shared" si="2835"/>
        <v>7.5417477807133109</v>
      </c>
      <c r="T2762" s="361">
        <f t="shared" si="2835"/>
        <v>10.173440668793045</v>
      </c>
      <c r="U2762" s="361">
        <f t="shared" si="2835"/>
        <v>13.723462790168142</v>
      </c>
      <c r="V2762" s="362">
        <f t="shared" si="2835"/>
        <v>18.512265130796997</v>
      </c>
      <c r="X2762" s="351"/>
    </row>
    <row r="2763" spans="3:24" ht="24.75" customHeight="1" x14ac:dyDescent="0.3">
      <c r="C2763" s="353">
        <f>ABS(E2763-Dashboard!$F$14)</f>
        <v>54.363417679102696</v>
      </c>
      <c r="D2763" s="350">
        <f t="shared" si="2775"/>
        <v>0.34904999999997682</v>
      </c>
      <c r="E2763" s="359" cm="1">
        <f t="array" ref="E2763">1000*SUM('DRE + DCF'!$L$36/M2763,'DRE + DCF'!$N$36:$V$36/N2763:V2763,F2763/V2763)/Dashboard!$F$11</f>
        <v>42.626582320897299</v>
      </c>
      <c r="F2763" s="359">
        <f t="shared" si="2773"/>
        <v>7396601.8058531638</v>
      </c>
      <c r="G2763" s="359">
        <f>'DRE + DCF'!$W$31</f>
        <v>2791623.3540418856</v>
      </c>
      <c r="H2763" s="359">
        <f>'DRE + DCF'!$W$32</f>
        <v>81081.931703745853</v>
      </c>
      <c r="I2763" s="359">
        <f>-H2763*('DRE + DCF'!$V$33+K2763)/'DRE + DCF'!$V$33</f>
        <v>-90858.801614444121</v>
      </c>
      <c r="J2763" s="359">
        <f>-'DRE + DCF'!$V$56*L2763</f>
        <v>-1188924.4255577971</v>
      </c>
      <c r="K2763" s="360">
        <f>(1+L2763)/(1+Ke!$O$12)-1</f>
        <v>2.0000000000000018E-2</v>
      </c>
      <c r="L2763" s="360">
        <f>'DRE + DCF'!$Y$31</f>
        <v>7.3550000000000004E-2</v>
      </c>
      <c r="M2763" s="361">
        <f>(1+D2763)^((5-Dashboard!$F$9)*3/12)</f>
        <v>1.251759899560716</v>
      </c>
      <c r="N2763" s="361">
        <f t="shared" ref="N2763:V2763" si="2836">M2763*(1+$D2763)</f>
        <v>1.6886866925023549</v>
      </c>
      <c r="O2763" s="361">
        <f t="shared" si="2836"/>
        <v>2.2781227825202626</v>
      </c>
      <c r="P2763" s="361">
        <f t="shared" si="2836"/>
        <v>3.0733015397589072</v>
      </c>
      <c r="Q2763" s="361">
        <f t="shared" si="2836"/>
        <v>4.1460374422116821</v>
      </c>
      <c r="R2763" s="361">
        <f t="shared" si="2836"/>
        <v>5.5932118114155731</v>
      </c>
      <c r="S2763" s="361">
        <f t="shared" si="2836"/>
        <v>7.5455223941900487</v>
      </c>
      <c r="T2763" s="361">
        <f t="shared" si="2836"/>
        <v>10.179286985881911</v>
      </c>
      <c r="U2763" s="361">
        <f t="shared" si="2836"/>
        <v>13.732367108303755</v>
      </c>
      <c r="V2763" s="362">
        <f t="shared" si="2836"/>
        <v>18.525649847456862</v>
      </c>
      <c r="X2763" s="351"/>
    </row>
    <row r="2764" spans="3:24" ht="24.75" customHeight="1" x14ac:dyDescent="0.3">
      <c r="C2764" s="353">
        <f>ABS(E2764-Dashboard!$F$14)</f>
        <v>54.381707387008198</v>
      </c>
      <c r="D2764" s="350">
        <f t="shared" si="2775"/>
        <v>0.34914999999997681</v>
      </c>
      <c r="E2764" s="359" cm="1">
        <f t="array" ref="E2764">1000*SUM('DRE + DCF'!$L$36/M2764,'DRE + DCF'!$N$36:$V$36/N2764:V2764,F2764/V2764)/Dashboard!$F$11</f>
        <v>42.608292612991796</v>
      </c>
      <c r="F2764" s="359">
        <f t="shared" si="2773"/>
        <v>7394246.1233152384</v>
      </c>
      <c r="G2764" s="359">
        <f>'DRE + DCF'!$W$31</f>
        <v>2791623.3540418856</v>
      </c>
      <c r="H2764" s="359">
        <f>'DRE + DCF'!$W$32</f>
        <v>81081.931703745853</v>
      </c>
      <c r="I2764" s="359">
        <f>-H2764*('DRE + DCF'!$V$33+K2764)/'DRE + DCF'!$V$33</f>
        <v>-90858.801614444121</v>
      </c>
      <c r="J2764" s="359">
        <f>-'DRE + DCF'!$V$56*L2764</f>
        <v>-1188924.4255577971</v>
      </c>
      <c r="K2764" s="360">
        <f>(1+L2764)/(1+Ke!$O$12)-1</f>
        <v>2.0000000000000018E-2</v>
      </c>
      <c r="L2764" s="360">
        <f>'DRE + DCF'!$Y$31</f>
        <v>7.3550000000000004E-2</v>
      </c>
      <c r="M2764" s="361">
        <f>(1+D2764)^((5-Dashboard!$F$9)*3/12)</f>
        <v>1.2518294901041385</v>
      </c>
      <c r="N2764" s="361">
        <f t="shared" ref="N2764:V2764" si="2837">M2764*(1+$D2764)</f>
        <v>1.6889057565739694</v>
      </c>
      <c r="O2764" s="361">
        <f t="shared" si="2837"/>
        <v>2.2785872014817317</v>
      </c>
      <c r="P2764" s="361">
        <f t="shared" si="2837"/>
        <v>3.0741559228790254</v>
      </c>
      <c r="Q2764" s="361">
        <f t="shared" si="2837"/>
        <v>4.147497463352166</v>
      </c>
      <c r="R2764" s="361">
        <f t="shared" si="2837"/>
        <v>5.5955962026814783</v>
      </c>
      <c r="S2764" s="361">
        <f t="shared" si="2837"/>
        <v>7.5492986168475866</v>
      </c>
      <c r="T2764" s="361">
        <f t="shared" si="2837"/>
        <v>10.185136228919745</v>
      </c>
      <c r="U2764" s="361">
        <f t="shared" si="2837"/>
        <v>13.741276543246837</v>
      </c>
      <c r="V2764" s="362">
        <f t="shared" si="2837"/>
        <v>18.53904324832115</v>
      </c>
      <c r="X2764" s="351"/>
    </row>
    <row r="2765" spans="3:24" ht="24.75" customHeight="1" x14ac:dyDescent="0.3">
      <c r="C2765" s="353">
        <f>ABS(E2765-Dashboard!$F$14)</f>
        <v>54.399982797145803</v>
      </c>
      <c r="D2765" s="350">
        <f t="shared" si="2775"/>
        <v>0.3492499999999768</v>
      </c>
      <c r="E2765" s="359" cm="1">
        <f t="array" ref="E2765">1000*SUM('DRE + DCF'!$L$36/M2765,'DRE + DCF'!$N$36:$V$36/N2765:V2765,F2765/V2765)/Dashboard!$F$11</f>
        <v>42.590017202854192</v>
      </c>
      <c r="F2765" s="359">
        <f t="shared" si="2773"/>
        <v>7391891.9618107583</v>
      </c>
      <c r="G2765" s="359">
        <f>'DRE + DCF'!$W$31</f>
        <v>2791623.3540418856</v>
      </c>
      <c r="H2765" s="359">
        <f>'DRE + DCF'!$W$32</f>
        <v>81081.931703745853</v>
      </c>
      <c r="I2765" s="359">
        <f>-H2765*('DRE + DCF'!$V$33+K2765)/'DRE + DCF'!$V$33</f>
        <v>-90858.801614444121</v>
      </c>
      <c r="J2765" s="359">
        <f>-'DRE + DCF'!$V$56*L2765</f>
        <v>-1188924.4255577971</v>
      </c>
      <c r="K2765" s="360">
        <f>(1+L2765)/(1+Ke!$O$12)-1</f>
        <v>2.0000000000000018E-2</v>
      </c>
      <c r="L2765" s="360">
        <f>'DRE + DCF'!$Y$31</f>
        <v>7.3550000000000004E-2</v>
      </c>
      <c r="M2765" s="361">
        <f>(1+D2765)^((5-Dashboard!$F$9)*3/12)</f>
        <v>1.2518990793580471</v>
      </c>
      <c r="N2765" s="361">
        <f t="shared" ref="N2765:V2765" si="2838">M2765*(1+$D2765)</f>
        <v>1.689124832823816</v>
      </c>
      <c r="O2765" s="361">
        <f t="shared" si="2838"/>
        <v>2.2790516806874943</v>
      </c>
      <c r="P2765" s="361">
        <f t="shared" si="2838"/>
        <v>3.0750104801675486</v>
      </c>
      <c r="Q2765" s="361">
        <f t="shared" si="2838"/>
        <v>4.1489578903659936</v>
      </c>
      <c r="R2765" s="361">
        <f t="shared" si="2838"/>
        <v>5.5979814335762201</v>
      </c>
      <c r="S2765" s="361">
        <f t="shared" si="2838"/>
        <v>7.5530764492525853</v>
      </c>
      <c r="T2765" s="361">
        <f t="shared" si="2838"/>
        <v>10.190988399153875</v>
      </c>
      <c r="U2765" s="361">
        <f t="shared" si="2838"/>
        <v>13.75019109755813</v>
      </c>
      <c r="V2765" s="362">
        <f t="shared" si="2838"/>
        <v>18.552445338379986</v>
      </c>
      <c r="X2765" s="351"/>
    </row>
    <row r="2766" spans="3:24" ht="24.75" customHeight="1" x14ac:dyDescent="0.3">
      <c r="C2766" s="353">
        <f>ABS(E2766-Dashboard!$F$14)</f>
        <v>54.418243925112705</v>
      </c>
      <c r="D2766" s="350">
        <f t="shared" si="2775"/>
        <v>0.34934999999997679</v>
      </c>
      <c r="E2766" s="359" cm="1">
        <f t="array" ref="E2766">1000*SUM('DRE + DCF'!$L$36/M2766,'DRE + DCF'!$N$36:$V$36/N2766:V2766,F2766/V2766)/Dashboard!$F$11</f>
        <v>42.57175607488729</v>
      </c>
      <c r="F2766" s="359">
        <f t="shared" ref="F2766:F2829" si="2839">AVERAGE(SUM(G2766:J2766)*(1+L2766)/(D2766-L2766),G2766*(1+L2766)*(1-L2766/D2766)/(D2766-L2766))</f>
        <v>7389539.3198464755</v>
      </c>
      <c r="G2766" s="359">
        <f>'DRE + DCF'!$W$31</f>
        <v>2791623.3540418856</v>
      </c>
      <c r="H2766" s="359">
        <f>'DRE + DCF'!$W$32</f>
        <v>81081.931703745853</v>
      </c>
      <c r="I2766" s="359">
        <f>-H2766*('DRE + DCF'!$V$33+K2766)/'DRE + DCF'!$V$33</f>
        <v>-90858.801614444121</v>
      </c>
      <c r="J2766" s="359">
        <f>-'DRE + DCF'!$V$56*L2766</f>
        <v>-1188924.4255577971</v>
      </c>
      <c r="K2766" s="360">
        <f>(1+L2766)/(1+Ke!$O$12)-1</f>
        <v>2.0000000000000018E-2</v>
      </c>
      <c r="L2766" s="360">
        <f>'DRE + DCF'!$Y$31</f>
        <v>7.3550000000000004E-2</v>
      </c>
      <c r="M2766" s="361">
        <f>(1+D2766)^((5-Dashboard!$F$9)*3/12)</f>
        <v>1.2519686673225616</v>
      </c>
      <c r="N2766" s="361">
        <f t="shared" ref="N2766:V2766" si="2840">M2766*(1+$D2766)</f>
        <v>1.6893439212516694</v>
      </c>
      <c r="O2766" s="361">
        <f t="shared" si="2840"/>
        <v>2.2795162201409007</v>
      </c>
      <c r="P2766" s="361">
        <f t="shared" si="2840"/>
        <v>3.0758652116470713</v>
      </c>
      <c r="Q2766" s="361">
        <f t="shared" si="2840"/>
        <v>4.1504187233359042</v>
      </c>
      <c r="R2766" s="361">
        <f t="shared" si="2840"/>
        <v>5.6003675043332057</v>
      </c>
      <c r="S2766" s="361">
        <f t="shared" si="2840"/>
        <v>7.5568558919718809</v>
      </c>
      <c r="T2766" s="361">
        <f t="shared" si="2840"/>
        <v>10.196843497832083</v>
      </c>
      <c r="U2766" s="361">
        <f t="shared" si="2840"/>
        <v>13.759110773799483</v>
      </c>
      <c r="V2766" s="362">
        <f t="shared" si="2840"/>
        <v>18.565856122626013</v>
      </c>
      <c r="X2766" s="351"/>
    </row>
    <row r="2767" spans="3:24" ht="24.75" customHeight="1" x14ac:dyDescent="0.3">
      <c r="C2767" s="353">
        <f>ABS(E2767-Dashboard!$F$14)</f>
        <v>54.436490786484434</v>
      </c>
      <c r="D2767" s="350">
        <f t="shared" ref="D2767:D2830" si="2841">D2766+0.0001</f>
        <v>0.34944999999997678</v>
      </c>
      <c r="E2767" s="359" cm="1">
        <f t="array" ref="E2767">1000*SUM('DRE + DCF'!$L$36/M2767,'DRE + DCF'!$N$36:$V$36/N2767:V2767,F2767/V2767)/Dashboard!$F$11</f>
        <v>42.553509213515561</v>
      </c>
      <c r="F2767" s="359">
        <f t="shared" si="2839"/>
        <v>7387188.1959311217</v>
      </c>
      <c r="G2767" s="359">
        <f>'DRE + DCF'!$W$31</f>
        <v>2791623.3540418856</v>
      </c>
      <c r="H2767" s="359">
        <f>'DRE + DCF'!$W$32</f>
        <v>81081.931703745853</v>
      </c>
      <c r="I2767" s="359">
        <f>-H2767*('DRE + DCF'!$V$33+K2767)/'DRE + DCF'!$V$33</f>
        <v>-90858.801614444121</v>
      </c>
      <c r="J2767" s="359">
        <f>-'DRE + DCF'!$V$56*L2767</f>
        <v>-1188924.4255577971</v>
      </c>
      <c r="K2767" s="360">
        <f>(1+L2767)/(1+Ke!$O$12)-1</f>
        <v>2.0000000000000018E-2</v>
      </c>
      <c r="L2767" s="360">
        <f>'DRE + DCF'!$Y$31</f>
        <v>7.3550000000000004E-2</v>
      </c>
      <c r="M2767" s="361">
        <f>(1+D2767)^((5-Dashboard!$F$9)*3/12)</f>
        <v>1.2520382539978012</v>
      </c>
      <c r="N2767" s="361">
        <f t="shared" ref="N2767:V2767" si="2842">M2767*(1+$D2767)</f>
        <v>1.6895630218573037</v>
      </c>
      <c r="O2767" s="361">
        <f t="shared" si="2842"/>
        <v>2.2799808198452993</v>
      </c>
      <c r="P2767" s="361">
        <f t="shared" si="2842"/>
        <v>3.0767201173401859</v>
      </c>
      <c r="Q2767" s="361">
        <f t="shared" si="2842"/>
        <v>4.1518799623446423</v>
      </c>
      <c r="R2767" s="361">
        <f t="shared" si="2842"/>
        <v>5.6027544151858812</v>
      </c>
      <c r="S2767" s="361">
        <f t="shared" si="2842"/>
        <v>7.5606369455724574</v>
      </c>
      <c r="T2767" s="361">
        <f t="shared" si="2842"/>
        <v>10.202701526202576</v>
      </c>
      <c r="U2767" s="361">
        <f t="shared" si="2842"/>
        <v>13.768035574533828</v>
      </c>
      <c r="V2767" s="362">
        <f t="shared" si="2842"/>
        <v>18.579275606054352</v>
      </c>
      <c r="X2767" s="351"/>
    </row>
    <row r="2768" spans="3:24" ht="24.75" customHeight="1" x14ac:dyDescent="0.3">
      <c r="C2768" s="353">
        <f>ABS(E2768-Dashboard!$F$14)</f>
        <v>54.454723396814785</v>
      </c>
      <c r="D2768" s="350">
        <f t="shared" si="2841"/>
        <v>0.34954999999997677</v>
      </c>
      <c r="E2768" s="359" cm="1">
        <f t="array" ref="E2768">1000*SUM('DRE + DCF'!$L$36/M2768,'DRE + DCF'!$N$36:$V$36/N2768:V2768,F2768/V2768)/Dashboard!$F$11</f>
        <v>42.53527660318521</v>
      </c>
      <c r="F2768" s="359">
        <f t="shared" si="2839"/>
        <v>7384838.5885754023</v>
      </c>
      <c r="G2768" s="359">
        <f>'DRE + DCF'!$W$31</f>
        <v>2791623.3540418856</v>
      </c>
      <c r="H2768" s="359">
        <f>'DRE + DCF'!$W$32</f>
        <v>81081.931703745853</v>
      </c>
      <c r="I2768" s="359">
        <f>-H2768*('DRE + DCF'!$V$33+K2768)/'DRE + DCF'!$V$33</f>
        <v>-90858.801614444121</v>
      </c>
      <c r="J2768" s="359">
        <f>-'DRE + DCF'!$V$56*L2768</f>
        <v>-1188924.4255577971</v>
      </c>
      <c r="K2768" s="360">
        <f>(1+L2768)/(1+Ke!$O$12)-1</f>
        <v>2.0000000000000018E-2</v>
      </c>
      <c r="L2768" s="360">
        <f>'DRE + DCF'!$Y$31</f>
        <v>7.3550000000000004E-2</v>
      </c>
      <c r="M2768" s="361">
        <f>(1+D2768)^((5-Dashboard!$F$9)*3/12)</f>
        <v>1.2521078393838854</v>
      </c>
      <c r="N2768" s="361">
        <f t="shared" ref="N2768:V2768" si="2843">M2768*(1+$D2768)</f>
        <v>1.6897821346404933</v>
      </c>
      <c r="O2768" s="361">
        <f t="shared" si="2843"/>
        <v>2.2804454798040386</v>
      </c>
      <c r="P2768" s="361">
        <f t="shared" si="2843"/>
        <v>3.0775751972694869</v>
      </c>
      <c r="Q2768" s="361">
        <f t="shared" si="2843"/>
        <v>4.1533416074749647</v>
      </c>
      <c r="R2768" s="361">
        <f t="shared" si="2843"/>
        <v>5.6051421663677417</v>
      </c>
      <c r="S2768" s="361">
        <f t="shared" si="2843"/>
        <v>7.5644196106214556</v>
      </c>
      <c r="T2768" s="361">
        <f t="shared" si="2843"/>
        <v>10.20856248551401</v>
      </c>
      <c r="U2768" s="361">
        <f t="shared" si="2843"/>
        <v>13.776965502325195</v>
      </c>
      <c r="V2768" s="362">
        <f t="shared" si="2843"/>
        <v>18.592703793662647</v>
      </c>
      <c r="X2768" s="351"/>
    </row>
    <row r="2769" spans="3:24" ht="24.75" customHeight="1" x14ac:dyDescent="0.3">
      <c r="C2769" s="353">
        <f>ABS(E2769-Dashboard!$F$14)</f>
        <v>54.472941771636066</v>
      </c>
      <c r="D2769" s="350">
        <f t="shared" si="2841"/>
        <v>0.34964999999997676</v>
      </c>
      <c r="E2769" s="359" cm="1">
        <f t="array" ref="E2769">1000*SUM('DRE + DCF'!$L$36/M2769,'DRE + DCF'!$N$36:$V$36/N2769:V2769,F2769/V2769)/Dashboard!$F$11</f>
        <v>42.517058228363929</v>
      </c>
      <c r="F2769" s="359">
        <f t="shared" si="2839"/>
        <v>7382490.4962920025</v>
      </c>
      <c r="G2769" s="359">
        <f>'DRE + DCF'!$W$31</f>
        <v>2791623.3540418856</v>
      </c>
      <c r="H2769" s="359">
        <f>'DRE + DCF'!$W$32</f>
        <v>81081.931703745853</v>
      </c>
      <c r="I2769" s="359">
        <f>-H2769*('DRE + DCF'!$V$33+K2769)/'DRE + DCF'!$V$33</f>
        <v>-90858.801614444121</v>
      </c>
      <c r="J2769" s="359">
        <f>-'DRE + DCF'!$V$56*L2769</f>
        <v>-1188924.4255577971</v>
      </c>
      <c r="K2769" s="360">
        <f>(1+L2769)/(1+Ke!$O$12)-1</f>
        <v>2.0000000000000018E-2</v>
      </c>
      <c r="L2769" s="360">
        <f>'DRE + DCF'!$Y$31</f>
        <v>7.3550000000000004E-2</v>
      </c>
      <c r="M2769" s="361">
        <f>(1+D2769)^((5-Dashboard!$F$9)*3/12)</f>
        <v>1.2521774234809335</v>
      </c>
      <c r="N2769" s="361">
        <f t="shared" ref="N2769:V2769" si="2844">M2769*(1+$D2769)</f>
        <v>1.6900012596010128</v>
      </c>
      <c r="O2769" s="361">
        <f t="shared" si="2844"/>
        <v>2.2809102000204673</v>
      </c>
      <c r="P2769" s="361">
        <f t="shared" si="2844"/>
        <v>3.0784304514575704</v>
      </c>
      <c r="Q2769" s="361">
        <f t="shared" si="2844"/>
        <v>4.1548036588096382</v>
      </c>
      <c r="R2769" s="361">
        <f t="shared" si="2844"/>
        <v>5.6075307581123317</v>
      </c>
      <c r="S2769" s="361">
        <f t="shared" si="2844"/>
        <v>7.5682038876861775</v>
      </c>
      <c r="T2769" s="361">
        <f t="shared" si="2844"/>
        <v>10.214426377015473</v>
      </c>
      <c r="U2769" s="361">
        <f t="shared" si="2844"/>
        <v>13.785900559738694</v>
      </c>
      <c r="V2769" s="362">
        <f t="shared" si="2844"/>
        <v>18.606140690451006</v>
      </c>
      <c r="X2769" s="351"/>
    </row>
    <row r="2770" spans="3:24" ht="24.75" customHeight="1" x14ac:dyDescent="0.3">
      <c r="C2770" s="353">
        <f>ABS(E2770-Dashboard!$F$14)</f>
        <v>54.491145926458969</v>
      </c>
      <c r="D2770" s="350">
        <f t="shared" si="2841"/>
        <v>0.34974999999997675</v>
      </c>
      <c r="E2770" s="359" cm="1">
        <f t="array" ref="E2770">1000*SUM('DRE + DCF'!$L$36/M2770,'DRE + DCF'!$N$36:$V$36/N2770:V2770,F2770/V2770)/Dashboard!$F$11</f>
        <v>42.498854073541025</v>
      </c>
      <c r="F2770" s="359">
        <f t="shared" si="2839"/>
        <v>7380143.9175955746</v>
      </c>
      <c r="G2770" s="359">
        <f>'DRE + DCF'!$W$31</f>
        <v>2791623.3540418856</v>
      </c>
      <c r="H2770" s="359">
        <f>'DRE + DCF'!$W$32</f>
        <v>81081.931703745853</v>
      </c>
      <c r="I2770" s="359">
        <f>-H2770*('DRE + DCF'!$V$33+K2770)/'DRE + DCF'!$V$33</f>
        <v>-90858.801614444121</v>
      </c>
      <c r="J2770" s="359">
        <f>-'DRE + DCF'!$V$56*L2770</f>
        <v>-1188924.4255577971</v>
      </c>
      <c r="K2770" s="360">
        <f>(1+L2770)/(1+Ke!$O$12)-1</f>
        <v>2.0000000000000018E-2</v>
      </c>
      <c r="L2770" s="360">
        <f>'DRE + DCF'!$Y$31</f>
        <v>7.3550000000000004E-2</v>
      </c>
      <c r="M2770" s="361">
        <f>(1+D2770)^((5-Dashboard!$F$9)*3/12)</f>
        <v>1.2522470062890652</v>
      </c>
      <c r="N2770" s="361">
        <f t="shared" ref="N2770:V2770" si="2845">M2770*(1+$D2770)</f>
        <v>1.6902203967386364</v>
      </c>
      <c r="O2770" s="361">
        <f t="shared" si="2845"/>
        <v>2.2813749804979353</v>
      </c>
      <c r="P2770" s="361">
        <f t="shared" si="2845"/>
        <v>3.0792858799270348</v>
      </c>
      <c r="Q2770" s="361">
        <f t="shared" si="2845"/>
        <v>4.1562661164314436</v>
      </c>
      <c r="R2770" s="361">
        <f t="shared" si="2845"/>
        <v>5.6099201906532441</v>
      </c>
      <c r="S2770" s="361">
        <f t="shared" si="2845"/>
        <v>7.5719897773340854</v>
      </c>
      <c r="T2770" s="361">
        <f t="shared" si="2845"/>
        <v>10.220293201956505</v>
      </c>
      <c r="U2770" s="361">
        <f t="shared" si="2845"/>
        <v>13.794840749340555</v>
      </c>
      <c r="V2770" s="362">
        <f t="shared" si="2845"/>
        <v>18.619586301422093</v>
      </c>
      <c r="X2770" s="351"/>
    </row>
    <row r="2771" spans="3:24" ht="24.75" customHeight="1" x14ac:dyDescent="0.3">
      <c r="C2771" s="353">
        <f>ABS(E2771-Dashboard!$F$14)</f>
        <v>54.509335876772617</v>
      </c>
      <c r="D2771" s="350">
        <f t="shared" si="2841"/>
        <v>0.34984999999997674</v>
      </c>
      <c r="E2771" s="359" cm="1">
        <f t="array" ref="E2771">1000*SUM('DRE + DCF'!$L$36/M2771,'DRE + DCF'!$N$36:$V$36/N2771:V2771,F2771/V2771)/Dashboard!$F$11</f>
        <v>42.480664123227378</v>
      </c>
      <c r="F2771" s="359">
        <f t="shared" si="2839"/>
        <v>7377798.8510027369</v>
      </c>
      <c r="G2771" s="359">
        <f>'DRE + DCF'!$W$31</f>
        <v>2791623.3540418856</v>
      </c>
      <c r="H2771" s="359">
        <f>'DRE + DCF'!$W$32</f>
        <v>81081.931703745853</v>
      </c>
      <c r="I2771" s="359">
        <f>-H2771*('DRE + DCF'!$V$33+K2771)/'DRE + DCF'!$V$33</f>
        <v>-90858.801614444121</v>
      </c>
      <c r="J2771" s="359">
        <f>-'DRE + DCF'!$V$56*L2771</f>
        <v>-1188924.4255577971</v>
      </c>
      <c r="K2771" s="360">
        <f>(1+L2771)/(1+Ke!$O$12)-1</f>
        <v>2.0000000000000018E-2</v>
      </c>
      <c r="L2771" s="360">
        <f>'DRE + DCF'!$Y$31</f>
        <v>7.3550000000000004E-2</v>
      </c>
      <c r="M2771" s="361">
        <f>(1+D2771)^((5-Dashboard!$F$9)*3/12)</f>
        <v>1.2523165878083993</v>
      </c>
      <c r="N2771" s="361">
        <f t="shared" ref="N2771:V2771" si="2846">M2771*(1+$D2771)</f>
        <v>1.6904395460531385</v>
      </c>
      <c r="O2771" s="361">
        <f t="shared" si="2846"/>
        <v>2.2818398212397897</v>
      </c>
      <c r="P2771" s="361">
        <f t="shared" si="2846"/>
        <v>3.0801414827004767</v>
      </c>
      <c r="Q2771" s="361">
        <f t="shared" si="2846"/>
        <v>4.1577289804231663</v>
      </c>
      <c r="R2771" s="361">
        <f t="shared" si="2846"/>
        <v>5.6123104642241142</v>
      </c>
      <c r="S2771" s="361">
        <f t="shared" si="2846"/>
        <v>7.5757772801327894</v>
      </c>
      <c r="T2771" s="361">
        <f t="shared" si="2846"/>
        <v>10.22616296158707</v>
      </c>
      <c r="U2771" s="361">
        <f t="shared" si="2846"/>
        <v>13.803786073698069</v>
      </c>
      <c r="V2771" s="362">
        <f t="shared" si="2846"/>
        <v>18.633040631581014</v>
      </c>
      <c r="X2771" s="351"/>
    </row>
    <row r="2772" spans="3:24" ht="24.75" customHeight="1" x14ac:dyDescent="0.3">
      <c r="C2772" s="353">
        <f>ABS(E2772-Dashboard!$F$14)</f>
        <v>54.527511638044686</v>
      </c>
      <c r="D2772" s="350">
        <f t="shared" si="2841"/>
        <v>0.34994999999997672</v>
      </c>
      <c r="E2772" s="359" cm="1">
        <f t="array" ref="E2772">1000*SUM('DRE + DCF'!$L$36/M2772,'DRE + DCF'!$N$36:$V$36/N2772:V2772,F2772/V2772)/Dashboard!$F$11</f>
        <v>42.462488361955309</v>
      </c>
      <c r="F2772" s="359">
        <f t="shared" si="2839"/>
        <v>7375455.2950320747</v>
      </c>
      <c r="G2772" s="359">
        <f>'DRE + DCF'!$W$31</f>
        <v>2791623.3540418856</v>
      </c>
      <c r="H2772" s="359">
        <f>'DRE + DCF'!$W$32</f>
        <v>81081.931703745853</v>
      </c>
      <c r="I2772" s="359">
        <f>-H2772*('DRE + DCF'!$V$33+K2772)/'DRE + DCF'!$V$33</f>
        <v>-90858.801614444121</v>
      </c>
      <c r="J2772" s="359">
        <f>-'DRE + DCF'!$V$56*L2772</f>
        <v>-1188924.4255577971</v>
      </c>
      <c r="K2772" s="360">
        <f>(1+L2772)/(1+Ke!$O$12)-1</f>
        <v>2.0000000000000018E-2</v>
      </c>
      <c r="L2772" s="360">
        <f>'DRE + DCF'!$Y$31</f>
        <v>7.3550000000000004E-2</v>
      </c>
      <c r="M2772" s="361">
        <f>(1+D2772)^((5-Dashboard!$F$9)*3/12)</f>
        <v>1.2523861680390558</v>
      </c>
      <c r="N2772" s="361">
        <f t="shared" ref="N2772:V2772" si="2847">M2772*(1+$D2772)</f>
        <v>1.690658707544294</v>
      </c>
      <c r="O2772" s="361">
        <f t="shared" si="2847"/>
        <v>2.2823047222493802</v>
      </c>
      <c r="P2772" s="361">
        <f t="shared" si="2847"/>
        <v>3.0809972598004975</v>
      </c>
      <c r="Q2772" s="361">
        <f t="shared" si="2847"/>
        <v>4.1591922508676094</v>
      </c>
      <c r="R2772" s="361">
        <f t="shared" si="2847"/>
        <v>5.6147015790586323</v>
      </c>
      <c r="S2772" s="361">
        <f t="shared" si="2847"/>
        <v>7.5795663966500699</v>
      </c>
      <c r="T2772" s="361">
        <f t="shared" si="2847"/>
        <v>10.232035657157585</v>
      </c>
      <c r="U2772" s="361">
        <f t="shared" si="2847"/>
        <v>13.812736535379644</v>
      </c>
      <c r="V2772" s="362">
        <f t="shared" si="2847"/>
        <v>18.646503685935429</v>
      </c>
      <c r="X2772" s="351"/>
    </row>
    <row r="2773" spans="3:24" ht="24.75" customHeight="1" x14ac:dyDescent="0.3">
      <c r="C2773" s="353">
        <f>ABS(E2773-Dashboard!$F$14)</f>
        <v>54.545673225721423</v>
      </c>
      <c r="D2773" s="350">
        <f t="shared" si="2841"/>
        <v>0.35004999999997671</v>
      </c>
      <c r="E2773" s="359" cm="1">
        <f t="array" ref="E2773">1000*SUM('DRE + DCF'!$L$36/M2773,'DRE + DCF'!$N$36:$V$36/N2773:V2773,F2773/V2773)/Dashboard!$F$11</f>
        <v>42.444326774278572</v>
      </c>
      <c r="F2773" s="359">
        <f t="shared" si="2839"/>
        <v>7373113.2482041307</v>
      </c>
      <c r="G2773" s="359">
        <f>'DRE + DCF'!$W$31</f>
        <v>2791623.3540418856</v>
      </c>
      <c r="H2773" s="359">
        <f>'DRE + DCF'!$W$32</f>
        <v>81081.931703745853</v>
      </c>
      <c r="I2773" s="359">
        <f>-H2773*('DRE + DCF'!$V$33+K2773)/'DRE + DCF'!$V$33</f>
        <v>-90858.801614444121</v>
      </c>
      <c r="J2773" s="359">
        <f>-'DRE + DCF'!$V$56*L2773</f>
        <v>-1188924.4255577971</v>
      </c>
      <c r="K2773" s="360">
        <f>(1+L2773)/(1+Ke!$O$12)-1</f>
        <v>2.0000000000000018E-2</v>
      </c>
      <c r="L2773" s="360">
        <f>'DRE + DCF'!$Y$31</f>
        <v>7.3550000000000004E-2</v>
      </c>
      <c r="M2773" s="361">
        <f>(1+D2773)^((5-Dashboard!$F$9)*3/12)</f>
        <v>1.2524557469811535</v>
      </c>
      <c r="N2773" s="361">
        <f t="shared" ref="N2773:V2773" si="2848">M2773*(1+$D2773)</f>
        <v>1.690877881211877</v>
      </c>
      <c r="O2773" s="361">
        <f t="shared" si="2848"/>
        <v>2.2827696835300553</v>
      </c>
      <c r="P2773" s="361">
        <f t="shared" si="2848"/>
        <v>3.0818532112496979</v>
      </c>
      <c r="Q2773" s="361">
        <f t="shared" si="2848"/>
        <v>4.160655927847583</v>
      </c>
      <c r="R2773" s="361">
        <f t="shared" si="2848"/>
        <v>5.6170935353905325</v>
      </c>
      <c r="S2773" s="361">
        <f t="shared" si="2848"/>
        <v>7.5833571274538576</v>
      </c>
      <c r="T2773" s="361">
        <f t="shared" si="2848"/>
        <v>10.237911289918904</v>
      </c>
      <c r="U2773" s="361">
        <f t="shared" si="2848"/>
        <v>13.821692136954777</v>
      </c>
      <c r="V2773" s="362">
        <f t="shared" si="2848"/>
        <v>18.659975469495475</v>
      </c>
      <c r="X2773" s="351"/>
    </row>
    <row r="2774" spans="3:24" ht="24.75" customHeight="1" x14ac:dyDescent="0.3">
      <c r="C2774" s="353">
        <f>ABS(E2774-Dashboard!$F$14)</f>
        <v>54.563820655227531</v>
      </c>
      <c r="D2774" s="350">
        <f t="shared" si="2841"/>
        <v>0.3501499999999767</v>
      </c>
      <c r="E2774" s="359" cm="1">
        <f t="array" ref="E2774">1000*SUM('DRE + DCF'!$L$36/M2774,'DRE + DCF'!$N$36:$V$36/N2774:V2774,F2774/V2774)/Dashboard!$F$11</f>
        <v>42.426179344772464</v>
      </c>
      <c r="F2774" s="359">
        <f t="shared" si="2839"/>
        <v>7370772.7090414083</v>
      </c>
      <c r="G2774" s="359">
        <f>'DRE + DCF'!$W$31</f>
        <v>2791623.3540418856</v>
      </c>
      <c r="H2774" s="359">
        <f>'DRE + DCF'!$W$32</f>
        <v>81081.931703745853</v>
      </c>
      <c r="I2774" s="359">
        <f>-H2774*('DRE + DCF'!$V$33+K2774)/'DRE + DCF'!$V$33</f>
        <v>-90858.801614444121</v>
      </c>
      <c r="J2774" s="359">
        <f>-'DRE + DCF'!$V$56*L2774</f>
        <v>-1188924.4255577971</v>
      </c>
      <c r="K2774" s="360">
        <f>(1+L2774)/(1+Ke!$O$12)-1</f>
        <v>2.0000000000000018E-2</v>
      </c>
      <c r="L2774" s="360">
        <f>'DRE + DCF'!$Y$31</f>
        <v>7.3550000000000004E-2</v>
      </c>
      <c r="M2774" s="361">
        <f>(1+D2774)^((5-Dashboard!$F$9)*3/12)</f>
        <v>1.252525324634812</v>
      </c>
      <c r="N2774" s="361">
        <f t="shared" ref="N2774:V2774" si="2849">M2774*(1+$D2774)</f>
        <v>1.6910970670556622</v>
      </c>
      <c r="O2774" s="361">
        <f t="shared" si="2849"/>
        <v>2.2832347050851629</v>
      </c>
      <c r="P2774" s="361">
        <f t="shared" si="2849"/>
        <v>3.0827093370706793</v>
      </c>
      <c r="Q2774" s="361">
        <f t="shared" si="2849"/>
        <v>4.1621200114459054</v>
      </c>
      <c r="R2774" s="361">
        <f t="shared" si="2849"/>
        <v>5.6194863334535921</v>
      </c>
      <c r="S2774" s="361">
        <f t="shared" si="2849"/>
        <v>7.5871494731122358</v>
      </c>
      <c r="T2774" s="361">
        <f t="shared" si="2849"/>
        <v>10.243789861122307</v>
      </c>
      <c r="U2774" s="361">
        <f t="shared" si="2849"/>
        <v>13.830652880994045</v>
      </c>
      <c r="V2774" s="362">
        <f t="shared" si="2849"/>
        <v>18.673455987273787</v>
      </c>
      <c r="X2774" s="351"/>
    </row>
    <row r="2775" spans="3:24" ht="24.75" customHeight="1" x14ac:dyDescent="0.3">
      <c r="C2775" s="353">
        <f>ABS(E2775-Dashboard!$F$14)</f>
        <v>54.581953941966475</v>
      </c>
      <c r="D2775" s="350">
        <f t="shared" si="2841"/>
        <v>0.35024999999997669</v>
      </c>
      <c r="E2775" s="359" cm="1">
        <f t="array" ref="E2775">1000*SUM('DRE + DCF'!$L$36/M2775,'DRE + DCF'!$N$36:$V$36/N2775:V2775,F2775/V2775)/Dashboard!$F$11</f>
        <v>42.40804605803352</v>
      </c>
      <c r="F2775" s="359">
        <f t="shared" si="2839"/>
        <v>7368433.6760683618</v>
      </c>
      <c r="G2775" s="359">
        <f>'DRE + DCF'!$W$31</f>
        <v>2791623.3540418856</v>
      </c>
      <c r="H2775" s="359">
        <f>'DRE + DCF'!$W$32</f>
        <v>81081.931703745853</v>
      </c>
      <c r="I2775" s="359">
        <f>-H2775*('DRE + DCF'!$V$33+K2775)/'DRE + DCF'!$V$33</f>
        <v>-90858.801614444121</v>
      </c>
      <c r="J2775" s="359">
        <f>-'DRE + DCF'!$V$56*L2775</f>
        <v>-1188924.4255577971</v>
      </c>
      <c r="K2775" s="360">
        <f>(1+L2775)/(1+Ke!$O$12)-1</f>
        <v>2.0000000000000018E-2</v>
      </c>
      <c r="L2775" s="360">
        <f>'DRE + DCF'!$Y$31</f>
        <v>7.3550000000000004E-2</v>
      </c>
      <c r="M2775" s="361">
        <f>(1+D2775)^((5-Dashboard!$F$9)*3/12)</f>
        <v>1.2525949010001507</v>
      </c>
      <c r="N2775" s="361">
        <f t="shared" ref="N2775:V2775" si="2850">M2775*(1+$D2775)</f>
        <v>1.6913162650754243</v>
      </c>
      <c r="O2775" s="361">
        <f t="shared" si="2850"/>
        <v>2.283699786918052</v>
      </c>
      <c r="P2775" s="361">
        <f t="shared" si="2850"/>
        <v>3.0835656372860463</v>
      </c>
      <c r="Q2775" s="361">
        <f t="shared" si="2850"/>
        <v>4.1635845017454116</v>
      </c>
      <c r="R2775" s="361">
        <f t="shared" si="2850"/>
        <v>5.6218799734816445</v>
      </c>
      <c r="S2775" s="361">
        <f t="shared" si="2850"/>
        <v>7.5909434341934592</v>
      </c>
      <c r="T2775" s="361">
        <f t="shared" si="2850"/>
        <v>10.249671372019542</v>
      </c>
      <c r="U2775" s="361">
        <f t="shared" si="2850"/>
        <v>13.839618770069146</v>
      </c>
      <c r="V2775" s="362">
        <f t="shared" si="2850"/>
        <v>18.686945244285543</v>
      </c>
      <c r="X2775" s="351"/>
    </row>
    <row r="2776" spans="3:24" ht="24.75" customHeight="1" x14ac:dyDescent="0.3">
      <c r="C2776" s="353">
        <f>ABS(E2776-Dashboard!$F$14)</f>
        <v>54.60007310132027</v>
      </c>
      <c r="D2776" s="350">
        <f t="shared" si="2841"/>
        <v>0.35034999999997668</v>
      </c>
      <c r="E2776" s="359" cm="1">
        <f t="array" ref="E2776">1000*SUM('DRE + DCF'!$L$36/M2776,'DRE + DCF'!$N$36:$V$36/N2776:V2776,F2776/V2776)/Dashboard!$F$11</f>
        <v>42.389926898679725</v>
      </c>
      <c r="F2776" s="359">
        <f t="shared" si="2839"/>
        <v>7366096.1478113979</v>
      </c>
      <c r="G2776" s="359">
        <f>'DRE + DCF'!$W$31</f>
        <v>2791623.3540418856</v>
      </c>
      <c r="H2776" s="359">
        <f>'DRE + DCF'!$W$32</f>
        <v>81081.931703745853</v>
      </c>
      <c r="I2776" s="359">
        <f>-H2776*('DRE + DCF'!$V$33+K2776)/'DRE + DCF'!$V$33</f>
        <v>-90858.801614444121</v>
      </c>
      <c r="J2776" s="359">
        <f>-'DRE + DCF'!$V$56*L2776</f>
        <v>-1188924.4255577971</v>
      </c>
      <c r="K2776" s="360">
        <f>(1+L2776)/(1+Ke!$O$12)-1</f>
        <v>2.0000000000000018E-2</v>
      </c>
      <c r="L2776" s="360">
        <f>'DRE + DCF'!$Y$31</f>
        <v>7.3550000000000004E-2</v>
      </c>
      <c r="M2776" s="361">
        <f>(1+D2776)^((5-Dashboard!$F$9)*3/12)</f>
        <v>1.2526644760772885</v>
      </c>
      <c r="N2776" s="361">
        <f t="shared" ref="N2776:V2776" si="2851">M2776*(1+$D2776)</f>
        <v>1.6915354752709373</v>
      </c>
      <c r="O2776" s="361">
        <f t="shared" si="2851"/>
        <v>2.2841649290320705</v>
      </c>
      <c r="P2776" s="361">
        <f t="shared" si="2851"/>
        <v>3.084422111918403</v>
      </c>
      <c r="Q2776" s="361">
        <f t="shared" si="2851"/>
        <v>4.165049398828943</v>
      </c>
      <c r="R2776" s="361">
        <f t="shared" si="2851"/>
        <v>5.6242744557085658</v>
      </c>
      <c r="S2776" s="361">
        <f t="shared" si="2851"/>
        <v>7.5947390112659301</v>
      </c>
      <c r="T2776" s="361">
        <f t="shared" si="2851"/>
        <v>10.255555823862771</v>
      </c>
      <c r="U2776" s="361">
        <f t="shared" si="2851"/>
        <v>13.848589806752853</v>
      </c>
      <c r="V2776" s="362">
        <f t="shared" si="2851"/>
        <v>18.700443245548392</v>
      </c>
      <c r="X2776" s="351"/>
    </row>
    <row r="2777" spans="3:24" ht="24.75" customHeight="1" x14ac:dyDescent="0.3">
      <c r="C2777" s="353">
        <f>ABS(E2777-Dashboard!$F$14)</f>
        <v>54.618178148649662</v>
      </c>
      <c r="D2777" s="350">
        <f t="shared" si="2841"/>
        <v>0.35044999999997667</v>
      </c>
      <c r="E2777" s="359" cm="1">
        <f t="array" ref="E2777">1000*SUM('DRE + DCF'!$L$36/M2777,'DRE + DCF'!$N$36:$V$36/N2777:V2777,F2777/V2777)/Dashboard!$F$11</f>
        <v>42.371821851350333</v>
      </c>
      <c r="F2777" s="359">
        <f t="shared" si="2839"/>
        <v>7363760.1227988712</v>
      </c>
      <c r="G2777" s="359">
        <f>'DRE + DCF'!$W$31</f>
        <v>2791623.3540418856</v>
      </c>
      <c r="H2777" s="359">
        <f>'DRE + DCF'!$W$32</f>
        <v>81081.931703745853</v>
      </c>
      <c r="I2777" s="359">
        <f>-H2777*('DRE + DCF'!$V$33+K2777)/'DRE + DCF'!$V$33</f>
        <v>-90858.801614444121</v>
      </c>
      <c r="J2777" s="359">
        <f>-'DRE + DCF'!$V$56*L2777</f>
        <v>-1188924.4255577971</v>
      </c>
      <c r="K2777" s="360">
        <f>(1+L2777)/(1+Ke!$O$12)-1</f>
        <v>2.0000000000000018E-2</v>
      </c>
      <c r="L2777" s="360">
        <f>'DRE + DCF'!$Y$31</f>
        <v>7.3550000000000004E-2</v>
      </c>
      <c r="M2777" s="361">
        <f>(1+D2777)^((5-Dashboard!$F$9)*3/12)</f>
        <v>1.2527340498663448</v>
      </c>
      <c r="N2777" s="361">
        <f t="shared" ref="N2777:V2777" si="2852">M2777*(1+$D2777)</f>
        <v>1.6917546976419762</v>
      </c>
      <c r="O2777" s="361">
        <f t="shared" si="2852"/>
        <v>2.2846301314305673</v>
      </c>
      <c r="P2777" s="361">
        <f t="shared" si="2852"/>
        <v>3.0852787609903563</v>
      </c>
      <c r="Q2777" s="361">
        <f t="shared" si="2852"/>
        <v>4.1665147027793541</v>
      </c>
      <c r="R2777" s="361">
        <f t="shared" si="2852"/>
        <v>5.6266697803682817</v>
      </c>
      <c r="S2777" s="361">
        <f t="shared" si="2852"/>
        <v>7.5985362048982141</v>
      </c>
      <c r="T2777" s="361">
        <f t="shared" si="2852"/>
        <v>10.261443217904615</v>
      </c>
      <c r="U2777" s="361">
        <f t="shared" si="2852"/>
        <v>13.857565993619048</v>
      </c>
      <c r="V2777" s="362">
        <f t="shared" si="2852"/>
        <v>18.713949996082519</v>
      </c>
      <c r="X2777" s="351"/>
    </row>
    <row r="2778" spans="3:24" ht="24.75" customHeight="1" x14ac:dyDescent="0.3">
      <c r="C2778" s="353">
        <f>ABS(E2778-Dashboard!$F$14)</f>
        <v>54.63626909929409</v>
      </c>
      <c r="D2778" s="350">
        <f t="shared" si="2841"/>
        <v>0.35054999999997666</v>
      </c>
      <c r="E2778" s="359" cm="1">
        <f t="array" ref="E2778">1000*SUM('DRE + DCF'!$L$36/M2778,'DRE + DCF'!$N$36:$V$36/N2778:V2778,F2778/V2778)/Dashboard!$F$11</f>
        <v>42.353730900705905</v>
      </c>
      <c r="F2778" s="359">
        <f t="shared" si="2839"/>
        <v>7361425.5995610785</v>
      </c>
      <c r="G2778" s="359">
        <f>'DRE + DCF'!$W$31</f>
        <v>2791623.3540418856</v>
      </c>
      <c r="H2778" s="359">
        <f>'DRE + DCF'!$W$32</f>
        <v>81081.931703745853</v>
      </c>
      <c r="I2778" s="359">
        <f>-H2778*('DRE + DCF'!$V$33+K2778)/'DRE + DCF'!$V$33</f>
        <v>-90858.801614444121</v>
      </c>
      <c r="J2778" s="359">
        <f>-'DRE + DCF'!$V$56*L2778</f>
        <v>-1188924.4255577971</v>
      </c>
      <c r="K2778" s="360">
        <f>(1+L2778)/(1+Ke!$O$12)-1</f>
        <v>2.0000000000000018E-2</v>
      </c>
      <c r="L2778" s="360">
        <f>'DRE + DCF'!$Y$31</f>
        <v>7.3550000000000004E-2</v>
      </c>
      <c r="M2778" s="361">
        <f>(1+D2778)^((5-Dashboard!$F$9)*3/12)</f>
        <v>1.2528036223674388</v>
      </c>
      <c r="N2778" s="361">
        <f t="shared" ref="N2778:V2778" si="2853">M2778*(1+$D2778)</f>
        <v>1.6919739321883152</v>
      </c>
      <c r="O2778" s="361">
        <f t="shared" si="2853"/>
        <v>2.2850953941168894</v>
      </c>
      <c r="P2778" s="361">
        <f t="shared" si="2853"/>
        <v>3.0861355845245115</v>
      </c>
      <c r="Q2778" s="361">
        <f t="shared" si="2853"/>
        <v>4.1679804136795067</v>
      </c>
      <c r="R2778" s="361">
        <f t="shared" si="2853"/>
        <v>5.6290659476947607</v>
      </c>
      <c r="S2778" s="361">
        <f t="shared" si="2853"/>
        <v>7.602335015659027</v>
      </c>
      <c r="T2778" s="361">
        <f t="shared" si="2853"/>
        <v>10.267333555398121</v>
      </c>
      <c r="U2778" s="361">
        <f t="shared" si="2853"/>
        <v>13.866547333242693</v>
      </c>
      <c r="V2778" s="362">
        <f t="shared" si="2853"/>
        <v>18.727465500910593</v>
      </c>
      <c r="X2778" s="351"/>
    </row>
    <row r="2779" spans="3:24" ht="24.75" customHeight="1" x14ac:dyDescent="0.3">
      <c r="C2779" s="353">
        <f>ABS(E2779-Dashboard!$F$14)</f>
        <v>54.654345968571803</v>
      </c>
      <c r="D2779" s="350">
        <f t="shared" si="2841"/>
        <v>0.35064999999997665</v>
      </c>
      <c r="E2779" s="359" cm="1">
        <f t="array" ref="E2779">1000*SUM('DRE + DCF'!$L$36/M2779,'DRE + DCF'!$N$36:$V$36/N2779:V2779,F2779/V2779)/Dashboard!$F$11</f>
        <v>42.335654031428192</v>
      </c>
      <c r="F2779" s="359">
        <f t="shared" si="2839"/>
        <v>7359092.5766302571</v>
      </c>
      <c r="G2779" s="359">
        <f>'DRE + DCF'!$W$31</f>
        <v>2791623.3540418856</v>
      </c>
      <c r="H2779" s="359">
        <f>'DRE + DCF'!$W$32</f>
        <v>81081.931703745853</v>
      </c>
      <c r="I2779" s="359">
        <f>-H2779*('DRE + DCF'!$V$33+K2779)/'DRE + DCF'!$V$33</f>
        <v>-90858.801614444121</v>
      </c>
      <c r="J2779" s="359">
        <f>-'DRE + DCF'!$V$56*L2779</f>
        <v>-1188924.4255577971</v>
      </c>
      <c r="K2779" s="360">
        <f>(1+L2779)/(1+Ke!$O$12)-1</f>
        <v>2.0000000000000018E-2</v>
      </c>
      <c r="L2779" s="360">
        <f>'DRE + DCF'!$Y$31</f>
        <v>7.3550000000000004E-2</v>
      </c>
      <c r="M2779" s="361">
        <f>(1+D2779)^((5-Dashboard!$F$9)*3/12)</f>
        <v>1.2528731935806898</v>
      </c>
      <c r="N2779" s="361">
        <f t="shared" ref="N2779:V2779" si="2854">M2779*(1+$D2779)</f>
        <v>1.6921931789097293</v>
      </c>
      <c r="O2779" s="361">
        <f t="shared" si="2854"/>
        <v>2.2855607170943864</v>
      </c>
      <c r="P2779" s="361">
        <f t="shared" si="2854"/>
        <v>3.0869925825434796</v>
      </c>
      <c r="Q2779" s="361">
        <f t="shared" si="2854"/>
        <v>4.1694465316122784</v>
      </c>
      <c r="R2779" s="361">
        <f t="shared" si="2854"/>
        <v>5.6314629579220261</v>
      </c>
      <c r="S2779" s="361">
        <f t="shared" si="2854"/>
        <v>7.6061354441172524</v>
      </c>
      <c r="T2779" s="361">
        <f t="shared" si="2854"/>
        <v>10.273226837596789</v>
      </c>
      <c r="U2779" s="361">
        <f t="shared" si="2854"/>
        <v>13.875533828199863</v>
      </c>
      <c r="V2779" s="362">
        <f t="shared" si="2854"/>
        <v>18.740989765057819</v>
      </c>
      <c r="X2779" s="351"/>
    </row>
    <row r="2780" spans="3:24" ht="24.75" customHeight="1" x14ac:dyDescent="0.3">
      <c r="C2780" s="353">
        <f>ABS(E2780-Dashboard!$F$14)</f>
        <v>54.672408771779793</v>
      </c>
      <c r="D2780" s="350">
        <f t="shared" si="2841"/>
        <v>0.35074999999997664</v>
      </c>
      <c r="E2780" s="359" cm="1">
        <f t="array" ref="E2780">1000*SUM('DRE + DCF'!$L$36/M2780,'DRE + DCF'!$N$36:$V$36/N2780:V2780,F2780/V2780)/Dashboard!$F$11</f>
        <v>42.317591228220202</v>
      </c>
      <c r="F2780" s="359">
        <f t="shared" si="2839"/>
        <v>7356761.0525405873</v>
      </c>
      <c r="G2780" s="359">
        <f>'DRE + DCF'!$W$31</f>
        <v>2791623.3540418856</v>
      </c>
      <c r="H2780" s="359">
        <f>'DRE + DCF'!$W$32</f>
        <v>81081.931703745853</v>
      </c>
      <c r="I2780" s="359">
        <f>-H2780*('DRE + DCF'!$V$33+K2780)/'DRE + DCF'!$V$33</f>
        <v>-90858.801614444121</v>
      </c>
      <c r="J2780" s="359">
        <f>-'DRE + DCF'!$V$56*L2780</f>
        <v>-1188924.4255577971</v>
      </c>
      <c r="K2780" s="360">
        <f>(1+L2780)/(1+Ke!$O$12)-1</f>
        <v>2.0000000000000018E-2</v>
      </c>
      <c r="L2780" s="360">
        <f>'DRE + DCF'!$Y$31</f>
        <v>7.3550000000000004E-2</v>
      </c>
      <c r="M2780" s="361">
        <f>(1+D2780)^((5-Dashboard!$F$9)*3/12)</f>
        <v>1.2529427635062169</v>
      </c>
      <c r="N2780" s="361">
        <f t="shared" ref="N2780:V2780" si="2855">M2780*(1+$D2780)</f>
        <v>1.6924124378059933</v>
      </c>
      <c r="O2780" s="361">
        <f t="shared" si="2855"/>
        <v>2.286026100366406</v>
      </c>
      <c r="P2780" s="361">
        <f t="shared" si="2855"/>
        <v>3.0878497550698691</v>
      </c>
      <c r="Q2780" s="361">
        <f t="shared" si="2855"/>
        <v>4.1709130566605532</v>
      </c>
      <c r="R2780" s="361">
        <f t="shared" si="2855"/>
        <v>5.6338608112841442</v>
      </c>
      <c r="S2780" s="361">
        <f t="shared" si="2855"/>
        <v>7.6099374908419257</v>
      </c>
      <c r="T2780" s="361">
        <f t="shared" si="2855"/>
        <v>10.279123065754552</v>
      </c>
      <c r="U2780" s="361">
        <f t="shared" si="2855"/>
        <v>13.884525481067721</v>
      </c>
      <c r="V2780" s="362">
        <f t="shared" si="2855"/>
        <v>18.754522793551899</v>
      </c>
      <c r="X2780" s="351"/>
    </row>
    <row r="2781" spans="3:24" ht="24.75" customHeight="1" x14ac:dyDescent="0.3">
      <c r="C2781" s="353">
        <f>ABS(E2781-Dashboard!$F$14)</f>
        <v>54.690457524193889</v>
      </c>
      <c r="D2781" s="350">
        <f t="shared" si="2841"/>
        <v>0.35084999999997663</v>
      </c>
      <c r="E2781" s="359" cm="1">
        <f t="array" ref="E2781">1000*SUM('DRE + DCF'!$L$36/M2781,'DRE + DCF'!$N$36:$V$36/N2781:V2781,F2781/V2781)/Dashboard!$F$11</f>
        <v>42.299542475806106</v>
      </c>
      <c r="F2781" s="359">
        <f t="shared" si="2839"/>
        <v>7354431.0258281771</v>
      </c>
      <c r="G2781" s="359">
        <f>'DRE + DCF'!$W$31</f>
        <v>2791623.3540418856</v>
      </c>
      <c r="H2781" s="359">
        <f>'DRE + DCF'!$W$32</f>
        <v>81081.931703745853</v>
      </c>
      <c r="I2781" s="359">
        <f>-H2781*('DRE + DCF'!$V$33+K2781)/'DRE + DCF'!$V$33</f>
        <v>-90858.801614444121</v>
      </c>
      <c r="J2781" s="359">
        <f>-'DRE + DCF'!$V$56*L2781</f>
        <v>-1188924.4255577971</v>
      </c>
      <c r="K2781" s="360">
        <f>(1+L2781)/(1+Ke!$O$12)-1</f>
        <v>2.0000000000000018E-2</v>
      </c>
      <c r="L2781" s="360">
        <f>'DRE + DCF'!$Y$31</f>
        <v>7.3550000000000004E-2</v>
      </c>
      <c r="M2781" s="361">
        <f>(1+D2781)^((5-Dashboard!$F$9)*3/12)</f>
        <v>1.2530123321441395</v>
      </c>
      <c r="N2781" s="361">
        <f t="shared" ref="N2781:V2781" si="2856">M2781*(1+$D2781)</f>
        <v>1.6926317088768816</v>
      </c>
      <c r="O2781" s="361">
        <f t="shared" si="2856"/>
        <v>2.2864915439362958</v>
      </c>
      <c r="P2781" s="361">
        <f t="shared" si="2856"/>
        <v>3.0887071021262917</v>
      </c>
      <c r="Q2781" s="361">
        <f t="shared" si="2856"/>
        <v>4.1723799889072284</v>
      </c>
      <c r="R2781" s="361">
        <f t="shared" si="2856"/>
        <v>5.6362595080152316</v>
      </c>
      <c r="S2781" s="361">
        <f t="shared" si="2856"/>
        <v>7.6137411564022432</v>
      </c>
      <c r="T2781" s="361">
        <f t="shared" si="2856"/>
        <v>10.285022241125793</v>
      </c>
      <c r="U2781" s="361">
        <f t="shared" si="2856"/>
        <v>13.893522294424535</v>
      </c>
      <c r="V2781" s="362">
        <f t="shared" si="2856"/>
        <v>18.768064591423059</v>
      </c>
      <c r="X2781" s="351"/>
    </row>
    <row r="2782" spans="3:24" ht="24.75" customHeight="1" x14ac:dyDescent="0.3">
      <c r="C2782" s="353">
        <f>ABS(E2782-Dashboard!$F$14)</f>
        <v>54.708492241068811</v>
      </c>
      <c r="D2782" s="350">
        <f t="shared" si="2841"/>
        <v>0.35094999999997661</v>
      </c>
      <c r="E2782" s="359" cm="1">
        <f t="array" ref="E2782">1000*SUM('DRE + DCF'!$L$36/M2782,'DRE + DCF'!$N$36:$V$36/N2782:V2782,F2782/V2782)/Dashboard!$F$11</f>
        <v>42.281507758931184</v>
      </c>
      <c r="F2782" s="359">
        <f t="shared" si="2839"/>
        <v>7352102.4950310718</v>
      </c>
      <c r="G2782" s="359">
        <f>'DRE + DCF'!$W$31</f>
        <v>2791623.3540418856</v>
      </c>
      <c r="H2782" s="359">
        <f>'DRE + DCF'!$W$32</f>
        <v>81081.931703745853</v>
      </c>
      <c r="I2782" s="359">
        <f>-H2782*('DRE + DCF'!$V$33+K2782)/'DRE + DCF'!$V$33</f>
        <v>-90858.801614444121</v>
      </c>
      <c r="J2782" s="359">
        <f>-'DRE + DCF'!$V$56*L2782</f>
        <v>-1188924.4255577971</v>
      </c>
      <c r="K2782" s="360">
        <f>(1+L2782)/(1+Ke!$O$12)-1</f>
        <v>2.0000000000000018E-2</v>
      </c>
      <c r="L2782" s="360">
        <f>'DRE + DCF'!$Y$31</f>
        <v>7.3550000000000004E-2</v>
      </c>
      <c r="M2782" s="361">
        <f>(1+D2782)^((5-Dashboard!$F$9)*3/12)</f>
        <v>1.2530818994945763</v>
      </c>
      <c r="N2782" s="361">
        <f t="shared" ref="N2782:V2782" si="2857">M2782*(1+$D2782)</f>
        <v>1.6928509921221684</v>
      </c>
      <c r="O2782" s="361">
        <f t="shared" si="2857"/>
        <v>2.2869570478074035</v>
      </c>
      <c r="P2782" s="361">
        <f t="shared" si="2857"/>
        <v>3.0895646237353582</v>
      </c>
      <c r="Q2782" s="361">
        <f t="shared" si="2857"/>
        <v>4.17384732843521</v>
      </c>
      <c r="R2782" s="361">
        <f t="shared" si="2857"/>
        <v>5.6386590483494494</v>
      </c>
      <c r="S2782" s="361">
        <f t="shared" si="2857"/>
        <v>7.6175464413675567</v>
      </c>
      <c r="T2782" s="361">
        <f t="shared" si="2857"/>
        <v>10.290924364965322</v>
      </c>
      <c r="U2782" s="361">
        <f t="shared" si="2857"/>
        <v>13.902524270849661</v>
      </c>
      <c r="V2782" s="362">
        <f t="shared" si="2857"/>
        <v>18.781615163704021</v>
      </c>
      <c r="X2782" s="351"/>
    </row>
    <row r="2783" spans="3:24" ht="24.75" customHeight="1" x14ac:dyDescent="0.3">
      <c r="C2783" s="353">
        <f>ABS(E2783-Dashboard!$F$14)</f>
        <v>54.726512937638169</v>
      </c>
      <c r="D2783" s="350">
        <f t="shared" si="2841"/>
        <v>0.3510499999999766</v>
      </c>
      <c r="E2783" s="359" cm="1">
        <f t="array" ref="E2783">1000*SUM('DRE + DCF'!$L$36/M2783,'DRE + DCF'!$N$36:$V$36/N2783:V2783,F2783/V2783)/Dashboard!$F$11</f>
        <v>42.263487062361826</v>
      </c>
      <c r="F2783" s="359">
        <f t="shared" si="2839"/>
        <v>7349775.4586892398</v>
      </c>
      <c r="G2783" s="359">
        <f>'DRE + DCF'!$W$31</f>
        <v>2791623.3540418856</v>
      </c>
      <c r="H2783" s="359">
        <f>'DRE + DCF'!$W$32</f>
        <v>81081.931703745853</v>
      </c>
      <c r="I2783" s="359">
        <f>-H2783*('DRE + DCF'!$V$33+K2783)/'DRE + DCF'!$V$33</f>
        <v>-90858.801614444121</v>
      </c>
      <c r="J2783" s="359">
        <f>-'DRE + DCF'!$V$56*L2783</f>
        <v>-1188924.4255577971</v>
      </c>
      <c r="K2783" s="360">
        <f>(1+L2783)/(1+Ke!$O$12)-1</f>
        <v>2.0000000000000018E-2</v>
      </c>
      <c r="L2783" s="360">
        <f>'DRE + DCF'!$Y$31</f>
        <v>7.3550000000000004E-2</v>
      </c>
      <c r="M2783" s="361">
        <f>(1+D2783)^((5-Dashboard!$F$9)*3/12)</f>
        <v>1.2531514655576468</v>
      </c>
      <c r="N2783" s="361">
        <f t="shared" ref="N2783:V2783" si="2858">M2783*(1+$D2783)</f>
        <v>1.6930702875416292</v>
      </c>
      <c r="O2783" s="361">
        <f t="shared" si="2858"/>
        <v>2.2874226119830783</v>
      </c>
      <c r="P2783" s="361">
        <f t="shared" si="2858"/>
        <v>3.0904223199196843</v>
      </c>
      <c r="Q2783" s="361">
        <f t="shared" si="2858"/>
        <v>4.1753150753274166</v>
      </c>
      <c r="R2783" s="361">
        <f t="shared" si="2858"/>
        <v>5.6410594325210086</v>
      </c>
      <c r="S2783" s="361">
        <f t="shared" si="2858"/>
        <v>7.6213533463073766</v>
      </c>
      <c r="T2783" s="361">
        <f t="shared" si="2858"/>
        <v>10.296829438528402</v>
      </c>
      <c r="U2783" s="361">
        <f t="shared" si="2858"/>
        <v>13.911531412923555</v>
      </c>
      <c r="V2783" s="362">
        <f t="shared" si="2858"/>
        <v>18.795174515430041</v>
      </c>
      <c r="X2783" s="351"/>
    </row>
    <row r="2784" spans="3:24" ht="24.75" customHeight="1" x14ac:dyDescent="0.3">
      <c r="C2784" s="353">
        <f>ABS(E2784-Dashboard!$F$14)</f>
        <v>54.744519629114514</v>
      </c>
      <c r="D2784" s="350">
        <f t="shared" si="2841"/>
        <v>0.35114999999997659</v>
      </c>
      <c r="E2784" s="359" cm="1">
        <f t="array" ref="E2784">1000*SUM('DRE + DCF'!$L$36/M2784,'DRE + DCF'!$N$36:$V$36/N2784:V2784,F2784/V2784)/Dashboard!$F$11</f>
        <v>42.245480370885481</v>
      </c>
      <c r="F2784" s="359">
        <f t="shared" si="2839"/>
        <v>7347449.9153445773</v>
      </c>
      <c r="G2784" s="359">
        <f>'DRE + DCF'!$W$31</f>
        <v>2791623.3540418856</v>
      </c>
      <c r="H2784" s="359">
        <f>'DRE + DCF'!$W$32</f>
        <v>81081.931703745853</v>
      </c>
      <c r="I2784" s="359">
        <f>-H2784*('DRE + DCF'!$V$33+K2784)/'DRE + DCF'!$V$33</f>
        <v>-90858.801614444121</v>
      </c>
      <c r="J2784" s="359">
        <f>-'DRE + DCF'!$V$56*L2784</f>
        <v>-1188924.4255577971</v>
      </c>
      <c r="K2784" s="360">
        <f>(1+L2784)/(1+Ke!$O$12)-1</f>
        <v>2.0000000000000018E-2</v>
      </c>
      <c r="L2784" s="360">
        <f>'DRE + DCF'!$Y$31</f>
        <v>7.3550000000000004E-2</v>
      </c>
      <c r="M2784" s="361">
        <f>(1+D2784)^((5-Dashboard!$F$9)*3/12)</f>
        <v>1.2532210303334701</v>
      </c>
      <c r="N2784" s="361">
        <f t="shared" ref="N2784:V2784" si="2859">M2784*(1+$D2784)</f>
        <v>1.6932895951350386</v>
      </c>
      <c r="O2784" s="361">
        <f t="shared" si="2859"/>
        <v>2.2878882364666677</v>
      </c>
      <c r="P2784" s="361">
        <f t="shared" si="2859"/>
        <v>3.0912801907018843</v>
      </c>
      <c r="Q2784" s="361">
        <f t="shared" si="2859"/>
        <v>4.1767832296667784</v>
      </c>
      <c r="R2784" s="361">
        <f t="shared" si="2859"/>
        <v>5.6434606607641697</v>
      </c>
      <c r="S2784" s="361">
        <f t="shared" si="2859"/>
        <v>7.6251618717913754</v>
      </c>
      <c r="T2784" s="361">
        <f t="shared" si="2859"/>
        <v>10.302737463070738</v>
      </c>
      <c r="U2784" s="361">
        <f t="shared" si="2859"/>
        <v>13.920543723227786</v>
      </c>
      <c r="V2784" s="362">
        <f t="shared" si="2859"/>
        <v>18.808742651638894</v>
      </c>
      <c r="X2784" s="351"/>
    </row>
    <row r="2785" spans="3:24" ht="24.75" customHeight="1" x14ac:dyDescent="0.3">
      <c r="C2785" s="353">
        <f>ABS(E2785-Dashboard!$F$14)</f>
        <v>54.76251233068934</v>
      </c>
      <c r="D2785" s="350">
        <f t="shared" si="2841"/>
        <v>0.35124999999997658</v>
      </c>
      <c r="E2785" s="359" cm="1">
        <f t="array" ref="E2785">1000*SUM('DRE + DCF'!$L$36/M2785,'DRE + DCF'!$N$36:$V$36/N2785:V2785,F2785/V2785)/Dashboard!$F$11</f>
        <v>42.227487669310655</v>
      </c>
      <c r="F2785" s="359">
        <f t="shared" si="2839"/>
        <v>7345125.8635409009</v>
      </c>
      <c r="G2785" s="359">
        <f>'DRE + DCF'!$W$31</f>
        <v>2791623.3540418856</v>
      </c>
      <c r="H2785" s="359">
        <f>'DRE + DCF'!$W$32</f>
        <v>81081.931703745853</v>
      </c>
      <c r="I2785" s="359">
        <f>-H2785*('DRE + DCF'!$V$33+K2785)/'DRE + DCF'!$V$33</f>
        <v>-90858.801614444121</v>
      </c>
      <c r="J2785" s="359">
        <f>-'DRE + DCF'!$V$56*L2785</f>
        <v>-1188924.4255577971</v>
      </c>
      <c r="K2785" s="360">
        <f>(1+L2785)/(1+Ke!$O$12)-1</f>
        <v>2.0000000000000018E-2</v>
      </c>
      <c r="L2785" s="360">
        <f>'DRE + DCF'!$Y$31</f>
        <v>7.3550000000000004E-2</v>
      </c>
      <c r="M2785" s="361">
        <f>(1+D2785)^((5-Dashboard!$F$9)*3/12)</f>
        <v>1.253290593822165</v>
      </c>
      <c r="N2785" s="361">
        <f t="shared" ref="N2785:V2785" si="2860">M2785*(1+$D2785)</f>
        <v>1.6935089149021711</v>
      </c>
      <c r="O2785" s="361">
        <f t="shared" si="2860"/>
        <v>2.2883539212615189</v>
      </c>
      <c r="P2785" s="361">
        <f t="shared" si="2860"/>
        <v>3.0921382361045739</v>
      </c>
      <c r="Q2785" s="361">
        <f t="shared" si="2860"/>
        <v>4.1782517915362334</v>
      </c>
      <c r="R2785" s="361">
        <f t="shared" si="2860"/>
        <v>5.645862733313237</v>
      </c>
      <c r="S2785" s="361">
        <f t="shared" si="2860"/>
        <v>7.628972018389379</v>
      </c>
      <c r="T2785" s="361">
        <f t="shared" si="2860"/>
        <v>10.308648439848469</v>
      </c>
      <c r="U2785" s="361">
        <f t="shared" si="2860"/>
        <v>13.929561204345001</v>
      </c>
      <c r="V2785" s="362">
        <f t="shared" si="2860"/>
        <v>18.822319577370855</v>
      </c>
      <c r="X2785" s="351"/>
    </row>
    <row r="2786" spans="3:24" ht="24.75" customHeight="1" x14ac:dyDescent="0.3">
      <c r="C2786" s="353">
        <f>ABS(E2786-Dashboard!$F$14)</f>
        <v>54.780491057533169</v>
      </c>
      <c r="D2786" s="350">
        <f t="shared" si="2841"/>
        <v>0.35134999999997657</v>
      </c>
      <c r="E2786" s="359" cm="1">
        <f t="array" ref="E2786">1000*SUM('DRE + DCF'!$L$36/M2786,'DRE + DCF'!$N$36:$V$36/N2786:V2786,F2786/V2786)/Dashboard!$F$11</f>
        <v>42.209508942466826</v>
      </c>
      <c r="F2786" s="359">
        <f t="shared" si="2839"/>
        <v>7342803.3018239429</v>
      </c>
      <c r="G2786" s="359">
        <f>'DRE + DCF'!$W$31</f>
        <v>2791623.3540418856</v>
      </c>
      <c r="H2786" s="359">
        <f>'DRE + DCF'!$W$32</f>
        <v>81081.931703745853</v>
      </c>
      <c r="I2786" s="359">
        <f>-H2786*('DRE + DCF'!$V$33+K2786)/'DRE + DCF'!$V$33</f>
        <v>-90858.801614444121</v>
      </c>
      <c r="J2786" s="359">
        <f>-'DRE + DCF'!$V$56*L2786</f>
        <v>-1188924.4255577971</v>
      </c>
      <c r="K2786" s="360">
        <f>(1+L2786)/(1+Ke!$O$12)-1</f>
        <v>2.0000000000000018E-2</v>
      </c>
      <c r="L2786" s="360">
        <f>'DRE + DCF'!$Y$31</f>
        <v>7.3550000000000004E-2</v>
      </c>
      <c r="M2786" s="361">
        <f>(1+D2786)^((5-Dashboard!$F$9)*3/12)</f>
        <v>1.2533601560238508</v>
      </c>
      <c r="N2786" s="361">
        <f t="shared" ref="N2786:V2786" si="2861">M2786*(1+$D2786)</f>
        <v>1.6937282468428012</v>
      </c>
      <c r="O2786" s="361">
        <f t="shared" si="2861"/>
        <v>2.2888196663709794</v>
      </c>
      <c r="P2786" s="361">
        <f t="shared" si="2861"/>
        <v>3.0929964561503693</v>
      </c>
      <c r="Q2786" s="361">
        <f t="shared" si="2861"/>
        <v>4.1797207610187286</v>
      </c>
      <c r="R2786" s="361">
        <f t="shared" si="2861"/>
        <v>5.6482656504025606</v>
      </c>
      <c r="S2786" s="361">
        <f t="shared" si="2861"/>
        <v>7.6327837866713679</v>
      </c>
      <c r="T2786" s="361">
        <f t="shared" si="2861"/>
        <v>10.314562370118173</v>
      </c>
      <c r="U2786" s="361">
        <f t="shared" si="2861"/>
        <v>13.938583858858951</v>
      </c>
      <c r="V2786" s="362">
        <f t="shared" si="2861"/>
        <v>18.835905297668717</v>
      </c>
      <c r="X2786" s="351"/>
    </row>
    <row r="2787" spans="3:24" ht="24.75" customHeight="1" x14ac:dyDescent="0.3">
      <c r="C2787" s="353">
        <f>ABS(E2787-Dashboard!$F$14)</f>
        <v>54.798455824795624</v>
      </c>
      <c r="D2787" s="350">
        <f t="shared" si="2841"/>
        <v>0.35144999999997656</v>
      </c>
      <c r="E2787" s="359" cm="1">
        <f t="array" ref="E2787">1000*SUM('DRE + DCF'!$L$36/M2787,'DRE + DCF'!$N$36:$V$36/N2787:V2787,F2787/V2787)/Dashboard!$F$11</f>
        <v>42.191544175204371</v>
      </c>
      <c r="F2787" s="359">
        <f t="shared" si="2839"/>
        <v>7340482.228741359</v>
      </c>
      <c r="G2787" s="359">
        <f>'DRE + DCF'!$W$31</f>
        <v>2791623.3540418856</v>
      </c>
      <c r="H2787" s="359">
        <f>'DRE + DCF'!$W$32</f>
        <v>81081.931703745853</v>
      </c>
      <c r="I2787" s="359">
        <f>-H2787*('DRE + DCF'!$V$33+K2787)/'DRE + DCF'!$V$33</f>
        <v>-90858.801614444121</v>
      </c>
      <c r="J2787" s="359">
        <f>-'DRE + DCF'!$V$56*L2787</f>
        <v>-1188924.4255577971</v>
      </c>
      <c r="K2787" s="360">
        <f>(1+L2787)/(1+Ke!$O$12)-1</f>
        <v>2.0000000000000018E-2</v>
      </c>
      <c r="L2787" s="360">
        <f>'DRE + DCF'!$Y$31</f>
        <v>7.3550000000000004E-2</v>
      </c>
      <c r="M2787" s="361">
        <f>(1+D2787)^((5-Dashboard!$F$9)*3/12)</f>
        <v>1.2534297169386464</v>
      </c>
      <c r="N2787" s="361">
        <f t="shared" ref="N2787:V2787" si="2862">M2787*(1+$D2787)</f>
        <v>1.6939475909567041</v>
      </c>
      <c r="O2787" s="361">
        <f t="shared" si="2862"/>
        <v>2.2892854717983981</v>
      </c>
      <c r="P2787" s="361">
        <f t="shared" si="2862"/>
        <v>3.0938548508618915</v>
      </c>
      <c r="Q2787" s="361">
        <f t="shared" si="2862"/>
        <v>4.1811901381972305</v>
      </c>
      <c r="R2787" s="361">
        <f t="shared" si="2862"/>
        <v>5.6506694122665486</v>
      </c>
      <c r="S2787" s="361">
        <f t="shared" si="2862"/>
        <v>7.6365971772074941</v>
      </c>
      <c r="T2787" s="361">
        <f t="shared" si="2862"/>
        <v>10.320479255136888</v>
      </c>
      <c r="U2787" s="361">
        <f t="shared" si="2862"/>
        <v>13.947611689354504</v>
      </c>
      <c r="V2787" s="362">
        <f t="shared" si="2862"/>
        <v>18.849499817577819</v>
      </c>
      <c r="X2787" s="351"/>
    </row>
    <row r="2788" spans="3:24" ht="24.75" customHeight="1" x14ac:dyDescent="0.3">
      <c r="C2788" s="353">
        <f>ABS(E2788-Dashboard!$F$14)</f>
        <v>54.816406647605291</v>
      </c>
      <c r="D2788" s="350">
        <f t="shared" si="2841"/>
        <v>0.35154999999997655</v>
      </c>
      <c r="E2788" s="359" cm="1">
        <f t="array" ref="E2788">1000*SUM('DRE + DCF'!$L$36/M2788,'DRE + DCF'!$N$36:$V$36/N2788:V2788,F2788/V2788)/Dashboard!$F$11</f>
        <v>42.173593352394704</v>
      </c>
      <c r="F2788" s="359">
        <f t="shared" si="2839"/>
        <v>7338162.6428427082</v>
      </c>
      <c r="G2788" s="359">
        <f>'DRE + DCF'!$W$31</f>
        <v>2791623.3540418856</v>
      </c>
      <c r="H2788" s="359">
        <f>'DRE + DCF'!$W$32</f>
        <v>81081.931703745853</v>
      </c>
      <c r="I2788" s="359">
        <f>-H2788*('DRE + DCF'!$V$33+K2788)/'DRE + DCF'!$V$33</f>
        <v>-90858.801614444121</v>
      </c>
      <c r="J2788" s="359">
        <f>-'DRE + DCF'!$V$56*L2788</f>
        <v>-1188924.4255577971</v>
      </c>
      <c r="K2788" s="360">
        <f>(1+L2788)/(1+Ke!$O$12)-1</f>
        <v>2.0000000000000018E-2</v>
      </c>
      <c r="L2788" s="360">
        <f>'DRE + DCF'!$Y$31</f>
        <v>7.3550000000000004E-2</v>
      </c>
      <c r="M2788" s="361">
        <f>(1+D2788)^((5-Dashboard!$F$9)*3/12)</f>
        <v>1.253499276566671</v>
      </c>
      <c r="N2788" s="361">
        <f t="shared" ref="N2788:V2788" si="2863">M2788*(1+$D2788)</f>
        <v>1.6941669472436547</v>
      </c>
      <c r="O2788" s="361">
        <f t="shared" si="2863"/>
        <v>2.2897513375471217</v>
      </c>
      <c r="P2788" s="361">
        <f t="shared" si="2863"/>
        <v>3.0947134202617583</v>
      </c>
      <c r="Q2788" s="361">
        <f t="shared" si="2863"/>
        <v>4.1826599231547066</v>
      </c>
      <c r="R2788" s="361">
        <f t="shared" si="2863"/>
        <v>5.6530740191396456</v>
      </c>
      <c r="S2788" s="361">
        <f t="shared" si="2863"/>
        <v>7.6404121905680551</v>
      </c>
      <c r="T2788" s="361">
        <f t="shared" si="2863"/>
        <v>10.326399096162076</v>
      </c>
      <c r="U2788" s="361">
        <f t="shared" si="2863"/>
        <v>13.956644698417611</v>
      </c>
      <c r="V2788" s="362">
        <f t="shared" si="2863"/>
        <v>18.863103142145995</v>
      </c>
      <c r="X2788" s="351"/>
    </row>
    <row r="2789" spans="3:24" ht="24.75" customHeight="1" x14ac:dyDescent="0.3">
      <c r="C2789" s="353">
        <f>ABS(E2789-Dashboard!$F$14)</f>
        <v>54.834343541069948</v>
      </c>
      <c r="D2789" s="350">
        <f t="shared" si="2841"/>
        <v>0.35164999999997654</v>
      </c>
      <c r="E2789" s="359" cm="1">
        <f t="array" ref="E2789">1000*SUM('DRE + DCF'!$L$36/M2789,'DRE + DCF'!$N$36:$V$36/N2789:V2789,F2789/V2789)/Dashboard!$F$11</f>
        <v>42.155656458930046</v>
      </c>
      <c r="F2789" s="359">
        <f t="shared" si="2839"/>
        <v>7335844.5426794626</v>
      </c>
      <c r="G2789" s="359">
        <f>'DRE + DCF'!$W$31</f>
        <v>2791623.3540418856</v>
      </c>
      <c r="H2789" s="359">
        <f>'DRE + DCF'!$W$32</f>
        <v>81081.931703745853</v>
      </c>
      <c r="I2789" s="359">
        <f>-H2789*('DRE + DCF'!$V$33+K2789)/'DRE + DCF'!$V$33</f>
        <v>-90858.801614444121</v>
      </c>
      <c r="J2789" s="359">
        <f>-'DRE + DCF'!$V$56*L2789</f>
        <v>-1188924.4255577971</v>
      </c>
      <c r="K2789" s="360">
        <f>(1+L2789)/(1+Ke!$O$12)-1</f>
        <v>2.0000000000000018E-2</v>
      </c>
      <c r="L2789" s="360">
        <f>'DRE + DCF'!$Y$31</f>
        <v>7.3550000000000004E-2</v>
      </c>
      <c r="M2789" s="361">
        <f>(1+D2789)^((5-Dashboard!$F$9)*3/12)</f>
        <v>1.2535688349080434</v>
      </c>
      <c r="N2789" s="361">
        <f t="shared" ref="N2789:V2789" si="2864">M2789*(1+$D2789)</f>
        <v>1.6943863157034273</v>
      </c>
      <c r="O2789" s="361">
        <f t="shared" si="2864"/>
        <v>2.2902172636204976</v>
      </c>
      <c r="P2789" s="361">
        <f t="shared" si="2864"/>
        <v>3.0955721643725918</v>
      </c>
      <c r="Q2789" s="361">
        <f t="shared" si="2864"/>
        <v>4.1841301159741411</v>
      </c>
      <c r="R2789" s="361">
        <f t="shared" si="2864"/>
        <v>5.6554794712563492</v>
      </c>
      <c r="S2789" s="361">
        <f t="shared" si="2864"/>
        <v>7.6442288273235111</v>
      </c>
      <c r="T2789" s="361">
        <f t="shared" si="2864"/>
        <v>10.332321894451644</v>
      </c>
      <c r="U2789" s="361">
        <f t="shared" si="2864"/>
        <v>13.965682888635321</v>
      </c>
      <c r="V2789" s="362">
        <f t="shared" si="2864"/>
        <v>18.876715276423603</v>
      </c>
      <c r="X2789" s="351"/>
    </row>
    <row r="2790" spans="3:24" ht="24.75" customHeight="1" x14ac:dyDescent="0.3">
      <c r="C2790" s="353">
        <f>ABS(E2790-Dashboard!$F$14)</f>
        <v>54.852266520276537</v>
      </c>
      <c r="D2790" s="350">
        <f t="shared" si="2841"/>
        <v>0.35174999999997653</v>
      </c>
      <c r="E2790" s="359" cm="1">
        <f t="array" ref="E2790">1000*SUM('DRE + DCF'!$L$36/M2790,'DRE + DCF'!$N$36:$V$36/N2790:V2790,F2790/V2790)/Dashboard!$F$11</f>
        <v>42.137733479723458</v>
      </c>
      <c r="F2790" s="359">
        <f t="shared" si="2839"/>
        <v>7333527.9268049998</v>
      </c>
      <c r="G2790" s="359">
        <f>'DRE + DCF'!$W$31</f>
        <v>2791623.3540418856</v>
      </c>
      <c r="H2790" s="359">
        <f>'DRE + DCF'!$W$32</f>
        <v>81081.931703745853</v>
      </c>
      <c r="I2790" s="359">
        <f>-H2790*('DRE + DCF'!$V$33+K2790)/'DRE + DCF'!$V$33</f>
        <v>-90858.801614444121</v>
      </c>
      <c r="J2790" s="359">
        <f>-'DRE + DCF'!$V$56*L2790</f>
        <v>-1188924.4255577971</v>
      </c>
      <c r="K2790" s="360">
        <f>(1+L2790)/(1+Ke!$O$12)-1</f>
        <v>2.0000000000000018E-2</v>
      </c>
      <c r="L2790" s="360">
        <f>'DRE + DCF'!$Y$31</f>
        <v>7.3550000000000004E-2</v>
      </c>
      <c r="M2790" s="361">
        <f>(1+D2790)^((5-Dashboard!$F$9)*3/12)</f>
        <v>1.2536383919628828</v>
      </c>
      <c r="N2790" s="361">
        <f t="shared" ref="N2790:V2790" si="2865">M2790*(1+$D2790)</f>
        <v>1.6946056963357974</v>
      </c>
      <c r="O2790" s="361">
        <f t="shared" si="2865"/>
        <v>2.2906832500218743</v>
      </c>
      <c r="P2790" s="361">
        <f t="shared" si="2865"/>
        <v>3.0964310832170145</v>
      </c>
      <c r="Q2790" s="361">
        <f t="shared" si="2865"/>
        <v>4.1856007167385263</v>
      </c>
      <c r="R2790" s="361">
        <f t="shared" si="2865"/>
        <v>5.6578857688512043</v>
      </c>
      <c r="S2790" s="361">
        <f t="shared" si="2865"/>
        <v>7.648047088044482</v>
      </c>
      <c r="T2790" s="361">
        <f t="shared" si="2865"/>
        <v>10.338247651263949</v>
      </c>
      <c r="U2790" s="361">
        <f t="shared" si="2865"/>
        <v>13.9747262625958</v>
      </c>
      <c r="V2790" s="362">
        <f t="shared" si="2865"/>
        <v>18.890336225463543</v>
      </c>
      <c r="X2790" s="351"/>
    </row>
    <row r="2791" spans="3:24" ht="24.75" customHeight="1" x14ac:dyDescent="0.3">
      <c r="C2791" s="353">
        <f>ABS(E2791-Dashboard!$F$14)</f>
        <v>54.870175600291098</v>
      </c>
      <c r="D2791" s="350">
        <f t="shared" si="2841"/>
        <v>0.35184999999997651</v>
      </c>
      <c r="E2791" s="359" cm="1">
        <f t="array" ref="E2791">1000*SUM('DRE + DCF'!$L$36/M2791,'DRE + DCF'!$N$36:$V$36/N2791:V2791,F2791/V2791)/Dashboard!$F$11</f>
        <v>42.119824399708897</v>
      </c>
      <c r="F2791" s="359">
        <f t="shared" si="2839"/>
        <v>7331212.7937745973</v>
      </c>
      <c r="G2791" s="359">
        <f>'DRE + DCF'!$W$31</f>
        <v>2791623.3540418856</v>
      </c>
      <c r="H2791" s="359">
        <f>'DRE + DCF'!$W$32</f>
        <v>81081.931703745853</v>
      </c>
      <c r="I2791" s="359">
        <f>-H2791*('DRE + DCF'!$V$33+K2791)/'DRE + DCF'!$V$33</f>
        <v>-90858.801614444121</v>
      </c>
      <c r="J2791" s="359">
        <f>-'DRE + DCF'!$V$56*L2791</f>
        <v>-1188924.4255577971</v>
      </c>
      <c r="K2791" s="360">
        <f>(1+L2791)/(1+Ke!$O$12)-1</f>
        <v>2.0000000000000018E-2</v>
      </c>
      <c r="L2791" s="360">
        <f>'DRE + DCF'!$Y$31</f>
        <v>7.3550000000000004E-2</v>
      </c>
      <c r="M2791" s="361">
        <f>(1+D2791)^((5-Dashboard!$F$9)*3/12)</f>
        <v>1.2537079477313082</v>
      </c>
      <c r="N2791" s="361">
        <f t="shared" ref="N2791:V2791" si="2866">M2791*(1+$D2791)</f>
        <v>1.6948250891405394</v>
      </c>
      <c r="O2791" s="361">
        <f t="shared" si="2866"/>
        <v>2.2911492967545981</v>
      </c>
      <c r="P2791" s="361">
        <f t="shared" si="2866"/>
        <v>3.0972901768176495</v>
      </c>
      <c r="Q2791" s="361">
        <f t="shared" si="2866"/>
        <v>4.1870717255308669</v>
      </c>
      <c r="R2791" s="361">
        <f t="shared" si="2866"/>
        <v>5.6602929121588037</v>
      </c>
      <c r="S2791" s="361">
        <f t="shared" si="2866"/>
        <v>7.6518669733017459</v>
      </c>
      <c r="T2791" s="361">
        <f t="shared" si="2866"/>
        <v>10.344176367857784</v>
      </c>
      <c r="U2791" s="361">
        <f t="shared" si="2866"/>
        <v>13.983774822888302</v>
      </c>
      <c r="V2791" s="362">
        <f t="shared" si="2866"/>
        <v>18.903965994321222</v>
      </c>
      <c r="X2791" s="351"/>
    </row>
    <row r="2792" spans="3:24" ht="24.75" customHeight="1" x14ac:dyDescent="0.3">
      <c r="C2792" s="353">
        <f>ABS(E2792-Dashboard!$F$14)</f>
        <v>54.888070796159006</v>
      </c>
      <c r="D2792" s="350">
        <f t="shared" si="2841"/>
        <v>0.3519499999999765</v>
      </c>
      <c r="E2792" s="359" cm="1">
        <f t="array" ref="E2792">1000*SUM('DRE + DCF'!$L$36/M2792,'DRE + DCF'!$N$36:$V$36/N2792:V2792,F2792/V2792)/Dashboard!$F$11</f>
        <v>42.101929203840989</v>
      </c>
      <c r="F2792" s="359">
        <f t="shared" si="2839"/>
        <v>7328899.1421454353</v>
      </c>
      <c r="G2792" s="359">
        <f>'DRE + DCF'!$W$31</f>
        <v>2791623.3540418856</v>
      </c>
      <c r="H2792" s="359">
        <f>'DRE + DCF'!$W$32</f>
        <v>81081.931703745853</v>
      </c>
      <c r="I2792" s="359">
        <f>-H2792*('DRE + DCF'!$V$33+K2792)/'DRE + DCF'!$V$33</f>
        <v>-90858.801614444121</v>
      </c>
      <c r="J2792" s="359">
        <f>-'DRE + DCF'!$V$56*L2792</f>
        <v>-1188924.4255577971</v>
      </c>
      <c r="K2792" s="360">
        <f>(1+L2792)/(1+Ke!$O$12)-1</f>
        <v>2.0000000000000018E-2</v>
      </c>
      <c r="L2792" s="360">
        <f>'DRE + DCF'!$Y$31</f>
        <v>7.3550000000000004E-2</v>
      </c>
      <c r="M2792" s="361">
        <f>(1+D2792)^((5-Dashboard!$F$9)*3/12)</f>
        <v>1.2537775022134383</v>
      </c>
      <c r="N2792" s="361">
        <f t="shared" ref="N2792:V2792" si="2867">M2792*(1+$D2792)</f>
        <v>1.6950444941174283</v>
      </c>
      <c r="O2792" s="361">
        <f t="shared" si="2867"/>
        <v>2.2916154038220173</v>
      </c>
      <c r="P2792" s="361">
        <f t="shared" si="2867"/>
        <v>3.0981494451971225</v>
      </c>
      <c r="Q2792" s="361">
        <f t="shared" si="2867"/>
        <v>4.1885431424341766</v>
      </c>
      <c r="R2792" s="361">
        <f t="shared" si="2867"/>
        <v>5.6627009014137863</v>
      </c>
      <c r="S2792" s="361">
        <f t="shared" si="2867"/>
        <v>7.6556884836662347</v>
      </c>
      <c r="T2792" s="361">
        <f t="shared" si="2867"/>
        <v>10.350108045492386</v>
      </c>
      <c r="U2792" s="361">
        <f t="shared" si="2867"/>
        <v>13.992828572103187</v>
      </c>
      <c r="V2792" s="362">
        <f t="shared" si="2867"/>
        <v>18.917604588054573</v>
      </c>
      <c r="X2792" s="351"/>
    </row>
    <row r="2793" spans="3:24" ht="24.75" customHeight="1" x14ac:dyDescent="0.3">
      <c r="C2793" s="353">
        <f>ABS(E2793-Dashboard!$F$14)</f>
        <v>54.905952122904786</v>
      </c>
      <c r="D2793" s="350">
        <f t="shared" si="2841"/>
        <v>0.35204999999997649</v>
      </c>
      <c r="E2793" s="359" cm="1">
        <f t="array" ref="E2793">1000*SUM('DRE + DCF'!$L$36/M2793,'DRE + DCF'!$N$36:$V$36/N2793:V2793,F2793/V2793)/Dashboard!$F$11</f>
        <v>42.084047877095209</v>
      </c>
      <c r="F2793" s="359">
        <f t="shared" si="2839"/>
        <v>7326586.9704765882</v>
      </c>
      <c r="G2793" s="359">
        <f>'DRE + DCF'!$W$31</f>
        <v>2791623.3540418856</v>
      </c>
      <c r="H2793" s="359">
        <f>'DRE + DCF'!$W$32</f>
        <v>81081.931703745853</v>
      </c>
      <c r="I2793" s="359">
        <f>-H2793*('DRE + DCF'!$V$33+K2793)/'DRE + DCF'!$V$33</f>
        <v>-90858.801614444121</v>
      </c>
      <c r="J2793" s="359">
        <f>-'DRE + DCF'!$V$56*L2793</f>
        <v>-1188924.4255577971</v>
      </c>
      <c r="K2793" s="360">
        <f>(1+L2793)/(1+Ke!$O$12)-1</f>
        <v>2.0000000000000018E-2</v>
      </c>
      <c r="L2793" s="360">
        <f>'DRE + DCF'!$Y$31</f>
        <v>7.3550000000000004E-2</v>
      </c>
      <c r="M2793" s="361">
        <f>(1+D2793)^((5-Dashboard!$F$9)*3/12)</f>
        <v>1.2538470554093921</v>
      </c>
      <c r="N2793" s="361">
        <f t="shared" ref="N2793:V2793" si="2868">M2793*(1+$D2793)</f>
        <v>1.6952639112662391</v>
      </c>
      <c r="O2793" s="361">
        <f t="shared" si="2868"/>
        <v>2.2920815712274787</v>
      </c>
      <c r="P2793" s="361">
        <f t="shared" si="2868"/>
        <v>3.0990088883780587</v>
      </c>
      <c r="Q2793" s="361">
        <f t="shared" si="2868"/>
        <v>4.1900149675314813</v>
      </c>
      <c r="R2793" s="361">
        <f t="shared" si="2868"/>
        <v>5.665109736850841</v>
      </c>
      <c r="S2793" s="361">
        <f t="shared" si="2868"/>
        <v>7.659511619709046</v>
      </c>
      <c r="T2793" s="361">
        <f t="shared" si="2868"/>
        <v>10.356042685427434</v>
      </c>
      <c r="U2793" s="361">
        <f t="shared" si="2868"/>
        <v>14.001887512831919</v>
      </c>
      <c r="V2793" s="362">
        <f t="shared" si="2868"/>
        <v>18.931252011724066</v>
      </c>
      <c r="X2793" s="351"/>
    </row>
    <row r="2794" spans="3:24" ht="24.75" customHeight="1" x14ac:dyDescent="0.3">
      <c r="C2794" s="353">
        <f>ABS(E2794-Dashboard!$F$14)</f>
        <v>54.923819595532301</v>
      </c>
      <c r="D2794" s="350">
        <f t="shared" si="2841"/>
        <v>0.35214999999997648</v>
      </c>
      <c r="E2794" s="359" cm="1">
        <f t="array" ref="E2794">1000*SUM('DRE + DCF'!$L$36/M2794,'DRE + DCF'!$N$36:$V$36/N2794:V2794,F2794/V2794)/Dashboard!$F$11</f>
        <v>42.066180404467694</v>
      </c>
      <c r="F2794" s="359">
        <f t="shared" si="2839"/>
        <v>7324276.2773290239</v>
      </c>
      <c r="G2794" s="359">
        <f>'DRE + DCF'!$W$31</f>
        <v>2791623.3540418856</v>
      </c>
      <c r="H2794" s="359">
        <f>'DRE + DCF'!$W$32</f>
        <v>81081.931703745853</v>
      </c>
      <c r="I2794" s="359">
        <f>-H2794*('DRE + DCF'!$V$33+K2794)/'DRE + DCF'!$V$33</f>
        <v>-90858.801614444121</v>
      </c>
      <c r="J2794" s="359">
        <f>-'DRE + DCF'!$V$56*L2794</f>
        <v>-1188924.4255577971</v>
      </c>
      <c r="K2794" s="360">
        <f>(1+L2794)/(1+Ke!$O$12)-1</f>
        <v>2.0000000000000018E-2</v>
      </c>
      <c r="L2794" s="360">
        <f>'DRE + DCF'!$Y$31</f>
        <v>7.3550000000000004E-2</v>
      </c>
      <c r="M2794" s="361">
        <f>(1+D2794)^((5-Dashboard!$F$9)*3/12)</f>
        <v>1.2539166073192887</v>
      </c>
      <c r="N2794" s="361">
        <f t="shared" ref="N2794:V2794" si="2869">M2794*(1+$D2794)</f>
        <v>1.6954833405867467</v>
      </c>
      <c r="O2794" s="361">
        <f t="shared" si="2869"/>
        <v>2.2925477989743297</v>
      </c>
      <c r="P2794" s="361">
        <f t="shared" si="2869"/>
        <v>3.099868506383086</v>
      </c>
      <c r="Q2794" s="361">
        <f t="shared" si="2869"/>
        <v>4.1914872009058168</v>
      </c>
      <c r="R2794" s="361">
        <f t="shared" si="2869"/>
        <v>5.6675194187047016</v>
      </c>
      <c r="S2794" s="361">
        <f t="shared" si="2869"/>
        <v>7.6633363820014289</v>
      </c>
      <c r="T2794" s="361">
        <f t="shared" si="2869"/>
        <v>10.361980288923052</v>
      </c>
      <c r="U2794" s="361">
        <f t="shared" si="2869"/>
        <v>14.01095164766706</v>
      </c>
      <c r="V2794" s="362">
        <f t="shared" si="2869"/>
        <v>18.944908270392684</v>
      </c>
      <c r="X2794" s="351"/>
    </row>
    <row r="2795" spans="3:24" ht="24.75" customHeight="1" x14ac:dyDescent="0.3">
      <c r="C2795" s="353">
        <f>ABS(E2795-Dashboard!$F$14)</f>
        <v>54.941673229024737</v>
      </c>
      <c r="D2795" s="350">
        <f t="shared" si="2841"/>
        <v>0.35224999999997647</v>
      </c>
      <c r="E2795" s="359" cm="1">
        <f t="array" ref="E2795">1000*SUM('DRE + DCF'!$L$36/M2795,'DRE + DCF'!$N$36:$V$36/N2795:V2795,F2795/V2795)/Dashboard!$F$11</f>
        <v>42.048326770975258</v>
      </c>
      <c r="F2795" s="359">
        <f t="shared" si="2839"/>
        <v>7321967.0612656008</v>
      </c>
      <c r="G2795" s="359">
        <f>'DRE + DCF'!$W$31</f>
        <v>2791623.3540418856</v>
      </c>
      <c r="H2795" s="359">
        <f>'DRE + DCF'!$W$32</f>
        <v>81081.931703745853</v>
      </c>
      <c r="I2795" s="359">
        <f>-H2795*('DRE + DCF'!$V$33+K2795)/'DRE + DCF'!$V$33</f>
        <v>-90858.801614444121</v>
      </c>
      <c r="J2795" s="359">
        <f>-'DRE + DCF'!$V$56*L2795</f>
        <v>-1188924.4255577971</v>
      </c>
      <c r="K2795" s="360">
        <f>(1+L2795)/(1+Ke!$O$12)-1</f>
        <v>2.0000000000000018E-2</v>
      </c>
      <c r="L2795" s="360">
        <f>'DRE + DCF'!$Y$31</f>
        <v>7.3550000000000004E-2</v>
      </c>
      <c r="M2795" s="361">
        <f>(1+D2795)^((5-Dashboard!$F$9)*3/12)</f>
        <v>1.2539861579432467</v>
      </c>
      <c r="N2795" s="361">
        <f t="shared" ref="N2795:V2795" si="2870">M2795*(1+$D2795)</f>
        <v>1.6957027820787258</v>
      </c>
      <c r="O2795" s="361">
        <f t="shared" si="2870"/>
        <v>2.293014087065917</v>
      </c>
      <c r="P2795" s="361">
        <f t="shared" si="2870"/>
        <v>3.1007282992348322</v>
      </c>
      <c r="Q2795" s="361">
        <f t="shared" si="2870"/>
        <v>4.1929598426402288</v>
      </c>
      <c r="R2795" s="361">
        <f t="shared" si="2870"/>
        <v>5.6699299472101501</v>
      </c>
      <c r="S2795" s="361">
        <f t="shared" si="2870"/>
        <v>7.6671627711147918</v>
      </c>
      <c r="T2795" s="361">
        <f t="shared" si="2870"/>
        <v>10.367920857239797</v>
      </c>
      <c r="U2795" s="361">
        <f t="shared" si="2870"/>
        <v>14.020020979202272</v>
      </c>
      <c r="V2795" s="362">
        <f t="shared" si="2870"/>
        <v>18.95857336912594</v>
      </c>
      <c r="X2795" s="351"/>
    </row>
    <row r="2796" spans="3:24" ht="24.75" customHeight="1" x14ac:dyDescent="0.3">
      <c r="C2796" s="353">
        <f>ABS(E2796-Dashboard!$F$14)</f>
        <v>54.959513038344632</v>
      </c>
      <c r="D2796" s="350">
        <f t="shared" si="2841"/>
        <v>0.35234999999997646</v>
      </c>
      <c r="E2796" s="359" cm="1">
        <f t="array" ref="E2796">1000*SUM('DRE + DCF'!$L$36/M2796,'DRE + DCF'!$N$36:$V$36/N2796:V2796,F2796/V2796)/Dashboard!$F$11</f>
        <v>42.030486961655363</v>
      </c>
      <c r="F2796" s="359">
        <f t="shared" si="2839"/>
        <v>7319659.3208510615</v>
      </c>
      <c r="G2796" s="359">
        <f>'DRE + DCF'!$W$31</f>
        <v>2791623.3540418856</v>
      </c>
      <c r="H2796" s="359">
        <f>'DRE + DCF'!$W$32</f>
        <v>81081.931703745853</v>
      </c>
      <c r="I2796" s="359">
        <f>-H2796*('DRE + DCF'!$V$33+K2796)/'DRE + DCF'!$V$33</f>
        <v>-90858.801614444121</v>
      </c>
      <c r="J2796" s="359">
        <f>-'DRE + DCF'!$V$56*L2796</f>
        <v>-1188924.4255577971</v>
      </c>
      <c r="K2796" s="360">
        <f>(1+L2796)/(1+Ke!$O$12)-1</f>
        <v>2.0000000000000018E-2</v>
      </c>
      <c r="L2796" s="360">
        <f>'DRE + DCF'!$Y$31</f>
        <v>7.3550000000000004E-2</v>
      </c>
      <c r="M2796" s="361">
        <f>(1+D2796)^((5-Dashboard!$F$9)*3/12)</f>
        <v>1.2540557072813852</v>
      </c>
      <c r="N2796" s="361">
        <f t="shared" ref="N2796:V2796" si="2871">M2796*(1+$D2796)</f>
        <v>1.6959222357419517</v>
      </c>
      <c r="O2796" s="361">
        <f t="shared" si="2871"/>
        <v>2.2934804355055882</v>
      </c>
      <c r="P2796" s="361">
        <f t="shared" si="2871"/>
        <v>3.101588266955928</v>
      </c>
      <c r="Q2796" s="361">
        <f t="shared" si="2871"/>
        <v>4.1944328928177761</v>
      </c>
      <c r="R2796" s="361">
        <f t="shared" si="2871"/>
        <v>5.672341322602021</v>
      </c>
      <c r="S2796" s="361">
        <f t="shared" si="2871"/>
        <v>7.6709907876207089</v>
      </c>
      <c r="T2796" s="361">
        <f t="shared" si="2871"/>
        <v>10.373864391638685</v>
      </c>
      <c r="U2796" s="361">
        <f t="shared" si="2871"/>
        <v>14.029095510032331</v>
      </c>
      <c r="V2796" s="362">
        <f t="shared" si="2871"/>
        <v>18.972247312991893</v>
      </c>
      <c r="X2796" s="351"/>
    </row>
    <row r="2797" spans="3:24" ht="24.75" customHeight="1" x14ac:dyDescent="0.3">
      <c r="C2797" s="353">
        <f>ABS(E2797-Dashboard!$F$14)</f>
        <v>54.977339038433932</v>
      </c>
      <c r="D2797" s="350">
        <f t="shared" si="2841"/>
        <v>0.35244999999997645</v>
      </c>
      <c r="E2797" s="359" cm="1">
        <f t="array" ref="E2797">1000*SUM('DRE + DCF'!$L$36/M2797,'DRE + DCF'!$N$36:$V$36/N2797:V2797,F2797/V2797)/Dashboard!$F$11</f>
        <v>42.012660961566063</v>
      </c>
      <c r="F2797" s="359">
        <f t="shared" si="2839"/>
        <v>7317353.0546520362</v>
      </c>
      <c r="G2797" s="359">
        <f>'DRE + DCF'!$W$31</f>
        <v>2791623.3540418856</v>
      </c>
      <c r="H2797" s="359">
        <f>'DRE + DCF'!$W$32</f>
        <v>81081.931703745853</v>
      </c>
      <c r="I2797" s="359">
        <f>-H2797*('DRE + DCF'!$V$33+K2797)/'DRE + DCF'!$V$33</f>
        <v>-90858.801614444121</v>
      </c>
      <c r="J2797" s="359">
        <f>-'DRE + DCF'!$V$56*L2797</f>
        <v>-1188924.4255577971</v>
      </c>
      <c r="K2797" s="360">
        <f>(1+L2797)/(1+Ke!$O$12)-1</f>
        <v>2.0000000000000018E-2</v>
      </c>
      <c r="L2797" s="360">
        <f>'DRE + DCF'!$Y$31</f>
        <v>7.3550000000000004E-2</v>
      </c>
      <c r="M2797" s="361">
        <f>(1+D2797)^((5-Dashboard!$F$9)*3/12)</f>
        <v>1.2541252553338229</v>
      </c>
      <c r="N2797" s="361">
        <f t="shared" ref="N2797:V2797" si="2872">M2797*(1+$D2797)</f>
        <v>1.6961417015761993</v>
      </c>
      <c r="O2797" s="361">
        <f t="shared" si="2872"/>
        <v>2.2939468442966908</v>
      </c>
      <c r="P2797" s="361">
        <f t="shared" si="2872"/>
        <v>3.1024484095690052</v>
      </c>
      <c r="Q2797" s="361">
        <f t="shared" si="2872"/>
        <v>4.1959063515215282</v>
      </c>
      <c r="R2797" s="361">
        <f t="shared" si="2872"/>
        <v>5.674753545115192</v>
      </c>
      <c r="S2797" s="361">
        <f t="shared" si="2872"/>
        <v>7.6748204320909075</v>
      </c>
      <c r="T2797" s="361">
        <f t="shared" si="2872"/>
        <v>10.379810893381167</v>
      </c>
      <c r="U2797" s="361">
        <f t="shared" si="2872"/>
        <v>14.038175242753114</v>
      </c>
      <c r="V2797" s="362">
        <f t="shared" si="2872"/>
        <v>18.985930107061119</v>
      </c>
      <c r="X2797" s="351"/>
    </row>
    <row r="2798" spans="3:24" ht="24.75" customHeight="1" x14ac:dyDescent="0.3">
      <c r="C2798" s="353">
        <f>ABS(E2798-Dashboard!$F$14)</f>
        <v>54.995151244213972</v>
      </c>
      <c r="D2798" s="350">
        <f t="shared" si="2841"/>
        <v>0.35254999999997644</v>
      </c>
      <c r="E2798" s="359" cm="1">
        <f t="array" ref="E2798">1000*SUM('DRE + DCF'!$L$36/M2798,'DRE + DCF'!$N$36:$V$36/N2798:V2798,F2798/V2798)/Dashboard!$F$11</f>
        <v>41.994848755786023</v>
      </c>
      <c r="F2798" s="359">
        <f t="shared" si="2839"/>
        <v>7315048.2612370318</v>
      </c>
      <c r="G2798" s="359">
        <f>'DRE + DCF'!$W$31</f>
        <v>2791623.3540418856</v>
      </c>
      <c r="H2798" s="359">
        <f>'DRE + DCF'!$W$32</f>
        <v>81081.931703745853</v>
      </c>
      <c r="I2798" s="359">
        <f>-H2798*('DRE + DCF'!$V$33+K2798)/'DRE + DCF'!$V$33</f>
        <v>-90858.801614444121</v>
      </c>
      <c r="J2798" s="359">
        <f>-'DRE + DCF'!$V$56*L2798</f>
        <v>-1188924.4255577971</v>
      </c>
      <c r="K2798" s="360">
        <f>(1+L2798)/(1+Ke!$O$12)-1</f>
        <v>2.0000000000000018E-2</v>
      </c>
      <c r="L2798" s="360">
        <f>'DRE + DCF'!$Y$31</f>
        <v>7.3550000000000004E-2</v>
      </c>
      <c r="M2798" s="361">
        <f>(1+D2798)^((5-Dashboard!$F$9)*3/12)</f>
        <v>1.2541948021006788</v>
      </c>
      <c r="N2798" s="361">
        <f t="shared" ref="N2798:V2798" si="2873">M2798*(1+$D2798)</f>
        <v>1.6963611795812434</v>
      </c>
      <c r="O2798" s="361">
        <f t="shared" si="2873"/>
        <v>2.2944133134425706</v>
      </c>
      <c r="P2798" s="361">
        <f t="shared" si="2873"/>
        <v>3.1033087270966946</v>
      </c>
      <c r="Q2798" s="361">
        <f t="shared" si="2873"/>
        <v>4.197380218834561</v>
      </c>
      <c r="R2798" s="361">
        <f t="shared" si="2873"/>
        <v>5.6771666149845865</v>
      </c>
      <c r="S2798" s="361">
        <f t="shared" si="2873"/>
        <v>7.678651705097268</v>
      </c>
      <c r="T2798" s="361">
        <f t="shared" si="2873"/>
        <v>10.385760363729128</v>
      </c>
      <c r="U2798" s="361">
        <f t="shared" si="2873"/>
        <v>14.047260179961587</v>
      </c>
      <c r="V2798" s="362">
        <f t="shared" si="2873"/>
        <v>18.999621756406711</v>
      </c>
      <c r="X2798" s="351"/>
    </row>
    <row r="2799" spans="3:24" ht="24.75" customHeight="1" x14ac:dyDescent="0.3">
      <c r="C2799" s="353">
        <f>ABS(E2799-Dashboard!$F$14)</f>
        <v>55.012949670585584</v>
      </c>
      <c r="D2799" s="350">
        <f t="shared" si="2841"/>
        <v>0.35264999999997643</v>
      </c>
      <c r="E2799" s="359" cm="1">
        <f t="array" ref="E2799">1000*SUM('DRE + DCF'!$L$36/M2799,'DRE + DCF'!$N$36:$V$36/N2799:V2799,F2799/V2799)/Dashboard!$F$11</f>
        <v>41.977050329414411</v>
      </c>
      <c r="F2799" s="359">
        <f t="shared" si="2839"/>
        <v>7312744.9391764347</v>
      </c>
      <c r="G2799" s="359">
        <f>'DRE + DCF'!$W$31</f>
        <v>2791623.3540418856</v>
      </c>
      <c r="H2799" s="359">
        <f>'DRE + DCF'!$W$32</f>
        <v>81081.931703745853</v>
      </c>
      <c r="I2799" s="359">
        <f>-H2799*('DRE + DCF'!$V$33+K2799)/'DRE + DCF'!$V$33</f>
        <v>-90858.801614444121</v>
      </c>
      <c r="J2799" s="359">
        <f>-'DRE + DCF'!$V$56*L2799</f>
        <v>-1188924.4255577971</v>
      </c>
      <c r="K2799" s="360">
        <f>(1+L2799)/(1+Ke!$O$12)-1</f>
        <v>2.0000000000000018E-2</v>
      </c>
      <c r="L2799" s="360">
        <f>'DRE + DCF'!$Y$31</f>
        <v>7.3550000000000004E-2</v>
      </c>
      <c r="M2799" s="361">
        <f>(1+D2799)^((5-Dashboard!$F$9)*3/12)</f>
        <v>1.2542643475820714</v>
      </c>
      <c r="N2799" s="361">
        <f t="shared" ref="N2799:V2799" si="2874">M2799*(1+$D2799)</f>
        <v>1.6965806697568593</v>
      </c>
      <c r="O2799" s="361">
        <f t="shared" si="2874"/>
        <v>2.2948798429465755</v>
      </c>
      <c r="P2799" s="361">
        <f t="shared" si="2874"/>
        <v>3.1041692195616313</v>
      </c>
      <c r="Q2799" s="361">
        <f t="shared" si="2874"/>
        <v>4.1988544948399671</v>
      </c>
      <c r="R2799" s="361">
        <f t="shared" si="2874"/>
        <v>5.6795805324451827</v>
      </c>
      <c r="S2799" s="361">
        <f t="shared" si="2874"/>
        <v>7.6824846072118422</v>
      </c>
      <c r="T2799" s="361">
        <f t="shared" si="2874"/>
        <v>10.391712803944916</v>
      </c>
      <c r="U2799" s="361">
        <f t="shared" si="2874"/>
        <v>14.056350324255845</v>
      </c>
      <c r="V2799" s="362">
        <f t="shared" si="2874"/>
        <v>19.013322266104336</v>
      </c>
      <c r="X2799" s="351"/>
    </row>
    <row r="2800" spans="3:24" ht="24.75" customHeight="1" x14ac:dyDescent="0.3">
      <c r="C2800" s="353">
        <f>ABS(E2800-Dashboard!$F$14)</f>
        <v>55.030734332429084</v>
      </c>
      <c r="D2800" s="350">
        <f t="shared" si="2841"/>
        <v>0.35274999999997642</v>
      </c>
      <c r="E2800" s="359" cm="1">
        <f t="array" ref="E2800">1000*SUM('DRE + DCF'!$L$36/M2800,'DRE + DCF'!$N$36:$V$36/N2800:V2800,F2800/V2800)/Dashboard!$F$11</f>
        <v>41.959265667570911</v>
      </c>
      <c r="F2800" s="359">
        <f t="shared" si="2839"/>
        <v>7310443.0870425031</v>
      </c>
      <c r="G2800" s="359">
        <f>'DRE + DCF'!$W$31</f>
        <v>2791623.3540418856</v>
      </c>
      <c r="H2800" s="359">
        <f>'DRE + DCF'!$W$32</f>
        <v>81081.931703745853</v>
      </c>
      <c r="I2800" s="359">
        <f>-H2800*('DRE + DCF'!$V$33+K2800)/'DRE + DCF'!$V$33</f>
        <v>-90858.801614444121</v>
      </c>
      <c r="J2800" s="359">
        <f>-'DRE + DCF'!$V$56*L2800</f>
        <v>-1188924.4255577971</v>
      </c>
      <c r="K2800" s="360">
        <f>(1+L2800)/(1+Ke!$O$12)-1</f>
        <v>2.0000000000000018E-2</v>
      </c>
      <c r="L2800" s="360">
        <f>'DRE + DCF'!$Y$31</f>
        <v>7.3550000000000004E-2</v>
      </c>
      <c r="M2800" s="361">
        <f>(1+D2800)^((5-Dashboard!$F$9)*3/12)</f>
        <v>1.2543338917781199</v>
      </c>
      <c r="N2800" s="361">
        <f t="shared" ref="N2800:V2800" si="2875">M2800*(1+$D2800)</f>
        <v>1.6968001721028221</v>
      </c>
      <c r="O2800" s="361">
        <f t="shared" si="2875"/>
        <v>2.2953464328120523</v>
      </c>
      <c r="P2800" s="361">
        <f t="shared" si="2875"/>
        <v>3.1050298869864497</v>
      </c>
      <c r="Q2800" s="361">
        <f t="shared" si="2875"/>
        <v>4.2003291796208462</v>
      </c>
      <c r="R2800" s="361">
        <f t="shared" si="2875"/>
        <v>5.6819952977320005</v>
      </c>
      <c r="S2800" s="361">
        <f t="shared" si="2875"/>
        <v>7.6863191390068293</v>
      </c>
      <c r="T2800" s="361">
        <f t="shared" si="2875"/>
        <v>10.397668215291306</v>
      </c>
      <c r="U2800" s="361">
        <f t="shared" si="2875"/>
        <v>14.065445678235069</v>
      </c>
      <c r="V2800" s="362">
        <f t="shared" si="2875"/>
        <v>19.027031641232156</v>
      </c>
      <c r="X2800" s="351"/>
    </row>
    <row r="2801" spans="3:24" ht="24.75" customHeight="1" x14ac:dyDescent="0.3">
      <c r="C2801" s="353">
        <f>ABS(E2801-Dashboard!$F$14)</f>
        <v>55.048505244604343</v>
      </c>
      <c r="D2801" s="350">
        <f t="shared" si="2841"/>
        <v>0.3528499999999764</v>
      </c>
      <c r="E2801" s="359" cm="1">
        <f t="array" ref="E2801">1000*SUM('DRE + DCF'!$L$36/M2801,'DRE + DCF'!$N$36:$V$36/N2801:V2801,F2801/V2801)/Dashboard!$F$11</f>
        <v>41.941494755395652</v>
      </c>
      <c r="F2801" s="359">
        <f t="shared" si="2839"/>
        <v>7308142.7034093691</v>
      </c>
      <c r="G2801" s="359">
        <f>'DRE + DCF'!$W$31</f>
        <v>2791623.3540418856</v>
      </c>
      <c r="H2801" s="359">
        <f>'DRE + DCF'!$W$32</f>
        <v>81081.931703745853</v>
      </c>
      <c r="I2801" s="359">
        <f>-H2801*('DRE + DCF'!$V$33+K2801)/'DRE + DCF'!$V$33</f>
        <v>-90858.801614444121</v>
      </c>
      <c r="J2801" s="359">
        <f>-'DRE + DCF'!$V$56*L2801</f>
        <v>-1188924.4255577971</v>
      </c>
      <c r="K2801" s="360">
        <f>(1+L2801)/(1+Ke!$O$12)-1</f>
        <v>2.0000000000000018E-2</v>
      </c>
      <c r="L2801" s="360">
        <f>'DRE + DCF'!$Y$31</f>
        <v>7.3550000000000004E-2</v>
      </c>
      <c r="M2801" s="361">
        <f>(1+D2801)^((5-Dashboard!$F$9)*3/12)</f>
        <v>1.2544034346889428</v>
      </c>
      <c r="N2801" s="361">
        <f t="shared" ref="N2801:V2801" si="2876">M2801*(1+$D2801)</f>
        <v>1.6970196866189067</v>
      </c>
      <c r="O2801" s="361">
        <f t="shared" si="2876"/>
        <v>2.2958130830423475</v>
      </c>
      <c r="P2801" s="361">
        <f t="shared" si="2876"/>
        <v>3.1058907293937854</v>
      </c>
      <c r="Q2801" s="361">
        <f t="shared" si="2876"/>
        <v>4.2018042732603087</v>
      </c>
      <c r="R2801" s="361">
        <f t="shared" si="2876"/>
        <v>5.6844109110801089</v>
      </c>
      <c r="S2801" s="361">
        <f t="shared" si="2876"/>
        <v>7.6901553010545909</v>
      </c>
      <c r="T2801" s="361">
        <f t="shared" si="2876"/>
        <v>10.403626599031522</v>
      </c>
      <c r="U2801" s="361">
        <f t="shared" si="2876"/>
        <v>14.074546244499549</v>
      </c>
      <c r="V2801" s="362">
        <f t="shared" si="2876"/>
        <v>19.040749886870881</v>
      </c>
      <c r="X2801" s="351"/>
    </row>
    <row r="2802" spans="3:24" ht="24.75" customHeight="1" x14ac:dyDescent="0.3">
      <c r="C2802" s="353">
        <f>ABS(E2802-Dashboard!$F$14)</f>
        <v>55.066262421950761</v>
      </c>
      <c r="D2802" s="350">
        <f t="shared" si="2841"/>
        <v>0.35294999999997639</v>
      </c>
      <c r="E2802" s="359" cm="1">
        <f t="array" ref="E2802">1000*SUM('DRE + DCF'!$L$36/M2802,'DRE + DCF'!$N$36:$V$36/N2802:V2802,F2802/V2802)/Dashboard!$F$11</f>
        <v>41.923737578049234</v>
      </c>
      <c r="F2802" s="359">
        <f t="shared" si="2839"/>
        <v>7305843.7868530322</v>
      </c>
      <c r="G2802" s="359">
        <f>'DRE + DCF'!$W$31</f>
        <v>2791623.3540418856</v>
      </c>
      <c r="H2802" s="359">
        <f>'DRE + DCF'!$W$32</f>
        <v>81081.931703745853</v>
      </c>
      <c r="I2802" s="359">
        <f>-H2802*('DRE + DCF'!$V$33+K2802)/'DRE + DCF'!$V$33</f>
        <v>-90858.801614444121</v>
      </c>
      <c r="J2802" s="359">
        <f>-'DRE + DCF'!$V$56*L2802</f>
        <v>-1188924.4255577971</v>
      </c>
      <c r="K2802" s="360">
        <f>(1+L2802)/(1+Ke!$O$12)-1</f>
        <v>2.0000000000000018E-2</v>
      </c>
      <c r="L2802" s="360">
        <f>'DRE + DCF'!$Y$31</f>
        <v>7.3550000000000004E-2</v>
      </c>
      <c r="M2802" s="361">
        <f>(1+D2802)^((5-Dashboard!$F$9)*3/12)</f>
        <v>1.2544729763146589</v>
      </c>
      <c r="N2802" s="361">
        <f t="shared" ref="N2802:V2802" si="2877">M2802*(1+$D2802)</f>
        <v>1.6972392133048881</v>
      </c>
      <c r="O2802" s="361">
        <f t="shared" si="2877"/>
        <v>2.2962797936408084</v>
      </c>
      <c r="P2802" s="361">
        <f t="shared" si="2877"/>
        <v>3.1067517468062773</v>
      </c>
      <c r="Q2802" s="361">
        <f t="shared" si="2877"/>
        <v>4.2032797758414793</v>
      </c>
      <c r="R2802" s="361">
        <f t="shared" si="2877"/>
        <v>5.6868273727246299</v>
      </c>
      <c r="S2802" s="361">
        <f t="shared" si="2877"/>
        <v>7.6939930939276531</v>
      </c>
      <c r="T2802" s="361">
        <f t="shared" si="2877"/>
        <v>10.409587956429236</v>
      </c>
      <c r="U2802" s="361">
        <f t="shared" si="2877"/>
        <v>14.083652025650689</v>
      </c>
      <c r="V2802" s="362">
        <f t="shared" si="2877"/>
        <v>19.054477008103767</v>
      </c>
      <c r="X2802" s="351"/>
    </row>
    <row r="2803" spans="3:24" ht="24.75" customHeight="1" x14ac:dyDescent="0.3">
      <c r="C2803" s="353">
        <f>ABS(E2803-Dashboard!$F$14)</f>
        <v>55.084005879287332</v>
      </c>
      <c r="D2803" s="350">
        <f t="shared" si="2841"/>
        <v>0.35304999999997638</v>
      </c>
      <c r="E2803" s="359" cm="1">
        <f t="array" ref="E2803">1000*SUM('DRE + DCF'!$L$36/M2803,'DRE + DCF'!$N$36:$V$36/N2803:V2803,F2803/V2803)/Dashboard!$F$11</f>
        <v>41.905994120712663</v>
      </c>
      <c r="F2803" s="359">
        <f t="shared" si="2839"/>
        <v>7303546.3359513571</v>
      </c>
      <c r="G2803" s="359">
        <f>'DRE + DCF'!$W$31</f>
        <v>2791623.3540418856</v>
      </c>
      <c r="H2803" s="359">
        <f>'DRE + DCF'!$W$32</f>
        <v>81081.931703745853</v>
      </c>
      <c r="I2803" s="359">
        <f>-H2803*('DRE + DCF'!$V$33+K2803)/'DRE + DCF'!$V$33</f>
        <v>-90858.801614444121</v>
      </c>
      <c r="J2803" s="359">
        <f>-'DRE + DCF'!$V$56*L2803</f>
        <v>-1188924.4255577971</v>
      </c>
      <c r="K2803" s="360">
        <f>(1+L2803)/(1+Ke!$O$12)-1</f>
        <v>2.0000000000000018E-2</v>
      </c>
      <c r="L2803" s="360">
        <f>'DRE + DCF'!$Y$31</f>
        <v>7.3550000000000004E-2</v>
      </c>
      <c r="M2803" s="361">
        <f>(1+D2803)^((5-Dashboard!$F$9)*3/12)</f>
        <v>1.254542516655387</v>
      </c>
      <c r="N2803" s="361">
        <f t="shared" ref="N2803:V2803" si="2878">M2803*(1+$D2803)</f>
        <v>1.6974587521605415</v>
      </c>
      <c r="O2803" s="361">
        <f t="shared" si="2878"/>
        <v>2.2967465646107805</v>
      </c>
      <c r="P2803" s="361">
        <f t="shared" si="2878"/>
        <v>3.1076129392465623</v>
      </c>
      <c r="Q2803" s="361">
        <f t="shared" si="2878"/>
        <v>4.2047556874474878</v>
      </c>
      <c r="R2803" s="361">
        <f t="shared" si="2878"/>
        <v>5.6892446829007239</v>
      </c>
      <c r="S2803" s="361">
        <f t="shared" si="2878"/>
        <v>7.6978325181986902</v>
      </c>
      <c r="T2803" s="361">
        <f t="shared" si="2878"/>
        <v>10.415552288748556</v>
      </c>
      <c r="U2803" s="361">
        <f t="shared" si="2878"/>
        <v>14.092763024290987</v>
      </c>
      <c r="V2803" s="362">
        <f t="shared" si="2878"/>
        <v>19.068213010016585</v>
      </c>
      <c r="X2803" s="351"/>
    </row>
    <row r="2804" spans="3:24" ht="24.75" customHeight="1" x14ac:dyDescent="0.3">
      <c r="C2804" s="353">
        <f>ABS(E2804-Dashboard!$F$14)</f>
        <v>55.101735631412751</v>
      </c>
      <c r="D2804" s="350">
        <f t="shared" si="2841"/>
        <v>0.35314999999997637</v>
      </c>
      <c r="E2804" s="359" cm="1">
        <f t="array" ref="E2804">1000*SUM('DRE + DCF'!$L$36/M2804,'DRE + DCF'!$N$36:$V$36/N2804:V2804,F2804/V2804)/Dashboard!$F$11</f>
        <v>41.888264368587244</v>
      </c>
      <c r="F2804" s="359">
        <f t="shared" si="2839"/>
        <v>7301250.3492840677</v>
      </c>
      <c r="G2804" s="359">
        <f>'DRE + DCF'!$W$31</f>
        <v>2791623.3540418856</v>
      </c>
      <c r="H2804" s="359">
        <f>'DRE + DCF'!$W$32</f>
        <v>81081.931703745853</v>
      </c>
      <c r="I2804" s="359">
        <f>-H2804*('DRE + DCF'!$V$33+K2804)/'DRE + DCF'!$V$33</f>
        <v>-90858.801614444121</v>
      </c>
      <c r="J2804" s="359">
        <f>-'DRE + DCF'!$V$56*L2804</f>
        <v>-1188924.4255577971</v>
      </c>
      <c r="K2804" s="360">
        <f>(1+L2804)/(1+Ke!$O$12)-1</f>
        <v>2.0000000000000018E-2</v>
      </c>
      <c r="L2804" s="360">
        <f>'DRE + DCF'!$Y$31</f>
        <v>7.3550000000000004E-2</v>
      </c>
      <c r="M2804" s="361">
        <f>(1+D2804)^((5-Dashboard!$F$9)*3/12)</f>
        <v>1.2546120557112459</v>
      </c>
      <c r="N2804" s="361">
        <f t="shared" ref="N2804:V2804" si="2879">M2804*(1+$D2804)</f>
        <v>1.6976783031856426</v>
      </c>
      <c r="O2804" s="361">
        <f t="shared" si="2879"/>
        <v>2.297213395955612</v>
      </c>
      <c r="P2804" s="361">
        <f t="shared" si="2879"/>
        <v>3.108474306737282</v>
      </c>
      <c r="Q2804" s="361">
        <f t="shared" si="2879"/>
        <v>4.2062320081614795</v>
      </c>
      <c r="R2804" s="361">
        <f t="shared" si="2879"/>
        <v>5.6916628418436064</v>
      </c>
      <c r="S2804" s="361">
        <f t="shared" si="2879"/>
        <v>7.7016735744405409</v>
      </c>
      <c r="T2804" s="361">
        <f t="shared" si="2879"/>
        <v>10.421519597254035</v>
      </c>
      <c r="U2804" s="361">
        <f t="shared" si="2879"/>
        <v>14.101879243024051</v>
      </c>
      <c r="V2804" s="362">
        <f t="shared" si="2879"/>
        <v>19.081957897697659</v>
      </c>
      <c r="X2804" s="351"/>
    </row>
    <row r="2805" spans="3:24" ht="24.75" customHeight="1" x14ac:dyDescent="0.3">
      <c r="C2805" s="353">
        <f>ABS(E2805-Dashboard!$F$14)</f>
        <v>55.119451693105283</v>
      </c>
      <c r="D2805" s="350">
        <f t="shared" si="2841"/>
        <v>0.35324999999997636</v>
      </c>
      <c r="E2805" s="359" cm="1">
        <f t="array" ref="E2805">1000*SUM('DRE + DCF'!$L$36/M2805,'DRE + DCF'!$N$36:$V$36/N2805:V2805,F2805/V2805)/Dashboard!$F$11</f>
        <v>41.870548306894712</v>
      </c>
      <c r="F2805" s="359">
        <f t="shared" si="2839"/>
        <v>7298955.8254327495</v>
      </c>
      <c r="G2805" s="359">
        <f>'DRE + DCF'!$W$31</f>
        <v>2791623.3540418856</v>
      </c>
      <c r="H2805" s="359">
        <f>'DRE + DCF'!$W$32</f>
        <v>81081.931703745853</v>
      </c>
      <c r="I2805" s="359">
        <f>-H2805*('DRE + DCF'!$V$33+K2805)/'DRE + DCF'!$V$33</f>
        <v>-90858.801614444121</v>
      </c>
      <c r="J2805" s="359">
        <f>-'DRE + DCF'!$V$56*L2805</f>
        <v>-1188924.4255577971</v>
      </c>
      <c r="K2805" s="360">
        <f>(1+L2805)/(1+Ke!$O$12)-1</f>
        <v>2.0000000000000018E-2</v>
      </c>
      <c r="L2805" s="360">
        <f>'DRE + DCF'!$Y$31</f>
        <v>7.3550000000000004E-2</v>
      </c>
      <c r="M2805" s="361">
        <f>(1+D2805)^((5-Dashboard!$F$9)*3/12)</f>
        <v>1.2546815934823539</v>
      </c>
      <c r="N2805" s="361">
        <f t="shared" ref="N2805:V2805" si="2880">M2805*(1+$D2805)</f>
        <v>1.6978978663799655</v>
      </c>
      <c r="O2805" s="361">
        <f t="shared" si="2880"/>
        <v>2.2976802876786482</v>
      </c>
      <c r="P2805" s="361">
        <f t="shared" si="2880"/>
        <v>3.1093358493010763</v>
      </c>
      <c r="Q2805" s="361">
        <f t="shared" si="2880"/>
        <v>4.2077087380666081</v>
      </c>
      <c r="R2805" s="361">
        <f t="shared" si="2880"/>
        <v>5.6940818497885379</v>
      </c>
      <c r="S2805" s="361">
        <f t="shared" si="2880"/>
        <v>7.7055162632262038</v>
      </c>
      <c r="T2805" s="361">
        <f t="shared" si="2880"/>
        <v>10.427489883210677</v>
      </c>
      <c r="U2805" s="361">
        <f t="shared" si="2880"/>
        <v>14.111000684454602</v>
      </c>
      <c r="V2805" s="362">
        <f t="shared" si="2880"/>
        <v>19.095711676237855</v>
      </c>
      <c r="X2805" s="351"/>
    </row>
    <row r="2806" spans="3:24" ht="24.75" customHeight="1" x14ac:dyDescent="0.3">
      <c r="C2806" s="353">
        <f>ABS(E2806-Dashboard!$F$14)</f>
        <v>55.137154079122986</v>
      </c>
      <c r="D2806" s="350">
        <f t="shared" si="2841"/>
        <v>0.35334999999997635</v>
      </c>
      <c r="E2806" s="359" cm="1">
        <f t="array" ref="E2806">1000*SUM('DRE + DCF'!$L$36/M2806,'DRE + DCF'!$N$36:$V$36/N2806:V2806,F2806/V2806)/Dashboard!$F$11</f>
        <v>41.852845920877009</v>
      </c>
      <c r="F2806" s="359">
        <f t="shared" si="2839"/>
        <v>7296662.7629808411</v>
      </c>
      <c r="G2806" s="359">
        <f>'DRE + DCF'!$W$31</f>
        <v>2791623.3540418856</v>
      </c>
      <c r="H2806" s="359">
        <f>'DRE + DCF'!$W$32</f>
        <v>81081.931703745853</v>
      </c>
      <c r="I2806" s="359">
        <f>-H2806*('DRE + DCF'!$V$33+K2806)/'DRE + DCF'!$V$33</f>
        <v>-90858.801614444121</v>
      </c>
      <c r="J2806" s="359">
        <f>-'DRE + DCF'!$V$56*L2806</f>
        <v>-1188924.4255577971</v>
      </c>
      <c r="K2806" s="360">
        <f>(1+L2806)/(1+Ke!$O$12)-1</f>
        <v>2.0000000000000018E-2</v>
      </c>
      <c r="L2806" s="360">
        <f>'DRE + DCF'!$Y$31</f>
        <v>7.3550000000000004E-2</v>
      </c>
      <c r="M2806" s="361">
        <f>(1+D2806)^((5-Dashboard!$F$9)*3/12)</f>
        <v>1.2547511299688301</v>
      </c>
      <c r="N2806" s="361">
        <f t="shared" ref="N2806:V2806" si="2881">M2806*(1+$D2806)</f>
        <v>1.6981174417432865</v>
      </c>
      <c r="O2806" s="361">
        <f t="shared" si="2881"/>
        <v>2.2981472397832365</v>
      </c>
      <c r="P2806" s="361">
        <f t="shared" si="2881"/>
        <v>3.1101975669605886</v>
      </c>
      <c r="Q2806" s="361">
        <f t="shared" si="2881"/>
        <v>4.2091858772460391</v>
      </c>
      <c r="R2806" s="361">
        <f t="shared" si="2881"/>
        <v>5.6965017069708273</v>
      </c>
      <c r="S2806" s="361">
        <f t="shared" si="2881"/>
        <v>7.7093605851288336</v>
      </c>
      <c r="T2806" s="361">
        <f t="shared" si="2881"/>
        <v>10.433463147883923</v>
      </c>
      <c r="U2806" s="361">
        <f t="shared" si="2881"/>
        <v>14.12012735118846</v>
      </c>
      <c r="V2806" s="362">
        <f t="shared" si="2881"/>
        <v>19.109474350730569</v>
      </c>
      <c r="X2806" s="351"/>
    </row>
    <row r="2807" spans="3:24" ht="24.75" customHeight="1" x14ac:dyDescent="0.3">
      <c r="C2807" s="353">
        <f>ABS(E2807-Dashboard!$F$14)</f>
        <v>55.154842804203597</v>
      </c>
      <c r="D2807" s="350">
        <f t="shared" si="2841"/>
        <v>0.35344999999997634</v>
      </c>
      <c r="E2807" s="359" cm="1">
        <f t="array" ref="E2807">1000*SUM('DRE + DCF'!$L$36/M2807,'DRE + DCF'!$N$36:$V$36/N2807:V2807,F2807/V2807)/Dashboard!$F$11</f>
        <v>41.835157195796398</v>
      </c>
      <c r="F2807" s="359">
        <f t="shared" si="2839"/>
        <v>7294371.1605136376</v>
      </c>
      <c r="G2807" s="359">
        <f>'DRE + DCF'!$W$31</f>
        <v>2791623.3540418856</v>
      </c>
      <c r="H2807" s="359">
        <f>'DRE + DCF'!$W$32</f>
        <v>81081.931703745853</v>
      </c>
      <c r="I2807" s="359">
        <f>-H2807*('DRE + DCF'!$V$33+K2807)/'DRE + DCF'!$V$33</f>
        <v>-90858.801614444121</v>
      </c>
      <c r="J2807" s="359">
        <f>-'DRE + DCF'!$V$56*L2807</f>
        <v>-1188924.4255577971</v>
      </c>
      <c r="K2807" s="360">
        <f>(1+L2807)/(1+Ke!$O$12)-1</f>
        <v>2.0000000000000018E-2</v>
      </c>
      <c r="L2807" s="360">
        <f>'DRE + DCF'!$Y$31</f>
        <v>7.3550000000000004E-2</v>
      </c>
      <c r="M2807" s="361">
        <f>(1+D2807)^((5-Dashboard!$F$9)*3/12)</f>
        <v>1.2548206651707927</v>
      </c>
      <c r="N2807" s="361">
        <f t="shared" ref="N2807:V2807" si="2882">M2807*(1+$D2807)</f>
        <v>1.6983370292753797</v>
      </c>
      <c r="O2807" s="361">
        <f t="shared" si="2882"/>
        <v>2.2986142522727224</v>
      </c>
      <c r="P2807" s="361">
        <f t="shared" si="2882"/>
        <v>3.1110594597384615</v>
      </c>
      <c r="Q2807" s="361">
        <f t="shared" si="2882"/>
        <v>4.2106634257829469</v>
      </c>
      <c r="R2807" s="361">
        <f t="shared" si="2882"/>
        <v>5.6989224136258301</v>
      </c>
      <c r="S2807" s="361">
        <f t="shared" si="2882"/>
        <v>7.7132065407217443</v>
      </c>
      <c r="T2807" s="361">
        <f t="shared" si="2882"/>
        <v>10.439439392539661</v>
      </c>
      <c r="U2807" s="361">
        <f t="shared" si="2882"/>
        <v>14.129259245832557</v>
      </c>
      <c r="V2807" s="362">
        <f t="shared" si="2882"/>
        <v>19.123245926271739</v>
      </c>
      <c r="X2807" s="351"/>
    </row>
    <row r="2808" spans="3:24" ht="24.75" customHeight="1" x14ac:dyDescent="0.3">
      <c r="C2808" s="353">
        <f>ABS(E2808-Dashboard!$F$14)</f>
        <v>55.17251788306465</v>
      </c>
      <c r="D2808" s="350">
        <f t="shared" si="2841"/>
        <v>0.35354999999997633</v>
      </c>
      <c r="E2808" s="359" cm="1">
        <f t="array" ref="E2808">1000*SUM('DRE + DCF'!$L$36/M2808,'DRE + DCF'!$N$36:$V$36/N2808:V2808,F2808/V2808)/Dashboard!$F$11</f>
        <v>41.817482116935345</v>
      </c>
      <c r="F2808" s="359">
        <f t="shared" si="2839"/>
        <v>7292081.0166182797</v>
      </c>
      <c r="G2808" s="359">
        <f>'DRE + DCF'!$W$31</f>
        <v>2791623.3540418856</v>
      </c>
      <c r="H2808" s="359">
        <f>'DRE + DCF'!$W$32</f>
        <v>81081.931703745853</v>
      </c>
      <c r="I2808" s="359">
        <f>-H2808*('DRE + DCF'!$V$33+K2808)/'DRE + DCF'!$V$33</f>
        <v>-90858.801614444121</v>
      </c>
      <c r="J2808" s="359">
        <f>-'DRE + DCF'!$V$56*L2808</f>
        <v>-1188924.4255577971</v>
      </c>
      <c r="K2808" s="360">
        <f>(1+L2808)/(1+Ke!$O$12)-1</f>
        <v>2.0000000000000018E-2</v>
      </c>
      <c r="L2808" s="360">
        <f>'DRE + DCF'!$Y$31</f>
        <v>7.3550000000000004E-2</v>
      </c>
      <c r="M2808" s="361">
        <f>(1+D2808)^((5-Dashboard!$F$9)*3/12)</f>
        <v>1.254890199088361</v>
      </c>
      <c r="N2808" s="361">
        <f t="shared" ref="N2808:V2808" si="2883">M2808*(1+$D2808)</f>
        <v>1.6985566289760212</v>
      </c>
      <c r="O2808" s="361">
        <f t="shared" si="2883"/>
        <v>2.2990813251504534</v>
      </c>
      <c r="P2808" s="361">
        <f t="shared" si="2883"/>
        <v>3.1119215276573415</v>
      </c>
      <c r="Q2808" s="361">
        <f t="shared" si="2883"/>
        <v>4.2121413837605211</v>
      </c>
      <c r="R2808" s="361">
        <f t="shared" si="2883"/>
        <v>5.7013439699889537</v>
      </c>
      <c r="S2808" s="361">
        <f t="shared" si="2883"/>
        <v>7.7170541305784131</v>
      </c>
      <c r="T2808" s="361">
        <f t="shared" si="2883"/>
        <v>10.445418618444227</v>
      </c>
      <c r="U2808" s="361">
        <f t="shared" si="2883"/>
        <v>14.138396370994936</v>
      </c>
      <c r="V2808" s="362">
        <f t="shared" si="2883"/>
        <v>19.137026407959862</v>
      </c>
      <c r="X2808" s="351"/>
    </row>
    <row r="2809" spans="3:24" ht="24.75" customHeight="1" x14ac:dyDescent="0.3">
      <c r="C2809" s="353">
        <f>ABS(E2809-Dashboard!$F$14)</f>
        <v>55.19017933040346</v>
      </c>
      <c r="D2809" s="350">
        <f t="shared" si="2841"/>
        <v>0.35364999999997632</v>
      </c>
      <c r="E2809" s="359" cm="1">
        <f t="array" ref="E2809">1000*SUM('DRE + DCF'!$L$36/M2809,'DRE + DCF'!$N$36:$V$36/N2809:V2809,F2809/V2809)/Dashboard!$F$11</f>
        <v>41.799820669596535</v>
      </c>
      <c r="F2809" s="359">
        <f t="shared" si="2839"/>
        <v>7289792.329883758</v>
      </c>
      <c r="G2809" s="359">
        <f>'DRE + DCF'!$W$31</f>
        <v>2791623.3540418856</v>
      </c>
      <c r="H2809" s="359">
        <f>'DRE + DCF'!$W$32</f>
        <v>81081.931703745853</v>
      </c>
      <c r="I2809" s="359">
        <f>-H2809*('DRE + DCF'!$V$33+K2809)/'DRE + DCF'!$V$33</f>
        <v>-90858.801614444121</v>
      </c>
      <c r="J2809" s="359">
        <f>-'DRE + DCF'!$V$56*L2809</f>
        <v>-1188924.4255577971</v>
      </c>
      <c r="K2809" s="360">
        <f>(1+L2809)/(1+Ke!$O$12)-1</f>
        <v>2.0000000000000018E-2</v>
      </c>
      <c r="L2809" s="360">
        <f>'DRE + DCF'!$Y$31</f>
        <v>7.3550000000000004E-2</v>
      </c>
      <c r="M2809" s="361">
        <f>(1+D2809)^((5-Dashboard!$F$9)*3/12)</f>
        <v>1.254959731721653</v>
      </c>
      <c r="N2809" s="361">
        <f t="shared" ref="N2809:V2809" si="2884">M2809*(1+$D2809)</f>
        <v>1.6987762408449858</v>
      </c>
      <c r="O2809" s="361">
        <f t="shared" si="2884"/>
        <v>2.2995484584197747</v>
      </c>
      <c r="P2809" s="361">
        <f t="shared" si="2884"/>
        <v>3.1127837707398736</v>
      </c>
      <c r="Q2809" s="361">
        <f t="shared" si="2884"/>
        <v>4.2136197512619562</v>
      </c>
      <c r="R2809" s="361">
        <f t="shared" si="2884"/>
        <v>5.703766376295647</v>
      </c>
      <c r="S2809" s="361">
        <f t="shared" si="2884"/>
        <v>7.7209033552724673</v>
      </c>
      <c r="T2809" s="361">
        <f t="shared" si="2884"/>
        <v>10.451400826864392</v>
      </c>
      <c r="U2809" s="361">
        <f t="shared" si="2884"/>
        <v>14.147538729284735</v>
      </c>
      <c r="V2809" s="362">
        <f t="shared" si="2884"/>
        <v>19.150815800895945</v>
      </c>
      <c r="X2809" s="351"/>
    </row>
    <row r="2810" spans="3:24" ht="24.75" customHeight="1" x14ac:dyDescent="0.3">
      <c r="C2810" s="353">
        <f>ABS(E2810-Dashboard!$F$14)</f>
        <v>55.207827160897189</v>
      </c>
      <c r="D2810" s="350">
        <f t="shared" si="2841"/>
        <v>0.35374999999997631</v>
      </c>
      <c r="E2810" s="359" cm="1">
        <f t="array" ref="E2810">1000*SUM('DRE + DCF'!$L$36/M2810,'DRE + DCF'!$N$36:$V$36/N2810:V2810,F2810/V2810)/Dashboard!$F$11</f>
        <v>41.782172839102806</v>
      </c>
      <c r="F2810" s="359">
        <f t="shared" si="2839"/>
        <v>7287505.0989009002</v>
      </c>
      <c r="G2810" s="359">
        <f>'DRE + DCF'!$W$31</f>
        <v>2791623.3540418856</v>
      </c>
      <c r="H2810" s="359">
        <f>'DRE + DCF'!$W$32</f>
        <v>81081.931703745853</v>
      </c>
      <c r="I2810" s="359">
        <f>-H2810*('DRE + DCF'!$V$33+K2810)/'DRE + DCF'!$V$33</f>
        <v>-90858.801614444121</v>
      </c>
      <c r="J2810" s="359">
        <f>-'DRE + DCF'!$V$56*L2810</f>
        <v>-1188924.4255577971</v>
      </c>
      <c r="K2810" s="360">
        <f>(1+L2810)/(1+Ke!$O$12)-1</f>
        <v>2.0000000000000018E-2</v>
      </c>
      <c r="L2810" s="360">
        <f>'DRE + DCF'!$Y$31</f>
        <v>7.3550000000000004E-2</v>
      </c>
      <c r="M2810" s="361">
        <f>(1+D2810)^((5-Dashboard!$F$9)*3/12)</f>
        <v>1.2550292630707875</v>
      </c>
      <c r="N2810" s="361">
        <f t="shared" ref="N2810:V2810" si="2885">M2810*(1+$D2810)</f>
        <v>1.6989958648820489</v>
      </c>
      <c r="O2810" s="361">
        <f t="shared" si="2885"/>
        <v>2.3000156520840331</v>
      </c>
      <c r="P2810" s="361">
        <f t="shared" si="2885"/>
        <v>3.1136461890087053</v>
      </c>
      <c r="Q2810" s="361">
        <f t="shared" si="2885"/>
        <v>4.2150985283704605</v>
      </c>
      <c r="R2810" s="361">
        <f t="shared" si="2885"/>
        <v>5.7061896327814106</v>
      </c>
      <c r="S2810" s="361">
        <f t="shared" si="2885"/>
        <v>7.7247542153776987</v>
      </c>
      <c r="T2810" s="361">
        <f t="shared" si="2885"/>
        <v>10.457386019067377</v>
      </c>
      <c r="U2810" s="361">
        <f t="shared" si="2885"/>
        <v>14.156686323312213</v>
      </c>
      <c r="V2810" s="362">
        <f t="shared" si="2885"/>
        <v>19.164614110183571</v>
      </c>
      <c r="X2810" s="351"/>
    </row>
    <row r="2811" spans="3:24" ht="24.75" customHeight="1" x14ac:dyDescent="0.3">
      <c r="C2811" s="353">
        <f>ABS(E2811-Dashboard!$F$14)</f>
        <v>55.225461389202891</v>
      </c>
      <c r="D2811" s="350">
        <f t="shared" si="2841"/>
        <v>0.35384999999997629</v>
      </c>
      <c r="E2811" s="359" cm="1">
        <f t="array" ref="E2811">1000*SUM('DRE + DCF'!$L$36/M2811,'DRE + DCF'!$N$36:$V$36/N2811:V2811,F2811/V2811)/Dashboard!$F$11</f>
        <v>41.764538610797104</v>
      </c>
      <c r="F2811" s="359">
        <f t="shared" si="2839"/>
        <v>7285219.3222623831</v>
      </c>
      <c r="G2811" s="359">
        <f>'DRE + DCF'!$W$31</f>
        <v>2791623.3540418856</v>
      </c>
      <c r="H2811" s="359">
        <f>'DRE + DCF'!$W$32</f>
        <v>81081.931703745853</v>
      </c>
      <c r="I2811" s="359">
        <f>-H2811*('DRE + DCF'!$V$33+K2811)/'DRE + DCF'!$V$33</f>
        <v>-90858.801614444121</v>
      </c>
      <c r="J2811" s="359">
        <f>-'DRE + DCF'!$V$56*L2811</f>
        <v>-1188924.4255577971</v>
      </c>
      <c r="K2811" s="360">
        <f>(1+L2811)/(1+Ke!$O$12)-1</f>
        <v>2.0000000000000018E-2</v>
      </c>
      <c r="L2811" s="360">
        <f>'DRE + DCF'!$Y$31</f>
        <v>7.3550000000000004E-2</v>
      </c>
      <c r="M2811" s="361">
        <f>(1+D2811)^((5-Dashboard!$F$9)*3/12)</f>
        <v>1.2550987931358832</v>
      </c>
      <c r="N2811" s="361">
        <f t="shared" ref="N2811:V2811" si="2886">M2811*(1+$D2811)</f>
        <v>1.6992155010869856</v>
      </c>
      <c r="O2811" s="361">
        <f t="shared" si="2886"/>
        <v>2.3004829061465752</v>
      </c>
      <c r="P2811" s="361">
        <f t="shared" si="2886"/>
        <v>3.1145087824864861</v>
      </c>
      <c r="Q2811" s="361">
        <f t="shared" si="2886"/>
        <v>4.2165777151692554</v>
      </c>
      <c r="R2811" s="361">
        <f t="shared" si="2886"/>
        <v>5.7086137396817964</v>
      </c>
      <c r="S2811" s="361">
        <f t="shared" si="2886"/>
        <v>7.7286067114680641</v>
      </c>
      <c r="T2811" s="361">
        <f t="shared" si="2886"/>
        <v>10.463374196320855</v>
      </c>
      <c r="U2811" s="361">
        <f t="shared" si="2886"/>
        <v>14.16583915568874</v>
      </c>
      <c r="V2811" s="362">
        <f t="shared" si="2886"/>
        <v>19.178421340928864</v>
      </c>
      <c r="X2811" s="351"/>
    </row>
    <row r="2812" spans="3:24" ht="24.75" customHeight="1" x14ac:dyDescent="0.3">
      <c r="C2812" s="353">
        <f>ABS(E2812-Dashboard!$F$14)</f>
        <v>55.243082029957506</v>
      </c>
      <c r="D2812" s="350">
        <f t="shared" si="2841"/>
        <v>0.35394999999997628</v>
      </c>
      <c r="E2812" s="359" cm="1">
        <f t="array" ref="E2812">1000*SUM('DRE + DCF'!$L$36/M2812,'DRE + DCF'!$N$36:$V$36/N2812:V2812,F2812/V2812)/Dashboard!$F$11</f>
        <v>41.746917970042489</v>
      </c>
      <c r="F2812" s="359">
        <f t="shared" si="2839"/>
        <v>7282934.9985627132</v>
      </c>
      <c r="G2812" s="359">
        <f>'DRE + DCF'!$W$31</f>
        <v>2791623.3540418856</v>
      </c>
      <c r="H2812" s="359">
        <f>'DRE + DCF'!$W$32</f>
        <v>81081.931703745853</v>
      </c>
      <c r="I2812" s="359">
        <f>-H2812*('DRE + DCF'!$V$33+K2812)/'DRE + DCF'!$V$33</f>
        <v>-90858.801614444121</v>
      </c>
      <c r="J2812" s="359">
        <f>-'DRE + DCF'!$V$56*L2812</f>
        <v>-1188924.4255577971</v>
      </c>
      <c r="K2812" s="360">
        <f>(1+L2812)/(1+Ke!$O$12)-1</f>
        <v>2.0000000000000018E-2</v>
      </c>
      <c r="L2812" s="360">
        <f>'DRE + DCF'!$Y$31</f>
        <v>7.3550000000000004E-2</v>
      </c>
      <c r="M2812" s="361">
        <f>(1+D2812)^((5-Dashboard!$F$9)*3/12)</f>
        <v>1.2551683219170584</v>
      </c>
      <c r="N2812" s="361">
        <f t="shared" ref="N2812:V2812" si="2887">M2812*(1+$D2812)</f>
        <v>1.6994351494595714</v>
      </c>
      <c r="O2812" s="361">
        <f t="shared" si="2887"/>
        <v>2.3009502206107464</v>
      </c>
      <c r="P2812" s="361">
        <f t="shared" si="2887"/>
        <v>3.1153715511958655</v>
      </c>
      <c r="Q2812" s="361">
        <f t="shared" si="2887"/>
        <v>4.2180573117415676</v>
      </c>
      <c r="R2812" s="361">
        <f t="shared" si="2887"/>
        <v>5.7110386972323948</v>
      </c>
      <c r="S2812" s="361">
        <f t="shared" si="2887"/>
        <v>7.7324608441176652</v>
      </c>
      <c r="T2812" s="361">
        <f t="shared" si="2887"/>
        <v>10.469365359892929</v>
      </c>
      <c r="U2812" s="361">
        <f t="shared" si="2887"/>
        <v>14.174997229026783</v>
      </c>
      <c r="V2812" s="362">
        <f t="shared" si="2887"/>
        <v>19.192237498240477</v>
      </c>
      <c r="X2812" s="351"/>
    </row>
    <row r="2813" spans="3:24" ht="24.75" customHeight="1" x14ac:dyDescent="0.3">
      <c r="C2813" s="353">
        <f>ABS(E2813-Dashboard!$F$14)</f>
        <v>55.260689097777906</v>
      </c>
      <c r="D2813" s="350">
        <f t="shared" si="2841"/>
        <v>0.35404999999997627</v>
      </c>
      <c r="E2813" s="359" cm="1">
        <f t="array" ref="E2813">1000*SUM('DRE + DCF'!$L$36/M2813,'DRE + DCF'!$N$36:$V$36/N2813:V2813,F2813/V2813)/Dashboard!$F$11</f>
        <v>41.729310902222089</v>
      </c>
      <c r="F2813" s="359">
        <f t="shared" si="2839"/>
        <v>7280652.1263982365</v>
      </c>
      <c r="G2813" s="359">
        <f>'DRE + DCF'!$W$31</f>
        <v>2791623.3540418856</v>
      </c>
      <c r="H2813" s="359">
        <f>'DRE + DCF'!$W$32</f>
        <v>81081.931703745853</v>
      </c>
      <c r="I2813" s="359">
        <f>-H2813*('DRE + DCF'!$V$33+K2813)/'DRE + DCF'!$V$33</f>
        <v>-90858.801614444121</v>
      </c>
      <c r="J2813" s="359">
        <f>-'DRE + DCF'!$V$56*L2813</f>
        <v>-1188924.4255577971</v>
      </c>
      <c r="K2813" s="360">
        <f>(1+L2813)/(1+Ke!$O$12)-1</f>
        <v>2.0000000000000018E-2</v>
      </c>
      <c r="L2813" s="360">
        <f>'DRE + DCF'!$Y$31</f>
        <v>7.3550000000000004E-2</v>
      </c>
      <c r="M2813" s="361">
        <f>(1+D2813)^((5-Dashboard!$F$9)*3/12)</f>
        <v>1.2552378494144318</v>
      </c>
      <c r="N2813" s="361">
        <f t="shared" ref="N2813:V2813" si="2888">M2813*(1+$D2813)</f>
        <v>1.6996548099995816</v>
      </c>
      <c r="O2813" s="361">
        <f t="shared" si="2888"/>
        <v>2.3014175954798932</v>
      </c>
      <c r="P2813" s="361">
        <f t="shared" si="2888"/>
        <v>3.1162344951594947</v>
      </c>
      <c r="Q2813" s="361">
        <f t="shared" si="2888"/>
        <v>4.2195373181706399</v>
      </c>
      <c r="R2813" s="361">
        <f t="shared" si="2888"/>
        <v>5.7134645056688544</v>
      </c>
      <c r="S2813" s="361">
        <f t="shared" si="2888"/>
        <v>7.7363166139007769</v>
      </c>
      <c r="T2813" s="361">
        <f t="shared" si="2888"/>
        <v>10.475359511052163</v>
      </c>
      <c r="U2813" s="361">
        <f t="shared" si="2888"/>
        <v>14.184160545939932</v>
      </c>
      <c r="V2813" s="362">
        <f t="shared" si="2888"/>
        <v>19.206062587229628</v>
      </c>
      <c r="X2813" s="351"/>
    </row>
    <row r="2814" spans="3:24" ht="24.75" customHeight="1" x14ac:dyDescent="0.3">
      <c r="C2814" s="353">
        <f>ABS(E2814-Dashboard!$F$14)</f>
        <v>55.278282607260948</v>
      </c>
      <c r="D2814" s="350">
        <f t="shared" si="2841"/>
        <v>0.35414999999997626</v>
      </c>
      <c r="E2814" s="359" cm="1">
        <f t="array" ref="E2814">1000*SUM('DRE + DCF'!$L$36/M2814,'DRE + DCF'!$N$36:$V$36/N2814:V2814,F2814/V2814)/Dashboard!$F$11</f>
        <v>41.711717392739047</v>
      </c>
      <c r="F2814" s="359">
        <f t="shared" si="2839"/>
        <v>7278370.7043671291</v>
      </c>
      <c r="G2814" s="359">
        <f>'DRE + DCF'!$W$31</f>
        <v>2791623.3540418856</v>
      </c>
      <c r="H2814" s="359">
        <f>'DRE + DCF'!$W$32</f>
        <v>81081.931703745853</v>
      </c>
      <c r="I2814" s="359">
        <f>-H2814*('DRE + DCF'!$V$33+K2814)/'DRE + DCF'!$V$33</f>
        <v>-90858.801614444121</v>
      </c>
      <c r="J2814" s="359">
        <f>-'DRE + DCF'!$V$56*L2814</f>
        <v>-1188924.4255577971</v>
      </c>
      <c r="K2814" s="360">
        <f>(1+L2814)/(1+Ke!$O$12)-1</f>
        <v>2.0000000000000018E-2</v>
      </c>
      <c r="L2814" s="360">
        <f>'DRE + DCF'!$Y$31</f>
        <v>7.3550000000000004E-2</v>
      </c>
      <c r="M2814" s="361">
        <f>(1+D2814)^((5-Dashboard!$F$9)*3/12)</f>
        <v>1.2553073756281221</v>
      </c>
      <c r="N2814" s="361">
        <f t="shared" ref="N2814:V2814" si="2889">M2814*(1+$D2814)</f>
        <v>1.6998744827067918</v>
      </c>
      <c r="O2814" s="361">
        <f t="shared" si="2889"/>
        <v>2.3018850307573615</v>
      </c>
      <c r="P2814" s="361">
        <f t="shared" si="2889"/>
        <v>3.1170976144000262</v>
      </c>
      <c r="Q2814" s="361">
        <f t="shared" si="2889"/>
        <v>4.2210177345397213</v>
      </c>
      <c r="R2814" s="361">
        <f t="shared" si="2889"/>
        <v>5.7158911652268634</v>
      </c>
      <c r="S2814" s="361">
        <f t="shared" si="2889"/>
        <v>7.7401740213918213</v>
      </c>
      <c r="T2814" s="361">
        <f t="shared" si="2889"/>
        <v>10.48135665106755</v>
      </c>
      <c r="U2814" s="361">
        <f t="shared" si="2889"/>
        <v>14.193329109042873</v>
      </c>
      <c r="V2814" s="362">
        <f t="shared" si="2889"/>
        <v>19.219896613010068</v>
      </c>
      <c r="X2814" s="351"/>
    </row>
    <row r="2815" spans="3:24" ht="24.75" customHeight="1" x14ac:dyDescent="0.3">
      <c r="C2815" s="353">
        <f>ABS(E2815-Dashboard!$F$14)</f>
        <v>55.295862572983474</v>
      </c>
      <c r="D2815" s="350">
        <f t="shared" si="2841"/>
        <v>0.35424999999997625</v>
      </c>
      <c r="E2815" s="359" cm="1">
        <f t="array" ref="E2815">1000*SUM('DRE + DCF'!$L$36/M2815,'DRE + DCF'!$N$36:$V$36/N2815:V2815,F2815/V2815)/Dashboard!$F$11</f>
        <v>41.694137427016521</v>
      </c>
      <c r="F2815" s="359">
        <f t="shared" si="2839"/>
        <v>7276090.7310693916</v>
      </c>
      <c r="G2815" s="359">
        <f>'DRE + DCF'!$W$31</f>
        <v>2791623.3540418856</v>
      </c>
      <c r="H2815" s="359">
        <f>'DRE + DCF'!$W$32</f>
        <v>81081.931703745853</v>
      </c>
      <c r="I2815" s="359">
        <f>-H2815*('DRE + DCF'!$V$33+K2815)/'DRE + DCF'!$V$33</f>
        <v>-90858.801614444121</v>
      </c>
      <c r="J2815" s="359">
        <f>-'DRE + DCF'!$V$56*L2815</f>
        <v>-1188924.4255577971</v>
      </c>
      <c r="K2815" s="360">
        <f>(1+L2815)/(1+Ke!$O$12)-1</f>
        <v>2.0000000000000018E-2</v>
      </c>
      <c r="L2815" s="360">
        <f>'DRE + DCF'!$Y$31</f>
        <v>7.3550000000000004E-2</v>
      </c>
      <c r="M2815" s="361">
        <f>(1+D2815)^((5-Dashboard!$F$9)*3/12)</f>
        <v>1.2553769005582474</v>
      </c>
      <c r="N2815" s="361">
        <f t="shared" ref="N2815:V2815" si="2890">M2815*(1+$D2815)</f>
        <v>1.7000941675809766</v>
      </c>
      <c r="O2815" s="361">
        <f t="shared" si="2890"/>
        <v>2.302352526446497</v>
      </c>
      <c r="P2815" s="361">
        <f t="shared" si="2890"/>
        <v>3.1179609089401139</v>
      </c>
      <c r="Q2815" s="361">
        <f t="shared" si="2890"/>
        <v>4.2224985609320749</v>
      </c>
      <c r="R2815" s="361">
        <f t="shared" si="2890"/>
        <v>5.7183186761421618</v>
      </c>
      <c r="S2815" s="361">
        <f t="shared" si="2890"/>
        <v>7.7440330671653861</v>
      </c>
      <c r="T2815" s="361">
        <f t="shared" si="2890"/>
        <v>10.48735678120854</v>
      </c>
      <c r="U2815" s="361">
        <f t="shared" si="2890"/>
        <v>14.202502920951416</v>
      </c>
      <c r="V2815" s="362">
        <f t="shared" si="2890"/>
        <v>19.233739580698117</v>
      </c>
      <c r="X2815" s="351"/>
    </row>
    <row r="2816" spans="3:24" ht="24.75" customHeight="1" x14ac:dyDescent="0.3">
      <c r="C2816" s="353">
        <f>ABS(E2816-Dashboard!$F$14)</f>
        <v>55.3134290095024</v>
      </c>
      <c r="D2816" s="350">
        <f t="shared" si="2841"/>
        <v>0.35434999999997624</v>
      </c>
      <c r="E2816" s="359" cm="1">
        <f t="array" ref="E2816">1000*SUM('DRE + DCF'!$L$36/M2816,'DRE + DCF'!$N$36:$V$36/N2816:V2816,F2816/V2816)/Dashboard!$F$11</f>
        <v>41.676570990497595</v>
      </c>
      <c r="F2816" s="359">
        <f t="shared" si="2839"/>
        <v>7273812.2051068526</v>
      </c>
      <c r="G2816" s="359">
        <f>'DRE + DCF'!$W$31</f>
        <v>2791623.3540418856</v>
      </c>
      <c r="H2816" s="359">
        <f>'DRE + DCF'!$W$32</f>
        <v>81081.931703745853</v>
      </c>
      <c r="I2816" s="359">
        <f>-H2816*('DRE + DCF'!$V$33+K2816)/'DRE + DCF'!$V$33</f>
        <v>-90858.801614444121</v>
      </c>
      <c r="J2816" s="359">
        <f>-'DRE + DCF'!$V$56*L2816</f>
        <v>-1188924.4255577971</v>
      </c>
      <c r="K2816" s="360">
        <f>(1+L2816)/(1+Ke!$O$12)-1</f>
        <v>2.0000000000000018E-2</v>
      </c>
      <c r="L2816" s="360">
        <f>'DRE + DCF'!$Y$31</f>
        <v>7.3550000000000004E-2</v>
      </c>
      <c r="M2816" s="361">
        <f>(1+D2816)^((5-Dashboard!$F$9)*3/12)</f>
        <v>1.2554464242049264</v>
      </c>
      <c r="N2816" s="361">
        <f t="shared" ref="N2816:V2816" si="2891">M2816*(1+$D2816)</f>
        <v>1.700313864621912</v>
      </c>
      <c r="O2816" s="361">
        <f t="shared" si="2891"/>
        <v>2.302820082550646</v>
      </c>
      <c r="P2816" s="361">
        <f t="shared" si="2891"/>
        <v>3.1188243788024126</v>
      </c>
      <c r="Q2816" s="361">
        <f t="shared" si="2891"/>
        <v>4.2239797974309736</v>
      </c>
      <c r="R2816" s="361">
        <f t="shared" si="2891"/>
        <v>5.7207470386505381</v>
      </c>
      <c r="S2816" s="361">
        <f t="shared" si="2891"/>
        <v>7.7478937517962203</v>
      </c>
      <c r="T2816" s="361">
        <f t="shared" si="2891"/>
        <v>10.493359902745027</v>
      </c>
      <c r="U2816" s="361">
        <f t="shared" si="2891"/>
        <v>14.211681984282478</v>
      </c>
      <c r="V2816" s="362">
        <f t="shared" si="2891"/>
        <v>19.247591495412635</v>
      </c>
      <c r="X2816" s="351"/>
    </row>
    <row r="2817" spans="3:24" ht="24.75" customHeight="1" x14ac:dyDescent="0.3">
      <c r="C2817" s="353">
        <f>ABS(E2817-Dashboard!$F$14)</f>
        <v>55.330981931354664</v>
      </c>
      <c r="D2817" s="350">
        <f t="shared" si="2841"/>
        <v>0.35444999999997623</v>
      </c>
      <c r="E2817" s="359" cm="1">
        <f t="array" ref="E2817">1000*SUM('DRE + DCF'!$L$36/M2817,'DRE + DCF'!$N$36:$V$36/N2817:V2817,F2817/V2817)/Dashboard!$F$11</f>
        <v>41.659018068645331</v>
      </c>
      <c r="F2817" s="359">
        <f t="shared" si="2839"/>
        <v>7271535.1250831671</v>
      </c>
      <c r="G2817" s="359">
        <f>'DRE + DCF'!$W$31</f>
        <v>2791623.3540418856</v>
      </c>
      <c r="H2817" s="359">
        <f>'DRE + DCF'!$W$32</f>
        <v>81081.931703745853</v>
      </c>
      <c r="I2817" s="359">
        <f>-H2817*('DRE + DCF'!$V$33+K2817)/'DRE + DCF'!$V$33</f>
        <v>-90858.801614444121</v>
      </c>
      <c r="J2817" s="359">
        <f>-'DRE + DCF'!$V$56*L2817</f>
        <v>-1188924.4255577971</v>
      </c>
      <c r="K2817" s="360">
        <f>(1+L2817)/(1+Ke!$O$12)-1</f>
        <v>2.0000000000000018E-2</v>
      </c>
      <c r="L2817" s="360">
        <f>'DRE + DCF'!$Y$31</f>
        <v>7.3550000000000004E-2</v>
      </c>
      <c r="M2817" s="361">
        <f>(1+D2817)^((5-Dashboard!$F$9)*3/12)</f>
        <v>1.2555159465682775</v>
      </c>
      <c r="N2817" s="361">
        <f t="shared" ref="N2817:V2817" si="2892">M2817*(1+$D2817)</f>
        <v>1.7005335738293734</v>
      </c>
      <c r="O2817" s="361">
        <f t="shared" si="2892"/>
        <v>2.3032876990731541</v>
      </c>
      <c r="P2817" s="361">
        <f t="shared" si="2892"/>
        <v>3.1196880240095788</v>
      </c>
      <c r="Q2817" s="361">
        <f t="shared" si="2892"/>
        <v>4.2254614441196994</v>
      </c>
      <c r="R2817" s="361">
        <f t="shared" si="2892"/>
        <v>5.7231762529878258</v>
      </c>
      <c r="S2817" s="361">
        <f t="shared" si="2892"/>
        <v>7.7517560758592241</v>
      </c>
      <c r="T2817" s="361">
        <f t="shared" si="2892"/>
        <v>10.499366016947342</v>
      </c>
      <c r="U2817" s="361">
        <f t="shared" si="2892"/>
        <v>14.220866301654077</v>
      </c>
      <c r="V2817" s="362">
        <f t="shared" si="2892"/>
        <v>19.261452362275026</v>
      </c>
      <c r="X2817" s="351"/>
    </row>
    <row r="2818" spans="3:24" ht="24.75" customHeight="1" x14ac:dyDescent="0.3">
      <c r="C2818" s="353">
        <f>ABS(E2818-Dashboard!$F$14)</f>
        <v>55.348521353057372</v>
      </c>
      <c r="D2818" s="350">
        <f t="shared" si="2841"/>
        <v>0.35454999999997622</v>
      </c>
      <c r="E2818" s="359" cm="1">
        <f t="array" ref="E2818">1000*SUM('DRE + DCF'!$L$36/M2818,'DRE + DCF'!$N$36:$V$36/N2818:V2818,F2818/V2818)/Dashboard!$F$11</f>
        <v>41.641478646942623</v>
      </c>
      <c r="F2818" s="359">
        <f t="shared" si="2839"/>
        <v>7269259.4896038016</v>
      </c>
      <c r="G2818" s="359">
        <f>'DRE + DCF'!$W$31</f>
        <v>2791623.3540418856</v>
      </c>
      <c r="H2818" s="359">
        <f>'DRE + DCF'!$W$32</f>
        <v>81081.931703745853</v>
      </c>
      <c r="I2818" s="359">
        <f>-H2818*('DRE + DCF'!$V$33+K2818)/'DRE + DCF'!$V$33</f>
        <v>-90858.801614444121</v>
      </c>
      <c r="J2818" s="359">
        <f>-'DRE + DCF'!$V$56*L2818</f>
        <v>-1188924.4255577971</v>
      </c>
      <c r="K2818" s="360">
        <f>(1+L2818)/(1+Ke!$O$12)-1</f>
        <v>2.0000000000000018E-2</v>
      </c>
      <c r="L2818" s="360">
        <f>'DRE + DCF'!$Y$31</f>
        <v>7.3550000000000004E-2</v>
      </c>
      <c r="M2818" s="361">
        <f>(1+D2818)^((5-Dashboard!$F$9)*3/12)</f>
        <v>1.2555854676484191</v>
      </c>
      <c r="N2818" s="361">
        <f t="shared" ref="N2818:V2818" si="2893">M2818*(1+$D2818)</f>
        <v>1.7007532952031361</v>
      </c>
      <c r="O2818" s="361">
        <f t="shared" si="2893"/>
        <v>2.3037553760173677</v>
      </c>
      <c r="P2818" s="361">
        <f t="shared" si="2893"/>
        <v>3.1205518445842704</v>
      </c>
      <c r="Q2818" s="361">
        <f t="shared" si="2893"/>
        <v>4.226943501081549</v>
      </c>
      <c r="R2818" s="361">
        <f t="shared" si="2893"/>
        <v>5.7256063193899118</v>
      </c>
      <c r="S2818" s="361">
        <f t="shared" si="2893"/>
        <v>7.7556200399294681</v>
      </c>
      <c r="T2818" s="361">
        <f t="shared" si="2893"/>
        <v>10.505375125086276</v>
      </c>
      <c r="U2818" s="361">
        <f t="shared" si="2893"/>
        <v>14.230055875685364</v>
      </c>
      <c r="V2818" s="362">
        <f t="shared" si="2893"/>
        <v>19.275322186409269</v>
      </c>
      <c r="X2818" s="351"/>
    </row>
    <row r="2819" spans="3:24" ht="24.75" customHeight="1" x14ac:dyDescent="0.3">
      <c r="C2819" s="353">
        <f>ABS(E2819-Dashboard!$F$14)</f>
        <v>55.366047289107748</v>
      </c>
      <c r="D2819" s="350">
        <f t="shared" si="2841"/>
        <v>0.35464999999997621</v>
      </c>
      <c r="E2819" s="359" cm="1">
        <f t="array" ref="E2819">1000*SUM('DRE + DCF'!$L$36/M2819,'DRE + DCF'!$N$36:$V$36/N2819:V2819,F2819/V2819)/Dashboard!$F$11</f>
        <v>41.623952710892247</v>
      </c>
      <c r="F2819" s="359">
        <f t="shared" si="2839"/>
        <v>7266985.2972760433</v>
      </c>
      <c r="G2819" s="359">
        <f>'DRE + DCF'!$W$31</f>
        <v>2791623.3540418856</v>
      </c>
      <c r="H2819" s="359">
        <f>'DRE + DCF'!$W$32</f>
        <v>81081.931703745853</v>
      </c>
      <c r="I2819" s="359">
        <f>-H2819*('DRE + DCF'!$V$33+K2819)/'DRE + DCF'!$V$33</f>
        <v>-90858.801614444121</v>
      </c>
      <c r="J2819" s="359">
        <f>-'DRE + DCF'!$V$56*L2819</f>
        <v>-1188924.4255577971</v>
      </c>
      <c r="K2819" s="360">
        <f>(1+L2819)/(1+Ke!$O$12)-1</f>
        <v>2.0000000000000018E-2</v>
      </c>
      <c r="L2819" s="360">
        <f>'DRE + DCF'!$Y$31</f>
        <v>7.3550000000000004E-2</v>
      </c>
      <c r="M2819" s="361">
        <f>(1+D2819)^((5-Dashboard!$F$9)*3/12)</f>
        <v>1.2556549874454697</v>
      </c>
      <c r="N2819" s="361">
        <f t="shared" ref="N2819:V2819" si="2894">M2819*(1+$D2819)</f>
        <v>1.7009730287429756</v>
      </c>
      <c r="O2819" s="361">
        <f t="shared" si="2894"/>
        <v>2.3042231133866315</v>
      </c>
      <c r="P2819" s="361">
        <f t="shared" si="2894"/>
        <v>3.1214158405491457</v>
      </c>
      <c r="Q2819" s="361">
        <f t="shared" si="2894"/>
        <v>4.2284259683998258</v>
      </c>
      <c r="R2819" s="361">
        <f t="shared" si="2894"/>
        <v>5.7280372380927229</v>
      </c>
      <c r="S2819" s="361">
        <f t="shared" si="2894"/>
        <v>7.7594856445821705</v>
      </c>
      <c r="T2819" s="361">
        <f t="shared" si="2894"/>
        <v>10.511387228433053</v>
      </c>
      <c r="U2819" s="361">
        <f t="shared" si="2894"/>
        <v>14.239250708996584</v>
      </c>
      <c r="V2819" s="362">
        <f t="shared" si="2894"/>
        <v>19.289200972941885</v>
      </c>
      <c r="X2819" s="351"/>
    </row>
    <row r="2820" spans="3:24" ht="24.75" customHeight="1" x14ac:dyDescent="0.3">
      <c r="C2820" s="353">
        <f>ABS(E2820-Dashboard!$F$14)</f>
        <v>55.383559753983114</v>
      </c>
      <c r="D2820" s="350">
        <f t="shared" si="2841"/>
        <v>0.3547499999999762</v>
      </c>
      <c r="E2820" s="359" cm="1">
        <f t="array" ref="E2820">1000*SUM('DRE + DCF'!$L$36/M2820,'DRE + DCF'!$N$36:$V$36/N2820:V2820,F2820/V2820)/Dashboard!$F$11</f>
        <v>41.606440246016881</v>
      </c>
      <c r="F2820" s="359">
        <f t="shared" si="2839"/>
        <v>7264712.5467089927</v>
      </c>
      <c r="G2820" s="359">
        <f>'DRE + DCF'!$W$31</f>
        <v>2791623.3540418856</v>
      </c>
      <c r="H2820" s="359">
        <f>'DRE + DCF'!$W$32</f>
        <v>81081.931703745853</v>
      </c>
      <c r="I2820" s="359">
        <f>-H2820*('DRE + DCF'!$V$33+K2820)/'DRE + DCF'!$V$33</f>
        <v>-90858.801614444121</v>
      </c>
      <c r="J2820" s="359">
        <f>-'DRE + DCF'!$V$56*L2820</f>
        <v>-1188924.4255577971</v>
      </c>
      <c r="K2820" s="360">
        <f>(1+L2820)/(1+Ke!$O$12)-1</f>
        <v>2.0000000000000018E-2</v>
      </c>
      <c r="L2820" s="360">
        <f>'DRE + DCF'!$Y$31</f>
        <v>7.3550000000000004E-2</v>
      </c>
      <c r="M2820" s="361">
        <f>(1+D2820)^((5-Dashboard!$F$9)*3/12)</f>
        <v>1.2557245059595474</v>
      </c>
      <c r="N2820" s="361">
        <f t="shared" ref="N2820:V2820" si="2895">M2820*(1+$D2820)</f>
        <v>1.701192774448667</v>
      </c>
      <c r="O2820" s="361">
        <f t="shared" si="2895"/>
        <v>2.304690911184291</v>
      </c>
      <c r="P2820" s="361">
        <f t="shared" si="2895"/>
        <v>3.1222800119268634</v>
      </c>
      <c r="Q2820" s="361">
        <f t="shared" si="2895"/>
        <v>4.2299088461578433</v>
      </c>
      <c r="R2820" s="361">
        <f t="shared" si="2895"/>
        <v>5.7304690093322375</v>
      </c>
      <c r="S2820" s="361">
        <f t="shared" si="2895"/>
        <v>7.7633528903927118</v>
      </c>
      <c r="T2820" s="361">
        <f t="shared" si="2895"/>
        <v>10.51740232825934</v>
      </c>
      <c r="U2820" s="361">
        <f t="shared" si="2895"/>
        <v>14.24845080420909</v>
      </c>
      <c r="V2820" s="362">
        <f t="shared" si="2895"/>
        <v>19.303088727001924</v>
      </c>
      <c r="X2820" s="351"/>
    </row>
    <row r="2821" spans="3:24" ht="24.75" customHeight="1" x14ac:dyDescent="0.3">
      <c r="C2821" s="353">
        <f>ABS(E2821-Dashboard!$F$14)</f>
        <v>55.401058762141112</v>
      </c>
      <c r="D2821" s="350">
        <f t="shared" si="2841"/>
        <v>0.35484999999997618</v>
      </c>
      <c r="E2821" s="359" cm="1">
        <f t="array" ref="E2821">1000*SUM('DRE + DCF'!$L$36/M2821,'DRE + DCF'!$N$36:$V$36/N2821:V2821,F2821/V2821)/Dashboard!$F$11</f>
        <v>41.588941237858883</v>
      </c>
      <c r="F2821" s="359">
        <f t="shared" si="2839"/>
        <v>7262441.2365135569</v>
      </c>
      <c r="G2821" s="359">
        <f>'DRE + DCF'!$W$31</f>
        <v>2791623.3540418856</v>
      </c>
      <c r="H2821" s="359">
        <f>'DRE + DCF'!$W$32</f>
        <v>81081.931703745853</v>
      </c>
      <c r="I2821" s="359">
        <f>-H2821*('DRE + DCF'!$V$33+K2821)/'DRE + DCF'!$V$33</f>
        <v>-90858.801614444121</v>
      </c>
      <c r="J2821" s="359">
        <f>-'DRE + DCF'!$V$56*L2821</f>
        <v>-1188924.4255577971</v>
      </c>
      <c r="K2821" s="360">
        <f>(1+L2821)/(1+Ke!$O$12)-1</f>
        <v>2.0000000000000018E-2</v>
      </c>
      <c r="L2821" s="360">
        <f>'DRE + DCF'!$Y$31</f>
        <v>7.3550000000000004E-2</v>
      </c>
      <c r="M2821" s="361">
        <f>(1+D2821)^((5-Dashboard!$F$9)*3/12)</f>
        <v>1.2557940231907712</v>
      </c>
      <c r="N2821" s="361">
        <f t="shared" ref="N2821:V2821" si="2896">M2821*(1+$D2821)</f>
        <v>1.7014125323199862</v>
      </c>
      <c r="O2821" s="361">
        <f t="shared" si="2896"/>
        <v>2.3051587694136928</v>
      </c>
      <c r="P2821" s="361">
        <f t="shared" si="2896"/>
        <v>3.1231443587400864</v>
      </c>
      <c r="Q2821" s="361">
        <f t="shared" si="2896"/>
        <v>4.2313921344389316</v>
      </c>
      <c r="R2821" s="361">
        <f t="shared" si="2896"/>
        <v>5.7329016333444853</v>
      </c>
      <c r="S2821" s="361">
        <f t="shared" si="2896"/>
        <v>7.7672217779366388</v>
      </c>
      <c r="T2821" s="361">
        <f t="shared" si="2896"/>
        <v>10.523420425837269</v>
      </c>
      <c r="U2821" s="361">
        <f t="shared" si="2896"/>
        <v>14.257656163945374</v>
      </c>
      <c r="V2821" s="362">
        <f t="shared" si="2896"/>
        <v>19.316985453721049</v>
      </c>
      <c r="X2821" s="351"/>
    </row>
    <row r="2822" spans="3:24" ht="24.75" customHeight="1" x14ac:dyDescent="0.3">
      <c r="C2822" s="353">
        <f>ABS(E2822-Dashboard!$F$14)</f>
        <v>55.418544328019529</v>
      </c>
      <c r="D2822" s="350">
        <f t="shared" si="2841"/>
        <v>0.35494999999997617</v>
      </c>
      <c r="E2822" s="359" cm="1">
        <f t="array" ref="E2822">1000*SUM('DRE + DCF'!$L$36/M2822,'DRE + DCF'!$N$36:$V$36/N2822:V2822,F2822/V2822)/Dashboard!$F$11</f>
        <v>41.571455671980466</v>
      </c>
      <c r="F2822" s="359">
        <f t="shared" si="2839"/>
        <v>7260171.3653024556</v>
      </c>
      <c r="G2822" s="359">
        <f>'DRE + DCF'!$W$31</f>
        <v>2791623.3540418856</v>
      </c>
      <c r="H2822" s="359">
        <f>'DRE + DCF'!$W$32</f>
        <v>81081.931703745853</v>
      </c>
      <c r="I2822" s="359">
        <f>-H2822*('DRE + DCF'!$V$33+K2822)/'DRE + DCF'!$V$33</f>
        <v>-90858.801614444121</v>
      </c>
      <c r="J2822" s="359">
        <f>-'DRE + DCF'!$V$56*L2822</f>
        <v>-1188924.4255577971</v>
      </c>
      <c r="K2822" s="360">
        <f>(1+L2822)/(1+Ke!$O$12)-1</f>
        <v>2.0000000000000018E-2</v>
      </c>
      <c r="L2822" s="360">
        <f>'DRE + DCF'!$Y$31</f>
        <v>7.3550000000000004E-2</v>
      </c>
      <c r="M2822" s="361">
        <f>(1+D2822)^((5-Dashboard!$F$9)*3/12)</f>
        <v>1.255863539139259</v>
      </c>
      <c r="N2822" s="361">
        <f t="shared" ref="N2822:V2822" si="2897">M2822*(1+$D2822)</f>
        <v>1.701632302356709</v>
      </c>
      <c r="O2822" s="361">
        <f t="shared" si="2897"/>
        <v>2.3056266880781822</v>
      </c>
      <c r="P2822" s="361">
        <f t="shared" si="2897"/>
        <v>3.1240088810114779</v>
      </c>
      <c r="Q2822" s="361">
        <f t="shared" si="2897"/>
        <v>4.2328758333264274</v>
      </c>
      <c r="R2822" s="361">
        <f t="shared" si="2897"/>
        <v>5.7353351103655417</v>
      </c>
      <c r="S2822" s="361">
        <f t="shared" si="2897"/>
        <v>7.7710923077896537</v>
      </c>
      <c r="T2822" s="361">
        <f t="shared" si="2897"/>
        <v>10.529441522439406</v>
      </c>
      <c r="U2822" s="361">
        <f t="shared" si="2897"/>
        <v>14.266866790829022</v>
      </c>
      <c r="V2822" s="362">
        <f t="shared" si="2897"/>
        <v>19.330891158233442</v>
      </c>
      <c r="X2822" s="351"/>
    </row>
    <row r="2823" spans="3:24" ht="24.75" customHeight="1" x14ac:dyDescent="0.3">
      <c r="C2823" s="353">
        <f>ABS(E2823-Dashboard!$F$14)</f>
        <v>55.436016466036492</v>
      </c>
      <c r="D2823" s="350">
        <f t="shared" si="2841"/>
        <v>0.35504999999997616</v>
      </c>
      <c r="E2823" s="359" cm="1">
        <f t="array" ref="E2823">1000*SUM('DRE + DCF'!$L$36/M2823,'DRE + DCF'!$N$36:$V$36/N2823:V2823,F2823/V2823)/Dashboard!$F$11</f>
        <v>41.553983533963503</v>
      </c>
      <c r="F2823" s="359">
        <f t="shared" si="2839"/>
        <v>7257902.9316902086</v>
      </c>
      <c r="G2823" s="359">
        <f>'DRE + DCF'!$W$31</f>
        <v>2791623.3540418856</v>
      </c>
      <c r="H2823" s="359">
        <f>'DRE + DCF'!$W$32</f>
        <v>81081.931703745853</v>
      </c>
      <c r="I2823" s="359">
        <f>-H2823*('DRE + DCF'!$V$33+K2823)/'DRE + DCF'!$V$33</f>
        <v>-90858.801614444121</v>
      </c>
      <c r="J2823" s="359">
        <f>-'DRE + DCF'!$V$56*L2823</f>
        <v>-1188924.4255577971</v>
      </c>
      <c r="K2823" s="360">
        <f>(1+L2823)/(1+Ke!$O$12)-1</f>
        <v>2.0000000000000018E-2</v>
      </c>
      <c r="L2823" s="360">
        <f>'DRE + DCF'!$Y$31</f>
        <v>7.3550000000000004E-2</v>
      </c>
      <c r="M2823" s="361">
        <f>(1+D2823)^((5-Dashboard!$F$9)*3/12)</f>
        <v>1.2559330538051292</v>
      </c>
      <c r="N2823" s="361">
        <f t="shared" ref="N2823:V2823" si="2898">M2823*(1+$D2823)</f>
        <v>1.7018520845586103</v>
      </c>
      <c r="O2823" s="361">
        <f t="shared" si="2898"/>
        <v>2.306094667181104</v>
      </c>
      <c r="P2823" s="361">
        <f t="shared" si="2898"/>
        <v>3.1248735787637001</v>
      </c>
      <c r="Q2823" s="361">
        <f t="shared" si="2898"/>
        <v>4.2343599429036773</v>
      </c>
      <c r="R2823" s="361">
        <f t="shared" si="2898"/>
        <v>5.7377694406315269</v>
      </c>
      <c r="S2823" s="361">
        <f t="shared" si="2898"/>
        <v>7.7749644805276139</v>
      </c>
      <c r="T2823" s="361">
        <f t="shared" si="2898"/>
        <v>10.535465619338757</v>
      </c>
      <c r="U2823" s="361">
        <f t="shared" si="2898"/>
        <v>14.276082687484731</v>
      </c>
      <c r="V2823" s="362">
        <f t="shared" si="2898"/>
        <v>19.344805845675843</v>
      </c>
      <c r="X2823" s="351"/>
    </row>
    <row r="2824" spans="3:24" ht="24.75" customHeight="1" x14ac:dyDescent="0.3">
      <c r="C2824" s="353">
        <f>ABS(E2824-Dashboard!$F$14)</f>
        <v>55.453475190590389</v>
      </c>
      <c r="D2824" s="350">
        <f t="shared" si="2841"/>
        <v>0.35514999999997615</v>
      </c>
      <c r="E2824" s="359" cm="1">
        <f t="array" ref="E2824">1000*SUM('DRE + DCF'!$L$36/M2824,'DRE + DCF'!$N$36:$V$36/N2824:V2824,F2824/V2824)/Dashboard!$F$11</f>
        <v>41.536524809409606</v>
      </c>
      <c r="F2824" s="359">
        <f t="shared" si="2839"/>
        <v>7255635.9342931379</v>
      </c>
      <c r="G2824" s="359">
        <f>'DRE + DCF'!$W$31</f>
        <v>2791623.3540418856</v>
      </c>
      <c r="H2824" s="359">
        <f>'DRE + DCF'!$W$32</f>
        <v>81081.931703745853</v>
      </c>
      <c r="I2824" s="359">
        <f>-H2824*('DRE + DCF'!$V$33+K2824)/'DRE + DCF'!$V$33</f>
        <v>-90858.801614444121</v>
      </c>
      <c r="J2824" s="359">
        <f>-'DRE + DCF'!$V$56*L2824</f>
        <v>-1188924.4255577971</v>
      </c>
      <c r="K2824" s="360">
        <f>(1+L2824)/(1+Ke!$O$12)-1</f>
        <v>2.0000000000000018E-2</v>
      </c>
      <c r="L2824" s="360">
        <f>'DRE + DCF'!$Y$31</f>
        <v>7.3550000000000004E-2</v>
      </c>
      <c r="M2824" s="361">
        <f>(1+D2824)^((5-Dashboard!$F$9)*3/12)</f>
        <v>1.2560025671885</v>
      </c>
      <c r="N2824" s="361">
        <f t="shared" ref="N2824:V2824" si="2899">M2824*(1+$D2824)</f>
        <v>1.7020718789254659</v>
      </c>
      <c r="O2824" s="361">
        <f t="shared" si="2899"/>
        <v>2.3065627067258045</v>
      </c>
      <c r="P2824" s="361">
        <f t="shared" si="2899"/>
        <v>3.1257384520194189</v>
      </c>
      <c r="Q2824" s="361">
        <f t="shared" si="2899"/>
        <v>4.2358444632540406</v>
      </c>
      <c r="R2824" s="361">
        <f t="shared" si="2899"/>
        <v>5.7402046243786122</v>
      </c>
      <c r="S2824" s="361">
        <f t="shared" si="2899"/>
        <v>7.7788382967265388</v>
      </c>
      <c r="T2824" s="361">
        <f t="shared" si="2899"/>
        <v>10.541492717808783</v>
      </c>
      <c r="U2824" s="361">
        <f t="shared" si="2899"/>
        <v>14.28530385653832</v>
      </c>
      <c r="V2824" s="362">
        <f t="shared" si="2899"/>
        <v>19.358729521187563</v>
      </c>
      <c r="X2824" s="351"/>
    </row>
    <row r="2825" spans="3:24" ht="24.75" customHeight="1" x14ac:dyDescent="0.3">
      <c r="C2825" s="353">
        <f>ABS(E2825-Dashboard!$F$14)</f>
        <v>55.470920516059948</v>
      </c>
      <c r="D2825" s="350">
        <f t="shared" si="2841"/>
        <v>0.35524999999997614</v>
      </c>
      <c r="E2825" s="359" cm="1">
        <f t="array" ref="E2825">1000*SUM('DRE + DCF'!$L$36/M2825,'DRE + DCF'!$N$36:$V$36/N2825:V2825,F2825/V2825)/Dashboard!$F$11</f>
        <v>41.519079483940047</v>
      </c>
      <c r="F2825" s="359">
        <f t="shared" si="2839"/>
        <v>7253370.3717293646</v>
      </c>
      <c r="G2825" s="359">
        <f>'DRE + DCF'!$W$31</f>
        <v>2791623.3540418856</v>
      </c>
      <c r="H2825" s="359">
        <f>'DRE + DCF'!$W$32</f>
        <v>81081.931703745853</v>
      </c>
      <c r="I2825" s="359">
        <f>-H2825*('DRE + DCF'!$V$33+K2825)/'DRE + DCF'!$V$33</f>
        <v>-90858.801614444121</v>
      </c>
      <c r="J2825" s="359">
        <f>-'DRE + DCF'!$V$56*L2825</f>
        <v>-1188924.4255577971</v>
      </c>
      <c r="K2825" s="360">
        <f>(1+L2825)/(1+Ke!$O$12)-1</f>
        <v>2.0000000000000018E-2</v>
      </c>
      <c r="L2825" s="360">
        <f>'DRE + DCF'!$Y$31</f>
        <v>7.3550000000000004E-2</v>
      </c>
      <c r="M2825" s="361">
        <f>(1+D2825)^((5-Dashboard!$F$9)*3/12)</f>
        <v>1.2560720792894902</v>
      </c>
      <c r="N2825" s="361">
        <f t="shared" ref="N2825:V2825" si="2900">M2825*(1+$D2825)</f>
        <v>1.7022916854570516</v>
      </c>
      <c r="O2825" s="361">
        <f t="shared" si="2900"/>
        <v>2.3070308067156282</v>
      </c>
      <c r="P2825" s="361">
        <f t="shared" si="2900"/>
        <v>3.1266035008012998</v>
      </c>
      <c r="Q2825" s="361">
        <f t="shared" si="2900"/>
        <v>4.237329394460887</v>
      </c>
      <c r="R2825" s="361">
        <f t="shared" si="2900"/>
        <v>5.7426406618430157</v>
      </c>
      <c r="S2825" s="361">
        <f t="shared" si="2900"/>
        <v>7.7827137569626093</v>
      </c>
      <c r="T2825" s="361">
        <f t="shared" si="2900"/>
        <v>10.54752281912339</v>
      </c>
      <c r="U2825" s="361">
        <f t="shared" si="2900"/>
        <v>14.294530300616723</v>
      </c>
      <c r="V2825" s="362">
        <f t="shared" si="2900"/>
        <v>19.372662189910471</v>
      </c>
      <c r="X2825" s="351"/>
    </row>
    <row r="2826" spans="3:24" ht="24.75" customHeight="1" x14ac:dyDescent="0.3">
      <c r="C2826" s="353">
        <f>ABS(E2826-Dashboard!$F$14)</f>
        <v>55.488352456804279</v>
      </c>
      <c r="D2826" s="350">
        <f t="shared" si="2841"/>
        <v>0.35534999999997613</v>
      </c>
      <c r="E2826" s="359" cm="1">
        <f t="array" ref="E2826">1000*SUM('DRE + DCF'!$L$36/M2826,'DRE + DCF'!$N$36:$V$36/N2826:V2826,F2826/V2826)/Dashboard!$F$11</f>
        <v>41.501647543195716</v>
      </c>
      <c r="F2826" s="359">
        <f t="shared" si="2839"/>
        <v>7251106.2426188067</v>
      </c>
      <c r="G2826" s="359">
        <f>'DRE + DCF'!$W$31</f>
        <v>2791623.3540418856</v>
      </c>
      <c r="H2826" s="359">
        <f>'DRE + DCF'!$W$32</f>
        <v>81081.931703745853</v>
      </c>
      <c r="I2826" s="359">
        <f>-H2826*('DRE + DCF'!$V$33+K2826)/'DRE + DCF'!$V$33</f>
        <v>-90858.801614444121</v>
      </c>
      <c r="J2826" s="359">
        <f>-'DRE + DCF'!$V$56*L2826</f>
        <v>-1188924.4255577971</v>
      </c>
      <c r="K2826" s="360">
        <f>(1+L2826)/(1+Ke!$O$12)-1</f>
        <v>2.0000000000000018E-2</v>
      </c>
      <c r="L2826" s="360">
        <f>'DRE + DCF'!$Y$31</f>
        <v>7.3550000000000004E-2</v>
      </c>
      <c r="M2826" s="361">
        <f>(1+D2826)^((5-Dashboard!$F$9)*3/12)</f>
        <v>1.2561415901082174</v>
      </c>
      <c r="N2826" s="361">
        <f t="shared" ref="N2826:V2826" si="2901">M2826*(1+$D2826)</f>
        <v>1.7025115041531422</v>
      </c>
      <c r="O2826" s="361">
        <f t="shared" si="2901"/>
        <v>2.3074989671539208</v>
      </c>
      <c r="P2826" s="361">
        <f t="shared" si="2901"/>
        <v>3.1274687251320112</v>
      </c>
      <c r="Q2826" s="361">
        <f t="shared" si="2901"/>
        <v>4.2388147366075968</v>
      </c>
      <c r="R2826" s="361">
        <f t="shared" si="2901"/>
        <v>5.7450775532610052</v>
      </c>
      <c r="S2826" s="361">
        <f t="shared" si="2901"/>
        <v>7.786590861812166</v>
      </c>
      <c r="T2826" s="361">
        <f t="shared" si="2901"/>
        <v>10.553555924556933</v>
      </c>
      <c r="U2826" s="361">
        <f t="shared" si="2901"/>
        <v>14.303762022347987</v>
      </c>
      <c r="V2826" s="362">
        <f t="shared" si="2901"/>
        <v>19.386603856989002</v>
      </c>
      <c r="X2826" s="351"/>
    </row>
    <row r="2827" spans="3:24" ht="24.75" customHeight="1" x14ac:dyDescent="0.3">
      <c r="C2827" s="353">
        <f>ABS(E2827-Dashboard!$F$14)</f>
        <v>55.505771027162893</v>
      </c>
      <c r="D2827" s="350">
        <f t="shared" si="2841"/>
        <v>0.35544999999997612</v>
      </c>
      <c r="E2827" s="359" cm="1">
        <f t="array" ref="E2827">1000*SUM('DRE + DCF'!$L$36/M2827,'DRE + DCF'!$N$36:$V$36/N2827:V2827,F2827/V2827)/Dashboard!$F$11</f>
        <v>41.484228972837101</v>
      </c>
      <c r="F2827" s="359">
        <f t="shared" si="2839"/>
        <v>7248843.5455831708</v>
      </c>
      <c r="G2827" s="359">
        <f>'DRE + DCF'!$W$31</f>
        <v>2791623.3540418856</v>
      </c>
      <c r="H2827" s="359">
        <f>'DRE + DCF'!$W$32</f>
        <v>81081.931703745853</v>
      </c>
      <c r="I2827" s="359">
        <f>-H2827*('DRE + DCF'!$V$33+K2827)/'DRE + DCF'!$V$33</f>
        <v>-90858.801614444121</v>
      </c>
      <c r="J2827" s="359">
        <f>-'DRE + DCF'!$V$56*L2827</f>
        <v>-1188924.4255577971</v>
      </c>
      <c r="K2827" s="360">
        <f>(1+L2827)/(1+Ke!$O$12)-1</f>
        <v>2.0000000000000018E-2</v>
      </c>
      <c r="L2827" s="360">
        <f>'DRE + DCF'!$Y$31</f>
        <v>7.3550000000000004E-2</v>
      </c>
      <c r="M2827" s="361">
        <f>(1+D2827)^((5-Dashboard!$F$9)*3/12)</f>
        <v>1.2562110996448004</v>
      </c>
      <c r="N2827" s="361">
        <f t="shared" ref="N2827:V2827" si="2902">M2827*(1+$D2827)</f>
        <v>1.7027313350135147</v>
      </c>
      <c r="O2827" s="361">
        <f t="shared" si="2902"/>
        <v>2.3079671880440276</v>
      </c>
      <c r="P2827" s="361">
        <f t="shared" si="2902"/>
        <v>3.1283341250342218</v>
      </c>
      <c r="Q2827" s="361">
        <f t="shared" si="2902"/>
        <v>4.2403004897775611</v>
      </c>
      <c r="R2827" s="361">
        <f t="shared" si="2902"/>
        <v>5.747515298868894</v>
      </c>
      <c r="S2827" s="361">
        <f t="shared" si="2902"/>
        <v>7.7904696118517052</v>
      </c>
      <c r="T2827" s="361">
        <f t="shared" si="2902"/>
        <v>10.559592035384208</v>
      </c>
      <c r="U2827" s="361">
        <f t="shared" si="2902"/>
        <v>14.312999024361272</v>
      </c>
      <c r="V2827" s="362">
        <f t="shared" si="2902"/>
        <v>19.400554527570144</v>
      </c>
      <c r="X2827" s="351"/>
    </row>
    <row r="2828" spans="3:24" ht="24.75" customHeight="1" x14ac:dyDescent="0.3">
      <c r="C2828" s="353">
        <f>ABS(E2828-Dashboard!$F$14)</f>
        <v>55.523176241455694</v>
      </c>
      <c r="D2828" s="350">
        <f t="shared" si="2841"/>
        <v>0.35554999999997611</v>
      </c>
      <c r="E2828" s="359" cm="1">
        <f t="array" ref="E2828">1000*SUM('DRE + DCF'!$L$36/M2828,'DRE + DCF'!$N$36:$V$36/N2828:V2828,F2828/V2828)/Dashboard!$F$11</f>
        <v>41.466823758544301</v>
      </c>
      <c r="F2828" s="359">
        <f t="shared" si="2839"/>
        <v>7246582.2792459549</v>
      </c>
      <c r="G2828" s="359">
        <f>'DRE + DCF'!$W$31</f>
        <v>2791623.3540418856</v>
      </c>
      <c r="H2828" s="359">
        <f>'DRE + DCF'!$W$32</f>
        <v>81081.931703745853</v>
      </c>
      <c r="I2828" s="359">
        <f>-H2828*('DRE + DCF'!$V$33+K2828)/'DRE + DCF'!$V$33</f>
        <v>-90858.801614444121</v>
      </c>
      <c r="J2828" s="359">
        <f>-'DRE + DCF'!$V$56*L2828</f>
        <v>-1188924.4255577971</v>
      </c>
      <c r="K2828" s="360">
        <f>(1+L2828)/(1+Ke!$O$12)-1</f>
        <v>2.0000000000000018E-2</v>
      </c>
      <c r="L2828" s="360">
        <f>'DRE + DCF'!$Y$31</f>
        <v>7.3550000000000004E-2</v>
      </c>
      <c r="M2828" s="361">
        <f>(1+D2828)^((5-Dashboard!$F$9)*3/12)</f>
        <v>1.2562806078993569</v>
      </c>
      <c r="N2828" s="361">
        <f t="shared" ref="N2828:V2828" si="2903">M2828*(1+$D2828)</f>
        <v>1.7029511780379432</v>
      </c>
      <c r="O2828" s="361">
        <f t="shared" si="2903"/>
        <v>2.308435469389293</v>
      </c>
      <c r="P2828" s="361">
        <f t="shared" si="2903"/>
        <v>3.1291997005306009</v>
      </c>
      <c r="Q2828" s="361">
        <f t="shared" si="2903"/>
        <v>4.2417866540541809</v>
      </c>
      <c r="R2828" s="361">
        <f t="shared" si="2903"/>
        <v>5.7499538989030432</v>
      </c>
      <c r="S2828" s="361">
        <f t="shared" si="2903"/>
        <v>7.7943500076578829</v>
      </c>
      <c r="T2828" s="361">
        <f t="shared" si="2903"/>
        <v>10.565631152880457</v>
      </c>
      <c r="U2828" s="361">
        <f t="shared" si="2903"/>
        <v>14.32224130928685</v>
      </c>
      <c r="V2828" s="362">
        <f t="shared" si="2903"/>
        <v>19.414514206803446</v>
      </c>
      <c r="X2828" s="351"/>
    </row>
    <row r="2829" spans="3:24" ht="24.75" customHeight="1" x14ac:dyDescent="0.3">
      <c r="C2829" s="353">
        <f>ABS(E2829-Dashboard!$F$14)</f>
        <v>55.540568113983134</v>
      </c>
      <c r="D2829" s="350">
        <f t="shared" si="2841"/>
        <v>0.3556499999999761</v>
      </c>
      <c r="E2829" s="359" cm="1">
        <f t="array" ref="E2829">1000*SUM('DRE + DCF'!$L$36/M2829,'DRE + DCF'!$N$36:$V$36/N2829:V2829,F2829/V2829)/Dashboard!$F$11</f>
        <v>41.44943188601686</v>
      </c>
      <c r="F2829" s="359">
        <f t="shared" si="2839"/>
        <v>7244322.4422324467</v>
      </c>
      <c r="G2829" s="359">
        <f>'DRE + DCF'!$W$31</f>
        <v>2791623.3540418856</v>
      </c>
      <c r="H2829" s="359">
        <f>'DRE + DCF'!$W$32</f>
        <v>81081.931703745853</v>
      </c>
      <c r="I2829" s="359">
        <f>-H2829*('DRE + DCF'!$V$33+K2829)/'DRE + DCF'!$V$33</f>
        <v>-90858.801614444121</v>
      </c>
      <c r="J2829" s="359">
        <f>-'DRE + DCF'!$V$56*L2829</f>
        <v>-1188924.4255577971</v>
      </c>
      <c r="K2829" s="360">
        <f>(1+L2829)/(1+Ke!$O$12)-1</f>
        <v>2.0000000000000018E-2</v>
      </c>
      <c r="L2829" s="360">
        <f>'DRE + DCF'!$Y$31</f>
        <v>7.3550000000000004E-2</v>
      </c>
      <c r="M2829" s="361">
        <f>(1+D2829)^((5-Dashboard!$F$9)*3/12)</f>
        <v>1.2563501148720058</v>
      </c>
      <c r="N2829" s="361">
        <f t="shared" ref="N2829:V2829" si="2904">M2829*(1+$D2829)</f>
        <v>1.7031710332262044</v>
      </c>
      <c r="O2829" s="361">
        <f t="shared" si="2904"/>
        <v>2.3089038111930633</v>
      </c>
      <c r="P2829" s="361">
        <f t="shared" si="2904"/>
        <v>3.1300654516438211</v>
      </c>
      <c r="Q2829" s="361">
        <f t="shared" si="2904"/>
        <v>4.243273229520871</v>
      </c>
      <c r="R2829" s="361">
        <f t="shared" si="2904"/>
        <v>5.7523933535998673</v>
      </c>
      <c r="S2829" s="361">
        <f t="shared" si="2904"/>
        <v>7.7982320498075222</v>
      </c>
      <c r="T2829" s="361">
        <f t="shared" si="2904"/>
        <v>10.571673278321381</v>
      </c>
      <c r="U2829" s="361">
        <f t="shared" si="2904"/>
        <v>14.331488879756126</v>
      </c>
      <c r="V2829" s="362">
        <f t="shared" si="2904"/>
        <v>19.42848289984105</v>
      </c>
      <c r="X2829" s="351"/>
    </row>
    <row r="2830" spans="3:24" ht="24.75" customHeight="1" x14ac:dyDescent="0.3">
      <c r="C2830" s="353">
        <f>ABS(E2830-Dashboard!$F$14)</f>
        <v>55.557946659026086</v>
      </c>
      <c r="D2830" s="350">
        <f t="shared" si="2841"/>
        <v>0.35574999999997609</v>
      </c>
      <c r="E2830" s="359" cm="1">
        <f t="array" ref="E2830">1000*SUM('DRE + DCF'!$L$36/M2830,'DRE + DCF'!$N$36:$V$36/N2830:V2830,F2830/V2830)/Dashboard!$F$11</f>
        <v>41.432053340973908</v>
      </c>
      <c r="F2830" s="359">
        <f t="shared" ref="F2830:F2893" si="2905">AVERAGE(SUM(G2830:J2830)*(1+L2830)/(D2830-L2830),G2830*(1+L2830)*(1-L2830/D2830)/(D2830-L2830))</f>
        <v>7242064.0331697091</v>
      </c>
      <c r="G2830" s="359">
        <f>'DRE + DCF'!$W$31</f>
        <v>2791623.3540418856</v>
      </c>
      <c r="H2830" s="359">
        <f>'DRE + DCF'!$W$32</f>
        <v>81081.931703745853</v>
      </c>
      <c r="I2830" s="359">
        <f>-H2830*('DRE + DCF'!$V$33+K2830)/'DRE + DCF'!$V$33</f>
        <v>-90858.801614444121</v>
      </c>
      <c r="J2830" s="359">
        <f>-'DRE + DCF'!$V$56*L2830</f>
        <v>-1188924.4255577971</v>
      </c>
      <c r="K2830" s="360">
        <f>(1+L2830)/(1+Ke!$O$12)-1</f>
        <v>2.0000000000000018E-2</v>
      </c>
      <c r="L2830" s="360">
        <f>'DRE + DCF'!$Y$31</f>
        <v>7.3550000000000004E-2</v>
      </c>
      <c r="M2830" s="361">
        <f>(1+D2830)^((5-Dashboard!$F$9)*3/12)</f>
        <v>1.2564196205628646</v>
      </c>
      <c r="N2830" s="361">
        <f t="shared" ref="N2830:V2830" si="2906">M2830*(1+$D2830)</f>
        <v>1.7033909005780736</v>
      </c>
      <c r="O2830" s="361">
        <f t="shared" si="2906"/>
        <v>2.3093722134586825</v>
      </c>
      <c r="P2830" s="361">
        <f t="shared" si="2906"/>
        <v>3.1309313783965536</v>
      </c>
      <c r="Q2830" s="361">
        <f t="shared" si="2906"/>
        <v>4.244760216261052</v>
      </c>
      <c r="R2830" s="361">
        <f t="shared" si="2906"/>
        <v>5.7548336631958197</v>
      </c>
      <c r="S2830" s="361">
        <f t="shared" si="2906"/>
        <v>7.8021157388775944</v>
      </c>
      <c r="T2830" s="361">
        <f t="shared" si="2906"/>
        <v>10.577718412983112</v>
      </c>
      <c r="U2830" s="361">
        <f t="shared" si="2906"/>
        <v>14.340741738401601</v>
      </c>
      <c r="V2830" s="362">
        <f t="shared" si="2906"/>
        <v>19.442460611837628</v>
      </c>
      <c r="X2830" s="351"/>
    </row>
    <row r="2831" spans="3:24" ht="24.75" customHeight="1" x14ac:dyDescent="0.3">
      <c r="C2831" s="353">
        <f>ABS(E2831-Dashboard!$F$14)</f>
        <v>55.575311890846017</v>
      </c>
      <c r="D2831" s="350">
        <f t="shared" ref="D2831:D2894" si="2907">D2830+0.0001</f>
        <v>0.35584999999997607</v>
      </c>
      <c r="E2831" s="359" cm="1">
        <f t="array" ref="E2831">1000*SUM('DRE + DCF'!$L$36/M2831,'DRE + DCF'!$N$36:$V$36/N2831:V2831,F2831/V2831)/Dashboard!$F$11</f>
        <v>41.414688109153978</v>
      </c>
      <c r="F2831" s="359">
        <f t="shared" si="2905"/>
        <v>7239807.050686596</v>
      </c>
      <c r="G2831" s="359">
        <f>'DRE + DCF'!$W$31</f>
        <v>2791623.3540418856</v>
      </c>
      <c r="H2831" s="359">
        <f>'DRE + DCF'!$W$32</f>
        <v>81081.931703745853</v>
      </c>
      <c r="I2831" s="359">
        <f>-H2831*('DRE + DCF'!$V$33+K2831)/'DRE + DCF'!$V$33</f>
        <v>-90858.801614444121</v>
      </c>
      <c r="J2831" s="359">
        <f>-'DRE + DCF'!$V$56*L2831</f>
        <v>-1188924.4255577971</v>
      </c>
      <c r="K2831" s="360">
        <f>(1+L2831)/(1+Ke!$O$12)-1</f>
        <v>2.0000000000000018E-2</v>
      </c>
      <c r="L2831" s="360">
        <f>'DRE + DCF'!$Y$31</f>
        <v>7.3550000000000004E-2</v>
      </c>
      <c r="M2831" s="361">
        <f>(1+D2831)^((5-Dashboard!$F$9)*3/12)</f>
        <v>1.256489124972052</v>
      </c>
      <c r="N2831" s="361">
        <f t="shared" ref="N2831:V2831" si="2908">M2831*(1+$D2831)</f>
        <v>1.7036107800933267</v>
      </c>
      <c r="O2831" s="361">
        <f t="shared" si="2908"/>
        <v>2.3098406761894963</v>
      </c>
      <c r="P2831" s="361">
        <f t="shared" si="2908"/>
        <v>3.131797480811473</v>
      </c>
      <c r="Q2831" s="361">
        <f t="shared" si="2908"/>
        <v>4.2462476143581602</v>
      </c>
      <c r="R2831" s="361">
        <f t="shared" si="2908"/>
        <v>5.75727482792741</v>
      </c>
      <c r="S2831" s="361">
        <f t="shared" si="2908"/>
        <v>7.8060010754452405</v>
      </c>
      <c r="T2831" s="361">
        <f t="shared" si="2908"/>
        <v>10.583766558142242</v>
      </c>
      <c r="U2831" s="361">
        <f t="shared" si="2908"/>
        <v>14.349999887856905</v>
      </c>
      <c r="V2831" s="362">
        <f t="shared" si="2908"/>
        <v>19.456447347950441</v>
      </c>
      <c r="X2831" s="351"/>
    </row>
    <row r="2832" spans="3:24" ht="24.75" customHeight="1" x14ac:dyDescent="0.3">
      <c r="C2832" s="353">
        <f>ABS(E2832-Dashboard!$F$14)</f>
        <v>55.592663823684887</v>
      </c>
      <c r="D2832" s="350">
        <f t="shared" si="2907"/>
        <v>0.35594999999997606</v>
      </c>
      <c r="E2832" s="359" cm="1">
        <f t="array" ref="E2832">1000*SUM('DRE + DCF'!$L$36/M2832,'DRE + DCF'!$N$36:$V$36/N2832:V2832,F2832/V2832)/Dashboard!$F$11</f>
        <v>41.397336176315108</v>
      </c>
      <c r="F2832" s="359">
        <f t="shared" si="2905"/>
        <v>7237551.4934137315</v>
      </c>
      <c r="G2832" s="359">
        <f>'DRE + DCF'!$W$31</f>
        <v>2791623.3540418856</v>
      </c>
      <c r="H2832" s="359">
        <f>'DRE + DCF'!$W$32</f>
        <v>81081.931703745853</v>
      </c>
      <c r="I2832" s="359">
        <f>-H2832*('DRE + DCF'!$V$33+K2832)/'DRE + DCF'!$V$33</f>
        <v>-90858.801614444121</v>
      </c>
      <c r="J2832" s="359">
        <f>-'DRE + DCF'!$V$56*L2832</f>
        <v>-1188924.4255577971</v>
      </c>
      <c r="K2832" s="360">
        <f>(1+L2832)/(1+Ke!$O$12)-1</f>
        <v>2.0000000000000018E-2</v>
      </c>
      <c r="L2832" s="360">
        <f>'DRE + DCF'!$Y$31</f>
        <v>7.3550000000000004E-2</v>
      </c>
      <c r="M2832" s="361">
        <f>(1+D2832)^((5-Dashboard!$F$9)*3/12)</f>
        <v>1.2565586280996859</v>
      </c>
      <c r="N2832" s="361">
        <f t="shared" ref="N2832:V2832" si="2909">M2832*(1+$D2832)</f>
        <v>1.7038306717717389</v>
      </c>
      <c r="O2832" s="361">
        <f t="shared" si="2909"/>
        <v>2.3103091993888483</v>
      </c>
      <c r="P2832" s="361">
        <f t="shared" si="2909"/>
        <v>3.1326637589112534</v>
      </c>
      <c r="Q2832" s="361">
        <f t="shared" si="2909"/>
        <v>4.2477354238956391</v>
      </c>
      <c r="R2832" s="361">
        <f t="shared" si="2909"/>
        <v>5.7597168480311902</v>
      </c>
      <c r="S2832" s="361">
        <f t="shared" si="2909"/>
        <v>7.8098880600877543</v>
      </c>
      <c r="T2832" s="361">
        <f t="shared" si="2909"/>
        <v>10.589817715075803</v>
      </c>
      <c r="U2832" s="361">
        <f t="shared" si="2909"/>
        <v>14.359263330756781</v>
      </c>
      <c r="V2832" s="362">
        <f t="shared" si="2909"/>
        <v>19.470443113339311</v>
      </c>
      <c r="X2832" s="351"/>
    </row>
    <row r="2833" spans="3:24" ht="24.75" customHeight="1" x14ac:dyDescent="0.3">
      <c r="C2833" s="353">
        <f>ABS(E2833-Dashboard!$F$14)</f>
        <v>55.610002471765334</v>
      </c>
      <c r="D2833" s="350">
        <f t="shared" si="2907"/>
        <v>0.35604999999997605</v>
      </c>
      <c r="E2833" s="359" cm="1">
        <f t="array" ref="E2833">1000*SUM('DRE + DCF'!$L$36/M2833,'DRE + DCF'!$N$36:$V$36/N2833:V2833,F2833/V2833)/Dashboard!$F$11</f>
        <v>41.379997528234661</v>
      </c>
      <c r="F2833" s="359">
        <f t="shared" si="2905"/>
        <v>7235297.3599835178</v>
      </c>
      <c r="G2833" s="359">
        <f>'DRE + DCF'!$W$31</f>
        <v>2791623.3540418856</v>
      </c>
      <c r="H2833" s="359">
        <f>'DRE + DCF'!$W$32</f>
        <v>81081.931703745853</v>
      </c>
      <c r="I2833" s="359">
        <f>-H2833*('DRE + DCF'!$V$33+K2833)/'DRE + DCF'!$V$33</f>
        <v>-90858.801614444121</v>
      </c>
      <c r="J2833" s="359">
        <f>-'DRE + DCF'!$V$56*L2833</f>
        <v>-1188924.4255577971</v>
      </c>
      <c r="K2833" s="360">
        <f>(1+L2833)/(1+Ke!$O$12)-1</f>
        <v>2.0000000000000018E-2</v>
      </c>
      <c r="L2833" s="360">
        <f>'DRE + DCF'!$Y$31</f>
        <v>7.3550000000000004E-2</v>
      </c>
      <c r="M2833" s="361">
        <f>(1+D2833)^((5-Dashboard!$F$9)*3/12)</f>
        <v>1.2566281299458846</v>
      </c>
      <c r="N2833" s="361">
        <f t="shared" ref="N2833:V2833" si="2910">M2833*(1+$D2833)</f>
        <v>1.7040505756130866</v>
      </c>
      <c r="O2833" s="361">
        <f t="shared" si="2910"/>
        <v>2.3107777830600851</v>
      </c>
      <c r="P2833" s="361">
        <f t="shared" si="2910"/>
        <v>3.1335302127185729</v>
      </c>
      <c r="Q2833" s="361">
        <f t="shared" si="2910"/>
        <v>4.2492236449569454</v>
      </c>
      <c r="R2833" s="361">
        <f t="shared" si="2910"/>
        <v>5.7621597237437641</v>
      </c>
      <c r="S2833" s="361">
        <f t="shared" si="2910"/>
        <v>7.813776693382593</v>
      </c>
      <c r="T2833" s="361">
        <f t="shared" si="2910"/>
        <v>10.595871885061278</v>
      </c>
      <c r="U2833" s="361">
        <f t="shared" si="2910"/>
        <v>14.368532069737093</v>
      </c>
      <c r="V2833" s="362">
        <f t="shared" si="2910"/>
        <v>19.48444791316664</v>
      </c>
      <c r="X2833" s="351"/>
    </row>
    <row r="2834" spans="3:24" ht="24.75" customHeight="1" x14ac:dyDescent="0.3">
      <c r="C2834" s="353">
        <f>ABS(E2834-Dashboard!$F$14)</f>
        <v>55.627327849290538</v>
      </c>
      <c r="D2834" s="350">
        <f t="shared" si="2907"/>
        <v>0.35614999999997604</v>
      </c>
      <c r="E2834" s="359" cm="1">
        <f t="array" ref="E2834">1000*SUM('DRE + DCF'!$L$36/M2834,'DRE + DCF'!$N$36:$V$36/N2834:V2834,F2834/V2834)/Dashboard!$F$11</f>
        <v>41.362672150709457</v>
      </c>
      <c r="F2834" s="359">
        <f t="shared" si="2905"/>
        <v>7233044.6490301266</v>
      </c>
      <c r="G2834" s="359">
        <f>'DRE + DCF'!$W$31</f>
        <v>2791623.3540418856</v>
      </c>
      <c r="H2834" s="359">
        <f>'DRE + DCF'!$W$32</f>
        <v>81081.931703745853</v>
      </c>
      <c r="I2834" s="359">
        <f>-H2834*('DRE + DCF'!$V$33+K2834)/'DRE + DCF'!$V$33</f>
        <v>-90858.801614444121</v>
      </c>
      <c r="J2834" s="359">
        <f>-'DRE + DCF'!$V$56*L2834</f>
        <v>-1188924.4255577971</v>
      </c>
      <c r="K2834" s="360">
        <f>(1+L2834)/(1+Ke!$O$12)-1</f>
        <v>2.0000000000000018E-2</v>
      </c>
      <c r="L2834" s="360">
        <f>'DRE + DCF'!$Y$31</f>
        <v>7.3550000000000004E-2</v>
      </c>
      <c r="M2834" s="361">
        <f>(1+D2834)^((5-Dashboard!$F$9)*3/12)</f>
        <v>1.256697630510766</v>
      </c>
      <c r="N2834" s="361">
        <f t="shared" ref="N2834:V2834" si="2911">M2834*(1+$D2834)</f>
        <v>1.7042704916171452</v>
      </c>
      <c r="O2834" s="361">
        <f t="shared" si="2911"/>
        <v>2.3112464272065507</v>
      </c>
      <c r="P2834" s="361">
        <f t="shared" si="2911"/>
        <v>3.1343968422561082</v>
      </c>
      <c r="Q2834" s="361">
        <f t="shared" si="2911"/>
        <v>4.2507122776255457</v>
      </c>
      <c r="R2834" s="361">
        <f t="shared" si="2911"/>
        <v>5.7646034553017813</v>
      </c>
      <c r="S2834" s="361">
        <f t="shared" si="2911"/>
        <v>7.8176669759073727</v>
      </c>
      <c r="T2834" s="361">
        <f t="shared" si="2911"/>
        <v>10.601929069376595</v>
      </c>
      <c r="U2834" s="361">
        <f t="shared" si="2911"/>
        <v>14.377806107434814</v>
      </c>
      <c r="V2834" s="362">
        <f t="shared" si="2911"/>
        <v>19.498461752597379</v>
      </c>
      <c r="X2834" s="351"/>
    </row>
    <row r="2835" spans="3:24" ht="24.75" customHeight="1" x14ac:dyDescent="0.3">
      <c r="C2835" s="353">
        <f>ABS(E2835-Dashboard!$F$14)</f>
        <v>55.644639970444423</v>
      </c>
      <c r="D2835" s="350">
        <f t="shared" si="2907"/>
        <v>0.35624999999997603</v>
      </c>
      <c r="E2835" s="359" cm="1">
        <f t="array" ref="E2835">1000*SUM('DRE + DCF'!$L$36/M2835,'DRE + DCF'!$N$36:$V$36/N2835:V2835,F2835/V2835)/Dashboard!$F$11</f>
        <v>41.345360029555572</v>
      </c>
      <c r="F2835" s="359">
        <f t="shared" si="2905"/>
        <v>7230793.3591895038</v>
      </c>
      <c r="G2835" s="359">
        <f>'DRE + DCF'!$W$31</f>
        <v>2791623.3540418856</v>
      </c>
      <c r="H2835" s="359">
        <f>'DRE + DCF'!$W$32</f>
        <v>81081.931703745853</v>
      </c>
      <c r="I2835" s="359">
        <f>-H2835*('DRE + DCF'!$V$33+K2835)/'DRE + DCF'!$V$33</f>
        <v>-90858.801614444121</v>
      </c>
      <c r="J2835" s="359">
        <f>-'DRE + DCF'!$V$56*L2835</f>
        <v>-1188924.4255577971</v>
      </c>
      <c r="K2835" s="360">
        <f>(1+L2835)/(1+Ke!$O$12)-1</f>
        <v>2.0000000000000018E-2</v>
      </c>
      <c r="L2835" s="360">
        <f>'DRE + DCF'!$Y$31</f>
        <v>7.3550000000000004E-2</v>
      </c>
      <c r="M2835" s="361">
        <f>(1+D2835)^((5-Dashboard!$F$9)*3/12)</f>
        <v>1.2567671297944485</v>
      </c>
      <c r="N2835" s="361">
        <f t="shared" ref="N2835:V2835" si="2912">M2835*(1+$D2835)</f>
        <v>1.7044904197836905</v>
      </c>
      <c r="O2835" s="361">
        <f t="shared" si="2912"/>
        <v>2.3117151318315892</v>
      </c>
      <c r="P2835" s="361">
        <f t="shared" si="2912"/>
        <v>3.1352636475465374</v>
      </c>
      <c r="Q2835" s="361">
        <f t="shared" si="2912"/>
        <v>4.2522013219849164</v>
      </c>
      <c r="R2835" s="361">
        <f t="shared" si="2912"/>
        <v>5.7670480429419406</v>
      </c>
      <c r="S2835" s="361">
        <f t="shared" si="2912"/>
        <v>7.8215589082398687</v>
      </c>
      <c r="T2835" s="361">
        <f t="shared" si="2912"/>
        <v>10.607989269300134</v>
      </c>
      <c r="U2835" s="361">
        <f t="shared" si="2912"/>
        <v>14.387085446488053</v>
      </c>
      <c r="V2835" s="362">
        <f t="shared" si="2912"/>
        <v>19.512484636799076</v>
      </c>
      <c r="X2835" s="351"/>
    </row>
    <row r="2836" spans="3:24" ht="24.75" customHeight="1" x14ac:dyDescent="0.3">
      <c r="C2836" s="353">
        <f>ABS(E2836-Dashboard!$F$14)</f>
        <v>55.661938849391539</v>
      </c>
      <c r="D2836" s="350">
        <f t="shared" si="2907"/>
        <v>0.35634999999997602</v>
      </c>
      <c r="E2836" s="359" cm="1">
        <f t="array" ref="E2836">1000*SUM('DRE + DCF'!$L$36/M2836,'DRE + DCF'!$N$36:$V$36/N2836:V2836,F2836/V2836)/Dashboard!$F$11</f>
        <v>41.328061150608455</v>
      </c>
      <c r="F2836" s="359">
        <f t="shared" si="2905"/>
        <v>7228543.4890993554</v>
      </c>
      <c r="G2836" s="359">
        <f>'DRE + DCF'!$W$31</f>
        <v>2791623.3540418856</v>
      </c>
      <c r="H2836" s="359">
        <f>'DRE + DCF'!$W$32</f>
        <v>81081.931703745853</v>
      </c>
      <c r="I2836" s="359">
        <f>-H2836*('DRE + DCF'!$V$33+K2836)/'DRE + DCF'!$V$33</f>
        <v>-90858.801614444121</v>
      </c>
      <c r="J2836" s="359">
        <f>-'DRE + DCF'!$V$56*L2836</f>
        <v>-1188924.4255577971</v>
      </c>
      <c r="K2836" s="360">
        <f>(1+L2836)/(1+Ke!$O$12)-1</f>
        <v>2.0000000000000018E-2</v>
      </c>
      <c r="L2836" s="360">
        <f>'DRE + DCF'!$Y$31</f>
        <v>7.3550000000000004E-2</v>
      </c>
      <c r="M2836" s="361">
        <f>(1+D2836)^((5-Dashboard!$F$9)*3/12)</f>
        <v>1.25683662779705</v>
      </c>
      <c r="N2836" s="361">
        <f t="shared" ref="N2836:V2836" si="2913">M2836*(1+$D2836)</f>
        <v>1.7047103601124984</v>
      </c>
      <c r="O2836" s="361">
        <f t="shared" si="2913"/>
        <v>2.3121838969385462</v>
      </c>
      <c r="P2836" s="361">
        <f t="shared" si="2913"/>
        <v>3.1361306286125417</v>
      </c>
      <c r="Q2836" s="361">
        <f t="shared" si="2913"/>
        <v>4.2536907781185453</v>
      </c>
      <c r="R2836" s="361">
        <f t="shared" si="2913"/>
        <v>5.7694934869009868</v>
      </c>
      <c r="S2836" s="361">
        <f t="shared" si="2913"/>
        <v>7.825452490958015</v>
      </c>
      <c r="T2836" s="361">
        <f t="shared" si="2913"/>
        <v>10.614052486110715</v>
      </c>
      <c r="U2836" s="361">
        <f t="shared" si="2913"/>
        <v>14.396370089536013</v>
      </c>
      <c r="V2836" s="362">
        <f t="shared" si="2913"/>
        <v>19.526516570941826</v>
      </c>
      <c r="X2836" s="351"/>
    </row>
    <row r="2837" spans="3:24" ht="24.75" customHeight="1" x14ac:dyDescent="0.3">
      <c r="C2837" s="353">
        <f>ABS(E2837-Dashboard!$F$14)</f>
        <v>55.679224500277201</v>
      </c>
      <c r="D2837" s="350">
        <f t="shared" si="2907"/>
        <v>0.35644999999997601</v>
      </c>
      <c r="E2837" s="359" cm="1">
        <f t="array" ref="E2837">1000*SUM('DRE + DCF'!$L$36/M2837,'DRE + DCF'!$N$36:$V$36/N2837:V2837,F2837/V2837)/Dashboard!$F$11</f>
        <v>41.310775499722794</v>
      </c>
      <c r="F2837" s="359">
        <f t="shared" si="2905"/>
        <v>7226295.037399156</v>
      </c>
      <c r="G2837" s="359">
        <f>'DRE + DCF'!$W$31</f>
        <v>2791623.3540418856</v>
      </c>
      <c r="H2837" s="359">
        <f>'DRE + DCF'!$W$32</f>
        <v>81081.931703745853</v>
      </c>
      <c r="I2837" s="359">
        <f>-H2837*('DRE + DCF'!$V$33+K2837)/'DRE + DCF'!$V$33</f>
        <v>-90858.801614444121</v>
      </c>
      <c r="J2837" s="359">
        <f>-'DRE + DCF'!$V$56*L2837</f>
        <v>-1188924.4255577971</v>
      </c>
      <c r="K2837" s="360">
        <f>(1+L2837)/(1+Ke!$O$12)-1</f>
        <v>2.0000000000000018E-2</v>
      </c>
      <c r="L2837" s="360">
        <f>'DRE + DCF'!$Y$31</f>
        <v>7.3550000000000004E-2</v>
      </c>
      <c r="M2837" s="361">
        <f>(1+D2837)^((5-Dashboard!$F$9)*3/12)</f>
        <v>1.2569061245186886</v>
      </c>
      <c r="N2837" s="361">
        <f t="shared" ref="N2837:V2837" si="2914">M2837*(1+$D2837)</f>
        <v>1.7049303126033448</v>
      </c>
      <c r="O2837" s="361">
        <f t="shared" si="2914"/>
        <v>2.3126527225307663</v>
      </c>
      <c r="P2837" s="361">
        <f t="shared" si="2914"/>
        <v>3.1369977854768023</v>
      </c>
      <c r="Q2837" s="361">
        <f t="shared" si="2914"/>
        <v>4.2551806461099329</v>
      </c>
      <c r="R2837" s="361">
        <f t="shared" si="2914"/>
        <v>5.7719397874157163</v>
      </c>
      <c r="S2837" s="361">
        <f t="shared" si="2914"/>
        <v>7.8293477246399092</v>
      </c>
      <c r="T2837" s="361">
        <f t="shared" si="2914"/>
        <v>10.620118721087616</v>
      </c>
      <c r="U2837" s="361">
        <f t="shared" si="2914"/>
        <v>14.405660039219041</v>
      </c>
      <c r="V2837" s="362">
        <f t="shared" si="2914"/>
        <v>19.540557560198323</v>
      </c>
      <c r="X2837" s="351"/>
    </row>
    <row r="2838" spans="3:24" ht="24.75" customHeight="1" x14ac:dyDescent="0.3">
      <c r="C2838" s="353">
        <f>ABS(E2838-Dashboard!$F$14)</f>
        <v>55.696496937227458</v>
      </c>
      <c r="D2838" s="350">
        <f t="shared" si="2907"/>
        <v>0.356549999999976</v>
      </c>
      <c r="E2838" s="359" cm="1">
        <f t="array" ref="E2838">1000*SUM('DRE + DCF'!$L$36/M2838,'DRE + DCF'!$N$36:$V$36/N2838:V2838,F2838/V2838)/Dashboard!$F$11</f>
        <v>41.293503062772537</v>
      </c>
      <c r="F2838" s="359">
        <f t="shared" si="2905"/>
        <v>7224048.0027301349</v>
      </c>
      <c r="G2838" s="359">
        <f>'DRE + DCF'!$W$31</f>
        <v>2791623.3540418856</v>
      </c>
      <c r="H2838" s="359">
        <f>'DRE + DCF'!$W$32</f>
        <v>81081.931703745853</v>
      </c>
      <c r="I2838" s="359">
        <f>-H2838*('DRE + DCF'!$V$33+K2838)/'DRE + DCF'!$V$33</f>
        <v>-90858.801614444121</v>
      </c>
      <c r="J2838" s="359">
        <f>-'DRE + DCF'!$V$56*L2838</f>
        <v>-1188924.4255577971</v>
      </c>
      <c r="K2838" s="360">
        <f>(1+L2838)/(1+Ke!$O$12)-1</f>
        <v>2.0000000000000018E-2</v>
      </c>
      <c r="L2838" s="360">
        <f>'DRE + DCF'!$Y$31</f>
        <v>7.3550000000000004E-2</v>
      </c>
      <c r="M2838" s="361">
        <f>(1+D2838)^((5-Dashboard!$F$9)*3/12)</f>
        <v>1.2569756199594821</v>
      </c>
      <c r="N2838" s="361">
        <f t="shared" ref="N2838:V2838" si="2915">M2838*(1+$D2838)</f>
        <v>1.7051502772560052</v>
      </c>
      <c r="O2838" s="361">
        <f t="shared" si="2915"/>
        <v>2.3131216086115929</v>
      </c>
      <c r="P2838" s="361">
        <f t="shared" si="2915"/>
        <v>3.1378651181620008</v>
      </c>
      <c r="Q2838" s="361">
        <f t="shared" si="2915"/>
        <v>4.2566709260425863</v>
      </c>
      <c r="R2838" s="361">
        <f t="shared" si="2915"/>
        <v>5.7743869447229681</v>
      </c>
      <c r="S2838" s="361">
        <f t="shared" si="2915"/>
        <v>7.8332446098638036</v>
      </c>
      <c r="T2838" s="361">
        <f t="shared" si="2915"/>
        <v>10.626187975510554</v>
      </c>
      <c r="U2838" s="361">
        <f t="shared" si="2915"/>
        <v>14.414955298178587</v>
      </c>
      <c r="V2838" s="362">
        <f t="shared" si="2915"/>
        <v>19.554607609743815</v>
      </c>
      <c r="X2838" s="351"/>
    </row>
    <row r="2839" spans="3:24" ht="24.75" customHeight="1" x14ac:dyDescent="0.3">
      <c r="C2839" s="353">
        <f>ABS(E2839-Dashboard!$F$14)</f>
        <v>55.713756174349157</v>
      </c>
      <c r="D2839" s="350">
        <f t="shared" si="2907"/>
        <v>0.35664999999997599</v>
      </c>
      <c r="E2839" s="359" cm="1">
        <f t="array" ref="E2839">1000*SUM('DRE + DCF'!$L$36/M2839,'DRE + DCF'!$N$36:$V$36/N2839:V2839,F2839/V2839)/Dashboard!$F$11</f>
        <v>41.276243825650837</v>
      </c>
      <c r="F2839" s="359">
        <f t="shared" si="2905"/>
        <v>7221802.3837352823</v>
      </c>
      <c r="G2839" s="359">
        <f>'DRE + DCF'!$W$31</f>
        <v>2791623.3540418856</v>
      </c>
      <c r="H2839" s="359">
        <f>'DRE + DCF'!$W$32</f>
        <v>81081.931703745853</v>
      </c>
      <c r="I2839" s="359">
        <f>-H2839*('DRE + DCF'!$V$33+K2839)/'DRE + DCF'!$V$33</f>
        <v>-90858.801614444121</v>
      </c>
      <c r="J2839" s="359">
        <f>-'DRE + DCF'!$V$56*L2839</f>
        <v>-1188924.4255577971</v>
      </c>
      <c r="K2839" s="360">
        <f>(1+L2839)/(1+Ke!$O$12)-1</f>
        <v>2.0000000000000018E-2</v>
      </c>
      <c r="L2839" s="360">
        <f>'DRE + DCF'!$Y$31</f>
        <v>7.3550000000000004E-2</v>
      </c>
      <c r="M2839" s="361">
        <f>(1+D2839)^((5-Dashboard!$F$9)*3/12)</f>
        <v>1.2570451141195491</v>
      </c>
      <c r="N2839" s="361">
        <f t="shared" ref="N2839:V2839" si="2916">M2839*(1+$D2839)</f>
        <v>1.705370254070256</v>
      </c>
      <c r="O2839" s="361">
        <f t="shared" si="2916"/>
        <v>2.3135905551843718</v>
      </c>
      <c r="P2839" s="361">
        <f t="shared" si="2916"/>
        <v>3.1387326266908224</v>
      </c>
      <c r="Q2839" s="361">
        <f t="shared" si="2916"/>
        <v>4.2581616180000283</v>
      </c>
      <c r="R2839" s="361">
        <f t="shared" si="2916"/>
        <v>5.7768349590596362</v>
      </c>
      <c r="S2839" s="361">
        <f t="shared" si="2916"/>
        <v>7.8371431472081161</v>
      </c>
      <c r="T2839" s="361">
        <f t="shared" si="2916"/>
        <v>10.632260250659701</v>
      </c>
      <c r="U2839" s="361">
        <f t="shared" si="2916"/>
        <v>14.424255869057228</v>
      </c>
      <c r="V2839" s="362">
        <f t="shared" si="2916"/>
        <v>19.568666724756142</v>
      </c>
      <c r="X2839" s="351"/>
    </row>
    <row r="2840" spans="3:24" ht="24.75" customHeight="1" x14ac:dyDescent="0.3">
      <c r="C2840" s="353">
        <f>ABS(E2840-Dashboard!$F$14)</f>
        <v>55.731002225729981</v>
      </c>
      <c r="D2840" s="350">
        <f t="shared" si="2907"/>
        <v>0.35674999999997598</v>
      </c>
      <c r="E2840" s="359" cm="1">
        <f t="array" ref="E2840">1000*SUM('DRE + DCF'!$L$36/M2840,'DRE + DCF'!$N$36:$V$36/N2840:V2840,F2840/V2840)/Dashboard!$F$11</f>
        <v>41.258997774270014</v>
      </c>
      <c r="F2840" s="359">
        <f t="shared" si="2905"/>
        <v>7219558.1790593425</v>
      </c>
      <c r="G2840" s="359">
        <f>'DRE + DCF'!$W$31</f>
        <v>2791623.3540418856</v>
      </c>
      <c r="H2840" s="359">
        <f>'DRE + DCF'!$W$32</f>
        <v>81081.931703745853</v>
      </c>
      <c r="I2840" s="359">
        <f>-H2840*('DRE + DCF'!$V$33+K2840)/'DRE + DCF'!$V$33</f>
        <v>-90858.801614444121</v>
      </c>
      <c r="J2840" s="359">
        <f>-'DRE + DCF'!$V$56*L2840</f>
        <v>-1188924.4255577971</v>
      </c>
      <c r="K2840" s="360">
        <f>(1+L2840)/(1+Ke!$O$12)-1</f>
        <v>2.0000000000000018E-2</v>
      </c>
      <c r="L2840" s="360">
        <f>'DRE + DCF'!$Y$31</f>
        <v>7.3550000000000004E-2</v>
      </c>
      <c r="M2840" s="361">
        <f>(1+D2840)^((5-Dashboard!$F$9)*3/12)</f>
        <v>1.2571146069990069</v>
      </c>
      <c r="N2840" s="361">
        <f t="shared" ref="N2840:V2840" si="2917">M2840*(1+$D2840)</f>
        <v>1.7055902430458723</v>
      </c>
      <c r="O2840" s="361">
        <f t="shared" si="2917"/>
        <v>2.3140595622524462</v>
      </c>
      <c r="P2840" s="361">
        <f t="shared" si="2917"/>
        <v>3.1396003110859505</v>
      </c>
      <c r="Q2840" s="361">
        <f t="shared" si="2917"/>
        <v>4.2596527220657876</v>
      </c>
      <c r="R2840" s="361">
        <f t="shared" si="2917"/>
        <v>5.7792838306626546</v>
      </c>
      <c r="S2840" s="361">
        <f t="shared" si="2917"/>
        <v>7.8410433372514179</v>
      </c>
      <c r="T2840" s="361">
        <f t="shared" si="2917"/>
        <v>10.638335547815672</v>
      </c>
      <c r="U2840" s="361">
        <f t="shared" si="2917"/>
        <v>14.433561754498657</v>
      </c>
      <c r="V2840" s="362">
        <f t="shared" si="2917"/>
        <v>19.582734910415706</v>
      </c>
      <c r="X2840" s="351"/>
    </row>
    <row r="2841" spans="3:24" ht="24.75" customHeight="1" x14ac:dyDescent="0.3">
      <c r="C2841" s="353">
        <f>ABS(E2841-Dashboard!$F$14)</f>
        <v>55.748235105438447</v>
      </c>
      <c r="D2841" s="350">
        <f t="shared" si="2907"/>
        <v>0.35684999999997596</v>
      </c>
      <c r="E2841" s="359" cm="1">
        <f t="array" ref="E2841">1000*SUM('DRE + DCF'!$L$36/M2841,'DRE + DCF'!$N$36:$V$36/N2841:V2841,F2841/V2841)/Dashboard!$F$11</f>
        <v>41.241764894561548</v>
      </c>
      <c r="F2841" s="359">
        <f t="shared" si="2905"/>
        <v>7217315.3873488121</v>
      </c>
      <c r="G2841" s="359">
        <f>'DRE + DCF'!$W$31</f>
        <v>2791623.3540418856</v>
      </c>
      <c r="H2841" s="359">
        <f>'DRE + DCF'!$W$32</f>
        <v>81081.931703745853</v>
      </c>
      <c r="I2841" s="359">
        <f>-H2841*('DRE + DCF'!$V$33+K2841)/'DRE + DCF'!$V$33</f>
        <v>-90858.801614444121</v>
      </c>
      <c r="J2841" s="359">
        <f>-'DRE + DCF'!$V$56*L2841</f>
        <v>-1188924.4255577971</v>
      </c>
      <c r="K2841" s="360">
        <f>(1+L2841)/(1+Ke!$O$12)-1</f>
        <v>2.0000000000000018E-2</v>
      </c>
      <c r="L2841" s="360">
        <f>'DRE + DCF'!$Y$31</f>
        <v>7.3550000000000004E-2</v>
      </c>
      <c r="M2841" s="361">
        <f>(1+D2841)^((5-Dashboard!$F$9)*3/12)</f>
        <v>1.2571840985979741</v>
      </c>
      <c r="N2841" s="361">
        <f t="shared" ref="N2841:V2841" si="2918">M2841*(1+$D2841)</f>
        <v>1.7058102441826308</v>
      </c>
      <c r="O2841" s="361">
        <f t="shared" si="2918"/>
        <v>2.3145286298191614</v>
      </c>
      <c r="P2841" s="361">
        <f t="shared" si="2918"/>
        <v>3.1404681713700735</v>
      </c>
      <c r="Q2841" s="361">
        <f t="shared" si="2918"/>
        <v>4.2611442383234088</v>
      </c>
      <c r="R2841" s="361">
        <f t="shared" si="2918"/>
        <v>5.7817335597690143</v>
      </c>
      <c r="S2841" s="361">
        <f t="shared" si="2918"/>
        <v>7.8449451805724477</v>
      </c>
      <c r="T2841" s="361">
        <f t="shared" si="2918"/>
        <v>10.644413868259537</v>
      </c>
      <c r="U2841" s="361">
        <f t="shared" si="2918"/>
        <v>14.442872957147697</v>
      </c>
      <c r="V2841" s="362">
        <f t="shared" si="2918"/>
        <v>19.596812171905505</v>
      </c>
      <c r="X2841" s="351"/>
    </row>
    <row r="2842" spans="3:24" ht="24.75" customHeight="1" x14ac:dyDescent="0.3">
      <c r="C2842" s="353">
        <f>ABS(E2842-Dashboard!$F$14)</f>
        <v>55.765454827523918</v>
      </c>
      <c r="D2842" s="350">
        <f t="shared" si="2907"/>
        <v>0.35694999999997595</v>
      </c>
      <c r="E2842" s="359" cm="1">
        <f t="array" ref="E2842">1000*SUM('DRE + DCF'!$L$36/M2842,'DRE + DCF'!$N$36:$V$36/N2842:V2842,F2842/V2842)/Dashboard!$F$11</f>
        <v>41.224545172476077</v>
      </c>
      <c r="F2842" s="359">
        <f t="shared" si="2905"/>
        <v>7215074.007251936</v>
      </c>
      <c r="G2842" s="359">
        <f>'DRE + DCF'!$W$31</f>
        <v>2791623.3540418856</v>
      </c>
      <c r="H2842" s="359">
        <f>'DRE + DCF'!$W$32</f>
        <v>81081.931703745853</v>
      </c>
      <c r="I2842" s="359">
        <f>-H2842*('DRE + DCF'!$V$33+K2842)/'DRE + DCF'!$V$33</f>
        <v>-90858.801614444121</v>
      </c>
      <c r="J2842" s="359">
        <f>-'DRE + DCF'!$V$56*L2842</f>
        <v>-1188924.4255577971</v>
      </c>
      <c r="K2842" s="360">
        <f>(1+L2842)/(1+Ke!$O$12)-1</f>
        <v>2.0000000000000018E-2</v>
      </c>
      <c r="L2842" s="360">
        <f>'DRE + DCF'!$Y$31</f>
        <v>7.3550000000000004E-2</v>
      </c>
      <c r="M2842" s="361">
        <f>(1+D2842)^((5-Dashboard!$F$9)*3/12)</f>
        <v>1.2572535889165684</v>
      </c>
      <c r="N2842" s="361">
        <f t="shared" ref="N2842:V2842" si="2919">M2842*(1+$D2842)</f>
        <v>1.7060302574803072</v>
      </c>
      <c r="O2842" s="361">
        <f t="shared" si="2919"/>
        <v>2.3149977578878618</v>
      </c>
      <c r="P2842" s="361">
        <f t="shared" si="2919"/>
        <v>3.1413362075658782</v>
      </c>
      <c r="Q2842" s="361">
        <f t="shared" si="2919"/>
        <v>4.262636166856443</v>
      </c>
      <c r="R2842" s="361">
        <f t="shared" si="2919"/>
        <v>5.7841841466157478</v>
      </c>
      <c r="S2842" s="361">
        <f t="shared" si="2919"/>
        <v>7.8488486777500999</v>
      </c>
      <c r="T2842" s="361">
        <f t="shared" si="2919"/>
        <v>10.650495213272809</v>
      </c>
      <c r="U2842" s="361">
        <f t="shared" si="2919"/>
        <v>14.452189479650281</v>
      </c>
      <c r="V2842" s="362">
        <f t="shared" si="2919"/>
        <v>19.610898514411101</v>
      </c>
      <c r="X2842" s="351"/>
    </row>
    <row r="2843" spans="3:24" ht="24.75" customHeight="1" x14ac:dyDescent="0.3">
      <c r="C2843" s="353">
        <f>ABS(E2843-Dashboard!$F$14)</f>
        <v>55.782661406016757</v>
      </c>
      <c r="D2843" s="350">
        <f t="shared" si="2907"/>
        <v>0.35704999999997594</v>
      </c>
      <c r="E2843" s="359" cm="1">
        <f t="array" ref="E2843">1000*SUM('DRE + DCF'!$L$36/M2843,'DRE + DCF'!$N$36:$V$36/N2843:V2843,F2843/V2843)/Dashboard!$F$11</f>
        <v>41.207338593983238</v>
      </c>
      <c r="F2843" s="359">
        <f t="shared" si="2905"/>
        <v>7212834.0374187054</v>
      </c>
      <c r="G2843" s="359">
        <f>'DRE + DCF'!$W$31</f>
        <v>2791623.3540418856</v>
      </c>
      <c r="H2843" s="359">
        <f>'DRE + DCF'!$W$32</f>
        <v>81081.931703745853</v>
      </c>
      <c r="I2843" s="359">
        <f>-H2843*('DRE + DCF'!$V$33+K2843)/'DRE + DCF'!$V$33</f>
        <v>-90858.801614444121</v>
      </c>
      <c r="J2843" s="359">
        <f>-'DRE + DCF'!$V$56*L2843</f>
        <v>-1188924.4255577971</v>
      </c>
      <c r="K2843" s="360">
        <f>(1+L2843)/(1+Ke!$O$12)-1</f>
        <v>2.0000000000000018E-2</v>
      </c>
      <c r="L2843" s="360">
        <f>'DRE + DCF'!$Y$31</f>
        <v>7.3550000000000004E-2</v>
      </c>
      <c r="M2843" s="361">
        <f>(1+D2843)^((5-Dashboard!$F$9)*3/12)</f>
        <v>1.2573230779549074</v>
      </c>
      <c r="N2843" s="361">
        <f t="shared" ref="N2843:V2843" si="2920">M2843*(1+$D2843)</f>
        <v>1.7062502829386768</v>
      </c>
      <c r="O2843" s="361">
        <f t="shared" si="2920"/>
        <v>2.31546694646189</v>
      </c>
      <c r="P2843" s="361">
        <f t="shared" si="2920"/>
        <v>3.1422044196960521</v>
      </c>
      <c r="Q2843" s="361">
        <f t="shared" si="2920"/>
        <v>4.2641285077484516</v>
      </c>
      <c r="R2843" s="361">
        <f t="shared" si="2920"/>
        <v>5.7866355914399339</v>
      </c>
      <c r="S2843" s="361">
        <f t="shared" si="2920"/>
        <v>7.8527538293634231</v>
      </c>
      <c r="T2843" s="361">
        <f t="shared" si="2920"/>
        <v>10.656579584137445</v>
      </c>
      <c r="U2843" s="361">
        <f t="shared" si="2920"/>
        <v>14.461511324653463</v>
      </c>
      <c r="V2843" s="362">
        <f t="shared" si="2920"/>
        <v>19.624993943120632</v>
      </c>
      <c r="X2843" s="351"/>
    </row>
    <row r="2844" spans="3:24" ht="24.75" customHeight="1" x14ac:dyDescent="0.3">
      <c r="C2844" s="353">
        <f>ABS(E2844-Dashboard!$F$14)</f>
        <v>55.799854854928178</v>
      </c>
      <c r="D2844" s="350">
        <f t="shared" si="2907"/>
        <v>0.35714999999997593</v>
      </c>
      <c r="E2844" s="359" cm="1">
        <f t="array" ref="E2844">1000*SUM('DRE + DCF'!$L$36/M2844,'DRE + DCF'!$N$36:$V$36/N2844:V2844,F2844/V2844)/Dashboard!$F$11</f>
        <v>41.190145145071817</v>
      </c>
      <c r="F2844" s="359">
        <f t="shared" si="2905"/>
        <v>7210595.4765008539</v>
      </c>
      <c r="G2844" s="359">
        <f>'DRE + DCF'!$W$31</f>
        <v>2791623.3540418856</v>
      </c>
      <c r="H2844" s="359">
        <f>'DRE + DCF'!$W$32</f>
        <v>81081.931703745853</v>
      </c>
      <c r="I2844" s="359">
        <f>-H2844*('DRE + DCF'!$V$33+K2844)/'DRE + DCF'!$V$33</f>
        <v>-90858.801614444121</v>
      </c>
      <c r="J2844" s="359">
        <f>-'DRE + DCF'!$V$56*L2844</f>
        <v>-1188924.4255577971</v>
      </c>
      <c r="K2844" s="360">
        <f>(1+L2844)/(1+Ke!$O$12)-1</f>
        <v>2.0000000000000018E-2</v>
      </c>
      <c r="L2844" s="360">
        <f>'DRE + DCF'!$Y$31</f>
        <v>7.3550000000000004E-2</v>
      </c>
      <c r="M2844" s="361">
        <f>(1+D2844)^((5-Dashboard!$F$9)*3/12)</f>
        <v>1.2573925657131098</v>
      </c>
      <c r="N2844" s="361">
        <f t="shared" ref="N2844:V2844" si="2921">M2844*(1+$D2844)</f>
        <v>1.7064703205575165</v>
      </c>
      <c r="O2844" s="361">
        <f t="shared" si="2921"/>
        <v>2.3159361955445923</v>
      </c>
      <c r="P2844" s="361">
        <f t="shared" si="2921"/>
        <v>3.1430728077832875</v>
      </c>
      <c r="Q2844" s="361">
        <f t="shared" si="2921"/>
        <v>4.2656212610830124</v>
      </c>
      <c r="R2844" s="361">
        <f t="shared" si="2921"/>
        <v>5.7890878944787074</v>
      </c>
      <c r="S2844" s="361">
        <f t="shared" si="2921"/>
        <v>7.8566606359916378</v>
      </c>
      <c r="T2844" s="361">
        <f t="shared" si="2921"/>
        <v>10.662666982135862</v>
      </c>
      <c r="U2844" s="361">
        <f t="shared" si="2921"/>
        <v>14.470838494805427</v>
      </c>
      <c r="V2844" s="362">
        <f t="shared" si="2921"/>
        <v>19.639098463224837</v>
      </c>
      <c r="X2844" s="351"/>
    </row>
    <row r="2845" spans="3:24" ht="24.75" customHeight="1" x14ac:dyDescent="0.3">
      <c r="C2845" s="353">
        <f>ABS(E2845-Dashboard!$F$14)</f>
        <v>55.817035188250486</v>
      </c>
      <c r="D2845" s="350">
        <f t="shared" si="2907"/>
        <v>0.35724999999997592</v>
      </c>
      <c r="E2845" s="359" cm="1">
        <f t="array" ref="E2845">1000*SUM('DRE + DCF'!$L$36/M2845,'DRE + DCF'!$N$36:$V$36/N2845:V2845,F2845/V2845)/Dashboard!$F$11</f>
        <v>41.172964811749509</v>
      </c>
      <c r="F2845" s="359">
        <f t="shared" si="2905"/>
        <v>7208358.3231518548</v>
      </c>
      <c r="G2845" s="359">
        <f>'DRE + DCF'!$W$31</f>
        <v>2791623.3540418856</v>
      </c>
      <c r="H2845" s="359">
        <f>'DRE + DCF'!$W$32</f>
        <v>81081.931703745853</v>
      </c>
      <c r="I2845" s="359">
        <f>-H2845*('DRE + DCF'!$V$33+K2845)/'DRE + DCF'!$V$33</f>
        <v>-90858.801614444121</v>
      </c>
      <c r="J2845" s="359">
        <f>-'DRE + DCF'!$V$56*L2845</f>
        <v>-1188924.4255577971</v>
      </c>
      <c r="K2845" s="360">
        <f>(1+L2845)/(1+Ke!$O$12)-1</f>
        <v>2.0000000000000018E-2</v>
      </c>
      <c r="L2845" s="360">
        <f>'DRE + DCF'!$Y$31</f>
        <v>7.3550000000000004E-2</v>
      </c>
      <c r="M2845" s="361">
        <f>(1+D2845)^((5-Dashboard!$F$9)*3/12)</f>
        <v>1.2574620521912927</v>
      </c>
      <c r="N2845" s="361">
        <f t="shared" ref="N2845:V2845" si="2922">M2845*(1+$D2845)</f>
        <v>1.7066903703366016</v>
      </c>
      <c r="O2845" s="361">
        <f t="shared" si="2922"/>
        <v>2.3164055051393113</v>
      </c>
      <c r="P2845" s="361">
        <f t="shared" si="2922"/>
        <v>3.1439413718502744</v>
      </c>
      <c r="Q2845" s="361">
        <f t="shared" si="2922"/>
        <v>4.2671144269437091</v>
      </c>
      <c r="R2845" s="361">
        <f t="shared" si="2922"/>
        <v>5.7915410559692466</v>
      </c>
      <c r="S2845" s="361">
        <f t="shared" si="2922"/>
        <v>7.8605690982141203</v>
      </c>
      <c r="T2845" s="361">
        <f t="shared" si="2922"/>
        <v>10.668757408550926</v>
      </c>
      <c r="U2845" s="361">
        <f t="shared" si="2922"/>
        <v>14.480170992755486</v>
      </c>
      <c r="V2845" s="362">
        <f t="shared" si="2922"/>
        <v>19.653212079917033</v>
      </c>
      <c r="X2845" s="351"/>
    </row>
    <row r="2846" spans="3:24" ht="24.75" customHeight="1" x14ac:dyDescent="0.3">
      <c r="C2846" s="353">
        <f>ABS(E2846-Dashboard!$F$14)</f>
        <v>55.834202419956881</v>
      </c>
      <c r="D2846" s="350">
        <f t="shared" si="2907"/>
        <v>0.35734999999997591</v>
      </c>
      <c r="E2846" s="359" cm="1">
        <f t="array" ref="E2846">1000*SUM('DRE + DCF'!$L$36/M2846,'DRE + DCF'!$N$36:$V$36/N2846:V2846,F2846/V2846)/Dashboard!$F$11</f>
        <v>41.155797580043114</v>
      </c>
      <c r="F2846" s="359">
        <f t="shared" si="2905"/>
        <v>7206122.5760269221</v>
      </c>
      <c r="G2846" s="359">
        <f>'DRE + DCF'!$W$31</f>
        <v>2791623.3540418856</v>
      </c>
      <c r="H2846" s="359">
        <f>'DRE + DCF'!$W$32</f>
        <v>81081.931703745853</v>
      </c>
      <c r="I2846" s="359">
        <f>-H2846*('DRE + DCF'!$V$33+K2846)/'DRE + DCF'!$V$33</f>
        <v>-90858.801614444121</v>
      </c>
      <c r="J2846" s="359">
        <f>-'DRE + DCF'!$V$56*L2846</f>
        <v>-1188924.4255577971</v>
      </c>
      <c r="K2846" s="360">
        <f>(1+L2846)/(1+Ke!$O$12)-1</f>
        <v>2.0000000000000018E-2</v>
      </c>
      <c r="L2846" s="360">
        <f>'DRE + DCF'!$Y$31</f>
        <v>7.3550000000000004E-2</v>
      </c>
      <c r="M2846" s="361">
        <f>(1+D2846)^((5-Dashboard!$F$9)*3/12)</f>
        <v>1.2575315373895746</v>
      </c>
      <c r="N2846" s="361">
        <f t="shared" ref="N2846:V2846" si="2923">M2846*(1+$D2846)</f>
        <v>1.7069104322757087</v>
      </c>
      <c r="O2846" s="361">
        <f t="shared" si="2923"/>
        <v>2.316874875249392</v>
      </c>
      <c r="P2846" s="361">
        <f t="shared" si="2923"/>
        <v>3.1448101119197061</v>
      </c>
      <c r="Q2846" s="361">
        <f t="shared" si="2923"/>
        <v>4.2686080054141371</v>
      </c>
      <c r="R2846" s="361">
        <f t="shared" si="2923"/>
        <v>5.793995076148776</v>
      </c>
      <c r="S2846" s="361">
        <f t="shared" si="2923"/>
        <v>7.8644792166104009</v>
      </c>
      <c r="T2846" s="361">
        <f t="shared" si="2923"/>
        <v>10.674850864665938</v>
      </c>
      <c r="U2846" s="361">
        <f t="shared" si="2923"/>
        <v>14.489508821154054</v>
      </c>
      <c r="V2846" s="362">
        <f t="shared" si="2923"/>
        <v>19.667334798393107</v>
      </c>
      <c r="X2846" s="351"/>
    </row>
    <row r="2847" spans="3:24" ht="24.75" customHeight="1" x14ac:dyDescent="0.3">
      <c r="C2847" s="353">
        <f>ABS(E2847-Dashboard!$F$14)</f>
        <v>55.851356564001698</v>
      </c>
      <c r="D2847" s="350">
        <f t="shared" si="2907"/>
        <v>0.3574499999999759</v>
      </c>
      <c r="E2847" s="359" cm="1">
        <f t="array" ref="E2847">1000*SUM('DRE + DCF'!$L$36/M2847,'DRE + DCF'!$N$36:$V$36/N2847:V2847,F2847/V2847)/Dashboard!$F$11</f>
        <v>41.138643435998297</v>
      </c>
      <c r="F2847" s="359">
        <f t="shared" si="2905"/>
        <v>7203888.2337829992</v>
      </c>
      <c r="G2847" s="359">
        <f>'DRE + DCF'!$W$31</f>
        <v>2791623.3540418856</v>
      </c>
      <c r="H2847" s="359">
        <f>'DRE + DCF'!$W$32</f>
        <v>81081.931703745853</v>
      </c>
      <c r="I2847" s="359">
        <f>-H2847*('DRE + DCF'!$V$33+K2847)/'DRE + DCF'!$V$33</f>
        <v>-90858.801614444121</v>
      </c>
      <c r="J2847" s="359">
        <f>-'DRE + DCF'!$V$56*L2847</f>
        <v>-1188924.4255577971</v>
      </c>
      <c r="K2847" s="360">
        <f>(1+L2847)/(1+Ke!$O$12)-1</f>
        <v>2.0000000000000018E-2</v>
      </c>
      <c r="L2847" s="360">
        <f>'DRE + DCF'!$Y$31</f>
        <v>7.3550000000000004E-2</v>
      </c>
      <c r="M2847" s="361">
        <f>(1+D2847)^((5-Dashboard!$F$9)*3/12)</f>
        <v>1.2576010213080731</v>
      </c>
      <c r="N2847" s="361">
        <f t="shared" ref="N2847:V2847" si="2924">M2847*(1+$D2847)</f>
        <v>1.7071305063746134</v>
      </c>
      <c r="O2847" s="361">
        <f t="shared" si="2924"/>
        <v>2.3173443058781777</v>
      </c>
      <c r="P2847" s="361">
        <f t="shared" si="2924"/>
        <v>3.1456790280142766</v>
      </c>
      <c r="Q2847" s="361">
        <f t="shared" si="2924"/>
        <v>4.2701019965779041</v>
      </c>
      <c r="R2847" s="361">
        <f t="shared" si="2924"/>
        <v>5.7964499552545732</v>
      </c>
      <c r="S2847" s="361">
        <f t="shared" si="2924"/>
        <v>7.8683909917601804</v>
      </c>
      <c r="T2847" s="361">
        <f t="shared" si="2924"/>
        <v>10.680947351764667</v>
      </c>
      <c r="U2847" s="361">
        <f t="shared" si="2924"/>
        <v>14.498851982652688</v>
      </c>
      <c r="V2847" s="362">
        <f t="shared" si="2924"/>
        <v>19.681466623851541</v>
      </c>
      <c r="X2847" s="351"/>
    </row>
    <row r="2848" spans="3:24" ht="24.75" customHeight="1" x14ac:dyDescent="0.3">
      <c r="C2848" s="353">
        <f>ABS(E2848-Dashboard!$F$14)</f>
        <v>55.868497634320264</v>
      </c>
      <c r="D2848" s="350">
        <f t="shared" si="2907"/>
        <v>0.35754999999997589</v>
      </c>
      <c r="E2848" s="359" cm="1">
        <f t="array" ref="E2848">1000*SUM('DRE + DCF'!$L$36/M2848,'DRE + DCF'!$N$36:$V$36/N2848:V2848,F2848/V2848)/Dashboard!$F$11</f>
        <v>41.121502365679731</v>
      </c>
      <c r="F2848" s="359">
        <f t="shared" si="2905"/>
        <v>7201655.2950787675</v>
      </c>
      <c r="G2848" s="359">
        <f>'DRE + DCF'!$W$31</f>
        <v>2791623.3540418856</v>
      </c>
      <c r="H2848" s="359">
        <f>'DRE + DCF'!$W$32</f>
        <v>81081.931703745853</v>
      </c>
      <c r="I2848" s="359">
        <f>-H2848*('DRE + DCF'!$V$33+K2848)/'DRE + DCF'!$V$33</f>
        <v>-90858.801614444121</v>
      </c>
      <c r="J2848" s="359">
        <f>-'DRE + DCF'!$V$56*L2848</f>
        <v>-1188924.4255577971</v>
      </c>
      <c r="K2848" s="360">
        <f>(1+L2848)/(1+Ke!$O$12)-1</f>
        <v>2.0000000000000018E-2</v>
      </c>
      <c r="L2848" s="360">
        <f>'DRE + DCF'!$Y$31</f>
        <v>7.3550000000000004E-2</v>
      </c>
      <c r="M2848" s="361">
        <f>(1+D2848)^((5-Dashboard!$F$9)*3/12)</f>
        <v>1.257670503946906</v>
      </c>
      <c r="N2848" s="361">
        <f t="shared" ref="N2848:V2848" si="2925">M2848*(1+$D2848)</f>
        <v>1.7073505926330919</v>
      </c>
      <c r="O2848" s="361">
        <f t="shared" si="2925"/>
        <v>2.3178137970290127</v>
      </c>
      <c r="P2848" s="361">
        <f t="shared" si="2925"/>
        <v>3.1465481201566803</v>
      </c>
      <c r="Q2848" s="361">
        <f t="shared" si="2925"/>
        <v>4.2715964005186251</v>
      </c>
      <c r="R2848" s="361">
        <f t="shared" si="2925"/>
        <v>5.798905693523956</v>
      </c>
      <c r="S2848" s="361">
        <f t="shared" si="2925"/>
        <v>7.872304424243306</v>
      </c>
      <c r="T2848" s="361">
        <f t="shared" si="2925"/>
        <v>10.68704687113131</v>
      </c>
      <c r="U2848" s="361">
        <f t="shared" si="2925"/>
        <v>14.508200479904051</v>
      </c>
      <c r="V2848" s="362">
        <f t="shared" si="2925"/>
        <v>19.695607561493393</v>
      </c>
      <c r="X2848" s="351"/>
    </row>
    <row r="2849" spans="3:24" ht="24.75" customHeight="1" x14ac:dyDescent="0.3">
      <c r="C2849" s="353">
        <f>ABS(E2849-Dashboard!$F$14)</f>
        <v>55.885625644829041</v>
      </c>
      <c r="D2849" s="350">
        <f t="shared" si="2907"/>
        <v>0.35764999999997588</v>
      </c>
      <c r="E2849" s="359" cm="1">
        <f t="array" ref="E2849">1000*SUM('DRE + DCF'!$L$36/M2849,'DRE + DCF'!$N$36:$V$36/N2849:V2849,F2849/V2849)/Dashboard!$F$11</f>
        <v>41.104374355170954</v>
      </c>
      <c r="F2849" s="359">
        <f t="shared" si="2905"/>
        <v>7199423.7585746311</v>
      </c>
      <c r="G2849" s="359">
        <f>'DRE + DCF'!$W$31</f>
        <v>2791623.3540418856</v>
      </c>
      <c r="H2849" s="359">
        <f>'DRE + DCF'!$W$32</f>
        <v>81081.931703745853</v>
      </c>
      <c r="I2849" s="359">
        <f>-H2849*('DRE + DCF'!$V$33+K2849)/'DRE + DCF'!$V$33</f>
        <v>-90858.801614444121</v>
      </c>
      <c r="J2849" s="359">
        <f>-'DRE + DCF'!$V$56*L2849</f>
        <v>-1188924.4255577971</v>
      </c>
      <c r="K2849" s="360">
        <f>(1+L2849)/(1+Ke!$O$12)-1</f>
        <v>2.0000000000000018E-2</v>
      </c>
      <c r="L2849" s="360">
        <f>'DRE + DCF'!$Y$31</f>
        <v>7.3550000000000004E-2</v>
      </c>
      <c r="M2849" s="361">
        <f>(1+D2849)^((5-Dashboard!$F$9)*3/12)</f>
        <v>1.2577399853061912</v>
      </c>
      <c r="N2849" s="361">
        <f t="shared" ref="N2849:V2849" si="2926">M2849*(1+$D2849)</f>
        <v>1.7075706910509201</v>
      </c>
      <c r="O2849" s="361">
        <f t="shared" si="2926"/>
        <v>2.3182833487052403</v>
      </c>
      <c r="P2849" s="361">
        <f t="shared" si="2926"/>
        <v>3.1474173883696133</v>
      </c>
      <c r="Q2849" s="361">
        <f t="shared" si="2926"/>
        <v>4.2730912173199291</v>
      </c>
      <c r="R2849" s="361">
        <f t="shared" si="2926"/>
        <v>5.8013622911942981</v>
      </c>
      <c r="S2849" s="361">
        <f t="shared" si="2926"/>
        <v>7.8762195146397982</v>
      </c>
      <c r="T2849" s="361">
        <f t="shared" si="2926"/>
        <v>10.693149424050532</v>
      </c>
      <c r="U2849" s="361">
        <f t="shared" si="2926"/>
        <v>14.517554315561945</v>
      </c>
      <c r="V2849" s="362">
        <f t="shared" si="2926"/>
        <v>19.709757616522324</v>
      </c>
      <c r="X2849" s="351"/>
    </row>
    <row r="2850" spans="3:24" ht="24.75" customHeight="1" x14ac:dyDescent="0.3">
      <c r="C2850" s="353">
        <f>ABS(E2850-Dashboard!$F$14)</f>
        <v>55.902740609425699</v>
      </c>
      <c r="D2850" s="350">
        <f t="shared" si="2907"/>
        <v>0.35774999999997587</v>
      </c>
      <c r="E2850" s="359" cm="1">
        <f t="array" ref="E2850">1000*SUM('DRE + DCF'!$L$36/M2850,'DRE + DCF'!$N$36:$V$36/N2850:V2850,F2850/V2850)/Dashboard!$F$11</f>
        <v>41.087259390574296</v>
      </c>
      <c r="F2850" s="359">
        <f t="shared" si="2905"/>
        <v>7197193.6229327256</v>
      </c>
      <c r="G2850" s="359">
        <f>'DRE + DCF'!$W$31</f>
        <v>2791623.3540418856</v>
      </c>
      <c r="H2850" s="359">
        <f>'DRE + DCF'!$W$32</f>
        <v>81081.931703745853</v>
      </c>
      <c r="I2850" s="359">
        <f>-H2850*('DRE + DCF'!$V$33+K2850)/'DRE + DCF'!$V$33</f>
        <v>-90858.801614444121</v>
      </c>
      <c r="J2850" s="359">
        <f>-'DRE + DCF'!$V$56*L2850</f>
        <v>-1188924.4255577971</v>
      </c>
      <c r="K2850" s="360">
        <f>(1+L2850)/(1+Ke!$O$12)-1</f>
        <v>2.0000000000000018E-2</v>
      </c>
      <c r="L2850" s="360">
        <f>'DRE + DCF'!$Y$31</f>
        <v>7.3550000000000004E-2</v>
      </c>
      <c r="M2850" s="361">
        <f>(1+D2850)^((5-Dashboard!$F$9)*3/12)</f>
        <v>1.2578094653860465</v>
      </c>
      <c r="N2850" s="361">
        <f t="shared" ref="N2850:V2850" si="2927">M2850*(1+$D2850)</f>
        <v>1.7077908016278742</v>
      </c>
      <c r="O2850" s="361">
        <f t="shared" si="2927"/>
        <v>2.3187529609102051</v>
      </c>
      <c r="P2850" s="361">
        <f t="shared" si="2927"/>
        <v>3.1482868326757747</v>
      </c>
      <c r="Q2850" s="361">
        <f t="shared" si="2927"/>
        <v>4.2745864470654569</v>
      </c>
      <c r="R2850" s="361">
        <f t="shared" si="2927"/>
        <v>5.8038197485030203</v>
      </c>
      <c r="S2850" s="361">
        <f t="shared" si="2927"/>
        <v>7.8801362635298355</v>
      </c>
      <c r="T2850" s="361">
        <f t="shared" si="2927"/>
        <v>10.699255011807443</v>
      </c>
      <c r="U2850" s="361">
        <f t="shared" si="2927"/>
        <v>14.526913492281297</v>
      </c>
      <c r="V2850" s="362">
        <f t="shared" si="2927"/>
        <v>19.723916794144579</v>
      </c>
      <c r="X2850" s="351"/>
    </row>
    <row r="2851" spans="3:24" ht="24.75" customHeight="1" x14ac:dyDescent="0.3">
      <c r="C2851" s="353">
        <f>ABS(E2851-Dashboard!$F$14)</f>
        <v>55.919842541988949</v>
      </c>
      <c r="D2851" s="350">
        <f t="shared" si="2907"/>
        <v>0.35784999999997585</v>
      </c>
      <c r="E2851" s="359" cm="1">
        <f t="array" ref="E2851">1000*SUM('DRE + DCF'!$L$36/M2851,'DRE + DCF'!$N$36:$V$36/N2851:V2851,F2851/V2851)/Dashboard!$F$11</f>
        <v>41.070157458011046</v>
      </c>
      <c r="F2851" s="359">
        <f t="shared" si="2905"/>
        <v>7194964.8868169067</v>
      </c>
      <c r="G2851" s="359">
        <f>'DRE + DCF'!$W$31</f>
        <v>2791623.3540418856</v>
      </c>
      <c r="H2851" s="359">
        <f>'DRE + DCF'!$W$32</f>
        <v>81081.931703745853</v>
      </c>
      <c r="I2851" s="359">
        <f>-H2851*('DRE + DCF'!$V$33+K2851)/'DRE + DCF'!$V$33</f>
        <v>-90858.801614444121</v>
      </c>
      <c r="J2851" s="359">
        <f>-'DRE + DCF'!$V$56*L2851</f>
        <v>-1188924.4255577971</v>
      </c>
      <c r="K2851" s="360">
        <f>(1+L2851)/(1+Ke!$O$12)-1</f>
        <v>2.0000000000000018E-2</v>
      </c>
      <c r="L2851" s="360">
        <f>'DRE + DCF'!$Y$31</f>
        <v>7.3550000000000004E-2</v>
      </c>
      <c r="M2851" s="361">
        <f>(1+D2851)^((5-Dashboard!$F$9)*3/12)</f>
        <v>1.2578789441865899</v>
      </c>
      <c r="N2851" s="361">
        <f t="shared" ref="N2851:V2851" si="2928">M2851*(1+$D2851)</f>
        <v>1.7080109243637307</v>
      </c>
      <c r="O2851" s="361">
        <f t="shared" si="2928"/>
        <v>2.3192226336472506</v>
      </c>
      <c r="P2851" s="361">
        <f t="shared" si="2928"/>
        <v>3.1491564530978629</v>
      </c>
      <c r="Q2851" s="361">
        <f t="shared" si="2928"/>
        <v>4.276082089838857</v>
      </c>
      <c r="R2851" s="361">
        <f t="shared" si="2928"/>
        <v>5.8062780656875885</v>
      </c>
      <c r="S2851" s="361">
        <f t="shared" si="2928"/>
        <v>7.8840546714937512</v>
      </c>
      <c r="T2851" s="361">
        <f t="shared" si="2928"/>
        <v>10.705363635687599</v>
      </c>
      <c r="U2851" s="361">
        <f t="shared" si="2928"/>
        <v>14.536278012718148</v>
      </c>
      <c r="V2851" s="362">
        <f t="shared" si="2928"/>
        <v>19.738085099568984</v>
      </c>
      <c r="X2851" s="351"/>
    </row>
    <row r="2852" spans="3:24" ht="24.75" customHeight="1" x14ac:dyDescent="0.3">
      <c r="C2852" s="353">
        <f>ABS(E2852-Dashboard!$F$14)</f>
        <v>55.936931456378773</v>
      </c>
      <c r="D2852" s="350">
        <f t="shared" si="2907"/>
        <v>0.35794999999997584</v>
      </c>
      <c r="E2852" s="359" cm="1">
        <f t="array" ref="E2852">1000*SUM('DRE + DCF'!$L$36/M2852,'DRE + DCF'!$N$36:$V$36/N2852:V2852,F2852/V2852)/Dashboard!$F$11</f>
        <v>41.053068543621222</v>
      </c>
      <c r="F2852" s="359">
        <f t="shared" si="2905"/>
        <v>7192737.5488927513</v>
      </c>
      <c r="G2852" s="359">
        <f>'DRE + DCF'!$W$31</f>
        <v>2791623.3540418856</v>
      </c>
      <c r="H2852" s="359">
        <f>'DRE + DCF'!$W$32</f>
        <v>81081.931703745853</v>
      </c>
      <c r="I2852" s="359">
        <f>-H2852*('DRE + DCF'!$V$33+K2852)/'DRE + DCF'!$V$33</f>
        <v>-90858.801614444121</v>
      </c>
      <c r="J2852" s="359">
        <f>-'DRE + DCF'!$V$56*L2852</f>
        <v>-1188924.4255577971</v>
      </c>
      <c r="K2852" s="360">
        <f>(1+L2852)/(1+Ke!$O$12)-1</f>
        <v>2.0000000000000018E-2</v>
      </c>
      <c r="L2852" s="360">
        <f>'DRE + DCF'!$Y$31</f>
        <v>7.3550000000000004E-2</v>
      </c>
      <c r="M2852" s="361">
        <f>(1+D2852)^((5-Dashboard!$F$9)*3/12)</f>
        <v>1.2579484217079389</v>
      </c>
      <c r="N2852" s="361">
        <f t="shared" ref="N2852:V2852" si="2929">M2852*(1+$D2852)</f>
        <v>1.708231059258265</v>
      </c>
      <c r="O2852" s="361">
        <f t="shared" si="2929"/>
        <v>2.3196923669197198</v>
      </c>
      <c r="P2852" s="361">
        <f t="shared" si="2929"/>
        <v>3.1500262496585774</v>
      </c>
      <c r="Q2852" s="361">
        <f t="shared" si="2929"/>
        <v>4.2775781457237887</v>
      </c>
      <c r="R2852" s="361">
        <f t="shared" si="2929"/>
        <v>5.8087372429855151</v>
      </c>
      <c r="S2852" s="361">
        <f t="shared" si="2929"/>
        <v>7.8879747391120398</v>
      </c>
      <c r="T2852" s="361">
        <f t="shared" si="2929"/>
        <v>10.711475296977003</v>
      </c>
      <c r="U2852" s="361">
        <f t="shared" si="2929"/>
        <v>14.545647879529662</v>
      </c>
      <c r="V2852" s="362">
        <f t="shared" si="2929"/>
        <v>19.752262538006953</v>
      </c>
      <c r="X2852" s="351"/>
    </row>
    <row r="2853" spans="3:24" ht="24.75" customHeight="1" x14ac:dyDescent="0.3">
      <c r="C2853" s="353">
        <f>ABS(E2853-Dashboard!$F$14)</f>
        <v>55.954007366436358</v>
      </c>
      <c r="D2853" s="350">
        <f t="shared" si="2907"/>
        <v>0.35804999999997583</v>
      </c>
      <c r="E2853" s="359" cm="1">
        <f t="array" ref="E2853">1000*SUM('DRE + DCF'!$L$36/M2853,'DRE + DCF'!$N$36:$V$36/N2853:V2853,F2853/V2853)/Dashboard!$F$11</f>
        <v>41.035992633563637</v>
      </c>
      <c r="F2853" s="359">
        <f t="shared" si="2905"/>
        <v>7190511.6078275554</v>
      </c>
      <c r="G2853" s="359">
        <f>'DRE + DCF'!$W$31</f>
        <v>2791623.3540418856</v>
      </c>
      <c r="H2853" s="359">
        <f>'DRE + DCF'!$W$32</f>
        <v>81081.931703745853</v>
      </c>
      <c r="I2853" s="359">
        <f>-H2853*('DRE + DCF'!$V$33+K2853)/'DRE + DCF'!$V$33</f>
        <v>-90858.801614444121</v>
      </c>
      <c r="J2853" s="359">
        <f>-'DRE + DCF'!$V$56*L2853</f>
        <v>-1188924.4255577971</v>
      </c>
      <c r="K2853" s="360">
        <f>(1+L2853)/(1+Ke!$O$12)-1</f>
        <v>2.0000000000000018E-2</v>
      </c>
      <c r="L2853" s="360">
        <f>'DRE + DCF'!$Y$31</f>
        <v>7.3550000000000004E-2</v>
      </c>
      <c r="M2853" s="361">
        <f>(1+D2853)^((5-Dashboard!$F$9)*3/12)</f>
        <v>1.258017897950211</v>
      </c>
      <c r="N2853" s="361">
        <f t="shared" ref="N2853:V2853" si="2930">M2853*(1+$D2853)</f>
        <v>1.7084512063112536</v>
      </c>
      <c r="O2853" s="361">
        <f t="shared" si="2930"/>
        <v>2.3201621607309564</v>
      </c>
      <c r="P2853" s="361">
        <f t="shared" si="2930"/>
        <v>3.1508962223806192</v>
      </c>
      <c r="Q2853" s="361">
        <f t="shared" si="2930"/>
        <v>4.2790746148039238</v>
      </c>
      <c r="R2853" s="361">
        <f t="shared" si="2930"/>
        <v>5.8111972806343655</v>
      </c>
      <c r="S2853" s="361">
        <f t="shared" si="2930"/>
        <v>7.8918964669653588</v>
      </c>
      <c r="T2853" s="361">
        <f t="shared" si="2930"/>
        <v>10.717589996962115</v>
      </c>
      <c r="U2853" s="361">
        <f t="shared" si="2930"/>
        <v>14.555023095374141</v>
      </c>
      <c r="V2853" s="362">
        <f t="shared" si="2930"/>
        <v>19.766449114672501</v>
      </c>
      <c r="X2853" s="351"/>
    </row>
    <row r="2854" spans="3:24" ht="24.75" customHeight="1" x14ac:dyDescent="0.3">
      <c r="C2854" s="353">
        <f>ABS(E2854-Dashboard!$F$14)</f>
        <v>55.971070285984176</v>
      </c>
      <c r="D2854" s="350">
        <f t="shared" si="2907"/>
        <v>0.35814999999997582</v>
      </c>
      <c r="E2854" s="359" cm="1">
        <f t="array" ref="E2854">1000*SUM('DRE + DCF'!$L$36/M2854,'DRE + DCF'!$N$36:$V$36/N2854:V2854,F2854/V2854)/Dashboard!$F$11</f>
        <v>41.018929714015819</v>
      </c>
      <c r="F2854" s="359">
        <f t="shared" si="2905"/>
        <v>7188287.0622903276</v>
      </c>
      <c r="G2854" s="359">
        <f>'DRE + DCF'!$W$31</f>
        <v>2791623.3540418856</v>
      </c>
      <c r="H2854" s="359">
        <f>'DRE + DCF'!$W$32</f>
        <v>81081.931703745853</v>
      </c>
      <c r="I2854" s="359">
        <f>-H2854*('DRE + DCF'!$V$33+K2854)/'DRE + DCF'!$V$33</f>
        <v>-90858.801614444121</v>
      </c>
      <c r="J2854" s="359">
        <f>-'DRE + DCF'!$V$56*L2854</f>
        <v>-1188924.4255577971</v>
      </c>
      <c r="K2854" s="360">
        <f>(1+L2854)/(1+Ke!$O$12)-1</f>
        <v>2.0000000000000018E-2</v>
      </c>
      <c r="L2854" s="360">
        <f>'DRE + DCF'!$Y$31</f>
        <v>7.3550000000000004E-2</v>
      </c>
      <c r="M2854" s="361">
        <f>(1+D2854)^((5-Dashboard!$F$9)*3/12)</f>
        <v>1.2580873729135245</v>
      </c>
      <c r="N2854" s="361">
        <f t="shared" ref="N2854:V2854" si="2931">M2854*(1+$D2854)</f>
        <v>1.7086713655224728</v>
      </c>
      <c r="O2854" s="361">
        <f t="shared" si="2931"/>
        <v>2.3206320150843052</v>
      </c>
      <c r="P2854" s="361">
        <f t="shared" si="2931"/>
        <v>3.1517663712866928</v>
      </c>
      <c r="Q2854" s="361">
        <f t="shared" si="2931"/>
        <v>4.2805714971629456</v>
      </c>
      <c r="R2854" s="361">
        <f t="shared" si="2931"/>
        <v>5.8136581788717505</v>
      </c>
      <c r="S2854" s="361">
        <f t="shared" si="2931"/>
        <v>7.8958198556345272</v>
      </c>
      <c r="T2854" s="361">
        <f t="shared" si="2931"/>
        <v>10.723707736929843</v>
      </c>
      <c r="U2854" s="361">
        <f t="shared" si="2931"/>
        <v>14.564403662911007</v>
      </c>
      <c r="V2854" s="362">
        <f t="shared" si="2931"/>
        <v>19.78064483478223</v>
      </c>
      <c r="X2854" s="351"/>
    </row>
    <row r="2855" spans="3:24" ht="24.75" customHeight="1" x14ac:dyDescent="0.3">
      <c r="C2855" s="353">
        <f>ABS(E2855-Dashboard!$F$14)</f>
        <v>55.988120228825977</v>
      </c>
      <c r="D2855" s="350">
        <f t="shared" si="2907"/>
        <v>0.35824999999997581</v>
      </c>
      <c r="E2855" s="359" cm="1">
        <f t="array" ref="E2855">1000*SUM('DRE + DCF'!$L$36/M2855,'DRE + DCF'!$N$36:$V$36/N2855:V2855,F2855/V2855)/Dashboard!$F$11</f>
        <v>41.001879771174018</v>
      </c>
      <c r="F2855" s="359">
        <f t="shared" si="2905"/>
        <v>7186063.9109517913</v>
      </c>
      <c r="G2855" s="359">
        <f>'DRE + DCF'!$W$31</f>
        <v>2791623.3540418856</v>
      </c>
      <c r="H2855" s="359">
        <f>'DRE + DCF'!$W$32</f>
        <v>81081.931703745853</v>
      </c>
      <c r="I2855" s="359">
        <f>-H2855*('DRE + DCF'!$V$33+K2855)/'DRE + DCF'!$V$33</f>
        <v>-90858.801614444121</v>
      </c>
      <c r="J2855" s="359">
        <f>-'DRE + DCF'!$V$56*L2855</f>
        <v>-1188924.4255577971</v>
      </c>
      <c r="K2855" s="360">
        <f>(1+L2855)/(1+Ke!$O$12)-1</f>
        <v>2.0000000000000018E-2</v>
      </c>
      <c r="L2855" s="360">
        <f>'DRE + DCF'!$Y$31</f>
        <v>7.3550000000000004E-2</v>
      </c>
      <c r="M2855" s="361">
        <f>(1+D2855)^((5-Dashboard!$F$9)*3/12)</f>
        <v>1.2581568465979969</v>
      </c>
      <c r="N2855" s="361">
        <f t="shared" ref="N2855:V2855" si="2932">M2855*(1+$D2855)</f>
        <v>1.7088915368916988</v>
      </c>
      <c r="O2855" s="361">
        <f t="shared" si="2932"/>
        <v>2.3211019299831084</v>
      </c>
      <c r="P2855" s="361">
        <f t="shared" si="2932"/>
        <v>3.1526366963995005</v>
      </c>
      <c r="Q2855" s="361">
        <f t="shared" si="2932"/>
        <v>4.2820687928845453</v>
      </c>
      <c r="R2855" s="361">
        <f t="shared" si="2932"/>
        <v>5.8161199379353299</v>
      </c>
      <c r="S2855" s="361">
        <f t="shared" si="2932"/>
        <v>7.8997449057005209</v>
      </c>
      <c r="T2855" s="361">
        <f t="shared" si="2932"/>
        <v>10.72982851816754</v>
      </c>
      <c r="U2855" s="361">
        <f t="shared" si="2932"/>
        <v>14.573789584800801</v>
      </c>
      <c r="V2855" s="362">
        <f t="shared" si="2932"/>
        <v>19.794849703555336</v>
      </c>
      <c r="X2855" s="351"/>
    </row>
    <row r="2856" spans="3:24" ht="24.75" customHeight="1" x14ac:dyDescent="0.3">
      <c r="C2856" s="353">
        <f>ABS(E2856-Dashboard!$F$14)</f>
        <v>56.005157208746802</v>
      </c>
      <c r="D2856" s="350">
        <f t="shared" si="2907"/>
        <v>0.3583499999999758</v>
      </c>
      <c r="E2856" s="359" cm="1">
        <f t="array" ref="E2856">1000*SUM('DRE + DCF'!$L$36/M2856,'DRE + DCF'!$N$36:$V$36/N2856:V2856,F2856/V2856)/Dashboard!$F$11</f>
        <v>40.984842791253193</v>
      </c>
      <c r="F2856" s="359">
        <f t="shared" si="2905"/>
        <v>7183842.1524843769</v>
      </c>
      <c r="G2856" s="359">
        <f>'DRE + DCF'!$W$31</f>
        <v>2791623.3540418856</v>
      </c>
      <c r="H2856" s="359">
        <f>'DRE + DCF'!$W$32</f>
        <v>81081.931703745853</v>
      </c>
      <c r="I2856" s="359">
        <f>-H2856*('DRE + DCF'!$V$33+K2856)/'DRE + DCF'!$V$33</f>
        <v>-90858.801614444121</v>
      </c>
      <c r="J2856" s="359">
        <f>-'DRE + DCF'!$V$56*L2856</f>
        <v>-1188924.4255577971</v>
      </c>
      <c r="K2856" s="360">
        <f>(1+L2856)/(1+Ke!$O$12)-1</f>
        <v>2.0000000000000018E-2</v>
      </c>
      <c r="L2856" s="360">
        <f>'DRE + DCF'!$Y$31</f>
        <v>7.3550000000000004E-2</v>
      </c>
      <c r="M2856" s="361">
        <f>(1+D2856)^((5-Dashboard!$F$9)*3/12)</f>
        <v>1.2582263190037457</v>
      </c>
      <c r="N2856" s="361">
        <f t="shared" ref="N2856:V2856" si="2933">M2856*(1+$D2856)</f>
        <v>1.7091117204187074</v>
      </c>
      <c r="O2856" s="361">
        <f t="shared" si="2933"/>
        <v>2.3215719054307096</v>
      </c>
      <c r="P2856" s="361">
        <f t="shared" si="2933"/>
        <v>3.1535071977417481</v>
      </c>
      <c r="Q2856" s="361">
        <f t="shared" si="2933"/>
        <v>4.2835665020524267</v>
      </c>
      <c r="R2856" s="361">
        <f t="shared" si="2933"/>
        <v>5.8185825580628103</v>
      </c>
      <c r="S2856" s="361">
        <f t="shared" si="2933"/>
        <v>7.903671617744477</v>
      </c>
      <c r="T2856" s="361">
        <f t="shared" si="2933"/>
        <v>10.735952341963019</v>
      </c>
      <c r="U2856" s="361">
        <f t="shared" si="2933"/>
        <v>14.583180863705206</v>
      </c>
      <c r="V2856" s="362">
        <f t="shared" si="2933"/>
        <v>19.809063726213612</v>
      </c>
      <c r="X2856" s="351"/>
    </row>
    <row r="2857" spans="3:24" ht="24.75" customHeight="1" x14ac:dyDescent="0.3">
      <c r="C2857" s="353">
        <f>ABS(E2857-Dashboard!$F$14)</f>
        <v>56.02218123951311</v>
      </c>
      <c r="D2857" s="350">
        <f t="shared" si="2907"/>
        <v>0.35844999999997579</v>
      </c>
      <c r="E2857" s="359" cm="1">
        <f t="array" ref="E2857">1000*SUM('DRE + DCF'!$L$36/M2857,'DRE + DCF'!$N$36:$V$36/N2857:V2857,F2857/V2857)/Dashboard!$F$11</f>
        <v>40.967818760486885</v>
      </c>
      <c r="F2857" s="359">
        <f t="shared" si="2905"/>
        <v>7181621.7855622228</v>
      </c>
      <c r="G2857" s="359">
        <f>'DRE + DCF'!$W$31</f>
        <v>2791623.3540418856</v>
      </c>
      <c r="H2857" s="359">
        <f>'DRE + DCF'!$W$32</f>
        <v>81081.931703745853</v>
      </c>
      <c r="I2857" s="359">
        <f>-H2857*('DRE + DCF'!$V$33+K2857)/'DRE + DCF'!$V$33</f>
        <v>-90858.801614444121</v>
      </c>
      <c r="J2857" s="359">
        <f>-'DRE + DCF'!$V$56*L2857</f>
        <v>-1188924.4255577971</v>
      </c>
      <c r="K2857" s="360">
        <f>(1+L2857)/(1+Ke!$O$12)-1</f>
        <v>2.0000000000000018E-2</v>
      </c>
      <c r="L2857" s="360">
        <f>'DRE + DCF'!$Y$31</f>
        <v>7.3550000000000004E-2</v>
      </c>
      <c r="M2857" s="361">
        <f>(1+D2857)^((5-Dashboard!$F$9)*3/12)</f>
        <v>1.2582957901308889</v>
      </c>
      <c r="N2857" s="361">
        <f t="shared" ref="N2857:V2857" si="2934">M2857*(1+$D2857)</f>
        <v>1.7093319161032754</v>
      </c>
      <c r="O2857" s="361">
        <f t="shared" si="2934"/>
        <v>2.3220419414304532</v>
      </c>
      <c r="P2857" s="361">
        <f t="shared" si="2934"/>
        <v>3.1543778753361429</v>
      </c>
      <c r="Q2857" s="361">
        <f t="shared" si="2934"/>
        <v>4.2850646247503068</v>
      </c>
      <c r="R2857" s="361">
        <f t="shared" si="2934"/>
        <v>5.8210460394919501</v>
      </c>
      <c r="S2857" s="361">
        <f t="shared" si="2934"/>
        <v>7.9075999923476985</v>
      </c>
      <c r="T2857" s="361">
        <f t="shared" si="2934"/>
        <v>10.742079209604539</v>
      </c>
      <c r="U2857" s="361">
        <f t="shared" si="2934"/>
        <v>14.592577502287025</v>
      </c>
      <c r="V2857" s="362">
        <f t="shared" si="2934"/>
        <v>19.823286907981455</v>
      </c>
      <c r="X2857" s="351"/>
    </row>
    <row r="2858" spans="3:24" ht="24.75" customHeight="1" x14ac:dyDescent="0.3">
      <c r="C2858" s="353">
        <f>ABS(E2858-Dashboard!$F$14)</f>
        <v>56.039192334872652</v>
      </c>
      <c r="D2858" s="350">
        <f t="shared" si="2907"/>
        <v>0.35854999999997578</v>
      </c>
      <c r="E2858" s="359" cm="1">
        <f t="array" ref="E2858">1000*SUM('DRE + DCF'!$L$36/M2858,'DRE + DCF'!$N$36:$V$36/N2858:V2858,F2858/V2858)/Dashboard!$F$11</f>
        <v>40.950807665127343</v>
      </c>
      <c r="F2858" s="359">
        <f t="shared" si="2905"/>
        <v>7179402.808861169</v>
      </c>
      <c r="G2858" s="359">
        <f>'DRE + DCF'!$W$31</f>
        <v>2791623.3540418856</v>
      </c>
      <c r="H2858" s="359">
        <f>'DRE + DCF'!$W$32</f>
        <v>81081.931703745853</v>
      </c>
      <c r="I2858" s="359">
        <f>-H2858*('DRE + DCF'!$V$33+K2858)/'DRE + DCF'!$V$33</f>
        <v>-90858.801614444121</v>
      </c>
      <c r="J2858" s="359">
        <f>-'DRE + DCF'!$V$56*L2858</f>
        <v>-1188924.4255577971</v>
      </c>
      <c r="K2858" s="360">
        <f>(1+L2858)/(1+Ke!$O$12)-1</f>
        <v>2.0000000000000018E-2</v>
      </c>
      <c r="L2858" s="360">
        <f>'DRE + DCF'!$Y$31</f>
        <v>7.3550000000000004E-2</v>
      </c>
      <c r="M2858" s="361">
        <f>(1+D2858)^((5-Dashboard!$F$9)*3/12)</f>
        <v>1.2583652599795438</v>
      </c>
      <c r="N2858" s="361">
        <f t="shared" ref="N2858:V2858" si="2935">M2858*(1+$D2858)</f>
        <v>1.7095521239451787</v>
      </c>
      <c r="O2858" s="361">
        <f t="shared" si="2935"/>
        <v>2.322512037985681</v>
      </c>
      <c r="P2858" s="361">
        <f t="shared" si="2935"/>
        <v>3.1552487292053906</v>
      </c>
      <c r="Q2858" s="361">
        <f t="shared" si="2935"/>
        <v>4.286563161061907</v>
      </c>
      <c r="R2858" s="361">
        <f t="shared" si="2935"/>
        <v>5.8235103824605501</v>
      </c>
      <c r="S2858" s="361">
        <f t="shared" si="2935"/>
        <v>7.9115300300916394</v>
      </c>
      <c r="T2858" s="361">
        <f t="shared" si="2935"/>
        <v>10.748209122380805</v>
      </c>
      <c r="U2858" s="361">
        <f t="shared" si="2935"/>
        <v>14.601979503210181</v>
      </c>
      <c r="V2858" s="362">
        <f t="shared" si="2935"/>
        <v>19.837519254085837</v>
      </c>
      <c r="X2858" s="351"/>
    </row>
    <row r="2859" spans="3:24" ht="24.75" customHeight="1" x14ac:dyDescent="0.3">
      <c r="C2859" s="353">
        <f>ABS(E2859-Dashboard!$F$14)</f>
        <v>56.056190508554671</v>
      </c>
      <c r="D2859" s="350">
        <f t="shared" si="2907"/>
        <v>0.35864999999997577</v>
      </c>
      <c r="E2859" s="359" cm="1">
        <f t="array" ref="E2859">1000*SUM('DRE + DCF'!$L$36/M2859,'DRE + DCF'!$N$36:$V$36/N2859:V2859,F2859/V2859)/Dashboard!$F$11</f>
        <v>40.933809491445324</v>
      </c>
      <c r="F2859" s="359">
        <f t="shared" si="2905"/>
        <v>7177185.2210587617</v>
      </c>
      <c r="G2859" s="359">
        <f>'DRE + DCF'!$W$31</f>
        <v>2791623.3540418856</v>
      </c>
      <c r="H2859" s="359">
        <f>'DRE + DCF'!$W$32</f>
        <v>81081.931703745853</v>
      </c>
      <c r="I2859" s="359">
        <f>-H2859*('DRE + DCF'!$V$33+K2859)/'DRE + DCF'!$V$33</f>
        <v>-90858.801614444121</v>
      </c>
      <c r="J2859" s="359">
        <f>-'DRE + DCF'!$V$56*L2859</f>
        <v>-1188924.4255577971</v>
      </c>
      <c r="K2859" s="360">
        <f>(1+L2859)/(1+Ke!$O$12)-1</f>
        <v>2.0000000000000018E-2</v>
      </c>
      <c r="L2859" s="360">
        <f>'DRE + DCF'!$Y$31</f>
        <v>7.3550000000000004E-2</v>
      </c>
      <c r="M2859" s="361">
        <f>(1+D2859)^((5-Dashboard!$F$9)*3/12)</f>
        <v>1.2584347285498283</v>
      </c>
      <c r="N2859" s="361">
        <f t="shared" ref="N2859:V2859" si="2936">M2859*(1+$D2859)</f>
        <v>1.7097723439441936</v>
      </c>
      <c r="O2859" s="361">
        <f t="shared" si="2936"/>
        <v>2.3229821950997374</v>
      </c>
      <c r="P2859" s="361">
        <f t="shared" si="2936"/>
        <v>3.1561197593722019</v>
      </c>
      <c r="Q2859" s="361">
        <f t="shared" si="2936"/>
        <v>4.2880621110709658</v>
      </c>
      <c r="R2859" s="361">
        <f t="shared" si="2936"/>
        <v>5.8259755872064636</v>
      </c>
      <c r="S2859" s="361">
        <f t="shared" si="2936"/>
        <v>7.9154617315579205</v>
      </c>
      <c r="T2859" s="361">
        <f t="shared" si="2936"/>
        <v>10.754342081580976</v>
      </c>
      <c r="U2859" s="361">
        <f t="shared" si="2936"/>
        <v>14.611386869139732</v>
      </c>
      <c r="V2859" s="362">
        <f t="shared" si="2936"/>
        <v>19.851760769756343</v>
      </c>
      <c r="X2859" s="351"/>
    </row>
    <row r="2860" spans="3:24" ht="24.75" customHeight="1" x14ac:dyDescent="0.3">
      <c r="C2860" s="353">
        <f>ABS(E2860-Dashboard!$F$14)</f>
        <v>56.073175774269799</v>
      </c>
      <c r="D2860" s="350">
        <f t="shared" si="2907"/>
        <v>0.35874999999997575</v>
      </c>
      <c r="E2860" s="359" cm="1">
        <f t="array" ref="E2860">1000*SUM('DRE + DCF'!$L$36/M2860,'DRE + DCF'!$N$36:$V$36/N2860:V2860,F2860/V2860)/Dashboard!$F$11</f>
        <v>40.916824225730196</v>
      </c>
      <c r="F2860" s="359">
        <f t="shared" si="2905"/>
        <v>7174969.0208342383</v>
      </c>
      <c r="G2860" s="359">
        <f>'DRE + DCF'!$W$31</f>
        <v>2791623.3540418856</v>
      </c>
      <c r="H2860" s="359">
        <f>'DRE + DCF'!$W$32</f>
        <v>81081.931703745853</v>
      </c>
      <c r="I2860" s="359">
        <f>-H2860*('DRE + DCF'!$V$33+K2860)/'DRE + DCF'!$V$33</f>
        <v>-90858.801614444121</v>
      </c>
      <c r="J2860" s="359">
        <f>-'DRE + DCF'!$V$56*L2860</f>
        <v>-1188924.4255577971</v>
      </c>
      <c r="K2860" s="360">
        <f>(1+L2860)/(1+Ke!$O$12)-1</f>
        <v>2.0000000000000018E-2</v>
      </c>
      <c r="L2860" s="360">
        <f>'DRE + DCF'!$Y$31</f>
        <v>7.3550000000000004E-2</v>
      </c>
      <c r="M2860" s="361">
        <f>(1+D2860)^((5-Dashboard!$F$9)*3/12)</f>
        <v>1.2585041958418599</v>
      </c>
      <c r="N2860" s="361">
        <f t="shared" ref="N2860:V2860" si="2937">M2860*(1+$D2860)</f>
        <v>1.7099925761000965</v>
      </c>
      <c r="O2860" s="361">
        <f t="shared" si="2937"/>
        <v>2.3234524127759646</v>
      </c>
      <c r="P2860" s="361">
        <f t="shared" si="2937"/>
        <v>3.1569909658592854</v>
      </c>
      <c r="Q2860" s="361">
        <f t="shared" si="2937"/>
        <v>4.2895614748612276</v>
      </c>
      <c r="R2860" s="361">
        <f t="shared" si="2937"/>
        <v>5.8284416539675892</v>
      </c>
      <c r="S2860" s="361">
        <f t="shared" si="2937"/>
        <v>7.9193950973283203</v>
      </c>
      <c r="T2860" s="361">
        <f t="shared" si="2937"/>
        <v>10.760478088494663</v>
      </c>
      <c r="U2860" s="361">
        <f t="shared" si="2937"/>
        <v>14.620799602741862</v>
      </c>
      <c r="V2860" s="362">
        <f t="shared" si="2937"/>
        <v>19.866011460225149</v>
      </c>
      <c r="X2860" s="351"/>
    </row>
    <row r="2861" spans="3:24" ht="24.75" customHeight="1" x14ac:dyDescent="0.3">
      <c r="C2861" s="353">
        <f>ABS(E2861-Dashboard!$F$14)</f>
        <v>56.090148145710195</v>
      </c>
      <c r="D2861" s="350">
        <f t="shared" si="2907"/>
        <v>0.35884999999997574</v>
      </c>
      <c r="E2861" s="359" cm="1">
        <f t="array" ref="E2861">1000*SUM('DRE + DCF'!$L$36/M2861,'DRE + DCF'!$N$36:$V$36/N2861:V2861,F2861/V2861)/Dashboard!$F$11</f>
        <v>40.8998518542898</v>
      </c>
      <c r="F2861" s="359">
        <f t="shared" si="2905"/>
        <v>7172754.2068685368</v>
      </c>
      <c r="G2861" s="359">
        <f>'DRE + DCF'!$W$31</f>
        <v>2791623.3540418856</v>
      </c>
      <c r="H2861" s="359">
        <f>'DRE + DCF'!$W$32</f>
        <v>81081.931703745853</v>
      </c>
      <c r="I2861" s="359">
        <f>-H2861*('DRE + DCF'!$V$33+K2861)/'DRE + DCF'!$V$33</f>
        <v>-90858.801614444121</v>
      </c>
      <c r="J2861" s="359">
        <f>-'DRE + DCF'!$V$56*L2861</f>
        <v>-1188924.4255577971</v>
      </c>
      <c r="K2861" s="360">
        <f>(1+L2861)/(1+Ke!$O$12)-1</f>
        <v>2.0000000000000018E-2</v>
      </c>
      <c r="L2861" s="360">
        <f>'DRE + DCF'!$Y$31</f>
        <v>7.3550000000000004E-2</v>
      </c>
      <c r="M2861" s="361">
        <f>(1+D2861)^((5-Dashboard!$F$9)*3/12)</f>
        <v>1.2585736618557561</v>
      </c>
      <c r="N2861" s="361">
        <f t="shared" ref="N2861:V2861" si="2938">M2861*(1+$D2861)</f>
        <v>1.7102128204126636</v>
      </c>
      <c r="O2861" s="361">
        <f t="shared" si="2938"/>
        <v>2.3239226910177062</v>
      </c>
      <c r="P2861" s="361">
        <f t="shared" si="2938"/>
        <v>3.1578623486893536</v>
      </c>
      <c r="Q2861" s="361">
        <f t="shared" si="2938"/>
        <v>4.2910612525164513</v>
      </c>
      <c r="R2861" s="361">
        <f t="shared" si="2938"/>
        <v>5.8309085829818752</v>
      </c>
      <c r="S2861" s="361">
        <f t="shared" si="2938"/>
        <v>7.9233301279847792</v>
      </c>
      <c r="T2861" s="361">
        <f t="shared" si="2938"/>
        <v>10.766617144411924</v>
      </c>
      <c r="U2861" s="361">
        <f t="shared" si="2938"/>
        <v>14.630217706683881</v>
      </c>
      <c r="V2861" s="362">
        <f t="shared" si="2938"/>
        <v>19.880271330727037</v>
      </c>
      <c r="X2861" s="351"/>
    </row>
    <row r="2862" spans="3:24" ht="24.75" customHeight="1" x14ac:dyDescent="0.3">
      <c r="C2862" s="353">
        <f>ABS(E2862-Dashboard!$F$14)</f>
        <v>56.107107636549486</v>
      </c>
      <c r="D2862" s="350">
        <f t="shared" si="2907"/>
        <v>0.35894999999997573</v>
      </c>
      <c r="E2862" s="359" cm="1">
        <f t="array" ref="E2862">1000*SUM('DRE + DCF'!$L$36/M2862,'DRE + DCF'!$N$36:$V$36/N2862:V2862,F2862/V2862)/Dashboard!$F$11</f>
        <v>40.882892363450509</v>
      </c>
      <c r="F2862" s="359">
        <f t="shared" si="2905"/>
        <v>7170540.7778442875</v>
      </c>
      <c r="G2862" s="359">
        <f>'DRE + DCF'!$W$31</f>
        <v>2791623.3540418856</v>
      </c>
      <c r="H2862" s="359">
        <f>'DRE + DCF'!$W$32</f>
        <v>81081.931703745853</v>
      </c>
      <c r="I2862" s="359">
        <f>-H2862*('DRE + DCF'!$V$33+K2862)/'DRE + DCF'!$V$33</f>
        <v>-90858.801614444121</v>
      </c>
      <c r="J2862" s="359">
        <f>-'DRE + DCF'!$V$56*L2862</f>
        <v>-1188924.4255577971</v>
      </c>
      <c r="K2862" s="360">
        <f>(1+L2862)/(1+Ke!$O$12)-1</f>
        <v>2.0000000000000018E-2</v>
      </c>
      <c r="L2862" s="360">
        <f>'DRE + DCF'!$Y$31</f>
        <v>7.3550000000000004E-2</v>
      </c>
      <c r="M2862" s="361">
        <f>(1+D2862)^((5-Dashboard!$F$9)*3/12)</f>
        <v>1.2586431265916347</v>
      </c>
      <c r="N2862" s="361">
        <f t="shared" ref="N2862:V2862" si="2939">M2862*(1+$D2862)</f>
        <v>1.7104330768816713</v>
      </c>
      <c r="O2862" s="361">
        <f t="shared" si="2939"/>
        <v>2.3243930298283058</v>
      </c>
      <c r="P2862" s="361">
        <f t="shared" si="2939"/>
        <v>3.1587339078851198</v>
      </c>
      <c r="Q2862" s="361">
        <f t="shared" si="2939"/>
        <v>4.2925614441204063</v>
      </c>
      <c r="R2862" s="361">
        <f t="shared" si="2939"/>
        <v>5.8333763744873215</v>
      </c>
      <c r="S2862" s="361">
        <f t="shared" si="2939"/>
        <v>7.9272668241094033</v>
      </c>
      <c r="T2862" s="361">
        <f t="shared" si="2939"/>
        <v>10.772759250623281</v>
      </c>
      <c r="U2862" s="361">
        <f t="shared" si="2939"/>
        <v>14.639641183634245</v>
      </c>
      <c r="V2862" s="362">
        <f t="shared" si="2939"/>
        <v>19.894540386499401</v>
      </c>
      <c r="X2862" s="351"/>
    </row>
    <row r="2863" spans="3:24" ht="24.75" customHeight="1" x14ac:dyDescent="0.3">
      <c r="C2863" s="353">
        <f>ABS(E2863-Dashboard!$F$14)</f>
        <v>56.124054260442854</v>
      </c>
      <c r="D2863" s="350">
        <f t="shared" si="2907"/>
        <v>0.35904999999997572</v>
      </c>
      <c r="E2863" s="359" cm="1">
        <f t="array" ref="E2863">1000*SUM('DRE + DCF'!$L$36/M2863,'DRE + DCF'!$N$36:$V$36/N2863:V2863,F2863/V2863)/Dashboard!$F$11</f>
        <v>40.865945739557141</v>
      </c>
      <c r="F2863" s="359">
        <f t="shared" si="2905"/>
        <v>7168328.7324458081</v>
      </c>
      <c r="G2863" s="359">
        <f>'DRE + DCF'!$W$31</f>
        <v>2791623.3540418856</v>
      </c>
      <c r="H2863" s="359">
        <f>'DRE + DCF'!$W$32</f>
        <v>81081.931703745853</v>
      </c>
      <c r="I2863" s="359">
        <f>-H2863*('DRE + DCF'!$V$33+K2863)/'DRE + DCF'!$V$33</f>
        <v>-90858.801614444121</v>
      </c>
      <c r="J2863" s="359">
        <f>-'DRE + DCF'!$V$56*L2863</f>
        <v>-1188924.4255577971</v>
      </c>
      <c r="K2863" s="360">
        <f>(1+L2863)/(1+Ke!$O$12)-1</f>
        <v>2.0000000000000018E-2</v>
      </c>
      <c r="L2863" s="360">
        <f>'DRE + DCF'!$Y$31</f>
        <v>7.3550000000000004E-2</v>
      </c>
      <c r="M2863" s="361">
        <f>(1+D2863)^((5-Dashboard!$F$9)*3/12)</f>
        <v>1.2587125900496132</v>
      </c>
      <c r="N2863" s="361">
        <f t="shared" ref="N2863:V2863" si="2940">M2863*(1+$D2863)</f>
        <v>1.7106533455068962</v>
      </c>
      <c r="O2863" s="361">
        <f t="shared" si="2940"/>
        <v>2.3248634292111054</v>
      </c>
      <c r="P2863" s="361">
        <f t="shared" si="2940"/>
        <v>3.1596056434692961</v>
      </c>
      <c r="Q2863" s="361">
        <f t="shared" si="2940"/>
        <v>4.29406204975687</v>
      </c>
      <c r="R2863" s="361">
        <f t="shared" si="2940"/>
        <v>5.8358450287219696</v>
      </c>
      <c r="S2863" s="361">
        <f t="shared" si="2940"/>
        <v>7.9312051862844513</v>
      </c>
      <c r="T2863" s="361">
        <f t="shared" si="2940"/>
        <v>10.77890440841969</v>
      </c>
      <c r="U2863" s="361">
        <f t="shared" si="2940"/>
        <v>14.649070036262517</v>
      </c>
      <c r="V2863" s="362">
        <f t="shared" si="2940"/>
        <v>19.908818632782218</v>
      </c>
      <c r="X2863" s="351"/>
    </row>
    <row r="2864" spans="3:24" ht="24.75" customHeight="1" x14ac:dyDescent="0.3">
      <c r="C2864" s="353">
        <f>ABS(E2864-Dashboard!$F$14)</f>
        <v>56.140988031027014</v>
      </c>
      <c r="D2864" s="350">
        <f t="shared" si="2907"/>
        <v>0.35914999999997571</v>
      </c>
      <c r="E2864" s="359" cm="1">
        <f t="array" ref="E2864">1000*SUM('DRE + DCF'!$L$36/M2864,'DRE + DCF'!$N$36:$V$36/N2864:V2864,F2864/V2864)/Dashboard!$F$11</f>
        <v>40.849011968972981</v>
      </c>
      <c r="F2864" s="359">
        <f t="shared" si="2905"/>
        <v>7166118.069359106</v>
      </c>
      <c r="G2864" s="359">
        <f>'DRE + DCF'!$W$31</f>
        <v>2791623.3540418856</v>
      </c>
      <c r="H2864" s="359">
        <f>'DRE + DCF'!$W$32</f>
        <v>81081.931703745853</v>
      </c>
      <c r="I2864" s="359">
        <f>-H2864*('DRE + DCF'!$V$33+K2864)/'DRE + DCF'!$V$33</f>
        <v>-90858.801614444121</v>
      </c>
      <c r="J2864" s="359">
        <f>-'DRE + DCF'!$V$56*L2864</f>
        <v>-1188924.4255577971</v>
      </c>
      <c r="K2864" s="360">
        <f>(1+L2864)/(1+Ke!$O$12)-1</f>
        <v>2.0000000000000018E-2</v>
      </c>
      <c r="L2864" s="360">
        <f>'DRE + DCF'!$Y$31</f>
        <v>7.3550000000000004E-2</v>
      </c>
      <c r="M2864" s="361">
        <f>(1+D2864)^((5-Dashboard!$F$9)*3/12)</f>
        <v>1.258782052229809</v>
      </c>
      <c r="N2864" s="361">
        <f t="shared" ref="N2864:V2864" si="2941">M2864*(1+$D2864)</f>
        <v>1.7108736262881143</v>
      </c>
      <c r="O2864" s="361">
        <f t="shared" si="2941"/>
        <v>2.3253338891694488</v>
      </c>
      <c r="P2864" s="361">
        <f t="shared" si="2941"/>
        <v>3.1604775554645999</v>
      </c>
      <c r="Q2864" s="361">
        <f t="shared" si="2941"/>
        <v>4.2955630695096341</v>
      </c>
      <c r="R2864" s="361">
        <f t="shared" si="2941"/>
        <v>5.8383145459239145</v>
      </c>
      <c r="S2864" s="361">
        <f t="shared" si="2941"/>
        <v>7.935145215092346</v>
      </c>
      <c r="T2864" s="361">
        <f t="shared" si="2941"/>
        <v>10.78505261909257</v>
      </c>
      <c r="U2864" s="361">
        <f t="shared" si="2941"/>
        <v>14.658504267239403</v>
      </c>
      <c r="V2864" s="362">
        <f t="shared" si="2941"/>
        <v>19.923106074818076</v>
      </c>
      <c r="X2864" s="351"/>
    </row>
    <row r="2865" spans="3:24" ht="24.75" customHeight="1" x14ac:dyDescent="0.3">
      <c r="C2865" s="353">
        <f>ABS(E2865-Dashboard!$F$14)</f>
        <v>56.157908961920306</v>
      </c>
      <c r="D2865" s="350">
        <f t="shared" si="2907"/>
        <v>0.3592499999999757</v>
      </c>
      <c r="E2865" s="359" cm="1">
        <f t="array" ref="E2865">1000*SUM('DRE + DCF'!$L$36/M2865,'DRE + DCF'!$N$36:$V$36/N2865:V2865,F2865/V2865)/Dashboard!$F$11</f>
        <v>40.832091038079689</v>
      </c>
      <c r="F2865" s="359">
        <f t="shared" si="2905"/>
        <v>7163908.7872718722</v>
      </c>
      <c r="G2865" s="359">
        <f>'DRE + DCF'!$W$31</f>
        <v>2791623.3540418856</v>
      </c>
      <c r="H2865" s="359">
        <f>'DRE + DCF'!$W$32</f>
        <v>81081.931703745853</v>
      </c>
      <c r="I2865" s="359">
        <f>-H2865*('DRE + DCF'!$V$33+K2865)/'DRE + DCF'!$V$33</f>
        <v>-90858.801614444121</v>
      </c>
      <c r="J2865" s="359">
        <f>-'DRE + DCF'!$V$56*L2865</f>
        <v>-1188924.4255577971</v>
      </c>
      <c r="K2865" s="360">
        <f>(1+L2865)/(1+Ke!$O$12)-1</f>
        <v>2.0000000000000018E-2</v>
      </c>
      <c r="L2865" s="360">
        <f>'DRE + DCF'!$Y$31</f>
        <v>7.3550000000000004E-2</v>
      </c>
      <c r="M2865" s="361">
        <f>(1+D2865)^((5-Dashboard!$F$9)*3/12)</f>
        <v>1.2588515131323397</v>
      </c>
      <c r="N2865" s="361">
        <f t="shared" ref="N2865:V2865" si="2942">M2865*(1+$D2865)</f>
        <v>1.711093919225102</v>
      </c>
      <c r="O2865" s="361">
        <f t="shared" si="2942"/>
        <v>2.3258044097066781</v>
      </c>
      <c r="P2865" s="361">
        <f t="shared" si="2942"/>
        <v>3.1613496438937454</v>
      </c>
      <c r="Q2865" s="361">
        <f t="shared" si="2942"/>
        <v>4.2970645034624964</v>
      </c>
      <c r="R2865" s="361">
        <f t="shared" si="2942"/>
        <v>5.8407849263312936</v>
      </c>
      <c r="S2865" s="361">
        <f t="shared" si="2942"/>
        <v>7.9390869111156688</v>
      </c>
      <c r="T2865" s="361">
        <f t="shared" si="2942"/>
        <v>10.791203883933779</v>
      </c>
      <c r="U2865" s="361">
        <f t="shared" si="2942"/>
        <v>14.667943879236725</v>
      </c>
      <c r="V2865" s="362">
        <f t="shared" si="2942"/>
        <v>19.937402717852162</v>
      </c>
      <c r="X2865" s="351"/>
    </row>
    <row r="2866" spans="3:24" ht="24.75" customHeight="1" x14ac:dyDescent="0.3">
      <c r="C2866" s="353">
        <f>ABS(E2866-Dashboard!$F$14)</f>
        <v>56.17481706672271</v>
      </c>
      <c r="D2866" s="350">
        <f t="shared" si="2907"/>
        <v>0.35934999999997569</v>
      </c>
      <c r="E2866" s="359" cm="1">
        <f t="array" ref="E2866">1000*SUM('DRE + DCF'!$L$36/M2866,'DRE + DCF'!$N$36:$V$36/N2866:V2866,F2866/V2866)/Dashboard!$F$11</f>
        <v>40.815182933277285</v>
      </c>
      <c r="F2866" s="359">
        <f t="shared" si="2905"/>
        <v>7161700.8848734796</v>
      </c>
      <c r="G2866" s="359">
        <f>'DRE + DCF'!$W$31</f>
        <v>2791623.3540418856</v>
      </c>
      <c r="H2866" s="359">
        <f>'DRE + DCF'!$W$32</f>
        <v>81081.931703745853</v>
      </c>
      <c r="I2866" s="359">
        <f>-H2866*('DRE + DCF'!$V$33+K2866)/'DRE + DCF'!$V$33</f>
        <v>-90858.801614444121</v>
      </c>
      <c r="J2866" s="359">
        <f>-'DRE + DCF'!$V$56*L2866</f>
        <v>-1188924.4255577971</v>
      </c>
      <c r="K2866" s="360">
        <f>(1+L2866)/(1+Ke!$O$12)-1</f>
        <v>2.0000000000000018E-2</v>
      </c>
      <c r="L2866" s="360">
        <f>'DRE + DCF'!$Y$31</f>
        <v>7.3550000000000004E-2</v>
      </c>
      <c r="M2866" s="361">
        <f>(1+D2866)^((5-Dashboard!$F$9)*3/12)</f>
        <v>1.2589209727573227</v>
      </c>
      <c r="N2866" s="361">
        <f t="shared" ref="N2866:V2866" si="2943">M2866*(1+$D2866)</f>
        <v>1.711314224317636</v>
      </c>
      <c r="O2866" s="361">
        <f t="shared" si="2943"/>
        <v>2.3262749908261369</v>
      </c>
      <c r="P2866" s="361">
        <f t="shared" si="2943"/>
        <v>3.1622219087794523</v>
      </c>
      <c r="Q2866" s="361">
        <f t="shared" si="2943"/>
        <v>4.2985663516992716</v>
      </c>
      <c r="R2866" s="361">
        <f t="shared" si="2943"/>
        <v>5.8432561701823005</v>
      </c>
      <c r="S2866" s="361">
        <f t="shared" si="2943"/>
        <v>7.9430302749371675</v>
      </c>
      <c r="T2866" s="361">
        <f t="shared" si="2943"/>
        <v>10.797358204235644</v>
      </c>
      <c r="U2866" s="361">
        <f t="shared" si="2943"/>
        <v>14.677388874927461</v>
      </c>
      <c r="V2866" s="362">
        <f t="shared" si="2943"/>
        <v>19.951708567132286</v>
      </c>
      <c r="X2866" s="351"/>
    </row>
    <row r="2867" spans="3:24" ht="24.75" customHeight="1" x14ac:dyDescent="0.3">
      <c r="C2867" s="353">
        <f>ABS(E2867-Dashboard!$F$14)</f>
        <v>56.19171235901581</v>
      </c>
      <c r="D2867" s="350">
        <f t="shared" si="2907"/>
        <v>0.35944999999997568</v>
      </c>
      <c r="E2867" s="359" cm="1">
        <f t="array" ref="E2867">1000*SUM('DRE + DCF'!$L$36/M2867,'DRE + DCF'!$N$36:$V$36/N2867:V2867,F2867/V2867)/Dashboard!$F$11</f>
        <v>40.798287640984185</v>
      </c>
      <c r="F2867" s="359">
        <f t="shared" si="2905"/>
        <v>7159494.3608549796</v>
      </c>
      <c r="G2867" s="359">
        <f>'DRE + DCF'!$W$31</f>
        <v>2791623.3540418856</v>
      </c>
      <c r="H2867" s="359">
        <f>'DRE + DCF'!$W$32</f>
        <v>81081.931703745853</v>
      </c>
      <c r="I2867" s="359">
        <f>-H2867*('DRE + DCF'!$V$33+K2867)/'DRE + DCF'!$V$33</f>
        <v>-90858.801614444121</v>
      </c>
      <c r="J2867" s="359">
        <f>-'DRE + DCF'!$V$56*L2867</f>
        <v>-1188924.4255577971</v>
      </c>
      <c r="K2867" s="360">
        <f>(1+L2867)/(1+Ke!$O$12)-1</f>
        <v>2.0000000000000018E-2</v>
      </c>
      <c r="L2867" s="360">
        <f>'DRE + DCF'!$Y$31</f>
        <v>7.3550000000000004E-2</v>
      </c>
      <c r="M2867" s="361">
        <f>(1+D2867)^((5-Dashboard!$F$9)*3/12)</f>
        <v>1.2589904311048756</v>
      </c>
      <c r="N2867" s="361">
        <f t="shared" ref="N2867:V2867" si="2944">M2867*(1+$D2867)</f>
        <v>1.7115345415654926</v>
      </c>
      <c r="O2867" s="361">
        <f t="shared" si="2944"/>
        <v>2.3267456325311673</v>
      </c>
      <c r="P2867" s="361">
        <f t="shared" si="2944"/>
        <v>3.1630943501444388</v>
      </c>
      <c r="Q2867" s="361">
        <f t="shared" si="2944"/>
        <v>4.3000686143037798</v>
      </c>
      <c r="R2867" s="361">
        <f t="shared" si="2944"/>
        <v>5.8457282777151685</v>
      </c>
      <c r="S2867" s="361">
        <f t="shared" si="2944"/>
        <v>7.9469753071397431</v>
      </c>
      <c r="T2867" s="361">
        <f t="shared" si="2944"/>
        <v>10.803515581290929</v>
      </c>
      <c r="U2867" s="361">
        <f t="shared" si="2944"/>
        <v>14.68683925698569</v>
      </c>
      <c r="V2867" s="362">
        <f t="shared" si="2944"/>
        <v>19.966023627908839</v>
      </c>
      <c r="X2867" s="351"/>
    </row>
    <row r="2868" spans="3:24" ht="24.75" customHeight="1" x14ac:dyDescent="0.3">
      <c r="C2868" s="353">
        <f>ABS(E2868-Dashboard!$F$14)</f>
        <v>56.208594852362921</v>
      </c>
      <c r="D2868" s="350">
        <f t="shared" si="2907"/>
        <v>0.35954999999997567</v>
      </c>
      <c r="E2868" s="359" cm="1">
        <f t="array" ref="E2868">1000*SUM('DRE + DCF'!$L$36/M2868,'DRE + DCF'!$N$36:$V$36/N2868:V2868,F2868/V2868)/Dashboard!$F$11</f>
        <v>40.781405147637074</v>
      </c>
      <c r="F2868" s="359">
        <f t="shared" si="2905"/>
        <v>7157289.2139091007</v>
      </c>
      <c r="G2868" s="359">
        <f>'DRE + DCF'!$W$31</f>
        <v>2791623.3540418856</v>
      </c>
      <c r="H2868" s="359">
        <f>'DRE + DCF'!$W$32</f>
        <v>81081.931703745853</v>
      </c>
      <c r="I2868" s="359">
        <f>-H2868*('DRE + DCF'!$V$33+K2868)/'DRE + DCF'!$V$33</f>
        <v>-90858.801614444121</v>
      </c>
      <c r="J2868" s="359">
        <f>-'DRE + DCF'!$V$56*L2868</f>
        <v>-1188924.4255577971</v>
      </c>
      <c r="K2868" s="360">
        <f>(1+L2868)/(1+Ke!$O$12)-1</f>
        <v>2.0000000000000018E-2</v>
      </c>
      <c r="L2868" s="360">
        <f>'DRE + DCF'!$Y$31</f>
        <v>7.3550000000000004E-2</v>
      </c>
      <c r="M2868" s="361">
        <f>(1+D2868)^((5-Dashboard!$F$9)*3/12)</f>
        <v>1.259059888175116</v>
      </c>
      <c r="N2868" s="361">
        <f t="shared" ref="N2868:V2868" si="2945">M2868*(1+$D2868)</f>
        <v>1.7117548709684482</v>
      </c>
      <c r="O2868" s="361">
        <f t="shared" si="2945"/>
        <v>2.327216334825112</v>
      </c>
      <c r="P2868" s="361">
        <f t="shared" si="2945"/>
        <v>3.1639669680114242</v>
      </c>
      <c r="Q2868" s="361">
        <f t="shared" si="2945"/>
        <v>4.3015712913598545</v>
      </c>
      <c r="R2868" s="361">
        <f t="shared" si="2945"/>
        <v>5.8482012491681852</v>
      </c>
      <c r="S2868" s="361">
        <f t="shared" si="2945"/>
        <v>7.9509220083064633</v>
      </c>
      <c r="T2868" s="361">
        <f t="shared" si="2945"/>
        <v>10.809676016392858</v>
      </c>
      <c r="U2868" s="361">
        <f t="shared" si="2945"/>
        <v>14.696295028086647</v>
      </c>
      <c r="V2868" s="362">
        <f t="shared" si="2945"/>
        <v>19.980347905434844</v>
      </c>
      <c r="X2868" s="351"/>
    </row>
    <row r="2869" spans="3:24" ht="24.75" customHeight="1" x14ac:dyDescent="0.3">
      <c r="C2869" s="353">
        <f>ABS(E2869-Dashboard!$F$14)</f>
        <v>56.225464560309042</v>
      </c>
      <c r="D2869" s="350">
        <f t="shared" si="2907"/>
        <v>0.35964999999997566</v>
      </c>
      <c r="E2869" s="359" cm="1">
        <f t="array" ref="E2869">1000*SUM('DRE + DCF'!$L$36/M2869,'DRE + DCF'!$N$36:$V$36/N2869:V2869,F2869/V2869)/Dashboard!$F$11</f>
        <v>40.764535439690953</v>
      </c>
      <c r="F2869" s="359">
        <f t="shared" si="2905"/>
        <v>7155085.4427302461</v>
      </c>
      <c r="G2869" s="359">
        <f>'DRE + DCF'!$W$31</f>
        <v>2791623.3540418856</v>
      </c>
      <c r="H2869" s="359">
        <f>'DRE + DCF'!$W$32</f>
        <v>81081.931703745853</v>
      </c>
      <c r="I2869" s="359">
        <f>-H2869*('DRE + DCF'!$V$33+K2869)/'DRE + DCF'!$V$33</f>
        <v>-90858.801614444121</v>
      </c>
      <c r="J2869" s="359">
        <f>-'DRE + DCF'!$V$56*L2869</f>
        <v>-1188924.4255577971</v>
      </c>
      <c r="K2869" s="360">
        <f>(1+L2869)/(1+Ke!$O$12)-1</f>
        <v>2.0000000000000018E-2</v>
      </c>
      <c r="L2869" s="360">
        <f>'DRE + DCF'!$Y$31</f>
        <v>7.3550000000000004E-2</v>
      </c>
      <c r="M2869" s="361">
        <f>(1+D2869)^((5-Dashboard!$F$9)*3/12)</f>
        <v>1.2591293439681608</v>
      </c>
      <c r="N2869" s="361">
        <f t="shared" ref="N2869:V2869" si="2946">M2869*(1+$D2869)</f>
        <v>1.711975212526279</v>
      </c>
      <c r="O2869" s="361">
        <f t="shared" si="2946"/>
        <v>2.3276870977113133</v>
      </c>
      <c r="P2869" s="361">
        <f t="shared" si="2946"/>
        <v>3.1648397624031306</v>
      </c>
      <c r="Q2869" s="361">
        <f t="shared" si="2946"/>
        <v>4.3030743829513396</v>
      </c>
      <c r="R2869" s="361">
        <f t="shared" si="2946"/>
        <v>5.8506750847796836</v>
      </c>
      <c r="S2869" s="361">
        <f t="shared" si="2946"/>
        <v>7.9548703790205542</v>
      </c>
      <c r="T2869" s="361">
        <f t="shared" si="2946"/>
        <v>10.815839510835103</v>
      </c>
      <c r="U2869" s="361">
        <f t="shared" si="2946"/>
        <v>14.705756190906683</v>
      </c>
      <c r="V2869" s="362">
        <f t="shared" si="2946"/>
        <v>19.994681404965913</v>
      </c>
      <c r="X2869" s="351"/>
    </row>
    <row r="2870" spans="3:24" ht="24.75" customHeight="1" x14ac:dyDescent="0.3">
      <c r="C2870" s="353">
        <f>ABS(E2870-Dashboard!$F$14)</f>
        <v>56.242321496380974</v>
      </c>
      <c r="D2870" s="350">
        <f t="shared" si="2907"/>
        <v>0.35974999999997564</v>
      </c>
      <c r="E2870" s="359" cm="1">
        <f t="array" ref="E2870">1000*SUM('DRE + DCF'!$L$36/M2870,'DRE + DCF'!$N$36:$V$36/N2870:V2870,F2870/V2870)/Dashboard!$F$11</f>
        <v>40.747678503619021</v>
      </c>
      <c r="F2870" s="359">
        <f t="shared" si="2905"/>
        <v>7152883.0460144868</v>
      </c>
      <c r="G2870" s="359">
        <f>'DRE + DCF'!$W$31</f>
        <v>2791623.3540418856</v>
      </c>
      <c r="H2870" s="359">
        <f>'DRE + DCF'!$W$32</f>
        <v>81081.931703745853</v>
      </c>
      <c r="I2870" s="359">
        <f>-H2870*('DRE + DCF'!$V$33+K2870)/'DRE + DCF'!$V$33</f>
        <v>-90858.801614444121</v>
      </c>
      <c r="J2870" s="359">
        <f>-'DRE + DCF'!$V$56*L2870</f>
        <v>-1188924.4255577971</v>
      </c>
      <c r="K2870" s="360">
        <f>(1+L2870)/(1+Ke!$O$12)-1</f>
        <v>2.0000000000000018E-2</v>
      </c>
      <c r="L2870" s="360">
        <f>'DRE + DCF'!$Y$31</f>
        <v>7.3550000000000004E-2</v>
      </c>
      <c r="M2870" s="361">
        <f>(1+D2870)^((5-Dashboard!$F$9)*3/12)</f>
        <v>1.2591987984841282</v>
      </c>
      <c r="N2870" s="361">
        <f t="shared" ref="N2870:V2870" si="2947">M2870*(1+$D2870)</f>
        <v>1.7121955662387627</v>
      </c>
      <c r="O2870" s="361">
        <f t="shared" si="2947"/>
        <v>2.3281579211931156</v>
      </c>
      <c r="P2870" s="361">
        <f t="shared" si="2947"/>
        <v>3.1657127333422821</v>
      </c>
      <c r="Q2870" s="361">
        <f t="shared" si="2947"/>
        <v>4.3045778891620907</v>
      </c>
      <c r="R2870" s="361">
        <f t="shared" si="2947"/>
        <v>5.853149784788048</v>
      </c>
      <c r="S2870" s="361">
        <f t="shared" si="2947"/>
        <v>7.9588204198654058</v>
      </c>
      <c r="T2870" s="361">
        <f t="shared" si="2947"/>
        <v>10.822006065911792</v>
      </c>
      <c r="U2870" s="361">
        <f t="shared" si="2947"/>
        <v>14.715222748123294</v>
      </c>
      <c r="V2870" s="362">
        <f t="shared" si="2947"/>
        <v>20.009024131760288</v>
      </c>
      <c r="X2870" s="351"/>
    </row>
    <row r="2871" spans="3:24" ht="24.75" customHeight="1" x14ac:dyDescent="0.3">
      <c r="C2871" s="353">
        <f>ABS(E2871-Dashboard!$F$14)</f>
        <v>56.259165674087221</v>
      </c>
      <c r="D2871" s="350">
        <f t="shared" si="2907"/>
        <v>0.35984999999997563</v>
      </c>
      <c r="E2871" s="359" cm="1">
        <f t="array" ref="E2871">1000*SUM('DRE + DCF'!$L$36/M2871,'DRE + DCF'!$N$36:$V$36/N2871:V2871,F2871/V2871)/Dashboard!$F$11</f>
        <v>40.730834325912774</v>
      </c>
      <c r="F2871" s="359">
        <f t="shared" si="2905"/>
        <v>7150682.0224595657</v>
      </c>
      <c r="G2871" s="359">
        <f>'DRE + DCF'!$W$31</f>
        <v>2791623.3540418856</v>
      </c>
      <c r="H2871" s="359">
        <f>'DRE + DCF'!$W$32</f>
        <v>81081.931703745853</v>
      </c>
      <c r="I2871" s="359">
        <f>-H2871*('DRE + DCF'!$V$33+K2871)/'DRE + DCF'!$V$33</f>
        <v>-90858.801614444121</v>
      </c>
      <c r="J2871" s="359">
        <f>-'DRE + DCF'!$V$56*L2871</f>
        <v>-1188924.4255577971</v>
      </c>
      <c r="K2871" s="360">
        <f>(1+L2871)/(1+Ke!$O$12)-1</f>
        <v>2.0000000000000018E-2</v>
      </c>
      <c r="L2871" s="360">
        <f>'DRE + DCF'!$Y$31</f>
        <v>7.3550000000000004E-2</v>
      </c>
      <c r="M2871" s="361">
        <f>(1+D2871)^((5-Dashboard!$F$9)*3/12)</f>
        <v>1.2592682517231348</v>
      </c>
      <c r="N2871" s="361">
        <f t="shared" ref="N2871:V2871" si="2948">M2871*(1+$D2871)</f>
        <v>1.7124159321056742</v>
      </c>
      <c r="O2871" s="361">
        <f t="shared" si="2948"/>
        <v>2.3286288052738593</v>
      </c>
      <c r="P2871" s="361">
        <f t="shared" si="2948"/>
        <v>3.1665858808516005</v>
      </c>
      <c r="Q2871" s="361">
        <f t="shared" si="2948"/>
        <v>4.3060818100759715</v>
      </c>
      <c r="R2871" s="361">
        <f t="shared" si="2948"/>
        <v>5.8556253494317048</v>
      </c>
      <c r="S2871" s="361">
        <f t="shared" si="2948"/>
        <v>7.9627721314245603</v>
      </c>
      <c r="T2871" s="361">
        <f t="shared" si="2948"/>
        <v>10.828175682917493</v>
      </c>
      <c r="U2871" s="361">
        <f t="shared" si="2948"/>
        <v>14.724694702415089</v>
      </c>
      <c r="V2871" s="362">
        <f t="shared" si="2948"/>
        <v>20.023376091078799</v>
      </c>
      <c r="X2871" s="351"/>
    </row>
    <row r="2872" spans="3:24" ht="24.75" customHeight="1" x14ac:dyDescent="0.3">
      <c r="C2872" s="353">
        <f>ABS(E2872-Dashboard!$F$14)</f>
        <v>56.275997106918169</v>
      </c>
      <c r="D2872" s="350">
        <f t="shared" si="2907"/>
        <v>0.35994999999997562</v>
      </c>
      <c r="E2872" s="359" cm="1">
        <f t="array" ref="E2872">1000*SUM('DRE + DCF'!$L$36/M2872,'DRE + DCF'!$N$36:$V$36/N2872:V2872,F2872/V2872)/Dashboard!$F$11</f>
        <v>40.714002893081826</v>
      </c>
      <c r="F2872" s="359">
        <f t="shared" si="2905"/>
        <v>7148482.3707648888</v>
      </c>
      <c r="G2872" s="359">
        <f>'DRE + DCF'!$W$31</f>
        <v>2791623.3540418856</v>
      </c>
      <c r="H2872" s="359">
        <f>'DRE + DCF'!$W$32</f>
        <v>81081.931703745853</v>
      </c>
      <c r="I2872" s="359">
        <f>-H2872*('DRE + DCF'!$V$33+K2872)/'DRE + DCF'!$V$33</f>
        <v>-90858.801614444121</v>
      </c>
      <c r="J2872" s="359">
        <f>-'DRE + DCF'!$V$56*L2872</f>
        <v>-1188924.4255577971</v>
      </c>
      <c r="K2872" s="360">
        <f>(1+L2872)/(1+Ke!$O$12)-1</f>
        <v>2.0000000000000018E-2</v>
      </c>
      <c r="L2872" s="360">
        <f>'DRE + DCF'!$Y$31</f>
        <v>7.3550000000000004E-2</v>
      </c>
      <c r="M2872" s="361">
        <f>(1+D2872)^((5-Dashboard!$F$9)*3/12)</f>
        <v>1.2593377036852986</v>
      </c>
      <c r="N2872" s="361">
        <f t="shared" ref="N2872:V2872" si="2949">M2872*(1+$D2872)</f>
        <v>1.7126363101267912</v>
      </c>
      <c r="O2872" s="361">
        <f t="shared" si="2949"/>
        <v>2.329099749956888</v>
      </c>
      <c r="P2872" s="361">
        <f t="shared" si="2949"/>
        <v>3.1674592049538131</v>
      </c>
      <c r="Q2872" s="361">
        <f t="shared" si="2949"/>
        <v>4.3075861457768605</v>
      </c>
      <c r="R2872" s="361">
        <f t="shared" si="2949"/>
        <v>5.8581017789491359</v>
      </c>
      <c r="S2872" s="361">
        <f t="shared" si="2949"/>
        <v>7.9667255142817339</v>
      </c>
      <c r="T2872" s="361">
        <f t="shared" si="2949"/>
        <v>10.834348363147249</v>
      </c>
      <c r="U2872" s="361">
        <f t="shared" si="2949"/>
        <v>14.734172056461837</v>
      </c>
      <c r="V2872" s="362">
        <f t="shared" si="2949"/>
        <v>20.037737288184914</v>
      </c>
      <c r="X2872" s="351"/>
    </row>
    <row r="2873" spans="3:24" ht="24.75" customHeight="1" x14ac:dyDescent="0.3">
      <c r="C2873" s="353">
        <f>ABS(E2873-Dashboard!$F$14)</f>
        <v>56.292815808345978</v>
      </c>
      <c r="D2873" s="350">
        <f t="shared" si="2907"/>
        <v>0.36004999999997561</v>
      </c>
      <c r="E2873" s="359" cm="1">
        <f t="array" ref="E2873">1000*SUM('DRE + DCF'!$L$36/M2873,'DRE + DCF'!$N$36:$V$36/N2873:V2873,F2873/V2873)/Dashboard!$F$11</f>
        <v>40.697184191654017</v>
      </c>
      <c r="F2873" s="359">
        <f t="shared" si="2905"/>
        <v>7146284.0896315239</v>
      </c>
      <c r="G2873" s="359">
        <f>'DRE + DCF'!$W$31</f>
        <v>2791623.3540418856</v>
      </c>
      <c r="H2873" s="359">
        <f>'DRE + DCF'!$W$32</f>
        <v>81081.931703745853</v>
      </c>
      <c r="I2873" s="359">
        <f>-H2873*('DRE + DCF'!$V$33+K2873)/'DRE + DCF'!$V$33</f>
        <v>-90858.801614444121</v>
      </c>
      <c r="J2873" s="359">
        <f>-'DRE + DCF'!$V$56*L2873</f>
        <v>-1188924.4255577971</v>
      </c>
      <c r="K2873" s="360">
        <f>(1+L2873)/(1+Ke!$O$12)-1</f>
        <v>2.0000000000000018E-2</v>
      </c>
      <c r="L2873" s="360">
        <f>'DRE + DCF'!$Y$31</f>
        <v>7.3550000000000004E-2</v>
      </c>
      <c r="M2873" s="361">
        <f>(1+D2873)^((5-Dashboard!$F$9)*3/12)</f>
        <v>1.2594071543707366</v>
      </c>
      <c r="N2873" s="361">
        <f t="shared" ref="N2873:V2873" si="2950">M2873*(1+$D2873)</f>
        <v>1.7128567003018895</v>
      </c>
      <c r="O2873" s="361">
        <f t="shared" si="2950"/>
        <v>2.3295707552455429</v>
      </c>
      <c r="P2873" s="361">
        <f t="shared" si="2950"/>
        <v>3.1683327056716437</v>
      </c>
      <c r="Q2873" s="361">
        <f t="shared" si="2950"/>
        <v>4.3090908963486418</v>
      </c>
      <c r="R2873" s="361">
        <f t="shared" si="2950"/>
        <v>5.8605790735788652</v>
      </c>
      <c r="S2873" s="361">
        <f t="shared" si="2950"/>
        <v>7.970680569020792</v>
      </c>
      <c r="T2873" s="361">
        <f t="shared" si="2950"/>
        <v>10.840524107896533</v>
      </c>
      <c r="U2873" s="361">
        <f t="shared" si="2950"/>
        <v>14.743654812944415</v>
      </c>
      <c r="V2873" s="362">
        <f t="shared" si="2950"/>
        <v>20.052107728344691</v>
      </c>
      <c r="X2873" s="351"/>
    </row>
    <row r="2874" spans="3:24" ht="24.75" customHeight="1" x14ac:dyDescent="0.3">
      <c r="C2874" s="353">
        <f>ABS(E2874-Dashboard!$F$14)</f>
        <v>56.309621791824675</v>
      </c>
      <c r="D2874" s="350">
        <f t="shared" si="2907"/>
        <v>0.3601499999999756</v>
      </c>
      <c r="E2874" s="359" cm="1">
        <f t="array" ref="E2874">1000*SUM('DRE + DCF'!$L$36/M2874,'DRE + DCF'!$N$36:$V$36/N2874:V2874,F2874/V2874)/Dashboard!$F$11</f>
        <v>40.68037820817532</v>
      </c>
      <c r="F2874" s="359">
        <f t="shared" si="2905"/>
        <v>7144087.1777622029</v>
      </c>
      <c r="G2874" s="359">
        <f>'DRE + DCF'!$W$31</f>
        <v>2791623.3540418856</v>
      </c>
      <c r="H2874" s="359">
        <f>'DRE + DCF'!$W$32</f>
        <v>81081.931703745853</v>
      </c>
      <c r="I2874" s="359">
        <f>-H2874*('DRE + DCF'!$V$33+K2874)/'DRE + DCF'!$V$33</f>
        <v>-90858.801614444121</v>
      </c>
      <c r="J2874" s="359">
        <f>-'DRE + DCF'!$V$56*L2874</f>
        <v>-1188924.4255577971</v>
      </c>
      <c r="K2874" s="360">
        <f>(1+L2874)/(1+Ke!$O$12)-1</f>
        <v>2.0000000000000018E-2</v>
      </c>
      <c r="L2874" s="360">
        <f>'DRE + DCF'!$Y$31</f>
        <v>7.3550000000000004E-2</v>
      </c>
      <c r="M2874" s="361">
        <f>(1+D2874)^((5-Dashboard!$F$9)*3/12)</f>
        <v>1.2594766037795662</v>
      </c>
      <c r="N2874" s="361">
        <f t="shared" ref="N2874:V2874" si="2951">M2874*(1+$D2874)</f>
        <v>1.7130771026307461</v>
      </c>
      <c r="O2874" s="361">
        <f t="shared" si="2951"/>
        <v>2.3300418211431673</v>
      </c>
      <c r="P2874" s="361">
        <f t="shared" si="2951"/>
        <v>3.1692063830278219</v>
      </c>
      <c r="Q2874" s="361">
        <f t="shared" si="2951"/>
        <v>4.3105960618752146</v>
      </c>
      <c r="R2874" s="361">
        <f t="shared" si="2951"/>
        <v>5.8630572335594673</v>
      </c>
      <c r="S2874" s="361">
        <f t="shared" si="2951"/>
        <v>7.9746372962257661</v>
      </c>
      <c r="T2874" s="361">
        <f t="shared" si="2951"/>
        <v>10.846702918461281</v>
      </c>
      <c r="U2874" s="361">
        <f t="shared" si="2951"/>
        <v>14.753142974544845</v>
      </c>
      <c r="V2874" s="362">
        <f t="shared" si="2951"/>
        <v>20.06648741682681</v>
      </c>
      <c r="X2874" s="351"/>
    </row>
    <row r="2875" spans="3:24" ht="24.75" customHeight="1" x14ac:dyDescent="0.3">
      <c r="C2875" s="353">
        <f>ABS(E2875-Dashboard!$F$14)</f>
        <v>56.326415070790247</v>
      </c>
      <c r="D2875" s="350">
        <f t="shared" si="2907"/>
        <v>0.36024999999997559</v>
      </c>
      <c r="E2875" s="359" cm="1">
        <f t="array" ref="E2875">1000*SUM('DRE + DCF'!$L$36/M2875,'DRE + DCF'!$N$36:$V$36/N2875:V2875,F2875/V2875)/Dashboard!$F$11</f>
        <v>40.663584929209748</v>
      </c>
      <c r="F2875" s="359">
        <f t="shared" si="2905"/>
        <v>7141891.6338613126</v>
      </c>
      <c r="G2875" s="359">
        <f>'DRE + DCF'!$W$31</f>
        <v>2791623.3540418856</v>
      </c>
      <c r="H2875" s="359">
        <f>'DRE + DCF'!$W$32</f>
        <v>81081.931703745853</v>
      </c>
      <c r="I2875" s="359">
        <f>-H2875*('DRE + DCF'!$V$33+K2875)/'DRE + DCF'!$V$33</f>
        <v>-90858.801614444121</v>
      </c>
      <c r="J2875" s="359">
        <f>-'DRE + DCF'!$V$56*L2875</f>
        <v>-1188924.4255577971</v>
      </c>
      <c r="K2875" s="360">
        <f>(1+L2875)/(1+Ke!$O$12)-1</f>
        <v>2.0000000000000018E-2</v>
      </c>
      <c r="L2875" s="360">
        <f>'DRE + DCF'!$Y$31</f>
        <v>7.3550000000000004E-2</v>
      </c>
      <c r="M2875" s="361">
        <f>(1+D2875)^((5-Dashboard!$F$9)*3/12)</f>
        <v>1.2595460519119048</v>
      </c>
      <c r="N2875" s="361">
        <f t="shared" ref="N2875:V2875" si="2952">M2875*(1+$D2875)</f>
        <v>1.7132975171131377</v>
      </c>
      <c r="O2875" s="361">
        <f t="shared" si="2952"/>
        <v>2.3305129476531037</v>
      </c>
      <c r="P2875" s="361">
        <f t="shared" si="2952"/>
        <v>3.1700802370450774</v>
      </c>
      <c r="Q2875" s="361">
        <f t="shared" si="2952"/>
        <v>4.3121016424404885</v>
      </c>
      <c r="R2875" s="361">
        <f t="shared" si="2952"/>
        <v>5.865536259129569</v>
      </c>
      <c r="S2875" s="361">
        <f t="shared" si="2952"/>
        <v>7.9785956964808529</v>
      </c>
      <c r="T2875" s="361">
        <f t="shared" si="2952"/>
        <v>10.852884796137884</v>
      </c>
      <c r="U2875" s="361">
        <f t="shared" si="2952"/>
        <v>14.762636543946291</v>
      </c>
      <c r="V2875" s="362">
        <f t="shared" si="2952"/>
        <v>20.080876358902582</v>
      </c>
      <c r="X2875" s="351"/>
    </row>
    <row r="2876" spans="3:24" ht="24.75" customHeight="1" x14ac:dyDescent="0.3">
      <c r="C2876" s="353">
        <f>ABS(E2876-Dashboard!$F$14)</f>
        <v>56.343195658660541</v>
      </c>
      <c r="D2876" s="350">
        <f t="shared" si="2907"/>
        <v>0.36034999999997558</v>
      </c>
      <c r="E2876" s="359" cm="1">
        <f t="array" ref="E2876">1000*SUM('DRE + DCF'!$L$36/M2876,'DRE + DCF'!$N$36:$V$36/N2876:V2876,F2876/V2876)/Dashboard!$F$11</f>
        <v>40.646804341339454</v>
      </c>
      <c r="F2876" s="359">
        <f t="shared" si="2905"/>
        <v>7139697.4566348922</v>
      </c>
      <c r="G2876" s="359">
        <f>'DRE + DCF'!$W$31</f>
        <v>2791623.3540418856</v>
      </c>
      <c r="H2876" s="359">
        <f>'DRE + DCF'!$W$32</f>
        <v>81081.931703745853</v>
      </c>
      <c r="I2876" s="359">
        <f>-H2876*('DRE + DCF'!$V$33+K2876)/'DRE + DCF'!$V$33</f>
        <v>-90858.801614444121</v>
      </c>
      <c r="J2876" s="359">
        <f>-'DRE + DCF'!$V$56*L2876</f>
        <v>-1188924.4255577971</v>
      </c>
      <c r="K2876" s="360">
        <f>(1+L2876)/(1+Ke!$O$12)-1</f>
        <v>2.0000000000000018E-2</v>
      </c>
      <c r="L2876" s="360">
        <f>'DRE + DCF'!$Y$31</f>
        <v>7.3550000000000004E-2</v>
      </c>
      <c r="M2876" s="361">
        <f>(1+D2876)^((5-Dashboard!$F$9)*3/12)</f>
        <v>1.2596154987678698</v>
      </c>
      <c r="N2876" s="361">
        <f t="shared" ref="N2876:V2876" si="2953">M2876*(1+$D2876)</f>
        <v>1.7135179437488408</v>
      </c>
      <c r="O2876" s="361">
        <f t="shared" si="2953"/>
        <v>2.3309841347786935</v>
      </c>
      <c r="P2876" s="361">
        <f t="shared" si="2953"/>
        <v>3.1709542677461386</v>
      </c>
      <c r="Q2876" s="361">
        <f t="shared" si="2953"/>
        <v>4.3136076381283823</v>
      </c>
      <c r="R2876" s="361">
        <f t="shared" si="2953"/>
        <v>5.868016150527839</v>
      </c>
      <c r="S2876" s="361">
        <f t="shared" si="2953"/>
        <v>7.9825557703704018</v>
      </c>
      <c r="T2876" s="361">
        <f t="shared" si="2953"/>
        <v>10.859069742223181</v>
      </c>
      <c r="U2876" s="361">
        <f t="shared" si="2953"/>
        <v>14.772135523833038</v>
      </c>
      <c r="V2876" s="362">
        <f t="shared" si="2953"/>
        <v>20.095274559845912</v>
      </c>
      <c r="X2876" s="351"/>
    </row>
    <row r="2877" spans="3:24" ht="24.75" customHeight="1" x14ac:dyDescent="0.3">
      <c r="C2877" s="353">
        <f>ABS(E2877-Dashboard!$F$14)</f>
        <v>56.35996356883539</v>
      </c>
      <c r="D2877" s="350">
        <f t="shared" si="2907"/>
        <v>0.36044999999997557</v>
      </c>
      <c r="E2877" s="359" cm="1">
        <f t="array" ref="E2877">1000*SUM('DRE + DCF'!$L$36/M2877,'DRE + DCF'!$N$36:$V$36/N2877:V2877,F2877/V2877)/Dashboard!$F$11</f>
        <v>40.630036431164605</v>
      </c>
      <c r="F2877" s="359">
        <f t="shared" si="2905"/>
        <v>7137504.6447906392</v>
      </c>
      <c r="G2877" s="359">
        <f>'DRE + DCF'!$W$31</f>
        <v>2791623.3540418856</v>
      </c>
      <c r="H2877" s="359">
        <f>'DRE + DCF'!$W$32</f>
        <v>81081.931703745853</v>
      </c>
      <c r="I2877" s="359">
        <f>-H2877*('DRE + DCF'!$V$33+K2877)/'DRE + DCF'!$V$33</f>
        <v>-90858.801614444121</v>
      </c>
      <c r="J2877" s="359">
        <f>-'DRE + DCF'!$V$56*L2877</f>
        <v>-1188924.4255577971</v>
      </c>
      <c r="K2877" s="360">
        <f>(1+L2877)/(1+Ke!$O$12)-1</f>
        <v>2.0000000000000018E-2</v>
      </c>
      <c r="L2877" s="360">
        <f>'DRE + DCF'!$Y$31</f>
        <v>7.3550000000000004E-2</v>
      </c>
      <c r="M2877" s="361">
        <f>(1+D2877)^((5-Dashboard!$F$9)*3/12)</f>
        <v>1.2596849443475784</v>
      </c>
      <c r="N2877" s="361">
        <f t="shared" ref="N2877:V2877" si="2954">M2877*(1+$D2877)</f>
        <v>1.7137383825376322</v>
      </c>
      <c r="O2877" s="361">
        <f t="shared" si="2954"/>
        <v>2.3314553825232798</v>
      </c>
      <c r="P2877" s="361">
        <f t="shared" si="2954"/>
        <v>3.1718284751537387</v>
      </c>
      <c r="Q2877" s="361">
        <f t="shared" si="2954"/>
        <v>4.3151140490228261</v>
      </c>
      <c r="R2877" s="361">
        <f t="shared" si="2954"/>
        <v>5.8704969079929983</v>
      </c>
      <c r="S2877" s="361">
        <f t="shared" si="2954"/>
        <v>7.986517518478931</v>
      </c>
      <c r="T2877" s="361">
        <f t="shared" si="2954"/>
        <v>10.865257758014467</v>
      </c>
      <c r="U2877" s="361">
        <f t="shared" si="2954"/>
        <v>14.781639916890516</v>
      </c>
      <c r="V2877" s="362">
        <f t="shared" si="2954"/>
        <v>20.109682024933342</v>
      </c>
      <c r="X2877" s="351"/>
    </row>
    <row r="2878" spans="3:24" ht="24.75" customHeight="1" x14ac:dyDescent="0.3">
      <c r="C2878" s="353">
        <f>ABS(E2878-Dashboard!$F$14)</f>
        <v>56.376718814696588</v>
      </c>
      <c r="D2878" s="350">
        <f t="shared" si="2907"/>
        <v>0.36054999999997556</v>
      </c>
      <c r="E2878" s="359" cm="1">
        <f t="array" ref="E2878">1000*SUM('DRE + DCF'!$L$36/M2878,'DRE + DCF'!$N$36:$V$36/N2878:V2878,F2878/V2878)/Dashboard!$F$11</f>
        <v>40.613281185303407</v>
      </c>
      <c r="F2878" s="359">
        <f t="shared" si="2905"/>
        <v>7135313.1970378952</v>
      </c>
      <c r="G2878" s="359">
        <f>'DRE + DCF'!$W$31</f>
        <v>2791623.3540418856</v>
      </c>
      <c r="H2878" s="359">
        <f>'DRE + DCF'!$W$32</f>
        <v>81081.931703745853</v>
      </c>
      <c r="I2878" s="359">
        <f>-H2878*('DRE + DCF'!$V$33+K2878)/'DRE + DCF'!$V$33</f>
        <v>-90858.801614444121</v>
      </c>
      <c r="J2878" s="359">
        <f>-'DRE + DCF'!$V$56*L2878</f>
        <v>-1188924.4255577971</v>
      </c>
      <c r="K2878" s="360">
        <f>(1+L2878)/(1+Ke!$O$12)-1</f>
        <v>2.0000000000000018E-2</v>
      </c>
      <c r="L2878" s="360">
        <f>'DRE + DCF'!$Y$31</f>
        <v>7.3550000000000004E-2</v>
      </c>
      <c r="M2878" s="361">
        <f>(1+D2878)^((5-Dashboard!$F$9)*3/12)</f>
        <v>1.2597543886511475</v>
      </c>
      <c r="N2878" s="361">
        <f t="shared" ref="N2878:V2878" si="2955">M2878*(1+$D2878)</f>
        <v>1.7139588334792879</v>
      </c>
      <c r="O2878" s="361">
        <f t="shared" si="2955"/>
        <v>2.331926690890203</v>
      </c>
      <c r="P2878" s="361">
        <f t="shared" si="2955"/>
        <v>3.1727028592906086</v>
      </c>
      <c r="Q2878" s="361">
        <f t="shared" si="2955"/>
        <v>4.3166208752077599</v>
      </c>
      <c r="R2878" s="361">
        <f t="shared" si="2955"/>
        <v>5.8729785317638123</v>
      </c>
      <c r="S2878" s="361">
        <f t="shared" si="2955"/>
        <v>7.9904809413911106</v>
      </c>
      <c r="T2878" s="361">
        <f t="shared" si="2955"/>
        <v>10.87144884480948</v>
      </c>
      <c r="U2878" s="361">
        <f t="shared" si="2955"/>
        <v>14.791149725805273</v>
      </c>
      <c r="V2878" s="362">
        <f t="shared" si="2955"/>
        <v>20.124098759444003</v>
      </c>
      <c r="X2878" s="351"/>
    </row>
    <row r="2879" spans="3:24" ht="24.75" customHeight="1" x14ac:dyDescent="0.3">
      <c r="C2879" s="353">
        <f>ABS(E2879-Dashboard!$F$14)</f>
        <v>56.393461409607966</v>
      </c>
      <c r="D2879" s="350">
        <f t="shared" si="2907"/>
        <v>0.36064999999997555</v>
      </c>
      <c r="E2879" s="359" cm="1">
        <f t="array" ref="E2879">1000*SUM('DRE + DCF'!$L$36/M2879,'DRE + DCF'!$N$36:$V$36/N2879:V2879,F2879/V2879)/Dashboard!$F$11</f>
        <v>40.596538590392029</v>
      </c>
      <c r="F2879" s="359">
        <f t="shared" si="2905"/>
        <v>7133123.1120876502</v>
      </c>
      <c r="G2879" s="359">
        <f>'DRE + DCF'!$W$31</f>
        <v>2791623.3540418856</v>
      </c>
      <c r="H2879" s="359">
        <f>'DRE + DCF'!$W$32</f>
        <v>81081.931703745853</v>
      </c>
      <c r="I2879" s="359">
        <f>-H2879*('DRE + DCF'!$V$33+K2879)/'DRE + DCF'!$V$33</f>
        <v>-90858.801614444121</v>
      </c>
      <c r="J2879" s="359">
        <f>-'DRE + DCF'!$V$56*L2879</f>
        <v>-1188924.4255577971</v>
      </c>
      <c r="K2879" s="360">
        <f>(1+L2879)/(1+Ke!$O$12)-1</f>
        <v>2.0000000000000018E-2</v>
      </c>
      <c r="L2879" s="360">
        <f>'DRE + DCF'!$Y$31</f>
        <v>7.3550000000000004E-2</v>
      </c>
      <c r="M2879" s="361">
        <f>(1+D2879)^((5-Dashboard!$F$9)*3/12)</f>
        <v>1.2598238316786952</v>
      </c>
      <c r="N2879" s="361">
        <f t="shared" ref="N2879:V2879" si="2956">M2879*(1+$D2879)</f>
        <v>1.7141792965735856</v>
      </c>
      <c r="O2879" s="361">
        <f t="shared" si="2956"/>
        <v>2.3323980598828071</v>
      </c>
      <c r="P2879" s="361">
        <f t="shared" si="2956"/>
        <v>3.1735774201794844</v>
      </c>
      <c r="Q2879" s="361">
        <f t="shared" si="2956"/>
        <v>4.3181281167671379</v>
      </c>
      <c r="R2879" s="361">
        <f t="shared" si="2956"/>
        <v>5.8754610220791008</v>
      </c>
      <c r="S2879" s="361">
        <f t="shared" si="2956"/>
        <v>7.9944460396917849</v>
      </c>
      <c r="T2879" s="361">
        <f t="shared" si="2956"/>
        <v>10.877643003906432</v>
      </c>
      <c r="U2879" s="361">
        <f t="shared" si="2956"/>
        <v>14.80066495326502</v>
      </c>
      <c r="V2879" s="362">
        <f t="shared" si="2956"/>
        <v>20.138524768659686</v>
      </c>
      <c r="X2879" s="351"/>
    </row>
    <row r="2880" spans="3:24" ht="24.75" customHeight="1" x14ac:dyDescent="0.3">
      <c r="C2880" s="353">
        <f>ABS(E2880-Dashboard!$F$14)</f>
        <v>56.410191366915413</v>
      </c>
      <c r="D2880" s="350">
        <f t="shared" si="2907"/>
        <v>0.36074999999997553</v>
      </c>
      <c r="E2880" s="359" cm="1">
        <f t="array" ref="E2880">1000*SUM('DRE + DCF'!$L$36/M2880,'DRE + DCF'!$N$36:$V$36/N2880:V2880,F2880/V2880)/Dashboard!$F$11</f>
        <v>40.579808633084582</v>
      </c>
      <c r="F2880" s="359">
        <f t="shared" si="2905"/>
        <v>7130934.3886525389</v>
      </c>
      <c r="G2880" s="359">
        <f>'DRE + DCF'!$W$31</f>
        <v>2791623.3540418856</v>
      </c>
      <c r="H2880" s="359">
        <f>'DRE + DCF'!$W$32</f>
        <v>81081.931703745853</v>
      </c>
      <c r="I2880" s="359">
        <f>-H2880*('DRE + DCF'!$V$33+K2880)/'DRE + DCF'!$V$33</f>
        <v>-90858.801614444121</v>
      </c>
      <c r="J2880" s="359">
        <f>-'DRE + DCF'!$V$56*L2880</f>
        <v>-1188924.4255577971</v>
      </c>
      <c r="K2880" s="360">
        <f>(1+L2880)/(1+Ke!$O$12)-1</f>
        <v>2.0000000000000018E-2</v>
      </c>
      <c r="L2880" s="360">
        <f>'DRE + DCF'!$Y$31</f>
        <v>7.3550000000000004E-2</v>
      </c>
      <c r="M2880" s="361">
        <f>(1+D2880)^((5-Dashboard!$F$9)*3/12)</f>
        <v>1.2598932734303376</v>
      </c>
      <c r="N2880" s="361">
        <f t="shared" ref="N2880:V2880" si="2957">M2880*(1+$D2880)</f>
        <v>1.714399771820301</v>
      </c>
      <c r="O2880" s="361">
        <f t="shared" si="2957"/>
        <v>2.3328694895044326</v>
      </c>
      <c r="P2880" s="361">
        <f t="shared" si="2957"/>
        <v>3.1744521578430995</v>
      </c>
      <c r="Q2880" s="361">
        <f t="shared" si="2957"/>
        <v>4.3196357737849196</v>
      </c>
      <c r="R2880" s="361">
        <f t="shared" si="2957"/>
        <v>5.8779443791777233</v>
      </c>
      <c r="S2880" s="361">
        <f t="shared" si="2957"/>
        <v>7.9984128139659427</v>
      </c>
      <c r="T2880" s="361">
        <f t="shared" si="2957"/>
        <v>10.883840236603961</v>
      </c>
      <c r="U2880" s="361">
        <f t="shared" si="2957"/>
        <v>14.810185601958572</v>
      </c>
      <c r="V2880" s="362">
        <f t="shared" si="2957"/>
        <v>20.152960057864764</v>
      </c>
      <c r="X2880" s="351"/>
    </row>
    <row r="2881" spans="3:24" ht="24.75" customHeight="1" x14ac:dyDescent="0.3">
      <c r="C2881" s="353">
        <f>ABS(E2881-Dashboard!$F$14)</f>
        <v>56.426908699946821</v>
      </c>
      <c r="D2881" s="350">
        <f t="shared" si="2907"/>
        <v>0.36084999999997552</v>
      </c>
      <c r="E2881" s="359" cm="1">
        <f t="array" ref="E2881">1000*SUM('DRE + DCF'!$L$36/M2881,'DRE + DCF'!$N$36:$V$36/N2881:V2881,F2881/V2881)/Dashboard!$F$11</f>
        <v>40.563091300053173</v>
      </c>
      <c r="F2881" s="359">
        <f t="shared" si="2905"/>
        <v>7128747.0254468378</v>
      </c>
      <c r="G2881" s="359">
        <f>'DRE + DCF'!$W$31</f>
        <v>2791623.3540418856</v>
      </c>
      <c r="H2881" s="359">
        <f>'DRE + DCF'!$W$32</f>
        <v>81081.931703745853</v>
      </c>
      <c r="I2881" s="359">
        <f>-H2881*('DRE + DCF'!$V$33+K2881)/'DRE + DCF'!$V$33</f>
        <v>-90858.801614444121</v>
      </c>
      <c r="J2881" s="359">
        <f>-'DRE + DCF'!$V$56*L2881</f>
        <v>-1188924.4255577971</v>
      </c>
      <c r="K2881" s="360">
        <f>(1+L2881)/(1+Ke!$O$12)-1</f>
        <v>2.0000000000000018E-2</v>
      </c>
      <c r="L2881" s="360">
        <f>'DRE + DCF'!$Y$31</f>
        <v>7.3550000000000004E-2</v>
      </c>
      <c r="M2881" s="361">
        <f>(1+D2881)^((5-Dashboard!$F$9)*3/12)</f>
        <v>1.2599627139061929</v>
      </c>
      <c r="N2881" s="361">
        <f t="shared" ref="N2881:V2881" si="2958">M2881*(1+$D2881)</f>
        <v>1.7146202592192117</v>
      </c>
      <c r="O2881" s="361">
        <f t="shared" si="2958"/>
        <v>2.3333409797584221</v>
      </c>
      <c r="P2881" s="361">
        <f t="shared" si="2958"/>
        <v>3.1753270723041913</v>
      </c>
      <c r="Q2881" s="361">
        <f t="shared" si="2958"/>
        <v>4.3211438463450804</v>
      </c>
      <c r="R2881" s="361">
        <f t="shared" si="2958"/>
        <v>5.8804286032985971</v>
      </c>
      <c r="S2881" s="361">
        <f t="shared" si="2958"/>
        <v>8.0023812647987516</v>
      </c>
      <c r="T2881" s="361">
        <f t="shared" si="2958"/>
        <v>10.890040544201185</v>
      </c>
      <c r="U2881" s="361">
        <f t="shared" si="2958"/>
        <v>14.819711674575915</v>
      </c>
      <c r="V2881" s="362">
        <f t="shared" si="2958"/>
        <v>20.167404632346269</v>
      </c>
      <c r="X2881" s="351"/>
    </row>
    <row r="2882" spans="3:24" ht="24.75" customHeight="1" x14ac:dyDescent="0.3">
      <c r="C2882" s="353">
        <f>ABS(E2882-Dashboard!$F$14)</f>
        <v>56.443613422012305</v>
      </c>
      <c r="D2882" s="350">
        <f t="shared" si="2907"/>
        <v>0.36094999999997551</v>
      </c>
      <c r="E2882" s="359" cm="1">
        <f t="array" ref="E2882">1000*SUM('DRE + DCF'!$L$36/M2882,'DRE + DCF'!$N$36:$V$36/N2882:V2882,F2882/V2882)/Dashboard!$F$11</f>
        <v>40.54638657798769</v>
      </c>
      <c r="F2882" s="359">
        <f t="shared" si="2905"/>
        <v>7126561.0211864598</v>
      </c>
      <c r="G2882" s="359">
        <f>'DRE + DCF'!$W$31</f>
        <v>2791623.3540418856</v>
      </c>
      <c r="H2882" s="359">
        <f>'DRE + DCF'!$W$32</f>
        <v>81081.931703745853</v>
      </c>
      <c r="I2882" s="359">
        <f>-H2882*('DRE + DCF'!$V$33+K2882)/'DRE + DCF'!$V$33</f>
        <v>-90858.801614444121</v>
      </c>
      <c r="J2882" s="359">
        <f>-'DRE + DCF'!$V$56*L2882</f>
        <v>-1188924.4255577971</v>
      </c>
      <c r="K2882" s="360">
        <f>(1+L2882)/(1+Ke!$O$12)-1</f>
        <v>2.0000000000000018E-2</v>
      </c>
      <c r="L2882" s="360">
        <f>'DRE + DCF'!$Y$31</f>
        <v>7.3550000000000004E-2</v>
      </c>
      <c r="M2882" s="361">
        <f>(1+D2882)^((5-Dashboard!$F$9)*3/12)</f>
        <v>1.2600321531063778</v>
      </c>
      <c r="N2882" s="361">
        <f t="shared" ref="N2882:V2882" si="2959">M2882*(1+$D2882)</f>
        <v>1.714840758770094</v>
      </c>
      <c r="O2882" s="361">
        <f t="shared" si="2959"/>
        <v>2.3338125306481174</v>
      </c>
      <c r="P2882" s="361">
        <f t="shared" si="2959"/>
        <v>3.176202163585498</v>
      </c>
      <c r="Q2882" s="361">
        <f t="shared" si="2959"/>
        <v>4.3226523345316057</v>
      </c>
      <c r="R2882" s="361">
        <f t="shared" si="2959"/>
        <v>5.882913694680683</v>
      </c>
      <c r="S2882" s="361">
        <f t="shared" si="2959"/>
        <v>8.0063513927755317</v>
      </c>
      <c r="T2882" s="361">
        <f t="shared" si="2959"/>
        <v>10.896243927997663</v>
      </c>
      <c r="U2882" s="361">
        <f t="shared" si="2959"/>
        <v>14.829243173808152</v>
      </c>
      <c r="V2882" s="362">
        <f t="shared" si="2959"/>
        <v>20.18185849739384</v>
      </c>
      <c r="X2882" s="351"/>
    </row>
    <row r="2883" spans="3:24" ht="24.75" customHeight="1" x14ac:dyDescent="0.3">
      <c r="C2883" s="353">
        <f>ABS(E2883-Dashboard!$F$14)</f>
        <v>56.460305546403958</v>
      </c>
      <c r="D2883" s="350">
        <f t="shared" si="2907"/>
        <v>0.3610499999999755</v>
      </c>
      <c r="E2883" s="359" cm="1">
        <f t="array" ref="E2883">1000*SUM('DRE + DCF'!$L$36/M2883,'DRE + DCF'!$N$36:$V$36/N2883:V2883,F2883/V2883)/Dashboard!$F$11</f>
        <v>40.529694453596036</v>
      </c>
      <c r="F2883" s="359">
        <f t="shared" si="2905"/>
        <v>7124376.374588958</v>
      </c>
      <c r="G2883" s="359">
        <f>'DRE + DCF'!$W$31</f>
        <v>2791623.3540418856</v>
      </c>
      <c r="H2883" s="359">
        <f>'DRE + DCF'!$W$32</f>
        <v>81081.931703745853</v>
      </c>
      <c r="I2883" s="359">
        <f>-H2883*('DRE + DCF'!$V$33+K2883)/'DRE + DCF'!$V$33</f>
        <v>-90858.801614444121</v>
      </c>
      <c r="J2883" s="359">
        <f>-'DRE + DCF'!$V$56*L2883</f>
        <v>-1188924.4255577971</v>
      </c>
      <c r="K2883" s="360">
        <f>(1+L2883)/(1+Ke!$O$12)-1</f>
        <v>2.0000000000000018E-2</v>
      </c>
      <c r="L2883" s="360">
        <f>'DRE + DCF'!$Y$31</f>
        <v>7.3550000000000004E-2</v>
      </c>
      <c r="M2883" s="361">
        <f>(1+D2883)^((5-Dashboard!$F$9)*3/12)</f>
        <v>1.2601015910310094</v>
      </c>
      <c r="N2883" s="361">
        <f t="shared" ref="N2883:V2883" si="2960">M2883*(1+$D2883)</f>
        <v>1.7150612704727244</v>
      </c>
      <c r="O2883" s="361">
        <f t="shared" si="2960"/>
        <v>2.3342841421768594</v>
      </c>
      <c r="P2883" s="361">
        <f t="shared" si="2960"/>
        <v>3.177077431709757</v>
      </c>
      <c r="Q2883" s="361">
        <f t="shared" si="2960"/>
        <v>4.3241612384284869</v>
      </c>
      <c r="R2883" s="361">
        <f t="shared" si="2960"/>
        <v>5.8853996535629856</v>
      </c>
      <c r="S2883" s="361">
        <f t="shared" si="2960"/>
        <v>8.0103231984817569</v>
      </c>
      <c r="T2883" s="361">
        <f t="shared" si="2960"/>
        <v>10.902450389293399</v>
      </c>
      <c r="U2883" s="361">
        <f t="shared" si="2960"/>
        <v>14.838780102347513</v>
      </c>
      <c r="V2883" s="362">
        <f t="shared" si="2960"/>
        <v>20.19632165829972</v>
      </c>
      <c r="X2883" s="351"/>
    </row>
    <row r="2884" spans="3:24" ht="24.75" customHeight="1" x14ac:dyDescent="0.3">
      <c r="C2884" s="353">
        <f>ABS(E2884-Dashboard!$F$14)</f>
        <v>56.476985086396141</v>
      </c>
      <c r="D2884" s="350">
        <f t="shared" si="2907"/>
        <v>0.36114999999997549</v>
      </c>
      <c r="E2884" s="359" cm="1">
        <f t="array" ref="E2884">1000*SUM('DRE + DCF'!$L$36/M2884,'DRE + DCF'!$N$36:$V$36/N2884:V2884,F2884/V2884)/Dashboard!$F$11</f>
        <v>40.513014913603854</v>
      </c>
      <c r="F2884" s="359">
        <f t="shared" si="2905"/>
        <v>7122193.0843735142</v>
      </c>
      <c r="G2884" s="359">
        <f>'DRE + DCF'!$W$31</f>
        <v>2791623.3540418856</v>
      </c>
      <c r="H2884" s="359">
        <f>'DRE + DCF'!$W$32</f>
        <v>81081.931703745853</v>
      </c>
      <c r="I2884" s="359">
        <f>-H2884*('DRE + DCF'!$V$33+K2884)/'DRE + DCF'!$V$33</f>
        <v>-90858.801614444121</v>
      </c>
      <c r="J2884" s="359">
        <f>-'DRE + DCF'!$V$56*L2884</f>
        <v>-1188924.4255577971</v>
      </c>
      <c r="K2884" s="360">
        <f>(1+L2884)/(1+Ke!$O$12)-1</f>
        <v>2.0000000000000018E-2</v>
      </c>
      <c r="L2884" s="360">
        <f>'DRE + DCF'!$Y$31</f>
        <v>7.3550000000000004E-2</v>
      </c>
      <c r="M2884" s="361">
        <f>(1+D2884)^((5-Dashboard!$F$9)*3/12)</f>
        <v>1.2601710276802052</v>
      </c>
      <c r="N2884" s="361">
        <f t="shared" ref="N2884:V2884" si="2961">M2884*(1+$D2884)</f>
        <v>1.7152817943268803</v>
      </c>
      <c r="O2884" s="361">
        <f t="shared" si="2961"/>
        <v>2.3347558143479912</v>
      </c>
      <c r="P2884" s="361">
        <f t="shared" si="2961"/>
        <v>3.1779528766997109</v>
      </c>
      <c r="Q2884" s="361">
        <f t="shared" si="2961"/>
        <v>4.3256705581197332</v>
      </c>
      <c r="R2884" s="361">
        <f t="shared" si="2961"/>
        <v>5.8878864801845685</v>
      </c>
      <c r="S2884" s="361">
        <f t="shared" si="2961"/>
        <v>8.0142966825030815</v>
      </c>
      <c r="T2884" s="361">
        <f t="shared" si="2961"/>
        <v>10.908659929388872</v>
      </c>
      <c r="U2884" s="361">
        <f t="shared" si="2961"/>
        <v>14.848322462887396</v>
      </c>
      <c r="V2884" s="362">
        <f t="shared" si="2961"/>
        <v>20.210794120358813</v>
      </c>
      <c r="X2884" s="351"/>
    </row>
    <row r="2885" spans="3:24" ht="24.75" customHeight="1" x14ac:dyDescent="0.3">
      <c r="C2885" s="353">
        <f>ABS(E2885-Dashboard!$F$14)</f>
        <v>56.493652055245391</v>
      </c>
      <c r="D2885" s="350">
        <f t="shared" si="2907"/>
        <v>0.36124999999997548</v>
      </c>
      <c r="E2885" s="359" cm="1">
        <f t="array" ref="E2885">1000*SUM('DRE + DCF'!$L$36/M2885,'DRE + DCF'!$N$36:$V$36/N2885:V2885,F2885/V2885)/Dashboard!$F$11</f>
        <v>40.496347944754604</v>
      </c>
      <c r="F2885" s="359">
        <f t="shared" si="2905"/>
        <v>7120011.1492609447</v>
      </c>
      <c r="G2885" s="359">
        <f>'DRE + DCF'!$W$31</f>
        <v>2791623.3540418856</v>
      </c>
      <c r="H2885" s="359">
        <f>'DRE + DCF'!$W$32</f>
        <v>81081.931703745853</v>
      </c>
      <c r="I2885" s="359">
        <f>-H2885*('DRE + DCF'!$V$33+K2885)/'DRE + DCF'!$V$33</f>
        <v>-90858.801614444121</v>
      </c>
      <c r="J2885" s="359">
        <f>-'DRE + DCF'!$V$56*L2885</f>
        <v>-1188924.4255577971</v>
      </c>
      <c r="K2885" s="360">
        <f>(1+L2885)/(1+Ke!$O$12)-1</f>
        <v>2.0000000000000018E-2</v>
      </c>
      <c r="L2885" s="360">
        <f>'DRE + DCF'!$Y$31</f>
        <v>7.3550000000000004E-2</v>
      </c>
      <c r="M2885" s="361">
        <f>(1+D2885)^((5-Dashboard!$F$9)*3/12)</f>
        <v>1.260240463054082</v>
      </c>
      <c r="N2885" s="361">
        <f t="shared" ref="N2885:V2885" si="2962">M2885*(1+$D2885)</f>
        <v>1.7155023303323382</v>
      </c>
      <c r="O2885" s="361">
        <f t="shared" si="2962"/>
        <v>2.3352275471648531</v>
      </c>
      <c r="P2885" s="361">
        <f t="shared" si="2962"/>
        <v>3.178828498578099</v>
      </c>
      <c r="Q2885" s="361">
        <f t="shared" si="2962"/>
        <v>4.3271802936893593</v>
      </c>
      <c r="R2885" s="361">
        <f t="shared" si="2962"/>
        <v>5.890374174784534</v>
      </c>
      <c r="S2885" s="361">
        <f t="shared" si="2962"/>
        <v>8.0182718454253017</v>
      </c>
      <c r="T2885" s="361">
        <f t="shared" si="2962"/>
        <v>10.914872549584995</v>
      </c>
      <c r="U2885" s="361">
        <f t="shared" si="2962"/>
        <v>14.857870258122306</v>
      </c>
      <c r="V2885" s="362">
        <f t="shared" si="2962"/>
        <v>20.225275888868623</v>
      </c>
      <c r="X2885" s="351"/>
    </row>
    <row r="2886" spans="3:24" ht="24.75" customHeight="1" x14ac:dyDescent="0.3">
      <c r="C2886" s="353">
        <f>ABS(E2886-Dashboard!$F$14)</f>
        <v>56.510306466190457</v>
      </c>
      <c r="D2886" s="350">
        <f t="shared" si="2907"/>
        <v>0.36134999999997547</v>
      </c>
      <c r="E2886" s="359" cm="1">
        <f t="array" ref="E2886">1000*SUM('DRE + DCF'!$L$36/M2886,'DRE + DCF'!$N$36:$V$36/N2886:V2886,F2886/V2886)/Dashboard!$F$11</f>
        <v>40.479693533809538</v>
      </c>
      <c r="F2886" s="359">
        <f t="shared" si="2905"/>
        <v>7117830.5679736938</v>
      </c>
      <c r="G2886" s="359">
        <f>'DRE + DCF'!$W$31</f>
        <v>2791623.3540418856</v>
      </c>
      <c r="H2886" s="359">
        <f>'DRE + DCF'!$W$32</f>
        <v>81081.931703745853</v>
      </c>
      <c r="I2886" s="359">
        <f>-H2886*('DRE + DCF'!$V$33+K2886)/'DRE + DCF'!$V$33</f>
        <v>-90858.801614444121</v>
      </c>
      <c r="J2886" s="359">
        <f>-'DRE + DCF'!$V$56*L2886</f>
        <v>-1188924.4255577971</v>
      </c>
      <c r="K2886" s="360">
        <f>(1+L2886)/(1+Ke!$O$12)-1</f>
        <v>2.0000000000000018E-2</v>
      </c>
      <c r="L2886" s="360">
        <f>'DRE + DCF'!$Y$31</f>
        <v>7.3550000000000004E-2</v>
      </c>
      <c r="M2886" s="361">
        <f>(1+D2886)^((5-Dashboard!$F$9)*3/12)</f>
        <v>1.2603098971527569</v>
      </c>
      <c r="N2886" s="361">
        <f t="shared" ref="N2886:V2886" si="2963">M2886*(1+$D2886)</f>
        <v>1.7157228784888745</v>
      </c>
      <c r="O2886" s="361">
        <f t="shared" si="2963"/>
        <v>2.3356993406307871</v>
      </c>
      <c r="P2886" s="361">
        <f t="shared" si="2963"/>
        <v>3.1797042973676648</v>
      </c>
      <c r="Q2886" s="361">
        <f t="shared" si="2963"/>
        <v>4.3286904452213921</v>
      </c>
      <c r="R2886" s="361">
        <f t="shared" si="2963"/>
        <v>5.8928627376020355</v>
      </c>
      <c r="S2886" s="361">
        <f t="shared" si="2963"/>
        <v>8.0222486878343862</v>
      </c>
      <c r="T2886" s="361">
        <f t="shared" si="2963"/>
        <v>10.921088251183145</v>
      </c>
      <c r="U2886" s="361">
        <f t="shared" si="2963"/>
        <v>14.867423490747905</v>
      </c>
      <c r="V2886" s="362">
        <f t="shared" si="2963"/>
        <v>20.239766969129295</v>
      </c>
      <c r="X2886" s="351"/>
    </row>
    <row r="2887" spans="3:24" ht="24.75" customHeight="1" x14ac:dyDescent="0.3">
      <c r="C2887" s="353">
        <f>ABS(E2887-Dashboard!$F$14)</f>
        <v>56.526948332452299</v>
      </c>
      <c r="D2887" s="350">
        <f t="shared" si="2907"/>
        <v>0.36144999999997546</v>
      </c>
      <c r="E2887" s="359" cm="1">
        <f t="array" ref="E2887">1000*SUM('DRE + DCF'!$L$36/M2887,'DRE + DCF'!$N$36:$V$36/N2887:V2887,F2887/V2887)/Dashboard!$F$11</f>
        <v>40.463051667547695</v>
      </c>
      <c r="F2887" s="359">
        <f t="shared" si="2905"/>
        <v>7115651.3392358283</v>
      </c>
      <c r="G2887" s="359">
        <f>'DRE + DCF'!$W$31</f>
        <v>2791623.3540418856</v>
      </c>
      <c r="H2887" s="359">
        <f>'DRE + DCF'!$W$32</f>
        <v>81081.931703745853</v>
      </c>
      <c r="I2887" s="359">
        <f>-H2887*('DRE + DCF'!$V$33+K2887)/'DRE + DCF'!$V$33</f>
        <v>-90858.801614444121</v>
      </c>
      <c r="J2887" s="359">
        <f>-'DRE + DCF'!$V$56*L2887</f>
        <v>-1188924.4255577971</v>
      </c>
      <c r="K2887" s="360">
        <f>(1+L2887)/(1+Ke!$O$12)-1</f>
        <v>2.0000000000000018E-2</v>
      </c>
      <c r="L2887" s="360">
        <f>'DRE + DCF'!$Y$31</f>
        <v>7.3550000000000004E-2</v>
      </c>
      <c r="M2887" s="361">
        <f>(1+D2887)^((5-Dashboard!$F$9)*3/12)</f>
        <v>1.2603793299763473</v>
      </c>
      <c r="N2887" s="361">
        <f t="shared" ref="N2887:V2887" si="2964">M2887*(1+$D2887)</f>
        <v>1.7159434387962671</v>
      </c>
      <c r="O2887" s="361">
        <f t="shared" si="2964"/>
        <v>2.3361711947491357</v>
      </c>
      <c r="P2887" s="361">
        <f t="shared" si="2964"/>
        <v>3.1805802730911532</v>
      </c>
      <c r="Q2887" s="361">
        <f t="shared" si="2964"/>
        <v>4.330201012799872</v>
      </c>
      <c r="R2887" s="361">
        <f t="shared" si="2964"/>
        <v>5.8953521688762791</v>
      </c>
      <c r="S2887" s="361">
        <f t="shared" si="2964"/>
        <v>8.0262272103164651</v>
      </c>
      <c r="T2887" s="361">
        <f t="shared" si="2964"/>
        <v>10.927307035485153</v>
      </c>
      <c r="U2887" s="361">
        <f t="shared" si="2964"/>
        <v>14.876982163460994</v>
      </c>
      <c r="V2887" s="362">
        <f t="shared" si="2964"/>
        <v>20.254267366443603</v>
      </c>
      <c r="X2887" s="351"/>
    </row>
    <row r="2888" spans="3:24" ht="24.75" customHeight="1" x14ac:dyDescent="0.3">
      <c r="C2888" s="353">
        <f>ABS(E2888-Dashboard!$F$14)</f>
        <v>56.54357766723421</v>
      </c>
      <c r="D2888" s="350">
        <f t="shared" si="2907"/>
        <v>0.36154999999997545</v>
      </c>
      <c r="E2888" s="359" cm="1">
        <f t="array" ref="E2888">1000*SUM('DRE + DCF'!$L$36/M2888,'DRE + DCF'!$N$36:$V$36/N2888:V2888,F2888/V2888)/Dashboard!$F$11</f>
        <v>40.446422332765785</v>
      </c>
      <c r="F2888" s="359">
        <f t="shared" si="2905"/>
        <v>7113473.4617730435</v>
      </c>
      <c r="G2888" s="359">
        <f>'DRE + DCF'!$W$31</f>
        <v>2791623.3540418856</v>
      </c>
      <c r="H2888" s="359">
        <f>'DRE + DCF'!$W$32</f>
        <v>81081.931703745853</v>
      </c>
      <c r="I2888" s="359">
        <f>-H2888*('DRE + DCF'!$V$33+K2888)/'DRE + DCF'!$V$33</f>
        <v>-90858.801614444121</v>
      </c>
      <c r="J2888" s="359">
        <f>-'DRE + DCF'!$V$56*L2888</f>
        <v>-1188924.4255577971</v>
      </c>
      <c r="K2888" s="360">
        <f>(1+L2888)/(1+Ke!$O$12)-1</f>
        <v>2.0000000000000018E-2</v>
      </c>
      <c r="L2888" s="360">
        <f>'DRE + DCF'!$Y$31</f>
        <v>7.3550000000000004E-2</v>
      </c>
      <c r="M2888" s="361">
        <f>(1+D2888)^((5-Dashboard!$F$9)*3/12)</f>
        <v>1.2604487615249702</v>
      </c>
      <c r="N2888" s="361">
        <f t="shared" ref="N2888:V2888" si="2965">M2888*(1+$D2888)</f>
        <v>1.7161640112542922</v>
      </c>
      <c r="O2888" s="361">
        <f t="shared" si="2965"/>
        <v>2.3366431095232394</v>
      </c>
      <c r="P2888" s="361">
        <f t="shared" si="2965"/>
        <v>3.1814564257713092</v>
      </c>
      <c r="Q2888" s="361">
        <f t="shared" si="2965"/>
        <v>4.3317119965088473</v>
      </c>
      <c r="R2888" s="361">
        <f t="shared" si="2965"/>
        <v>5.8978424688465143</v>
      </c>
      <c r="S2888" s="361">
        <f t="shared" si="2965"/>
        <v>8.030207413457827</v>
      </c>
      <c r="T2888" s="361">
        <f t="shared" si="2965"/>
        <v>10.933528903793306</v>
      </c>
      <c r="U2888" s="361">
        <f t="shared" si="2965"/>
        <v>14.886546278959507</v>
      </c>
      <c r="V2888" s="362">
        <f t="shared" si="2965"/>
        <v>20.268777086116952</v>
      </c>
      <c r="X2888" s="351"/>
    </row>
    <row r="2889" spans="3:24" ht="24.75" customHeight="1" x14ac:dyDescent="0.3">
      <c r="C2889" s="353">
        <f>ABS(E2889-Dashboard!$F$14)</f>
        <v>56.560194483721745</v>
      </c>
      <c r="D2889" s="350">
        <f t="shared" si="2907"/>
        <v>0.36164999999997544</v>
      </c>
      <c r="E2889" s="359" cm="1">
        <f t="array" ref="E2889">1000*SUM('DRE + DCF'!$L$36/M2889,'DRE + DCF'!$N$36:$V$36/N2889:V2889,F2889/V2889)/Dashboard!$F$11</f>
        <v>40.42980551627825</v>
      </c>
      <c r="F2889" s="359">
        <f t="shared" si="2905"/>
        <v>7111296.9343126491</v>
      </c>
      <c r="G2889" s="359">
        <f>'DRE + DCF'!$W$31</f>
        <v>2791623.3540418856</v>
      </c>
      <c r="H2889" s="359">
        <f>'DRE + DCF'!$W$32</f>
        <v>81081.931703745853</v>
      </c>
      <c r="I2889" s="359">
        <f>-H2889*('DRE + DCF'!$V$33+K2889)/'DRE + DCF'!$V$33</f>
        <v>-90858.801614444121</v>
      </c>
      <c r="J2889" s="359">
        <f>-'DRE + DCF'!$V$56*L2889</f>
        <v>-1188924.4255577971</v>
      </c>
      <c r="K2889" s="360">
        <f>(1+L2889)/(1+Ke!$O$12)-1</f>
        <v>2.0000000000000018E-2</v>
      </c>
      <c r="L2889" s="360">
        <f>'DRE + DCF'!$Y$31</f>
        <v>7.3550000000000004E-2</v>
      </c>
      <c r="M2889" s="361">
        <f>(1+D2889)^((5-Dashboard!$F$9)*3/12)</f>
        <v>1.2605181917987422</v>
      </c>
      <c r="N2889" s="361">
        <f t="shared" ref="N2889:V2889" si="2966">M2889*(1+$D2889)</f>
        <v>1.7163845958627264</v>
      </c>
      <c r="O2889" s="361">
        <f t="shared" si="2966"/>
        <v>2.337115084956439</v>
      </c>
      <c r="P2889" s="361">
        <f t="shared" si="2966"/>
        <v>3.1823327554308776</v>
      </c>
      <c r="Q2889" s="361">
        <f t="shared" si="2966"/>
        <v>4.3332233964323761</v>
      </c>
      <c r="R2889" s="361">
        <f t="shared" si="2966"/>
        <v>5.9003336377520386</v>
      </c>
      <c r="S2889" s="361">
        <f t="shared" si="2966"/>
        <v>8.0341892978449181</v>
      </c>
      <c r="T2889" s="361">
        <f t="shared" si="2966"/>
        <v>10.939753857410334</v>
      </c>
      <c r="U2889" s="361">
        <f t="shared" si="2966"/>
        <v>14.896115839942512</v>
      </c>
      <c r="V2889" s="362">
        <f t="shared" si="2966"/>
        <v>20.283296133457355</v>
      </c>
      <c r="X2889" s="351"/>
    </row>
    <row r="2890" spans="3:24" ht="24.75" customHeight="1" x14ac:dyDescent="0.3">
      <c r="C2890" s="353">
        <f>ABS(E2890-Dashboard!$F$14)</f>
        <v>56.576798795082823</v>
      </c>
      <c r="D2890" s="350">
        <f t="shared" si="2907"/>
        <v>0.36174999999997542</v>
      </c>
      <c r="E2890" s="359" cm="1">
        <f t="array" ref="E2890">1000*SUM('DRE + DCF'!$L$36/M2890,'DRE + DCF'!$N$36:$V$36/N2890:V2890,F2890/V2890)/Dashboard!$F$11</f>
        <v>40.413201204917172</v>
      </c>
      <c r="F2890" s="359">
        <f t="shared" si="2905"/>
        <v>7109121.7555835769</v>
      </c>
      <c r="G2890" s="359">
        <f>'DRE + DCF'!$W$31</f>
        <v>2791623.3540418856</v>
      </c>
      <c r="H2890" s="359">
        <f>'DRE + DCF'!$W$32</f>
        <v>81081.931703745853</v>
      </c>
      <c r="I2890" s="359">
        <f>-H2890*('DRE + DCF'!$V$33+K2890)/'DRE + DCF'!$V$33</f>
        <v>-90858.801614444121</v>
      </c>
      <c r="J2890" s="359">
        <f>-'DRE + DCF'!$V$56*L2890</f>
        <v>-1188924.4255577971</v>
      </c>
      <c r="K2890" s="360">
        <f>(1+L2890)/(1+Ke!$O$12)-1</f>
        <v>2.0000000000000018E-2</v>
      </c>
      <c r="L2890" s="360">
        <f>'DRE + DCF'!$Y$31</f>
        <v>7.3550000000000004E-2</v>
      </c>
      <c r="M2890" s="361">
        <f>(1+D2890)^((5-Dashboard!$F$9)*3/12)</f>
        <v>1.2605876207977811</v>
      </c>
      <c r="N2890" s="361">
        <f t="shared" ref="N2890:V2890" si="2967">M2890*(1+$D2890)</f>
        <v>1.7166051926213473</v>
      </c>
      <c r="O2890" s="361">
        <f t="shared" si="2967"/>
        <v>2.3375871210520773</v>
      </c>
      <c r="P2890" s="361">
        <f t="shared" si="2967"/>
        <v>3.1832092620926087</v>
      </c>
      <c r="Q2890" s="361">
        <f t="shared" si="2967"/>
        <v>4.3347352126545315</v>
      </c>
      <c r="R2890" s="361">
        <f t="shared" si="2967"/>
        <v>5.9028256758322017</v>
      </c>
      <c r="S2890" s="361">
        <f t="shared" si="2967"/>
        <v>8.0381728640643555</v>
      </c>
      <c r="T2890" s="361">
        <f t="shared" si="2967"/>
        <v>10.945981897639438</v>
      </c>
      <c r="U2890" s="361">
        <f t="shared" si="2967"/>
        <v>14.905690849110234</v>
      </c>
      <c r="V2890" s="362">
        <f t="shared" si="2967"/>
        <v>20.297824513775495</v>
      </c>
      <c r="X2890" s="351"/>
    </row>
    <row r="2891" spans="3:24" ht="24.75" customHeight="1" x14ac:dyDescent="0.3">
      <c r="C2891" s="353">
        <f>ABS(E2891-Dashboard!$F$14)</f>
        <v>56.593390614467694</v>
      </c>
      <c r="D2891" s="350">
        <f t="shared" si="2907"/>
        <v>0.36184999999997541</v>
      </c>
      <c r="E2891" s="359" cm="1">
        <f t="array" ref="E2891">1000*SUM('DRE + DCF'!$L$36/M2891,'DRE + DCF'!$N$36:$V$36/N2891:V2891,F2891/V2891)/Dashboard!$F$11</f>
        <v>40.396609385532301</v>
      </c>
      <c r="F2891" s="359">
        <f t="shared" si="2905"/>
        <v>7106947.9243163746</v>
      </c>
      <c r="G2891" s="359">
        <f>'DRE + DCF'!$W$31</f>
        <v>2791623.3540418856</v>
      </c>
      <c r="H2891" s="359">
        <f>'DRE + DCF'!$W$32</f>
        <v>81081.931703745853</v>
      </c>
      <c r="I2891" s="359">
        <f>-H2891*('DRE + DCF'!$V$33+K2891)/'DRE + DCF'!$V$33</f>
        <v>-90858.801614444121</v>
      </c>
      <c r="J2891" s="359">
        <f>-'DRE + DCF'!$V$56*L2891</f>
        <v>-1188924.4255577971</v>
      </c>
      <c r="K2891" s="360">
        <f>(1+L2891)/(1+Ke!$O$12)-1</f>
        <v>2.0000000000000018E-2</v>
      </c>
      <c r="L2891" s="360">
        <f>'DRE + DCF'!$Y$31</f>
        <v>7.3550000000000004E-2</v>
      </c>
      <c r="M2891" s="361">
        <f>(1+D2891)^((5-Dashboard!$F$9)*3/12)</f>
        <v>1.2606570485222031</v>
      </c>
      <c r="N2891" s="361">
        <f t="shared" ref="N2891:V2891" si="2968">M2891*(1+$D2891)</f>
        <v>1.7168258015299311</v>
      </c>
      <c r="O2891" s="361">
        <f t="shared" si="2968"/>
        <v>2.3380592178134942</v>
      </c>
      <c r="P2891" s="361">
        <f t="shared" si="2968"/>
        <v>3.1840859457792496</v>
      </c>
      <c r="Q2891" s="361">
        <f t="shared" si="2968"/>
        <v>4.3362474452593931</v>
      </c>
      <c r="R2891" s="361">
        <f t="shared" si="2968"/>
        <v>5.9053185833263973</v>
      </c>
      <c r="S2891" s="361">
        <f t="shared" si="2968"/>
        <v>8.0421581127029089</v>
      </c>
      <c r="T2891" s="361">
        <f t="shared" si="2968"/>
        <v>10.952213025784259</v>
      </c>
      <c r="U2891" s="361">
        <f t="shared" si="2968"/>
        <v>14.915271309164023</v>
      </c>
      <c r="V2891" s="362">
        <f t="shared" si="2968"/>
        <v>20.312362232384658</v>
      </c>
      <c r="X2891" s="351"/>
    </row>
    <row r="2892" spans="3:24" ht="24.75" customHeight="1" x14ac:dyDescent="0.3">
      <c r="C2892" s="353">
        <f>ABS(E2892-Dashboard!$F$14)</f>
        <v>56.609969955009028</v>
      </c>
      <c r="D2892" s="350">
        <f t="shared" si="2907"/>
        <v>0.3619499999999754</v>
      </c>
      <c r="E2892" s="359" cm="1">
        <f t="array" ref="E2892">1000*SUM('DRE + DCF'!$L$36/M2892,'DRE + DCF'!$N$36:$V$36/N2892:V2892,F2892/V2892)/Dashboard!$F$11</f>
        <v>40.380030044990967</v>
      </c>
      <c r="F2892" s="359">
        <f t="shared" si="2905"/>
        <v>7104775.4392431974</v>
      </c>
      <c r="G2892" s="359">
        <f>'DRE + DCF'!$W$31</f>
        <v>2791623.3540418856</v>
      </c>
      <c r="H2892" s="359">
        <f>'DRE + DCF'!$W$32</f>
        <v>81081.931703745853</v>
      </c>
      <c r="I2892" s="359">
        <f>-H2892*('DRE + DCF'!$V$33+K2892)/'DRE + DCF'!$V$33</f>
        <v>-90858.801614444121</v>
      </c>
      <c r="J2892" s="359">
        <f>-'DRE + DCF'!$V$56*L2892</f>
        <v>-1188924.4255577971</v>
      </c>
      <c r="K2892" s="360">
        <f>(1+L2892)/(1+Ke!$O$12)-1</f>
        <v>2.0000000000000018E-2</v>
      </c>
      <c r="L2892" s="360">
        <f>'DRE + DCF'!$Y$31</f>
        <v>7.3550000000000004E-2</v>
      </c>
      <c r="M2892" s="361">
        <f>(1+D2892)^((5-Dashboard!$F$9)*3/12)</f>
        <v>1.2607264749721259</v>
      </c>
      <c r="N2892" s="361">
        <f t="shared" ref="N2892:V2892" si="2969">M2892*(1+$D2892)</f>
        <v>1.7170464225882558</v>
      </c>
      <c r="O2892" s="361">
        <f t="shared" si="2969"/>
        <v>2.3385313752440324</v>
      </c>
      <c r="P2892" s="361">
        <f t="shared" si="2969"/>
        <v>3.1849628065135525</v>
      </c>
      <c r="Q2892" s="361">
        <f t="shared" si="2969"/>
        <v>4.3377600943310544</v>
      </c>
      <c r="R2892" s="361">
        <f t="shared" si="2969"/>
        <v>5.9078123604740727</v>
      </c>
      <c r="S2892" s="361">
        <f t="shared" si="2969"/>
        <v>8.0461450443475169</v>
      </c>
      <c r="T2892" s="361">
        <f t="shared" si="2969"/>
        <v>10.958447243148902</v>
      </c>
      <c r="U2892" s="361">
        <f t="shared" si="2969"/>
        <v>14.924857222806375</v>
      </c>
      <c r="V2892" s="362">
        <f t="shared" si="2969"/>
        <v>20.326909294600775</v>
      </c>
      <c r="X2892" s="351"/>
    </row>
    <row r="2893" spans="3:24" ht="24.75" customHeight="1" x14ac:dyDescent="0.3">
      <c r="C2893" s="353">
        <f>ABS(E2893-Dashboard!$F$14)</f>
        <v>56.626536829821937</v>
      </c>
      <c r="D2893" s="350">
        <f t="shared" si="2907"/>
        <v>0.36204999999997539</v>
      </c>
      <c r="E2893" s="359" cm="1">
        <f t="array" ref="E2893">1000*SUM('DRE + DCF'!$L$36/M2893,'DRE + DCF'!$N$36:$V$36/N2893:V2893,F2893/V2893)/Dashboard!$F$11</f>
        <v>40.363463170178058</v>
      </c>
      <c r="F2893" s="359">
        <f t="shared" si="2905"/>
        <v>7102604.2990978155</v>
      </c>
      <c r="G2893" s="359">
        <f>'DRE + DCF'!$W$31</f>
        <v>2791623.3540418856</v>
      </c>
      <c r="H2893" s="359">
        <f>'DRE + DCF'!$W$32</f>
        <v>81081.931703745853</v>
      </c>
      <c r="I2893" s="359">
        <f>-H2893*('DRE + DCF'!$V$33+K2893)/'DRE + DCF'!$V$33</f>
        <v>-90858.801614444121</v>
      </c>
      <c r="J2893" s="359">
        <f>-'DRE + DCF'!$V$56*L2893</f>
        <v>-1188924.4255577971</v>
      </c>
      <c r="K2893" s="360">
        <f>(1+L2893)/(1+Ke!$O$12)-1</f>
        <v>2.0000000000000018E-2</v>
      </c>
      <c r="L2893" s="360">
        <f>'DRE + DCF'!$Y$31</f>
        <v>7.3550000000000004E-2</v>
      </c>
      <c r="M2893" s="361">
        <f>(1+D2893)^((5-Dashboard!$F$9)*3/12)</f>
        <v>1.2607959001476658</v>
      </c>
      <c r="N2893" s="361">
        <f t="shared" ref="N2893:V2893" si="2970">M2893*(1+$D2893)</f>
        <v>1.7172670557960972</v>
      </c>
      <c r="O2893" s="361">
        <f t="shared" si="2970"/>
        <v>2.3390035933470319</v>
      </c>
      <c r="P2893" s="361">
        <f t="shared" si="2970"/>
        <v>3.1858398443182669</v>
      </c>
      <c r="Q2893" s="361">
        <f t="shared" si="2970"/>
        <v>4.339273159953617</v>
      </c>
      <c r="R2893" s="361">
        <f t="shared" si="2970"/>
        <v>5.9103070075147173</v>
      </c>
      <c r="S2893" s="361">
        <f t="shared" si="2970"/>
        <v>8.0501336595852742</v>
      </c>
      <c r="T2893" s="361">
        <f t="shared" si="2970"/>
        <v>10.964684551037925</v>
      </c>
      <c r="U2893" s="361">
        <f t="shared" si="2970"/>
        <v>14.934448592740935</v>
      </c>
      <c r="V2893" s="362">
        <f t="shared" si="2970"/>
        <v>20.341465705742422</v>
      </c>
      <c r="X2893" s="351"/>
    </row>
    <row r="2894" spans="3:24" ht="24.75" customHeight="1" x14ac:dyDescent="0.3">
      <c r="C2894" s="353">
        <f>ABS(E2894-Dashboard!$F$14)</f>
        <v>56.643091252003906</v>
      </c>
      <c r="D2894" s="350">
        <f t="shared" si="2907"/>
        <v>0.36214999999997538</v>
      </c>
      <c r="E2894" s="359" cm="1">
        <f t="array" ref="E2894">1000*SUM('DRE + DCF'!$L$36/M2894,'DRE + DCF'!$N$36:$V$36/N2894:V2894,F2894/V2894)/Dashboard!$F$11</f>
        <v>40.346908747996089</v>
      </c>
      <c r="F2894" s="359">
        <f t="shared" ref="F2894:F2957" si="2971">AVERAGE(SUM(G2894:J2894)*(1+L2894)/(D2894-L2894),G2894*(1+L2894)*(1-L2894/D2894)/(D2894-L2894))</f>
        <v>7100434.5026156027</v>
      </c>
      <c r="G2894" s="359">
        <f>'DRE + DCF'!$W$31</f>
        <v>2791623.3540418856</v>
      </c>
      <c r="H2894" s="359">
        <f>'DRE + DCF'!$W$32</f>
        <v>81081.931703745853</v>
      </c>
      <c r="I2894" s="359">
        <f>-H2894*('DRE + DCF'!$V$33+K2894)/'DRE + DCF'!$V$33</f>
        <v>-90858.801614444121</v>
      </c>
      <c r="J2894" s="359">
        <f>-'DRE + DCF'!$V$56*L2894</f>
        <v>-1188924.4255577971</v>
      </c>
      <c r="K2894" s="360">
        <f>(1+L2894)/(1+Ke!$O$12)-1</f>
        <v>2.0000000000000018E-2</v>
      </c>
      <c r="L2894" s="360">
        <f>'DRE + DCF'!$Y$31</f>
        <v>7.3550000000000004E-2</v>
      </c>
      <c r="M2894" s="361">
        <f>(1+D2894)^((5-Dashboard!$F$9)*3/12)</f>
        <v>1.2608653240489403</v>
      </c>
      <c r="N2894" s="361">
        <f t="shared" ref="N2894:V2894" si="2972">M2894*(1+$D2894)</f>
        <v>1.7174877011532328</v>
      </c>
      <c r="O2894" s="361">
        <f t="shared" si="2972"/>
        <v>2.3394758721258335</v>
      </c>
      <c r="P2894" s="361">
        <f t="shared" si="2972"/>
        <v>3.1867170592161465</v>
      </c>
      <c r="Q2894" s="361">
        <f t="shared" si="2972"/>
        <v>4.3407866422111949</v>
      </c>
      <c r="R2894" s="361">
        <f t="shared" si="2972"/>
        <v>5.9128025246878719</v>
      </c>
      <c r="S2894" s="361">
        <f t="shared" si="2972"/>
        <v>8.054123959003439</v>
      </c>
      <c r="T2894" s="361">
        <f t="shared" si="2972"/>
        <v>10.970924950756336</v>
      </c>
      <c r="U2894" s="361">
        <f t="shared" si="2972"/>
        <v>14.944045421672472</v>
      </c>
      <c r="V2894" s="362">
        <f t="shared" si="2972"/>
        <v>20.356031471130787</v>
      </c>
      <c r="X2894" s="351"/>
    </row>
    <row r="2895" spans="3:24" ht="24.75" customHeight="1" x14ac:dyDescent="0.3">
      <c r="C2895" s="353">
        <f>ABS(E2895-Dashboard!$F$14)</f>
        <v>56.659633234634988</v>
      </c>
      <c r="D2895" s="350">
        <f t="shared" ref="D2895:D2958" si="2973">D2894+0.0001</f>
        <v>0.36224999999997537</v>
      </c>
      <c r="E2895" s="359" cm="1">
        <f t="array" ref="E2895">1000*SUM('DRE + DCF'!$L$36/M2895,'DRE + DCF'!$N$36:$V$36/N2895:V2895,F2895/V2895)/Dashboard!$F$11</f>
        <v>40.330366765365007</v>
      </c>
      <c r="F2895" s="359">
        <f t="shared" si="2971"/>
        <v>7098266.0485335421</v>
      </c>
      <c r="G2895" s="359">
        <f>'DRE + DCF'!$W$31</f>
        <v>2791623.3540418856</v>
      </c>
      <c r="H2895" s="359">
        <f>'DRE + DCF'!$W$32</f>
        <v>81081.931703745853</v>
      </c>
      <c r="I2895" s="359">
        <f>-H2895*('DRE + DCF'!$V$33+K2895)/'DRE + DCF'!$V$33</f>
        <v>-90858.801614444121</v>
      </c>
      <c r="J2895" s="359">
        <f>-'DRE + DCF'!$V$56*L2895</f>
        <v>-1188924.4255577971</v>
      </c>
      <c r="K2895" s="360">
        <f>(1+L2895)/(1+Ke!$O$12)-1</f>
        <v>2.0000000000000018E-2</v>
      </c>
      <c r="L2895" s="360">
        <f>'DRE + DCF'!$Y$31</f>
        <v>7.3550000000000004E-2</v>
      </c>
      <c r="M2895" s="361">
        <f>(1+D2895)^((5-Dashboard!$F$9)*3/12)</f>
        <v>1.2609347466760661</v>
      </c>
      <c r="N2895" s="361">
        <f t="shared" ref="N2895:V2895" si="2974">M2895*(1+$D2895)</f>
        <v>1.7177083586594399</v>
      </c>
      <c r="O2895" s="361">
        <f t="shared" si="2974"/>
        <v>2.3399482115837795</v>
      </c>
      <c r="P2895" s="361">
        <f t="shared" si="2974"/>
        <v>3.1875944512299461</v>
      </c>
      <c r="Q2895" s="361">
        <f t="shared" si="2974"/>
        <v>4.3423005411879156</v>
      </c>
      <c r="R2895" s="361">
        <f t="shared" si="2974"/>
        <v>5.9152989122331308</v>
      </c>
      <c r="S2895" s="361">
        <f t="shared" si="2974"/>
        <v>8.0581159431894367</v>
      </c>
      <c r="T2895" s="361">
        <f t="shared" si="2974"/>
        <v>10.977168443609612</v>
      </c>
      <c r="U2895" s="361">
        <f t="shared" si="2974"/>
        <v>14.953647712306923</v>
      </c>
      <c r="V2895" s="362">
        <f t="shared" si="2974"/>
        <v>20.370606596089736</v>
      </c>
      <c r="X2895" s="351"/>
    </row>
    <row r="2896" spans="3:24" ht="24.75" customHeight="1" x14ac:dyDescent="0.3">
      <c r="C2896" s="353">
        <f>ABS(E2896-Dashboard!$F$14)</f>
        <v>56.676162790777667</v>
      </c>
      <c r="D2896" s="350">
        <f t="shared" si="2973"/>
        <v>0.36234999999997536</v>
      </c>
      <c r="E2896" s="359" cm="1">
        <f t="array" ref="E2896">1000*SUM('DRE + DCF'!$L$36/M2896,'DRE + DCF'!$N$36:$V$36/N2896:V2896,F2896/V2896)/Dashboard!$F$11</f>
        <v>40.313837209222328</v>
      </c>
      <c r="F2896" s="359">
        <f t="shared" si="2971"/>
        <v>7096098.9355902169</v>
      </c>
      <c r="G2896" s="359">
        <f>'DRE + DCF'!$W$31</f>
        <v>2791623.3540418856</v>
      </c>
      <c r="H2896" s="359">
        <f>'DRE + DCF'!$W$32</f>
        <v>81081.931703745853</v>
      </c>
      <c r="I2896" s="359">
        <f>-H2896*('DRE + DCF'!$V$33+K2896)/'DRE + DCF'!$V$33</f>
        <v>-90858.801614444121</v>
      </c>
      <c r="J2896" s="359">
        <f>-'DRE + DCF'!$V$56*L2896</f>
        <v>-1188924.4255577971</v>
      </c>
      <c r="K2896" s="360">
        <f>(1+L2896)/(1+Ke!$O$12)-1</f>
        <v>2.0000000000000018E-2</v>
      </c>
      <c r="L2896" s="360">
        <f>'DRE + DCF'!$Y$31</f>
        <v>7.3550000000000004E-2</v>
      </c>
      <c r="M2896" s="361">
        <f>(1+D2896)^((5-Dashboard!$F$9)*3/12)</f>
        <v>1.2610041680291602</v>
      </c>
      <c r="N2896" s="361">
        <f t="shared" ref="N2896:V2896" si="2975">M2896*(1+$D2896)</f>
        <v>1.7179290283144952</v>
      </c>
      <c r="O2896" s="361">
        <f t="shared" si="2975"/>
        <v>2.3404206117242103</v>
      </c>
      <c r="P2896" s="361">
        <f t="shared" si="2975"/>
        <v>3.1884720203824202</v>
      </c>
      <c r="Q2896" s="361">
        <f t="shared" si="2975"/>
        <v>4.3438148569679118</v>
      </c>
      <c r="R2896" s="361">
        <f t="shared" si="2975"/>
        <v>5.917796170390127</v>
      </c>
      <c r="S2896" s="361">
        <f t="shared" si="2975"/>
        <v>8.0621096127308434</v>
      </c>
      <c r="T2896" s="361">
        <f t="shared" si="2975"/>
        <v>10.983415030903666</v>
      </c>
      <c r="U2896" s="361">
        <f t="shared" si="2975"/>
        <v>14.963255467351338</v>
      </c>
      <c r="V2896" s="362">
        <f t="shared" si="2975"/>
        <v>20.385191085945728</v>
      </c>
      <c r="X2896" s="351"/>
    </row>
    <row r="2897" spans="3:24" ht="24.75" customHeight="1" x14ac:dyDescent="0.3">
      <c r="C2897" s="353">
        <f>ABS(E2897-Dashboard!$F$14)</f>
        <v>56.69267993347701</v>
      </c>
      <c r="D2897" s="350">
        <f t="shared" si="2973"/>
        <v>0.36244999999997535</v>
      </c>
      <c r="E2897" s="359" cm="1">
        <f t="array" ref="E2897">1000*SUM('DRE + DCF'!$L$36/M2897,'DRE + DCF'!$N$36:$V$36/N2897:V2897,F2897/V2897)/Dashboard!$F$11</f>
        <v>40.297320066522985</v>
      </c>
      <c r="F2897" s="359">
        <f t="shared" si="2971"/>
        <v>7093933.1625258084</v>
      </c>
      <c r="G2897" s="359">
        <f>'DRE + DCF'!$W$31</f>
        <v>2791623.3540418856</v>
      </c>
      <c r="H2897" s="359">
        <f>'DRE + DCF'!$W$32</f>
        <v>81081.931703745853</v>
      </c>
      <c r="I2897" s="359">
        <f>-H2897*('DRE + DCF'!$V$33+K2897)/'DRE + DCF'!$V$33</f>
        <v>-90858.801614444121</v>
      </c>
      <c r="J2897" s="359">
        <f>-'DRE + DCF'!$V$56*L2897</f>
        <v>-1188924.4255577971</v>
      </c>
      <c r="K2897" s="360">
        <f>(1+L2897)/(1+Ke!$O$12)-1</f>
        <v>2.0000000000000018E-2</v>
      </c>
      <c r="L2897" s="360">
        <f>'DRE + DCF'!$Y$31</f>
        <v>7.3550000000000004E-2</v>
      </c>
      <c r="M2897" s="361">
        <f>(1+D2897)^((5-Dashboard!$F$9)*3/12)</f>
        <v>1.2610735881083392</v>
      </c>
      <c r="N2897" s="361">
        <f t="shared" ref="N2897:V2897" si="2976">M2897*(1+$D2897)</f>
        <v>1.7181497101181757</v>
      </c>
      <c r="O2897" s="361">
        <f t="shared" si="2976"/>
        <v>2.340893072550466</v>
      </c>
      <c r="P2897" s="361">
        <f t="shared" si="2976"/>
        <v>3.1893497666963246</v>
      </c>
      <c r="Q2897" s="361">
        <f t="shared" si="2976"/>
        <v>4.3453295896353286</v>
      </c>
      <c r="R2897" s="361">
        <f t="shared" si="2976"/>
        <v>5.9202942993985461</v>
      </c>
      <c r="S2897" s="361">
        <f t="shared" si="2976"/>
        <v>8.0661049682154022</v>
      </c>
      <c r="T2897" s="361">
        <f t="shared" si="2976"/>
        <v>10.989664713944876</v>
      </c>
      <c r="U2897" s="361">
        <f t="shared" si="2976"/>
        <v>14.972868689513925</v>
      </c>
      <c r="V2897" s="362">
        <f t="shared" si="2976"/>
        <v>20.399784946027879</v>
      </c>
      <c r="X2897" s="351"/>
    </row>
    <row r="2898" spans="3:24" ht="24.75" customHeight="1" x14ac:dyDescent="0.3">
      <c r="C2898" s="353">
        <f>ABS(E2898-Dashboard!$F$14)</f>
        <v>56.709184675760639</v>
      </c>
      <c r="D2898" s="350">
        <f t="shared" si="2973"/>
        <v>0.36254999999997534</v>
      </c>
      <c r="E2898" s="359" cm="1">
        <f t="array" ref="E2898">1000*SUM('DRE + DCF'!$L$36/M2898,'DRE + DCF'!$N$36:$V$36/N2898:V2898,F2898/V2898)/Dashboard!$F$11</f>
        <v>40.280815324239356</v>
      </c>
      <c r="F2898" s="359">
        <f t="shared" si="2971"/>
        <v>7091768.7280820962</v>
      </c>
      <c r="G2898" s="359">
        <f>'DRE + DCF'!$W$31</f>
        <v>2791623.3540418856</v>
      </c>
      <c r="H2898" s="359">
        <f>'DRE + DCF'!$W$32</f>
        <v>81081.931703745853</v>
      </c>
      <c r="I2898" s="359">
        <f>-H2898*('DRE + DCF'!$V$33+K2898)/'DRE + DCF'!$V$33</f>
        <v>-90858.801614444121</v>
      </c>
      <c r="J2898" s="359">
        <f>-'DRE + DCF'!$V$56*L2898</f>
        <v>-1188924.4255577971</v>
      </c>
      <c r="K2898" s="360">
        <f>(1+L2898)/(1+Ke!$O$12)-1</f>
        <v>2.0000000000000018E-2</v>
      </c>
      <c r="L2898" s="360">
        <f>'DRE + DCF'!$Y$31</f>
        <v>7.3550000000000004E-2</v>
      </c>
      <c r="M2898" s="361">
        <f>(1+D2898)^((5-Dashboard!$F$9)*3/12)</f>
        <v>1.2611430069137206</v>
      </c>
      <c r="N2898" s="361">
        <f t="shared" ref="N2898:V2898" si="2977">M2898*(1+$D2898)</f>
        <v>1.7183704040702588</v>
      </c>
      <c r="O2898" s="361">
        <f t="shared" si="2977"/>
        <v>2.3413655940658886</v>
      </c>
      <c r="P2898" s="361">
        <f t="shared" si="2977"/>
        <v>3.1902276901944187</v>
      </c>
      <c r="Q2898" s="361">
        <f t="shared" si="2977"/>
        <v>4.3468447392743261</v>
      </c>
      <c r="R2898" s="361">
        <f t="shared" si="2977"/>
        <v>5.9227932994981254</v>
      </c>
      <c r="S2898" s="361">
        <f t="shared" si="2977"/>
        <v>8.0701020102310235</v>
      </c>
      <c r="T2898" s="361">
        <f t="shared" si="2977"/>
        <v>10.995917494040082</v>
      </c>
      <c r="U2898" s="361">
        <f t="shared" si="2977"/>
        <v>14.982487381504042</v>
      </c>
      <c r="V2898" s="362">
        <f t="shared" si="2977"/>
        <v>20.414388181667963</v>
      </c>
      <c r="X2898" s="351"/>
    </row>
    <row r="2899" spans="3:24" ht="24.75" customHeight="1" x14ac:dyDescent="0.3">
      <c r="C2899" s="353">
        <f>ABS(E2899-Dashboard!$F$14)</f>
        <v>56.725677030638735</v>
      </c>
      <c r="D2899" s="350">
        <f t="shared" si="2973"/>
        <v>0.36264999999997533</v>
      </c>
      <c r="E2899" s="359" cm="1">
        <f t="array" ref="E2899">1000*SUM('DRE + DCF'!$L$36/M2899,'DRE + DCF'!$N$36:$V$36/N2899:V2899,F2899/V2899)/Dashboard!$F$11</f>
        <v>40.26432296936126</v>
      </c>
      <c r="F2899" s="359">
        <f t="shared" si="2971"/>
        <v>7089605.6310024559</v>
      </c>
      <c r="G2899" s="359">
        <f>'DRE + DCF'!$W$31</f>
        <v>2791623.3540418856</v>
      </c>
      <c r="H2899" s="359">
        <f>'DRE + DCF'!$W$32</f>
        <v>81081.931703745853</v>
      </c>
      <c r="I2899" s="359">
        <f>-H2899*('DRE + DCF'!$V$33+K2899)/'DRE + DCF'!$V$33</f>
        <v>-90858.801614444121</v>
      </c>
      <c r="J2899" s="359">
        <f>-'DRE + DCF'!$V$56*L2899</f>
        <v>-1188924.4255577971</v>
      </c>
      <c r="K2899" s="360">
        <f>(1+L2899)/(1+Ke!$O$12)-1</f>
        <v>2.0000000000000018E-2</v>
      </c>
      <c r="L2899" s="360">
        <f>'DRE + DCF'!$Y$31</f>
        <v>7.3550000000000004E-2</v>
      </c>
      <c r="M2899" s="361">
        <f>(1+D2899)^((5-Dashboard!$F$9)*3/12)</f>
        <v>1.2612124244454206</v>
      </c>
      <c r="N2899" s="361">
        <f t="shared" ref="N2899:V2899" si="2978">M2899*(1+$D2899)</f>
        <v>1.7185911101705211</v>
      </c>
      <c r="O2899" s="361">
        <f t="shared" si="2978"/>
        <v>2.3418381762738183</v>
      </c>
      <c r="P2899" s="361">
        <f t="shared" si="2978"/>
        <v>3.1911057908994604</v>
      </c>
      <c r="Q2899" s="361">
        <f t="shared" si="2978"/>
        <v>4.348360305969071</v>
      </c>
      <c r="R2899" s="361">
        <f t="shared" si="2978"/>
        <v>5.9252931709286472</v>
      </c>
      <c r="S2899" s="361">
        <f t="shared" si="2978"/>
        <v>8.0741007393657753</v>
      </c>
      <c r="T2899" s="361">
        <f t="shared" si="2978"/>
        <v>11.002173372496575</v>
      </c>
      <c r="U2899" s="361">
        <f t="shared" si="2978"/>
        <v>14.992111546032186</v>
      </c>
      <c r="V2899" s="362">
        <f t="shared" si="2978"/>
        <v>20.429000798200388</v>
      </c>
      <c r="X2899" s="351"/>
    </row>
    <row r="2900" spans="3:24" ht="24.75" customHeight="1" x14ac:dyDescent="0.3">
      <c r="C2900" s="353">
        <f>ABS(E2900-Dashboard!$F$14)</f>
        <v>56.742157011104169</v>
      </c>
      <c r="D2900" s="350">
        <f t="shared" si="2973"/>
        <v>0.36274999999997531</v>
      </c>
      <c r="E2900" s="359" cm="1">
        <f t="array" ref="E2900">1000*SUM('DRE + DCF'!$L$36/M2900,'DRE + DCF'!$N$36:$V$36/N2900:V2900,F2900/V2900)/Dashboard!$F$11</f>
        <v>40.247842988895826</v>
      </c>
      <c r="F2900" s="359">
        <f t="shared" si="2971"/>
        <v>7087443.8700318541</v>
      </c>
      <c r="G2900" s="359">
        <f>'DRE + DCF'!$W$31</f>
        <v>2791623.3540418856</v>
      </c>
      <c r="H2900" s="359">
        <f>'DRE + DCF'!$W$32</f>
        <v>81081.931703745853</v>
      </c>
      <c r="I2900" s="359">
        <f>-H2900*('DRE + DCF'!$V$33+K2900)/'DRE + DCF'!$V$33</f>
        <v>-90858.801614444121</v>
      </c>
      <c r="J2900" s="359">
        <f>-'DRE + DCF'!$V$56*L2900</f>
        <v>-1188924.4255577971</v>
      </c>
      <c r="K2900" s="360">
        <f>(1+L2900)/(1+Ke!$O$12)-1</f>
        <v>2.0000000000000018E-2</v>
      </c>
      <c r="L2900" s="360">
        <f>'DRE + DCF'!$Y$31</f>
        <v>7.3550000000000004E-2</v>
      </c>
      <c r="M2900" s="361">
        <f>(1+D2900)^((5-Dashboard!$F$9)*3/12)</f>
        <v>1.2612818407035564</v>
      </c>
      <c r="N2900" s="361">
        <f t="shared" ref="N2900:V2900" si="2979">M2900*(1+$D2900)</f>
        <v>1.7188118284187404</v>
      </c>
      <c r="O2900" s="361">
        <f t="shared" si="2979"/>
        <v>2.3423108191775959</v>
      </c>
      <c r="P2900" s="361">
        <f t="shared" si="2979"/>
        <v>3.1919840688342109</v>
      </c>
      <c r="Q2900" s="361">
        <f t="shared" si="2979"/>
        <v>4.349876289803742</v>
      </c>
      <c r="R2900" s="361">
        <f t="shared" si="2979"/>
        <v>5.9277939139299418</v>
      </c>
      <c r="S2900" s="361">
        <f t="shared" si="2979"/>
        <v>8.0781011562078824</v>
      </c>
      <c r="T2900" s="361">
        <f t="shared" si="2979"/>
        <v>11.008432350622092</v>
      </c>
      <c r="U2900" s="361">
        <f t="shared" si="2979"/>
        <v>15.001741185809983</v>
      </c>
      <c r="V2900" s="362">
        <f t="shared" si="2979"/>
        <v>20.443622800962185</v>
      </c>
      <c r="X2900" s="351"/>
    </row>
    <row r="2901" spans="3:24" ht="24.75" customHeight="1" x14ac:dyDescent="0.3">
      <c r="C2901" s="353">
        <f>ABS(E2901-Dashboard!$F$14)</f>
        <v>56.758624630132374</v>
      </c>
      <c r="D2901" s="350">
        <f t="shared" si="2973"/>
        <v>0.3628499999999753</v>
      </c>
      <c r="E2901" s="359" cm="1">
        <f t="array" ref="E2901">1000*SUM('DRE + DCF'!$L$36/M2901,'DRE + DCF'!$N$36:$V$36/N2901:V2901,F2901/V2901)/Dashboard!$F$11</f>
        <v>40.231375369867621</v>
      </c>
      <c r="F2901" s="359">
        <f t="shared" si="2971"/>
        <v>7085283.443916847</v>
      </c>
      <c r="G2901" s="359">
        <f>'DRE + DCF'!$W$31</f>
        <v>2791623.3540418856</v>
      </c>
      <c r="H2901" s="359">
        <f>'DRE + DCF'!$W$32</f>
        <v>81081.931703745853</v>
      </c>
      <c r="I2901" s="359">
        <f>-H2901*('DRE + DCF'!$V$33+K2901)/'DRE + DCF'!$V$33</f>
        <v>-90858.801614444121</v>
      </c>
      <c r="J2901" s="359">
        <f>-'DRE + DCF'!$V$56*L2901</f>
        <v>-1188924.4255577971</v>
      </c>
      <c r="K2901" s="360">
        <f>(1+L2901)/(1+Ke!$O$12)-1</f>
        <v>2.0000000000000018E-2</v>
      </c>
      <c r="L2901" s="360">
        <f>'DRE + DCF'!$Y$31</f>
        <v>7.3550000000000004E-2</v>
      </c>
      <c r="M2901" s="361">
        <f>(1+D2901)^((5-Dashboard!$F$9)*3/12)</f>
        <v>1.2613512556882447</v>
      </c>
      <c r="N2901" s="361">
        <f t="shared" ref="N2901:V2901" si="2980">M2901*(1+$D2901)</f>
        <v>1.7190325588146931</v>
      </c>
      <c r="O2901" s="361">
        <f t="shared" si="2980"/>
        <v>2.3427835227805618</v>
      </c>
      <c r="P2901" s="361">
        <f t="shared" si="2980"/>
        <v>3.1928625240214306</v>
      </c>
      <c r="Q2901" s="361">
        <f t="shared" si="2980"/>
        <v>4.3513926908625278</v>
      </c>
      <c r="R2901" s="361">
        <f t="shared" si="2980"/>
        <v>5.9302955287418886</v>
      </c>
      <c r="S2901" s="361">
        <f t="shared" si="2980"/>
        <v>8.0821032613457362</v>
      </c>
      <c r="T2901" s="361">
        <f t="shared" si="2980"/>
        <v>11.014694429724836</v>
      </c>
      <c r="U2901" s="361">
        <f t="shared" si="2980"/>
        <v>15.01137630355022</v>
      </c>
      <c r="V2901" s="362">
        <f t="shared" si="2980"/>
        <v>20.458254195293044</v>
      </c>
      <c r="X2901" s="351"/>
    </row>
    <row r="2902" spans="3:24" ht="24.75" customHeight="1" x14ac:dyDescent="0.3">
      <c r="C2902" s="353">
        <f>ABS(E2902-Dashboard!$F$14)</f>
        <v>56.77507990068154</v>
      </c>
      <c r="D2902" s="350">
        <f t="shared" si="2973"/>
        <v>0.36294999999997529</v>
      </c>
      <c r="E2902" s="359" cm="1">
        <f t="array" ref="E2902">1000*SUM('DRE + DCF'!$L$36/M2902,'DRE + DCF'!$N$36:$V$36/N2902:V2902,F2902/V2902)/Dashboard!$F$11</f>
        <v>40.214920099318455</v>
      </c>
      <c r="F2902" s="359">
        <f t="shared" si="2971"/>
        <v>7083124.3514055777</v>
      </c>
      <c r="G2902" s="359">
        <f>'DRE + DCF'!$W$31</f>
        <v>2791623.3540418856</v>
      </c>
      <c r="H2902" s="359">
        <f>'DRE + DCF'!$W$32</f>
        <v>81081.931703745853</v>
      </c>
      <c r="I2902" s="359">
        <f>-H2902*('DRE + DCF'!$V$33+K2902)/'DRE + DCF'!$V$33</f>
        <v>-90858.801614444121</v>
      </c>
      <c r="J2902" s="359">
        <f>-'DRE + DCF'!$V$56*L2902</f>
        <v>-1188924.4255577971</v>
      </c>
      <c r="K2902" s="360">
        <f>(1+L2902)/(1+Ke!$O$12)-1</f>
        <v>2.0000000000000018E-2</v>
      </c>
      <c r="L2902" s="360">
        <f>'DRE + DCF'!$Y$31</f>
        <v>7.3550000000000004E-2</v>
      </c>
      <c r="M2902" s="361">
        <f>(1+D2902)^((5-Dashboard!$F$9)*3/12)</f>
        <v>1.2614206693996024</v>
      </c>
      <c r="N2902" s="361">
        <f t="shared" ref="N2902:V2902" si="2981">M2902*(1+$D2902)</f>
        <v>1.7192533013581568</v>
      </c>
      <c r="O2902" s="361">
        <f t="shared" si="2981"/>
        <v>2.3432562870860574</v>
      </c>
      <c r="P2902" s="361">
        <f t="shared" si="2981"/>
        <v>3.1937411564838838</v>
      </c>
      <c r="Q2902" s="361">
        <f t="shared" si="2981"/>
        <v>4.3529095092296304</v>
      </c>
      <c r="R2902" s="361">
        <f t="shared" si="2981"/>
        <v>5.9327980156044173</v>
      </c>
      <c r="S2902" s="361">
        <f t="shared" si="2981"/>
        <v>8.0861070553678935</v>
      </c>
      <c r="T2902" s="361">
        <f t="shared" si="2981"/>
        <v>11.02095961111347</v>
      </c>
      <c r="U2902" s="361">
        <f t="shared" si="2981"/>
        <v>15.021016901966831</v>
      </c>
      <c r="V2902" s="362">
        <f t="shared" si="2981"/>
        <v>20.472894986535319</v>
      </c>
      <c r="X2902" s="351"/>
    </row>
    <row r="2903" spans="3:24" ht="24.75" customHeight="1" x14ac:dyDescent="0.3">
      <c r="C2903" s="353">
        <f>ABS(E2903-Dashboard!$F$14)</f>
        <v>56.79152283569249</v>
      </c>
      <c r="D2903" s="350">
        <f t="shared" si="2973"/>
        <v>0.36304999999997528</v>
      </c>
      <c r="E2903" s="359" cm="1">
        <f t="array" ref="E2903">1000*SUM('DRE + DCF'!$L$36/M2903,'DRE + DCF'!$N$36:$V$36/N2903:V2903,F2903/V2903)/Dashboard!$F$11</f>
        <v>40.198477164307505</v>
      </c>
      <c r="F2903" s="359">
        <f t="shared" si="2971"/>
        <v>7080966.5912477719</v>
      </c>
      <c r="G2903" s="359">
        <f>'DRE + DCF'!$W$31</f>
        <v>2791623.3540418856</v>
      </c>
      <c r="H2903" s="359">
        <f>'DRE + DCF'!$W$32</f>
        <v>81081.931703745853</v>
      </c>
      <c r="I2903" s="359">
        <f>-H2903*('DRE + DCF'!$V$33+K2903)/'DRE + DCF'!$V$33</f>
        <v>-90858.801614444121</v>
      </c>
      <c r="J2903" s="359">
        <f>-'DRE + DCF'!$V$56*L2903</f>
        <v>-1188924.4255577971</v>
      </c>
      <c r="K2903" s="360">
        <f>(1+L2903)/(1+Ke!$O$12)-1</f>
        <v>2.0000000000000018E-2</v>
      </c>
      <c r="L2903" s="360">
        <f>'DRE + DCF'!$Y$31</f>
        <v>7.3550000000000004E-2</v>
      </c>
      <c r="M2903" s="361">
        <f>(1+D2903)^((5-Dashboard!$F$9)*3/12)</f>
        <v>1.2614900818377461</v>
      </c>
      <c r="N2903" s="361">
        <f t="shared" ref="N2903:V2903" si="2982">M2903*(1+$D2903)</f>
        <v>1.7194740560489086</v>
      </c>
      <c r="O2903" s="361">
        <f t="shared" si="2982"/>
        <v>2.3437291120974222</v>
      </c>
      <c r="P2903" s="361">
        <f t="shared" si="2982"/>
        <v>3.1946199662443333</v>
      </c>
      <c r="Q2903" s="361">
        <f t="shared" si="2982"/>
        <v>4.3544267449892597</v>
      </c>
      <c r="R2903" s="361">
        <f t="shared" si="2982"/>
        <v>5.9353013747575023</v>
      </c>
      <c r="S2903" s="361">
        <f t="shared" si="2982"/>
        <v>8.0901125388630657</v>
      </c>
      <c r="T2903" s="361">
        <f t="shared" si="2982"/>
        <v>11.0272278960971</v>
      </c>
      <c r="U2903" s="361">
        <f t="shared" si="2982"/>
        <v>15.03066298377488</v>
      </c>
      <c r="V2903" s="362">
        <f t="shared" si="2982"/>
        <v>20.487545180033976</v>
      </c>
      <c r="X2903" s="351"/>
    </row>
    <row r="2904" spans="3:24" ht="24.75" customHeight="1" x14ac:dyDescent="0.3">
      <c r="C2904" s="353">
        <f>ABS(E2904-Dashboard!$F$14)</f>
        <v>56.807953448088824</v>
      </c>
      <c r="D2904" s="350">
        <f t="shared" si="2973"/>
        <v>0.36314999999997527</v>
      </c>
      <c r="E2904" s="359" cm="1">
        <f t="array" ref="E2904">1000*SUM('DRE + DCF'!$L$36/M2904,'DRE + DCF'!$N$36:$V$36/N2904:V2904,F2904/V2904)/Dashboard!$F$11</f>
        <v>40.182046551911171</v>
      </c>
      <c r="F2904" s="359">
        <f t="shared" si="2971"/>
        <v>7078810.1621947419</v>
      </c>
      <c r="G2904" s="359">
        <f>'DRE + DCF'!$W$31</f>
        <v>2791623.3540418856</v>
      </c>
      <c r="H2904" s="359">
        <f>'DRE + DCF'!$W$32</f>
        <v>81081.931703745853</v>
      </c>
      <c r="I2904" s="359">
        <f>-H2904*('DRE + DCF'!$V$33+K2904)/'DRE + DCF'!$V$33</f>
        <v>-90858.801614444121</v>
      </c>
      <c r="J2904" s="359">
        <f>-'DRE + DCF'!$V$56*L2904</f>
        <v>-1188924.4255577971</v>
      </c>
      <c r="K2904" s="360">
        <f>(1+L2904)/(1+Ke!$O$12)-1</f>
        <v>2.0000000000000018E-2</v>
      </c>
      <c r="L2904" s="360">
        <f>'DRE + DCF'!$Y$31</f>
        <v>7.3550000000000004E-2</v>
      </c>
      <c r="M2904" s="361">
        <f>(1+D2904)^((5-Dashboard!$F$9)*3/12)</f>
        <v>1.2615594930027927</v>
      </c>
      <c r="N2904" s="361">
        <f t="shared" ref="N2904:V2904" si="2983">M2904*(1+$D2904)</f>
        <v>1.7196948228867255</v>
      </c>
      <c r="O2904" s="361">
        <f t="shared" si="2983"/>
        <v>2.3442019978179971</v>
      </c>
      <c r="P2904" s="361">
        <f t="shared" si="2983"/>
        <v>3.1954989533255445</v>
      </c>
      <c r="Q2904" s="361">
        <f t="shared" si="2983"/>
        <v>4.3559443982256365</v>
      </c>
      <c r="R2904" s="361">
        <f t="shared" si="2983"/>
        <v>5.9378056064411684</v>
      </c>
      <c r="S2904" s="361">
        <f t="shared" si="2983"/>
        <v>8.094119712420131</v>
      </c>
      <c r="T2904" s="361">
        <f t="shared" si="2983"/>
        <v>11.0334992859853</v>
      </c>
      <c r="U2904" s="361">
        <f t="shared" si="2983"/>
        <v>15.040314551690589</v>
      </c>
      <c r="V2904" s="362">
        <f t="shared" si="2983"/>
        <v>20.502204781136655</v>
      </c>
      <c r="X2904" s="351"/>
    </row>
    <row r="2905" spans="3:24" ht="24.75" customHeight="1" x14ac:dyDescent="0.3">
      <c r="C2905" s="353">
        <f>ABS(E2905-Dashboard!$F$14)</f>
        <v>56.824371750776933</v>
      </c>
      <c r="D2905" s="350">
        <f t="shared" si="2973"/>
        <v>0.36324999999997526</v>
      </c>
      <c r="E2905" s="359" cm="1">
        <f t="array" ref="E2905">1000*SUM('DRE + DCF'!$L$36/M2905,'DRE + DCF'!$N$36:$V$36/N2905:V2905,F2905/V2905)/Dashboard!$F$11</f>
        <v>40.165628249223062</v>
      </c>
      <c r="F2905" s="359">
        <f t="shared" si="2971"/>
        <v>7076655.0629993733</v>
      </c>
      <c r="G2905" s="359">
        <f>'DRE + DCF'!$W$31</f>
        <v>2791623.3540418856</v>
      </c>
      <c r="H2905" s="359">
        <f>'DRE + DCF'!$W$32</f>
        <v>81081.931703745853</v>
      </c>
      <c r="I2905" s="359">
        <f>-H2905*('DRE + DCF'!$V$33+K2905)/'DRE + DCF'!$V$33</f>
        <v>-90858.801614444121</v>
      </c>
      <c r="J2905" s="359">
        <f>-'DRE + DCF'!$V$56*L2905</f>
        <v>-1188924.4255577971</v>
      </c>
      <c r="K2905" s="360">
        <f>(1+L2905)/(1+Ke!$O$12)-1</f>
        <v>2.0000000000000018E-2</v>
      </c>
      <c r="L2905" s="360">
        <f>'DRE + DCF'!$Y$31</f>
        <v>7.3550000000000004E-2</v>
      </c>
      <c r="M2905" s="361">
        <f>(1+D2905)^((5-Dashboard!$F$9)*3/12)</f>
        <v>1.2616289028948591</v>
      </c>
      <c r="N2905" s="361">
        <f t="shared" ref="N2905:V2905" si="2984">M2905*(1+$D2905)</f>
        <v>1.7199156018713853</v>
      </c>
      <c r="O2905" s="361">
        <f t="shared" si="2984"/>
        <v>2.3446749442511234</v>
      </c>
      <c r="P2905" s="361">
        <f t="shared" si="2984"/>
        <v>3.1963781177502857</v>
      </c>
      <c r="Q2905" s="361">
        <f t="shared" si="2984"/>
        <v>4.3574624690229973</v>
      </c>
      <c r="R2905" s="361">
        <f t="shared" si="2984"/>
        <v>5.9403107108954929</v>
      </c>
      <c r="S2905" s="361">
        <f t="shared" si="2984"/>
        <v>8.0981285766281328</v>
      </c>
      <c r="T2905" s="361">
        <f t="shared" si="2984"/>
        <v>11.039773782088101</v>
      </c>
      <c r="U2905" s="361">
        <f t="shared" si="2984"/>
        <v>15.04997160843133</v>
      </c>
      <c r="V2905" s="362">
        <f t="shared" si="2984"/>
        <v>20.516873795193636</v>
      </c>
      <c r="X2905" s="351"/>
    </row>
    <row r="2906" spans="3:24" ht="24.75" customHeight="1" x14ac:dyDescent="0.3">
      <c r="C2906" s="353">
        <f>ABS(E2906-Dashboard!$F$14)</f>
        <v>56.840777756645913</v>
      </c>
      <c r="D2906" s="350">
        <f t="shared" si="2973"/>
        <v>0.36334999999997525</v>
      </c>
      <c r="E2906" s="359" cm="1">
        <f t="array" ref="E2906">1000*SUM('DRE + DCF'!$L$36/M2906,'DRE + DCF'!$N$36:$V$36/N2906:V2906,F2906/V2906)/Dashboard!$F$11</f>
        <v>40.149222243354082</v>
      </c>
      <c r="F2906" s="359">
        <f t="shared" si="2971"/>
        <v>7074501.2924161348</v>
      </c>
      <c r="G2906" s="359">
        <f>'DRE + DCF'!$W$31</f>
        <v>2791623.3540418856</v>
      </c>
      <c r="H2906" s="359">
        <f>'DRE + DCF'!$W$32</f>
        <v>81081.931703745853</v>
      </c>
      <c r="I2906" s="359">
        <f>-H2906*('DRE + DCF'!$V$33+K2906)/'DRE + DCF'!$V$33</f>
        <v>-90858.801614444121</v>
      </c>
      <c r="J2906" s="359">
        <f>-'DRE + DCF'!$V$56*L2906</f>
        <v>-1188924.4255577971</v>
      </c>
      <c r="K2906" s="360">
        <f>(1+L2906)/(1+Ke!$O$12)-1</f>
        <v>2.0000000000000018E-2</v>
      </c>
      <c r="L2906" s="360">
        <f>'DRE + DCF'!$Y$31</f>
        <v>7.3550000000000004E-2</v>
      </c>
      <c r="M2906" s="361">
        <f>(1+D2906)^((5-Dashboard!$F$9)*3/12)</f>
        <v>1.2616983115140616</v>
      </c>
      <c r="N2906" s="361">
        <f t="shared" ref="N2906:V2906" si="2985">M2906*(1+$D2906)</f>
        <v>1.7201363930026647</v>
      </c>
      <c r="O2906" s="361">
        <f t="shared" si="2985"/>
        <v>2.3451479514001403</v>
      </c>
      <c r="P2906" s="361">
        <f t="shared" si="2985"/>
        <v>3.1972574595413232</v>
      </c>
      <c r="Q2906" s="361">
        <f t="shared" si="2985"/>
        <v>4.358980957465584</v>
      </c>
      <c r="R2906" s="361">
        <f t="shared" si="2985"/>
        <v>5.9428166883605957</v>
      </c>
      <c r="S2906" s="361">
        <f t="shared" si="2985"/>
        <v>8.102139132076271</v>
      </c>
      <c r="T2906" s="361">
        <f t="shared" si="2985"/>
        <v>11.046051385715984</v>
      </c>
      <c r="U2906" s="361">
        <f t="shared" si="2985"/>
        <v>15.059634156715612</v>
      </c>
      <c r="V2906" s="362">
        <f t="shared" si="2985"/>
        <v>20.531552227557857</v>
      </c>
      <c r="X2906" s="351"/>
    </row>
    <row r="2907" spans="3:24" ht="24.75" customHeight="1" x14ac:dyDescent="0.3">
      <c r="C2907" s="353">
        <f>ABS(E2907-Dashboard!$F$14)</f>
        <v>56.857171478567714</v>
      </c>
      <c r="D2907" s="350">
        <f t="shared" si="2973"/>
        <v>0.36344999999997524</v>
      </c>
      <c r="E2907" s="359" cm="1">
        <f t="array" ref="E2907">1000*SUM('DRE + DCF'!$L$36/M2907,'DRE + DCF'!$N$36:$V$36/N2907:V2907,F2907/V2907)/Dashboard!$F$11</f>
        <v>40.13282852143228</v>
      </c>
      <c r="F2907" s="359">
        <f t="shared" si="2971"/>
        <v>7072348.8492010646</v>
      </c>
      <c r="G2907" s="359">
        <f>'DRE + DCF'!$W$31</f>
        <v>2791623.3540418856</v>
      </c>
      <c r="H2907" s="359">
        <f>'DRE + DCF'!$W$32</f>
        <v>81081.931703745853</v>
      </c>
      <c r="I2907" s="359">
        <f>-H2907*('DRE + DCF'!$V$33+K2907)/'DRE + DCF'!$V$33</f>
        <v>-90858.801614444121</v>
      </c>
      <c r="J2907" s="359">
        <f>-'DRE + DCF'!$V$56*L2907</f>
        <v>-1188924.4255577971</v>
      </c>
      <c r="K2907" s="360">
        <f>(1+L2907)/(1+Ke!$O$12)-1</f>
        <v>2.0000000000000018E-2</v>
      </c>
      <c r="L2907" s="360">
        <f>'DRE + DCF'!$Y$31</f>
        <v>7.3550000000000004E-2</v>
      </c>
      <c r="M2907" s="361">
        <f>(1+D2907)^((5-Dashboard!$F$9)*3/12)</f>
        <v>1.2617677188605172</v>
      </c>
      <c r="N2907" s="361">
        <f t="shared" ref="N2907:V2907" si="2986">M2907*(1+$D2907)</f>
        <v>1.7203571962803408</v>
      </c>
      <c r="O2907" s="361">
        <f t="shared" si="2986"/>
        <v>2.3456210192683877</v>
      </c>
      <c r="P2907" s="361">
        <f t="shared" si="2986"/>
        <v>3.1981369787214251</v>
      </c>
      <c r="Q2907" s="361">
        <f t="shared" si="2986"/>
        <v>4.3604998636376475</v>
      </c>
      <c r="R2907" s="361">
        <f t="shared" si="2986"/>
        <v>5.9453235390766421</v>
      </c>
      <c r="S2907" s="361">
        <f t="shared" si="2986"/>
        <v>8.1061513793539</v>
      </c>
      <c r="T2907" s="361">
        <f t="shared" si="2986"/>
        <v>11.052332098179873</v>
      </c>
      <c r="U2907" s="361">
        <f t="shared" si="2986"/>
        <v>15.069302199263074</v>
      </c>
      <c r="V2907" s="362">
        <f t="shared" si="2986"/>
        <v>20.546240083584863</v>
      </c>
      <c r="X2907" s="351"/>
    </row>
    <row r="2908" spans="3:24" ht="24.75" customHeight="1" x14ac:dyDescent="0.3">
      <c r="C2908" s="353">
        <f>ABS(E2908-Dashboard!$F$14)</f>
        <v>56.873552929397164</v>
      </c>
      <c r="D2908" s="350">
        <f t="shared" si="2973"/>
        <v>0.36354999999997523</v>
      </c>
      <c r="E2908" s="359" cm="1">
        <f t="array" ref="E2908">1000*SUM('DRE + DCF'!$L$36/M2908,'DRE + DCF'!$N$36:$V$36/N2908:V2908,F2908/V2908)/Dashboard!$F$11</f>
        <v>40.116447070602831</v>
      </c>
      <c r="F2908" s="359">
        <f t="shared" si="2971"/>
        <v>7070197.7321117744</v>
      </c>
      <c r="G2908" s="359">
        <f>'DRE + DCF'!$W$31</f>
        <v>2791623.3540418856</v>
      </c>
      <c r="H2908" s="359">
        <f>'DRE + DCF'!$W$32</f>
        <v>81081.931703745853</v>
      </c>
      <c r="I2908" s="359">
        <f>-H2908*('DRE + DCF'!$V$33+K2908)/'DRE + DCF'!$V$33</f>
        <v>-90858.801614444121</v>
      </c>
      <c r="J2908" s="359">
        <f>-'DRE + DCF'!$V$56*L2908</f>
        <v>-1188924.4255577971</v>
      </c>
      <c r="K2908" s="360">
        <f>(1+L2908)/(1+Ke!$O$12)-1</f>
        <v>2.0000000000000018E-2</v>
      </c>
      <c r="L2908" s="360">
        <f>'DRE + DCF'!$Y$31</f>
        <v>7.3550000000000004E-2</v>
      </c>
      <c r="M2908" s="361">
        <f>(1+D2908)^((5-Dashboard!$F$9)*3/12)</f>
        <v>1.2618371249343425</v>
      </c>
      <c r="N2908" s="361">
        <f t="shared" ref="N2908:V2908" si="2987">M2908*(1+$D2908)</f>
        <v>1.7205780117041913</v>
      </c>
      <c r="O2908" s="361">
        <f t="shared" si="2987"/>
        <v>2.3460941478592074</v>
      </c>
      <c r="P2908" s="361">
        <f t="shared" si="2987"/>
        <v>3.1990166753133642</v>
      </c>
      <c r="Q2908" s="361">
        <f t="shared" si="2987"/>
        <v>4.3620191876234582</v>
      </c>
      <c r="R2908" s="361">
        <f t="shared" si="2987"/>
        <v>5.9478312632838577</v>
      </c>
      <c r="S2908" s="361">
        <f t="shared" si="2987"/>
        <v>8.1101653190505569</v>
      </c>
      <c r="T2908" s="361">
        <f t="shared" si="2987"/>
        <v>11.058615920791185</v>
      </c>
      <c r="U2908" s="361">
        <f t="shared" si="2987"/>
        <v>15.078975738794545</v>
      </c>
      <c r="V2908" s="362">
        <f t="shared" si="2987"/>
        <v>20.560937368632928</v>
      </c>
      <c r="X2908" s="351"/>
    </row>
    <row r="2909" spans="3:24" ht="24.75" customHeight="1" x14ac:dyDescent="0.3">
      <c r="C2909" s="353">
        <f>ABS(E2909-Dashboard!$F$14)</f>
        <v>56.889922121971949</v>
      </c>
      <c r="D2909" s="350">
        <f t="shared" si="2973"/>
        <v>0.36364999999997522</v>
      </c>
      <c r="E2909" s="359" cm="1">
        <f t="array" ref="E2909">1000*SUM('DRE + DCF'!$L$36/M2909,'DRE + DCF'!$N$36:$V$36/N2909:V2909,F2909/V2909)/Dashboard!$F$11</f>
        <v>40.100077878028046</v>
      </c>
      <c r="F2909" s="359">
        <f t="shared" si="2971"/>
        <v>7068047.9399074437</v>
      </c>
      <c r="G2909" s="359">
        <f>'DRE + DCF'!$W$31</f>
        <v>2791623.3540418856</v>
      </c>
      <c r="H2909" s="359">
        <f>'DRE + DCF'!$W$32</f>
        <v>81081.931703745853</v>
      </c>
      <c r="I2909" s="359">
        <f>-H2909*('DRE + DCF'!$V$33+K2909)/'DRE + DCF'!$V$33</f>
        <v>-90858.801614444121</v>
      </c>
      <c r="J2909" s="359">
        <f>-'DRE + DCF'!$V$56*L2909</f>
        <v>-1188924.4255577971</v>
      </c>
      <c r="K2909" s="360">
        <f>(1+L2909)/(1+Ke!$O$12)-1</f>
        <v>2.0000000000000018E-2</v>
      </c>
      <c r="L2909" s="360">
        <f>'DRE + DCF'!$Y$31</f>
        <v>7.3550000000000004E-2</v>
      </c>
      <c r="M2909" s="361">
        <f>(1+D2909)^((5-Dashboard!$F$9)*3/12)</f>
        <v>1.2619065297356542</v>
      </c>
      <c r="N2909" s="361">
        <f t="shared" ref="N2909:V2909" si="2988">M2909*(1+$D2909)</f>
        <v>1.7207988392739935</v>
      </c>
      <c r="O2909" s="361">
        <f t="shared" si="2988"/>
        <v>2.3465673371759386</v>
      </c>
      <c r="P2909" s="361">
        <f t="shared" si="2988"/>
        <v>3.1998965493399103</v>
      </c>
      <c r="Q2909" s="361">
        <f t="shared" si="2988"/>
        <v>4.3635389295072891</v>
      </c>
      <c r="R2909" s="361">
        <f t="shared" si="2988"/>
        <v>5.9503398612225062</v>
      </c>
      <c r="S2909" s="361">
        <f t="shared" si="2988"/>
        <v>8.1141809517559231</v>
      </c>
      <c r="T2909" s="361">
        <f t="shared" si="2988"/>
        <v>11.064902854861764</v>
      </c>
      <c r="U2909" s="361">
        <f t="shared" si="2988"/>
        <v>15.08865477803197</v>
      </c>
      <c r="V2909" s="362">
        <f t="shared" si="2988"/>
        <v>20.575644088062919</v>
      </c>
      <c r="X2909" s="351"/>
    </row>
    <row r="2910" spans="3:24" ht="24.75" customHeight="1" x14ac:dyDescent="0.3">
      <c r="C2910" s="353">
        <f>ABS(E2910-Dashboard!$F$14)</f>
        <v>56.906279069112607</v>
      </c>
      <c r="D2910" s="350">
        <f t="shared" si="2973"/>
        <v>0.3637499999999752</v>
      </c>
      <c r="E2910" s="359" cm="1">
        <f t="array" ref="E2910">1000*SUM('DRE + DCF'!$L$36/M2910,'DRE + DCF'!$N$36:$V$36/N2910:V2910,F2910/V2910)/Dashboard!$F$11</f>
        <v>40.083720930887388</v>
      </c>
      <c r="F2910" s="359">
        <f t="shared" si="2971"/>
        <v>7065899.4713488221</v>
      </c>
      <c r="G2910" s="359">
        <f>'DRE + DCF'!$W$31</f>
        <v>2791623.3540418856</v>
      </c>
      <c r="H2910" s="359">
        <f>'DRE + DCF'!$W$32</f>
        <v>81081.931703745853</v>
      </c>
      <c r="I2910" s="359">
        <f>-H2910*('DRE + DCF'!$V$33+K2910)/'DRE + DCF'!$V$33</f>
        <v>-90858.801614444121</v>
      </c>
      <c r="J2910" s="359">
        <f>-'DRE + DCF'!$V$56*L2910</f>
        <v>-1188924.4255577971</v>
      </c>
      <c r="K2910" s="360">
        <f>(1+L2910)/(1+Ke!$O$12)-1</f>
        <v>2.0000000000000018E-2</v>
      </c>
      <c r="L2910" s="360">
        <f>'DRE + DCF'!$Y$31</f>
        <v>7.3550000000000004E-2</v>
      </c>
      <c r="M2910" s="361">
        <f>(1+D2910)^((5-Dashboard!$F$9)*3/12)</f>
        <v>1.261975933264569</v>
      </c>
      <c r="N2910" s="361">
        <f t="shared" ref="N2910:V2910" si="2989">M2910*(1+$D2910)</f>
        <v>1.7210196789895247</v>
      </c>
      <c r="O2910" s="361">
        <f t="shared" si="2989"/>
        <v>2.3470405872219215</v>
      </c>
      <c r="P2910" s="361">
        <f t="shared" si="2989"/>
        <v>3.2007766008238372</v>
      </c>
      <c r="Q2910" s="361">
        <f t="shared" si="2989"/>
        <v>4.3650590893734282</v>
      </c>
      <c r="R2910" s="361">
        <f t="shared" si="2989"/>
        <v>5.952849333132904</v>
      </c>
      <c r="S2910" s="361">
        <f t="shared" si="2989"/>
        <v>8.1181982780598503</v>
      </c>
      <c r="T2910" s="361">
        <f t="shared" si="2989"/>
        <v>11.071192901703919</v>
      </c>
      <c r="U2910" s="361">
        <f t="shared" si="2989"/>
        <v>15.098339319698443</v>
      </c>
      <c r="V2910" s="362">
        <f t="shared" si="2989"/>
        <v>20.590360247238376</v>
      </c>
      <c r="X2910" s="351"/>
    </row>
    <row r="2911" spans="3:24" ht="24.75" customHeight="1" x14ac:dyDescent="0.3">
      <c r="C2911" s="353">
        <f>ABS(E2911-Dashboard!$F$14)</f>
        <v>56.922623783622683</v>
      </c>
      <c r="D2911" s="350">
        <f t="shared" si="2973"/>
        <v>0.36384999999997519</v>
      </c>
      <c r="E2911" s="359" cm="1">
        <f t="array" ref="E2911">1000*SUM('DRE + DCF'!$L$36/M2911,'DRE + DCF'!$N$36:$V$36/N2911:V2911,F2911/V2911)/Dashboard!$F$11</f>
        <v>40.067376216377312</v>
      </c>
      <c r="F2911" s="359">
        <f t="shared" si="2971"/>
        <v>7063752.3251982229</v>
      </c>
      <c r="G2911" s="359">
        <f>'DRE + DCF'!$W$31</f>
        <v>2791623.3540418856</v>
      </c>
      <c r="H2911" s="359">
        <f>'DRE + DCF'!$W$32</f>
        <v>81081.931703745853</v>
      </c>
      <c r="I2911" s="359">
        <f>-H2911*('DRE + DCF'!$V$33+K2911)/'DRE + DCF'!$V$33</f>
        <v>-90858.801614444121</v>
      </c>
      <c r="J2911" s="359">
        <f>-'DRE + DCF'!$V$56*L2911</f>
        <v>-1188924.4255577971</v>
      </c>
      <c r="K2911" s="360">
        <f>(1+L2911)/(1+Ke!$O$12)-1</f>
        <v>2.0000000000000018E-2</v>
      </c>
      <c r="L2911" s="360">
        <f>'DRE + DCF'!$Y$31</f>
        <v>7.3550000000000004E-2</v>
      </c>
      <c r="M2911" s="361">
        <f>(1+D2911)^((5-Dashboard!$F$9)*3/12)</f>
        <v>1.2620453355212036</v>
      </c>
      <c r="N2911" s="361">
        <f t="shared" ref="N2911:V2911" si="2990">M2911*(1+$D2911)</f>
        <v>1.7212405308505621</v>
      </c>
      <c r="O2911" s="361">
        <f t="shared" si="2990"/>
        <v>2.3475138980004964</v>
      </c>
      <c r="P2911" s="361">
        <f t="shared" si="2990"/>
        <v>3.2016568297879187</v>
      </c>
      <c r="Q2911" s="361">
        <f t="shared" si="2990"/>
        <v>4.3665796673061736</v>
      </c>
      <c r="R2911" s="361">
        <f t="shared" si="2990"/>
        <v>5.955359679255416</v>
      </c>
      <c r="S2911" s="361">
        <f t="shared" si="2990"/>
        <v>8.1222172985523517</v>
      </c>
      <c r="T2911" s="361">
        <f t="shared" si="2990"/>
        <v>11.077486062630422</v>
      </c>
      <c r="U2911" s="361">
        <f t="shared" si="2990"/>
        <v>15.108029366518226</v>
      </c>
      <c r="V2911" s="362">
        <f t="shared" si="2990"/>
        <v>20.605085851525505</v>
      </c>
      <c r="X2911" s="351"/>
    </row>
    <row r="2912" spans="3:24" ht="24.75" customHeight="1" x14ac:dyDescent="0.3">
      <c r="C2912" s="353">
        <f>ABS(E2912-Dashboard!$F$14)</f>
        <v>56.938956278288586</v>
      </c>
      <c r="D2912" s="350">
        <f t="shared" si="2973"/>
        <v>0.36394999999997518</v>
      </c>
      <c r="E2912" s="359" cm="1">
        <f t="array" ref="E2912">1000*SUM('DRE + DCF'!$L$36/M2912,'DRE + DCF'!$N$36:$V$36/N2912:V2912,F2912/V2912)/Dashboard!$F$11</f>
        <v>40.051043721711409</v>
      </c>
      <c r="F2912" s="359">
        <f t="shared" si="2971"/>
        <v>7061606.5002195165</v>
      </c>
      <c r="G2912" s="359">
        <f>'DRE + DCF'!$W$31</f>
        <v>2791623.3540418856</v>
      </c>
      <c r="H2912" s="359">
        <f>'DRE + DCF'!$W$32</f>
        <v>81081.931703745853</v>
      </c>
      <c r="I2912" s="359">
        <f>-H2912*('DRE + DCF'!$V$33+K2912)/'DRE + DCF'!$V$33</f>
        <v>-90858.801614444121</v>
      </c>
      <c r="J2912" s="359">
        <f>-'DRE + DCF'!$V$56*L2912</f>
        <v>-1188924.4255577971</v>
      </c>
      <c r="K2912" s="360">
        <f>(1+L2912)/(1+Ke!$O$12)-1</f>
        <v>2.0000000000000018E-2</v>
      </c>
      <c r="L2912" s="360">
        <f>'DRE + DCF'!$Y$31</f>
        <v>7.3550000000000004E-2</v>
      </c>
      <c r="M2912" s="361">
        <f>(1+D2912)^((5-Dashboard!$F$9)*3/12)</f>
        <v>1.2621147365056742</v>
      </c>
      <c r="N2912" s="361">
        <f t="shared" ref="N2912:V2912" si="2991">M2912*(1+$D2912)</f>
        <v>1.7214613948568829</v>
      </c>
      <c r="O2912" s="361">
        <f t="shared" si="2991"/>
        <v>2.3479872695150026</v>
      </c>
      <c r="P2912" s="361">
        <f t="shared" si="2991"/>
        <v>3.2025372362549294</v>
      </c>
      <c r="Q2912" s="361">
        <f t="shared" si="2991"/>
        <v>4.3681006633898312</v>
      </c>
      <c r="R2912" s="361">
        <f t="shared" si="2991"/>
        <v>5.9578708998304517</v>
      </c>
      <c r="S2912" s="361">
        <f t="shared" si="2991"/>
        <v>8.1262380138235972</v>
      </c>
      <c r="T2912" s="361">
        <f t="shared" si="2991"/>
        <v>11.083782338954494</v>
      </c>
      <c r="U2912" s="361">
        <f t="shared" si="2991"/>
        <v>15.117724921216707</v>
      </c>
      <c r="V2912" s="362">
        <f t="shared" si="2991"/>
        <v>20.619820906293153</v>
      </c>
      <c r="X2912" s="351"/>
    </row>
    <row r="2913" spans="3:24" ht="24.75" customHeight="1" x14ac:dyDescent="0.3">
      <c r="C2913" s="353">
        <f>ABS(E2913-Dashboard!$F$14)</f>
        <v>56.955276565879785</v>
      </c>
      <c r="D2913" s="350">
        <f t="shared" si="2973"/>
        <v>0.36404999999997517</v>
      </c>
      <c r="E2913" s="359" cm="1">
        <f t="array" ref="E2913">1000*SUM('DRE + DCF'!$L$36/M2913,'DRE + DCF'!$N$36:$V$36/N2913:V2913,F2913/V2913)/Dashboard!$F$11</f>
        <v>40.03472343412021</v>
      </c>
      <c r="F2913" s="359">
        <f t="shared" si="2971"/>
        <v>7059461.995178137</v>
      </c>
      <c r="G2913" s="359">
        <f>'DRE + DCF'!$W$31</f>
        <v>2791623.3540418856</v>
      </c>
      <c r="H2913" s="359">
        <f>'DRE + DCF'!$W$32</f>
        <v>81081.931703745853</v>
      </c>
      <c r="I2913" s="359">
        <f>-H2913*('DRE + DCF'!$V$33+K2913)/'DRE + DCF'!$V$33</f>
        <v>-90858.801614444121</v>
      </c>
      <c r="J2913" s="359">
        <f>-'DRE + DCF'!$V$56*L2913</f>
        <v>-1188924.4255577971</v>
      </c>
      <c r="K2913" s="360">
        <f>(1+L2913)/(1+Ke!$O$12)-1</f>
        <v>2.0000000000000018E-2</v>
      </c>
      <c r="L2913" s="360">
        <f>'DRE + DCF'!$Y$31</f>
        <v>7.3550000000000004E-2</v>
      </c>
      <c r="M2913" s="361">
        <f>(1+D2913)^((5-Dashboard!$F$9)*3/12)</f>
        <v>1.2621841362180977</v>
      </c>
      <c r="N2913" s="361">
        <f t="shared" ref="N2913:V2913" si="2992">M2913*(1+$D2913)</f>
        <v>1.7216822710082647</v>
      </c>
      <c r="O2913" s="361">
        <f t="shared" si="2992"/>
        <v>2.3484607017687806</v>
      </c>
      <c r="P2913" s="361">
        <f t="shared" si="2992"/>
        <v>3.2034178202476467</v>
      </c>
      <c r="Q2913" s="361">
        <f t="shared" si="2992"/>
        <v>4.3696220777087227</v>
      </c>
      <c r="R2913" s="361">
        <f t="shared" si="2992"/>
        <v>5.9603829950984748</v>
      </c>
      <c r="S2913" s="361">
        <f t="shared" si="2992"/>
        <v>8.1302604244639269</v>
      </c>
      <c r="T2913" s="361">
        <f t="shared" si="2992"/>
        <v>11.090081731989818</v>
      </c>
      <c r="U2913" s="361">
        <f t="shared" si="2992"/>
        <v>15.127425986520436</v>
      </c>
      <c r="V2913" s="362">
        <f t="shared" si="2992"/>
        <v>20.634565416912825</v>
      </c>
      <c r="X2913" s="351"/>
    </row>
    <row r="2914" spans="3:24" ht="24.75" customHeight="1" x14ac:dyDescent="0.3">
      <c r="C2914" s="353">
        <f>ABS(E2914-Dashboard!$F$14)</f>
        <v>56.971584659148732</v>
      </c>
      <c r="D2914" s="350">
        <f t="shared" si="2973"/>
        <v>0.36414999999997516</v>
      </c>
      <c r="E2914" s="359" cm="1">
        <f t="array" ref="E2914">1000*SUM('DRE + DCF'!$L$36/M2914,'DRE + DCF'!$N$36:$V$36/N2914:V2914,F2914/V2914)/Dashboard!$F$11</f>
        <v>40.018415340851263</v>
      </c>
      <c r="F2914" s="359">
        <f t="shared" si="2971"/>
        <v>7057318.8088410757</v>
      </c>
      <c r="G2914" s="359">
        <f>'DRE + DCF'!$W$31</f>
        <v>2791623.3540418856</v>
      </c>
      <c r="H2914" s="359">
        <f>'DRE + DCF'!$W$32</f>
        <v>81081.931703745853</v>
      </c>
      <c r="I2914" s="359">
        <f>-H2914*('DRE + DCF'!$V$33+K2914)/'DRE + DCF'!$V$33</f>
        <v>-90858.801614444121</v>
      </c>
      <c r="J2914" s="359">
        <f>-'DRE + DCF'!$V$56*L2914</f>
        <v>-1188924.4255577971</v>
      </c>
      <c r="K2914" s="360">
        <f>(1+L2914)/(1+Ke!$O$12)-1</f>
        <v>2.0000000000000018E-2</v>
      </c>
      <c r="L2914" s="360">
        <f>'DRE + DCF'!$Y$31</f>
        <v>7.3550000000000004E-2</v>
      </c>
      <c r="M2914" s="361">
        <f>(1+D2914)^((5-Dashboard!$F$9)*3/12)</f>
        <v>1.2622535346585906</v>
      </c>
      <c r="N2914" s="361">
        <f t="shared" ref="N2914:V2914" si="2993">M2914*(1+$D2914)</f>
        <v>1.7219031593044849</v>
      </c>
      <c r="O2914" s="361">
        <f t="shared" si="2993"/>
        <v>2.3489341947651701</v>
      </c>
      <c r="P2914" s="361">
        <f t="shared" si="2993"/>
        <v>3.2042985817888483</v>
      </c>
      <c r="Q2914" s="361">
        <f t="shared" si="2993"/>
        <v>4.3711439103471772</v>
      </c>
      <c r="R2914" s="361">
        <f t="shared" si="2993"/>
        <v>5.9628959652999933</v>
      </c>
      <c r="S2914" s="361">
        <f t="shared" si="2993"/>
        <v>8.1342845310638374</v>
      </c>
      <c r="T2914" s="361">
        <f t="shared" si="2993"/>
        <v>11.096384243050531</v>
      </c>
      <c r="U2914" s="361">
        <f t="shared" si="2993"/>
        <v>15.137132565157106</v>
      </c>
      <c r="V2914" s="362">
        <f t="shared" si="2993"/>
        <v>20.649319388758691</v>
      </c>
      <c r="X2914" s="351"/>
    </row>
    <row r="2915" spans="3:24" ht="24.75" customHeight="1" x14ac:dyDescent="0.3">
      <c r="C2915" s="353">
        <f>ABS(E2915-Dashboard!$F$14)</f>
        <v>56.987880570830924</v>
      </c>
      <c r="D2915" s="350">
        <f t="shared" si="2973"/>
        <v>0.36424999999997515</v>
      </c>
      <c r="E2915" s="359" cm="1">
        <f t="array" ref="E2915">1000*SUM('DRE + DCF'!$L$36/M2915,'DRE + DCF'!$N$36:$V$36/N2915:V2915,F2915/V2915)/Dashboard!$F$11</f>
        <v>40.00211942916907</v>
      </c>
      <c r="F2915" s="359">
        <f t="shared" si="2971"/>
        <v>7055176.9399768757</v>
      </c>
      <c r="G2915" s="359">
        <f>'DRE + DCF'!$W$31</f>
        <v>2791623.3540418856</v>
      </c>
      <c r="H2915" s="359">
        <f>'DRE + DCF'!$W$32</f>
        <v>81081.931703745853</v>
      </c>
      <c r="I2915" s="359">
        <f>-H2915*('DRE + DCF'!$V$33+K2915)/'DRE + DCF'!$V$33</f>
        <v>-90858.801614444121</v>
      </c>
      <c r="J2915" s="359">
        <f>-'DRE + DCF'!$V$56*L2915</f>
        <v>-1188924.4255577971</v>
      </c>
      <c r="K2915" s="360">
        <f>(1+L2915)/(1+Ke!$O$12)-1</f>
        <v>2.0000000000000018E-2</v>
      </c>
      <c r="L2915" s="360">
        <f>'DRE + DCF'!$Y$31</f>
        <v>7.3550000000000004E-2</v>
      </c>
      <c r="M2915" s="361">
        <f>(1+D2915)^((5-Dashboard!$F$9)*3/12)</f>
        <v>1.2623229318272695</v>
      </c>
      <c r="N2915" s="361">
        <f t="shared" ref="N2915:V2915" si="2994">M2915*(1+$D2915)</f>
        <v>1.7221240597453209</v>
      </c>
      <c r="O2915" s="361">
        <f t="shared" si="2994"/>
        <v>2.3494077485075113</v>
      </c>
      <c r="P2915" s="361">
        <f t="shared" si="2994"/>
        <v>3.2051795209013139</v>
      </c>
      <c r="Q2915" s="361">
        <f t="shared" si="2994"/>
        <v>4.3726661613895379</v>
      </c>
      <c r="R2915" s="361">
        <f t="shared" si="2994"/>
        <v>5.9654098106755677</v>
      </c>
      <c r="S2915" s="361">
        <f t="shared" si="2994"/>
        <v>8.138310334213994</v>
      </c>
      <c r="T2915" s="361">
        <f t="shared" si="2994"/>
        <v>11.102689873451238</v>
      </c>
      <c r="U2915" s="361">
        <f t="shared" si="2994"/>
        <v>15.146844659855574</v>
      </c>
      <c r="V2915" s="362">
        <f t="shared" si="2994"/>
        <v>20.66408282720759</v>
      </c>
      <c r="X2915" s="351"/>
    </row>
    <row r="2916" spans="3:24" ht="24.75" customHeight="1" x14ac:dyDescent="0.3">
      <c r="C2916" s="353">
        <f>ABS(E2916-Dashboard!$F$14)</f>
        <v>57.004164313644914</v>
      </c>
      <c r="D2916" s="350">
        <f t="shared" si="2973"/>
        <v>0.36434999999997514</v>
      </c>
      <c r="E2916" s="359" cm="1">
        <f t="array" ref="E2916">1000*SUM('DRE + DCF'!$L$36/M2916,'DRE + DCF'!$N$36:$V$36/N2916:V2916,F2916/V2916)/Dashboard!$F$11</f>
        <v>39.985835686355081</v>
      </c>
      <c r="F2916" s="359">
        <f t="shared" si="2971"/>
        <v>7053036.3873556331</v>
      </c>
      <c r="G2916" s="359">
        <f>'DRE + DCF'!$W$31</f>
        <v>2791623.3540418856</v>
      </c>
      <c r="H2916" s="359">
        <f>'DRE + DCF'!$W$32</f>
        <v>81081.931703745853</v>
      </c>
      <c r="I2916" s="359">
        <f>-H2916*('DRE + DCF'!$V$33+K2916)/'DRE + DCF'!$V$33</f>
        <v>-90858.801614444121</v>
      </c>
      <c r="J2916" s="359">
        <f>-'DRE + DCF'!$V$56*L2916</f>
        <v>-1188924.4255577971</v>
      </c>
      <c r="K2916" s="360">
        <f>(1+L2916)/(1+Ke!$O$12)-1</f>
        <v>2.0000000000000018E-2</v>
      </c>
      <c r="L2916" s="360">
        <f>'DRE + DCF'!$Y$31</f>
        <v>7.3550000000000004E-2</v>
      </c>
      <c r="M2916" s="361">
        <f>(1+D2916)^((5-Dashboard!$F$9)*3/12)</f>
        <v>1.2623923277242508</v>
      </c>
      <c r="N2916" s="361">
        <f t="shared" ref="N2916:V2916" si="2995">M2916*(1+$D2916)</f>
        <v>1.7223449723305502</v>
      </c>
      <c r="O2916" s="361">
        <f t="shared" si="2995"/>
        <v>2.3498813629991431</v>
      </c>
      <c r="P2916" s="361">
        <f t="shared" si="2995"/>
        <v>3.2060606376078224</v>
      </c>
      <c r="Q2916" s="361">
        <f t="shared" si="2995"/>
        <v>4.3741888309201524</v>
      </c>
      <c r="R2916" s="361">
        <f t="shared" si="2995"/>
        <v>5.9679245314658012</v>
      </c>
      <c r="S2916" s="361">
        <f t="shared" si="2995"/>
        <v>8.1423378345052164</v>
      </c>
      <c r="T2916" s="361">
        <f t="shared" si="2995"/>
        <v>11.10899862450699</v>
      </c>
      <c r="U2916" s="361">
        <f t="shared" si="2995"/>
        <v>15.156562273345834</v>
      </c>
      <c r="V2916" s="362">
        <f t="shared" si="2995"/>
        <v>20.678855737639012</v>
      </c>
      <c r="X2916" s="351"/>
    </row>
    <row r="2917" spans="3:24" ht="24.75" customHeight="1" x14ac:dyDescent="0.3">
      <c r="C2917" s="353">
        <f>ABS(E2917-Dashboard!$F$14)</f>
        <v>57.020435900292348</v>
      </c>
      <c r="D2917" s="350">
        <f t="shared" si="2973"/>
        <v>0.36444999999997513</v>
      </c>
      <c r="E2917" s="359" cm="1">
        <f t="array" ref="E2917">1000*SUM('DRE + DCF'!$L$36/M2917,'DRE + DCF'!$N$36:$V$36/N2917:V2917,F2917/V2917)/Dashboard!$F$11</f>
        <v>39.969564099707647</v>
      </c>
      <c r="F2917" s="359">
        <f t="shared" si="2971"/>
        <v>7050897.1497489931</v>
      </c>
      <c r="G2917" s="359">
        <f>'DRE + DCF'!$W$31</f>
        <v>2791623.3540418856</v>
      </c>
      <c r="H2917" s="359">
        <f>'DRE + DCF'!$W$32</f>
        <v>81081.931703745853</v>
      </c>
      <c r="I2917" s="359">
        <f>-H2917*('DRE + DCF'!$V$33+K2917)/'DRE + DCF'!$V$33</f>
        <v>-90858.801614444121</v>
      </c>
      <c r="J2917" s="359">
        <f>-'DRE + DCF'!$V$56*L2917</f>
        <v>-1188924.4255577971</v>
      </c>
      <c r="K2917" s="360">
        <f>(1+L2917)/(1+Ke!$O$12)-1</f>
        <v>2.0000000000000018E-2</v>
      </c>
      <c r="L2917" s="360">
        <f>'DRE + DCF'!$Y$31</f>
        <v>7.3550000000000004E-2</v>
      </c>
      <c r="M2917" s="361">
        <f>(1+D2917)^((5-Dashboard!$F$9)*3/12)</f>
        <v>1.2624617223496513</v>
      </c>
      <c r="N2917" s="361">
        <f t="shared" ref="N2917:V2917" si="2996">M2917*(1+$D2917)</f>
        <v>1.7225658970599502</v>
      </c>
      <c r="O2917" s="361">
        <f t="shared" si="2996"/>
        <v>2.3503550382434062</v>
      </c>
      <c r="P2917" s="361">
        <f t="shared" si="2996"/>
        <v>3.2069419319311572</v>
      </c>
      <c r="Q2917" s="361">
        <f t="shared" si="2996"/>
        <v>4.3757119190233871</v>
      </c>
      <c r="R2917" s="361">
        <f t="shared" si="2996"/>
        <v>5.9704401279113517</v>
      </c>
      <c r="S2917" s="361">
        <f t="shared" si="2996"/>
        <v>8.1463670325284951</v>
      </c>
      <c r="T2917" s="361">
        <f t="shared" si="2996"/>
        <v>11.115310497533303</v>
      </c>
      <c r="U2917" s="361">
        <f t="shared" si="2996"/>
        <v>15.166285408359037</v>
      </c>
      <c r="V2917" s="362">
        <f t="shared" si="2996"/>
        <v>20.693638125435111</v>
      </c>
      <c r="X2917" s="351"/>
    </row>
    <row r="2918" spans="3:24" ht="24.75" customHeight="1" x14ac:dyDescent="0.3">
      <c r="C2918" s="353">
        <f>ABS(E2918-Dashboard!$F$14)</f>
        <v>57.036695343458</v>
      </c>
      <c r="D2918" s="350">
        <f t="shared" si="2973"/>
        <v>0.36454999999997512</v>
      </c>
      <c r="E2918" s="359" cm="1">
        <f t="array" ref="E2918">1000*SUM('DRE + DCF'!$L$36/M2918,'DRE + DCF'!$N$36:$V$36/N2918:V2918,F2918/V2918)/Dashboard!$F$11</f>
        <v>39.953304656541995</v>
      </c>
      <c r="F2918" s="359">
        <f t="shared" si="2971"/>
        <v>7048759.2259301469</v>
      </c>
      <c r="G2918" s="359">
        <f>'DRE + DCF'!$W$31</f>
        <v>2791623.3540418856</v>
      </c>
      <c r="H2918" s="359">
        <f>'DRE + DCF'!$W$32</f>
        <v>81081.931703745853</v>
      </c>
      <c r="I2918" s="359">
        <f>-H2918*('DRE + DCF'!$V$33+K2918)/'DRE + DCF'!$V$33</f>
        <v>-90858.801614444121</v>
      </c>
      <c r="J2918" s="359">
        <f>-'DRE + DCF'!$V$56*L2918</f>
        <v>-1188924.4255577971</v>
      </c>
      <c r="K2918" s="360">
        <f>(1+L2918)/(1+Ke!$O$12)-1</f>
        <v>2.0000000000000018E-2</v>
      </c>
      <c r="L2918" s="360">
        <f>'DRE + DCF'!$Y$31</f>
        <v>7.3550000000000004E-2</v>
      </c>
      <c r="M2918" s="361">
        <f>(1+D2918)^((5-Dashboard!$F$9)*3/12)</f>
        <v>1.2625311157035872</v>
      </c>
      <c r="N2918" s="361">
        <f t="shared" ref="N2918:V2918" si="2997">M2918*(1+$D2918)</f>
        <v>1.7227868339332986</v>
      </c>
      <c r="O2918" s="361">
        <f t="shared" si="2997"/>
        <v>2.3508287742436398</v>
      </c>
      <c r="P2918" s="361">
        <f t="shared" si="2997"/>
        <v>3.2078234038941003</v>
      </c>
      <c r="Q2918" s="361">
        <f t="shared" si="2997"/>
        <v>4.3772354257836144</v>
      </c>
      <c r="R2918" s="361">
        <f t="shared" si="2997"/>
        <v>5.972956600252922</v>
      </c>
      <c r="S2918" s="361">
        <f t="shared" si="2997"/>
        <v>8.1503979288749751</v>
      </c>
      <c r="T2918" s="361">
        <f t="shared" si="2997"/>
        <v>11.121625493846144</v>
      </c>
      <c r="U2918" s="361">
        <f t="shared" si="2997"/>
        <v>15.176014067627479</v>
      </c>
      <c r="V2918" s="362">
        <f t="shared" si="2997"/>
        <v>20.708429995980698</v>
      </c>
      <c r="X2918" s="351"/>
    </row>
    <row r="2919" spans="3:24" ht="24.75" customHeight="1" x14ac:dyDescent="0.3">
      <c r="C2919" s="353">
        <f>ABS(E2919-Dashboard!$F$14)</f>
        <v>57.052942655809787</v>
      </c>
      <c r="D2919" s="350">
        <f t="shared" si="2973"/>
        <v>0.36464999999997511</v>
      </c>
      <c r="E2919" s="359" cm="1">
        <f t="array" ref="E2919">1000*SUM('DRE + DCF'!$L$36/M2919,'DRE + DCF'!$N$36:$V$36/N2919:V2919,F2919/V2919)/Dashboard!$F$11</f>
        <v>39.937057344190208</v>
      </c>
      <c r="F2919" s="359">
        <f t="shared" si="2971"/>
        <v>7046622.6146738324</v>
      </c>
      <c r="G2919" s="359">
        <f>'DRE + DCF'!$W$31</f>
        <v>2791623.3540418856</v>
      </c>
      <c r="H2919" s="359">
        <f>'DRE + DCF'!$W$32</f>
        <v>81081.931703745853</v>
      </c>
      <c r="I2919" s="359">
        <f>-H2919*('DRE + DCF'!$V$33+K2919)/'DRE + DCF'!$V$33</f>
        <v>-90858.801614444121</v>
      </c>
      <c r="J2919" s="359">
        <f>-'DRE + DCF'!$V$56*L2919</f>
        <v>-1188924.4255577971</v>
      </c>
      <c r="K2919" s="360">
        <f>(1+L2919)/(1+Ke!$O$12)-1</f>
        <v>2.0000000000000018E-2</v>
      </c>
      <c r="L2919" s="360">
        <f>'DRE + DCF'!$Y$31</f>
        <v>7.3550000000000004E-2</v>
      </c>
      <c r="M2919" s="361">
        <f>(1+D2919)^((5-Dashboard!$F$9)*3/12)</f>
        <v>1.2626005077861751</v>
      </c>
      <c r="N2919" s="361">
        <f t="shared" ref="N2919:V2919" si="2998">M2919*(1+$D2919)</f>
        <v>1.7230077829503723</v>
      </c>
      <c r="O2919" s="361">
        <f t="shared" si="2998"/>
        <v>2.3513025710031825</v>
      </c>
      <c r="P2919" s="361">
        <f t="shared" si="2998"/>
        <v>3.2087050535194344</v>
      </c>
      <c r="Q2919" s="361">
        <f t="shared" si="2998"/>
        <v>4.3787593512852157</v>
      </c>
      <c r="R2919" s="361">
        <f t="shared" si="2998"/>
        <v>5.9754739487312607</v>
      </c>
      <c r="S2919" s="361">
        <f t="shared" si="2998"/>
        <v>8.1544305241359663</v>
      </c>
      <c r="T2919" s="361">
        <f t="shared" si="2998"/>
        <v>11.127943614761943</v>
      </c>
      <c r="U2919" s="361">
        <f t="shared" si="2998"/>
        <v>15.185748253884608</v>
      </c>
      <c r="V2919" s="362">
        <f t="shared" si="2998"/>
        <v>20.723231354663252</v>
      </c>
      <c r="X2919" s="351"/>
    </row>
    <row r="2920" spans="3:24" ht="24.75" customHeight="1" x14ac:dyDescent="0.3">
      <c r="C2920" s="353">
        <f>ABS(E2920-Dashboard!$F$14)</f>
        <v>57.069177849998788</v>
      </c>
      <c r="D2920" s="350">
        <f t="shared" si="2973"/>
        <v>0.36474999999997509</v>
      </c>
      <c r="E2920" s="359" cm="1">
        <f t="array" ref="E2920">1000*SUM('DRE + DCF'!$L$36/M2920,'DRE + DCF'!$N$36:$V$36/N2920:V2920,F2920/V2920)/Dashboard!$F$11</f>
        <v>39.920822150001207</v>
      </c>
      <c r="F2920" s="359">
        <f t="shared" si="2971"/>
        <v>7044487.3147563282</v>
      </c>
      <c r="G2920" s="359">
        <f>'DRE + DCF'!$W$31</f>
        <v>2791623.3540418856</v>
      </c>
      <c r="H2920" s="359">
        <f>'DRE + DCF'!$W$32</f>
        <v>81081.931703745853</v>
      </c>
      <c r="I2920" s="359">
        <f>-H2920*('DRE + DCF'!$V$33+K2920)/'DRE + DCF'!$V$33</f>
        <v>-90858.801614444121</v>
      </c>
      <c r="J2920" s="359">
        <f>-'DRE + DCF'!$V$56*L2920</f>
        <v>-1188924.4255577971</v>
      </c>
      <c r="K2920" s="360">
        <f>(1+L2920)/(1+Ke!$O$12)-1</f>
        <v>2.0000000000000018E-2</v>
      </c>
      <c r="L2920" s="360">
        <f>'DRE + DCF'!$Y$31</f>
        <v>7.3550000000000004E-2</v>
      </c>
      <c r="M2920" s="361">
        <f>(1+D2920)^((5-Dashboard!$F$9)*3/12)</f>
        <v>1.2626698985975313</v>
      </c>
      <c r="N2920" s="361">
        <f t="shared" ref="N2920:V2920" si="2999">M2920*(1+$D2920)</f>
        <v>1.7232287441109493</v>
      </c>
      <c r="O2920" s="361">
        <f t="shared" si="2999"/>
        <v>2.3517764285253748</v>
      </c>
      <c r="P2920" s="361">
        <f t="shared" si="2999"/>
        <v>3.2095868808299466</v>
      </c>
      <c r="Q2920" s="361">
        <f t="shared" si="2999"/>
        <v>4.3802836956125892</v>
      </c>
      <c r="R2920" s="361">
        <f t="shared" si="2999"/>
        <v>5.9779921735871717</v>
      </c>
      <c r="S2920" s="361">
        <f t="shared" si="2999"/>
        <v>8.1584648189029441</v>
      </c>
      <c r="T2920" s="361">
        <f t="shared" si="2999"/>
        <v>11.13426486159759</v>
      </c>
      <c r="U2920" s="361">
        <f t="shared" si="2999"/>
        <v>15.195487969865033</v>
      </c>
      <c r="V2920" s="362">
        <f t="shared" si="2999"/>
        <v>20.738042206872922</v>
      </c>
      <c r="X2920" s="351"/>
    </row>
    <row r="2921" spans="3:24" ht="24.75" customHeight="1" x14ac:dyDescent="0.3">
      <c r="C2921" s="353">
        <f>ABS(E2921-Dashboard!$F$14)</f>
        <v>57.085400938659333</v>
      </c>
      <c r="D2921" s="350">
        <f t="shared" si="2973"/>
        <v>0.36484999999997508</v>
      </c>
      <c r="E2921" s="359" cm="1">
        <f t="array" ref="E2921">1000*SUM('DRE + DCF'!$L$36/M2921,'DRE + DCF'!$N$36:$V$36/N2921:V2921,F2921/V2921)/Dashboard!$F$11</f>
        <v>39.904599061340662</v>
      </c>
      <c r="F2921" s="359">
        <f t="shared" si="2971"/>
        <v>7042353.3249554522</v>
      </c>
      <c r="G2921" s="359">
        <f>'DRE + DCF'!$W$31</f>
        <v>2791623.3540418856</v>
      </c>
      <c r="H2921" s="359">
        <f>'DRE + DCF'!$W$32</f>
        <v>81081.931703745853</v>
      </c>
      <c r="I2921" s="359">
        <f>-H2921*('DRE + DCF'!$V$33+K2921)/'DRE + DCF'!$V$33</f>
        <v>-90858.801614444121</v>
      </c>
      <c r="J2921" s="359">
        <f>-'DRE + DCF'!$V$56*L2921</f>
        <v>-1188924.4255577971</v>
      </c>
      <c r="K2921" s="360">
        <f>(1+L2921)/(1+Ke!$O$12)-1</f>
        <v>2.0000000000000018E-2</v>
      </c>
      <c r="L2921" s="360">
        <f>'DRE + DCF'!$Y$31</f>
        <v>7.3550000000000004E-2</v>
      </c>
      <c r="M2921" s="361">
        <f>(1+D2921)^((5-Dashboard!$F$9)*3/12)</f>
        <v>1.2627392881377726</v>
      </c>
      <c r="N2921" s="361">
        <f t="shared" ref="N2921:V2921" si="3000">M2921*(1+$D2921)</f>
        <v>1.7234497174148073</v>
      </c>
      <c r="O2921" s="361">
        <f t="shared" si="3000"/>
        <v>2.3522503468135567</v>
      </c>
      <c r="P2921" s="361">
        <f t="shared" si="3000"/>
        <v>3.210468885848424</v>
      </c>
      <c r="Q2921" s="361">
        <f t="shared" si="3000"/>
        <v>4.3818084588501414</v>
      </c>
      <c r="R2921" s="361">
        <f t="shared" si="3000"/>
        <v>5.9805112750615059</v>
      </c>
      <c r="S2921" s="361">
        <f t="shared" si="3000"/>
        <v>8.1625008137675472</v>
      </c>
      <c r="T2921" s="361">
        <f t="shared" si="3000"/>
        <v>11.140589235670433</v>
      </c>
      <c r="U2921" s="361">
        <f t="shared" si="3000"/>
        <v>15.205233218304512</v>
      </c>
      <c r="V2921" s="362">
        <f t="shared" si="3000"/>
        <v>20.752862558002533</v>
      </c>
      <c r="X2921" s="351"/>
    </row>
    <row r="2922" spans="3:24" ht="24.75" customHeight="1" x14ac:dyDescent="0.3">
      <c r="C2922" s="353">
        <f>ABS(E2922-Dashboard!$F$14)</f>
        <v>57.101611934408929</v>
      </c>
      <c r="D2922" s="350">
        <f t="shared" si="2973"/>
        <v>0.36494999999997507</v>
      </c>
      <c r="E2922" s="359" cm="1">
        <f t="array" ref="E2922">1000*SUM('DRE + DCF'!$L$36/M2922,'DRE + DCF'!$N$36:$V$36/N2922:V2922,F2922/V2922)/Dashboard!$F$11</f>
        <v>39.888388065591066</v>
      </c>
      <c r="F2922" s="359">
        <f t="shared" si="2971"/>
        <v>7040220.644050559</v>
      </c>
      <c r="G2922" s="359">
        <f>'DRE + DCF'!$W$31</f>
        <v>2791623.3540418856</v>
      </c>
      <c r="H2922" s="359">
        <f>'DRE + DCF'!$W$32</f>
        <v>81081.931703745853</v>
      </c>
      <c r="I2922" s="359">
        <f>-H2922*('DRE + DCF'!$V$33+K2922)/'DRE + DCF'!$V$33</f>
        <v>-90858.801614444121</v>
      </c>
      <c r="J2922" s="359">
        <f>-'DRE + DCF'!$V$56*L2922</f>
        <v>-1188924.4255577971</v>
      </c>
      <c r="K2922" s="360">
        <f>(1+L2922)/(1+Ke!$O$12)-1</f>
        <v>2.0000000000000018E-2</v>
      </c>
      <c r="L2922" s="360">
        <f>'DRE + DCF'!$Y$31</f>
        <v>7.3550000000000004E-2</v>
      </c>
      <c r="M2922" s="361">
        <f>(1+D2922)^((5-Dashboard!$F$9)*3/12)</f>
        <v>1.262808676407015</v>
      </c>
      <c r="N2922" s="361">
        <f t="shared" ref="N2922:V2922" si="3001">M2922*(1+$D2922)</f>
        <v>1.7236707028617235</v>
      </c>
      <c r="O2922" s="361">
        <f t="shared" si="3001"/>
        <v>2.3527243258710664</v>
      </c>
      <c r="P2922" s="361">
        <f t="shared" si="3001"/>
        <v>3.2113510685976534</v>
      </c>
      <c r="Q2922" s="361">
        <f t="shared" si="3001"/>
        <v>4.3833336410822872</v>
      </c>
      <c r="R2922" s="361">
        <f t="shared" si="3001"/>
        <v>5.9830312533951586</v>
      </c>
      <c r="S2922" s="361">
        <f t="shared" si="3001"/>
        <v>8.1665385093215725</v>
      </c>
      <c r="T2922" s="361">
        <f t="shared" si="3001"/>
        <v>11.146916738298277</v>
      </c>
      <c r="U2922" s="361">
        <f t="shared" si="3001"/>
        <v>15.214984001939955</v>
      </c>
      <c r="V2922" s="362">
        <f t="shared" si="3001"/>
        <v>20.767692413447563</v>
      </c>
      <c r="X2922" s="351"/>
    </row>
    <row r="2923" spans="3:24" ht="24.75" customHeight="1" x14ac:dyDescent="0.3">
      <c r="C2923" s="353">
        <f>ABS(E2923-Dashboard!$F$14)</f>
        <v>57.11781084984834</v>
      </c>
      <c r="D2923" s="350">
        <f t="shared" si="2973"/>
        <v>0.36504999999997506</v>
      </c>
      <c r="E2923" s="359" cm="1">
        <f t="array" ref="E2923">1000*SUM('DRE + DCF'!$L$36/M2923,'DRE + DCF'!$N$36:$V$36/N2923:V2923,F2923/V2923)/Dashboard!$F$11</f>
        <v>39.872189150151655</v>
      </c>
      <c r="F2923" s="359">
        <f t="shared" si="2971"/>
        <v>7038089.2708225399</v>
      </c>
      <c r="G2923" s="359">
        <f>'DRE + DCF'!$W$31</f>
        <v>2791623.3540418856</v>
      </c>
      <c r="H2923" s="359">
        <f>'DRE + DCF'!$W$32</f>
        <v>81081.931703745853</v>
      </c>
      <c r="I2923" s="359">
        <f>-H2923*('DRE + DCF'!$V$33+K2923)/'DRE + DCF'!$V$33</f>
        <v>-90858.801614444121</v>
      </c>
      <c r="J2923" s="359">
        <f>-'DRE + DCF'!$V$56*L2923</f>
        <v>-1188924.4255577971</v>
      </c>
      <c r="K2923" s="360">
        <f>(1+L2923)/(1+Ke!$O$12)-1</f>
        <v>2.0000000000000018E-2</v>
      </c>
      <c r="L2923" s="360">
        <f>'DRE + DCF'!$Y$31</f>
        <v>7.3550000000000004E-2</v>
      </c>
      <c r="M2923" s="361">
        <f>(1+D2923)^((5-Dashboard!$F$9)*3/12)</f>
        <v>1.2628780634053749</v>
      </c>
      <c r="N2923" s="361">
        <f t="shared" ref="N2923:V2923" si="3002">M2923*(1+$D2923)</f>
        <v>1.7238917004514753</v>
      </c>
      <c r="O2923" s="361">
        <f t="shared" si="3002"/>
        <v>2.3531983657012434</v>
      </c>
      <c r="P2923" s="361">
        <f t="shared" si="3002"/>
        <v>3.2122334291004235</v>
      </c>
      <c r="Q2923" s="361">
        <f t="shared" si="3002"/>
        <v>4.3848592423934525</v>
      </c>
      <c r="R2923" s="361">
        <f t="shared" si="3002"/>
        <v>5.9855521088290731</v>
      </c>
      <c r="S2923" s="361">
        <f t="shared" si="3002"/>
        <v>8.1705779061569768</v>
      </c>
      <c r="T2923" s="361">
        <f t="shared" si="3002"/>
        <v>11.153247370799377</v>
      </c>
      <c r="U2923" s="361">
        <f t="shared" si="3002"/>
        <v>15.224740323509412</v>
      </c>
      <c r="V2923" s="362">
        <f t="shared" si="3002"/>
        <v>20.782531778606142</v>
      </c>
      <c r="X2923" s="351"/>
    </row>
    <row r="2924" spans="3:24" ht="24.75" customHeight="1" x14ac:dyDescent="0.3">
      <c r="C2924" s="353">
        <f>ABS(E2924-Dashboard!$F$14)</f>
        <v>57.133997697561675</v>
      </c>
      <c r="D2924" s="350">
        <f t="shared" si="2973"/>
        <v>0.36514999999997505</v>
      </c>
      <c r="E2924" s="359" cm="1">
        <f t="array" ref="E2924">1000*SUM('DRE + DCF'!$L$36/M2924,'DRE + DCF'!$N$36:$V$36/N2924:V2924,F2924/V2924)/Dashboard!$F$11</f>
        <v>39.85600230243832</v>
      </c>
      <c r="F2924" s="359">
        <f t="shared" si="2971"/>
        <v>7035959.2040538155</v>
      </c>
      <c r="G2924" s="359">
        <f>'DRE + DCF'!$W$31</f>
        <v>2791623.3540418856</v>
      </c>
      <c r="H2924" s="359">
        <f>'DRE + DCF'!$W$32</f>
        <v>81081.931703745853</v>
      </c>
      <c r="I2924" s="359">
        <f>-H2924*('DRE + DCF'!$V$33+K2924)/'DRE + DCF'!$V$33</f>
        <v>-90858.801614444121</v>
      </c>
      <c r="J2924" s="359">
        <f>-'DRE + DCF'!$V$56*L2924</f>
        <v>-1188924.4255577971</v>
      </c>
      <c r="K2924" s="360">
        <f>(1+L2924)/(1+Ke!$O$12)-1</f>
        <v>2.0000000000000018E-2</v>
      </c>
      <c r="L2924" s="360">
        <f>'DRE + DCF'!$Y$31</f>
        <v>7.3550000000000004E-2</v>
      </c>
      <c r="M2924" s="361">
        <f>(1+D2924)^((5-Dashboard!$F$9)*3/12)</f>
        <v>1.2629474491329691</v>
      </c>
      <c r="N2924" s="361">
        <f t="shared" ref="N2924:V2924" si="3003">M2924*(1+$D2924)</f>
        <v>1.7241127101838412</v>
      </c>
      <c r="O2924" s="361">
        <f t="shared" si="3003"/>
        <v>2.3536724663074278</v>
      </c>
      <c r="P2924" s="361">
        <f t="shared" si="3003"/>
        <v>3.213115967379526</v>
      </c>
      <c r="Q2924" s="361">
        <f t="shared" si="3003"/>
        <v>4.3863852628680799</v>
      </c>
      <c r="R2924" s="361">
        <f t="shared" si="3003"/>
        <v>5.9880738416042494</v>
      </c>
      <c r="S2924" s="361">
        <f t="shared" si="3003"/>
        <v>8.1746190048658907</v>
      </c>
      <c r="T2924" s="361">
        <f t="shared" si="3003"/>
        <v>11.159581134492466</v>
      </c>
      <c r="U2924" s="361">
        <f t="shared" si="3003"/>
        <v>15.234502185752111</v>
      </c>
      <c r="V2924" s="362">
        <f t="shared" si="3003"/>
        <v>20.797380658879113</v>
      </c>
      <c r="X2924" s="351"/>
    </row>
    <row r="2925" spans="3:24" ht="24.75" customHeight="1" x14ac:dyDescent="0.3">
      <c r="C2925" s="353">
        <f>ABS(E2925-Dashboard!$F$14)</f>
        <v>57.150172490116276</v>
      </c>
      <c r="D2925" s="350">
        <f t="shared" si="2973"/>
        <v>0.36524999999997504</v>
      </c>
      <c r="E2925" s="359" cm="1">
        <f t="array" ref="E2925">1000*SUM('DRE + DCF'!$L$36/M2925,'DRE + DCF'!$N$36:$V$36/N2925:V2925,F2925/V2925)/Dashboard!$F$11</f>
        <v>39.839827509883719</v>
      </c>
      <c r="F2925" s="359">
        <f t="shared" si="2971"/>
        <v>7033830.4425283391</v>
      </c>
      <c r="G2925" s="359">
        <f>'DRE + DCF'!$W$31</f>
        <v>2791623.3540418856</v>
      </c>
      <c r="H2925" s="359">
        <f>'DRE + DCF'!$W$32</f>
        <v>81081.931703745853</v>
      </c>
      <c r="I2925" s="359">
        <f>-H2925*('DRE + DCF'!$V$33+K2925)/'DRE + DCF'!$V$33</f>
        <v>-90858.801614444121</v>
      </c>
      <c r="J2925" s="359">
        <f>-'DRE + DCF'!$V$56*L2925</f>
        <v>-1188924.4255577971</v>
      </c>
      <c r="K2925" s="360">
        <f>(1+L2925)/(1+Ke!$O$12)-1</f>
        <v>2.0000000000000018E-2</v>
      </c>
      <c r="L2925" s="360">
        <f>'DRE + DCF'!$Y$31</f>
        <v>7.3550000000000004E-2</v>
      </c>
      <c r="M2925" s="361">
        <f>(1+D2925)^((5-Dashboard!$F$9)*3/12)</f>
        <v>1.2630168335899135</v>
      </c>
      <c r="N2925" s="361">
        <f t="shared" ref="N2925:V2925" si="3004">M2925*(1+$D2925)</f>
        <v>1.7243337320585979</v>
      </c>
      <c r="O2925" s="361">
        <f t="shared" si="3004"/>
        <v>2.3541466276929577</v>
      </c>
      <c r="P2925" s="361">
        <f t="shared" si="3004"/>
        <v>3.2139986834577514</v>
      </c>
      <c r="Q2925" s="361">
        <f t="shared" si="3004"/>
        <v>4.3879117025906149</v>
      </c>
      <c r="R2925" s="361">
        <f t="shared" si="3004"/>
        <v>5.9905964519617276</v>
      </c>
      <c r="S2925" s="361">
        <f t="shared" si="3004"/>
        <v>8.1786618060405996</v>
      </c>
      <c r="T2925" s="361">
        <f t="shared" si="3004"/>
        <v>11.165918030696725</v>
      </c>
      <c r="U2925" s="361">
        <f t="shared" si="3004"/>
        <v>15.244269591408424</v>
      </c>
      <c r="V2925" s="362">
        <f t="shared" si="3004"/>
        <v>20.81223905966997</v>
      </c>
      <c r="X2925" s="351"/>
    </row>
    <row r="2926" spans="3:24" ht="24.75" customHeight="1" x14ac:dyDescent="0.3">
      <c r="C2926" s="353">
        <f>ABS(E2926-Dashboard!$F$14)</f>
        <v>57.166335240062864</v>
      </c>
      <c r="D2926" s="350">
        <f t="shared" si="2973"/>
        <v>0.36534999999997503</v>
      </c>
      <c r="E2926" s="359" cm="1">
        <f t="array" ref="E2926">1000*SUM('DRE + DCF'!$L$36/M2926,'DRE + DCF'!$N$36:$V$36/N2926:V2926,F2926/V2926)/Dashboard!$F$11</f>
        <v>39.823664759937131</v>
      </c>
      <c r="F2926" s="359">
        <f t="shared" si="2971"/>
        <v>7031702.9850315861</v>
      </c>
      <c r="G2926" s="359">
        <f>'DRE + DCF'!$W$31</f>
        <v>2791623.3540418856</v>
      </c>
      <c r="H2926" s="359">
        <f>'DRE + DCF'!$W$32</f>
        <v>81081.931703745853</v>
      </c>
      <c r="I2926" s="359">
        <f>-H2926*('DRE + DCF'!$V$33+K2926)/'DRE + DCF'!$V$33</f>
        <v>-90858.801614444121</v>
      </c>
      <c r="J2926" s="359">
        <f>-'DRE + DCF'!$V$56*L2926</f>
        <v>-1188924.4255577971</v>
      </c>
      <c r="K2926" s="360">
        <f>(1+L2926)/(1+Ke!$O$12)-1</f>
        <v>2.0000000000000018E-2</v>
      </c>
      <c r="L2926" s="360">
        <f>'DRE + DCF'!$Y$31</f>
        <v>7.3550000000000004E-2</v>
      </c>
      <c r="M2926" s="361">
        <f>(1+D2926)^((5-Dashboard!$F$9)*3/12)</f>
        <v>1.2630862167763248</v>
      </c>
      <c r="N2926" s="361">
        <f t="shared" ref="N2926:V2926" si="3005">M2926*(1+$D2926)</f>
        <v>1.7245547660755234</v>
      </c>
      <c r="O2926" s="361">
        <f t="shared" si="3005"/>
        <v>2.3546208498611727</v>
      </c>
      <c r="P2926" s="361">
        <f t="shared" si="3005"/>
        <v>3.2148815773578931</v>
      </c>
      <c r="Q2926" s="361">
        <f t="shared" si="3005"/>
        <v>4.3894385616455187</v>
      </c>
      <c r="R2926" s="361">
        <f t="shared" si="3005"/>
        <v>5.9931199401425994</v>
      </c>
      <c r="S2926" s="361">
        <f t="shared" si="3005"/>
        <v>8.1827063102735487</v>
      </c>
      <c r="T2926" s="361">
        <f t="shared" si="3005"/>
        <v>11.172258060731785</v>
      </c>
      <c r="U2926" s="361">
        <f t="shared" si="3005"/>
        <v>15.254042543219864</v>
      </c>
      <c r="V2926" s="362">
        <f t="shared" si="3005"/>
        <v>20.827106986384859</v>
      </c>
      <c r="X2926" s="351"/>
    </row>
    <row r="2927" spans="3:24" ht="24.75" customHeight="1" x14ac:dyDescent="0.3">
      <c r="C2927" s="353">
        <f>ABS(E2927-Dashboard!$F$14)</f>
        <v>57.182485959935519</v>
      </c>
      <c r="D2927" s="350">
        <f t="shared" si="2973"/>
        <v>0.36544999999997502</v>
      </c>
      <c r="E2927" s="359" cm="1">
        <f t="array" ref="E2927">1000*SUM('DRE + DCF'!$L$36/M2927,'DRE + DCF'!$N$36:$V$36/N2927:V2927,F2927/V2927)/Dashboard!$F$11</f>
        <v>39.807514040064476</v>
      </c>
      <c r="F2927" s="359">
        <f t="shared" si="2971"/>
        <v>7029576.8303505657</v>
      </c>
      <c r="G2927" s="359">
        <f>'DRE + DCF'!$W$31</f>
        <v>2791623.3540418856</v>
      </c>
      <c r="H2927" s="359">
        <f>'DRE + DCF'!$W$32</f>
        <v>81081.931703745853</v>
      </c>
      <c r="I2927" s="359">
        <f>-H2927*('DRE + DCF'!$V$33+K2927)/'DRE + DCF'!$V$33</f>
        <v>-90858.801614444121</v>
      </c>
      <c r="J2927" s="359">
        <f>-'DRE + DCF'!$V$56*L2927</f>
        <v>-1188924.4255577971</v>
      </c>
      <c r="K2927" s="360">
        <f>(1+L2927)/(1+Ke!$O$12)-1</f>
        <v>2.0000000000000018E-2</v>
      </c>
      <c r="L2927" s="360">
        <f>'DRE + DCF'!$Y$31</f>
        <v>7.3550000000000004E-2</v>
      </c>
      <c r="M2927" s="361">
        <f>(1+D2927)^((5-Dashboard!$F$9)*3/12)</f>
        <v>1.2631555986923191</v>
      </c>
      <c r="N2927" s="361">
        <f t="shared" ref="N2927:V2927" si="3006">M2927*(1+$D2927)</f>
        <v>1.7247758122343955</v>
      </c>
      <c r="O2927" s="361">
        <f t="shared" si="3006"/>
        <v>2.3550951328154119</v>
      </c>
      <c r="P2927" s="361">
        <f t="shared" si="3006"/>
        <v>3.2157646491027454</v>
      </c>
      <c r="Q2927" s="361">
        <f t="shared" si="3006"/>
        <v>4.3909658401172633</v>
      </c>
      <c r="R2927" s="361">
        <f t="shared" si="3006"/>
        <v>5.9956443063880069</v>
      </c>
      <c r="S2927" s="361">
        <f t="shared" si="3006"/>
        <v>8.1867525181573537</v>
      </c>
      <c r="T2927" s="361">
        <f t="shared" si="3006"/>
        <v>11.178601225917754</v>
      </c>
      <c r="U2927" s="361">
        <f t="shared" si="3006"/>
        <v>15.263821043929118</v>
      </c>
      <c r="V2927" s="362">
        <f t="shared" si="3006"/>
        <v>20.841984444432633</v>
      </c>
      <c r="X2927" s="351"/>
    </row>
    <row r="2928" spans="3:24" ht="24.75" customHeight="1" x14ac:dyDescent="0.3">
      <c r="C2928" s="353">
        <f>ABS(E2928-Dashboard!$F$14)</f>
        <v>57.198624662251724</v>
      </c>
      <c r="D2928" s="350">
        <f t="shared" si="2973"/>
        <v>0.36554999999997501</v>
      </c>
      <c r="E2928" s="359" cm="1">
        <f t="array" ref="E2928">1000*SUM('DRE + DCF'!$L$36/M2928,'DRE + DCF'!$N$36:$V$36/N2928:V2928,F2928/V2928)/Dashboard!$F$11</f>
        <v>39.791375337748271</v>
      </c>
      <c r="F2928" s="359">
        <f t="shared" si="2971"/>
        <v>7027451.9772737995</v>
      </c>
      <c r="G2928" s="359">
        <f>'DRE + DCF'!$W$31</f>
        <v>2791623.3540418856</v>
      </c>
      <c r="H2928" s="359">
        <f>'DRE + DCF'!$W$32</f>
        <v>81081.931703745853</v>
      </c>
      <c r="I2928" s="359">
        <f>-H2928*('DRE + DCF'!$V$33+K2928)/'DRE + DCF'!$V$33</f>
        <v>-90858.801614444121</v>
      </c>
      <c r="J2928" s="359">
        <f>-'DRE + DCF'!$V$56*L2928</f>
        <v>-1188924.4255577971</v>
      </c>
      <c r="K2928" s="360">
        <f>(1+L2928)/(1+Ke!$O$12)-1</f>
        <v>2.0000000000000018E-2</v>
      </c>
      <c r="L2928" s="360">
        <f>'DRE + DCF'!$Y$31</f>
        <v>7.3550000000000004E-2</v>
      </c>
      <c r="M2928" s="361">
        <f>(1+D2928)^((5-Dashboard!$F$9)*3/12)</f>
        <v>1.2632249793380126</v>
      </c>
      <c r="N2928" s="361">
        <f t="shared" ref="N2928:V2928" si="3007">M2928*(1+$D2928)</f>
        <v>1.7249968705349914</v>
      </c>
      <c r="O2928" s="361">
        <f t="shared" si="3007"/>
        <v>2.3555694765590145</v>
      </c>
      <c r="P2928" s="361">
        <f t="shared" si="3007"/>
        <v>3.2166478987151033</v>
      </c>
      <c r="Q2928" s="361">
        <f t="shared" si="3007"/>
        <v>4.3924935380903287</v>
      </c>
      <c r="R2928" s="361">
        <f t="shared" si="3007"/>
        <v>5.9981695509391386</v>
      </c>
      <c r="S2928" s="361">
        <f t="shared" si="3007"/>
        <v>8.1908004302847903</v>
      </c>
      <c r="T2928" s="361">
        <f t="shared" si="3007"/>
        <v>11.18494752757519</v>
      </c>
      <c r="U2928" s="361">
        <f t="shared" si="3007"/>
        <v>15.27360509628002</v>
      </c>
      <c r="V2928" s="362">
        <f t="shared" si="3007"/>
        <v>20.8568714392248</v>
      </c>
      <c r="X2928" s="351"/>
    </row>
    <row r="2929" spans="3:24" ht="24.75" customHeight="1" x14ac:dyDescent="0.3">
      <c r="C2929" s="353">
        <f>ABS(E2929-Dashboard!$F$14)</f>
        <v>57.214751359512334</v>
      </c>
      <c r="D2929" s="350">
        <f t="shared" si="2973"/>
        <v>0.365649999999975</v>
      </c>
      <c r="E2929" s="359" cm="1">
        <f t="array" ref="E2929">1000*SUM('DRE + DCF'!$L$36/M2929,'DRE + DCF'!$N$36:$V$36/N2929:V2929,F2929/V2929)/Dashboard!$F$11</f>
        <v>39.775248640487661</v>
      </c>
      <c r="F2929" s="359">
        <f t="shared" si="2971"/>
        <v>7025328.4245913392</v>
      </c>
      <c r="G2929" s="359">
        <f>'DRE + DCF'!$W$31</f>
        <v>2791623.3540418856</v>
      </c>
      <c r="H2929" s="359">
        <f>'DRE + DCF'!$W$32</f>
        <v>81081.931703745853</v>
      </c>
      <c r="I2929" s="359">
        <f>-H2929*('DRE + DCF'!$V$33+K2929)/'DRE + DCF'!$V$33</f>
        <v>-90858.801614444121</v>
      </c>
      <c r="J2929" s="359">
        <f>-'DRE + DCF'!$V$56*L2929</f>
        <v>-1188924.4255577971</v>
      </c>
      <c r="K2929" s="360">
        <f>(1+L2929)/(1+Ke!$O$12)-1</f>
        <v>2.0000000000000018E-2</v>
      </c>
      <c r="L2929" s="360">
        <f>'DRE + DCF'!$Y$31</f>
        <v>7.3550000000000004E-2</v>
      </c>
      <c r="M2929" s="361">
        <f>(1+D2929)^((5-Dashboard!$F$9)*3/12)</f>
        <v>1.2632943587135219</v>
      </c>
      <c r="N2929" s="361">
        <f t="shared" ref="N2929:V2929" si="3008">M2929*(1+$D2929)</f>
        <v>1.7252179409770896</v>
      </c>
      <c r="O2929" s="361">
        <f t="shared" si="3008"/>
        <v>2.356043881095319</v>
      </c>
      <c r="P2929" s="361">
        <f t="shared" si="3008"/>
        <v>3.2175313262177636</v>
      </c>
      <c r="Q2929" s="361">
        <f t="shared" si="3008"/>
        <v>4.3940216556492082</v>
      </c>
      <c r="R2929" s="361">
        <f t="shared" si="3008"/>
        <v>6.0006956740372308</v>
      </c>
      <c r="S2929" s="361">
        <f t="shared" si="3008"/>
        <v>8.194850047248794</v>
      </c>
      <c r="T2929" s="361">
        <f t="shared" si="3008"/>
        <v>11.19129696702511</v>
      </c>
      <c r="U2929" s="361">
        <f t="shared" si="3008"/>
        <v>15.283394703017562</v>
      </c>
      <c r="V2929" s="362">
        <f t="shared" si="3008"/>
        <v>20.871767976175551</v>
      </c>
      <c r="X2929" s="351"/>
    </row>
    <row r="2930" spans="3:24" ht="24.75" customHeight="1" x14ac:dyDescent="0.3">
      <c r="C2930" s="353">
        <f>ABS(E2930-Dashboard!$F$14)</f>
        <v>57.230866064201727</v>
      </c>
      <c r="D2930" s="350">
        <f t="shared" si="2973"/>
        <v>0.36574999999997498</v>
      </c>
      <c r="E2930" s="359" cm="1">
        <f t="array" ref="E2930">1000*SUM('DRE + DCF'!$L$36/M2930,'DRE + DCF'!$N$36:$V$36/N2930:V2930,F2930/V2930)/Dashboard!$F$11</f>
        <v>39.759133935798268</v>
      </c>
      <c r="F2930" s="359">
        <f t="shared" si="2971"/>
        <v>7023206.1710947454</v>
      </c>
      <c r="G2930" s="359">
        <f>'DRE + DCF'!$W$31</f>
        <v>2791623.3540418856</v>
      </c>
      <c r="H2930" s="359">
        <f>'DRE + DCF'!$W$32</f>
        <v>81081.931703745853</v>
      </c>
      <c r="I2930" s="359">
        <f>-H2930*('DRE + DCF'!$V$33+K2930)/'DRE + DCF'!$V$33</f>
        <v>-90858.801614444121</v>
      </c>
      <c r="J2930" s="359">
        <f>-'DRE + DCF'!$V$56*L2930</f>
        <v>-1188924.4255577971</v>
      </c>
      <c r="K2930" s="360">
        <f>(1+L2930)/(1+Ke!$O$12)-1</f>
        <v>2.0000000000000018E-2</v>
      </c>
      <c r="L2930" s="360">
        <f>'DRE + DCF'!$Y$31</f>
        <v>7.3550000000000004E-2</v>
      </c>
      <c r="M2930" s="361">
        <f>(1+D2930)^((5-Dashboard!$F$9)*3/12)</f>
        <v>1.2633637368189632</v>
      </c>
      <c r="N2930" s="361">
        <f t="shared" ref="N2930:V2930" si="3009">M2930*(1+$D2930)</f>
        <v>1.7254390235604673</v>
      </c>
      <c r="O2930" s="361">
        <f t="shared" si="3009"/>
        <v>2.3565183464276651</v>
      </c>
      <c r="P2930" s="361">
        <f t="shared" si="3009"/>
        <v>3.2184149316335247</v>
      </c>
      <c r="Q2930" s="361">
        <f t="shared" si="3009"/>
        <v>4.3955501928784058</v>
      </c>
      <c r="R2930" s="361">
        <f t="shared" si="3009"/>
        <v>6.0032226759235723</v>
      </c>
      <c r="S2930" s="361">
        <f t="shared" si="3009"/>
        <v>8.1989013696424689</v>
      </c>
      <c r="T2930" s="361">
        <f t="shared" si="3009"/>
        <v>11.197649545588996</v>
      </c>
      <c r="U2930" s="361">
        <f t="shared" si="3009"/>
        <v>15.293189866887891</v>
      </c>
      <c r="V2930" s="362">
        <f t="shared" si="3009"/>
        <v>20.886674060701754</v>
      </c>
      <c r="X2930" s="351"/>
    </row>
    <row r="2931" spans="3:24" ht="24.75" customHeight="1" x14ac:dyDescent="0.3">
      <c r="C2931" s="353">
        <f>ABS(E2931-Dashboard!$F$14)</f>
        <v>57.246968788787662</v>
      </c>
      <c r="D2931" s="350">
        <f t="shared" si="2973"/>
        <v>0.36584999999997497</v>
      </c>
      <c r="E2931" s="359" cm="1">
        <f t="array" ref="E2931">1000*SUM('DRE + DCF'!$L$36/M2931,'DRE + DCF'!$N$36:$V$36/N2931:V2931,F2931/V2931)/Dashboard!$F$11</f>
        <v>39.743031211212333</v>
      </c>
      <c r="F2931" s="359">
        <f t="shared" si="2971"/>
        <v>7021085.2155770967</v>
      </c>
      <c r="G2931" s="359">
        <f>'DRE + DCF'!$W$31</f>
        <v>2791623.3540418856</v>
      </c>
      <c r="H2931" s="359">
        <f>'DRE + DCF'!$W$32</f>
        <v>81081.931703745853</v>
      </c>
      <c r="I2931" s="359">
        <f>-H2931*('DRE + DCF'!$V$33+K2931)/'DRE + DCF'!$V$33</f>
        <v>-90858.801614444121</v>
      </c>
      <c r="J2931" s="359">
        <f>-'DRE + DCF'!$V$56*L2931</f>
        <v>-1188924.4255577971</v>
      </c>
      <c r="K2931" s="360">
        <f>(1+L2931)/(1+Ke!$O$12)-1</f>
        <v>2.0000000000000018E-2</v>
      </c>
      <c r="L2931" s="360">
        <f>'DRE + DCF'!$Y$31</f>
        <v>7.3550000000000004E-2</v>
      </c>
      <c r="M2931" s="361">
        <f>(1+D2931)^((5-Dashboard!$F$9)*3/12)</f>
        <v>1.2634331136544523</v>
      </c>
      <c r="N2931" s="361">
        <f t="shared" ref="N2931:V2931" si="3010">M2931*(1+$D2931)</f>
        <v>1.7256601182849021</v>
      </c>
      <c r="O2931" s="361">
        <f t="shared" si="3010"/>
        <v>2.3569928725593901</v>
      </c>
      <c r="P2931" s="361">
        <f t="shared" si="3010"/>
        <v>3.2192987149851837</v>
      </c>
      <c r="Q2931" s="361">
        <f t="shared" si="3010"/>
        <v>4.3970791498624324</v>
      </c>
      <c r="R2931" s="361">
        <f t="shared" si="3010"/>
        <v>6.0057505568394927</v>
      </c>
      <c r="S2931" s="361">
        <f t="shared" si="3010"/>
        <v>8.2029543980590702</v>
      </c>
      <c r="T2931" s="361">
        <f t="shared" si="3010"/>
        <v>11.204005264588774</v>
      </c>
      <c r="U2931" s="361">
        <f t="shared" si="3010"/>
        <v>15.302990590638297</v>
      </c>
      <c r="V2931" s="362">
        <f t="shared" si="3010"/>
        <v>20.901589698222935</v>
      </c>
      <c r="X2931" s="351"/>
    </row>
    <row r="2932" spans="3:24" ht="24.75" customHeight="1" x14ac:dyDescent="0.3">
      <c r="C2932" s="353">
        <f>ABS(E2932-Dashboard!$F$14)</f>
        <v>57.263059545721475</v>
      </c>
      <c r="D2932" s="350">
        <f t="shared" si="2973"/>
        <v>0.36594999999997496</v>
      </c>
      <c r="E2932" s="359" cm="1">
        <f t="array" ref="E2932">1000*SUM('DRE + DCF'!$L$36/M2932,'DRE + DCF'!$N$36:$V$36/N2932:V2932,F2932/V2932)/Dashboard!$F$11</f>
        <v>39.72694045427852</v>
      </c>
      <c r="F2932" s="359">
        <f t="shared" si="2971"/>
        <v>7018965.5568329878</v>
      </c>
      <c r="G2932" s="359">
        <f>'DRE + DCF'!$W$31</f>
        <v>2791623.3540418856</v>
      </c>
      <c r="H2932" s="359">
        <f>'DRE + DCF'!$W$32</f>
        <v>81081.931703745853</v>
      </c>
      <c r="I2932" s="359">
        <f>-H2932*('DRE + DCF'!$V$33+K2932)/'DRE + DCF'!$V$33</f>
        <v>-90858.801614444121</v>
      </c>
      <c r="J2932" s="359">
        <f>-'DRE + DCF'!$V$56*L2932</f>
        <v>-1188924.4255577971</v>
      </c>
      <c r="K2932" s="360">
        <f>(1+L2932)/(1+Ke!$O$12)-1</f>
        <v>2.0000000000000018E-2</v>
      </c>
      <c r="L2932" s="360">
        <f>'DRE + DCF'!$Y$31</f>
        <v>7.3550000000000004E-2</v>
      </c>
      <c r="M2932" s="361">
        <f>(1+D2932)^((5-Dashboard!$F$9)*3/12)</f>
        <v>1.2635024892201061</v>
      </c>
      <c r="N2932" s="361">
        <f t="shared" ref="N2932:V2932" si="3011">M2932*(1+$D2932)</f>
        <v>1.7258812251501723</v>
      </c>
      <c r="O2932" s="361">
        <f t="shared" si="3011"/>
        <v>2.3574674594938347</v>
      </c>
      <c r="P2932" s="361">
        <f t="shared" si="3011"/>
        <v>3.2201826762955443</v>
      </c>
      <c r="Q2932" s="361">
        <f t="shared" si="3011"/>
        <v>4.3986085266858179</v>
      </c>
      <c r="R2932" s="361">
        <f t="shared" si="3011"/>
        <v>6.0082793170263828</v>
      </c>
      <c r="S2932" s="361">
        <f t="shared" si="3011"/>
        <v>8.2070091330920363</v>
      </c>
      <c r="T2932" s="361">
        <f t="shared" si="3011"/>
        <v>11.21036412534686</v>
      </c>
      <c r="U2932" s="361">
        <f t="shared" si="3011"/>
        <v>15.312796877017263</v>
      </c>
      <c r="V2932" s="362">
        <f t="shared" si="3011"/>
        <v>20.916514894161345</v>
      </c>
      <c r="X2932" s="351"/>
    </row>
    <row r="2933" spans="3:24" ht="24.75" customHeight="1" x14ac:dyDescent="0.3">
      <c r="C2933" s="353">
        <f>ABS(E2933-Dashboard!$F$14)</f>
        <v>57.279138347437964</v>
      </c>
      <c r="D2933" s="350">
        <f t="shared" si="2973"/>
        <v>0.36604999999997495</v>
      </c>
      <c r="E2933" s="359" cm="1">
        <f t="array" ref="E2933">1000*SUM('DRE + DCF'!$L$36/M2933,'DRE + DCF'!$N$36:$V$36/N2933:V2933,F2933/V2933)/Dashboard!$F$11</f>
        <v>39.710861652562031</v>
      </c>
      <c r="F2933" s="359">
        <f t="shared" si="2971"/>
        <v>7016847.1936585214</v>
      </c>
      <c r="G2933" s="359">
        <f>'DRE + DCF'!$W$31</f>
        <v>2791623.3540418856</v>
      </c>
      <c r="H2933" s="359">
        <f>'DRE + DCF'!$W$32</f>
        <v>81081.931703745853</v>
      </c>
      <c r="I2933" s="359">
        <f>-H2933*('DRE + DCF'!$V$33+K2933)/'DRE + DCF'!$V$33</f>
        <v>-90858.801614444121</v>
      </c>
      <c r="J2933" s="359">
        <f>-'DRE + DCF'!$V$56*L2933</f>
        <v>-1188924.4255577971</v>
      </c>
      <c r="K2933" s="360">
        <f>(1+L2933)/(1+Ke!$O$12)-1</f>
        <v>2.0000000000000018E-2</v>
      </c>
      <c r="L2933" s="360">
        <f>'DRE + DCF'!$Y$31</f>
        <v>7.3550000000000004E-2</v>
      </c>
      <c r="M2933" s="361">
        <f>(1+D2933)^((5-Dashboard!$F$9)*3/12)</f>
        <v>1.2635718635160402</v>
      </c>
      <c r="N2933" s="361">
        <f t="shared" ref="N2933:V2933" si="3012">M2933*(1+$D2933)</f>
        <v>1.726102344156055</v>
      </c>
      <c r="O2933" s="361">
        <f t="shared" si="3012"/>
        <v>2.3579421072343356</v>
      </c>
      <c r="P2933" s="361">
        <f t="shared" si="3012"/>
        <v>3.2210668155874052</v>
      </c>
      <c r="Q2933" s="361">
        <f t="shared" si="3012"/>
        <v>4.4001383234330937</v>
      </c>
      <c r="R2933" s="361">
        <f t="shared" si="3012"/>
        <v>6.0108089567256675</v>
      </c>
      <c r="S2933" s="361">
        <f t="shared" si="3012"/>
        <v>8.2110655753349473</v>
      </c>
      <c r="T2933" s="361">
        <f t="shared" si="3012"/>
        <v>11.216726129186098</v>
      </c>
      <c r="U2933" s="361">
        <f t="shared" si="3012"/>
        <v>15.322608728774387</v>
      </c>
      <c r="V2933" s="362">
        <f t="shared" si="3012"/>
        <v>20.931449653941868</v>
      </c>
      <c r="X2933" s="351"/>
    </row>
    <row r="2934" spans="3:24" ht="24.75" customHeight="1" x14ac:dyDescent="0.3">
      <c r="C2934" s="353">
        <f>ABS(E2934-Dashboard!$F$14)</f>
        <v>57.295205206355519</v>
      </c>
      <c r="D2934" s="350">
        <f t="shared" si="2973"/>
        <v>0.36614999999997494</v>
      </c>
      <c r="E2934" s="359" cm="1">
        <f t="array" ref="E2934">1000*SUM('DRE + DCF'!$L$36/M2934,'DRE + DCF'!$N$36:$V$36/N2934:V2934,F2934/V2934)/Dashboard!$F$11</f>
        <v>39.694794793644476</v>
      </c>
      <c r="F2934" s="359">
        <f t="shared" si="2971"/>
        <v>7014730.1248513069</v>
      </c>
      <c r="G2934" s="359">
        <f>'DRE + DCF'!$W$31</f>
        <v>2791623.3540418856</v>
      </c>
      <c r="H2934" s="359">
        <f>'DRE + DCF'!$W$32</f>
        <v>81081.931703745853</v>
      </c>
      <c r="I2934" s="359">
        <f>-H2934*('DRE + DCF'!$V$33+K2934)/'DRE + DCF'!$V$33</f>
        <v>-90858.801614444121</v>
      </c>
      <c r="J2934" s="359">
        <f>-'DRE + DCF'!$V$56*L2934</f>
        <v>-1188924.4255577971</v>
      </c>
      <c r="K2934" s="360">
        <f>(1+L2934)/(1+Ke!$O$12)-1</f>
        <v>2.0000000000000018E-2</v>
      </c>
      <c r="L2934" s="360">
        <f>'DRE + DCF'!$Y$31</f>
        <v>7.3550000000000004E-2</v>
      </c>
      <c r="M2934" s="361">
        <f>(1+D2934)^((5-Dashboard!$F$9)*3/12)</f>
        <v>1.263641236542371</v>
      </c>
      <c r="N2934" s="361">
        <f t="shared" ref="N2934:V2934" si="3013">M2934*(1+$D2934)</f>
        <v>1.7263234753023284</v>
      </c>
      <c r="O2934" s="361">
        <f t="shared" si="3013"/>
        <v>2.3584168157842327</v>
      </c>
      <c r="P2934" s="361">
        <f t="shared" si="3013"/>
        <v>3.2219511328835702</v>
      </c>
      <c r="Q2934" s="361">
        <f t="shared" si="3013"/>
        <v>4.4016685401888083</v>
      </c>
      <c r="R2934" s="361">
        <f t="shared" si="3013"/>
        <v>6.0133394761788299</v>
      </c>
      <c r="S2934" s="361">
        <f t="shared" si="3013"/>
        <v>8.2151237253815577</v>
      </c>
      <c r="T2934" s="361">
        <f t="shared" si="3013"/>
        <v>11.223091277429809</v>
      </c>
      <c r="U2934" s="361">
        <f t="shared" si="3013"/>
        <v>15.332426148660451</v>
      </c>
      <c r="V2934" s="362">
        <f t="shared" si="3013"/>
        <v>20.946393982992088</v>
      </c>
      <c r="X2934" s="351"/>
    </row>
    <row r="2935" spans="3:24" ht="24.75" customHeight="1" x14ac:dyDescent="0.3">
      <c r="C2935" s="353">
        <f>ABS(E2935-Dashboard!$F$14)</f>
        <v>57.311260134876107</v>
      </c>
      <c r="D2935" s="350">
        <f t="shared" si="2973"/>
        <v>0.36624999999997493</v>
      </c>
      <c r="E2935" s="359" cm="1">
        <f t="array" ref="E2935">1000*SUM('DRE + DCF'!$L$36/M2935,'DRE + DCF'!$N$36:$V$36/N2935:V2935,F2935/V2935)/Dashboard!$F$11</f>
        <v>39.678739865123887</v>
      </c>
      <c r="F2935" s="359">
        <f t="shared" si="2971"/>
        <v>7012614.3492104616</v>
      </c>
      <c r="G2935" s="359">
        <f>'DRE + DCF'!$W$31</f>
        <v>2791623.3540418856</v>
      </c>
      <c r="H2935" s="359">
        <f>'DRE + DCF'!$W$32</f>
        <v>81081.931703745853</v>
      </c>
      <c r="I2935" s="359">
        <f>-H2935*('DRE + DCF'!$V$33+K2935)/'DRE + DCF'!$V$33</f>
        <v>-90858.801614444121</v>
      </c>
      <c r="J2935" s="359">
        <f>-'DRE + DCF'!$V$56*L2935</f>
        <v>-1188924.4255577971</v>
      </c>
      <c r="K2935" s="360">
        <f>(1+L2935)/(1+Ke!$O$12)-1</f>
        <v>2.0000000000000018E-2</v>
      </c>
      <c r="L2935" s="360">
        <f>'DRE + DCF'!$Y$31</f>
        <v>7.3550000000000004E-2</v>
      </c>
      <c r="M2935" s="361">
        <f>(1+D2935)^((5-Dashboard!$F$9)*3/12)</f>
        <v>1.2637106082992149</v>
      </c>
      <c r="N2935" s="361">
        <f t="shared" ref="N2935:V2935" si="3014">M2935*(1+$D2935)</f>
        <v>1.7265446185887705</v>
      </c>
      <c r="O2935" s="361">
        <f t="shared" si="3014"/>
        <v>2.3588915851468641</v>
      </c>
      <c r="P2935" s="361">
        <f t="shared" si="3014"/>
        <v>3.2228356282068438</v>
      </c>
      <c r="Q2935" s="361">
        <f t="shared" si="3014"/>
        <v>4.4031991770375196</v>
      </c>
      <c r="R2935" s="361">
        <f t="shared" si="3014"/>
        <v>6.0158708756274004</v>
      </c>
      <c r="S2935" s="361">
        <f t="shared" si="3014"/>
        <v>8.2191835838257852</v>
      </c>
      <c r="T2935" s="361">
        <f t="shared" si="3014"/>
        <v>11.229459571401772</v>
      </c>
      <c r="U2935" s="361">
        <f t="shared" si="3014"/>
        <v>15.342249139427389</v>
      </c>
      <c r="V2935" s="362">
        <f t="shared" si="3014"/>
        <v>20.961347886742285</v>
      </c>
      <c r="X2935" s="351"/>
    </row>
    <row r="2936" spans="3:24" ht="24.75" customHeight="1" x14ac:dyDescent="0.3">
      <c r="C2936" s="353">
        <f>ABS(E2936-Dashboard!$F$14)</f>
        <v>57.327303145385279</v>
      </c>
      <c r="D2936" s="350">
        <f t="shared" si="2973"/>
        <v>0.36634999999997492</v>
      </c>
      <c r="E2936" s="359" cm="1">
        <f t="array" ref="E2936">1000*SUM('DRE + DCF'!$L$36/M2936,'DRE + DCF'!$N$36:$V$36/N2936:V2936,F2936/V2936)/Dashboard!$F$11</f>
        <v>39.662696854614715</v>
      </c>
      <c r="F2936" s="359">
        <f t="shared" si="2971"/>
        <v>7010499.8655366041</v>
      </c>
      <c r="G2936" s="359">
        <f>'DRE + DCF'!$W$31</f>
        <v>2791623.3540418856</v>
      </c>
      <c r="H2936" s="359">
        <f>'DRE + DCF'!$W$32</f>
        <v>81081.931703745853</v>
      </c>
      <c r="I2936" s="359">
        <f>-H2936*('DRE + DCF'!$V$33+K2936)/'DRE + DCF'!$V$33</f>
        <v>-90858.801614444121</v>
      </c>
      <c r="J2936" s="359">
        <f>-'DRE + DCF'!$V$56*L2936</f>
        <v>-1188924.4255577971</v>
      </c>
      <c r="K2936" s="360">
        <f>(1+L2936)/(1+Ke!$O$12)-1</f>
        <v>2.0000000000000018E-2</v>
      </c>
      <c r="L2936" s="360">
        <f>'DRE + DCF'!$Y$31</f>
        <v>7.3550000000000004E-2</v>
      </c>
      <c r="M2936" s="361">
        <f>(1+D2936)^((5-Dashboard!$F$9)*3/12)</f>
        <v>1.2637799787866879</v>
      </c>
      <c r="N2936" s="361">
        <f t="shared" ref="N2936:V2936" si="3015">M2936*(1+$D2936)</f>
        <v>1.7267657740151592</v>
      </c>
      <c r="O2936" s="361">
        <f t="shared" si="3015"/>
        <v>2.3593664153255691</v>
      </c>
      <c r="P2936" s="361">
        <f t="shared" si="3015"/>
        <v>3.2237203015800322</v>
      </c>
      <c r="Q2936" s="361">
        <f t="shared" si="3015"/>
        <v>4.4047302340637957</v>
      </c>
      <c r="R2936" s="361">
        <f t="shared" si="3015"/>
        <v>6.0184031553129564</v>
      </c>
      <c r="S2936" s="361">
        <f t="shared" si="3015"/>
        <v>8.2232451512617075</v>
      </c>
      <c r="T2936" s="361">
        <f t="shared" si="3015"/>
        <v>11.235831012426228</v>
      </c>
      <c r="U2936" s="361">
        <f t="shared" si="3015"/>
        <v>15.352077703828295</v>
      </c>
      <c r="V2936" s="362">
        <f t="shared" si="3015"/>
        <v>20.976311370625403</v>
      </c>
      <c r="X2936" s="351"/>
    </row>
    <row r="2937" spans="3:24" ht="24.75" customHeight="1" x14ac:dyDescent="0.3">
      <c r="C2937" s="353">
        <f>ABS(E2937-Dashboard!$F$14)</f>
        <v>57.343334250252241</v>
      </c>
      <c r="D2937" s="350">
        <f t="shared" si="2973"/>
        <v>0.36644999999997491</v>
      </c>
      <c r="E2937" s="359" cm="1">
        <f t="array" ref="E2937">1000*SUM('DRE + DCF'!$L$36/M2937,'DRE + DCF'!$N$36:$V$36/N2937:V2937,F2937/V2937)/Dashboard!$F$11</f>
        <v>39.646665749747754</v>
      </c>
      <c r="F2937" s="359">
        <f t="shared" si="2971"/>
        <v>7008386.672631857</v>
      </c>
      <c r="G2937" s="359">
        <f>'DRE + DCF'!$W$31</f>
        <v>2791623.3540418856</v>
      </c>
      <c r="H2937" s="359">
        <f>'DRE + DCF'!$W$32</f>
        <v>81081.931703745853</v>
      </c>
      <c r="I2937" s="359">
        <f>-H2937*('DRE + DCF'!$V$33+K2937)/'DRE + DCF'!$V$33</f>
        <v>-90858.801614444121</v>
      </c>
      <c r="J2937" s="359">
        <f>-'DRE + DCF'!$V$56*L2937</f>
        <v>-1188924.4255577971</v>
      </c>
      <c r="K2937" s="360">
        <f>(1+L2937)/(1+Ke!$O$12)-1</f>
        <v>2.0000000000000018E-2</v>
      </c>
      <c r="L2937" s="360">
        <f>'DRE + DCF'!$Y$31</f>
        <v>7.3550000000000004E-2</v>
      </c>
      <c r="M2937" s="361">
        <f>(1+D2937)^((5-Dashboard!$F$9)*3/12)</f>
        <v>1.263849348004906</v>
      </c>
      <c r="N2937" s="361">
        <f t="shared" ref="N2937:V2937" si="3016">M2937*(1+$D2937)</f>
        <v>1.726986941581272</v>
      </c>
      <c r="O2937" s="361">
        <f t="shared" si="3016"/>
        <v>2.3598413063236858</v>
      </c>
      <c r="P2937" s="361">
        <f t="shared" si="3016"/>
        <v>3.2246051530259412</v>
      </c>
      <c r="Q2937" s="361">
        <f t="shared" si="3016"/>
        <v>4.406261711352216</v>
      </c>
      <c r="R2937" s="361">
        <f t="shared" si="3016"/>
        <v>6.0209363154771252</v>
      </c>
      <c r="S2937" s="361">
        <f t="shared" si="3016"/>
        <v>8.2273084282835658</v>
      </c>
      <c r="T2937" s="361">
        <f t="shared" si="3016"/>
        <v>11.242205601827871</v>
      </c>
      <c r="U2937" s="361">
        <f t="shared" si="3016"/>
        <v>15.361911844617412</v>
      </c>
      <c r="V2937" s="362">
        <f t="shared" si="3016"/>
        <v>20.991284440077077</v>
      </c>
      <c r="X2937" s="351"/>
    </row>
    <row r="2938" spans="3:24" ht="24.75" customHeight="1" x14ac:dyDescent="0.3">
      <c r="C2938" s="353">
        <f>ABS(E2938-Dashboard!$F$14)</f>
        <v>57.359353461829791</v>
      </c>
      <c r="D2938" s="350">
        <f t="shared" si="2973"/>
        <v>0.3665499999999749</v>
      </c>
      <c r="E2938" s="359" cm="1">
        <f t="array" ref="E2938">1000*SUM('DRE + DCF'!$L$36/M2938,'DRE + DCF'!$N$36:$V$36/N2938:V2938,F2938/V2938)/Dashboard!$F$11</f>
        <v>39.630646538170204</v>
      </c>
      <c r="F2938" s="359">
        <f t="shared" si="2971"/>
        <v>7006274.7692998368</v>
      </c>
      <c r="G2938" s="359">
        <f>'DRE + DCF'!$W$31</f>
        <v>2791623.3540418856</v>
      </c>
      <c r="H2938" s="359">
        <f>'DRE + DCF'!$W$32</f>
        <v>81081.931703745853</v>
      </c>
      <c r="I2938" s="359">
        <f>-H2938*('DRE + DCF'!$V$33+K2938)/'DRE + DCF'!$V$33</f>
        <v>-90858.801614444121</v>
      </c>
      <c r="J2938" s="359">
        <f>-'DRE + DCF'!$V$56*L2938</f>
        <v>-1188924.4255577971</v>
      </c>
      <c r="K2938" s="360">
        <f>(1+L2938)/(1+Ke!$O$12)-1</f>
        <v>2.0000000000000018E-2</v>
      </c>
      <c r="L2938" s="360">
        <f>'DRE + DCF'!$Y$31</f>
        <v>7.3550000000000004E-2</v>
      </c>
      <c r="M2938" s="361">
        <f>(1+D2938)^((5-Dashboard!$F$9)*3/12)</f>
        <v>1.2639187159539853</v>
      </c>
      <c r="N2938" s="361">
        <f t="shared" ref="N2938:V2938" si="3017">M2938*(1+$D2938)</f>
        <v>1.7272081212868868</v>
      </c>
      <c r="O2938" s="361">
        <f t="shared" si="3017"/>
        <v>2.3603162581445516</v>
      </c>
      <c r="P2938" s="361">
        <f t="shared" si="3017"/>
        <v>3.2254901825673774</v>
      </c>
      <c r="Q2938" s="361">
        <f t="shared" si="3017"/>
        <v>4.4077936089873688</v>
      </c>
      <c r="R2938" s="361">
        <f t="shared" si="3017"/>
        <v>6.0234703563615781</v>
      </c>
      <c r="S2938" s="361">
        <f t="shared" si="3017"/>
        <v>8.2313734154857627</v>
      </c>
      <c r="T2938" s="361">
        <f t="shared" si="3017"/>
        <v>11.248583340931862</v>
      </c>
      <c r="U2938" s="361">
        <f t="shared" si="3017"/>
        <v>15.371751564550154</v>
      </c>
      <c r="V2938" s="362">
        <f t="shared" si="3017"/>
        <v>21.006267100535627</v>
      </c>
      <c r="X2938" s="351"/>
    </row>
    <row r="2939" spans="3:24" ht="24.75" customHeight="1" x14ac:dyDescent="0.3">
      <c r="C2939" s="353">
        <f>ABS(E2939-Dashboard!$F$14)</f>
        <v>57.375360792454494</v>
      </c>
      <c r="D2939" s="350">
        <f t="shared" si="2973"/>
        <v>0.36664999999997488</v>
      </c>
      <c r="E2939" s="359" cm="1">
        <f t="array" ref="E2939">1000*SUM('DRE + DCF'!$L$36/M2939,'DRE + DCF'!$N$36:$V$36/N2939:V2939,F2939/V2939)/Dashboard!$F$11</f>
        <v>39.614639207545501</v>
      </c>
      <c r="F2939" s="359">
        <f t="shared" si="2971"/>
        <v>7004164.1543456623</v>
      </c>
      <c r="G2939" s="359">
        <f>'DRE + DCF'!$W$31</f>
        <v>2791623.3540418856</v>
      </c>
      <c r="H2939" s="359">
        <f>'DRE + DCF'!$W$32</f>
        <v>81081.931703745853</v>
      </c>
      <c r="I2939" s="359">
        <f>-H2939*('DRE + DCF'!$V$33+K2939)/'DRE + DCF'!$V$33</f>
        <v>-90858.801614444121</v>
      </c>
      <c r="J2939" s="359">
        <f>-'DRE + DCF'!$V$56*L2939</f>
        <v>-1188924.4255577971</v>
      </c>
      <c r="K2939" s="360">
        <f>(1+L2939)/(1+Ke!$O$12)-1</f>
        <v>2.0000000000000018E-2</v>
      </c>
      <c r="L2939" s="360">
        <f>'DRE + DCF'!$Y$31</f>
        <v>7.3550000000000004E-2</v>
      </c>
      <c r="M2939" s="361">
        <f>(1+D2939)^((5-Dashboard!$F$9)*3/12)</f>
        <v>1.2639880826340422</v>
      </c>
      <c r="N2939" s="361">
        <f t="shared" ref="N2939:V2939" si="3018">M2939*(1+$D2939)</f>
        <v>1.7274293131317819</v>
      </c>
      <c r="O2939" s="361">
        <f t="shared" si="3018"/>
        <v>2.3607912707915064</v>
      </c>
      <c r="P2939" s="361">
        <f t="shared" si="3018"/>
        <v>3.2263753902271528</v>
      </c>
      <c r="Q2939" s="361">
        <f t="shared" si="3018"/>
        <v>4.4093259270538567</v>
      </c>
      <c r="R2939" s="361">
        <f t="shared" si="3018"/>
        <v>6.026005278208042</v>
      </c>
      <c r="S2939" s="361">
        <f t="shared" si="3018"/>
        <v>8.2354401134628681</v>
      </c>
      <c r="T2939" s="361">
        <f t="shared" si="3018"/>
        <v>11.254964231063822</v>
      </c>
      <c r="U2939" s="361">
        <f t="shared" si="3018"/>
        <v>15.381596866383088</v>
      </c>
      <c r="V2939" s="362">
        <f t="shared" si="3018"/>
        <v>21.021259357442059</v>
      </c>
      <c r="X2939" s="351"/>
    </row>
    <row r="2940" spans="3:24" ht="24.75" customHeight="1" x14ac:dyDescent="0.3">
      <c r="C2940" s="353">
        <f>ABS(E2940-Dashboard!$F$14)</f>
        <v>57.391356254446592</v>
      </c>
      <c r="D2940" s="350">
        <f t="shared" si="2973"/>
        <v>0.36674999999997487</v>
      </c>
      <c r="E2940" s="359" cm="1">
        <f t="array" ref="E2940">1000*SUM('DRE + DCF'!$L$36/M2940,'DRE + DCF'!$N$36:$V$36/N2940:V2940,F2940/V2940)/Dashboard!$F$11</f>
        <v>39.598643745553403</v>
      </c>
      <c r="F2940" s="359">
        <f t="shared" si="2971"/>
        <v>7002054.8265759395</v>
      </c>
      <c r="G2940" s="359">
        <f>'DRE + DCF'!$W$31</f>
        <v>2791623.3540418856</v>
      </c>
      <c r="H2940" s="359">
        <f>'DRE + DCF'!$W$32</f>
        <v>81081.931703745853</v>
      </c>
      <c r="I2940" s="359">
        <f>-H2940*('DRE + DCF'!$V$33+K2940)/'DRE + DCF'!$V$33</f>
        <v>-90858.801614444121</v>
      </c>
      <c r="J2940" s="359">
        <f>-'DRE + DCF'!$V$56*L2940</f>
        <v>-1188924.4255577971</v>
      </c>
      <c r="K2940" s="360">
        <f>(1+L2940)/(1+Ke!$O$12)-1</f>
        <v>2.0000000000000018E-2</v>
      </c>
      <c r="L2940" s="360">
        <f>'DRE + DCF'!$Y$31</f>
        <v>7.3550000000000004E-2</v>
      </c>
      <c r="M2940" s="361">
        <f>(1+D2940)^((5-Dashboard!$F$9)*3/12)</f>
        <v>1.2640574480451923</v>
      </c>
      <c r="N2940" s="361">
        <f t="shared" ref="N2940:V2940" si="3019">M2940*(1+$D2940)</f>
        <v>1.7276505171157348</v>
      </c>
      <c r="O2940" s="361">
        <f t="shared" si="3019"/>
        <v>2.3612663442678872</v>
      </c>
      <c r="P2940" s="361">
        <f t="shared" si="3019"/>
        <v>3.2272607760280754</v>
      </c>
      <c r="Q2940" s="361">
        <f t="shared" si="3019"/>
        <v>4.4108586656362911</v>
      </c>
      <c r="R2940" s="361">
        <f t="shared" si="3019"/>
        <v>6.0285410812582896</v>
      </c>
      <c r="S2940" s="361">
        <f t="shared" si="3019"/>
        <v>8.239508522809615</v>
      </c>
      <c r="T2940" s="361">
        <f t="shared" si="3019"/>
        <v>11.261348273549833</v>
      </c>
      <c r="U2940" s="361">
        <f t="shared" si="3019"/>
        <v>15.391447752873951</v>
      </c>
      <c r="V2940" s="362">
        <f t="shared" si="3019"/>
        <v>21.036261216240085</v>
      </c>
      <c r="X2940" s="351"/>
    </row>
    <row r="2941" spans="3:24" ht="24.75" customHeight="1" x14ac:dyDescent="0.3">
      <c r="C2941" s="353">
        <f>ABS(E2941-Dashboard!$F$14)</f>
        <v>57.407339860110042</v>
      </c>
      <c r="D2941" s="350">
        <f t="shared" si="2973"/>
        <v>0.36684999999997486</v>
      </c>
      <c r="E2941" s="359" cm="1">
        <f t="array" ref="E2941">1000*SUM('DRE + DCF'!$L$36/M2941,'DRE + DCF'!$N$36:$V$36/N2941:V2941,F2941/V2941)/Dashboard!$F$11</f>
        <v>39.582660139889953</v>
      </c>
      <c r="F2941" s="359">
        <f t="shared" si="2971"/>
        <v>6999946.7847987702</v>
      </c>
      <c r="G2941" s="359">
        <f>'DRE + DCF'!$W$31</f>
        <v>2791623.3540418856</v>
      </c>
      <c r="H2941" s="359">
        <f>'DRE + DCF'!$W$32</f>
        <v>81081.931703745853</v>
      </c>
      <c r="I2941" s="359">
        <f>-H2941*('DRE + DCF'!$V$33+K2941)/'DRE + DCF'!$V$33</f>
        <v>-90858.801614444121</v>
      </c>
      <c r="J2941" s="359">
        <f>-'DRE + DCF'!$V$56*L2941</f>
        <v>-1188924.4255577971</v>
      </c>
      <c r="K2941" s="360">
        <f>(1+L2941)/(1+Ke!$O$12)-1</f>
        <v>2.0000000000000018E-2</v>
      </c>
      <c r="L2941" s="360">
        <f>'DRE + DCF'!$Y$31</f>
        <v>7.3550000000000004E-2</v>
      </c>
      <c r="M2941" s="361">
        <f>(1+D2941)^((5-Dashboard!$F$9)*3/12)</f>
        <v>1.264126812187552</v>
      </c>
      <c r="N2941" s="361">
        <f t="shared" ref="N2941:V2941" si="3020">M2941*(1+$D2941)</f>
        <v>1.7278717332385236</v>
      </c>
      <c r="O2941" s="361">
        <f t="shared" si="3020"/>
        <v>2.3617414785770325</v>
      </c>
      <c r="P2941" s="361">
        <f t="shared" si="3020"/>
        <v>3.2281463399929575</v>
      </c>
      <c r="Q2941" s="361">
        <f t="shared" si="3020"/>
        <v>4.4123918248192924</v>
      </c>
      <c r="R2941" s="361">
        <f t="shared" si="3020"/>
        <v>6.031077765754139</v>
      </c>
      <c r="S2941" s="361">
        <f t="shared" si="3020"/>
        <v>8.2435786441208929</v>
      </c>
      <c r="T2941" s="361">
        <f t="shared" si="3020"/>
        <v>11.267735469716435</v>
      </c>
      <c r="U2941" s="361">
        <f t="shared" si="3020"/>
        <v>15.401304226781624</v>
      </c>
      <c r="V2941" s="362">
        <f t="shared" si="3020"/>
        <v>21.051272682376077</v>
      </c>
      <c r="X2941" s="351"/>
    </row>
    <row r="2942" spans="3:24" ht="24.75" customHeight="1" x14ac:dyDescent="0.3">
      <c r="C2942" s="353">
        <f>ABS(E2942-Dashboard!$F$14)</f>
        <v>57.423311621732587</v>
      </c>
      <c r="D2942" s="350">
        <f t="shared" si="2973"/>
        <v>0.36694999999997485</v>
      </c>
      <c r="E2942" s="359" cm="1">
        <f t="array" ref="E2942">1000*SUM('DRE + DCF'!$L$36/M2942,'DRE + DCF'!$N$36:$V$36/N2942:V2942,F2942/V2942)/Dashboard!$F$11</f>
        <v>39.566688378267408</v>
      </c>
      <c r="F2942" s="359">
        <f t="shared" si="2971"/>
        <v>6997840.0278237443</v>
      </c>
      <c r="G2942" s="359">
        <f>'DRE + DCF'!$W$31</f>
        <v>2791623.3540418856</v>
      </c>
      <c r="H2942" s="359">
        <f>'DRE + DCF'!$W$32</f>
        <v>81081.931703745853</v>
      </c>
      <c r="I2942" s="359">
        <f>-H2942*('DRE + DCF'!$V$33+K2942)/'DRE + DCF'!$V$33</f>
        <v>-90858.801614444121</v>
      </c>
      <c r="J2942" s="359">
        <f>-'DRE + DCF'!$V$56*L2942</f>
        <v>-1188924.4255577971</v>
      </c>
      <c r="K2942" s="360">
        <f>(1+L2942)/(1+Ke!$O$12)-1</f>
        <v>2.0000000000000018E-2</v>
      </c>
      <c r="L2942" s="360">
        <f>'DRE + DCF'!$Y$31</f>
        <v>7.3550000000000004E-2</v>
      </c>
      <c r="M2942" s="361">
        <f>(1+D2942)^((5-Dashboard!$F$9)*3/12)</f>
        <v>1.2641961750612372</v>
      </c>
      <c r="N2942" s="361">
        <f t="shared" ref="N2942:V2942" si="3021">M2942*(1+$D2942)</f>
        <v>1.7280929614999263</v>
      </c>
      <c r="O2942" s="361">
        <f t="shared" si="3021"/>
        <v>2.3622166737222807</v>
      </c>
      <c r="P2942" s="361">
        <f t="shared" si="3021"/>
        <v>3.2290320821446121</v>
      </c>
      <c r="Q2942" s="361">
        <f t="shared" si="3021"/>
        <v>4.4139254046874958</v>
      </c>
      <c r="R2942" s="361">
        <f t="shared" si="3021"/>
        <v>6.0336153319374608</v>
      </c>
      <c r="S2942" s="361">
        <f t="shared" si="3021"/>
        <v>8.2476504779917601</v>
      </c>
      <c r="T2942" s="361">
        <f t="shared" si="3021"/>
        <v>11.274125820890628</v>
      </c>
      <c r="U2942" s="361">
        <f t="shared" si="3021"/>
        <v>15.411166290866159</v>
      </c>
      <c r="V2942" s="362">
        <f t="shared" si="3021"/>
        <v>21.066293761299107</v>
      </c>
      <c r="X2942" s="351"/>
    </row>
    <row r="2943" spans="3:24" ht="24.75" customHeight="1" x14ac:dyDescent="0.3">
      <c r="C2943" s="353">
        <f>ABS(E2943-Dashboard!$F$14)</f>
        <v>57.439271551585762</v>
      </c>
      <c r="D2943" s="350">
        <f t="shared" si="2973"/>
        <v>0.36704999999997484</v>
      </c>
      <c r="E2943" s="359" cm="1">
        <f t="array" ref="E2943">1000*SUM('DRE + DCF'!$L$36/M2943,'DRE + DCF'!$N$36:$V$36/N2943:V2943,F2943/V2943)/Dashboard!$F$11</f>
        <v>39.550728448414233</v>
      </c>
      <c r="F2943" s="359">
        <f t="shared" si="2971"/>
        <v>6995734.5544619374</v>
      </c>
      <c r="G2943" s="359">
        <f>'DRE + DCF'!$W$31</f>
        <v>2791623.3540418856</v>
      </c>
      <c r="H2943" s="359">
        <f>'DRE + DCF'!$W$32</f>
        <v>81081.931703745853</v>
      </c>
      <c r="I2943" s="359">
        <f>-H2943*('DRE + DCF'!$V$33+K2943)/'DRE + DCF'!$V$33</f>
        <v>-90858.801614444121</v>
      </c>
      <c r="J2943" s="359">
        <f>-'DRE + DCF'!$V$56*L2943</f>
        <v>-1188924.4255577971</v>
      </c>
      <c r="K2943" s="360">
        <f>(1+L2943)/(1+Ke!$O$12)-1</f>
        <v>2.0000000000000018E-2</v>
      </c>
      <c r="L2943" s="360">
        <f>'DRE + DCF'!$Y$31</f>
        <v>7.3550000000000004E-2</v>
      </c>
      <c r="M2943" s="361">
        <f>(1+D2943)^((5-Dashboard!$F$9)*3/12)</f>
        <v>1.264265536666364</v>
      </c>
      <c r="N2943" s="361">
        <f t="shared" ref="N2943:V2943" si="3022">M2943*(1+$D2943)</f>
        <v>1.7283142018997211</v>
      </c>
      <c r="O2943" s="361">
        <f t="shared" si="3022"/>
        <v>2.36269192970697</v>
      </c>
      <c r="P2943" s="361">
        <f t="shared" si="3022"/>
        <v>3.2299180025058538</v>
      </c>
      <c r="Q2943" s="361">
        <f t="shared" si="3022"/>
        <v>4.4154594053255458</v>
      </c>
      <c r="R2943" s="361">
        <f t="shared" si="3022"/>
        <v>6.0361537800501761</v>
      </c>
      <c r="S2943" s="361">
        <f t="shared" si="3022"/>
        <v>8.2517240250174417</v>
      </c>
      <c r="T2943" s="361">
        <f t="shared" si="3022"/>
        <v>11.280519328399885</v>
      </c>
      <c r="U2943" s="361">
        <f t="shared" si="3022"/>
        <v>15.421033947888779</v>
      </c>
      <c r="V2943" s="362">
        <f t="shared" si="3022"/>
        <v>21.081324458460966</v>
      </c>
      <c r="X2943" s="351"/>
    </row>
    <row r="2944" spans="3:24" ht="24.75" customHeight="1" x14ac:dyDescent="0.3">
      <c r="C2944" s="353">
        <f>ABS(E2944-Dashboard!$F$14)</f>
        <v>57.455219661924865</v>
      </c>
      <c r="D2944" s="350">
        <f t="shared" si="2973"/>
        <v>0.36714999999997483</v>
      </c>
      <c r="E2944" s="359" cm="1">
        <f t="array" ref="E2944">1000*SUM('DRE + DCF'!$L$36/M2944,'DRE + DCF'!$N$36:$V$36/N2944:V2944,F2944/V2944)/Dashboard!$F$11</f>
        <v>39.53478033807513</v>
      </c>
      <c r="F2944" s="359">
        <f t="shared" si="2971"/>
        <v>6993630.3635259103</v>
      </c>
      <c r="G2944" s="359">
        <f>'DRE + DCF'!$W$31</f>
        <v>2791623.3540418856</v>
      </c>
      <c r="H2944" s="359">
        <f>'DRE + DCF'!$W$32</f>
        <v>81081.931703745853</v>
      </c>
      <c r="I2944" s="359">
        <f>-H2944*('DRE + DCF'!$V$33+K2944)/'DRE + DCF'!$V$33</f>
        <v>-90858.801614444121</v>
      </c>
      <c r="J2944" s="359">
        <f>-'DRE + DCF'!$V$56*L2944</f>
        <v>-1188924.4255577971</v>
      </c>
      <c r="K2944" s="360">
        <f>(1+L2944)/(1+Ke!$O$12)-1</f>
        <v>2.0000000000000018E-2</v>
      </c>
      <c r="L2944" s="360">
        <f>'DRE + DCF'!$Y$31</f>
        <v>7.3550000000000004E-2</v>
      </c>
      <c r="M2944" s="361">
        <f>(1+D2944)^((5-Dashboard!$F$9)*3/12)</f>
        <v>1.2643348970030481</v>
      </c>
      <c r="N2944" s="361">
        <f t="shared" ref="N2944:V2944" si="3023">M2944*(1+$D2944)</f>
        <v>1.7285354544376854</v>
      </c>
      <c r="O2944" s="361">
        <f t="shared" si="3023"/>
        <v>2.363167246534438</v>
      </c>
      <c r="P2944" s="361">
        <f t="shared" si="3023"/>
        <v>3.2308041010994972</v>
      </c>
      <c r="Q2944" s="361">
        <f t="shared" si="3023"/>
        <v>4.4169938268180964</v>
      </c>
      <c r="R2944" s="361">
        <f t="shared" si="3023"/>
        <v>6.0386931103342487</v>
      </c>
      <c r="S2944" s="361">
        <f t="shared" si="3023"/>
        <v>8.2557992857933158</v>
      </c>
      <c r="T2944" s="361">
        <f t="shared" si="3023"/>
        <v>11.286915993572123</v>
      </c>
      <c r="U2944" s="361">
        <f t="shared" si="3023"/>
        <v>15.430907200611843</v>
      </c>
      <c r="V2944" s="362">
        <f t="shared" si="3023"/>
        <v>21.09636477931609</v>
      </c>
      <c r="X2944" s="351"/>
    </row>
    <row r="2945" spans="3:24" ht="24.75" customHeight="1" x14ac:dyDescent="0.3">
      <c r="C2945" s="353">
        <f>ABS(E2945-Dashboard!$F$14)</f>
        <v>57.471155964989123</v>
      </c>
      <c r="D2945" s="350">
        <f t="shared" si="2973"/>
        <v>0.36724999999997482</v>
      </c>
      <c r="E2945" s="359" cm="1">
        <f t="array" ref="E2945">1000*SUM('DRE + DCF'!$L$36/M2945,'DRE + DCF'!$N$36:$V$36/N2945:V2945,F2945/V2945)/Dashboard!$F$11</f>
        <v>39.518844035010872</v>
      </c>
      <c r="F2945" s="359">
        <f t="shared" si="2971"/>
        <v>6991527.4538297066</v>
      </c>
      <c r="G2945" s="359">
        <f>'DRE + DCF'!$W$31</f>
        <v>2791623.3540418856</v>
      </c>
      <c r="H2945" s="359">
        <f>'DRE + DCF'!$W$32</f>
        <v>81081.931703745853</v>
      </c>
      <c r="I2945" s="359">
        <f>-H2945*('DRE + DCF'!$V$33+K2945)/'DRE + DCF'!$V$33</f>
        <v>-90858.801614444121</v>
      </c>
      <c r="J2945" s="359">
        <f>-'DRE + DCF'!$V$56*L2945</f>
        <v>-1188924.4255577971</v>
      </c>
      <c r="K2945" s="360">
        <f>(1+L2945)/(1+Ke!$O$12)-1</f>
        <v>2.0000000000000018E-2</v>
      </c>
      <c r="L2945" s="360">
        <f>'DRE + DCF'!$Y$31</f>
        <v>7.3550000000000004E-2</v>
      </c>
      <c r="M2945" s="361">
        <f>(1+D2945)^((5-Dashboard!$F$9)*3/12)</f>
        <v>1.2644042560714059</v>
      </c>
      <c r="N2945" s="361">
        <f t="shared" ref="N2945:V2945" si="3024">M2945*(1+$D2945)</f>
        <v>1.728756719113598</v>
      </c>
      <c r="O2945" s="361">
        <f t="shared" si="3024"/>
        <v>2.3636426242080231</v>
      </c>
      <c r="P2945" s="361">
        <f t="shared" si="3024"/>
        <v>3.2316903779483597</v>
      </c>
      <c r="Q2945" s="361">
        <f t="shared" si="3024"/>
        <v>4.4185286692498131</v>
      </c>
      <c r="R2945" s="361">
        <f t="shared" si="3024"/>
        <v>6.0412333230316957</v>
      </c>
      <c r="S2945" s="361">
        <f t="shared" si="3024"/>
        <v>8.2598762609149343</v>
      </c>
      <c r="T2945" s="361">
        <f t="shared" si="3024"/>
        <v>11.293315817735735</v>
      </c>
      <c r="U2945" s="361">
        <f t="shared" si="3024"/>
        <v>15.440786051798899</v>
      </c>
      <c r="V2945" s="362">
        <f t="shared" si="3024"/>
        <v>21.111414729321655</v>
      </c>
      <c r="X2945" s="351"/>
    </row>
    <row r="2946" spans="3:24" ht="24.75" customHeight="1" x14ac:dyDescent="0.3">
      <c r="C2946" s="353">
        <f>ABS(E2946-Dashboard!$F$14)</f>
        <v>57.487080473001548</v>
      </c>
      <c r="D2946" s="350">
        <f t="shared" si="2973"/>
        <v>0.36734999999997481</v>
      </c>
      <c r="E2946" s="359" cm="1">
        <f t="array" ref="E2946">1000*SUM('DRE + DCF'!$L$36/M2946,'DRE + DCF'!$N$36:$V$36/N2946:V2946,F2946/V2946)/Dashboard!$F$11</f>
        <v>39.502919526998447</v>
      </c>
      <c r="F2946" s="359">
        <f t="shared" si="2971"/>
        <v>6989425.8241888471</v>
      </c>
      <c r="G2946" s="359">
        <f>'DRE + DCF'!$W$31</f>
        <v>2791623.3540418856</v>
      </c>
      <c r="H2946" s="359">
        <f>'DRE + DCF'!$W$32</f>
        <v>81081.931703745853</v>
      </c>
      <c r="I2946" s="359">
        <f>-H2946*('DRE + DCF'!$V$33+K2946)/'DRE + DCF'!$V$33</f>
        <v>-90858.801614444121</v>
      </c>
      <c r="J2946" s="359">
        <f>-'DRE + DCF'!$V$56*L2946</f>
        <v>-1188924.4255577971</v>
      </c>
      <c r="K2946" s="360">
        <f>(1+L2946)/(1+Ke!$O$12)-1</f>
        <v>2.0000000000000018E-2</v>
      </c>
      <c r="L2946" s="360">
        <f>'DRE + DCF'!$Y$31</f>
        <v>7.3550000000000004E-2</v>
      </c>
      <c r="M2946" s="361">
        <f>(1+D2946)^((5-Dashboard!$F$9)*3/12)</f>
        <v>1.2644736138715533</v>
      </c>
      <c r="N2946" s="361">
        <f t="shared" ref="N2946:V2946" si="3025">M2946*(1+$D2946)</f>
        <v>1.7289779959272364</v>
      </c>
      <c r="O2946" s="361">
        <f t="shared" si="3025"/>
        <v>2.364118062731063</v>
      </c>
      <c r="P2946" s="361">
        <f t="shared" si="3025"/>
        <v>3.2325768330752593</v>
      </c>
      <c r="Q2946" s="361">
        <f t="shared" si="3025"/>
        <v>4.4200639327053741</v>
      </c>
      <c r="R2946" s="361">
        <f t="shared" si="3025"/>
        <v>6.0437744183845821</v>
      </c>
      <c r="S2946" s="361">
        <f t="shared" si="3025"/>
        <v>8.2639549509780057</v>
      </c>
      <c r="T2946" s="361">
        <f t="shared" si="3025"/>
        <v>11.299718802219568</v>
      </c>
      <c r="U2946" s="361">
        <f t="shared" si="3025"/>
        <v>15.45067050421464</v>
      </c>
      <c r="V2946" s="362">
        <f t="shared" si="3025"/>
        <v>21.1264743139375</v>
      </c>
      <c r="X2946" s="351"/>
    </row>
    <row r="2947" spans="3:24" ht="24.75" customHeight="1" x14ac:dyDescent="0.3">
      <c r="C2947" s="353">
        <f>ABS(E2947-Dashboard!$F$14)</f>
        <v>57.502993198169086</v>
      </c>
      <c r="D2947" s="350">
        <f t="shared" si="2973"/>
        <v>0.3674499999999748</v>
      </c>
      <c r="E2947" s="359" cm="1">
        <f t="array" ref="E2947">1000*SUM('DRE + DCF'!$L$36/M2947,'DRE + DCF'!$N$36:$V$36/N2947:V2947,F2947/V2947)/Dashboard!$F$11</f>
        <v>39.487006801830908</v>
      </c>
      <c r="F2947" s="359">
        <f t="shared" si="2971"/>
        <v>6987325.4734203331</v>
      </c>
      <c r="G2947" s="359">
        <f>'DRE + DCF'!$W$31</f>
        <v>2791623.3540418856</v>
      </c>
      <c r="H2947" s="359">
        <f>'DRE + DCF'!$W$32</f>
        <v>81081.931703745853</v>
      </c>
      <c r="I2947" s="359">
        <f>-H2947*('DRE + DCF'!$V$33+K2947)/'DRE + DCF'!$V$33</f>
        <v>-90858.801614444121</v>
      </c>
      <c r="J2947" s="359">
        <f>-'DRE + DCF'!$V$56*L2947</f>
        <v>-1188924.4255577971</v>
      </c>
      <c r="K2947" s="360">
        <f>(1+L2947)/(1+Ke!$O$12)-1</f>
        <v>2.0000000000000018E-2</v>
      </c>
      <c r="L2947" s="360">
        <f>'DRE + DCF'!$Y$31</f>
        <v>7.3550000000000004E-2</v>
      </c>
      <c r="M2947" s="361">
        <f>(1+D2947)^((5-Dashboard!$F$9)*3/12)</f>
        <v>1.264542970403606</v>
      </c>
      <c r="N2947" s="361">
        <f t="shared" ref="N2947:V2947" si="3026">M2947*(1+$D2947)</f>
        <v>1.729199284878379</v>
      </c>
      <c r="O2947" s="361">
        <f t="shared" si="3026"/>
        <v>2.3645935621068959</v>
      </c>
      <c r="P2947" s="361">
        <f t="shared" si="3026"/>
        <v>3.2334634665030149</v>
      </c>
      <c r="Q2947" s="361">
        <f t="shared" si="3026"/>
        <v>4.4215996172694663</v>
      </c>
      <c r="R2947" s="361">
        <f t="shared" si="3026"/>
        <v>6.04631639663502</v>
      </c>
      <c r="S2947" s="361">
        <f t="shared" si="3026"/>
        <v>8.2680353565784053</v>
      </c>
      <c r="T2947" s="361">
        <f t="shared" si="3026"/>
        <v>11.306124948352931</v>
      </c>
      <c r="U2947" s="361">
        <f t="shared" si="3026"/>
        <v>15.460560560624931</v>
      </c>
      <c r="V2947" s="362">
        <f t="shared" si="3026"/>
        <v>21.14154353862617</v>
      </c>
      <c r="X2947" s="351"/>
    </row>
    <row r="2948" spans="3:24" ht="24.75" customHeight="1" x14ac:dyDescent="0.3">
      <c r="C2948" s="353">
        <f>ABS(E2948-Dashboard!$F$14)</f>
        <v>57.518894152682577</v>
      </c>
      <c r="D2948" s="350">
        <f t="shared" si="2973"/>
        <v>0.36754999999997479</v>
      </c>
      <c r="E2948" s="359" cm="1">
        <f t="array" ref="E2948">1000*SUM('DRE + DCF'!$L$36/M2948,'DRE + DCF'!$N$36:$V$36/N2948:V2948,F2948/V2948)/Dashboard!$F$11</f>
        <v>39.471105847317418</v>
      </c>
      <c r="F2948" s="359">
        <f t="shared" si="2971"/>
        <v>6985226.4003426395</v>
      </c>
      <c r="G2948" s="359">
        <f>'DRE + DCF'!$W$31</f>
        <v>2791623.3540418856</v>
      </c>
      <c r="H2948" s="359">
        <f>'DRE + DCF'!$W$32</f>
        <v>81081.931703745853</v>
      </c>
      <c r="I2948" s="359">
        <f>-H2948*('DRE + DCF'!$V$33+K2948)/'DRE + DCF'!$V$33</f>
        <v>-90858.801614444121</v>
      </c>
      <c r="J2948" s="359">
        <f>-'DRE + DCF'!$V$56*L2948</f>
        <v>-1188924.4255577971</v>
      </c>
      <c r="K2948" s="360">
        <f>(1+L2948)/(1+Ke!$O$12)-1</f>
        <v>2.0000000000000018E-2</v>
      </c>
      <c r="L2948" s="360">
        <f>'DRE + DCF'!$Y$31</f>
        <v>7.3550000000000004E-2</v>
      </c>
      <c r="M2948" s="361">
        <f>(1+D2948)^((5-Dashboard!$F$9)*3/12)</f>
        <v>1.26461232566768</v>
      </c>
      <c r="N2948" s="361">
        <f t="shared" ref="N2948:V2948" si="3027">M2948*(1+$D2948)</f>
        <v>1.7294205859668039</v>
      </c>
      <c r="O2948" s="361">
        <f t="shared" si="3027"/>
        <v>2.3650691223388591</v>
      </c>
      <c r="P2948" s="361">
        <f t="shared" si="3027"/>
        <v>3.2343502782544471</v>
      </c>
      <c r="Q2948" s="361">
        <f t="shared" si="3027"/>
        <v>4.4231357230267871</v>
      </c>
      <c r="R2948" s="361">
        <f t="shared" si="3027"/>
        <v>6.0488592580251712</v>
      </c>
      <c r="S2948" s="361">
        <f t="shared" si="3027"/>
        <v>8.27211747831217</v>
      </c>
      <c r="T2948" s="361">
        <f t="shared" si="3027"/>
        <v>11.312534257465598</v>
      </c>
      <c r="U2948" s="361">
        <f t="shared" si="3027"/>
        <v>15.470456223796793</v>
      </c>
      <c r="V2948" s="362">
        <f t="shared" si="3027"/>
        <v>21.156622408852915</v>
      </c>
      <c r="X2948" s="351"/>
    </row>
    <row r="2949" spans="3:24" ht="24.75" customHeight="1" x14ac:dyDescent="0.3">
      <c r="C2949" s="353">
        <f>ABS(E2949-Dashboard!$F$14)</f>
        <v>57.5347833487168</v>
      </c>
      <c r="D2949" s="350">
        <f t="shared" si="2973"/>
        <v>0.36764999999997477</v>
      </c>
      <c r="E2949" s="359" cm="1">
        <f t="array" ref="E2949">1000*SUM('DRE + DCF'!$L$36/M2949,'DRE + DCF'!$N$36:$V$36/N2949:V2949,F2949/V2949)/Dashboard!$F$11</f>
        <v>39.455216651283195</v>
      </c>
      <c r="F2949" s="359">
        <f t="shared" si="2971"/>
        <v>6983128.6037757127</v>
      </c>
      <c r="G2949" s="359">
        <f>'DRE + DCF'!$W$31</f>
        <v>2791623.3540418856</v>
      </c>
      <c r="H2949" s="359">
        <f>'DRE + DCF'!$W$32</f>
        <v>81081.931703745853</v>
      </c>
      <c r="I2949" s="359">
        <f>-H2949*('DRE + DCF'!$V$33+K2949)/'DRE + DCF'!$V$33</f>
        <v>-90858.801614444121</v>
      </c>
      <c r="J2949" s="359">
        <f>-'DRE + DCF'!$V$56*L2949</f>
        <v>-1188924.4255577971</v>
      </c>
      <c r="K2949" s="360">
        <f>(1+L2949)/(1+Ke!$O$12)-1</f>
        <v>2.0000000000000018E-2</v>
      </c>
      <c r="L2949" s="360">
        <f>'DRE + DCF'!$Y$31</f>
        <v>7.3550000000000004E-2</v>
      </c>
      <c r="M2949" s="361">
        <f>(1+D2949)^((5-Dashboard!$F$9)*3/12)</f>
        <v>1.2646816796638911</v>
      </c>
      <c r="N2949" s="361">
        <f t="shared" ref="N2949:V2949" si="3028">M2949*(1+$D2949)</f>
        <v>1.7296418991922886</v>
      </c>
      <c r="O2949" s="361">
        <f t="shared" si="3028"/>
        <v>2.3655447434302896</v>
      </c>
      <c r="P2949" s="361">
        <f t="shared" si="3028"/>
        <v>3.235237268352376</v>
      </c>
      <c r="Q2949" s="361">
        <f t="shared" si="3028"/>
        <v>4.424672250062045</v>
      </c>
      <c r="R2949" s="361">
        <f t="shared" si="3028"/>
        <v>6.0514030027972439</v>
      </c>
      <c r="S2949" s="361">
        <f t="shared" si="3028"/>
        <v>8.2762013167754969</v>
      </c>
      <c r="T2949" s="361">
        <f t="shared" si="3028"/>
        <v>11.318946730887799</v>
      </c>
      <c r="U2949" s="361">
        <f t="shared" si="3028"/>
        <v>15.480357496498412</v>
      </c>
      <c r="V2949" s="362">
        <f t="shared" si="3028"/>
        <v>21.171710930085663</v>
      </c>
      <c r="X2949" s="351"/>
    </row>
    <row r="2950" spans="3:24" ht="24.75" customHeight="1" x14ac:dyDescent="0.3">
      <c r="C2950" s="353">
        <f>ABS(E2950-Dashboard!$F$14)</f>
        <v>57.550660798430542</v>
      </c>
      <c r="D2950" s="350">
        <f t="shared" si="2973"/>
        <v>0.36774999999997476</v>
      </c>
      <c r="E2950" s="359" cm="1">
        <f t="array" ref="E2950">1000*SUM('DRE + DCF'!$L$36/M2950,'DRE + DCF'!$N$36:$V$36/N2950:V2950,F2950/V2950)/Dashboard!$F$11</f>
        <v>39.439339201569453</v>
      </c>
      <c r="F2950" s="359">
        <f t="shared" si="2971"/>
        <v>6981032.0825409703</v>
      </c>
      <c r="G2950" s="359">
        <f>'DRE + DCF'!$W$31</f>
        <v>2791623.3540418856</v>
      </c>
      <c r="H2950" s="359">
        <f>'DRE + DCF'!$W$32</f>
        <v>81081.931703745853</v>
      </c>
      <c r="I2950" s="359">
        <f>-H2950*('DRE + DCF'!$V$33+K2950)/'DRE + DCF'!$V$33</f>
        <v>-90858.801614444121</v>
      </c>
      <c r="J2950" s="359">
        <f>-'DRE + DCF'!$V$56*L2950</f>
        <v>-1188924.4255577971</v>
      </c>
      <c r="K2950" s="360">
        <f>(1+L2950)/(1+Ke!$O$12)-1</f>
        <v>2.0000000000000018E-2</v>
      </c>
      <c r="L2950" s="360">
        <f>'DRE + DCF'!$Y$31</f>
        <v>7.3550000000000004E-2</v>
      </c>
      <c r="M2950" s="361">
        <f>(1+D2950)^((5-Dashboard!$F$9)*3/12)</f>
        <v>1.2647510323923554</v>
      </c>
      <c r="N2950" s="361">
        <f t="shared" ref="N2950:V2950" si="3029">M2950*(1+$D2950)</f>
        <v>1.7298632245546122</v>
      </c>
      <c r="O2950" s="361">
        <f t="shared" si="3029"/>
        <v>2.3660204253845269</v>
      </c>
      <c r="P2950" s="361">
        <f t="shared" si="3029"/>
        <v>3.2361244368196269</v>
      </c>
      <c r="Q2950" s="361">
        <f t="shared" si="3029"/>
        <v>4.4262091984599632</v>
      </c>
      <c r="R2950" s="361">
        <f t="shared" si="3029"/>
        <v>6.0539476311935028</v>
      </c>
      <c r="S2950" s="361">
        <f t="shared" si="3029"/>
        <v>8.2802868725647603</v>
      </c>
      <c r="T2950" s="361">
        <f t="shared" si="3029"/>
        <v>11.325362369950241</v>
      </c>
      <c r="U2950" s="361">
        <f t="shared" si="3029"/>
        <v>15.490264381499156</v>
      </c>
      <c r="V2950" s="362">
        <f t="shared" si="3029"/>
        <v>21.186809107795078</v>
      </c>
      <c r="X2950" s="351"/>
    </row>
    <row r="2951" spans="3:24" ht="24.75" customHeight="1" x14ac:dyDescent="0.3">
      <c r="C2951" s="353">
        <f>ABS(E2951-Dashboard!$F$14)</f>
        <v>57.566526513966558</v>
      </c>
      <c r="D2951" s="350">
        <f t="shared" si="2973"/>
        <v>0.36784999999997475</v>
      </c>
      <c r="E2951" s="359" cm="1">
        <f t="array" ref="E2951">1000*SUM('DRE + DCF'!$L$36/M2951,'DRE + DCF'!$N$36:$V$36/N2951:V2951,F2951/V2951)/Dashboard!$F$11</f>
        <v>39.423473486033437</v>
      </c>
      <c r="F2951" s="359">
        <f t="shared" si="2971"/>
        <v>6978936.8354612999</v>
      </c>
      <c r="G2951" s="359">
        <f>'DRE + DCF'!$W$31</f>
        <v>2791623.3540418856</v>
      </c>
      <c r="H2951" s="359">
        <f>'DRE + DCF'!$W$32</f>
        <v>81081.931703745853</v>
      </c>
      <c r="I2951" s="359">
        <f>-H2951*('DRE + DCF'!$V$33+K2951)/'DRE + DCF'!$V$33</f>
        <v>-90858.801614444121</v>
      </c>
      <c r="J2951" s="359">
        <f>-'DRE + DCF'!$V$56*L2951</f>
        <v>-1188924.4255577971</v>
      </c>
      <c r="K2951" s="360">
        <f>(1+L2951)/(1+Ke!$O$12)-1</f>
        <v>2.0000000000000018E-2</v>
      </c>
      <c r="L2951" s="360">
        <f>'DRE + DCF'!$Y$31</f>
        <v>7.3550000000000004E-2</v>
      </c>
      <c r="M2951" s="361">
        <f>(1+D2951)^((5-Dashboard!$F$9)*3/12)</f>
        <v>1.2648203838531886</v>
      </c>
      <c r="N2951" s="361">
        <f t="shared" ref="N2951:V2951" si="3030">M2951*(1+$D2951)</f>
        <v>1.7300845620535521</v>
      </c>
      <c r="O2951" s="361">
        <f t="shared" si="3030"/>
        <v>2.3664961682049075</v>
      </c>
      <c r="P2951" s="361">
        <f t="shared" si="3030"/>
        <v>3.2370117836790229</v>
      </c>
      <c r="Q2951" s="361">
        <f t="shared" si="3030"/>
        <v>4.4277465683052695</v>
      </c>
      <c r="R2951" s="361">
        <f t="shared" si="3030"/>
        <v>6.056493143456251</v>
      </c>
      <c r="S2951" s="361">
        <f t="shared" si="3030"/>
        <v>8.2843741462764804</v>
      </c>
      <c r="T2951" s="361">
        <f t="shared" si="3030"/>
        <v>11.331781175984075</v>
      </c>
      <c r="U2951" s="361">
        <f t="shared" si="3030"/>
        <v>15.50017688156953</v>
      </c>
      <c r="V2951" s="362">
        <f t="shared" si="3030"/>
        <v>21.201916947454489</v>
      </c>
      <c r="X2951" s="351"/>
    </row>
    <row r="2952" spans="3:24" ht="24.75" customHeight="1" x14ac:dyDescent="0.3">
      <c r="C2952" s="353">
        <f>ABS(E2952-Dashboard!$F$14)</f>
        <v>57.582380507451603</v>
      </c>
      <c r="D2952" s="350">
        <f t="shared" si="2973"/>
        <v>0.36794999999997474</v>
      </c>
      <c r="E2952" s="359" cm="1">
        <f t="array" ref="E2952">1000*SUM('DRE + DCF'!$L$36/M2952,'DRE + DCF'!$N$36:$V$36/N2952:V2952,F2952/V2952)/Dashboard!$F$11</f>
        <v>39.407619492548392</v>
      </c>
      <c r="F2952" s="359">
        <f t="shared" si="2971"/>
        <v>6976842.8613610528</v>
      </c>
      <c r="G2952" s="359">
        <f>'DRE + DCF'!$W$31</f>
        <v>2791623.3540418856</v>
      </c>
      <c r="H2952" s="359">
        <f>'DRE + DCF'!$W$32</f>
        <v>81081.931703745853</v>
      </c>
      <c r="I2952" s="359">
        <f>-H2952*('DRE + DCF'!$V$33+K2952)/'DRE + DCF'!$V$33</f>
        <v>-90858.801614444121</v>
      </c>
      <c r="J2952" s="359">
        <f>-'DRE + DCF'!$V$56*L2952</f>
        <v>-1188924.4255577971</v>
      </c>
      <c r="K2952" s="360">
        <f>(1+L2952)/(1+Ke!$O$12)-1</f>
        <v>2.0000000000000018E-2</v>
      </c>
      <c r="L2952" s="360">
        <f>'DRE + DCF'!$Y$31</f>
        <v>7.3550000000000004E-2</v>
      </c>
      <c r="M2952" s="361">
        <f>(1+D2952)^((5-Dashboard!$F$9)*3/12)</f>
        <v>1.2648897340465066</v>
      </c>
      <c r="N2952" s="361">
        <f t="shared" ref="N2952:V2952" si="3031">M2952*(1+$D2952)</f>
        <v>1.7303059116888868</v>
      </c>
      <c r="O2952" s="361">
        <f t="shared" si="3031"/>
        <v>2.366971971894769</v>
      </c>
      <c r="P2952" s="361">
        <f t="shared" si="3031"/>
        <v>3.2378993089533892</v>
      </c>
      <c r="Q2952" s="361">
        <f t="shared" si="3031"/>
        <v>4.4292843596827067</v>
      </c>
      <c r="R2952" s="361">
        <f t="shared" si="3031"/>
        <v>6.0590395398278467</v>
      </c>
      <c r="S2952" s="361">
        <f t="shared" si="3031"/>
        <v>8.2884631385073497</v>
      </c>
      <c r="T2952" s="361">
        <f t="shared" si="3031"/>
        <v>11.338203150320918</v>
      </c>
      <c r="U2952" s="361">
        <f t="shared" si="3031"/>
        <v>15.510094999481213</v>
      </c>
      <c r="V2952" s="362">
        <f t="shared" si="3031"/>
        <v>21.217034454539931</v>
      </c>
      <c r="X2952" s="351"/>
    </row>
    <row r="2953" spans="3:24" ht="24.75" customHeight="1" x14ac:dyDescent="0.3">
      <c r="C2953" s="353">
        <f>ABS(E2953-Dashboard!$F$14)</f>
        <v>57.59822279099653</v>
      </c>
      <c r="D2953" s="350">
        <f t="shared" si="2973"/>
        <v>0.36804999999997473</v>
      </c>
      <c r="E2953" s="359" cm="1">
        <f t="array" ref="E2953">1000*SUM('DRE + DCF'!$L$36/M2953,'DRE + DCF'!$N$36:$V$36/N2953:V2953,F2953/V2953)/Dashboard!$F$11</f>
        <v>39.391777209003465</v>
      </c>
      <c r="F2953" s="359">
        <f t="shared" si="2971"/>
        <v>6974750.1590660438</v>
      </c>
      <c r="G2953" s="359">
        <f>'DRE + DCF'!$W$31</f>
        <v>2791623.3540418856</v>
      </c>
      <c r="H2953" s="359">
        <f>'DRE + DCF'!$W$32</f>
        <v>81081.931703745853</v>
      </c>
      <c r="I2953" s="359">
        <f>-H2953*('DRE + DCF'!$V$33+K2953)/'DRE + DCF'!$V$33</f>
        <v>-90858.801614444121</v>
      </c>
      <c r="J2953" s="359">
        <f>-'DRE + DCF'!$V$56*L2953</f>
        <v>-1188924.4255577971</v>
      </c>
      <c r="K2953" s="360">
        <f>(1+L2953)/(1+Ke!$O$12)-1</f>
        <v>2.0000000000000018E-2</v>
      </c>
      <c r="L2953" s="360">
        <f>'DRE + DCF'!$Y$31</f>
        <v>7.3550000000000004E-2</v>
      </c>
      <c r="M2953" s="361">
        <f>(1+D2953)^((5-Dashboard!$F$9)*3/12)</f>
        <v>1.2649590829724253</v>
      </c>
      <c r="N2953" s="361">
        <f t="shared" ref="N2953:V2953" si="3032">M2953*(1+$D2953)</f>
        <v>1.7305272734603945</v>
      </c>
      <c r="O2953" s="361">
        <f t="shared" si="3032"/>
        <v>2.3674478364574489</v>
      </c>
      <c r="P2953" s="361">
        <f t="shared" si="3032"/>
        <v>3.2387870126655529</v>
      </c>
      <c r="Q2953" s="361">
        <f t="shared" si="3032"/>
        <v>4.4308225726770276</v>
      </c>
      <c r="R2953" s="361">
        <f t="shared" si="3032"/>
        <v>6.0615868205506951</v>
      </c>
      <c r="S2953" s="361">
        <f t="shared" si="3032"/>
        <v>8.2925538498542242</v>
      </c>
      <c r="T2953" s="361">
        <f t="shared" si="3032"/>
        <v>11.344628294292862</v>
      </c>
      <c r="U2953" s="361">
        <f t="shared" si="3032"/>
        <v>15.520018738007062</v>
      </c>
      <c r="V2953" s="362">
        <f t="shared" si="3032"/>
        <v>21.232161634530168</v>
      </c>
      <c r="X2953" s="351"/>
    </row>
    <row r="2954" spans="3:24" ht="24.75" customHeight="1" x14ac:dyDescent="0.3">
      <c r="C2954" s="353">
        <f>ABS(E2954-Dashboard!$F$14)</f>
        <v>57.614053376696205</v>
      </c>
      <c r="D2954" s="350">
        <f t="shared" si="2973"/>
        <v>0.36814999999997472</v>
      </c>
      <c r="E2954" s="359" cm="1">
        <f t="array" ref="E2954">1000*SUM('DRE + DCF'!$L$36/M2954,'DRE + DCF'!$N$36:$V$36/N2954:V2954,F2954/V2954)/Dashboard!$F$11</f>
        <v>39.37594662330379</v>
      </c>
      <c r="F2954" s="359">
        <f t="shared" si="2971"/>
        <v>6972658.7274035495</v>
      </c>
      <c r="G2954" s="359">
        <f>'DRE + DCF'!$W$31</f>
        <v>2791623.3540418856</v>
      </c>
      <c r="H2954" s="359">
        <f>'DRE + DCF'!$W$32</f>
        <v>81081.931703745853</v>
      </c>
      <c r="I2954" s="359">
        <f>-H2954*('DRE + DCF'!$V$33+K2954)/'DRE + DCF'!$V$33</f>
        <v>-90858.801614444121</v>
      </c>
      <c r="J2954" s="359">
        <f>-'DRE + DCF'!$V$56*L2954</f>
        <v>-1188924.4255577971</v>
      </c>
      <c r="K2954" s="360">
        <f>(1+L2954)/(1+Ke!$O$12)-1</f>
        <v>2.0000000000000018E-2</v>
      </c>
      <c r="L2954" s="360">
        <f>'DRE + DCF'!$Y$31</f>
        <v>7.3550000000000004E-2</v>
      </c>
      <c r="M2954" s="361">
        <f>(1+D2954)^((5-Dashboard!$F$9)*3/12)</f>
        <v>1.2650284306310604</v>
      </c>
      <c r="N2954" s="361">
        <f t="shared" ref="N2954:V2954" si="3033">M2954*(1+$D2954)</f>
        <v>1.7307486473678533</v>
      </c>
      <c r="O2954" s="361">
        <f t="shared" si="3033"/>
        <v>2.3679237618962845</v>
      </c>
      <c r="P2954" s="361">
        <f t="shared" si="3033"/>
        <v>3.2396748948383416</v>
      </c>
      <c r="Q2954" s="361">
        <f t="shared" si="3033"/>
        <v>4.4323612073729945</v>
      </c>
      <c r="R2954" s="361">
        <f t="shared" si="3033"/>
        <v>6.0641349858672502</v>
      </c>
      <c r="S2954" s="361">
        <f t="shared" si="3033"/>
        <v>8.2966462809141248</v>
      </c>
      <c r="T2954" s="361">
        <f t="shared" si="3033"/>
        <v>11.351056609232449</v>
      </c>
      <c r="U2954" s="361">
        <f t="shared" si="3033"/>
        <v>15.529948099921087</v>
      </c>
      <c r="V2954" s="362">
        <f t="shared" si="3033"/>
        <v>21.247298492906641</v>
      </c>
      <c r="X2954" s="351"/>
    </row>
    <row r="2955" spans="3:24" ht="24.75" customHeight="1" x14ac:dyDescent="0.3">
      <c r="C2955" s="353">
        <f>ABS(E2955-Dashboard!$F$14)</f>
        <v>57.629872276629641</v>
      </c>
      <c r="D2955" s="350">
        <f t="shared" si="2973"/>
        <v>0.36824999999997471</v>
      </c>
      <c r="E2955" s="359" cm="1">
        <f t="array" ref="E2955">1000*SUM('DRE + DCF'!$L$36/M2955,'DRE + DCF'!$N$36:$V$36/N2955:V2955,F2955/V2955)/Dashboard!$F$11</f>
        <v>39.360127723370354</v>
      </c>
      <c r="F2955" s="359">
        <f t="shared" si="2971"/>
        <v>6970568.5652023051</v>
      </c>
      <c r="G2955" s="359">
        <f>'DRE + DCF'!$W$31</f>
        <v>2791623.3540418856</v>
      </c>
      <c r="H2955" s="359">
        <f>'DRE + DCF'!$W$32</f>
        <v>81081.931703745853</v>
      </c>
      <c r="I2955" s="359">
        <f>-H2955*('DRE + DCF'!$V$33+K2955)/'DRE + DCF'!$V$33</f>
        <v>-90858.801614444121</v>
      </c>
      <c r="J2955" s="359">
        <f>-'DRE + DCF'!$V$56*L2955</f>
        <v>-1188924.4255577971</v>
      </c>
      <c r="K2955" s="360">
        <f>(1+L2955)/(1+Ke!$O$12)-1</f>
        <v>2.0000000000000018E-2</v>
      </c>
      <c r="L2955" s="360">
        <f>'DRE + DCF'!$Y$31</f>
        <v>7.3550000000000004E-2</v>
      </c>
      <c r="M2955" s="361">
        <f>(1+D2955)^((5-Dashboard!$F$9)*3/12)</f>
        <v>1.2650977770225276</v>
      </c>
      <c r="N2955" s="361">
        <f t="shared" ref="N2955:V2955" si="3034">M2955*(1+$D2955)</f>
        <v>1.7309700334110414</v>
      </c>
      <c r="O2955" s="361">
        <f t="shared" si="3034"/>
        <v>2.3683997482146135</v>
      </c>
      <c r="P2955" s="361">
        <f t="shared" si="3034"/>
        <v>3.240562955494585</v>
      </c>
      <c r="Q2955" s="361">
        <f t="shared" si="3034"/>
        <v>4.4339002638553842</v>
      </c>
      <c r="R2955" s="361">
        <f t="shared" si="3034"/>
        <v>6.0666840360200167</v>
      </c>
      <c r="S2955" s="361">
        <f t="shared" si="3034"/>
        <v>8.3007404322842344</v>
      </c>
      <c r="T2955" s="361">
        <f t="shared" si="3034"/>
        <v>11.357488096472693</v>
      </c>
      <c r="U2955" s="361">
        <f t="shared" si="3034"/>
        <v>15.539883087998474</v>
      </c>
      <c r="V2955" s="362">
        <f t="shared" si="3034"/>
        <v>21.262445035153519</v>
      </c>
      <c r="X2955" s="351"/>
    </row>
    <row r="2956" spans="3:24" ht="24.75" customHeight="1" x14ac:dyDescent="0.3">
      <c r="C2956" s="353">
        <f>ABS(E2956-Dashboard!$F$14)</f>
        <v>57.645679502859906</v>
      </c>
      <c r="D2956" s="350">
        <f t="shared" si="2973"/>
        <v>0.3683499999999747</v>
      </c>
      <c r="E2956" s="359" cm="1">
        <f t="array" ref="E2956">1000*SUM('DRE + DCF'!$L$36/M2956,'DRE + DCF'!$N$36:$V$36/N2956:V2956,F2956/V2956)/Dashboard!$F$11</f>
        <v>39.344320497140089</v>
      </c>
      <c r="F2956" s="359">
        <f t="shared" si="2971"/>
        <v>6968479.6712925024</v>
      </c>
      <c r="G2956" s="359">
        <f>'DRE + DCF'!$W$31</f>
        <v>2791623.3540418856</v>
      </c>
      <c r="H2956" s="359">
        <f>'DRE + DCF'!$W$32</f>
        <v>81081.931703745853</v>
      </c>
      <c r="I2956" s="359">
        <f>-H2956*('DRE + DCF'!$V$33+K2956)/'DRE + DCF'!$V$33</f>
        <v>-90858.801614444121</v>
      </c>
      <c r="J2956" s="359">
        <f>-'DRE + DCF'!$V$56*L2956</f>
        <v>-1188924.4255577971</v>
      </c>
      <c r="K2956" s="360">
        <f>(1+L2956)/(1+Ke!$O$12)-1</f>
        <v>2.0000000000000018E-2</v>
      </c>
      <c r="L2956" s="360">
        <f>'DRE + DCF'!$Y$31</f>
        <v>7.3550000000000004E-2</v>
      </c>
      <c r="M2956" s="361">
        <f>(1+D2956)^((5-Dashboard!$F$9)*3/12)</f>
        <v>1.2651671221469427</v>
      </c>
      <c r="N2956" s="361">
        <f t="shared" ref="N2956:V2956" si="3035">M2956*(1+$D2956)</f>
        <v>1.731191431589737</v>
      </c>
      <c r="O2956" s="361">
        <f t="shared" si="3035"/>
        <v>2.3688757954157729</v>
      </c>
      <c r="P2956" s="361">
        <f t="shared" si="3035"/>
        <v>3.2414511946571127</v>
      </c>
      <c r="Q2956" s="361">
        <f t="shared" si="3035"/>
        <v>4.4354397422089784</v>
      </c>
      <c r="R2956" s="361">
        <f t="shared" si="3035"/>
        <v>6.0692339712515428</v>
      </c>
      <c r="S2956" s="361">
        <f t="shared" si="3035"/>
        <v>8.3048363045618956</v>
      </c>
      <c r="T2956" s="361">
        <f t="shared" si="3035"/>
        <v>11.363922757347058</v>
      </c>
      <c r="U2956" s="361">
        <f t="shared" si="3035"/>
        <v>15.549823705015559</v>
      </c>
      <c r="V2956" s="362">
        <f t="shared" si="3035"/>
        <v>21.277601266757646</v>
      </c>
      <c r="X2956" s="351"/>
    </row>
    <row r="2957" spans="3:24" ht="24.75" customHeight="1" x14ac:dyDescent="0.3">
      <c r="C2957" s="353">
        <f>ABS(E2957-Dashboard!$F$14)</f>
        <v>57.661475067434317</v>
      </c>
      <c r="D2957" s="350">
        <f t="shared" si="2973"/>
        <v>0.36844999999997469</v>
      </c>
      <c r="E2957" s="359" cm="1">
        <f t="array" ref="E2957">1000*SUM('DRE + DCF'!$L$36/M2957,'DRE + DCF'!$N$36:$V$36/N2957:V2957,F2957/V2957)/Dashboard!$F$11</f>
        <v>39.328524932565678</v>
      </c>
      <c r="F2957" s="359">
        <f t="shared" si="2971"/>
        <v>6966392.044505788</v>
      </c>
      <c r="G2957" s="359">
        <f>'DRE + DCF'!$W$31</f>
        <v>2791623.3540418856</v>
      </c>
      <c r="H2957" s="359">
        <f>'DRE + DCF'!$W$32</f>
        <v>81081.931703745853</v>
      </c>
      <c r="I2957" s="359">
        <f>-H2957*('DRE + DCF'!$V$33+K2957)/'DRE + DCF'!$V$33</f>
        <v>-90858.801614444121</v>
      </c>
      <c r="J2957" s="359">
        <f>-'DRE + DCF'!$V$56*L2957</f>
        <v>-1188924.4255577971</v>
      </c>
      <c r="K2957" s="360">
        <f>(1+L2957)/(1+Ke!$O$12)-1</f>
        <v>2.0000000000000018E-2</v>
      </c>
      <c r="L2957" s="360">
        <f>'DRE + DCF'!$Y$31</f>
        <v>7.3550000000000004E-2</v>
      </c>
      <c r="M2957" s="361">
        <f>(1+D2957)^((5-Dashboard!$F$9)*3/12)</f>
        <v>1.2652364660044217</v>
      </c>
      <c r="N2957" s="361">
        <f t="shared" ref="N2957:V2957" si="3036">M2957*(1+$D2957)</f>
        <v>1.7314128419037189</v>
      </c>
      <c r="O2957" s="361">
        <f t="shared" si="3036"/>
        <v>2.3693519035031003</v>
      </c>
      <c r="P2957" s="361">
        <f t="shared" si="3036"/>
        <v>3.2423396123487573</v>
      </c>
      <c r="Q2957" s="361">
        <f t="shared" si="3036"/>
        <v>4.4369796425185744</v>
      </c>
      <c r="R2957" s="361">
        <f t="shared" si="3036"/>
        <v>6.0717847918044301</v>
      </c>
      <c r="S2957" s="361">
        <f t="shared" si="3036"/>
        <v>8.3089338983446179</v>
      </c>
      <c r="T2957" s="361">
        <f t="shared" si="3036"/>
        <v>11.370360593189481</v>
      </c>
      <c r="U2957" s="361">
        <f t="shared" si="3036"/>
        <v>15.559769953749857</v>
      </c>
      <c r="V2957" s="362">
        <f t="shared" si="3036"/>
        <v>21.292767193208597</v>
      </c>
      <c r="X2957" s="351"/>
    </row>
    <row r="2958" spans="3:24" ht="24.75" customHeight="1" x14ac:dyDescent="0.3">
      <c r="C2958" s="353">
        <f>ABS(E2958-Dashboard!$F$14)</f>
        <v>57.677258982384274</v>
      </c>
      <c r="D2958" s="350">
        <f t="shared" si="2973"/>
        <v>0.36854999999997468</v>
      </c>
      <c r="E2958" s="359" cm="1">
        <f t="array" ref="E2958">1000*SUM('DRE + DCF'!$L$36/M2958,'DRE + DCF'!$N$36:$V$36/N2958:V2958,F2958/V2958)/Dashboard!$F$11</f>
        <v>39.312741017615721</v>
      </c>
      <c r="F2958" s="359">
        <f t="shared" ref="F2958:F3021" si="3037">AVERAGE(SUM(G2958:J2958)*(1+L2958)/(D2958-L2958),G2958*(1+L2958)*(1-L2958/D2958)/(D2958-L2958))</f>
        <v>6964305.6836752575</v>
      </c>
      <c r="G2958" s="359">
        <f>'DRE + DCF'!$W$31</f>
        <v>2791623.3540418856</v>
      </c>
      <c r="H2958" s="359">
        <f>'DRE + DCF'!$W$32</f>
        <v>81081.931703745853</v>
      </c>
      <c r="I2958" s="359">
        <f>-H2958*('DRE + DCF'!$V$33+K2958)/'DRE + DCF'!$V$33</f>
        <v>-90858.801614444121</v>
      </c>
      <c r="J2958" s="359">
        <f>-'DRE + DCF'!$V$56*L2958</f>
        <v>-1188924.4255577971</v>
      </c>
      <c r="K2958" s="360">
        <f>(1+L2958)/(1+Ke!$O$12)-1</f>
        <v>2.0000000000000018E-2</v>
      </c>
      <c r="L2958" s="360">
        <f>'DRE + DCF'!$Y$31</f>
        <v>7.3550000000000004E-2</v>
      </c>
      <c r="M2958" s="361">
        <f>(1+D2958)^((5-Dashboard!$F$9)*3/12)</f>
        <v>1.2653058085950801</v>
      </c>
      <c r="N2958" s="361">
        <f t="shared" ref="N2958:V2958" si="3038">M2958*(1+$D2958)</f>
        <v>1.7316342643527649</v>
      </c>
      <c r="O2958" s="361">
        <f t="shared" si="3038"/>
        <v>2.3698280724799323</v>
      </c>
      <c r="P2958" s="361">
        <f t="shared" si="3038"/>
        <v>3.2432282085923512</v>
      </c>
      <c r="Q2958" s="361">
        <f t="shared" si="3038"/>
        <v>4.4385199648689797</v>
      </c>
      <c r="R2958" s="361">
        <f t="shared" si="3038"/>
        <v>6.0743364979213297</v>
      </c>
      <c r="S2958" s="361">
        <f t="shared" si="3038"/>
        <v>8.3130332142300816</v>
      </c>
      <c r="T2958" s="361">
        <f t="shared" si="3038"/>
        <v>11.376801605334368</v>
      </c>
      <c r="U2958" s="361">
        <f t="shared" si="3038"/>
        <v>15.56972183698006</v>
      </c>
      <c r="V2958" s="362">
        <f t="shared" si="3038"/>
        <v>21.307942819998665</v>
      </c>
      <c r="X2958" s="351"/>
    </row>
    <row r="2959" spans="3:24" ht="24.75" customHeight="1" x14ac:dyDescent="0.3">
      <c r="C2959" s="353">
        <f>ABS(E2959-Dashboard!$F$14)</f>
        <v>57.693031259725416</v>
      </c>
      <c r="D2959" s="350">
        <f t="shared" ref="D2959:D3022" si="3039">D2958+0.0001</f>
        <v>0.36864999999997466</v>
      </c>
      <c r="E2959" s="359" cm="1">
        <f t="array" ref="E2959">1000*SUM('DRE + DCF'!$L$36/M2959,'DRE + DCF'!$N$36:$V$36/N2959:V2959,F2959/V2959)/Dashboard!$F$11</f>
        <v>39.296968740274579</v>
      </c>
      <c r="F2959" s="359">
        <f t="shared" si="3037"/>
        <v>6962220.5876354612</v>
      </c>
      <c r="G2959" s="359">
        <f>'DRE + DCF'!$W$31</f>
        <v>2791623.3540418856</v>
      </c>
      <c r="H2959" s="359">
        <f>'DRE + DCF'!$W$32</f>
        <v>81081.931703745853</v>
      </c>
      <c r="I2959" s="359">
        <f>-H2959*('DRE + DCF'!$V$33+K2959)/'DRE + DCF'!$V$33</f>
        <v>-90858.801614444121</v>
      </c>
      <c r="J2959" s="359">
        <f>-'DRE + DCF'!$V$56*L2959</f>
        <v>-1188924.4255577971</v>
      </c>
      <c r="K2959" s="360">
        <f>(1+L2959)/(1+Ke!$O$12)-1</f>
        <v>2.0000000000000018E-2</v>
      </c>
      <c r="L2959" s="360">
        <f>'DRE + DCF'!$Y$31</f>
        <v>7.3550000000000004E-2</v>
      </c>
      <c r="M2959" s="361">
        <f>(1+D2959)^((5-Dashboard!$F$9)*3/12)</f>
        <v>1.2653751499190335</v>
      </c>
      <c r="N2959" s="361">
        <f t="shared" ref="N2959:V2959" si="3040">M2959*(1+$D2959)</f>
        <v>1.7318556989366531</v>
      </c>
      <c r="O2959" s="361">
        <f t="shared" si="3040"/>
        <v>2.3703043023496062</v>
      </c>
      <c r="P2959" s="361">
        <f t="shared" si="3040"/>
        <v>3.2441169834107284</v>
      </c>
      <c r="Q2959" s="361">
        <f t="shared" si="3040"/>
        <v>4.4400607093450111</v>
      </c>
      <c r="R2959" s="361">
        <f t="shared" si="3040"/>
        <v>6.0768890898449364</v>
      </c>
      <c r="S2959" s="361">
        <f t="shared" si="3040"/>
        <v>8.3171342528161176</v>
      </c>
      <c r="T2959" s="361">
        <f t="shared" si="3040"/>
        <v>11.383245795116569</v>
      </c>
      <c r="U2959" s="361">
        <f t="shared" si="3040"/>
        <v>15.579679357486002</v>
      </c>
      <c r="V2959" s="362">
        <f t="shared" si="3040"/>
        <v>21.323128152622822</v>
      </c>
      <c r="X2959" s="351"/>
    </row>
    <row r="2960" spans="3:24" ht="24.75" customHeight="1" x14ac:dyDescent="0.3">
      <c r="C2960" s="353">
        <f>ABS(E2960-Dashboard!$F$14)</f>
        <v>57.708791911457581</v>
      </c>
      <c r="D2960" s="350">
        <f t="shared" si="3039"/>
        <v>0.36874999999997465</v>
      </c>
      <c r="E2960" s="359" cm="1">
        <f t="array" ref="E2960">1000*SUM('DRE + DCF'!$L$36/M2960,'DRE + DCF'!$N$36:$V$36/N2960:V2960,F2960/V2960)/Dashboard!$F$11</f>
        <v>39.281208088542414</v>
      </c>
      <c r="F2960" s="359">
        <f t="shared" si="3037"/>
        <v>6960136.7552223932</v>
      </c>
      <c r="G2960" s="359">
        <f>'DRE + DCF'!$W$31</f>
        <v>2791623.3540418856</v>
      </c>
      <c r="H2960" s="359">
        <f>'DRE + DCF'!$W$32</f>
        <v>81081.931703745853</v>
      </c>
      <c r="I2960" s="359">
        <f>-H2960*('DRE + DCF'!$V$33+K2960)/'DRE + DCF'!$V$33</f>
        <v>-90858.801614444121</v>
      </c>
      <c r="J2960" s="359">
        <f>-'DRE + DCF'!$V$56*L2960</f>
        <v>-1188924.4255577971</v>
      </c>
      <c r="K2960" s="360">
        <f>(1+L2960)/(1+Ke!$O$12)-1</f>
        <v>2.0000000000000018E-2</v>
      </c>
      <c r="L2960" s="360">
        <f>'DRE + DCF'!$Y$31</f>
        <v>7.3550000000000004E-2</v>
      </c>
      <c r="M2960" s="361">
        <f>(1+D2960)^((5-Dashboard!$F$9)*3/12)</f>
        <v>1.2654444899763979</v>
      </c>
      <c r="N2960" s="361">
        <f t="shared" ref="N2960:V2960" si="3041">M2960*(1+$D2960)</f>
        <v>1.7320771456551625</v>
      </c>
      <c r="O2960" s="361">
        <f t="shared" si="3041"/>
        <v>2.3707805931154597</v>
      </c>
      <c r="P2960" s="361">
        <f t="shared" si="3041"/>
        <v>3.2450059368267254</v>
      </c>
      <c r="Q2960" s="361">
        <f t="shared" si="3041"/>
        <v>4.4416018760314984</v>
      </c>
      <c r="R2960" s="361">
        <f t="shared" si="3041"/>
        <v>6.0794425678180009</v>
      </c>
      <c r="S2960" s="361">
        <f t="shared" si="3041"/>
        <v>8.3212370147007348</v>
      </c>
      <c r="T2960" s="361">
        <f t="shared" si="3041"/>
        <v>11.389693163871419</v>
      </c>
      <c r="U2960" s="361">
        <f t="shared" si="3041"/>
        <v>15.589642518048715</v>
      </c>
      <c r="V2960" s="362">
        <f t="shared" si="3041"/>
        <v>21.338323196578781</v>
      </c>
      <c r="X2960" s="351"/>
    </row>
    <row r="2961" spans="3:24" ht="24.75" customHeight="1" x14ac:dyDescent="0.3">
      <c r="C2961" s="353">
        <f>ABS(E2961-Dashboard!$F$14)</f>
        <v>57.724540949564883</v>
      </c>
      <c r="D2961" s="350">
        <f t="shared" si="3039"/>
        <v>0.36884999999997464</v>
      </c>
      <c r="E2961" s="359" cm="1">
        <f t="array" ref="E2961">1000*SUM('DRE + DCF'!$L$36/M2961,'DRE + DCF'!$N$36:$V$36/N2961:V2961,F2961/V2961)/Dashboard!$F$11</f>
        <v>39.265459050435112</v>
      </c>
      <c r="F2961" s="359">
        <f t="shared" si="3037"/>
        <v>6958054.1852734946</v>
      </c>
      <c r="G2961" s="359">
        <f>'DRE + DCF'!$W$31</f>
        <v>2791623.3540418856</v>
      </c>
      <c r="H2961" s="359">
        <f>'DRE + DCF'!$W$32</f>
        <v>81081.931703745853</v>
      </c>
      <c r="I2961" s="359">
        <f>-H2961*('DRE + DCF'!$V$33+K2961)/'DRE + DCF'!$V$33</f>
        <v>-90858.801614444121</v>
      </c>
      <c r="J2961" s="359">
        <f>-'DRE + DCF'!$V$56*L2961</f>
        <v>-1188924.4255577971</v>
      </c>
      <c r="K2961" s="360">
        <f>(1+L2961)/(1+Ke!$O$12)-1</f>
        <v>2.0000000000000018E-2</v>
      </c>
      <c r="L2961" s="360">
        <f>'DRE + DCF'!$Y$31</f>
        <v>7.3550000000000004E-2</v>
      </c>
      <c r="M2961" s="361">
        <f>(1+D2961)^((5-Dashboard!$F$9)*3/12)</f>
        <v>1.2655138287672887</v>
      </c>
      <c r="N2961" s="361">
        <f t="shared" ref="N2961:V2961" si="3042">M2961*(1+$D2961)</f>
        <v>1.732298604508071</v>
      </c>
      <c r="O2961" s="361">
        <f t="shared" si="3042"/>
        <v>2.3712569447808289</v>
      </c>
      <c r="P2961" s="361">
        <f t="shared" si="3042"/>
        <v>3.2458950688631774</v>
      </c>
      <c r="Q2961" s="361">
        <f t="shared" si="3042"/>
        <v>4.4431434650132777</v>
      </c>
      <c r="R2961" s="361">
        <f t="shared" si="3042"/>
        <v>6.081996932083312</v>
      </c>
      <c r="S2961" s="361">
        <f t="shared" si="3042"/>
        <v>8.3253415004820877</v>
      </c>
      <c r="T2961" s="361">
        <f t="shared" si="3042"/>
        <v>11.396143712934695</v>
      </c>
      <c r="U2961" s="361">
        <f t="shared" si="3042"/>
        <v>15.599611321450368</v>
      </c>
      <c r="V2961" s="362">
        <f t="shared" si="3042"/>
        <v>21.353527957366939</v>
      </c>
      <c r="X2961" s="351"/>
    </row>
    <row r="2962" spans="3:24" ht="24.75" customHeight="1" x14ac:dyDescent="0.3">
      <c r="C2962" s="353">
        <f>ABS(E2962-Dashboard!$F$14)</f>
        <v>57.740278386015696</v>
      </c>
      <c r="D2962" s="350">
        <f t="shared" si="3039"/>
        <v>0.36894999999997463</v>
      </c>
      <c r="E2962" s="359" cm="1">
        <f t="array" ref="E2962">1000*SUM('DRE + DCF'!$L$36/M2962,'DRE + DCF'!$N$36:$V$36/N2962:V2962,F2962/V2962)/Dashboard!$F$11</f>
        <v>39.249721613984299</v>
      </c>
      <c r="F2962" s="359">
        <f t="shared" si="3037"/>
        <v>6955972.8766276482</v>
      </c>
      <c r="G2962" s="359">
        <f>'DRE + DCF'!$W$31</f>
        <v>2791623.3540418856</v>
      </c>
      <c r="H2962" s="359">
        <f>'DRE + DCF'!$W$32</f>
        <v>81081.931703745853</v>
      </c>
      <c r="I2962" s="359">
        <f>-H2962*('DRE + DCF'!$V$33+K2962)/'DRE + DCF'!$V$33</f>
        <v>-90858.801614444121</v>
      </c>
      <c r="J2962" s="359">
        <f>-'DRE + DCF'!$V$56*L2962</f>
        <v>-1188924.4255577971</v>
      </c>
      <c r="K2962" s="360">
        <f>(1+L2962)/(1+Ke!$O$12)-1</f>
        <v>2.0000000000000018E-2</v>
      </c>
      <c r="L2962" s="360">
        <f>'DRE + DCF'!$Y$31</f>
        <v>7.3550000000000004E-2</v>
      </c>
      <c r="M2962" s="361">
        <f>(1+D2962)^((5-Dashboard!$F$9)*3/12)</f>
        <v>1.2655831662918215</v>
      </c>
      <c r="N2962" s="361">
        <f t="shared" ref="N2962:V2962" si="3043">M2962*(1+$D2962)</f>
        <v>1.7325200754951569</v>
      </c>
      <c r="O2962" s="361">
        <f t="shared" si="3043"/>
        <v>2.3717333573490511</v>
      </c>
      <c r="P2962" s="361">
        <f t="shared" si="3043"/>
        <v>3.2467843795429232</v>
      </c>
      <c r="Q2962" s="361">
        <f t="shared" si="3043"/>
        <v>4.4446854763752022</v>
      </c>
      <c r="R2962" s="361">
        <f t="shared" si="3043"/>
        <v>6.0845521828837201</v>
      </c>
      <c r="S2962" s="361">
        <f t="shared" si="3043"/>
        <v>8.3294477107585134</v>
      </c>
      <c r="T2962" s="361">
        <f t="shared" si="3043"/>
        <v>11.402597443642655</v>
      </c>
      <c r="U2962" s="361">
        <f t="shared" si="3043"/>
        <v>15.609585770474323</v>
      </c>
      <c r="V2962" s="362">
        <f t="shared" si="3043"/>
        <v>21.368742440490429</v>
      </c>
      <c r="X2962" s="351"/>
    </row>
    <row r="2963" spans="3:24" ht="24.75" customHeight="1" x14ac:dyDescent="0.3">
      <c r="C2963" s="353">
        <f>ABS(E2963-Dashboard!$F$14)</f>
        <v>57.756004232762699</v>
      </c>
      <c r="D2963" s="350">
        <f t="shared" si="3039"/>
        <v>0.36904999999997462</v>
      </c>
      <c r="E2963" s="359" cm="1">
        <f t="array" ref="E2963">1000*SUM('DRE + DCF'!$L$36/M2963,'DRE + DCF'!$N$36:$V$36/N2963:V2963,F2963/V2963)/Dashboard!$F$11</f>
        <v>39.233995767237296</v>
      </c>
      <c r="F2963" s="359">
        <f t="shared" si="3037"/>
        <v>6953892.828125176</v>
      </c>
      <c r="G2963" s="359">
        <f>'DRE + DCF'!$W$31</f>
        <v>2791623.3540418856</v>
      </c>
      <c r="H2963" s="359">
        <f>'DRE + DCF'!$W$32</f>
        <v>81081.931703745853</v>
      </c>
      <c r="I2963" s="359">
        <f>-H2963*('DRE + DCF'!$V$33+K2963)/'DRE + DCF'!$V$33</f>
        <v>-90858.801614444121</v>
      </c>
      <c r="J2963" s="359">
        <f>-'DRE + DCF'!$V$56*L2963</f>
        <v>-1188924.4255577971</v>
      </c>
      <c r="K2963" s="360">
        <f>(1+L2963)/(1+Ke!$O$12)-1</f>
        <v>2.0000000000000018E-2</v>
      </c>
      <c r="L2963" s="360">
        <f>'DRE + DCF'!$Y$31</f>
        <v>7.3550000000000004E-2</v>
      </c>
      <c r="M2963" s="361">
        <f>(1+D2963)^((5-Dashboard!$F$9)*3/12)</f>
        <v>1.2656525025501124</v>
      </c>
      <c r="N2963" s="361">
        <f t="shared" ref="N2963:V2963" si="3044">M2963*(1+$D2963)</f>
        <v>1.7327415586161992</v>
      </c>
      <c r="O2963" s="361">
        <f t="shared" si="3044"/>
        <v>2.3722098308234636</v>
      </c>
      <c r="P2963" s="361">
        <f t="shared" si="3044"/>
        <v>3.2476738688888025</v>
      </c>
      <c r="Q2963" s="361">
        <f t="shared" si="3044"/>
        <v>4.4462279102021327</v>
      </c>
      <c r="R2963" s="361">
        <f t="shared" si="3044"/>
        <v>6.087108320462117</v>
      </c>
      <c r="S2963" s="361">
        <f t="shared" si="3044"/>
        <v>8.3335556461285059</v>
      </c>
      <c r="T2963" s="361">
        <f t="shared" si="3044"/>
        <v>11.409054357332019</v>
      </c>
      <c r="U2963" s="361">
        <f t="shared" si="3044"/>
        <v>15.619565867905111</v>
      </c>
      <c r="V2963" s="362">
        <f t="shared" si="3044"/>
        <v>21.383966651455093</v>
      </c>
      <c r="X2963" s="351"/>
    </row>
    <row r="2964" spans="3:24" ht="24.75" customHeight="1" x14ac:dyDescent="0.3">
      <c r="C2964" s="353">
        <f>ABS(E2964-Dashboard!$F$14)</f>
        <v>57.771718501742889</v>
      </c>
      <c r="D2964" s="350">
        <f t="shared" si="3039"/>
        <v>0.36914999999997461</v>
      </c>
      <c r="E2964" s="359" cm="1">
        <f t="array" ref="E2964">1000*SUM('DRE + DCF'!$L$36/M2964,'DRE + DCF'!$N$36:$V$36/N2964:V2964,F2964/V2964)/Dashboard!$F$11</f>
        <v>39.218281498257106</v>
      </c>
      <c r="F2964" s="359">
        <f t="shared" si="3037"/>
        <v>6951814.0386078432</v>
      </c>
      <c r="G2964" s="359">
        <f>'DRE + DCF'!$W$31</f>
        <v>2791623.3540418856</v>
      </c>
      <c r="H2964" s="359">
        <f>'DRE + DCF'!$W$32</f>
        <v>81081.931703745853</v>
      </c>
      <c r="I2964" s="359">
        <f>-H2964*('DRE + DCF'!$V$33+K2964)/'DRE + DCF'!$V$33</f>
        <v>-90858.801614444121</v>
      </c>
      <c r="J2964" s="359">
        <f>-'DRE + DCF'!$V$56*L2964</f>
        <v>-1188924.4255577971</v>
      </c>
      <c r="K2964" s="360">
        <f>(1+L2964)/(1+Ke!$O$12)-1</f>
        <v>2.0000000000000018E-2</v>
      </c>
      <c r="L2964" s="360">
        <f>'DRE + DCF'!$Y$31</f>
        <v>7.3550000000000004E-2</v>
      </c>
      <c r="M2964" s="361">
        <f>(1+D2964)^((5-Dashboard!$F$9)*3/12)</f>
        <v>1.2657218375422765</v>
      </c>
      <c r="N2964" s="361">
        <f t="shared" ref="N2964:V2964" si="3045">M2964*(1+$D2964)</f>
        <v>1.7329630538709757</v>
      </c>
      <c r="O2964" s="361">
        <f t="shared" si="3045"/>
        <v>2.3726863652074024</v>
      </c>
      <c r="P2964" s="361">
        <f t="shared" si="3045"/>
        <v>3.2485635369236547</v>
      </c>
      <c r="Q2964" s="361">
        <f t="shared" si="3045"/>
        <v>4.4477707665789392</v>
      </c>
      <c r="R2964" s="361">
        <f t="shared" si="3045"/>
        <v>6.0896653450614417</v>
      </c>
      <c r="S2964" s="361">
        <f t="shared" si="3045"/>
        <v>8.3376653071907185</v>
      </c>
      <c r="T2964" s="361">
        <f t="shared" si="3045"/>
        <v>11.415514455339959</v>
      </c>
      <c r="U2964" s="361">
        <f t="shared" si="3045"/>
        <v>15.629551616528415</v>
      </c>
      <c r="V2964" s="362">
        <f t="shared" si="3045"/>
        <v>21.399200595769482</v>
      </c>
      <c r="X2964" s="351"/>
    </row>
    <row r="2965" spans="3:24" ht="24.75" customHeight="1" x14ac:dyDescent="0.3">
      <c r="C2965" s="353">
        <f>ABS(E2965-Dashboard!$F$14)</f>
        <v>57.787421204877589</v>
      </c>
      <c r="D2965" s="350">
        <f t="shared" si="3039"/>
        <v>0.3692499999999746</v>
      </c>
      <c r="E2965" s="359" cm="1">
        <f t="array" ref="E2965">1000*SUM('DRE + DCF'!$L$36/M2965,'DRE + DCF'!$N$36:$V$36/N2965:V2965,F2965/V2965)/Dashboard!$F$11</f>
        <v>39.202578795122406</v>
      </c>
      <c r="F2965" s="359">
        <f t="shared" si="3037"/>
        <v>6949736.5069188466</v>
      </c>
      <c r="G2965" s="359">
        <f>'DRE + DCF'!$W$31</f>
        <v>2791623.3540418856</v>
      </c>
      <c r="H2965" s="359">
        <f>'DRE + DCF'!$W$32</f>
        <v>81081.931703745853</v>
      </c>
      <c r="I2965" s="359">
        <f>-H2965*('DRE + DCF'!$V$33+K2965)/'DRE + DCF'!$V$33</f>
        <v>-90858.801614444121</v>
      </c>
      <c r="J2965" s="359">
        <f>-'DRE + DCF'!$V$56*L2965</f>
        <v>-1188924.4255577971</v>
      </c>
      <c r="K2965" s="360">
        <f>(1+L2965)/(1+Ke!$O$12)-1</f>
        <v>2.0000000000000018E-2</v>
      </c>
      <c r="L2965" s="360">
        <f>'DRE + DCF'!$Y$31</f>
        <v>7.3550000000000004E-2</v>
      </c>
      <c r="M2965" s="361">
        <f>(1+D2965)^((5-Dashboard!$F$9)*3/12)</f>
        <v>1.2657911712684295</v>
      </c>
      <c r="N2965" s="361">
        <f t="shared" ref="N2965:V2965" si="3046">M2965*(1+$D2965)</f>
        <v>1.7331845612592649</v>
      </c>
      <c r="O2965" s="361">
        <f t="shared" si="3046"/>
        <v>2.3731629605042044</v>
      </c>
      <c r="P2965" s="361">
        <f t="shared" si="3046"/>
        <v>3.2494533836703217</v>
      </c>
      <c r="Q2965" s="361">
        <f t="shared" si="3046"/>
        <v>4.4493140455905049</v>
      </c>
      <c r="R2965" s="361">
        <f t="shared" si="3046"/>
        <v>6.0922232569246857</v>
      </c>
      <c r="S2965" s="361">
        <f t="shared" si="3046"/>
        <v>8.3417766945439702</v>
      </c>
      <c r="T2965" s="361">
        <f t="shared" si="3046"/>
        <v>11.421977739004118</v>
      </c>
      <c r="U2965" s="361">
        <f t="shared" si="3046"/>
        <v>15.639543019131098</v>
      </c>
      <c r="V2965" s="362">
        <f t="shared" si="3046"/>
        <v>21.41444427894486</v>
      </c>
      <c r="X2965" s="351"/>
    </row>
    <row r="2966" spans="3:24" ht="24.75" customHeight="1" x14ac:dyDescent="0.3">
      <c r="C2966" s="353">
        <f>ABS(E2966-Dashboard!$F$14)</f>
        <v>57.803112354072553</v>
      </c>
      <c r="D2966" s="350">
        <f t="shared" si="3039"/>
        <v>0.36934999999997459</v>
      </c>
      <c r="E2966" s="359" cm="1">
        <f t="array" ref="E2966">1000*SUM('DRE + DCF'!$L$36/M2966,'DRE + DCF'!$N$36:$V$36/N2966:V2966,F2966/V2966)/Dashboard!$F$11</f>
        <v>39.186887645927442</v>
      </c>
      <c r="F2966" s="359">
        <f t="shared" si="3037"/>
        <v>6947660.2319028173</v>
      </c>
      <c r="G2966" s="359">
        <f>'DRE + DCF'!$W$31</f>
        <v>2791623.3540418856</v>
      </c>
      <c r="H2966" s="359">
        <f>'DRE + DCF'!$W$32</f>
        <v>81081.931703745853</v>
      </c>
      <c r="I2966" s="359">
        <f>-H2966*('DRE + DCF'!$V$33+K2966)/'DRE + DCF'!$V$33</f>
        <v>-90858.801614444121</v>
      </c>
      <c r="J2966" s="359">
        <f>-'DRE + DCF'!$V$56*L2966</f>
        <v>-1188924.4255577971</v>
      </c>
      <c r="K2966" s="360">
        <f>(1+L2966)/(1+Ke!$O$12)-1</f>
        <v>2.0000000000000018E-2</v>
      </c>
      <c r="L2966" s="360">
        <f>'DRE + DCF'!$Y$31</f>
        <v>7.3550000000000004E-2</v>
      </c>
      <c r="M2966" s="361">
        <f>(1+D2966)^((5-Dashboard!$F$9)*3/12)</f>
        <v>1.2658605037286872</v>
      </c>
      <c r="N2966" s="361">
        <f t="shared" ref="N2966:V2966" si="3047">M2966*(1+$D2966)</f>
        <v>1.7334060807808456</v>
      </c>
      <c r="O2966" s="361">
        <f t="shared" si="3047"/>
        <v>2.3736396167172069</v>
      </c>
      <c r="P2966" s="361">
        <f t="shared" si="3047"/>
        <v>3.2503434091516468</v>
      </c>
      <c r="Q2966" s="361">
        <f t="shared" si="3047"/>
        <v>4.4508577473217246</v>
      </c>
      <c r="R2966" s="361">
        <f t="shared" si="3047"/>
        <v>6.09478205629489</v>
      </c>
      <c r="S2966" s="361">
        <f t="shared" si="3047"/>
        <v>8.345889808787252</v>
      </c>
      <c r="T2966" s="361">
        <f t="shared" si="3047"/>
        <v>11.428444209662612</v>
      </c>
      <c r="U2966" s="361">
        <f t="shared" si="3047"/>
        <v>15.649540078501206</v>
      </c>
      <c r="V2966" s="362">
        <f t="shared" si="3047"/>
        <v>21.429697706495226</v>
      </c>
      <c r="X2966" s="351"/>
    </row>
    <row r="2967" spans="3:24" ht="24.75" customHeight="1" x14ac:dyDescent="0.3">
      <c r="C2967" s="353">
        <f>ABS(E2967-Dashboard!$F$14)</f>
        <v>57.81879196121789</v>
      </c>
      <c r="D2967" s="350">
        <f t="shared" si="3039"/>
        <v>0.36944999999997458</v>
      </c>
      <c r="E2967" s="359" cm="1">
        <f t="array" ref="E2967">1000*SUM('DRE + DCF'!$L$36/M2967,'DRE + DCF'!$N$36:$V$36/N2967:V2967,F2967/V2967)/Dashboard!$F$11</f>
        <v>39.171208038782105</v>
      </c>
      <c r="F2967" s="359">
        <f t="shared" si="3037"/>
        <v>6945585.2124058204</v>
      </c>
      <c r="G2967" s="359">
        <f>'DRE + DCF'!$W$31</f>
        <v>2791623.3540418856</v>
      </c>
      <c r="H2967" s="359">
        <f>'DRE + DCF'!$W$32</f>
        <v>81081.931703745853</v>
      </c>
      <c r="I2967" s="359">
        <f>-H2967*('DRE + DCF'!$V$33+K2967)/'DRE + DCF'!$V$33</f>
        <v>-90858.801614444121</v>
      </c>
      <c r="J2967" s="359">
        <f>-'DRE + DCF'!$V$56*L2967</f>
        <v>-1188924.4255577971</v>
      </c>
      <c r="K2967" s="360">
        <f>(1+L2967)/(1+Ke!$O$12)-1</f>
        <v>2.0000000000000018E-2</v>
      </c>
      <c r="L2967" s="360">
        <f>'DRE + DCF'!$Y$31</f>
        <v>7.3550000000000004E-2</v>
      </c>
      <c r="M2967" s="361">
        <f>(1+D2967)^((5-Dashboard!$F$9)*3/12)</f>
        <v>1.2659298349231651</v>
      </c>
      <c r="N2967" s="361">
        <f t="shared" ref="N2967:V2967" si="3048">M2967*(1+$D2967)</f>
        <v>1.7336276124354963</v>
      </c>
      <c r="O2967" s="361">
        <f t="shared" si="3048"/>
        <v>2.3741163338497464</v>
      </c>
      <c r="P2967" s="361">
        <f t="shared" si="3048"/>
        <v>3.2512336133904749</v>
      </c>
      <c r="Q2967" s="361">
        <f t="shared" si="3048"/>
        <v>4.4524018718575027</v>
      </c>
      <c r="R2967" s="361">
        <f t="shared" si="3048"/>
        <v>6.0973417434151438</v>
      </c>
      <c r="S2967" s="361">
        <f t="shared" si="3048"/>
        <v>8.350004650519713</v>
      </c>
      <c r="T2967" s="361">
        <f t="shared" si="3048"/>
        <v>11.434913868654009</v>
      </c>
      <c r="U2967" s="361">
        <f t="shared" si="3048"/>
        <v>15.659542797427941</v>
      </c>
      <c r="V2967" s="362">
        <f t="shared" si="3048"/>
        <v>21.444960883937295</v>
      </c>
      <c r="X2967" s="351"/>
    </row>
    <row r="2968" spans="3:24" ht="24.75" customHeight="1" x14ac:dyDescent="0.3">
      <c r="C2968" s="353">
        <f>ABS(E2968-Dashboard!$F$14)</f>
        <v>57.834460038188134</v>
      </c>
      <c r="D2968" s="350">
        <f t="shared" si="3039"/>
        <v>0.36954999999997457</v>
      </c>
      <c r="E2968" s="359" cm="1">
        <f t="array" ref="E2968">1000*SUM('DRE + DCF'!$L$36/M2968,'DRE + DCF'!$N$36:$V$36/N2968:V2968,F2968/V2968)/Dashboard!$F$11</f>
        <v>39.155539961811861</v>
      </c>
      <c r="F2968" s="359">
        <f t="shared" si="3037"/>
        <v>6943511.4472753489</v>
      </c>
      <c r="G2968" s="359">
        <f>'DRE + DCF'!$W$31</f>
        <v>2791623.3540418856</v>
      </c>
      <c r="H2968" s="359">
        <f>'DRE + DCF'!$W$32</f>
        <v>81081.931703745853</v>
      </c>
      <c r="I2968" s="359">
        <f>-H2968*('DRE + DCF'!$V$33+K2968)/'DRE + DCF'!$V$33</f>
        <v>-90858.801614444121</v>
      </c>
      <c r="J2968" s="359">
        <f>-'DRE + DCF'!$V$56*L2968</f>
        <v>-1188924.4255577971</v>
      </c>
      <c r="K2968" s="360">
        <f>(1+L2968)/(1+Ke!$O$12)-1</f>
        <v>2.0000000000000018E-2</v>
      </c>
      <c r="L2968" s="360">
        <f>'DRE + DCF'!$Y$31</f>
        <v>7.3550000000000004E-2</v>
      </c>
      <c r="M2968" s="361">
        <f>(1+D2968)^((5-Dashboard!$F$9)*3/12)</f>
        <v>1.2659991648519786</v>
      </c>
      <c r="N2968" s="361">
        <f t="shared" ref="N2968:V2968" si="3049">M2968*(1+$D2968)</f>
        <v>1.733849156222995</v>
      </c>
      <c r="O2968" s="361">
        <f t="shared" si="3049"/>
        <v>2.3745931119051584</v>
      </c>
      <c r="P2968" s="361">
        <f t="shared" si="3049"/>
        <v>3.2521239964096491</v>
      </c>
      <c r="Q2968" s="361">
        <f t="shared" si="3049"/>
        <v>4.4539464192827518</v>
      </c>
      <c r="R2968" s="361">
        <f t="shared" si="3049"/>
        <v>6.0999023185285788</v>
      </c>
      <c r="S2968" s="361">
        <f t="shared" si="3049"/>
        <v>8.3541212203406587</v>
      </c>
      <c r="T2968" s="361">
        <f t="shared" si="3049"/>
        <v>11.441386717317336</v>
      </c>
      <c r="U2968" s="361">
        <f t="shared" si="3049"/>
        <v>15.669551178701665</v>
      </c>
      <c r="V2968" s="362">
        <f t="shared" si="3049"/>
        <v>21.460233816790467</v>
      </c>
      <c r="X2968" s="351"/>
    </row>
    <row r="2969" spans="3:24" ht="24.75" customHeight="1" x14ac:dyDescent="0.3">
      <c r="C2969" s="353">
        <f>ABS(E2969-Dashboard!$F$14)</f>
        <v>57.850116596842277</v>
      </c>
      <c r="D2969" s="350">
        <f t="shared" si="3039"/>
        <v>0.36964999999997455</v>
      </c>
      <c r="E2969" s="359" cm="1">
        <f t="array" ref="E2969">1000*SUM('DRE + DCF'!$L$36/M2969,'DRE + DCF'!$N$36:$V$36/N2969:V2969,F2969/V2969)/Dashboard!$F$11</f>
        <v>39.139883403157718</v>
      </c>
      <c r="F2969" s="359">
        <f t="shared" si="3037"/>
        <v>6941438.9353603227</v>
      </c>
      <c r="G2969" s="359">
        <f>'DRE + DCF'!$W$31</f>
        <v>2791623.3540418856</v>
      </c>
      <c r="H2969" s="359">
        <f>'DRE + DCF'!$W$32</f>
        <v>81081.931703745853</v>
      </c>
      <c r="I2969" s="359">
        <f>-H2969*('DRE + DCF'!$V$33+K2969)/'DRE + DCF'!$V$33</f>
        <v>-90858.801614444121</v>
      </c>
      <c r="J2969" s="359">
        <f>-'DRE + DCF'!$V$56*L2969</f>
        <v>-1188924.4255577971</v>
      </c>
      <c r="K2969" s="360">
        <f>(1+L2969)/(1+Ke!$O$12)-1</f>
        <v>2.0000000000000018E-2</v>
      </c>
      <c r="L2969" s="360">
        <f>'DRE + DCF'!$Y$31</f>
        <v>7.3550000000000004E-2</v>
      </c>
      <c r="M2969" s="361">
        <f>(1+D2969)^((5-Dashboard!$F$9)*3/12)</f>
        <v>1.2660684935152431</v>
      </c>
      <c r="N2969" s="361">
        <f t="shared" ref="N2969:V2969" si="3050">M2969*(1+$D2969)</f>
        <v>1.7340707121431205</v>
      </c>
      <c r="O2969" s="361">
        <f t="shared" si="3050"/>
        <v>2.3750699508867807</v>
      </c>
      <c r="P2969" s="361">
        <f t="shared" si="3050"/>
        <v>3.2530145582320187</v>
      </c>
      <c r="Q2969" s="361">
        <f t="shared" si="3050"/>
        <v>4.4554913896824013</v>
      </c>
      <c r="R2969" s="361">
        <f t="shared" si="3050"/>
        <v>6.1024637818783871</v>
      </c>
      <c r="S2969" s="361">
        <f t="shared" si="3050"/>
        <v>8.3582395188495777</v>
      </c>
      <c r="T2969" s="361">
        <f t="shared" si="3050"/>
        <v>11.447862756992111</v>
      </c>
      <c r="U2969" s="361">
        <f t="shared" si="3050"/>
        <v>15.679565225113953</v>
      </c>
      <c r="V2969" s="362">
        <f t="shared" si="3050"/>
        <v>21.475516510576924</v>
      </c>
      <c r="X2969" s="351"/>
    </row>
    <row r="2970" spans="3:24" ht="24.75" customHeight="1" x14ac:dyDescent="0.3">
      <c r="C2970" s="353">
        <f>ABS(E2970-Dashboard!$F$14)</f>
        <v>57.865761649023817</v>
      </c>
      <c r="D2970" s="350">
        <f t="shared" si="3039"/>
        <v>0.36974999999997454</v>
      </c>
      <c r="E2970" s="359" cm="1">
        <f t="array" ref="E2970">1000*SUM('DRE + DCF'!$L$36/M2970,'DRE + DCF'!$N$36:$V$36/N2970:V2970,F2970/V2970)/Dashboard!$F$11</f>
        <v>39.124238350976178</v>
      </c>
      <c r="F2970" s="359">
        <f t="shared" si="3037"/>
        <v>6939367.6755110873</v>
      </c>
      <c r="G2970" s="359">
        <f>'DRE + DCF'!$W$31</f>
        <v>2791623.3540418856</v>
      </c>
      <c r="H2970" s="359">
        <f>'DRE + DCF'!$W$32</f>
        <v>81081.931703745853</v>
      </c>
      <c r="I2970" s="359">
        <f>-H2970*('DRE + DCF'!$V$33+K2970)/'DRE + DCF'!$V$33</f>
        <v>-90858.801614444121</v>
      </c>
      <c r="J2970" s="359">
        <f>-'DRE + DCF'!$V$56*L2970</f>
        <v>-1188924.4255577971</v>
      </c>
      <c r="K2970" s="360">
        <f>(1+L2970)/(1+Ke!$O$12)-1</f>
        <v>2.0000000000000018E-2</v>
      </c>
      <c r="L2970" s="360">
        <f>'DRE + DCF'!$Y$31</f>
        <v>7.3550000000000004E-2</v>
      </c>
      <c r="M2970" s="361">
        <f>(1+D2970)^((5-Dashboard!$F$9)*3/12)</f>
        <v>1.2661378209130745</v>
      </c>
      <c r="N2970" s="361">
        <f t="shared" ref="N2970:V2970" si="3051">M2970*(1+$D2970)</f>
        <v>1.7342922801956515</v>
      </c>
      <c r="O2970" s="361">
        <f t="shared" si="3051"/>
        <v>2.3755468507979494</v>
      </c>
      <c r="P2970" s="361">
        <f t="shared" si="3051"/>
        <v>3.2539052988804307</v>
      </c>
      <c r="Q2970" s="361">
        <f t="shared" si="3051"/>
        <v>4.4570367831413868</v>
      </c>
      <c r="R2970" s="361">
        <f t="shared" si="3051"/>
        <v>6.1050261337078009</v>
      </c>
      <c r="S2970" s="361">
        <f t="shared" si="3051"/>
        <v>8.362359546646104</v>
      </c>
      <c r="T2970" s="361">
        <f t="shared" si="3051"/>
        <v>11.454341989018287</v>
      </c>
      <c r="U2970" s="361">
        <f t="shared" si="3051"/>
        <v>15.689584939457507</v>
      </c>
      <c r="V2970" s="362">
        <f t="shared" si="3051"/>
        <v>21.490808970821519</v>
      </c>
      <c r="X2970" s="351"/>
    </row>
    <row r="2971" spans="3:24" ht="24.75" customHeight="1" x14ac:dyDescent="0.3">
      <c r="C2971" s="353">
        <f>ABS(E2971-Dashboard!$F$14)</f>
        <v>57.881395206560647</v>
      </c>
      <c r="D2971" s="350">
        <f t="shared" si="3039"/>
        <v>0.36984999999997453</v>
      </c>
      <c r="E2971" s="359" cm="1">
        <f t="array" ref="E2971">1000*SUM('DRE + DCF'!$L$36/M2971,'DRE + DCF'!$N$36:$V$36/N2971:V2971,F2971/V2971)/Dashboard!$F$11</f>
        <v>39.108604793439348</v>
      </c>
      <c r="F2971" s="359">
        <f t="shared" si="3037"/>
        <v>6937297.6665794104</v>
      </c>
      <c r="G2971" s="359">
        <f>'DRE + DCF'!$W$31</f>
        <v>2791623.3540418856</v>
      </c>
      <c r="H2971" s="359">
        <f>'DRE + DCF'!$W$32</f>
        <v>81081.931703745853</v>
      </c>
      <c r="I2971" s="359">
        <f>-H2971*('DRE + DCF'!$V$33+K2971)/'DRE + DCF'!$V$33</f>
        <v>-90858.801614444121</v>
      </c>
      <c r="J2971" s="359">
        <f>-'DRE + DCF'!$V$56*L2971</f>
        <v>-1188924.4255577971</v>
      </c>
      <c r="K2971" s="360">
        <f>(1+L2971)/(1+Ke!$O$12)-1</f>
        <v>2.0000000000000018E-2</v>
      </c>
      <c r="L2971" s="360">
        <f>'DRE + DCF'!$Y$31</f>
        <v>7.3550000000000004E-2</v>
      </c>
      <c r="M2971" s="361">
        <f>(1+D2971)^((5-Dashboard!$F$9)*3/12)</f>
        <v>1.2662071470455878</v>
      </c>
      <c r="N2971" s="361">
        <f t="shared" ref="N2971:V2971" si="3052">M2971*(1+$D2971)</f>
        <v>1.734513860380366</v>
      </c>
      <c r="O2971" s="361">
        <f t="shared" si="3052"/>
        <v>2.3760238116420003</v>
      </c>
      <c r="P2971" s="361">
        <f t="shared" si="3052"/>
        <v>3.2547962183777335</v>
      </c>
      <c r="Q2971" s="361">
        <f t="shared" si="3052"/>
        <v>4.4585825997446555</v>
      </c>
      <c r="R2971" s="361">
        <f t="shared" si="3052"/>
        <v>6.1075893742601028</v>
      </c>
      <c r="S2971" s="361">
        <f t="shared" si="3052"/>
        <v>8.3664813043300459</v>
      </c>
      <c r="T2971" s="361">
        <f t="shared" si="3052"/>
        <v>11.460824414736299</v>
      </c>
      <c r="U2971" s="361">
        <f t="shared" si="3052"/>
        <v>15.699610324526226</v>
      </c>
      <c r="V2971" s="362">
        <f t="shared" si="3052"/>
        <v>21.506111203051852</v>
      </c>
      <c r="X2971" s="351"/>
    </row>
    <row r="2972" spans="3:24" ht="24.75" customHeight="1" x14ac:dyDescent="0.3">
      <c r="C2972" s="353">
        <f>ABS(E2972-Dashboard!$F$14)</f>
        <v>57.897017281265313</v>
      </c>
      <c r="D2972" s="350">
        <f t="shared" si="3039"/>
        <v>0.36994999999997452</v>
      </c>
      <c r="E2972" s="359" cm="1">
        <f t="array" ref="E2972">1000*SUM('DRE + DCF'!$L$36/M2972,'DRE + DCF'!$N$36:$V$36/N2972:V2972,F2972/V2972)/Dashboard!$F$11</f>
        <v>39.092982718734682</v>
      </c>
      <c r="F2972" s="359">
        <f t="shared" si="3037"/>
        <v>6935228.9074184783</v>
      </c>
      <c r="G2972" s="359">
        <f>'DRE + DCF'!$W$31</f>
        <v>2791623.3540418856</v>
      </c>
      <c r="H2972" s="359">
        <f>'DRE + DCF'!$W$32</f>
        <v>81081.931703745853</v>
      </c>
      <c r="I2972" s="359">
        <f>-H2972*('DRE + DCF'!$V$33+K2972)/'DRE + DCF'!$V$33</f>
        <v>-90858.801614444121</v>
      </c>
      <c r="J2972" s="359">
        <f>-'DRE + DCF'!$V$56*L2972</f>
        <v>-1188924.4255577971</v>
      </c>
      <c r="K2972" s="360">
        <f>(1+L2972)/(1+Ke!$O$12)-1</f>
        <v>2.0000000000000018E-2</v>
      </c>
      <c r="L2972" s="360">
        <f>'DRE + DCF'!$Y$31</f>
        <v>7.3550000000000004E-2</v>
      </c>
      <c r="M2972" s="361">
        <f>(1+D2972)^((5-Dashboard!$F$9)*3/12)</f>
        <v>1.2662764719128989</v>
      </c>
      <c r="N2972" s="361">
        <f t="shared" ref="N2972:V2972" si="3053">M2972*(1+$D2972)</f>
        <v>1.7347354526970435</v>
      </c>
      <c r="O2972" s="361">
        <f t="shared" si="3053"/>
        <v>2.3765008334222704</v>
      </c>
      <c r="P2972" s="361">
        <f t="shared" si="3053"/>
        <v>3.2556873167467786</v>
      </c>
      <c r="Q2972" s="361">
        <f t="shared" si="3053"/>
        <v>4.4601288395771661</v>
      </c>
      <c r="R2972" s="361">
        <f t="shared" si="3053"/>
        <v>6.1101535037786245</v>
      </c>
      <c r="S2972" s="361">
        <f t="shared" si="3053"/>
        <v>8.3706047925013713</v>
      </c>
      <c r="T2972" s="361">
        <f t="shared" si="3053"/>
        <v>11.46731003548704</v>
      </c>
      <c r="U2972" s="361">
        <f t="shared" si="3053"/>
        <v>15.709641383115178</v>
      </c>
      <c r="V2972" s="362">
        <f t="shared" si="3053"/>
        <v>21.521423212798236</v>
      </c>
      <c r="X2972" s="351"/>
    </row>
    <row r="2973" spans="3:24" ht="24.75" customHeight="1" x14ac:dyDescent="0.3">
      <c r="C2973" s="353">
        <f>ABS(E2973-Dashboard!$F$14)</f>
        <v>57.912627884934828</v>
      </c>
      <c r="D2973" s="350">
        <f t="shared" si="3039"/>
        <v>0.37004999999997451</v>
      </c>
      <c r="E2973" s="359" cm="1">
        <f t="array" ref="E2973">1000*SUM('DRE + DCF'!$L$36/M2973,'DRE + DCF'!$N$36:$V$36/N2973:V2973,F2973/V2973)/Dashboard!$F$11</f>
        <v>39.077372115065167</v>
      </c>
      <c r="F2973" s="359">
        <f t="shared" si="3037"/>
        <v>6933161.3968829019</v>
      </c>
      <c r="G2973" s="359">
        <f>'DRE + DCF'!$W$31</f>
        <v>2791623.3540418856</v>
      </c>
      <c r="H2973" s="359">
        <f>'DRE + DCF'!$W$32</f>
        <v>81081.931703745853</v>
      </c>
      <c r="I2973" s="359">
        <f>-H2973*('DRE + DCF'!$V$33+K2973)/'DRE + DCF'!$V$33</f>
        <v>-90858.801614444121</v>
      </c>
      <c r="J2973" s="359">
        <f>-'DRE + DCF'!$V$56*L2973</f>
        <v>-1188924.4255577971</v>
      </c>
      <c r="K2973" s="360">
        <f>(1+L2973)/(1+Ke!$O$12)-1</f>
        <v>2.0000000000000018E-2</v>
      </c>
      <c r="L2973" s="360">
        <f>'DRE + DCF'!$Y$31</f>
        <v>7.3550000000000004E-2</v>
      </c>
      <c r="M2973" s="361">
        <f>(1+D2973)^((5-Dashboard!$F$9)*3/12)</f>
        <v>1.2663457955151229</v>
      </c>
      <c r="N2973" s="361">
        <f t="shared" ref="N2973:V2973" si="3054">M2973*(1+$D2973)</f>
        <v>1.7349570571454618</v>
      </c>
      <c r="O2973" s="361">
        <f t="shared" si="3054"/>
        <v>2.3769779161420956</v>
      </c>
      <c r="P2973" s="361">
        <f t="shared" si="3054"/>
        <v>3.2565785940104175</v>
      </c>
      <c r="Q2973" s="361">
        <f t="shared" si="3054"/>
        <v>4.4616755027238897</v>
      </c>
      <c r="R2973" s="361">
        <f t="shared" si="3054"/>
        <v>6.1127185225067509</v>
      </c>
      <c r="S2973" s="361">
        <f t="shared" si="3054"/>
        <v>8.3747300117602173</v>
      </c>
      <c r="T2973" s="361">
        <f t="shared" si="3054"/>
        <v>11.473798852611871</v>
      </c>
      <c r="U2973" s="361">
        <f t="shared" si="3054"/>
        <v>15.719678118020601</v>
      </c>
      <c r="V2973" s="362">
        <f t="shared" si="3054"/>
        <v>21.536745005593723</v>
      </c>
      <c r="X2973" s="351"/>
    </row>
    <row r="2974" spans="3:24" ht="24.75" customHeight="1" x14ac:dyDescent="0.3">
      <c r="C2974" s="353">
        <f>ABS(E2974-Dashboard!$F$14)</f>
        <v>57.928227029350779</v>
      </c>
      <c r="D2974" s="350">
        <f t="shared" si="3039"/>
        <v>0.3701499999999745</v>
      </c>
      <c r="E2974" s="359" cm="1">
        <f t="array" ref="E2974">1000*SUM('DRE + DCF'!$L$36/M2974,'DRE + DCF'!$N$36:$V$36/N2974:V2974,F2974/V2974)/Dashboard!$F$11</f>
        <v>39.061772970649216</v>
      </c>
      <c r="F2974" s="359">
        <f t="shared" si="3037"/>
        <v>6931095.1338286996</v>
      </c>
      <c r="G2974" s="359">
        <f>'DRE + DCF'!$W$31</f>
        <v>2791623.3540418856</v>
      </c>
      <c r="H2974" s="359">
        <f>'DRE + DCF'!$W$32</f>
        <v>81081.931703745853</v>
      </c>
      <c r="I2974" s="359">
        <f>-H2974*('DRE + DCF'!$V$33+K2974)/'DRE + DCF'!$V$33</f>
        <v>-90858.801614444121</v>
      </c>
      <c r="J2974" s="359">
        <f>-'DRE + DCF'!$V$56*L2974</f>
        <v>-1188924.4255577971</v>
      </c>
      <c r="K2974" s="360">
        <f>(1+L2974)/(1+Ke!$O$12)-1</f>
        <v>2.0000000000000018E-2</v>
      </c>
      <c r="L2974" s="360">
        <f>'DRE + DCF'!$Y$31</f>
        <v>7.3550000000000004E-2</v>
      </c>
      <c r="M2974" s="361">
        <f>(1+D2974)^((5-Dashboard!$F$9)*3/12)</f>
        <v>1.2664151178523755</v>
      </c>
      <c r="N2974" s="361">
        <f t="shared" ref="N2974:V2974" si="3055">M2974*(1+$D2974)</f>
        <v>1.7351786737253998</v>
      </c>
      <c r="O2974" s="361">
        <f t="shared" si="3055"/>
        <v>2.3774550598048121</v>
      </c>
      <c r="P2974" s="361">
        <f t="shared" si="3055"/>
        <v>3.2574700501915026</v>
      </c>
      <c r="Q2974" s="361">
        <f t="shared" si="3055"/>
        <v>4.4632225892698036</v>
      </c>
      <c r="R2974" s="361">
        <f t="shared" si="3055"/>
        <v>6.1152844306879075</v>
      </c>
      <c r="S2974" s="361">
        <f t="shared" si="3055"/>
        <v>8.3788569627068803</v>
      </c>
      <c r="T2974" s="361">
        <f t="shared" si="3055"/>
        <v>11.480290867452618</v>
      </c>
      <c r="U2974" s="361">
        <f t="shared" si="3055"/>
        <v>15.729720532039911</v>
      </c>
      <c r="V2974" s="362">
        <f t="shared" si="3055"/>
        <v>21.552076586974081</v>
      </c>
      <c r="X2974" s="351"/>
    </row>
    <row r="2975" spans="3:24" ht="24.75" customHeight="1" x14ac:dyDescent="0.3">
      <c r="C2975" s="353">
        <f>ABS(E2975-Dashboard!$F$14)</f>
        <v>57.943814726279399</v>
      </c>
      <c r="D2975" s="350">
        <f t="shared" si="3039"/>
        <v>0.37024999999997449</v>
      </c>
      <c r="E2975" s="359" cm="1">
        <f t="array" ref="E2975">1000*SUM('DRE + DCF'!$L$36/M2975,'DRE + DCF'!$N$36:$V$36/N2975:V2975,F2975/V2975)/Dashboard!$F$11</f>
        <v>39.046185273720596</v>
      </c>
      <c r="F2975" s="359">
        <f t="shared" si="3037"/>
        <v>6929030.117113309</v>
      </c>
      <c r="G2975" s="359">
        <f>'DRE + DCF'!$W$31</f>
        <v>2791623.3540418856</v>
      </c>
      <c r="H2975" s="359">
        <f>'DRE + DCF'!$W$32</f>
        <v>81081.931703745853</v>
      </c>
      <c r="I2975" s="359">
        <f>-H2975*('DRE + DCF'!$V$33+K2975)/'DRE + DCF'!$V$33</f>
        <v>-90858.801614444121</v>
      </c>
      <c r="J2975" s="359">
        <f>-'DRE + DCF'!$V$56*L2975</f>
        <v>-1188924.4255577971</v>
      </c>
      <c r="K2975" s="360">
        <f>(1+L2975)/(1+Ke!$O$12)-1</f>
        <v>2.0000000000000018E-2</v>
      </c>
      <c r="L2975" s="360">
        <f>'DRE + DCF'!$Y$31</f>
        <v>7.3550000000000004E-2</v>
      </c>
      <c r="M2975" s="361">
        <f>(1+D2975)^((5-Dashboard!$F$9)*3/12)</f>
        <v>1.266484438924772</v>
      </c>
      <c r="N2975" s="361">
        <f t="shared" ref="N2975:V2975" si="3056">M2975*(1+$D2975)</f>
        <v>1.7354003024366365</v>
      </c>
      <c r="O2975" s="361">
        <f t="shared" si="3056"/>
        <v>2.3779322644137566</v>
      </c>
      <c r="P2975" s="361">
        <f t="shared" si="3056"/>
        <v>3.2583616853128894</v>
      </c>
      <c r="Q2975" s="361">
        <f t="shared" si="3056"/>
        <v>4.4647700992999031</v>
      </c>
      <c r="R2975" s="361">
        <f t="shared" si="3056"/>
        <v>6.1178512285655779</v>
      </c>
      <c r="S2975" s="361">
        <f t="shared" si="3056"/>
        <v>8.3829856459418259</v>
      </c>
      <c r="T2975" s="361">
        <f t="shared" si="3056"/>
        <v>11.486786081351573</v>
      </c>
      <c r="U2975" s="361">
        <f t="shared" si="3056"/>
        <v>15.739768627971699</v>
      </c>
      <c r="V2975" s="362">
        <f t="shared" si="3056"/>
        <v>21.567417962477819</v>
      </c>
      <c r="X2975" s="351"/>
    </row>
    <row r="2976" spans="3:24" ht="24.75" customHeight="1" x14ac:dyDescent="0.3">
      <c r="C2976" s="353">
        <f>ABS(E2976-Dashboard!$F$14)</f>
        <v>57.959390987471473</v>
      </c>
      <c r="D2976" s="350">
        <f t="shared" si="3039"/>
        <v>0.37034999999997448</v>
      </c>
      <c r="E2976" s="359" cm="1">
        <f t="array" ref="E2976">1000*SUM('DRE + DCF'!$L$36/M2976,'DRE + DCF'!$N$36:$V$36/N2976:V2976,F2976/V2976)/Dashboard!$F$11</f>
        <v>39.030609012528522</v>
      </c>
      <c r="F2976" s="359">
        <f t="shared" si="3037"/>
        <v>6926966.3455955796</v>
      </c>
      <c r="G2976" s="359">
        <f>'DRE + DCF'!$W$31</f>
        <v>2791623.3540418856</v>
      </c>
      <c r="H2976" s="359">
        <f>'DRE + DCF'!$W$32</f>
        <v>81081.931703745853</v>
      </c>
      <c r="I2976" s="359">
        <f>-H2976*('DRE + DCF'!$V$33+K2976)/'DRE + DCF'!$V$33</f>
        <v>-90858.801614444121</v>
      </c>
      <c r="J2976" s="359">
        <f>-'DRE + DCF'!$V$56*L2976</f>
        <v>-1188924.4255577971</v>
      </c>
      <c r="K2976" s="360">
        <f>(1+L2976)/(1+Ke!$O$12)-1</f>
        <v>2.0000000000000018E-2</v>
      </c>
      <c r="L2976" s="360">
        <f>'DRE + DCF'!$Y$31</f>
        <v>7.3550000000000004E-2</v>
      </c>
      <c r="M2976" s="361">
        <f>(1+D2976)^((5-Dashboard!$F$9)*3/12)</f>
        <v>1.2665537587324276</v>
      </c>
      <c r="N2976" s="361">
        <f t="shared" ref="N2976:V2976" si="3057">M2976*(1+$D2976)</f>
        <v>1.7356219432789497</v>
      </c>
      <c r="O2976" s="361">
        <f t="shared" si="3057"/>
        <v>2.3784095299722643</v>
      </c>
      <c r="P2976" s="361">
        <f t="shared" si="3057"/>
        <v>3.2592534993974316</v>
      </c>
      <c r="Q2976" s="361">
        <f t="shared" si="3057"/>
        <v>4.4663180328991867</v>
      </c>
      <c r="R2976" s="361">
        <f t="shared" si="3057"/>
        <v>6.1204189163832865</v>
      </c>
      <c r="S2976" s="361">
        <f t="shared" si="3057"/>
        <v>8.3871160620656795</v>
      </c>
      <c r="T2976" s="361">
        <f t="shared" si="3057"/>
        <v>11.493284495651489</v>
      </c>
      <c r="U2976" s="361">
        <f t="shared" si="3057"/>
        <v>15.749822408615724</v>
      </c>
      <c r="V2976" s="362">
        <f t="shared" si="3057"/>
        <v>21.582769137646157</v>
      </c>
      <c r="X2976" s="351"/>
    </row>
    <row r="2977" spans="3:24" ht="24.75" customHeight="1" x14ac:dyDescent="0.3">
      <c r="C2977" s="353">
        <f>ABS(E2977-Dashboard!$F$14)</f>
        <v>57.974955824662487</v>
      </c>
      <c r="D2977" s="350">
        <f t="shared" si="3039"/>
        <v>0.37044999999997447</v>
      </c>
      <c r="E2977" s="359" cm="1">
        <f t="array" ref="E2977">1000*SUM('DRE + DCF'!$L$36/M2977,'DRE + DCF'!$N$36:$V$36/N2977:V2977,F2977/V2977)/Dashboard!$F$11</f>
        <v>39.015044175337508</v>
      </c>
      <c r="F2977" s="359">
        <f t="shared" si="3037"/>
        <v>6924903.8181357663</v>
      </c>
      <c r="G2977" s="359">
        <f>'DRE + DCF'!$W$31</f>
        <v>2791623.3540418856</v>
      </c>
      <c r="H2977" s="359">
        <f>'DRE + DCF'!$W$32</f>
        <v>81081.931703745853</v>
      </c>
      <c r="I2977" s="359">
        <f>-H2977*('DRE + DCF'!$V$33+K2977)/'DRE + DCF'!$V$33</f>
        <v>-90858.801614444121</v>
      </c>
      <c r="J2977" s="359">
        <f>-'DRE + DCF'!$V$56*L2977</f>
        <v>-1188924.4255577971</v>
      </c>
      <c r="K2977" s="360">
        <f>(1+L2977)/(1+Ke!$O$12)-1</f>
        <v>2.0000000000000018E-2</v>
      </c>
      <c r="L2977" s="360">
        <f>'DRE + DCF'!$Y$31</f>
        <v>7.3550000000000004E-2</v>
      </c>
      <c r="M2977" s="361">
        <f>(1+D2977)^((5-Dashboard!$F$9)*3/12)</f>
        <v>1.2666230772754579</v>
      </c>
      <c r="N2977" s="361">
        <f t="shared" ref="N2977:V2977" si="3058">M2977*(1+$D2977)</f>
        <v>1.7358435962521188</v>
      </c>
      <c r="O2977" s="361">
        <f t="shared" si="3058"/>
        <v>2.3788868564836716</v>
      </c>
      <c r="P2977" s="361">
        <f t="shared" si="3058"/>
        <v>3.2601454924679869</v>
      </c>
      <c r="Q2977" s="361">
        <f t="shared" si="3058"/>
        <v>4.4678663901526692</v>
      </c>
      <c r="R2977" s="361">
        <f t="shared" si="3058"/>
        <v>6.1229874943846108</v>
      </c>
      <c r="S2977" s="361">
        <f t="shared" si="3058"/>
        <v>8.3912482116792333</v>
      </c>
      <c r="T2977" s="361">
        <f t="shared" si="3058"/>
        <v>11.49978611169559</v>
      </c>
      <c r="U2977" s="361">
        <f t="shared" si="3058"/>
        <v>15.759881876772926</v>
      </c>
      <c r="V2977" s="362">
        <f t="shared" si="3058"/>
        <v>21.598130118023054</v>
      </c>
      <c r="X2977" s="351"/>
    </row>
    <row r="2978" spans="3:24" ht="24.75" customHeight="1" x14ac:dyDescent="0.3">
      <c r="C2978" s="353">
        <f>ABS(E2978-Dashboard!$F$14)</f>
        <v>57.990509249572582</v>
      </c>
      <c r="D2978" s="350">
        <f t="shared" si="3039"/>
        <v>0.37054999999997446</v>
      </c>
      <c r="E2978" s="359" cm="1">
        <f t="array" ref="E2978">1000*SUM('DRE + DCF'!$L$36/M2978,'DRE + DCF'!$N$36:$V$36/N2978:V2978,F2978/V2978)/Dashboard!$F$11</f>
        <v>38.999490750427412</v>
      </c>
      <c r="F2978" s="359">
        <f t="shared" si="3037"/>
        <v>6922842.5335955322</v>
      </c>
      <c r="G2978" s="359">
        <f>'DRE + DCF'!$W$31</f>
        <v>2791623.3540418856</v>
      </c>
      <c r="H2978" s="359">
        <f>'DRE + DCF'!$W$32</f>
        <v>81081.931703745853</v>
      </c>
      <c r="I2978" s="359">
        <f>-H2978*('DRE + DCF'!$V$33+K2978)/'DRE + DCF'!$V$33</f>
        <v>-90858.801614444121</v>
      </c>
      <c r="J2978" s="359">
        <f>-'DRE + DCF'!$V$56*L2978</f>
        <v>-1188924.4255577971</v>
      </c>
      <c r="K2978" s="360">
        <f>(1+L2978)/(1+Ke!$O$12)-1</f>
        <v>2.0000000000000018E-2</v>
      </c>
      <c r="L2978" s="360">
        <f>'DRE + DCF'!$Y$31</f>
        <v>7.3550000000000004E-2</v>
      </c>
      <c r="M2978" s="361">
        <f>(1+D2978)^((5-Dashboard!$F$9)*3/12)</f>
        <v>1.2666923945539783</v>
      </c>
      <c r="N2978" s="361">
        <f t="shared" ref="N2978:V2978" si="3059">M2978*(1+$D2978)</f>
        <v>1.7360652613559227</v>
      </c>
      <c r="O2978" s="361">
        <f t="shared" si="3059"/>
        <v>2.3793642439513154</v>
      </c>
      <c r="P2978" s="361">
        <f t="shared" si="3059"/>
        <v>3.2610376645474144</v>
      </c>
      <c r="Q2978" s="361">
        <f t="shared" si="3059"/>
        <v>4.4694151711453749</v>
      </c>
      <c r="R2978" s="361">
        <f t="shared" si="3059"/>
        <v>6.125556962813179</v>
      </c>
      <c r="S2978" s="361">
        <f t="shared" si="3059"/>
        <v>8.3953820953834448</v>
      </c>
      <c r="T2978" s="361">
        <f t="shared" si="3059"/>
        <v>11.506290930827566</v>
      </c>
      <c r="U2978" s="361">
        <f t="shared" si="3059"/>
        <v>15.769947035245426</v>
      </c>
      <c r="V2978" s="362">
        <f t="shared" si="3059"/>
        <v>21.613500909155217</v>
      </c>
      <c r="X2978" s="351"/>
    </row>
    <row r="2979" spans="3:24" ht="24.75" customHeight="1" x14ac:dyDescent="0.3">
      <c r="C2979" s="353">
        <f>ABS(E2979-Dashboard!$F$14)</f>
        <v>58.006051273906579</v>
      </c>
      <c r="D2979" s="350">
        <f t="shared" si="3039"/>
        <v>0.37064999999997444</v>
      </c>
      <c r="E2979" s="359" cm="1">
        <f t="array" ref="E2979">1000*SUM('DRE + DCF'!$L$36/M2979,'DRE + DCF'!$N$36:$V$36/N2979:V2979,F2979/V2979)/Dashboard!$F$11</f>
        <v>38.983948726093416</v>
      </c>
      <c r="F2979" s="359">
        <f t="shared" si="3037"/>
        <v>6920782.4908379503</v>
      </c>
      <c r="G2979" s="359">
        <f>'DRE + DCF'!$W$31</f>
        <v>2791623.3540418856</v>
      </c>
      <c r="H2979" s="359">
        <f>'DRE + DCF'!$W$32</f>
        <v>81081.931703745853</v>
      </c>
      <c r="I2979" s="359">
        <f>-H2979*('DRE + DCF'!$V$33+K2979)/'DRE + DCF'!$V$33</f>
        <v>-90858.801614444121</v>
      </c>
      <c r="J2979" s="359">
        <f>-'DRE + DCF'!$V$56*L2979</f>
        <v>-1188924.4255577971</v>
      </c>
      <c r="K2979" s="360">
        <f>(1+L2979)/(1+Ke!$O$12)-1</f>
        <v>2.0000000000000018E-2</v>
      </c>
      <c r="L2979" s="360">
        <f>'DRE + DCF'!$Y$31</f>
        <v>7.3550000000000004E-2</v>
      </c>
      <c r="M2979" s="361">
        <f>(1+D2979)^((5-Dashboard!$F$9)*3/12)</f>
        <v>1.2667617105681037</v>
      </c>
      <c r="N2979" s="361">
        <f t="shared" ref="N2979:V2979" si="3060">M2979*(1+$D2979)</f>
        <v>1.7362869385901389</v>
      </c>
      <c r="O2979" s="361">
        <f t="shared" si="3060"/>
        <v>2.3798416923785295</v>
      </c>
      <c r="P2979" s="361">
        <f t="shared" si="3060"/>
        <v>3.2619300156585704</v>
      </c>
      <c r="Q2979" s="361">
        <f t="shared" si="3060"/>
        <v>4.4709643759623363</v>
      </c>
      <c r="R2979" s="361">
        <f t="shared" si="3060"/>
        <v>6.128127321912662</v>
      </c>
      <c r="S2979" s="361">
        <f t="shared" si="3060"/>
        <v>8.3995177137794332</v>
      </c>
      <c r="T2979" s="361">
        <f t="shared" si="3060"/>
        <v>11.512798954391565</v>
      </c>
      <c r="U2979" s="361">
        <f t="shared" si="3060"/>
        <v>15.780017886836504</v>
      </c>
      <c r="V2979" s="362">
        <f t="shared" si="3060"/>
        <v>21.628881516592049</v>
      </c>
      <c r="X2979" s="351"/>
    </row>
    <row r="2980" spans="3:24" ht="24.75" customHeight="1" x14ac:dyDescent="0.3">
      <c r="C2980" s="353">
        <f>ABS(E2980-Dashboard!$F$14)</f>
        <v>58.021581909354005</v>
      </c>
      <c r="D2980" s="350">
        <f t="shared" si="3039"/>
        <v>0.37074999999997443</v>
      </c>
      <c r="E2980" s="359" cm="1">
        <f t="array" ref="E2980">1000*SUM('DRE + DCF'!$L$36/M2980,'DRE + DCF'!$N$36:$V$36/N2980:V2980,F2980/V2980)/Dashboard!$F$11</f>
        <v>38.96841809064599</v>
      </c>
      <c r="F2980" s="359">
        <f t="shared" si="3037"/>
        <v>6918723.6887274925</v>
      </c>
      <c r="G2980" s="359">
        <f>'DRE + DCF'!$W$31</f>
        <v>2791623.3540418856</v>
      </c>
      <c r="H2980" s="359">
        <f>'DRE + DCF'!$W$32</f>
        <v>81081.931703745853</v>
      </c>
      <c r="I2980" s="359">
        <f>-H2980*('DRE + DCF'!$V$33+K2980)/'DRE + DCF'!$V$33</f>
        <v>-90858.801614444121</v>
      </c>
      <c r="J2980" s="359">
        <f>-'DRE + DCF'!$V$56*L2980</f>
        <v>-1188924.4255577971</v>
      </c>
      <c r="K2980" s="360">
        <f>(1+L2980)/(1+Ke!$O$12)-1</f>
        <v>2.0000000000000018E-2</v>
      </c>
      <c r="L2980" s="360">
        <f>'DRE + DCF'!$Y$31</f>
        <v>7.3550000000000004E-2</v>
      </c>
      <c r="M2980" s="361">
        <f>(1+D2980)^((5-Dashboard!$F$9)*3/12)</f>
        <v>1.26683102531795</v>
      </c>
      <c r="N2980" s="361">
        <f t="shared" ref="N2980:V2980" si="3061">M2980*(1+$D2980)</f>
        <v>1.7365086279545474</v>
      </c>
      <c r="O2980" s="361">
        <f t="shared" si="3061"/>
        <v>2.3803192017686512</v>
      </c>
      <c r="P2980" s="361">
        <f t="shared" si="3061"/>
        <v>3.2628225458243176</v>
      </c>
      <c r="Q2980" s="361">
        <f t="shared" si="3061"/>
        <v>4.4725140046886001</v>
      </c>
      <c r="R2980" s="361">
        <f t="shared" si="3061"/>
        <v>6.1306985719267839</v>
      </c>
      <c r="S2980" s="361">
        <f t="shared" si="3061"/>
        <v>8.4036550674684811</v>
      </c>
      <c r="T2980" s="361">
        <f t="shared" si="3061"/>
        <v>11.519310183732205</v>
      </c>
      <c r="U2980" s="361">
        <f t="shared" si="3061"/>
        <v>15.790094434350625</v>
      </c>
      <c r="V2980" s="362">
        <f t="shared" si="3061"/>
        <v>21.644271945885713</v>
      </c>
      <c r="X2980" s="351"/>
    </row>
    <row r="2981" spans="3:24" ht="24.75" customHeight="1" x14ac:dyDescent="0.3">
      <c r="C2981" s="353">
        <f>ABS(E2981-Dashboard!$F$14)</f>
        <v>58.037101167589199</v>
      </c>
      <c r="D2981" s="350">
        <f t="shared" si="3039"/>
        <v>0.37084999999997442</v>
      </c>
      <c r="E2981" s="359" cm="1">
        <f t="array" ref="E2981">1000*SUM('DRE + DCF'!$L$36/M2981,'DRE + DCF'!$N$36:$V$36/N2981:V2981,F2981/V2981)/Dashboard!$F$11</f>
        <v>38.952898832410796</v>
      </c>
      <c r="F2981" s="359">
        <f t="shared" si="3037"/>
        <v>6916666.1261300286</v>
      </c>
      <c r="G2981" s="359">
        <f>'DRE + DCF'!$W$31</f>
        <v>2791623.3540418856</v>
      </c>
      <c r="H2981" s="359">
        <f>'DRE + DCF'!$W$32</f>
        <v>81081.931703745853</v>
      </c>
      <c r="I2981" s="359">
        <f>-H2981*('DRE + DCF'!$V$33+K2981)/'DRE + DCF'!$V$33</f>
        <v>-90858.801614444121</v>
      </c>
      <c r="J2981" s="359">
        <f>-'DRE + DCF'!$V$56*L2981</f>
        <v>-1188924.4255577971</v>
      </c>
      <c r="K2981" s="360">
        <f>(1+L2981)/(1+Ke!$O$12)-1</f>
        <v>2.0000000000000018E-2</v>
      </c>
      <c r="L2981" s="360">
        <f>'DRE + DCF'!$Y$31</f>
        <v>7.3550000000000004E-2</v>
      </c>
      <c r="M2981" s="361">
        <f>(1+D2981)^((5-Dashboard!$F$9)*3/12)</f>
        <v>1.266900338803632</v>
      </c>
      <c r="N2981" s="361">
        <f t="shared" ref="N2981:V2981" si="3062">M2981*(1+$D2981)</f>
        <v>1.7367303294489265</v>
      </c>
      <c r="O2981" s="361">
        <f t="shared" si="3062"/>
        <v>2.3807967721250165</v>
      </c>
      <c r="P2981" s="361">
        <f t="shared" si="3062"/>
        <v>3.2637152550675177</v>
      </c>
      <c r="Q2981" s="361">
        <f t="shared" si="3062"/>
        <v>4.4740640574092234</v>
      </c>
      <c r="R2981" s="361">
        <f t="shared" si="3062"/>
        <v>6.1332707130993196</v>
      </c>
      <c r="S2981" s="361">
        <f t="shared" si="3062"/>
        <v>8.4077941570520451</v>
      </c>
      <c r="T2981" s="361">
        <f t="shared" si="3062"/>
        <v>11.52582462019458</v>
      </c>
      <c r="U2981" s="361">
        <f t="shared" si="3062"/>
        <v>15.800176680593445</v>
      </c>
      <c r="V2981" s="362">
        <f t="shared" si="3062"/>
        <v>21.659672202591118</v>
      </c>
      <c r="X2981" s="351"/>
    </row>
    <row r="2982" spans="3:24" ht="24.75" customHeight="1" x14ac:dyDescent="0.3">
      <c r="C2982" s="353">
        <f>ABS(E2982-Dashboard!$F$14)</f>
        <v>58.052609060271173</v>
      </c>
      <c r="D2982" s="350">
        <f t="shared" si="3039"/>
        <v>0.37094999999997441</v>
      </c>
      <c r="E2982" s="359" cm="1">
        <f t="array" ref="E2982">1000*SUM('DRE + DCF'!$L$36/M2982,'DRE + DCF'!$N$36:$V$36/N2982:V2982,F2982/V2982)/Dashboard!$F$11</f>
        <v>38.937390939728822</v>
      </c>
      <c r="F2982" s="359">
        <f t="shared" si="3037"/>
        <v>6914609.8019128311</v>
      </c>
      <c r="G2982" s="359">
        <f>'DRE + DCF'!$W$31</f>
        <v>2791623.3540418856</v>
      </c>
      <c r="H2982" s="359">
        <f>'DRE + DCF'!$W$32</f>
        <v>81081.931703745853</v>
      </c>
      <c r="I2982" s="359">
        <f>-H2982*('DRE + DCF'!$V$33+K2982)/'DRE + DCF'!$V$33</f>
        <v>-90858.801614444121</v>
      </c>
      <c r="J2982" s="359">
        <f>-'DRE + DCF'!$V$56*L2982</f>
        <v>-1188924.4255577971</v>
      </c>
      <c r="K2982" s="360">
        <f>(1+L2982)/(1+Ke!$O$12)-1</f>
        <v>2.0000000000000018E-2</v>
      </c>
      <c r="L2982" s="360">
        <f>'DRE + DCF'!$Y$31</f>
        <v>7.3550000000000004E-2</v>
      </c>
      <c r="M2982" s="361">
        <f>(1+D2982)^((5-Dashboard!$F$9)*3/12)</f>
        <v>1.2669696510252653</v>
      </c>
      <c r="N2982" s="361">
        <f t="shared" ref="N2982:V2982" si="3063">M2982*(1+$D2982)</f>
        <v>1.736952043073055</v>
      </c>
      <c r="O2982" s="361">
        <f t="shared" si="3063"/>
        <v>2.3812744034509601</v>
      </c>
      <c r="P2982" s="361">
        <f t="shared" si="3063"/>
        <v>3.2646081434110328</v>
      </c>
      <c r="Q2982" s="361">
        <f t="shared" si="3063"/>
        <v>4.4756145342092717</v>
      </c>
      <c r="R2982" s="361">
        <f t="shared" si="3063"/>
        <v>6.1358437456740864</v>
      </c>
      <c r="S2982" s="361">
        <f t="shared" si="3063"/>
        <v>8.4119349831317312</v>
      </c>
      <c r="T2982" s="361">
        <f t="shared" si="3063"/>
        <v>11.532342265124232</v>
      </c>
      <c r="U2982" s="361">
        <f t="shared" si="3063"/>
        <v>15.810264628371769</v>
      </c>
      <c r="V2982" s="362">
        <f t="shared" si="3063"/>
        <v>21.67508229226587</v>
      </c>
      <c r="X2982" s="351"/>
    </row>
    <row r="2983" spans="3:24" ht="24.75" customHeight="1" x14ac:dyDescent="0.3">
      <c r="C2983" s="353">
        <f>ABS(E2983-Dashboard!$F$14)</f>
        <v>58.068105599043783</v>
      </c>
      <c r="D2983" s="350">
        <f t="shared" si="3039"/>
        <v>0.3710499999999744</v>
      </c>
      <c r="E2983" s="359" cm="1">
        <f t="array" ref="E2983">1000*SUM('DRE + DCF'!$L$36/M2983,'DRE + DCF'!$N$36:$V$36/N2983:V2983,F2983/V2983)/Dashboard!$F$11</f>
        <v>38.921894400956212</v>
      </c>
      <c r="F2983" s="359">
        <f t="shared" si="3037"/>
        <v>6912554.7149445694</v>
      </c>
      <c r="G2983" s="359">
        <f>'DRE + DCF'!$W$31</f>
        <v>2791623.3540418856</v>
      </c>
      <c r="H2983" s="359">
        <f>'DRE + DCF'!$W$32</f>
        <v>81081.931703745853</v>
      </c>
      <c r="I2983" s="359">
        <f>-H2983*('DRE + DCF'!$V$33+K2983)/'DRE + DCF'!$V$33</f>
        <v>-90858.801614444121</v>
      </c>
      <c r="J2983" s="359">
        <f>-'DRE + DCF'!$V$56*L2983</f>
        <v>-1188924.4255577971</v>
      </c>
      <c r="K2983" s="360">
        <f>(1+L2983)/(1+Ke!$O$12)-1</f>
        <v>2.0000000000000018E-2</v>
      </c>
      <c r="L2983" s="360">
        <f>'DRE + DCF'!$Y$31</f>
        <v>7.3550000000000004E-2</v>
      </c>
      <c r="M2983" s="361">
        <f>(1+D2983)^((5-Dashboard!$F$9)*3/12)</f>
        <v>1.267038961982965</v>
      </c>
      <c r="N2983" s="361">
        <f t="shared" ref="N2983:V2983" si="3064">M2983*(1+$D2983)</f>
        <v>1.7371737688267115</v>
      </c>
      <c r="O2983" s="361">
        <f t="shared" si="3064"/>
        <v>2.3817520957498184</v>
      </c>
      <c r="P2983" s="361">
        <f t="shared" si="3064"/>
        <v>3.2655012108777273</v>
      </c>
      <c r="Q2983" s="361">
        <f t="shared" si="3064"/>
        <v>4.4771654351738244</v>
      </c>
      <c r="R2983" s="361">
        <f t="shared" si="3064"/>
        <v>6.1384176698949569</v>
      </c>
      <c r="S2983" s="361">
        <f t="shared" si="3064"/>
        <v>8.4160775463093227</v>
      </c>
      <c r="T2983" s="361">
        <f t="shared" si="3064"/>
        <v>11.53886311986718</v>
      </c>
      <c r="U2983" s="361">
        <f t="shared" si="3064"/>
        <v>15.820358280493602</v>
      </c>
      <c r="V2983" s="362">
        <f t="shared" si="3064"/>
        <v>21.690502220470346</v>
      </c>
      <c r="X2983" s="351"/>
    </row>
    <row r="2984" spans="3:24" ht="24.75" customHeight="1" x14ac:dyDescent="0.3">
      <c r="C2984" s="353">
        <f>ABS(E2984-Dashboard!$F$14)</f>
        <v>58.083590795535713</v>
      </c>
      <c r="D2984" s="350">
        <f t="shared" si="3039"/>
        <v>0.37114999999997439</v>
      </c>
      <c r="E2984" s="359" cm="1">
        <f t="array" ref="E2984">1000*SUM('DRE + DCF'!$L$36/M2984,'DRE + DCF'!$N$36:$V$36/N2984:V2984,F2984/V2984)/Dashboard!$F$11</f>
        <v>38.906409204464282</v>
      </c>
      <c r="F2984" s="359">
        <f t="shared" si="3037"/>
        <v>6910500.8640953042</v>
      </c>
      <c r="G2984" s="359">
        <f>'DRE + DCF'!$W$31</f>
        <v>2791623.3540418856</v>
      </c>
      <c r="H2984" s="359">
        <f>'DRE + DCF'!$W$32</f>
        <v>81081.931703745853</v>
      </c>
      <c r="I2984" s="359">
        <f>-H2984*('DRE + DCF'!$V$33+K2984)/'DRE + DCF'!$V$33</f>
        <v>-90858.801614444121</v>
      </c>
      <c r="J2984" s="359">
        <f>-'DRE + DCF'!$V$56*L2984</f>
        <v>-1188924.4255577971</v>
      </c>
      <c r="K2984" s="360">
        <f>(1+L2984)/(1+Ke!$O$12)-1</f>
        <v>2.0000000000000018E-2</v>
      </c>
      <c r="L2984" s="360">
        <f>'DRE + DCF'!$Y$31</f>
        <v>7.3550000000000004E-2</v>
      </c>
      <c r="M2984" s="361">
        <f>(1+D2984)^((5-Dashboard!$F$9)*3/12)</f>
        <v>1.2671082716768463</v>
      </c>
      <c r="N2984" s="361">
        <f t="shared" ref="N2984:V2984" si="3065">M2984*(1+$D2984)</f>
        <v>1.7373955067096751</v>
      </c>
      <c r="O2984" s="361">
        <f t="shared" si="3065"/>
        <v>2.3822298490249265</v>
      </c>
      <c r="P2984" s="361">
        <f t="shared" si="3065"/>
        <v>3.2663944574904669</v>
      </c>
      <c r="Q2984" s="361">
        <f t="shared" si="3065"/>
        <v>4.4787167603879698</v>
      </c>
      <c r="R2984" s="361">
        <f t="shared" si="3065"/>
        <v>6.1409924860058496</v>
      </c>
      <c r="S2984" s="361">
        <f t="shared" si="3065"/>
        <v>8.4202218471867631</v>
      </c>
      <c r="T2984" s="361">
        <f t="shared" si="3065"/>
        <v>11.545387185769915</v>
      </c>
      <c r="U2984" s="361">
        <f t="shared" si="3065"/>
        <v>15.830457639768122</v>
      </c>
      <c r="V2984" s="362">
        <f t="shared" si="3065"/>
        <v>21.705931992767653</v>
      </c>
      <c r="X2984" s="351"/>
    </row>
    <row r="2985" spans="3:24" ht="24.75" customHeight="1" x14ac:dyDescent="0.3">
      <c r="C2985" s="353">
        <f>ABS(E2985-Dashboard!$F$14)</f>
        <v>58.099064661360451</v>
      </c>
      <c r="D2985" s="350">
        <f t="shared" si="3039"/>
        <v>0.37124999999997438</v>
      </c>
      <c r="E2985" s="359" cm="1">
        <f t="array" ref="E2985">1000*SUM('DRE + DCF'!$L$36/M2985,'DRE + DCF'!$N$36:$V$36/N2985:V2985,F2985/V2985)/Dashboard!$F$11</f>
        <v>38.890935338639544</v>
      </c>
      <c r="F2985" s="359">
        <f t="shared" si="3037"/>
        <v>6908448.2482364867</v>
      </c>
      <c r="G2985" s="359">
        <f>'DRE + DCF'!$W$31</f>
        <v>2791623.3540418856</v>
      </c>
      <c r="H2985" s="359">
        <f>'DRE + DCF'!$W$32</f>
        <v>81081.931703745853</v>
      </c>
      <c r="I2985" s="359">
        <f>-H2985*('DRE + DCF'!$V$33+K2985)/'DRE + DCF'!$V$33</f>
        <v>-90858.801614444121</v>
      </c>
      <c r="J2985" s="359">
        <f>-'DRE + DCF'!$V$56*L2985</f>
        <v>-1188924.4255577971</v>
      </c>
      <c r="K2985" s="360">
        <f>(1+L2985)/(1+Ke!$O$12)-1</f>
        <v>2.0000000000000018E-2</v>
      </c>
      <c r="L2985" s="360">
        <f>'DRE + DCF'!$Y$31</f>
        <v>7.3550000000000004E-2</v>
      </c>
      <c r="M2985" s="361">
        <f>(1+D2985)^((5-Dashboard!$F$9)*3/12)</f>
        <v>1.2671775801070244</v>
      </c>
      <c r="N2985" s="361">
        <f t="shared" ref="N2985:V2985" si="3066">M2985*(1+$D2985)</f>
        <v>1.7376172567217247</v>
      </c>
      <c r="O2985" s="361">
        <f t="shared" si="3066"/>
        <v>2.3827076632796205</v>
      </c>
      <c r="P2985" s="361">
        <f t="shared" si="3066"/>
        <v>3.2672878832721182</v>
      </c>
      <c r="Q2985" s="361">
        <f t="shared" si="3066"/>
        <v>4.480268509936808</v>
      </c>
      <c r="R2985" s="361">
        <f t="shared" si="3066"/>
        <v>6.143568194250733</v>
      </c>
      <c r="S2985" s="361">
        <f t="shared" si="3066"/>
        <v>8.4243678863661593</v>
      </c>
      <c r="T2985" s="361">
        <f t="shared" si="3066"/>
        <v>11.551914464179379</v>
      </c>
      <c r="U2985" s="361">
        <f t="shared" si="3066"/>
        <v>15.840562709005678</v>
      </c>
      <c r="V2985" s="362">
        <f t="shared" si="3066"/>
        <v>21.72137161472363</v>
      </c>
      <c r="X2985" s="351"/>
    </row>
    <row r="2986" spans="3:24" ht="24.75" customHeight="1" x14ac:dyDescent="0.3">
      <c r="C2986" s="353">
        <f>ABS(E2986-Dashboard!$F$14)</f>
        <v>58.114527208116371</v>
      </c>
      <c r="D2986" s="350">
        <f t="shared" si="3039"/>
        <v>0.37134999999997437</v>
      </c>
      <c r="E2986" s="359" cm="1">
        <f t="array" ref="E2986">1000*SUM('DRE + DCF'!$L$36/M2986,'DRE + DCF'!$N$36:$V$36/N2986:V2986,F2986/V2986)/Dashboard!$F$11</f>
        <v>38.875472791883624</v>
      </c>
      <c r="F2986" s="359">
        <f t="shared" si="3037"/>
        <v>6906396.8662409615</v>
      </c>
      <c r="G2986" s="359">
        <f>'DRE + DCF'!$W$31</f>
        <v>2791623.3540418856</v>
      </c>
      <c r="H2986" s="359">
        <f>'DRE + DCF'!$W$32</f>
        <v>81081.931703745853</v>
      </c>
      <c r="I2986" s="359">
        <f>-H2986*('DRE + DCF'!$V$33+K2986)/'DRE + DCF'!$V$33</f>
        <v>-90858.801614444121</v>
      </c>
      <c r="J2986" s="359">
        <f>-'DRE + DCF'!$V$56*L2986</f>
        <v>-1188924.4255577971</v>
      </c>
      <c r="K2986" s="360">
        <f>(1+L2986)/(1+Ke!$O$12)-1</f>
        <v>2.0000000000000018E-2</v>
      </c>
      <c r="L2986" s="360">
        <f>'DRE + DCF'!$Y$31</f>
        <v>7.3550000000000004E-2</v>
      </c>
      <c r="M2986" s="361">
        <f>(1+D2986)^((5-Dashboard!$F$9)*3/12)</f>
        <v>1.2672468872736147</v>
      </c>
      <c r="N2986" s="361">
        <f t="shared" ref="N2986:V2986" si="3067">M2986*(1+$D2986)</f>
        <v>1.7378390188626389</v>
      </c>
      <c r="O2986" s="361">
        <f t="shared" si="3067"/>
        <v>2.3831855385172354</v>
      </c>
      <c r="P2986" s="361">
        <f t="shared" si="3067"/>
        <v>3.2681814882455495</v>
      </c>
      <c r="Q2986" s="361">
        <f t="shared" si="3067"/>
        <v>4.4818206839054504</v>
      </c>
      <c r="R2986" s="361">
        <f t="shared" si="3067"/>
        <v>6.1461447948736243</v>
      </c>
      <c r="S2986" s="361">
        <f t="shared" si="3067"/>
        <v>8.4285156644497867</v>
      </c>
      <c r="T2986" s="361">
        <f t="shared" si="3067"/>
        <v>11.558444956442999</v>
      </c>
      <c r="U2986" s="361">
        <f t="shared" si="3067"/>
        <v>15.85067349101781</v>
      </c>
      <c r="V2986" s="362">
        <f t="shared" si="3067"/>
        <v>21.736821091906865</v>
      </c>
      <c r="X2986" s="351"/>
    </row>
    <row r="2987" spans="3:24" ht="24.75" customHeight="1" x14ac:dyDescent="0.3">
      <c r="C2987" s="353">
        <f>ABS(E2987-Dashboard!$F$14)</f>
        <v>58.129978447386719</v>
      </c>
      <c r="D2987" s="350">
        <f t="shared" si="3039"/>
        <v>0.37144999999997436</v>
      </c>
      <c r="E2987" s="359" cm="1">
        <f t="array" ref="E2987">1000*SUM('DRE + DCF'!$L$36/M2987,'DRE + DCF'!$N$36:$V$36/N2987:V2987,F2987/V2987)/Dashboard!$F$11</f>
        <v>38.860021552613276</v>
      </c>
      <c r="F2987" s="359">
        <f t="shared" si="3037"/>
        <v>6904346.7169829588</v>
      </c>
      <c r="G2987" s="359">
        <f>'DRE + DCF'!$W$31</f>
        <v>2791623.3540418856</v>
      </c>
      <c r="H2987" s="359">
        <f>'DRE + DCF'!$W$32</f>
        <v>81081.931703745853</v>
      </c>
      <c r="I2987" s="359">
        <f>-H2987*('DRE + DCF'!$V$33+K2987)/'DRE + DCF'!$V$33</f>
        <v>-90858.801614444121</v>
      </c>
      <c r="J2987" s="359">
        <f>-'DRE + DCF'!$V$56*L2987</f>
        <v>-1188924.4255577971</v>
      </c>
      <c r="K2987" s="360">
        <f>(1+L2987)/(1+Ke!$O$12)-1</f>
        <v>2.0000000000000018E-2</v>
      </c>
      <c r="L2987" s="360">
        <f>'DRE + DCF'!$Y$31</f>
        <v>7.3550000000000004E-2</v>
      </c>
      <c r="M2987" s="361">
        <f>(1+D2987)^((5-Dashboard!$F$9)*3/12)</f>
        <v>1.2673161931767321</v>
      </c>
      <c r="N2987" s="361">
        <f t="shared" ref="N2987:V2987" si="3068">M2987*(1+$D2987)</f>
        <v>1.7380607931321965</v>
      </c>
      <c r="O2987" s="361">
        <f t="shared" si="3068"/>
        <v>2.3836634747411063</v>
      </c>
      <c r="P2987" s="361">
        <f t="shared" si="3068"/>
        <v>3.2690752724336289</v>
      </c>
      <c r="Q2987" s="361">
        <f t="shared" si="3068"/>
        <v>4.4833732823790164</v>
      </c>
      <c r="R2987" s="361">
        <f t="shared" si="3068"/>
        <v>6.148722288118587</v>
      </c>
      <c r="S2987" s="361">
        <f t="shared" si="3068"/>
        <v>8.4326651820400773</v>
      </c>
      <c r="T2987" s="361">
        <f t="shared" si="3068"/>
        <v>11.564978663908647</v>
      </c>
      <c r="U2987" s="361">
        <f t="shared" si="3068"/>
        <v>15.860789988617217</v>
      </c>
      <c r="V2987" s="362">
        <f t="shared" si="3068"/>
        <v>21.752280429888675</v>
      </c>
      <c r="X2987" s="351"/>
    </row>
    <row r="2988" spans="3:24" ht="24.75" customHeight="1" x14ac:dyDescent="0.3">
      <c r="C2988" s="353">
        <f>ABS(E2988-Dashboard!$F$14)</f>
        <v>58.145418390739657</v>
      </c>
      <c r="D2988" s="350">
        <f t="shared" si="3039"/>
        <v>0.37154999999997435</v>
      </c>
      <c r="E2988" s="359" cm="1">
        <f t="array" ref="E2988">1000*SUM('DRE + DCF'!$L$36/M2988,'DRE + DCF'!$N$36:$V$36/N2988:V2988,F2988/V2988)/Dashboard!$F$11</f>
        <v>38.844581609260338</v>
      </c>
      <c r="F2988" s="359">
        <f t="shared" si="3037"/>
        <v>6902297.7993380958</v>
      </c>
      <c r="G2988" s="359">
        <f>'DRE + DCF'!$W$31</f>
        <v>2791623.3540418856</v>
      </c>
      <c r="H2988" s="359">
        <f>'DRE + DCF'!$W$32</f>
        <v>81081.931703745853</v>
      </c>
      <c r="I2988" s="359">
        <f>-H2988*('DRE + DCF'!$V$33+K2988)/'DRE + DCF'!$V$33</f>
        <v>-90858.801614444121</v>
      </c>
      <c r="J2988" s="359">
        <f>-'DRE + DCF'!$V$56*L2988</f>
        <v>-1188924.4255577971</v>
      </c>
      <c r="K2988" s="360">
        <f>(1+L2988)/(1+Ke!$O$12)-1</f>
        <v>2.0000000000000018E-2</v>
      </c>
      <c r="L2988" s="360">
        <f>'DRE + DCF'!$Y$31</f>
        <v>7.3550000000000004E-2</v>
      </c>
      <c r="M2988" s="361">
        <f>(1+D2988)^((5-Dashboard!$F$9)*3/12)</f>
        <v>1.267385497816492</v>
      </c>
      <c r="N2988" s="361">
        <f t="shared" ref="N2988:V2988" si="3069">M2988*(1+$D2988)</f>
        <v>1.7382825795301771</v>
      </c>
      <c r="O2988" s="361">
        <f t="shared" si="3069"/>
        <v>2.3841414719545697</v>
      </c>
      <c r="P2988" s="361">
        <f t="shared" si="3069"/>
        <v>3.2699692358592287</v>
      </c>
      <c r="Q2988" s="361">
        <f t="shared" si="3069"/>
        <v>4.4849263054426407</v>
      </c>
      <c r="R2988" s="361">
        <f t="shared" si="3069"/>
        <v>6.1513006742297387</v>
      </c>
      <c r="S2988" s="361">
        <f t="shared" si="3069"/>
        <v>8.4368164397396406</v>
      </c>
      <c r="T2988" s="361">
        <f t="shared" si="3069"/>
        <v>11.571515587924686</v>
      </c>
      <c r="U2988" s="361">
        <f t="shared" si="3069"/>
        <v>15.870912204617806</v>
      </c>
      <c r="V2988" s="362">
        <f t="shared" si="3069"/>
        <v>21.767749634243145</v>
      </c>
      <c r="X2988" s="351"/>
    </row>
    <row r="2989" spans="3:24" ht="24.75" customHeight="1" x14ac:dyDescent="0.3">
      <c r="C2989" s="353">
        <f>ABS(E2989-Dashboard!$F$14)</f>
        <v>58.160847049728275</v>
      </c>
      <c r="D2989" s="350">
        <f t="shared" si="3039"/>
        <v>0.37164999999997433</v>
      </c>
      <c r="E2989" s="359" cm="1">
        <f t="array" ref="E2989">1000*SUM('DRE + DCF'!$L$36/M2989,'DRE + DCF'!$N$36:$V$36/N2989:V2989,F2989/V2989)/Dashboard!$F$11</f>
        <v>38.82915295027172</v>
      </c>
      <c r="F2989" s="359">
        <f t="shared" si="3037"/>
        <v>6900250.1121833716</v>
      </c>
      <c r="G2989" s="359">
        <f>'DRE + DCF'!$W$31</f>
        <v>2791623.3540418856</v>
      </c>
      <c r="H2989" s="359">
        <f>'DRE + DCF'!$W$32</f>
        <v>81081.931703745853</v>
      </c>
      <c r="I2989" s="359">
        <f>-H2989*('DRE + DCF'!$V$33+K2989)/'DRE + DCF'!$V$33</f>
        <v>-90858.801614444121</v>
      </c>
      <c r="J2989" s="359">
        <f>-'DRE + DCF'!$V$56*L2989</f>
        <v>-1188924.4255577971</v>
      </c>
      <c r="K2989" s="360">
        <f>(1+L2989)/(1+Ke!$O$12)-1</f>
        <v>2.0000000000000018E-2</v>
      </c>
      <c r="L2989" s="360">
        <f>'DRE + DCF'!$Y$31</f>
        <v>7.3550000000000004E-2</v>
      </c>
      <c r="M2989" s="361">
        <f>(1+D2989)^((5-Dashboard!$F$9)*3/12)</f>
        <v>1.2674548011930094</v>
      </c>
      <c r="N2989" s="361">
        <f t="shared" ref="N2989:V2989" si="3070">M2989*(1+$D2989)</f>
        <v>1.7385043780563587</v>
      </c>
      <c r="O2989" s="361">
        <f t="shared" si="3070"/>
        <v>2.3846195301609598</v>
      </c>
      <c r="P2989" s="361">
        <f t="shared" si="3070"/>
        <v>3.270863378545219</v>
      </c>
      <c r="Q2989" s="361">
        <f t="shared" si="3070"/>
        <v>4.4864797531814657</v>
      </c>
      <c r="R2989" s="361">
        <f t="shared" si="3070"/>
        <v>6.1538799534512423</v>
      </c>
      <c r="S2989" s="361">
        <f t="shared" si="3070"/>
        <v>8.4409694381512388</v>
      </c>
      <c r="T2989" s="361">
        <f t="shared" si="3070"/>
        <v>11.57805572983993</v>
      </c>
      <c r="U2989" s="361">
        <f t="shared" si="3070"/>
        <v>15.881040141834642</v>
      </c>
      <c r="V2989" s="362">
        <f t="shared" si="3070"/>
        <v>21.783228710547078</v>
      </c>
      <c r="X2989" s="351"/>
    </row>
    <row r="2990" spans="3:24" ht="24.75" customHeight="1" x14ac:dyDescent="0.3">
      <c r="C2990" s="353">
        <f>ABS(E2990-Dashboard!$F$14)</f>
        <v>58.176264435890644</v>
      </c>
      <c r="D2990" s="350">
        <f t="shared" si="3039"/>
        <v>0.37174999999997432</v>
      </c>
      <c r="E2990" s="359" cm="1">
        <f t="array" ref="E2990">1000*SUM('DRE + DCF'!$L$36/M2990,'DRE + DCF'!$N$36:$V$36/N2990:V2990,F2990/V2990)/Dashboard!$F$11</f>
        <v>38.813735564109351</v>
      </c>
      <c r="F2990" s="359">
        <f t="shared" si="3037"/>
        <v>6898203.6543971663</v>
      </c>
      <c r="G2990" s="359">
        <f>'DRE + DCF'!$W$31</f>
        <v>2791623.3540418856</v>
      </c>
      <c r="H2990" s="359">
        <f>'DRE + DCF'!$W$32</f>
        <v>81081.931703745853</v>
      </c>
      <c r="I2990" s="359">
        <f>-H2990*('DRE + DCF'!$V$33+K2990)/'DRE + DCF'!$V$33</f>
        <v>-90858.801614444121</v>
      </c>
      <c r="J2990" s="359">
        <f>-'DRE + DCF'!$V$56*L2990</f>
        <v>-1188924.4255577971</v>
      </c>
      <c r="K2990" s="360">
        <f>(1+L2990)/(1+Ke!$O$12)-1</f>
        <v>2.0000000000000018E-2</v>
      </c>
      <c r="L2990" s="360">
        <f>'DRE + DCF'!$Y$31</f>
        <v>7.3550000000000004E-2</v>
      </c>
      <c r="M2990" s="361">
        <f>(1+D2990)^((5-Dashboard!$F$9)*3/12)</f>
        <v>1.2675241033063995</v>
      </c>
      <c r="N2990" s="361">
        <f t="shared" ref="N2990:V2990" si="3071">M2990*(1+$D2990)</f>
        <v>1.738726188710521</v>
      </c>
      <c r="O2990" s="361">
        <f t="shared" si="3071"/>
        <v>2.3850976493636122</v>
      </c>
      <c r="P2990" s="361">
        <f t="shared" si="3071"/>
        <v>3.2717577005144736</v>
      </c>
      <c r="Q2990" s="361">
        <f t="shared" si="3071"/>
        <v>4.4880336256806448</v>
      </c>
      <c r="R2990" s="361">
        <f t="shared" si="3071"/>
        <v>6.1564601260273086</v>
      </c>
      <c r="S2990" s="361">
        <f t="shared" si="3071"/>
        <v>8.445124177877803</v>
      </c>
      <c r="T2990" s="361">
        <f t="shared" si="3071"/>
        <v>11.584599091003659</v>
      </c>
      <c r="U2990" s="361">
        <f t="shared" si="3071"/>
        <v>15.891173803083971</v>
      </c>
      <c r="V2990" s="362">
        <f t="shared" si="3071"/>
        <v>21.798717664380028</v>
      </c>
      <c r="X2990" s="351"/>
    </row>
    <row r="2991" spans="3:24" ht="24.75" customHeight="1" x14ac:dyDescent="0.3">
      <c r="C2991" s="353">
        <f>ABS(E2991-Dashboard!$F$14)</f>
        <v>58.191670560749813</v>
      </c>
      <c r="D2991" s="350">
        <f t="shared" si="3039"/>
        <v>0.37184999999997431</v>
      </c>
      <c r="E2991" s="359" cm="1">
        <f t="array" ref="E2991">1000*SUM('DRE + DCF'!$L$36/M2991,'DRE + DCF'!$N$36:$V$36/N2991:V2991,F2991/V2991)/Dashboard!$F$11</f>
        <v>38.798329439250182</v>
      </c>
      <c r="F2991" s="359">
        <f t="shared" si="3037"/>
        <v>6896158.4248592397</v>
      </c>
      <c r="G2991" s="359">
        <f>'DRE + DCF'!$W$31</f>
        <v>2791623.3540418856</v>
      </c>
      <c r="H2991" s="359">
        <f>'DRE + DCF'!$W$32</f>
        <v>81081.931703745853</v>
      </c>
      <c r="I2991" s="359">
        <f>-H2991*('DRE + DCF'!$V$33+K2991)/'DRE + DCF'!$V$33</f>
        <v>-90858.801614444121</v>
      </c>
      <c r="J2991" s="359">
        <f>-'DRE + DCF'!$V$56*L2991</f>
        <v>-1188924.4255577971</v>
      </c>
      <c r="K2991" s="360">
        <f>(1+L2991)/(1+Ke!$O$12)-1</f>
        <v>2.0000000000000018E-2</v>
      </c>
      <c r="L2991" s="360">
        <f>'DRE + DCF'!$Y$31</f>
        <v>7.3550000000000004E-2</v>
      </c>
      <c r="M2991" s="361">
        <f>(1+D2991)^((5-Dashboard!$F$9)*3/12)</f>
        <v>1.2675934041567771</v>
      </c>
      <c r="N2991" s="361">
        <f t="shared" ref="N2991:V2991" si="3072">M2991*(1+$D2991)</f>
        <v>1.738948011492442</v>
      </c>
      <c r="O2991" s="361">
        <f t="shared" si="3072"/>
        <v>2.385575829565862</v>
      </c>
      <c r="P2991" s="361">
        <f t="shared" si="3072"/>
        <v>3.2726522017898665</v>
      </c>
      <c r="Q2991" s="361">
        <f t="shared" si="3072"/>
        <v>4.4895879230253444</v>
      </c>
      <c r="R2991" s="361">
        <f t="shared" si="3072"/>
        <v>6.1590411922022028</v>
      </c>
      <c r="S2991" s="361">
        <f t="shared" si="3072"/>
        <v>8.449280659522433</v>
      </c>
      <c r="T2991" s="361">
        <f t="shared" si="3072"/>
        <v>11.591145672765633</v>
      </c>
      <c r="U2991" s="361">
        <f t="shared" si="3072"/>
        <v>15.901313191183235</v>
      </c>
      <c r="V2991" s="362">
        <f t="shared" si="3072"/>
        <v>21.81421650132431</v>
      </c>
      <c r="X2991" s="351"/>
    </row>
    <row r="2992" spans="3:24" ht="24.75" customHeight="1" x14ac:dyDescent="0.3">
      <c r="C2992" s="353">
        <f>ABS(E2992-Dashboard!$F$14)</f>
        <v>58.207065435813803</v>
      </c>
      <c r="D2992" s="350">
        <f t="shared" si="3039"/>
        <v>0.3719499999999743</v>
      </c>
      <c r="E2992" s="359" cm="1">
        <f t="array" ref="E2992">1000*SUM('DRE + DCF'!$L$36/M2992,'DRE + DCF'!$N$36:$V$36/N2992:V2992,F2992/V2992)/Dashboard!$F$11</f>
        <v>38.782934564186192</v>
      </c>
      <c r="F2992" s="359">
        <f t="shared" si="3037"/>
        <v>6894114.4224507269</v>
      </c>
      <c r="G2992" s="359">
        <f>'DRE + DCF'!$W$31</f>
        <v>2791623.3540418856</v>
      </c>
      <c r="H2992" s="359">
        <f>'DRE + DCF'!$W$32</f>
        <v>81081.931703745853</v>
      </c>
      <c r="I2992" s="359">
        <f>-H2992*('DRE + DCF'!$V$33+K2992)/'DRE + DCF'!$V$33</f>
        <v>-90858.801614444121</v>
      </c>
      <c r="J2992" s="359">
        <f>-'DRE + DCF'!$V$56*L2992</f>
        <v>-1188924.4255577971</v>
      </c>
      <c r="K2992" s="360">
        <f>(1+L2992)/(1+Ke!$O$12)-1</f>
        <v>2.0000000000000018E-2</v>
      </c>
      <c r="L2992" s="360">
        <f>'DRE + DCF'!$Y$31</f>
        <v>7.3550000000000004E-2</v>
      </c>
      <c r="M2992" s="361">
        <f>(1+D2992)^((5-Dashboard!$F$9)*3/12)</f>
        <v>1.2676627037442578</v>
      </c>
      <c r="N2992" s="361">
        <f t="shared" ref="N2992:V2992" si="3073">M2992*(1+$D2992)</f>
        <v>1.7391698464019019</v>
      </c>
      <c r="O2992" s="361">
        <f t="shared" si="3073"/>
        <v>2.3860540707710443</v>
      </c>
      <c r="P2992" s="361">
        <f t="shared" si="3073"/>
        <v>3.2735468823942728</v>
      </c>
      <c r="Q2992" s="361">
        <f t="shared" si="3073"/>
        <v>4.4911426453007381</v>
      </c>
      <c r="R2992" s="361">
        <f t="shared" si="3073"/>
        <v>6.1616231522202316</v>
      </c>
      <c r="S2992" s="361">
        <f t="shared" si="3073"/>
        <v>8.4534388836883885</v>
      </c>
      <c r="T2992" s="361">
        <f t="shared" si="3073"/>
        <v>11.597695476476067</v>
      </c>
      <c r="U2992" s="361">
        <f t="shared" si="3073"/>
        <v>15.911458308951042</v>
      </c>
      <c r="V2992" s="362">
        <f t="shared" si="3073"/>
        <v>21.829725226964971</v>
      </c>
      <c r="X2992" s="351"/>
    </row>
    <row r="2993" spans="3:24" ht="24.75" customHeight="1" x14ac:dyDescent="0.3">
      <c r="C2993" s="353">
        <f>ABS(E2993-Dashboard!$F$14)</f>
        <v>58.222449072575721</v>
      </c>
      <c r="D2993" s="350">
        <f t="shared" si="3039"/>
        <v>0.37204999999997429</v>
      </c>
      <c r="E2993" s="359" cm="1">
        <f t="array" ref="E2993">1000*SUM('DRE + DCF'!$L$36/M2993,'DRE + DCF'!$N$36:$V$36/N2993:V2993,F2993/V2993)/Dashboard!$F$11</f>
        <v>38.767550927424274</v>
      </c>
      <c r="F2993" s="359">
        <f t="shared" si="3037"/>
        <v>6892071.6460541403</v>
      </c>
      <c r="G2993" s="359">
        <f>'DRE + DCF'!$W$31</f>
        <v>2791623.3540418856</v>
      </c>
      <c r="H2993" s="359">
        <f>'DRE + DCF'!$W$32</f>
        <v>81081.931703745853</v>
      </c>
      <c r="I2993" s="359">
        <f>-H2993*('DRE + DCF'!$V$33+K2993)/'DRE + DCF'!$V$33</f>
        <v>-90858.801614444121</v>
      </c>
      <c r="J2993" s="359">
        <f>-'DRE + DCF'!$V$56*L2993</f>
        <v>-1188924.4255577971</v>
      </c>
      <c r="K2993" s="360">
        <f>(1+L2993)/(1+Ke!$O$12)-1</f>
        <v>2.0000000000000018E-2</v>
      </c>
      <c r="L2993" s="360">
        <f>'DRE + DCF'!$Y$31</f>
        <v>7.3550000000000004E-2</v>
      </c>
      <c r="M2993" s="361">
        <f>(1+D2993)^((5-Dashboard!$F$9)*3/12)</f>
        <v>1.2677320020689564</v>
      </c>
      <c r="N2993" s="361">
        <f t="shared" ref="N2993:V2993" si="3074">M2993*(1+$D2993)</f>
        <v>1.7393916934386791</v>
      </c>
      <c r="O2993" s="361">
        <f t="shared" si="3074"/>
        <v>2.386532372982495</v>
      </c>
      <c r="P2993" s="361">
        <f t="shared" si="3074"/>
        <v>3.2744417423505707</v>
      </c>
      <c r="Q2993" s="361">
        <f t="shared" si="3074"/>
        <v>4.4926977925920166</v>
      </c>
      <c r="R2993" s="361">
        <f t="shared" si="3074"/>
        <v>6.1642060063257604</v>
      </c>
      <c r="S2993" s="361">
        <f t="shared" si="3074"/>
        <v>8.4575988509791014</v>
      </c>
      <c r="T2993" s="361">
        <f t="shared" si="3074"/>
        <v>11.604248503485659</v>
      </c>
      <c r="U2993" s="361">
        <f t="shared" si="3074"/>
        <v>15.921609159207199</v>
      </c>
      <c r="V2993" s="362">
        <f t="shared" si="3074"/>
        <v>21.845243846889826</v>
      </c>
      <c r="X2993" s="351"/>
    </row>
    <row r="2994" spans="3:24" ht="24.75" customHeight="1" x14ac:dyDescent="0.3">
      <c r="C2994" s="353">
        <f>ABS(E2994-Dashboard!$F$14)</f>
        <v>58.23782148251366</v>
      </c>
      <c r="D2994" s="350">
        <f t="shared" si="3039"/>
        <v>0.37214999999997428</v>
      </c>
      <c r="E2994" s="359" cm="1">
        <f t="array" ref="E2994">1000*SUM('DRE + DCF'!$L$36/M2994,'DRE + DCF'!$N$36:$V$36/N2994:V2994,F2994/V2994)/Dashboard!$F$11</f>
        <v>38.752178517486335</v>
      </c>
      <c r="F2994" s="359">
        <f t="shared" si="3037"/>
        <v>6890030.0945533626</v>
      </c>
      <c r="G2994" s="359">
        <f>'DRE + DCF'!$W$31</f>
        <v>2791623.3540418856</v>
      </c>
      <c r="H2994" s="359">
        <f>'DRE + DCF'!$W$32</f>
        <v>81081.931703745853</v>
      </c>
      <c r="I2994" s="359">
        <f>-H2994*('DRE + DCF'!$V$33+K2994)/'DRE + DCF'!$V$33</f>
        <v>-90858.801614444121</v>
      </c>
      <c r="J2994" s="359">
        <f>-'DRE + DCF'!$V$56*L2994</f>
        <v>-1188924.4255577971</v>
      </c>
      <c r="K2994" s="360">
        <f>(1+L2994)/(1+Ke!$O$12)-1</f>
        <v>2.0000000000000018E-2</v>
      </c>
      <c r="L2994" s="360">
        <f>'DRE + DCF'!$Y$31</f>
        <v>7.3550000000000004E-2</v>
      </c>
      <c r="M2994" s="361">
        <f>(1+D2994)^((5-Dashboard!$F$9)*3/12)</f>
        <v>1.2678012991309879</v>
      </c>
      <c r="N2994" s="361">
        <f t="shared" ref="N2994:V2994" si="3075">M2994*(1+$D2994)</f>
        <v>1.7396135526025525</v>
      </c>
      <c r="O2994" s="361">
        <f t="shared" si="3075"/>
        <v>2.3870107362035475</v>
      </c>
      <c r="P2994" s="361">
        <f t="shared" si="3075"/>
        <v>3.2753367816816361</v>
      </c>
      <c r="Q2994" s="361">
        <f t="shared" si="3075"/>
        <v>4.494253364984373</v>
      </c>
      <c r="R2994" s="361">
        <f t="shared" si="3075"/>
        <v>6.1667897547631911</v>
      </c>
      <c r="S2994" s="361">
        <f t="shared" si="3075"/>
        <v>8.4617605619981546</v>
      </c>
      <c r="T2994" s="361">
        <f t="shared" si="3075"/>
        <v>11.61080475514555</v>
      </c>
      <c r="U2994" s="361">
        <f t="shared" si="3075"/>
        <v>15.931765744772667</v>
      </c>
      <c r="V2994" s="362">
        <f t="shared" si="3075"/>
        <v>21.860772366689403</v>
      </c>
      <c r="X2994" s="351"/>
    </row>
    <row r="2995" spans="3:24" ht="24.75" customHeight="1" x14ac:dyDescent="0.3">
      <c r="C2995" s="353">
        <f>ABS(E2995-Dashboard!$F$14)</f>
        <v>58.253182677090862</v>
      </c>
      <c r="D2995" s="350">
        <f t="shared" si="3039"/>
        <v>0.37224999999997427</v>
      </c>
      <c r="E2995" s="359" cm="1">
        <f t="array" ref="E2995">1000*SUM('DRE + DCF'!$L$36/M2995,'DRE + DCF'!$N$36:$V$36/N2995:V2995,F2995/V2995)/Dashboard!$F$11</f>
        <v>38.736817322909133</v>
      </c>
      <c r="F2995" s="359">
        <f t="shared" si="3037"/>
        <v>6887989.7668336462</v>
      </c>
      <c r="G2995" s="359">
        <f>'DRE + DCF'!$W$31</f>
        <v>2791623.3540418856</v>
      </c>
      <c r="H2995" s="359">
        <f>'DRE + DCF'!$W$32</f>
        <v>81081.931703745853</v>
      </c>
      <c r="I2995" s="359">
        <f>-H2995*('DRE + DCF'!$V$33+K2995)/'DRE + DCF'!$V$33</f>
        <v>-90858.801614444121</v>
      </c>
      <c r="J2995" s="359">
        <f>-'DRE + DCF'!$V$56*L2995</f>
        <v>-1188924.4255577971</v>
      </c>
      <c r="K2995" s="360">
        <f>(1+L2995)/(1+Ke!$O$12)-1</f>
        <v>2.0000000000000018E-2</v>
      </c>
      <c r="L2995" s="360">
        <f>'DRE + DCF'!$Y$31</f>
        <v>7.3550000000000004E-2</v>
      </c>
      <c r="M2995" s="361">
        <f>(1+D2995)^((5-Dashboard!$F$9)*3/12)</f>
        <v>1.2678705949304674</v>
      </c>
      <c r="N2995" s="361">
        <f t="shared" ref="N2995:V2995" si="3076">M2995*(1+$D2995)</f>
        <v>1.7398354238933011</v>
      </c>
      <c r="O2995" s="361">
        <f t="shared" si="3076"/>
        <v>2.3874891604375374</v>
      </c>
      <c r="P2995" s="361">
        <f t="shared" si="3076"/>
        <v>3.2762320004103493</v>
      </c>
      <c r="Q2995" s="361">
        <f t="shared" si="3076"/>
        <v>4.4958093625630173</v>
      </c>
      <c r="R2995" s="361">
        <f t="shared" si="3076"/>
        <v>6.1693743977769842</v>
      </c>
      <c r="S2995" s="361">
        <f t="shared" si="3076"/>
        <v>8.4659240173493071</v>
      </c>
      <c r="T2995" s="361">
        <f t="shared" si="3076"/>
        <v>11.617364232807368</v>
      </c>
      <c r="U2995" s="361">
        <f t="shared" si="3076"/>
        <v>15.941928068469611</v>
      </c>
      <c r="V2995" s="362">
        <f t="shared" si="3076"/>
        <v>21.876310791957014</v>
      </c>
      <c r="X2995" s="351"/>
    </row>
    <row r="2996" spans="3:24" ht="24.75" customHeight="1" x14ac:dyDescent="0.3">
      <c r="C2996" s="353">
        <f>ABS(E2996-Dashboard!$F$14)</f>
        <v>58.268532667755615</v>
      </c>
      <c r="D2996" s="350">
        <f t="shared" si="3039"/>
        <v>0.37234999999997426</v>
      </c>
      <c r="E2996" s="359" cm="1">
        <f t="array" ref="E2996">1000*SUM('DRE + DCF'!$L$36/M2996,'DRE + DCF'!$N$36:$V$36/N2996:V2996,F2996/V2996)/Dashboard!$F$11</f>
        <v>38.72146733224438</v>
      </c>
      <c r="F2996" s="359">
        <f t="shared" si="3037"/>
        <v>6885950.6617816165</v>
      </c>
      <c r="G2996" s="359">
        <f>'DRE + DCF'!$W$31</f>
        <v>2791623.3540418856</v>
      </c>
      <c r="H2996" s="359">
        <f>'DRE + DCF'!$W$32</f>
        <v>81081.931703745853</v>
      </c>
      <c r="I2996" s="359">
        <f>-H2996*('DRE + DCF'!$V$33+K2996)/'DRE + DCF'!$V$33</f>
        <v>-90858.801614444121</v>
      </c>
      <c r="J2996" s="359">
        <f>-'DRE + DCF'!$V$56*L2996</f>
        <v>-1188924.4255577971</v>
      </c>
      <c r="K2996" s="360">
        <f>(1+L2996)/(1+Ke!$O$12)-1</f>
        <v>2.0000000000000018E-2</v>
      </c>
      <c r="L2996" s="360">
        <f>'DRE + DCF'!$Y$31</f>
        <v>7.3550000000000004E-2</v>
      </c>
      <c r="M2996" s="361">
        <f>(1+D2996)^((5-Dashboard!$F$9)*3/12)</f>
        <v>1.2679398894675098</v>
      </c>
      <c r="N2996" s="361">
        <f t="shared" ref="N2996:V2996" si="3077">M2996*(1+$D2996)</f>
        <v>1.7400573073107044</v>
      </c>
      <c r="O2996" s="361">
        <f t="shared" si="3077"/>
        <v>2.3879676456878003</v>
      </c>
      <c r="P2996" s="361">
        <f t="shared" si="3077"/>
        <v>3.2771273985595912</v>
      </c>
      <c r="Q2996" s="361">
        <f t="shared" si="3077"/>
        <v>4.4973657854131703</v>
      </c>
      <c r="R2996" s="361">
        <f t="shared" si="3077"/>
        <v>6.1719599356116479</v>
      </c>
      <c r="S2996" s="361">
        <f t="shared" si="3077"/>
        <v>8.4700892176364864</v>
      </c>
      <c r="T2996" s="361">
        <f t="shared" si="3077"/>
        <v>11.623926937823214</v>
      </c>
      <c r="U2996" s="361">
        <f t="shared" si="3077"/>
        <v>15.952096133121387</v>
      </c>
      <c r="V2996" s="362">
        <f t="shared" si="3077"/>
        <v>21.891859128288722</v>
      </c>
      <c r="X2996" s="351"/>
    </row>
    <row r="2997" spans="3:24" ht="24.75" customHeight="1" x14ac:dyDescent="0.3">
      <c r="C2997" s="353">
        <f>ABS(E2997-Dashboard!$F$14)</f>
        <v>58.283871465941381</v>
      </c>
      <c r="D2997" s="350">
        <f t="shared" si="3039"/>
        <v>0.37244999999997425</v>
      </c>
      <c r="E2997" s="359" cm="1">
        <f t="array" ref="E2997">1000*SUM('DRE + DCF'!$L$36/M2997,'DRE + DCF'!$N$36:$V$36/N2997:V2997,F2997/V2997)/Dashboard!$F$11</f>
        <v>38.706128534058614</v>
      </c>
      <c r="F2997" s="359">
        <f t="shared" si="3037"/>
        <v>6883912.7782852594</v>
      </c>
      <c r="G2997" s="359">
        <f>'DRE + DCF'!$W$31</f>
        <v>2791623.3540418856</v>
      </c>
      <c r="H2997" s="359">
        <f>'DRE + DCF'!$W$32</f>
        <v>81081.931703745853</v>
      </c>
      <c r="I2997" s="359">
        <f>-H2997*('DRE + DCF'!$V$33+K2997)/'DRE + DCF'!$V$33</f>
        <v>-90858.801614444121</v>
      </c>
      <c r="J2997" s="359">
        <f>-'DRE + DCF'!$V$56*L2997</f>
        <v>-1188924.4255577971</v>
      </c>
      <c r="K2997" s="360">
        <f>(1+L2997)/(1+Ke!$O$12)-1</f>
        <v>2.0000000000000018E-2</v>
      </c>
      <c r="L2997" s="360">
        <f>'DRE + DCF'!$Y$31</f>
        <v>7.3550000000000004E-2</v>
      </c>
      <c r="M2997" s="361">
        <f>(1+D2997)^((5-Dashboard!$F$9)*3/12)</f>
        <v>1.2680091827422302</v>
      </c>
      <c r="N2997" s="361">
        <f t="shared" ref="N2997:V2997" si="3078">M2997*(1+$D2997)</f>
        <v>1.7402792028545411</v>
      </c>
      <c r="O2997" s="361">
        <f t="shared" si="3078"/>
        <v>2.3884461919576698</v>
      </c>
      <c r="P2997" s="361">
        <f t="shared" si="3078"/>
        <v>3.2780229761522421</v>
      </c>
      <c r="Q2997" s="361">
        <f t="shared" si="3078"/>
        <v>4.4989226336200598</v>
      </c>
      <c r="R2997" s="361">
        <f t="shared" si="3078"/>
        <v>6.1745463685117352</v>
      </c>
      <c r="S2997" s="361">
        <f t="shared" si="3078"/>
        <v>8.474256163463771</v>
      </c>
      <c r="T2997" s="361">
        <f t="shared" si="3078"/>
        <v>11.630492871545634</v>
      </c>
      <c r="U2997" s="361">
        <f t="shared" si="3078"/>
        <v>15.962269941552506</v>
      </c>
      <c r="V2997" s="362">
        <f t="shared" si="3078"/>
        <v>21.907417381283324</v>
      </c>
      <c r="X2997" s="351"/>
    </row>
    <row r="2998" spans="3:24" ht="24.75" customHeight="1" x14ac:dyDescent="0.3">
      <c r="C2998" s="353">
        <f>ABS(E2998-Dashboard!$F$14)</f>
        <v>58.299199083066725</v>
      </c>
      <c r="D2998" s="350">
        <f t="shared" si="3039"/>
        <v>0.37254999999997424</v>
      </c>
      <c r="E2998" s="359" cm="1">
        <f t="array" ref="E2998">1000*SUM('DRE + DCF'!$L$36/M2998,'DRE + DCF'!$N$36:$V$36/N2998:V2998,F2998/V2998)/Dashboard!$F$11</f>
        <v>38.69080091693327</v>
      </c>
      <c r="F2998" s="359">
        <f t="shared" si="3037"/>
        <v>6881876.115233928</v>
      </c>
      <c r="G2998" s="359">
        <f>'DRE + DCF'!$W$31</f>
        <v>2791623.3540418856</v>
      </c>
      <c r="H2998" s="359">
        <f>'DRE + DCF'!$W$32</f>
        <v>81081.931703745853</v>
      </c>
      <c r="I2998" s="359">
        <f>-H2998*('DRE + DCF'!$V$33+K2998)/'DRE + DCF'!$V$33</f>
        <v>-90858.801614444121</v>
      </c>
      <c r="J2998" s="359">
        <f>-'DRE + DCF'!$V$56*L2998</f>
        <v>-1188924.4255577971</v>
      </c>
      <c r="K2998" s="360">
        <f>(1+L2998)/(1+Ke!$O$12)-1</f>
        <v>2.0000000000000018E-2</v>
      </c>
      <c r="L2998" s="360">
        <f>'DRE + DCF'!$Y$31</f>
        <v>7.3550000000000004E-2</v>
      </c>
      <c r="M2998" s="361">
        <f>(1+D2998)^((5-Dashboard!$F$9)*3/12)</f>
        <v>1.2680784747547436</v>
      </c>
      <c r="N2998" s="361">
        <f t="shared" ref="N2998:V2998" si="3079">M2998*(1+$D2998)</f>
        <v>1.7405011105245904</v>
      </c>
      <c r="O2998" s="361">
        <f t="shared" si="3079"/>
        <v>2.3889247992504816</v>
      </c>
      <c r="P2998" s="361">
        <f t="shared" si="3079"/>
        <v>3.2789187332111869</v>
      </c>
      <c r="Q2998" s="361">
        <f t="shared" si="3079"/>
        <v>4.5004799072689297</v>
      </c>
      <c r="R2998" s="361">
        <f t="shared" si="3079"/>
        <v>6.1771336967218531</v>
      </c>
      <c r="S2998" s="361">
        <f t="shared" si="3079"/>
        <v>8.4784248554354207</v>
      </c>
      <c r="T2998" s="361">
        <f t="shared" si="3079"/>
        <v>11.637062035327668</v>
      </c>
      <c r="U2998" s="361">
        <f t="shared" si="3079"/>
        <v>15.972449496588691</v>
      </c>
      <c r="V2998" s="362">
        <f t="shared" si="3079"/>
        <v>21.922985556542397</v>
      </c>
      <c r="X2998" s="351"/>
    </row>
    <row r="2999" spans="3:24" ht="24.75" customHeight="1" x14ac:dyDescent="0.3">
      <c r="C2999" s="353">
        <f>ABS(E2999-Dashboard!$F$14)</f>
        <v>58.314515530535367</v>
      </c>
      <c r="D2999" s="350">
        <f t="shared" si="3039"/>
        <v>0.37264999999997422</v>
      </c>
      <c r="E2999" s="359" cm="1">
        <f t="array" ref="E2999">1000*SUM('DRE + DCF'!$L$36/M2999,'DRE + DCF'!$N$36:$V$36/N2999:V2999,F2999/V2999)/Dashboard!$F$11</f>
        <v>38.675484469464628</v>
      </c>
      <c r="F2999" s="359">
        <f t="shared" si="3037"/>
        <v>6879840.6715183361</v>
      </c>
      <c r="G2999" s="359">
        <f>'DRE + DCF'!$W$31</f>
        <v>2791623.3540418856</v>
      </c>
      <c r="H2999" s="359">
        <f>'DRE + DCF'!$W$32</f>
        <v>81081.931703745853</v>
      </c>
      <c r="I2999" s="359">
        <f>-H2999*('DRE + DCF'!$V$33+K2999)/'DRE + DCF'!$V$33</f>
        <v>-90858.801614444121</v>
      </c>
      <c r="J2999" s="359">
        <f>-'DRE + DCF'!$V$56*L2999</f>
        <v>-1188924.4255577971</v>
      </c>
      <c r="K2999" s="360">
        <f>(1+L2999)/(1+Ke!$O$12)-1</f>
        <v>2.0000000000000018E-2</v>
      </c>
      <c r="L2999" s="360">
        <f>'DRE + DCF'!$Y$31</f>
        <v>7.3550000000000004E-2</v>
      </c>
      <c r="M2999" s="361">
        <f>(1+D2999)^((5-Dashboard!$F$9)*3/12)</f>
        <v>1.2681477655051647</v>
      </c>
      <c r="N2999" s="361">
        <f t="shared" ref="N2999:V2999" si="3080">M2999*(1+$D2999)</f>
        <v>1.7407230303206316</v>
      </c>
      <c r="O2999" s="361">
        <f t="shared" si="3080"/>
        <v>2.3894034675695699</v>
      </c>
      <c r="P2999" s="361">
        <f t="shared" si="3080"/>
        <v>3.2798146697593085</v>
      </c>
      <c r="Q2999" s="361">
        <f t="shared" si="3080"/>
        <v>4.5020376064450298</v>
      </c>
      <c r="R2999" s="361">
        <f t="shared" si="3080"/>
        <v>6.1797219204866538</v>
      </c>
      <c r="S2999" s="361">
        <f t="shared" si="3080"/>
        <v>8.4825952941558462</v>
      </c>
      <c r="T2999" s="361">
        <f t="shared" si="3080"/>
        <v>11.643634430522804</v>
      </c>
      <c r="U2999" s="361">
        <f t="shared" si="3080"/>
        <v>15.982634801056825</v>
      </c>
      <c r="V2999" s="362">
        <f t="shared" si="3080"/>
        <v>21.938563659670237</v>
      </c>
      <c r="X2999" s="351"/>
    </row>
    <row r="3000" spans="3:24" ht="24.75" customHeight="1" x14ac:dyDescent="0.3">
      <c r="C3000" s="353">
        <f>ABS(E3000-Dashboard!$F$14)</f>
        <v>58.329820819736327</v>
      </c>
      <c r="D3000" s="350">
        <f t="shared" si="3039"/>
        <v>0.37274999999997421</v>
      </c>
      <c r="E3000" s="359" cm="1">
        <f t="array" ref="E3000">1000*SUM('DRE + DCF'!$L$36/M3000,'DRE + DCF'!$N$36:$V$36/N3000:V3000,F3000/V3000)/Dashboard!$F$11</f>
        <v>38.660179180263668</v>
      </c>
      <c r="F3000" s="359">
        <f t="shared" si="3037"/>
        <v>6877806.446030559</v>
      </c>
      <c r="G3000" s="359">
        <f>'DRE + DCF'!$W$31</f>
        <v>2791623.3540418856</v>
      </c>
      <c r="H3000" s="359">
        <f>'DRE + DCF'!$W$32</f>
        <v>81081.931703745853</v>
      </c>
      <c r="I3000" s="359">
        <f>-H3000*('DRE + DCF'!$V$33+K3000)/'DRE + DCF'!$V$33</f>
        <v>-90858.801614444121</v>
      </c>
      <c r="J3000" s="359">
        <f>-'DRE + DCF'!$V$56*L3000</f>
        <v>-1188924.4255577971</v>
      </c>
      <c r="K3000" s="360">
        <f>(1+L3000)/(1+Ke!$O$12)-1</f>
        <v>2.0000000000000018E-2</v>
      </c>
      <c r="L3000" s="360">
        <f>'DRE + DCF'!$Y$31</f>
        <v>7.3550000000000004E-2</v>
      </c>
      <c r="M3000" s="361">
        <f>(1+D3000)^((5-Dashboard!$F$9)*3/12)</f>
        <v>1.2682170549936087</v>
      </c>
      <c r="N3000" s="361">
        <f t="shared" ref="N3000:V3000" si="3081">M3000*(1+$D3000)</f>
        <v>1.7409449622424435</v>
      </c>
      <c r="O3000" s="361">
        <f t="shared" si="3081"/>
        <v>2.3898821969182693</v>
      </c>
      <c r="P3000" s="361">
        <f t="shared" si="3081"/>
        <v>3.2807107858194926</v>
      </c>
      <c r="Q3000" s="361">
        <f t="shared" si="3081"/>
        <v>4.5035957312336237</v>
      </c>
      <c r="R3000" s="361">
        <f t="shared" si="3081"/>
        <v>6.1823110400508403</v>
      </c>
      <c r="S3000" s="361">
        <f t="shared" si="3081"/>
        <v>8.4867674802296307</v>
      </c>
      <c r="T3000" s="361">
        <f t="shared" si="3081"/>
        <v>11.650210058485007</v>
      </c>
      <c r="U3000" s="361">
        <f t="shared" si="3081"/>
        <v>15.992825857784991</v>
      </c>
      <c r="V3000" s="362">
        <f t="shared" si="3081"/>
        <v>21.954151696273932</v>
      </c>
      <c r="X3000" s="351"/>
    </row>
    <row r="3001" spans="3:24" ht="24.75" customHeight="1" x14ac:dyDescent="0.3">
      <c r="C3001" s="353">
        <f>ABS(E3001-Dashboard!$F$14)</f>
        <v>58.345114962043702</v>
      </c>
      <c r="D3001" s="350">
        <f t="shared" si="3039"/>
        <v>0.3728499999999742</v>
      </c>
      <c r="E3001" s="359" cm="1">
        <f t="array" ref="E3001">1000*SUM('DRE + DCF'!$L$36/M3001,'DRE + DCF'!$N$36:$V$36/N3001:V3001,F3001/V3001)/Dashboard!$F$11</f>
        <v>38.644885037956293</v>
      </c>
      <c r="F3001" s="359">
        <f t="shared" si="3037"/>
        <v>6875773.4376640264</v>
      </c>
      <c r="G3001" s="359">
        <f>'DRE + DCF'!$W$31</f>
        <v>2791623.3540418856</v>
      </c>
      <c r="H3001" s="359">
        <f>'DRE + DCF'!$W$32</f>
        <v>81081.931703745853</v>
      </c>
      <c r="I3001" s="359">
        <f>-H3001*('DRE + DCF'!$V$33+K3001)/'DRE + DCF'!$V$33</f>
        <v>-90858.801614444121</v>
      </c>
      <c r="J3001" s="359">
        <f>-'DRE + DCF'!$V$56*L3001</f>
        <v>-1188924.4255577971</v>
      </c>
      <c r="K3001" s="360">
        <f>(1+L3001)/(1+Ke!$O$12)-1</f>
        <v>2.0000000000000018E-2</v>
      </c>
      <c r="L3001" s="360">
        <f>'DRE + DCF'!$Y$31</f>
        <v>7.3550000000000004E-2</v>
      </c>
      <c r="M3001" s="361">
        <f>(1+D3001)^((5-Dashboard!$F$9)*3/12)</f>
        <v>1.2682863432201905</v>
      </c>
      <c r="N3001" s="361">
        <f t="shared" ref="N3001:V3001" si="3082">M3001*(1+$D3001)</f>
        <v>1.7411669062898059</v>
      </c>
      <c r="O3001" s="361">
        <f t="shared" si="3082"/>
        <v>2.390360987299915</v>
      </c>
      <c r="P3001" s="361">
        <f t="shared" si="3082"/>
        <v>3.2816070814146263</v>
      </c>
      <c r="Q3001" s="361">
        <f t="shared" si="3082"/>
        <v>4.5051542817199852</v>
      </c>
      <c r="R3001" s="361">
        <f t="shared" si="3082"/>
        <v>6.1849010556591653</v>
      </c>
      <c r="S3001" s="361">
        <f t="shared" si="3082"/>
        <v>8.4909414142615258</v>
      </c>
      <c r="T3001" s="361">
        <f t="shared" si="3082"/>
        <v>11.656788920568717</v>
      </c>
      <c r="U3001" s="361">
        <f t="shared" si="3082"/>
        <v>16.003022669602462</v>
      </c>
      <c r="V3001" s="362">
        <f t="shared" si="3082"/>
        <v>21.969749671963328</v>
      </c>
      <c r="X3001" s="351"/>
    </row>
    <row r="3002" spans="3:24" ht="24.75" customHeight="1" x14ac:dyDescent="0.3">
      <c r="C3002" s="353">
        <f>ABS(E3002-Dashboard!$F$14)</f>
        <v>58.360397968816933</v>
      </c>
      <c r="D3002" s="350">
        <f t="shared" si="3039"/>
        <v>0.37294999999997419</v>
      </c>
      <c r="E3002" s="359" cm="1">
        <f t="array" ref="E3002">1000*SUM('DRE + DCF'!$L$36/M3002,'DRE + DCF'!$N$36:$V$36/N3002:V3002,F3002/V3002)/Dashboard!$F$11</f>
        <v>38.629602031183062</v>
      </c>
      <c r="F3002" s="359">
        <f t="shared" si="3037"/>
        <v>6873741.6453135274</v>
      </c>
      <c r="G3002" s="359">
        <f>'DRE + DCF'!$W$31</f>
        <v>2791623.3540418856</v>
      </c>
      <c r="H3002" s="359">
        <f>'DRE + DCF'!$W$32</f>
        <v>81081.931703745853</v>
      </c>
      <c r="I3002" s="359">
        <f>-H3002*('DRE + DCF'!$V$33+K3002)/'DRE + DCF'!$V$33</f>
        <v>-90858.801614444121</v>
      </c>
      <c r="J3002" s="359">
        <f>-'DRE + DCF'!$V$56*L3002</f>
        <v>-1188924.4255577971</v>
      </c>
      <c r="K3002" s="360">
        <f>(1+L3002)/(1+Ke!$O$12)-1</f>
        <v>2.0000000000000018E-2</v>
      </c>
      <c r="L3002" s="360">
        <f>'DRE + DCF'!$Y$31</f>
        <v>7.3550000000000004E-2</v>
      </c>
      <c r="M3002" s="361">
        <f>(1+D3002)^((5-Dashboard!$F$9)*3/12)</f>
        <v>1.2683556301850247</v>
      </c>
      <c r="N3002" s="361">
        <f t="shared" ref="N3002:V3002" si="3083">M3002*(1+$D3002)</f>
        <v>1.7413888624624969</v>
      </c>
      <c r="O3002" s="361">
        <f t="shared" si="3083"/>
        <v>2.3908398387178402</v>
      </c>
      <c r="P3002" s="361">
        <f t="shared" si="3083"/>
        <v>3.2825035565675971</v>
      </c>
      <c r="Q3002" s="361">
        <f t="shared" si="3083"/>
        <v>4.5067132579893974</v>
      </c>
      <c r="R3002" s="361">
        <f t="shared" si="3083"/>
        <v>6.1874919675564266</v>
      </c>
      <c r="S3002" s="361">
        <f t="shared" si="3083"/>
        <v>8.4951170968564362</v>
      </c>
      <c r="T3002" s="361">
        <f t="shared" si="3083"/>
        <v>11.663371018128824</v>
      </c>
      <c r="U3002" s="361">
        <f t="shared" si="3083"/>
        <v>16.013225239339668</v>
      </c>
      <c r="V3002" s="362">
        <f t="shared" si="3083"/>
        <v>21.985357592350983</v>
      </c>
      <c r="X3002" s="351"/>
    </row>
    <row r="3003" spans="3:24" ht="24.75" customHeight="1" x14ac:dyDescent="0.3">
      <c r="C3003" s="353">
        <f>ABS(E3003-Dashboard!$F$14)</f>
        <v>58.37566985140068</v>
      </c>
      <c r="D3003" s="350">
        <f t="shared" si="3039"/>
        <v>0.37304999999997418</v>
      </c>
      <c r="E3003" s="359" cm="1">
        <f t="array" ref="E3003">1000*SUM('DRE + DCF'!$L$36/M3003,'DRE + DCF'!$N$36:$V$36/N3003:V3003,F3003/V3003)/Dashboard!$F$11</f>
        <v>38.614330148599315</v>
      </c>
      <c r="F3003" s="359">
        <f t="shared" si="3037"/>
        <v>6871711.0678752027</v>
      </c>
      <c r="G3003" s="359">
        <f>'DRE + DCF'!$W$31</f>
        <v>2791623.3540418856</v>
      </c>
      <c r="H3003" s="359">
        <f>'DRE + DCF'!$W$32</f>
        <v>81081.931703745853</v>
      </c>
      <c r="I3003" s="359">
        <f>-H3003*('DRE + DCF'!$V$33+K3003)/'DRE + DCF'!$V$33</f>
        <v>-90858.801614444121</v>
      </c>
      <c r="J3003" s="359">
        <f>-'DRE + DCF'!$V$56*L3003</f>
        <v>-1188924.4255577971</v>
      </c>
      <c r="K3003" s="360">
        <f>(1+L3003)/(1+Ke!$O$12)-1</f>
        <v>2.0000000000000018E-2</v>
      </c>
      <c r="L3003" s="360">
        <f>'DRE + DCF'!$Y$31</f>
        <v>7.3550000000000004E-2</v>
      </c>
      <c r="M3003" s="361">
        <f>(1+D3003)^((5-Dashboard!$F$9)*3/12)</f>
        <v>1.2684249158882266</v>
      </c>
      <c r="N3003" s="361">
        <f t="shared" ref="N3003:V3003" si="3084">M3003*(1+$D3003)</f>
        <v>1.7416108307602967</v>
      </c>
      <c r="O3003" s="361">
        <f t="shared" si="3084"/>
        <v>2.3913187511753802</v>
      </c>
      <c r="P3003" s="361">
        <f t="shared" si="3084"/>
        <v>3.2834002113012937</v>
      </c>
      <c r="Q3003" s="361">
        <f t="shared" si="3084"/>
        <v>4.5082726601271563</v>
      </c>
      <c r="R3003" s="361">
        <f t="shared" si="3084"/>
        <v>6.1900837759874756</v>
      </c>
      <c r="S3003" s="361">
        <f t="shared" si="3084"/>
        <v>8.4992945286194423</v>
      </c>
      <c r="T3003" s="361">
        <f t="shared" si="3084"/>
        <v>11.669956352520705</v>
      </c>
      <c r="U3003" s="361">
        <f t="shared" si="3084"/>
        <v>16.023433569828253</v>
      </c>
      <c r="V3003" s="362">
        <f t="shared" si="3084"/>
        <v>22.000975463052267</v>
      </c>
      <c r="X3003" s="351"/>
    </row>
    <row r="3004" spans="3:24" ht="24.75" customHeight="1" x14ac:dyDescent="0.3">
      <c r="C3004" s="353">
        <f>ABS(E3004-Dashboard!$F$14)</f>
        <v>58.390930621124944</v>
      </c>
      <c r="D3004" s="350">
        <f t="shared" si="3039"/>
        <v>0.37314999999997417</v>
      </c>
      <c r="E3004" s="359" cm="1">
        <f t="array" ref="E3004">1000*SUM('DRE + DCF'!$L$36/M3004,'DRE + DCF'!$N$36:$V$36/N3004:V3004,F3004/V3004)/Dashboard!$F$11</f>
        <v>38.599069378875051</v>
      </c>
      <c r="F3004" s="359">
        <f t="shared" si="3037"/>
        <v>6869681.7042465452</v>
      </c>
      <c r="G3004" s="359">
        <f>'DRE + DCF'!$W$31</f>
        <v>2791623.3540418856</v>
      </c>
      <c r="H3004" s="359">
        <f>'DRE + DCF'!$W$32</f>
        <v>81081.931703745853</v>
      </c>
      <c r="I3004" s="359">
        <f>-H3004*('DRE + DCF'!$V$33+K3004)/'DRE + DCF'!$V$33</f>
        <v>-90858.801614444121</v>
      </c>
      <c r="J3004" s="359">
        <f>-'DRE + DCF'!$V$56*L3004</f>
        <v>-1188924.4255577971</v>
      </c>
      <c r="K3004" s="360">
        <f>(1+L3004)/(1+Ke!$O$12)-1</f>
        <v>2.0000000000000018E-2</v>
      </c>
      <c r="L3004" s="360">
        <f>'DRE + DCF'!$Y$31</f>
        <v>7.3550000000000004E-2</v>
      </c>
      <c r="M3004" s="361">
        <f>(1+D3004)^((5-Dashboard!$F$9)*3/12)</f>
        <v>1.2684942003299109</v>
      </c>
      <c r="N3004" s="361">
        <f t="shared" ref="N3004:V3004" si="3085">M3004*(1+$D3004)</f>
        <v>1.7418328111829844</v>
      </c>
      <c r="O3004" s="361">
        <f t="shared" si="3085"/>
        <v>2.3917977246758699</v>
      </c>
      <c r="P3004" s="361">
        <f t="shared" si="3085"/>
        <v>3.2842970456386089</v>
      </c>
      <c r="Q3004" s="361">
        <f t="shared" si="3085"/>
        <v>4.5098324882185707</v>
      </c>
      <c r="R3004" s="361">
        <f t="shared" si="3085"/>
        <v>6.1926764811972133</v>
      </c>
      <c r="S3004" s="361">
        <f t="shared" si="3085"/>
        <v>8.5034737101557933</v>
      </c>
      <c r="T3004" s="361">
        <f t="shared" si="3085"/>
        <v>11.676544925100208</v>
      </c>
      <c r="U3004" s="361">
        <f t="shared" si="3085"/>
        <v>16.033647663901046</v>
      </c>
      <c r="V3004" s="362">
        <f t="shared" si="3085"/>
        <v>22.016603289685307</v>
      </c>
      <c r="X3004" s="351"/>
    </row>
    <row r="3005" spans="3:24" ht="24.75" customHeight="1" x14ac:dyDescent="0.3">
      <c r="C3005" s="353">
        <f>ABS(E3005-Dashboard!$F$14)</f>
        <v>58.406180289304949</v>
      </c>
      <c r="D3005" s="350">
        <f t="shared" si="3039"/>
        <v>0.37324999999997416</v>
      </c>
      <c r="E3005" s="359" cm="1">
        <f t="array" ref="E3005">1000*SUM('DRE + DCF'!$L$36/M3005,'DRE + DCF'!$N$36:$V$36/N3005:V3005,F3005/V3005)/Dashboard!$F$11</f>
        <v>38.583819710695046</v>
      </c>
      <c r="F3005" s="359">
        <f t="shared" si="3037"/>
        <v>6867653.5533263944</v>
      </c>
      <c r="G3005" s="359">
        <f>'DRE + DCF'!$W$31</f>
        <v>2791623.3540418856</v>
      </c>
      <c r="H3005" s="359">
        <f>'DRE + DCF'!$W$32</f>
        <v>81081.931703745853</v>
      </c>
      <c r="I3005" s="359">
        <f>-H3005*('DRE + DCF'!$V$33+K3005)/'DRE + DCF'!$V$33</f>
        <v>-90858.801614444121</v>
      </c>
      <c r="J3005" s="359">
        <f>-'DRE + DCF'!$V$56*L3005</f>
        <v>-1188924.4255577971</v>
      </c>
      <c r="K3005" s="360">
        <f>(1+L3005)/(1+Ke!$O$12)-1</f>
        <v>2.0000000000000018E-2</v>
      </c>
      <c r="L3005" s="360">
        <f>'DRE + DCF'!$Y$31</f>
        <v>7.3550000000000004E-2</v>
      </c>
      <c r="M3005" s="361">
        <f>(1+D3005)^((5-Dashboard!$F$9)*3/12)</f>
        <v>1.2685634835101922</v>
      </c>
      <c r="N3005" s="361">
        <f t="shared" ref="N3005:V3005" si="3086">M3005*(1+$D3005)</f>
        <v>1.7420548037303385</v>
      </c>
      <c r="O3005" s="361">
        <f t="shared" si="3086"/>
        <v>2.3922767592226424</v>
      </c>
      <c r="P3005" s="361">
        <f t="shared" si="3086"/>
        <v>3.2851940596024316</v>
      </c>
      <c r="Q3005" s="361">
        <f t="shared" si="3086"/>
        <v>4.5113927423489537</v>
      </c>
      <c r="R3005" s="361">
        <f t="shared" si="3086"/>
        <v>6.1952700834305841</v>
      </c>
      <c r="S3005" s="361">
        <f t="shared" si="3086"/>
        <v>8.5076546420708894</v>
      </c>
      <c r="T3005" s="361">
        <f t="shared" si="3086"/>
        <v>11.683136737223629</v>
      </c>
      <c r="U3005" s="361">
        <f t="shared" si="3086"/>
        <v>16.043867524392045</v>
      </c>
      <c r="V3005" s="362">
        <f t="shared" si="3086"/>
        <v>22.03224107787096</v>
      </c>
      <c r="X3005" s="351"/>
    </row>
    <row r="3006" spans="3:24" ht="24.75" customHeight="1" x14ac:dyDescent="0.3">
      <c r="C3006" s="353">
        <f>ABS(E3006-Dashboard!$F$14)</f>
        <v>58.421418867241329</v>
      </c>
      <c r="D3006" s="350">
        <f t="shared" si="3039"/>
        <v>0.37334999999997415</v>
      </c>
      <c r="E3006" s="359" cm="1">
        <f t="array" ref="E3006">1000*SUM('DRE + DCF'!$L$36/M3006,'DRE + DCF'!$N$36:$V$36/N3006:V3006,F3006/V3006)/Dashboard!$F$11</f>
        <v>38.568581132758666</v>
      </c>
      <c r="F3006" s="359">
        <f t="shared" si="3037"/>
        <v>6865626.6140149413</v>
      </c>
      <c r="G3006" s="359">
        <f>'DRE + DCF'!$W$31</f>
        <v>2791623.3540418856</v>
      </c>
      <c r="H3006" s="359">
        <f>'DRE + DCF'!$W$32</f>
        <v>81081.931703745853</v>
      </c>
      <c r="I3006" s="359">
        <f>-H3006*('DRE + DCF'!$V$33+K3006)/'DRE + DCF'!$V$33</f>
        <v>-90858.801614444121</v>
      </c>
      <c r="J3006" s="359">
        <f>-'DRE + DCF'!$V$56*L3006</f>
        <v>-1188924.4255577971</v>
      </c>
      <c r="K3006" s="360">
        <f>(1+L3006)/(1+Ke!$O$12)-1</f>
        <v>2.0000000000000018E-2</v>
      </c>
      <c r="L3006" s="360">
        <f>'DRE + DCF'!$Y$31</f>
        <v>7.3550000000000004E-2</v>
      </c>
      <c r="M3006" s="361">
        <f>(1+D3006)^((5-Dashboard!$F$9)*3/12)</f>
        <v>1.2686327654291856</v>
      </c>
      <c r="N3006" s="361">
        <f t="shared" ref="N3006:V3006" si="3087">M3006*(1+$D3006)</f>
        <v>1.7422768084021392</v>
      </c>
      <c r="O3006" s="361">
        <f t="shared" si="3087"/>
        <v>2.3927558548190326</v>
      </c>
      <c r="P3006" s="361">
        <f t="shared" si="3087"/>
        <v>3.2860912532156563</v>
      </c>
      <c r="Q3006" s="361">
        <f t="shared" si="3087"/>
        <v>4.5129534226036361</v>
      </c>
      <c r="R3006" s="361">
        <f t="shared" si="3087"/>
        <v>6.1978645829325867</v>
      </c>
      <c r="S3006" s="361">
        <f t="shared" si="3087"/>
        <v>8.5118373249703065</v>
      </c>
      <c r="T3006" s="361">
        <f t="shared" si="3087"/>
        <v>11.68973179024775</v>
      </c>
      <c r="U3006" s="361">
        <f t="shared" si="3087"/>
        <v>16.054093154136446</v>
      </c>
      <c r="V3006" s="362">
        <f t="shared" si="3087"/>
        <v>22.047888833232872</v>
      </c>
      <c r="X3006" s="351"/>
    </row>
    <row r="3007" spans="3:24" ht="24.75" customHeight="1" x14ac:dyDescent="0.3">
      <c r="C3007" s="353">
        <f>ABS(E3007-Dashboard!$F$14)</f>
        <v>58.436646366220053</v>
      </c>
      <c r="D3007" s="350">
        <f t="shared" si="3039"/>
        <v>0.37344999999997414</v>
      </c>
      <c r="E3007" s="359" cm="1">
        <f t="array" ref="E3007">1000*SUM('DRE + DCF'!$L$36/M3007,'DRE + DCF'!$N$36:$V$36/N3007:V3007,F3007/V3007)/Dashboard!$F$11</f>
        <v>38.553353633779942</v>
      </c>
      <c r="F3007" s="359">
        <f t="shared" si="3037"/>
        <v>6863600.8852137197</v>
      </c>
      <c r="G3007" s="359">
        <f>'DRE + DCF'!$W$31</f>
        <v>2791623.3540418856</v>
      </c>
      <c r="H3007" s="359">
        <f>'DRE + DCF'!$W$32</f>
        <v>81081.931703745853</v>
      </c>
      <c r="I3007" s="359">
        <f>-H3007*('DRE + DCF'!$V$33+K3007)/'DRE + DCF'!$V$33</f>
        <v>-90858.801614444121</v>
      </c>
      <c r="J3007" s="359">
        <f>-'DRE + DCF'!$V$56*L3007</f>
        <v>-1188924.4255577971</v>
      </c>
      <c r="K3007" s="360">
        <f>(1+L3007)/(1+Ke!$O$12)-1</f>
        <v>2.0000000000000018E-2</v>
      </c>
      <c r="L3007" s="360">
        <f>'DRE + DCF'!$Y$31</f>
        <v>7.3550000000000004E-2</v>
      </c>
      <c r="M3007" s="361">
        <f>(1+D3007)^((5-Dashboard!$F$9)*3/12)</f>
        <v>1.2687020460870058</v>
      </c>
      <c r="N3007" s="361">
        <f t="shared" ref="N3007:V3007" si="3088">M3007*(1+$D3007)</f>
        <v>1.7424988251981652</v>
      </c>
      <c r="O3007" s="361">
        <f t="shared" si="3088"/>
        <v>2.3932350114683749</v>
      </c>
      <c r="P3007" s="361">
        <f t="shared" si="3088"/>
        <v>3.2869886265011776</v>
      </c>
      <c r="Q3007" s="361">
        <f t="shared" si="3088"/>
        <v>4.5145145290679576</v>
      </c>
      <c r="R3007" s="361">
        <f t="shared" si="3088"/>
        <v>6.2004599799482696</v>
      </c>
      <c r="S3007" s="361">
        <f t="shared" si="3088"/>
        <v>8.5160217594597896</v>
      </c>
      <c r="T3007" s="361">
        <f t="shared" si="3088"/>
        <v>11.696330085529826</v>
      </c>
      <c r="U3007" s="361">
        <f t="shared" si="3088"/>
        <v>16.064324555970636</v>
      </c>
      <c r="V3007" s="362">
        <f t="shared" si="3088"/>
        <v>22.063546561397452</v>
      </c>
      <c r="X3007" s="351"/>
    </row>
    <row r="3008" spans="3:24" ht="24.75" customHeight="1" x14ac:dyDescent="0.3">
      <c r="C3008" s="353">
        <f>ABS(E3008-Dashboard!$F$14)</f>
        <v>58.45186279751244</v>
      </c>
      <c r="D3008" s="350">
        <f t="shared" si="3039"/>
        <v>0.37354999999997412</v>
      </c>
      <c r="E3008" s="359" cm="1">
        <f t="array" ref="E3008">1000*SUM('DRE + DCF'!$L$36/M3008,'DRE + DCF'!$N$36:$V$36/N3008:V3008,F3008/V3008)/Dashboard!$F$11</f>
        <v>38.538137202487555</v>
      </c>
      <c r="F3008" s="359">
        <f t="shared" si="3037"/>
        <v>6861576.3658256046</v>
      </c>
      <c r="G3008" s="359">
        <f>'DRE + DCF'!$W$31</f>
        <v>2791623.3540418856</v>
      </c>
      <c r="H3008" s="359">
        <f>'DRE + DCF'!$W$32</f>
        <v>81081.931703745853</v>
      </c>
      <c r="I3008" s="359">
        <f>-H3008*('DRE + DCF'!$V$33+K3008)/'DRE + DCF'!$V$33</f>
        <v>-90858.801614444121</v>
      </c>
      <c r="J3008" s="359">
        <f>-'DRE + DCF'!$V$56*L3008</f>
        <v>-1188924.4255577971</v>
      </c>
      <c r="K3008" s="360">
        <f>(1+L3008)/(1+Ke!$O$12)-1</f>
        <v>2.0000000000000018E-2</v>
      </c>
      <c r="L3008" s="360">
        <f>'DRE + DCF'!$Y$31</f>
        <v>7.3550000000000004E-2</v>
      </c>
      <c r="M3008" s="361">
        <f>(1+D3008)^((5-Dashboard!$F$9)*3/12)</f>
        <v>1.2687713254837676</v>
      </c>
      <c r="N3008" s="361">
        <f t="shared" ref="N3008:V3008" si="3089">M3008*(1+$D3008)</f>
        <v>1.742720854118196</v>
      </c>
      <c r="O3008" s="361">
        <f t="shared" si="3089"/>
        <v>2.393714229174003</v>
      </c>
      <c r="P3008" s="361">
        <f t="shared" si="3089"/>
        <v>3.2878861794818897</v>
      </c>
      <c r="Q3008" s="361">
        <f t="shared" si="3089"/>
        <v>4.5160760618272642</v>
      </c>
      <c r="R3008" s="361">
        <f t="shared" si="3089"/>
        <v>6.203056274722722</v>
      </c>
      <c r="S3008" s="361">
        <f t="shared" si="3089"/>
        <v>8.5202079461452342</v>
      </c>
      <c r="T3008" s="361">
        <f t="shared" si="3089"/>
        <v>11.702931624427565</v>
      </c>
      <c r="U3008" s="361">
        <f t="shared" si="3089"/>
        <v>16.074561732732178</v>
      </c>
      <c r="V3008" s="362">
        <f t="shared" si="3089"/>
        <v>22.079214267993866</v>
      </c>
      <c r="X3008" s="351"/>
    </row>
    <row r="3009" spans="3:24" ht="24.75" customHeight="1" x14ac:dyDescent="0.3">
      <c r="C3009" s="353">
        <f>ABS(E3009-Dashboard!$F$14)</f>
        <v>58.467068172375264</v>
      </c>
      <c r="D3009" s="350">
        <f t="shared" si="3039"/>
        <v>0.37364999999997411</v>
      </c>
      <c r="E3009" s="359" cm="1">
        <f t="array" ref="E3009">1000*SUM('DRE + DCF'!$L$36/M3009,'DRE + DCF'!$N$36:$V$36/N3009:V3009,F3009/V3009)/Dashboard!$F$11</f>
        <v>38.522931827624731</v>
      </c>
      <c r="F3009" s="359">
        <f t="shared" si="3037"/>
        <v>6859553.054754816</v>
      </c>
      <c r="G3009" s="359">
        <f>'DRE + DCF'!$W$31</f>
        <v>2791623.3540418856</v>
      </c>
      <c r="H3009" s="359">
        <f>'DRE + DCF'!$W$32</f>
        <v>81081.931703745853</v>
      </c>
      <c r="I3009" s="359">
        <f>-H3009*('DRE + DCF'!$V$33+K3009)/'DRE + DCF'!$V$33</f>
        <v>-90858.801614444121</v>
      </c>
      <c r="J3009" s="359">
        <f>-'DRE + DCF'!$V$56*L3009</f>
        <v>-1188924.4255577971</v>
      </c>
      <c r="K3009" s="360">
        <f>(1+L3009)/(1+Ke!$O$12)-1</f>
        <v>2.0000000000000018E-2</v>
      </c>
      <c r="L3009" s="360">
        <f>'DRE + DCF'!$Y$31</f>
        <v>7.3550000000000004E-2</v>
      </c>
      <c r="M3009" s="361">
        <f>(1+D3009)^((5-Dashboard!$F$9)*3/12)</f>
        <v>1.2688406036195856</v>
      </c>
      <c r="N3009" s="361">
        <f t="shared" ref="N3009:V3009" si="3090">M3009*(1+$D3009)</f>
        <v>1.742942895162011</v>
      </c>
      <c r="O3009" s="361">
        <f t="shared" si="3090"/>
        <v>2.3941935079392511</v>
      </c>
      <c r="P3009" s="361">
        <f t="shared" si="3090"/>
        <v>3.2887839121806901</v>
      </c>
      <c r="Q3009" s="361">
        <f t="shared" si="3090"/>
        <v>4.5176380209669196</v>
      </c>
      <c r="R3009" s="361">
        <f t="shared" si="3090"/>
        <v>6.2056534675010919</v>
      </c>
      <c r="S3009" s="361">
        <f t="shared" si="3090"/>
        <v>8.524395885632714</v>
      </c>
      <c r="T3009" s="361">
        <f t="shared" si="3090"/>
        <v>11.709536408299156</v>
      </c>
      <c r="U3009" s="361">
        <f t="shared" si="3090"/>
        <v>16.084804687259833</v>
      </c>
      <c r="V3009" s="362">
        <f t="shared" si="3090"/>
        <v>22.094891958654053</v>
      </c>
      <c r="X3009" s="351"/>
    </row>
    <row r="3010" spans="3:24" ht="24.75" customHeight="1" x14ac:dyDescent="0.3">
      <c r="C3010" s="353">
        <f>ABS(E3010-Dashboard!$F$14)</f>
        <v>58.482262502050702</v>
      </c>
      <c r="D3010" s="350">
        <f t="shared" si="3039"/>
        <v>0.3737499999999741</v>
      </c>
      <c r="E3010" s="359" cm="1">
        <f t="array" ref="E3010">1000*SUM('DRE + DCF'!$L$36/M3010,'DRE + DCF'!$N$36:$V$36/N3010:V3010,F3010/V3010)/Dashboard!$F$11</f>
        <v>38.507737497949293</v>
      </c>
      <c r="F3010" s="359">
        <f t="shared" si="3037"/>
        <v>6857530.9509069119</v>
      </c>
      <c r="G3010" s="359">
        <f>'DRE + DCF'!$W$31</f>
        <v>2791623.3540418856</v>
      </c>
      <c r="H3010" s="359">
        <f>'DRE + DCF'!$W$32</f>
        <v>81081.931703745853</v>
      </c>
      <c r="I3010" s="359">
        <f>-H3010*('DRE + DCF'!$V$33+K3010)/'DRE + DCF'!$V$33</f>
        <v>-90858.801614444121</v>
      </c>
      <c r="J3010" s="359">
        <f>-'DRE + DCF'!$V$56*L3010</f>
        <v>-1188924.4255577971</v>
      </c>
      <c r="K3010" s="360">
        <f>(1+L3010)/(1+Ke!$O$12)-1</f>
        <v>2.0000000000000018E-2</v>
      </c>
      <c r="L3010" s="360">
        <f>'DRE + DCF'!$Y$31</f>
        <v>7.3550000000000004E-2</v>
      </c>
      <c r="M3010" s="361">
        <f>(1+D3010)^((5-Dashboard!$F$9)*3/12)</f>
        <v>1.2689098804945749</v>
      </c>
      <c r="N3010" s="361">
        <f t="shared" ref="N3010:V3010" si="3091">M3010*(1+$D3010)</f>
        <v>1.7431649483293894</v>
      </c>
      <c r="O3010" s="361">
        <f t="shared" si="3091"/>
        <v>2.3946728477674535</v>
      </c>
      <c r="P3010" s="361">
        <f t="shared" si="3091"/>
        <v>3.2896818246204771</v>
      </c>
      <c r="Q3010" s="361">
        <f t="shared" si="3091"/>
        <v>4.5192004065722946</v>
      </c>
      <c r="R3010" s="361">
        <f t="shared" si="3091"/>
        <v>6.2082515585285725</v>
      </c>
      <c r="S3010" s="361">
        <f t="shared" si="3091"/>
        <v>8.5285855785284657</v>
      </c>
      <c r="T3010" s="361">
        <f t="shared" si="3091"/>
        <v>11.716144438503258</v>
      </c>
      <c r="U3010" s="361">
        <f t="shared" si="3091"/>
        <v>16.095053422393548</v>
      </c>
      <c r="V3010" s="362">
        <f t="shared" si="3091"/>
        <v>22.11057963901272</v>
      </c>
      <c r="X3010" s="351"/>
    </row>
    <row r="3011" spans="3:24" ht="24.75" customHeight="1" x14ac:dyDescent="0.3">
      <c r="C3011" s="353">
        <f>ABS(E3011-Dashboard!$F$14)</f>
        <v>58.49744579776636</v>
      </c>
      <c r="D3011" s="350">
        <f t="shared" si="3039"/>
        <v>0.37384999999997409</v>
      </c>
      <c r="E3011" s="359" cm="1">
        <f t="array" ref="E3011">1000*SUM('DRE + DCF'!$L$36/M3011,'DRE + DCF'!$N$36:$V$36/N3011:V3011,F3011/V3011)/Dashboard!$F$11</f>
        <v>38.492554202233634</v>
      </c>
      <c r="F3011" s="359">
        <f t="shared" si="3037"/>
        <v>6855510.053188784</v>
      </c>
      <c r="G3011" s="359">
        <f>'DRE + DCF'!$W$31</f>
        <v>2791623.3540418856</v>
      </c>
      <c r="H3011" s="359">
        <f>'DRE + DCF'!$W$32</f>
        <v>81081.931703745853</v>
      </c>
      <c r="I3011" s="359">
        <f>-H3011*('DRE + DCF'!$V$33+K3011)/'DRE + DCF'!$V$33</f>
        <v>-90858.801614444121</v>
      </c>
      <c r="J3011" s="359">
        <f>-'DRE + DCF'!$V$56*L3011</f>
        <v>-1188924.4255577971</v>
      </c>
      <c r="K3011" s="360">
        <f>(1+L3011)/(1+Ke!$O$12)-1</f>
        <v>2.0000000000000018E-2</v>
      </c>
      <c r="L3011" s="360">
        <f>'DRE + DCF'!$Y$31</f>
        <v>7.3550000000000004E-2</v>
      </c>
      <c r="M3011" s="361">
        <f>(1+D3011)^((5-Dashboard!$F$9)*3/12)</f>
        <v>1.2689791561088499</v>
      </c>
      <c r="N3011" s="361">
        <f t="shared" ref="N3011:V3011" si="3092">M3011*(1+$D3011)</f>
        <v>1.7433870136201106</v>
      </c>
      <c r="O3011" s="361">
        <f t="shared" si="3092"/>
        <v>2.3951522486619439</v>
      </c>
      <c r="P3011" s="361">
        <f t="shared" si="3092"/>
        <v>3.2905799168241492</v>
      </c>
      <c r="Q3011" s="361">
        <f t="shared" si="3092"/>
        <v>4.5207632187287716</v>
      </c>
      <c r="R3011" s="361">
        <f t="shared" si="3092"/>
        <v>6.2108505480504057</v>
      </c>
      <c r="S3011" s="361">
        <f t="shared" si="3092"/>
        <v>8.5327770254388895</v>
      </c>
      <c r="T3011" s="361">
        <f t="shared" si="3092"/>
        <v>11.722755716398996</v>
      </c>
      <c r="U3011" s="361">
        <f t="shared" si="3092"/>
        <v>16.105307940974456</v>
      </c>
      <c r="V3011" s="362">
        <f t="shared" si="3092"/>
        <v>22.126277314707337</v>
      </c>
      <c r="X3011" s="351"/>
    </row>
    <row r="3012" spans="3:24" ht="24.75" customHeight="1" x14ac:dyDescent="0.3">
      <c r="C3012" s="353">
        <f>ABS(E3012-Dashboard!$F$14)</f>
        <v>58.512618070735343</v>
      </c>
      <c r="D3012" s="350">
        <f t="shared" si="3039"/>
        <v>0.37394999999997408</v>
      </c>
      <c r="E3012" s="359" cm="1">
        <f t="array" ref="E3012">1000*SUM('DRE + DCF'!$L$36/M3012,'DRE + DCF'!$N$36:$V$36/N3012:V3012,F3012/V3012)/Dashboard!$F$11</f>
        <v>38.477381929264652</v>
      </c>
      <c r="F3012" s="359">
        <f t="shared" si="3037"/>
        <v>6853490.3605086617</v>
      </c>
      <c r="G3012" s="359">
        <f>'DRE + DCF'!$W$31</f>
        <v>2791623.3540418856</v>
      </c>
      <c r="H3012" s="359">
        <f>'DRE + DCF'!$W$32</f>
        <v>81081.931703745853</v>
      </c>
      <c r="I3012" s="359">
        <f>-H3012*('DRE + DCF'!$V$33+K3012)/'DRE + DCF'!$V$33</f>
        <v>-90858.801614444121</v>
      </c>
      <c r="J3012" s="359">
        <f>-'DRE + DCF'!$V$56*L3012</f>
        <v>-1188924.4255577971</v>
      </c>
      <c r="K3012" s="360">
        <f>(1+L3012)/(1+Ke!$O$12)-1</f>
        <v>2.0000000000000018E-2</v>
      </c>
      <c r="L3012" s="360">
        <f>'DRE + DCF'!$Y$31</f>
        <v>7.3550000000000004E-2</v>
      </c>
      <c r="M3012" s="361">
        <f>(1+D3012)^((5-Dashboard!$F$9)*3/12)</f>
        <v>1.2690484304625254</v>
      </c>
      <c r="N3012" s="361">
        <f t="shared" ref="N3012:V3012" si="3093">M3012*(1+$D3012)</f>
        <v>1.7436090910339537</v>
      </c>
      <c r="O3012" s="361">
        <f t="shared" si="3093"/>
        <v>2.3956317106260552</v>
      </c>
      <c r="P3012" s="361">
        <f t="shared" si="3093"/>
        <v>3.2914781888146063</v>
      </c>
      <c r="Q3012" s="361">
        <f t="shared" si="3093"/>
        <v>4.5223264575217428</v>
      </c>
      <c r="R3012" s="361">
        <f t="shared" si="3093"/>
        <v>6.2134504363118808</v>
      </c>
      <c r="S3012" s="361">
        <f t="shared" si="3093"/>
        <v>8.5369702269705474</v>
      </c>
      <c r="T3012" s="361">
        <f t="shared" si="3093"/>
        <v>11.729370243345961</v>
      </c>
      <c r="U3012" s="361">
        <f t="shared" si="3093"/>
        <v>16.11556824584488</v>
      </c>
      <c r="V3012" s="362">
        <f t="shared" si="3093"/>
        <v>22.141984991378155</v>
      </c>
      <c r="X3012" s="351"/>
    </row>
    <row r="3013" spans="3:24" ht="24.75" customHeight="1" x14ac:dyDescent="0.3">
      <c r="C3013" s="353">
        <f>ABS(E3013-Dashboard!$F$14)</f>
        <v>58.527779332156264</v>
      </c>
      <c r="D3013" s="350">
        <f t="shared" si="3039"/>
        <v>0.37404999999997407</v>
      </c>
      <c r="E3013" s="359" cm="1">
        <f t="array" ref="E3013">1000*SUM('DRE + DCF'!$L$36/M3013,'DRE + DCF'!$N$36:$V$36/N3013:V3013,F3013/V3013)/Dashboard!$F$11</f>
        <v>38.462220667843731</v>
      </c>
      <c r="F3013" s="359">
        <f t="shared" si="3037"/>
        <v>6851471.8717761068</v>
      </c>
      <c r="G3013" s="359">
        <f>'DRE + DCF'!$W$31</f>
        <v>2791623.3540418856</v>
      </c>
      <c r="H3013" s="359">
        <f>'DRE + DCF'!$W$32</f>
        <v>81081.931703745853</v>
      </c>
      <c r="I3013" s="359">
        <f>-H3013*('DRE + DCF'!$V$33+K3013)/'DRE + DCF'!$V$33</f>
        <v>-90858.801614444121</v>
      </c>
      <c r="J3013" s="359">
        <f>-'DRE + DCF'!$V$56*L3013</f>
        <v>-1188924.4255577971</v>
      </c>
      <c r="K3013" s="360">
        <f>(1+L3013)/(1+Ke!$O$12)-1</f>
        <v>2.0000000000000018E-2</v>
      </c>
      <c r="L3013" s="360">
        <f>'DRE + DCF'!$Y$31</f>
        <v>7.3550000000000004E-2</v>
      </c>
      <c r="M3013" s="361">
        <f>(1+D3013)^((5-Dashboard!$F$9)*3/12)</f>
        <v>1.2691177035557162</v>
      </c>
      <c r="N3013" s="361">
        <f t="shared" ref="N3013:V3013" si="3094">M3013*(1+$D3013)</f>
        <v>1.7438311805706987</v>
      </c>
      <c r="O3013" s="361">
        <f t="shared" si="3094"/>
        <v>2.3961112336631234</v>
      </c>
      <c r="P3013" s="361">
        <f t="shared" si="3094"/>
        <v>3.2923766406147523</v>
      </c>
      <c r="Q3013" s="361">
        <f t="shared" si="3094"/>
        <v>4.5238901230366153</v>
      </c>
      <c r="R3013" s="361">
        <f t="shared" si="3094"/>
        <v>6.2160512235583436</v>
      </c>
      <c r="S3013" s="361">
        <f t="shared" si="3094"/>
        <v>8.5411651837301807</v>
      </c>
      <c r="T3013" s="361">
        <f t="shared" si="3094"/>
        <v>11.735988020704234</v>
      </c>
      <c r="U3013" s="361">
        <f t="shared" si="3094"/>
        <v>16.125834339848346</v>
      </c>
      <c r="V3013" s="362">
        <f t="shared" si="3094"/>
        <v>22.157702674668201</v>
      </c>
      <c r="X3013" s="351"/>
    </row>
    <row r="3014" spans="3:24" ht="24.75" customHeight="1" x14ac:dyDescent="0.3">
      <c r="C3014" s="353">
        <f>ABS(E3014-Dashboard!$F$14)</f>
        <v>58.542929593213209</v>
      </c>
      <c r="D3014" s="350">
        <f t="shared" si="3039"/>
        <v>0.37414999999997406</v>
      </c>
      <c r="E3014" s="359" cm="1">
        <f t="array" ref="E3014">1000*SUM('DRE + DCF'!$L$36/M3014,'DRE + DCF'!$N$36:$V$36/N3014:V3014,F3014/V3014)/Dashboard!$F$11</f>
        <v>38.447070406786786</v>
      </c>
      <c r="F3014" s="359">
        <f t="shared" si="3037"/>
        <v>6849454.585902012</v>
      </c>
      <c r="G3014" s="359">
        <f>'DRE + DCF'!$W$31</f>
        <v>2791623.3540418856</v>
      </c>
      <c r="H3014" s="359">
        <f>'DRE + DCF'!$W$32</f>
        <v>81081.931703745853</v>
      </c>
      <c r="I3014" s="359">
        <f>-H3014*('DRE + DCF'!$V$33+K3014)/'DRE + DCF'!$V$33</f>
        <v>-90858.801614444121</v>
      </c>
      <c r="J3014" s="359">
        <f>-'DRE + DCF'!$V$56*L3014</f>
        <v>-1188924.4255577971</v>
      </c>
      <c r="K3014" s="360">
        <f>(1+L3014)/(1+Ke!$O$12)-1</f>
        <v>2.0000000000000018E-2</v>
      </c>
      <c r="L3014" s="360">
        <f>'DRE + DCF'!$Y$31</f>
        <v>7.3550000000000004E-2</v>
      </c>
      <c r="M3014" s="361">
        <f>(1+D3014)^((5-Dashboard!$F$9)*3/12)</f>
        <v>1.2691869753885368</v>
      </c>
      <c r="N3014" s="361">
        <f t="shared" ref="N3014:V3014" si="3095">M3014*(1+$D3014)</f>
        <v>1.7440532822301247</v>
      </c>
      <c r="O3014" s="361">
        <f t="shared" si="3095"/>
        <v>2.3965908177764805</v>
      </c>
      <c r="P3014" s="361">
        <f t="shared" si="3095"/>
        <v>3.2932752722474885</v>
      </c>
      <c r="Q3014" s="361">
        <f t="shared" si="3095"/>
        <v>4.5254542153588009</v>
      </c>
      <c r="R3014" s="361">
        <f t="shared" si="3095"/>
        <v>6.2186529100351784</v>
      </c>
      <c r="S3014" s="361">
        <f t="shared" si="3095"/>
        <v>8.5453618963246782</v>
      </c>
      <c r="T3014" s="361">
        <f t="shared" si="3095"/>
        <v>11.742609049834334</v>
      </c>
      <c r="U3014" s="361">
        <f t="shared" si="3095"/>
        <v>16.136106225829543</v>
      </c>
      <c r="V3014" s="362">
        <f t="shared" si="3095"/>
        <v>22.173430370223247</v>
      </c>
      <c r="X3014" s="351"/>
    </row>
    <row r="3015" spans="3:24" ht="24.75" customHeight="1" x14ac:dyDescent="0.3">
      <c r="C3015" s="353">
        <f>ABS(E3015-Dashboard!$F$14)</f>
        <v>58.558068865075853</v>
      </c>
      <c r="D3015" s="350">
        <f t="shared" si="3039"/>
        <v>0.37424999999997405</v>
      </c>
      <c r="E3015" s="359" cm="1">
        <f t="array" ref="E3015">1000*SUM('DRE + DCF'!$L$36/M3015,'DRE + DCF'!$N$36:$V$36/N3015:V3015,F3015/V3015)/Dashboard!$F$11</f>
        <v>38.431931134924142</v>
      </c>
      <c r="F3015" s="359">
        <f t="shared" si="3037"/>
        <v>6847438.5017985972</v>
      </c>
      <c r="G3015" s="359">
        <f>'DRE + DCF'!$W$31</f>
        <v>2791623.3540418856</v>
      </c>
      <c r="H3015" s="359">
        <f>'DRE + DCF'!$W$32</f>
        <v>81081.931703745853</v>
      </c>
      <c r="I3015" s="359">
        <f>-H3015*('DRE + DCF'!$V$33+K3015)/'DRE + DCF'!$V$33</f>
        <v>-90858.801614444121</v>
      </c>
      <c r="J3015" s="359">
        <f>-'DRE + DCF'!$V$56*L3015</f>
        <v>-1188924.4255577971</v>
      </c>
      <c r="K3015" s="360">
        <f>(1+L3015)/(1+Ke!$O$12)-1</f>
        <v>2.0000000000000018E-2</v>
      </c>
      <c r="L3015" s="360">
        <f>'DRE + DCF'!$Y$31</f>
        <v>7.3550000000000004E-2</v>
      </c>
      <c r="M3015" s="361">
        <f>(1+D3015)^((5-Dashboard!$F$9)*3/12)</f>
        <v>1.2692562459611019</v>
      </c>
      <c r="N3015" s="361">
        <f t="shared" ref="N3015:V3015" si="3096">M3015*(1+$D3015)</f>
        <v>1.7442753960120112</v>
      </c>
      <c r="O3015" s="361">
        <f t="shared" si="3096"/>
        <v>2.3970704629694612</v>
      </c>
      <c r="P3015" s="361">
        <f t="shared" si="3096"/>
        <v>3.2941740837357196</v>
      </c>
      <c r="Q3015" s="361">
        <f t="shared" si="3096"/>
        <v>4.5270187345737272</v>
      </c>
      <c r="R3015" s="361">
        <f t="shared" si="3096"/>
        <v>6.221255495987827</v>
      </c>
      <c r="S3015" s="361">
        <f t="shared" si="3096"/>
        <v>8.5495603653611099</v>
      </c>
      <c r="T3015" s="361">
        <f t="shared" si="3096"/>
        <v>11.749233332097283</v>
      </c>
      <c r="U3015" s="361">
        <f t="shared" si="3096"/>
        <v>16.146383906634387</v>
      </c>
      <c r="V3015" s="362">
        <f t="shared" si="3096"/>
        <v>22.189168083691886</v>
      </c>
      <c r="X3015" s="351"/>
    </row>
    <row r="3016" spans="3:24" ht="24.75" customHeight="1" x14ac:dyDescent="0.3">
      <c r="C3016" s="353">
        <f>ABS(E3016-Dashboard!$F$14)</f>
        <v>58.573197158899397</v>
      </c>
      <c r="D3016" s="350">
        <f t="shared" si="3039"/>
        <v>0.37434999999997404</v>
      </c>
      <c r="E3016" s="359" cm="1">
        <f t="array" ref="E3016">1000*SUM('DRE + DCF'!$L$36/M3016,'DRE + DCF'!$N$36:$V$36/N3016:V3016,F3016/V3016)/Dashboard!$F$11</f>
        <v>38.416802841100598</v>
      </c>
      <c r="F3016" s="359">
        <f t="shared" si="3037"/>
        <v>6845423.6183794094</v>
      </c>
      <c r="G3016" s="359">
        <f>'DRE + DCF'!$W$31</f>
        <v>2791623.3540418856</v>
      </c>
      <c r="H3016" s="359">
        <f>'DRE + DCF'!$W$32</f>
        <v>81081.931703745853</v>
      </c>
      <c r="I3016" s="359">
        <f>-H3016*('DRE + DCF'!$V$33+K3016)/'DRE + DCF'!$V$33</f>
        <v>-90858.801614444121</v>
      </c>
      <c r="J3016" s="359">
        <f>-'DRE + DCF'!$V$56*L3016</f>
        <v>-1188924.4255577971</v>
      </c>
      <c r="K3016" s="360">
        <f>(1+L3016)/(1+Ke!$O$12)-1</f>
        <v>2.0000000000000018E-2</v>
      </c>
      <c r="L3016" s="360">
        <f>'DRE + DCF'!$Y$31</f>
        <v>7.3550000000000004E-2</v>
      </c>
      <c r="M3016" s="361">
        <f>(1+D3016)^((5-Dashboard!$F$9)*3/12)</f>
        <v>1.2693255152735261</v>
      </c>
      <c r="N3016" s="361">
        <f t="shared" ref="N3016:V3016" si="3097">M3016*(1+$D3016)</f>
        <v>1.7444975219161376</v>
      </c>
      <c r="O3016" s="361">
        <f t="shared" si="3097"/>
        <v>2.3975501692453984</v>
      </c>
      <c r="P3016" s="361">
        <f t="shared" si="3097"/>
        <v>3.2950730751023509</v>
      </c>
      <c r="Q3016" s="361">
        <f t="shared" si="3097"/>
        <v>4.5285836807668298</v>
      </c>
      <c r="R3016" s="361">
        <f t="shared" si="3097"/>
        <v>6.2238589816617749</v>
      </c>
      <c r="S3016" s="361">
        <f t="shared" si="3097"/>
        <v>8.5537605914466983</v>
      </c>
      <c r="T3016" s="361">
        <f t="shared" si="3097"/>
        <v>11.755860868854548</v>
      </c>
      <c r="U3016" s="361">
        <f t="shared" si="3097"/>
        <v>16.156667385109941</v>
      </c>
      <c r="V3016" s="362">
        <f t="shared" si="3097"/>
        <v>22.204915820725429</v>
      </c>
      <c r="X3016" s="351"/>
    </row>
    <row r="3017" spans="3:24" ht="24.75" customHeight="1" x14ac:dyDescent="0.3">
      <c r="C3017" s="353">
        <f>ABS(E3017-Dashboard!$F$14)</f>
        <v>58.588314485824647</v>
      </c>
      <c r="D3017" s="350">
        <f t="shared" si="3039"/>
        <v>0.37444999999997403</v>
      </c>
      <c r="E3017" s="359" cm="1">
        <f t="array" ref="E3017">1000*SUM('DRE + DCF'!$L$36/M3017,'DRE + DCF'!$N$36:$V$36/N3017:V3017,F3017/V3017)/Dashboard!$F$11</f>
        <v>38.401685514175348</v>
      </c>
      <c r="F3017" s="359">
        <f t="shared" si="3037"/>
        <v>6843409.934559321</v>
      </c>
      <c r="G3017" s="359">
        <f>'DRE + DCF'!$W$31</f>
        <v>2791623.3540418856</v>
      </c>
      <c r="H3017" s="359">
        <f>'DRE + DCF'!$W$32</f>
        <v>81081.931703745853</v>
      </c>
      <c r="I3017" s="359">
        <f>-H3017*('DRE + DCF'!$V$33+K3017)/'DRE + DCF'!$V$33</f>
        <v>-90858.801614444121</v>
      </c>
      <c r="J3017" s="359">
        <f>-'DRE + DCF'!$V$56*L3017</f>
        <v>-1188924.4255577971</v>
      </c>
      <c r="K3017" s="360">
        <f>(1+L3017)/(1+Ke!$O$12)-1</f>
        <v>2.0000000000000018E-2</v>
      </c>
      <c r="L3017" s="360">
        <f>'DRE + DCF'!$Y$31</f>
        <v>7.3550000000000004E-2</v>
      </c>
      <c r="M3017" s="361">
        <f>(1+D3017)^((5-Dashboard!$F$9)*3/12)</f>
        <v>1.269394783325924</v>
      </c>
      <c r="N3017" s="361">
        <f t="shared" ref="N3017:V3017" si="3098">M3017*(1+$D3017)</f>
        <v>1.7447196599422832</v>
      </c>
      <c r="O3017" s="361">
        <f t="shared" si="3098"/>
        <v>2.3980299366076259</v>
      </c>
      <c r="P3017" s="361">
        <f t="shared" si="3098"/>
        <v>3.295972246370289</v>
      </c>
      <c r="Q3017" s="361">
        <f t="shared" si="3098"/>
        <v>4.5301490540235578</v>
      </c>
      <c r="R3017" s="361">
        <f t="shared" si="3098"/>
        <v>6.2264633673025616</v>
      </c>
      <c r="S3017" s="361">
        <f t="shared" si="3098"/>
        <v>8.557962575188844</v>
      </c>
      <c r="T3017" s="361">
        <f t="shared" si="3098"/>
        <v>11.762491661468085</v>
      </c>
      <c r="U3017" s="361">
        <f t="shared" si="3098"/>
        <v>16.166956664104504</v>
      </c>
      <c r="V3017" s="362">
        <f t="shared" si="3098"/>
        <v>22.220673586978013</v>
      </c>
      <c r="X3017" s="351"/>
    </row>
    <row r="3018" spans="3:24" ht="24.75" customHeight="1" x14ac:dyDescent="0.3">
      <c r="C3018" s="353">
        <f>ABS(E3018-Dashboard!$F$14)</f>
        <v>58.603420856978026</v>
      </c>
      <c r="D3018" s="350">
        <f t="shared" si="3039"/>
        <v>0.37454999999997401</v>
      </c>
      <c r="E3018" s="359" cm="1">
        <f t="array" ref="E3018">1000*SUM('DRE + DCF'!$L$36/M3018,'DRE + DCF'!$N$36:$V$36/N3018:V3018,F3018/V3018)/Dashboard!$F$11</f>
        <v>38.386579143021969</v>
      </c>
      <c r="F3018" s="359">
        <f t="shared" si="3037"/>
        <v>6841397.4492545277</v>
      </c>
      <c r="G3018" s="359">
        <f>'DRE + DCF'!$W$31</f>
        <v>2791623.3540418856</v>
      </c>
      <c r="H3018" s="359">
        <f>'DRE + DCF'!$W$32</f>
        <v>81081.931703745853</v>
      </c>
      <c r="I3018" s="359">
        <f>-H3018*('DRE + DCF'!$V$33+K3018)/'DRE + DCF'!$V$33</f>
        <v>-90858.801614444121</v>
      </c>
      <c r="J3018" s="359">
        <f>-'DRE + DCF'!$V$56*L3018</f>
        <v>-1188924.4255577971</v>
      </c>
      <c r="K3018" s="360">
        <f>(1+L3018)/(1+Ke!$O$12)-1</f>
        <v>2.0000000000000018E-2</v>
      </c>
      <c r="L3018" s="360">
        <f>'DRE + DCF'!$Y$31</f>
        <v>7.3550000000000004E-2</v>
      </c>
      <c r="M3018" s="361">
        <f>(1+D3018)^((5-Dashboard!$F$9)*3/12)</f>
        <v>1.2694640501184105</v>
      </c>
      <c r="N3018" s="361">
        <f t="shared" ref="N3018:V3018" si="3099">M3018*(1+$D3018)</f>
        <v>1.7449418100902281</v>
      </c>
      <c r="O3018" s="361">
        <f t="shared" si="3099"/>
        <v>2.3985097650594778</v>
      </c>
      <c r="P3018" s="361">
        <f t="shared" si="3099"/>
        <v>3.2968715975624425</v>
      </c>
      <c r="Q3018" s="361">
        <f t="shared" si="3099"/>
        <v>4.5317148544293699</v>
      </c>
      <c r="R3018" s="361">
        <f t="shared" si="3099"/>
        <v>6.2290686531557729</v>
      </c>
      <c r="S3018" s="361">
        <f t="shared" si="3099"/>
        <v>8.5621663171951052</v>
      </c>
      <c r="T3018" s="361">
        <f t="shared" si="3099"/>
        <v>11.769125711300308</v>
      </c>
      <c r="U3018" s="361">
        <f t="shared" si="3099"/>
        <v>16.177251746467533</v>
      </c>
      <c r="V3018" s="362">
        <f t="shared" si="3099"/>
        <v>22.236441388106527</v>
      </c>
      <c r="X3018" s="351"/>
    </row>
    <row r="3019" spans="3:24" ht="24.75" customHeight="1" x14ac:dyDescent="0.3">
      <c r="C3019" s="353">
        <f>ABS(E3019-Dashboard!$F$14)</f>
        <v>58.618516283471564</v>
      </c>
      <c r="D3019" s="350">
        <f t="shared" si="3039"/>
        <v>0.374649999999974</v>
      </c>
      <c r="E3019" s="359" cm="1">
        <f t="array" ref="E3019">1000*SUM('DRE + DCF'!$L$36/M3019,'DRE + DCF'!$N$36:$V$36/N3019:V3019,F3019/V3019)/Dashboard!$F$11</f>
        <v>38.371483716528431</v>
      </c>
      <c r="F3019" s="359">
        <f t="shared" si="3037"/>
        <v>6839386.1613825411</v>
      </c>
      <c r="G3019" s="359">
        <f>'DRE + DCF'!$W$31</f>
        <v>2791623.3540418856</v>
      </c>
      <c r="H3019" s="359">
        <f>'DRE + DCF'!$W$32</f>
        <v>81081.931703745853</v>
      </c>
      <c r="I3019" s="359">
        <f>-H3019*('DRE + DCF'!$V$33+K3019)/'DRE + DCF'!$V$33</f>
        <v>-90858.801614444121</v>
      </c>
      <c r="J3019" s="359">
        <f>-'DRE + DCF'!$V$56*L3019</f>
        <v>-1188924.4255577971</v>
      </c>
      <c r="K3019" s="360">
        <f>(1+L3019)/(1+Ke!$O$12)-1</f>
        <v>2.0000000000000018E-2</v>
      </c>
      <c r="L3019" s="360">
        <f>'DRE + DCF'!$Y$31</f>
        <v>7.3550000000000004E-2</v>
      </c>
      <c r="M3019" s="361">
        <f>(1+D3019)^((5-Dashboard!$F$9)*3/12)</f>
        <v>1.2695333156510997</v>
      </c>
      <c r="N3019" s="361">
        <f t="shared" ref="N3019:V3019" si="3100">M3019*(1+$D3019)</f>
        <v>1.7451639723597512</v>
      </c>
      <c r="O3019" s="361">
        <f t="shared" si="3100"/>
        <v>2.3989896546042866</v>
      </c>
      <c r="P3019" s="361">
        <f t="shared" si="3100"/>
        <v>3.29777112870172</v>
      </c>
      <c r="Q3019" s="361">
        <f t="shared" si="3100"/>
        <v>4.5332810820697338</v>
      </c>
      <c r="R3019" s="361">
        <f t="shared" si="3100"/>
        <v>6.2316748394670416</v>
      </c>
      <c r="S3019" s="361">
        <f t="shared" si="3100"/>
        <v>8.5663718180732058</v>
      </c>
      <c r="T3019" s="361">
        <f t="shared" si="3100"/>
        <v>11.775763019714109</v>
      </c>
      <c r="U3019" s="361">
        <f t="shared" si="3100"/>
        <v>16.187552635049695</v>
      </c>
      <c r="V3019" s="362">
        <f t="shared" si="3100"/>
        <v>22.252219229770642</v>
      </c>
      <c r="X3019" s="351"/>
    </row>
    <row r="3020" spans="3:24" ht="24.75" customHeight="1" x14ac:dyDescent="0.3">
      <c r="C3020" s="353">
        <f>ABS(E3020-Dashboard!$F$14)</f>
        <v>58.633600776402965</v>
      </c>
      <c r="D3020" s="350">
        <f t="shared" si="3039"/>
        <v>0.37474999999997399</v>
      </c>
      <c r="E3020" s="359" cm="1">
        <f t="array" ref="E3020">1000*SUM('DRE + DCF'!$L$36/M3020,'DRE + DCF'!$N$36:$V$36/N3020:V3020,F3020/V3020)/Dashboard!$F$11</f>
        <v>38.35639922359703</v>
      </c>
      <c r="F3020" s="359">
        <f t="shared" si="3037"/>
        <v>6837376.0698621962</v>
      </c>
      <c r="G3020" s="359">
        <f>'DRE + DCF'!$W$31</f>
        <v>2791623.3540418856</v>
      </c>
      <c r="H3020" s="359">
        <f>'DRE + DCF'!$W$32</f>
        <v>81081.931703745853</v>
      </c>
      <c r="I3020" s="359">
        <f>-H3020*('DRE + DCF'!$V$33+K3020)/'DRE + DCF'!$V$33</f>
        <v>-90858.801614444121</v>
      </c>
      <c r="J3020" s="359">
        <f>-'DRE + DCF'!$V$56*L3020</f>
        <v>-1188924.4255577971</v>
      </c>
      <c r="K3020" s="360">
        <f>(1+L3020)/(1+Ke!$O$12)-1</f>
        <v>2.0000000000000018E-2</v>
      </c>
      <c r="L3020" s="360">
        <f>'DRE + DCF'!$Y$31</f>
        <v>7.3550000000000004E-2</v>
      </c>
      <c r="M3020" s="361">
        <f>(1+D3020)^((5-Dashboard!$F$9)*3/12)</f>
        <v>1.2696025799241066</v>
      </c>
      <c r="N3020" s="361">
        <f t="shared" ref="N3020:V3020" si="3101">M3020*(1+$D3020)</f>
        <v>1.7453861467506324</v>
      </c>
      <c r="O3020" s="361">
        <f t="shared" si="3101"/>
        <v>2.3994696052453865</v>
      </c>
      <c r="P3020" s="361">
        <f t="shared" si="3101"/>
        <v>3.2986708398110327</v>
      </c>
      <c r="Q3020" s="361">
        <f t="shared" si="3101"/>
        <v>4.5348477370301312</v>
      </c>
      <c r="R3020" s="361">
        <f t="shared" si="3101"/>
        <v>6.2342819264820548</v>
      </c>
      <c r="S3020" s="361">
        <f t="shared" si="3101"/>
        <v>8.5705790784310416</v>
      </c>
      <c r="T3020" s="361">
        <f t="shared" si="3101"/>
        <v>11.782403588072851</v>
      </c>
      <c r="U3020" s="361">
        <f t="shared" si="3101"/>
        <v>16.197859332702844</v>
      </c>
      <c r="V3020" s="362">
        <f t="shared" si="3101"/>
        <v>22.268007117632813</v>
      </c>
      <c r="X3020" s="351"/>
    </row>
    <row r="3021" spans="3:24" ht="24.75" customHeight="1" x14ac:dyDescent="0.3">
      <c r="C3021" s="353">
        <f>ABS(E3021-Dashboard!$F$14)</f>
        <v>58.6486743468556</v>
      </c>
      <c r="D3021" s="350">
        <f t="shared" si="3039"/>
        <v>0.37484999999997398</v>
      </c>
      <c r="E3021" s="359" cm="1">
        <f t="array" ref="E3021">1000*SUM('DRE + DCF'!$L$36/M3021,'DRE + DCF'!$N$36:$V$36/N3021:V3021,F3021/V3021)/Dashboard!$F$11</f>
        <v>38.341325653144395</v>
      </c>
      <c r="F3021" s="359">
        <f t="shared" si="3037"/>
        <v>6835367.1736136451</v>
      </c>
      <c r="G3021" s="359">
        <f>'DRE + DCF'!$W$31</f>
        <v>2791623.3540418856</v>
      </c>
      <c r="H3021" s="359">
        <f>'DRE + DCF'!$W$32</f>
        <v>81081.931703745853</v>
      </c>
      <c r="I3021" s="359">
        <f>-H3021*('DRE + DCF'!$V$33+K3021)/'DRE + DCF'!$V$33</f>
        <v>-90858.801614444121</v>
      </c>
      <c r="J3021" s="359">
        <f>-'DRE + DCF'!$V$56*L3021</f>
        <v>-1188924.4255577971</v>
      </c>
      <c r="K3021" s="360">
        <f>(1+L3021)/(1+Ke!$O$12)-1</f>
        <v>2.0000000000000018E-2</v>
      </c>
      <c r="L3021" s="360">
        <f>'DRE + DCF'!$Y$31</f>
        <v>7.3550000000000004E-2</v>
      </c>
      <c r="M3021" s="361">
        <f>(1+D3021)^((5-Dashboard!$F$9)*3/12)</f>
        <v>1.2696718429375453</v>
      </c>
      <c r="N3021" s="361">
        <f t="shared" ref="N3021:V3021" si="3102">M3021*(1+$D3021)</f>
        <v>1.7456083332626511</v>
      </c>
      <c r="O3021" s="361">
        <f t="shared" si="3102"/>
        <v>2.3999496169861105</v>
      </c>
      <c r="P3021" s="361">
        <f t="shared" si="3102"/>
        <v>3.2995707309132913</v>
      </c>
      <c r="Q3021" s="361">
        <f t="shared" si="3102"/>
        <v>4.536414819396053</v>
      </c>
      <c r="R3021" s="361">
        <f t="shared" si="3102"/>
        <v>6.2368899144465448</v>
      </c>
      <c r="S3021" s="361">
        <f t="shared" si="3102"/>
        <v>8.5747880988766703</v>
      </c>
      <c r="T3021" s="361">
        <f t="shared" si="3102"/>
        <v>11.789047417740367</v>
      </c>
      <c r="U3021" s="361">
        <f t="shared" si="3102"/>
        <v>16.208171842280034</v>
      </c>
      <c r="V3021" s="362">
        <f t="shared" si="3102"/>
        <v>22.283805057358283</v>
      </c>
      <c r="X3021" s="351"/>
    </row>
    <row r="3022" spans="3:24" ht="24.75" customHeight="1" x14ac:dyDescent="0.3">
      <c r="C3022" s="353">
        <f>ABS(E3022-Dashboard!$F$14)</f>
        <v>58.663737005898547</v>
      </c>
      <c r="D3022" s="350">
        <f t="shared" si="3039"/>
        <v>0.37494999999997397</v>
      </c>
      <c r="E3022" s="359" cm="1">
        <f t="array" ref="E3022">1000*SUM('DRE + DCF'!$L$36/M3022,'DRE + DCF'!$N$36:$V$36/N3022:V3022,F3022/V3022)/Dashboard!$F$11</f>
        <v>38.326262994101448</v>
      </c>
      <c r="F3022" s="359">
        <f t="shared" ref="F3022:F3085" si="3103">AVERAGE(SUM(G3022:J3022)*(1+L3022)/(D3022-L3022),G3022*(1+L3022)*(1-L3022/D3022)/(D3022-L3022))</f>
        <v>6833359.4715583483</v>
      </c>
      <c r="G3022" s="359">
        <f>'DRE + DCF'!$W$31</f>
        <v>2791623.3540418856</v>
      </c>
      <c r="H3022" s="359">
        <f>'DRE + DCF'!$W$32</f>
        <v>81081.931703745853</v>
      </c>
      <c r="I3022" s="359">
        <f>-H3022*('DRE + DCF'!$V$33+K3022)/'DRE + DCF'!$V$33</f>
        <v>-90858.801614444121</v>
      </c>
      <c r="J3022" s="359">
        <f>-'DRE + DCF'!$V$56*L3022</f>
        <v>-1188924.4255577971</v>
      </c>
      <c r="K3022" s="360">
        <f>(1+L3022)/(1+Ke!$O$12)-1</f>
        <v>2.0000000000000018E-2</v>
      </c>
      <c r="L3022" s="360">
        <f>'DRE + DCF'!$Y$31</f>
        <v>7.3550000000000004E-2</v>
      </c>
      <c r="M3022" s="361">
        <f>(1+D3022)^((5-Dashboard!$F$9)*3/12)</f>
        <v>1.2697411046915308</v>
      </c>
      <c r="N3022" s="361">
        <f t="shared" ref="N3022:V3022" si="3104">M3022*(1+$D3022)</f>
        <v>1.7458305318955871</v>
      </c>
      <c r="O3022" s="361">
        <f t="shared" si="3104"/>
        <v>2.4004296898297919</v>
      </c>
      <c r="P3022" s="361">
        <f t="shared" si="3104"/>
        <v>3.3004708020314095</v>
      </c>
      <c r="Q3022" s="361">
        <f t="shared" si="3104"/>
        <v>4.5379823292530004</v>
      </c>
      <c r="R3022" s="361">
        <f t="shared" si="3104"/>
        <v>6.2394988036062946</v>
      </c>
      <c r="S3022" s="361">
        <f t="shared" si="3104"/>
        <v>8.5789988800183128</v>
      </c>
      <c r="T3022" s="361">
        <f t="shared" si="3104"/>
        <v>11.795694510080956</v>
      </c>
      <c r="U3022" s="361">
        <f t="shared" si="3104"/>
        <v>16.218490166635505</v>
      </c>
      <c r="V3022" s="362">
        <f t="shared" si="3104"/>
        <v>22.299613054615065</v>
      </c>
      <c r="X3022" s="351"/>
    </row>
    <row r="3023" spans="3:24" ht="24.75" customHeight="1" x14ac:dyDescent="0.3">
      <c r="C3023" s="353">
        <f>ABS(E3023-Dashboard!$F$14)</f>
        <v>58.678788764586606</v>
      </c>
      <c r="D3023" s="350">
        <f t="shared" ref="D3023:D3086" si="3105">D3022+0.0001</f>
        <v>0.37504999999997396</v>
      </c>
      <c r="E3023" s="359" cm="1">
        <f t="array" ref="E3023">1000*SUM('DRE + DCF'!$L$36/M3023,'DRE + DCF'!$N$36:$V$36/N3023:V3023,F3023/V3023)/Dashboard!$F$11</f>
        <v>38.311211235413388</v>
      </c>
      <c r="F3023" s="359">
        <f t="shared" si="3103"/>
        <v>6831352.962619083</v>
      </c>
      <c r="G3023" s="359">
        <f>'DRE + DCF'!$W$31</f>
        <v>2791623.3540418856</v>
      </c>
      <c r="H3023" s="359">
        <f>'DRE + DCF'!$W$32</f>
        <v>81081.931703745853</v>
      </c>
      <c r="I3023" s="359">
        <f>-H3023*('DRE + DCF'!$V$33+K3023)/'DRE + DCF'!$V$33</f>
        <v>-90858.801614444121</v>
      </c>
      <c r="J3023" s="359">
        <f>-'DRE + DCF'!$V$56*L3023</f>
        <v>-1188924.4255577971</v>
      </c>
      <c r="K3023" s="360">
        <f>(1+L3023)/(1+Ke!$O$12)-1</f>
        <v>2.0000000000000018E-2</v>
      </c>
      <c r="L3023" s="360">
        <f>'DRE + DCF'!$Y$31</f>
        <v>7.3550000000000004E-2</v>
      </c>
      <c r="M3023" s="361">
        <f>(1+D3023)^((5-Dashboard!$F$9)*3/12)</f>
        <v>1.2698103651861772</v>
      </c>
      <c r="N3023" s="361">
        <f t="shared" ref="N3023:V3023" si="3106">M3023*(1+$D3023)</f>
        <v>1.7460527426492198</v>
      </c>
      <c r="O3023" s="361">
        <f t="shared" si="3106"/>
        <v>2.4009098237797644</v>
      </c>
      <c r="P3023" s="361">
        <f t="shared" si="3106"/>
        <v>3.3013710531883023</v>
      </c>
      <c r="Q3023" s="361">
        <f t="shared" si="3106"/>
        <v>4.5395502666864891</v>
      </c>
      <c r="R3023" s="361">
        <f t="shared" si="3106"/>
        <v>6.2421085942071386</v>
      </c>
      <c r="S3023" s="361">
        <f t="shared" si="3106"/>
        <v>8.5832114224643625</v>
      </c>
      <c r="T3023" s="361">
        <f t="shared" si="3106"/>
        <v>11.802344866459398</v>
      </c>
      <c r="U3023" s="361">
        <f t="shared" si="3106"/>
        <v>16.228814308624688</v>
      </c>
      <c r="V3023" s="362">
        <f t="shared" si="3106"/>
        <v>22.315431115073956</v>
      </c>
      <c r="X3023" s="351"/>
    </row>
    <row r="3024" spans="3:24" ht="24.75" customHeight="1" x14ac:dyDescent="0.3">
      <c r="C3024" s="353">
        <f>ABS(E3024-Dashboard!$F$14)</f>
        <v>58.693829633960299</v>
      </c>
      <c r="D3024" s="350">
        <f t="shared" si="3105"/>
        <v>0.37514999999997395</v>
      </c>
      <c r="E3024" s="359" cm="1">
        <f t="array" ref="E3024">1000*SUM('DRE + DCF'!$L$36/M3024,'DRE + DCF'!$N$36:$V$36/N3024:V3024,F3024/V3024)/Dashboard!$F$11</f>
        <v>38.296170366039696</v>
      </c>
      <c r="F3024" s="359">
        <f t="shared" si="3103"/>
        <v>6829347.645719937</v>
      </c>
      <c r="G3024" s="359">
        <f>'DRE + DCF'!$W$31</f>
        <v>2791623.3540418856</v>
      </c>
      <c r="H3024" s="359">
        <f>'DRE + DCF'!$W$32</f>
        <v>81081.931703745853</v>
      </c>
      <c r="I3024" s="359">
        <f>-H3024*('DRE + DCF'!$V$33+K3024)/'DRE + DCF'!$V$33</f>
        <v>-90858.801614444121</v>
      </c>
      <c r="J3024" s="359">
        <f>-'DRE + DCF'!$V$56*L3024</f>
        <v>-1188924.4255577971</v>
      </c>
      <c r="K3024" s="360">
        <f>(1+L3024)/(1+Ke!$O$12)-1</f>
        <v>2.0000000000000018E-2</v>
      </c>
      <c r="L3024" s="360">
        <f>'DRE + DCF'!$Y$31</f>
        <v>7.3550000000000004E-2</v>
      </c>
      <c r="M3024" s="361">
        <f>(1+D3024)^((5-Dashboard!$F$9)*3/12)</f>
        <v>1.2698796244215991</v>
      </c>
      <c r="N3024" s="361">
        <f t="shared" ref="N3024:V3024" si="3107">M3024*(1+$D3024)</f>
        <v>1.7462749655233287</v>
      </c>
      <c r="O3024" s="361">
        <f t="shared" si="3107"/>
        <v>2.40139001883936</v>
      </c>
      <c r="P3024" s="361">
        <f t="shared" si="3107"/>
        <v>3.3022714844068832</v>
      </c>
      <c r="Q3024" s="361">
        <f t="shared" si="3107"/>
        <v>4.5411186317820391</v>
      </c>
      <c r="R3024" s="361">
        <f t="shared" si="3107"/>
        <v>6.2447192864949521</v>
      </c>
      <c r="S3024" s="361">
        <f t="shared" si="3107"/>
        <v>8.5874257268233709</v>
      </c>
      <c r="T3024" s="361">
        <f t="shared" si="3107"/>
        <v>11.808998488240935</v>
      </c>
      <c r="U3024" s="361">
        <f t="shared" si="3107"/>
        <v>16.239144271104212</v>
      </c>
      <c r="V3024" s="362">
        <f t="shared" si="3107"/>
        <v>22.331259244408535</v>
      </c>
      <c r="X3024" s="351"/>
    </row>
    <row r="3025" spans="3:24" ht="24.75" customHeight="1" x14ac:dyDescent="0.3">
      <c r="C3025" s="353">
        <f>ABS(E3025-Dashboard!$F$14)</f>
        <v>58.70885962504596</v>
      </c>
      <c r="D3025" s="350">
        <f t="shared" si="3105"/>
        <v>0.37524999999997394</v>
      </c>
      <c r="E3025" s="359" cm="1">
        <f t="array" ref="E3025">1000*SUM('DRE + DCF'!$L$36/M3025,'DRE + DCF'!$N$36:$V$36/N3025:V3025,F3025/V3025)/Dashboard!$F$11</f>
        <v>38.281140374954035</v>
      </c>
      <c r="F3025" s="359">
        <f t="shared" si="3103"/>
        <v>6827343.5197863057</v>
      </c>
      <c r="G3025" s="359">
        <f>'DRE + DCF'!$W$31</f>
        <v>2791623.3540418856</v>
      </c>
      <c r="H3025" s="359">
        <f>'DRE + DCF'!$W$32</f>
        <v>81081.931703745853</v>
      </c>
      <c r="I3025" s="359">
        <f>-H3025*('DRE + DCF'!$V$33+K3025)/'DRE + DCF'!$V$33</f>
        <v>-90858.801614444121</v>
      </c>
      <c r="J3025" s="359">
        <f>-'DRE + DCF'!$V$56*L3025</f>
        <v>-1188924.4255577971</v>
      </c>
      <c r="K3025" s="360">
        <f>(1+L3025)/(1+Ke!$O$12)-1</f>
        <v>2.0000000000000018E-2</v>
      </c>
      <c r="L3025" s="360">
        <f>'DRE + DCF'!$Y$31</f>
        <v>7.3550000000000004E-2</v>
      </c>
      <c r="M3025" s="361">
        <f>(1+D3025)^((5-Dashboard!$F$9)*3/12)</f>
        <v>1.269948882397911</v>
      </c>
      <c r="N3025" s="361">
        <f t="shared" ref="N3025:V3025" si="3108">M3025*(1+$D3025)</f>
        <v>1.746497200517694</v>
      </c>
      <c r="O3025" s="361">
        <f t="shared" si="3108"/>
        <v>2.401870275011913</v>
      </c>
      <c r="P3025" s="361">
        <f t="shared" si="3108"/>
        <v>3.3031720957100705</v>
      </c>
      <c r="Q3025" s="361">
        <f t="shared" si="3108"/>
        <v>4.5426874246251883</v>
      </c>
      <c r="R3025" s="361">
        <f t="shared" si="3108"/>
        <v>6.2473308807156718</v>
      </c>
      <c r="S3025" s="361">
        <f t="shared" si="3108"/>
        <v>8.5916417937040652</v>
      </c>
      <c r="T3025" s="361">
        <f t="shared" si="3108"/>
        <v>11.815655376791291</v>
      </c>
      <c r="U3025" s="361">
        <f t="shared" si="3108"/>
        <v>16.249480056931915</v>
      </c>
      <c r="V3025" s="362">
        <f t="shared" si="3108"/>
        <v>22.347097448295191</v>
      </c>
      <c r="X3025" s="351"/>
    </row>
    <row r="3026" spans="3:24" ht="24.75" customHeight="1" x14ac:dyDescent="0.3">
      <c r="C3026" s="353">
        <f>ABS(E3026-Dashboard!$F$14)</f>
        <v>58.72387874885564</v>
      </c>
      <c r="D3026" s="350">
        <f t="shared" si="3105"/>
        <v>0.37534999999997393</v>
      </c>
      <c r="E3026" s="359" cm="1">
        <f t="array" ref="E3026">1000*SUM('DRE + DCF'!$L$36/M3026,'DRE + DCF'!$N$36:$V$36/N3026:V3026,F3026/V3026)/Dashboard!$F$11</f>
        <v>38.266121251144355</v>
      </c>
      <c r="F3026" s="359">
        <f t="shared" si="3103"/>
        <v>6825340.5837448873</v>
      </c>
      <c r="G3026" s="359">
        <f>'DRE + DCF'!$W$31</f>
        <v>2791623.3540418856</v>
      </c>
      <c r="H3026" s="359">
        <f>'DRE + DCF'!$W$32</f>
        <v>81081.931703745853</v>
      </c>
      <c r="I3026" s="359">
        <f>-H3026*('DRE + DCF'!$V$33+K3026)/'DRE + DCF'!$V$33</f>
        <v>-90858.801614444121</v>
      </c>
      <c r="J3026" s="359">
        <f>-'DRE + DCF'!$V$56*L3026</f>
        <v>-1188924.4255577971</v>
      </c>
      <c r="K3026" s="360">
        <f>(1+L3026)/(1+Ke!$O$12)-1</f>
        <v>2.0000000000000018E-2</v>
      </c>
      <c r="L3026" s="360">
        <f>'DRE + DCF'!$Y$31</f>
        <v>7.3550000000000004E-2</v>
      </c>
      <c r="M3026" s="361">
        <f>(1+D3026)^((5-Dashboard!$F$9)*3/12)</f>
        <v>1.2700181391152272</v>
      </c>
      <c r="N3026" s="361">
        <f t="shared" ref="N3026:V3026" si="3109">M3026*(1+$D3026)</f>
        <v>1.7467194476320946</v>
      </c>
      <c r="O3026" s="361">
        <f t="shared" si="3109"/>
        <v>2.4023505923007558</v>
      </c>
      <c r="P3026" s="361">
        <f t="shared" si="3109"/>
        <v>3.3040728871207818</v>
      </c>
      <c r="Q3026" s="361">
        <f t="shared" si="3109"/>
        <v>4.5442566453014805</v>
      </c>
      <c r="R3026" s="361">
        <f t="shared" si="3109"/>
        <v>6.2499433771152724</v>
      </c>
      <c r="S3026" s="361">
        <f t="shared" si="3109"/>
        <v>8.5958596237153273</v>
      </c>
      <c r="T3026" s="361">
        <f t="shared" si="3109"/>
        <v>11.822315533476651</v>
      </c>
      <c r="U3026" s="361">
        <f t="shared" si="3109"/>
        <v>16.259821668966804</v>
      </c>
      <c r="V3026" s="362">
        <f t="shared" si="3109"/>
        <v>22.36294573241307</v>
      </c>
      <c r="X3026" s="351"/>
    </row>
    <row r="3027" spans="3:24" ht="24.75" customHeight="1" x14ac:dyDescent="0.3">
      <c r="C3027" s="353">
        <f>ABS(E3027-Dashboard!$F$14)</f>
        <v>58.738887016387281</v>
      </c>
      <c r="D3027" s="350">
        <f t="shared" si="3105"/>
        <v>0.37544999999997392</v>
      </c>
      <c r="E3027" s="359" cm="1">
        <f t="array" ref="E3027">1000*SUM('DRE + DCF'!$L$36/M3027,'DRE + DCF'!$N$36:$V$36/N3027:V3027,F3027/V3027)/Dashboard!$F$11</f>
        <v>38.251112983612714</v>
      </c>
      <c r="F3027" s="359">
        <f t="shared" si="3103"/>
        <v>6823338.8365236912</v>
      </c>
      <c r="G3027" s="359">
        <f>'DRE + DCF'!$W$31</f>
        <v>2791623.3540418856</v>
      </c>
      <c r="H3027" s="359">
        <f>'DRE + DCF'!$W$32</f>
        <v>81081.931703745853</v>
      </c>
      <c r="I3027" s="359">
        <f>-H3027*('DRE + DCF'!$V$33+K3027)/'DRE + DCF'!$V$33</f>
        <v>-90858.801614444121</v>
      </c>
      <c r="J3027" s="359">
        <f>-'DRE + DCF'!$V$56*L3027</f>
        <v>-1188924.4255577971</v>
      </c>
      <c r="K3027" s="360">
        <f>(1+L3027)/(1+Ke!$O$12)-1</f>
        <v>2.0000000000000018E-2</v>
      </c>
      <c r="L3027" s="360">
        <f>'DRE + DCF'!$Y$31</f>
        <v>7.3550000000000004E-2</v>
      </c>
      <c r="M3027" s="361">
        <f>(1+D3027)^((5-Dashboard!$F$9)*3/12)</f>
        <v>1.2700873945736624</v>
      </c>
      <c r="N3027" s="361">
        <f t="shared" ref="N3027:V3027" si="3110">M3027*(1+$D3027)</f>
        <v>1.7469417068663107</v>
      </c>
      <c r="O3027" s="361">
        <f t="shared" si="3110"/>
        <v>2.4028309707092212</v>
      </c>
      <c r="P3027" s="361">
        <f t="shared" si="3110"/>
        <v>3.3049738586619357</v>
      </c>
      <c r="Q3027" s="361">
        <f t="shared" si="3110"/>
        <v>4.5458262938964733</v>
      </c>
      <c r="R3027" s="361">
        <f t="shared" si="3110"/>
        <v>6.2525567759397855</v>
      </c>
      <c r="S3027" s="361">
        <f t="shared" si="3110"/>
        <v>8.6000792174662148</v>
      </c>
      <c r="T3027" s="361">
        <f t="shared" si="3110"/>
        <v>11.828978959663681</v>
      </c>
      <c r="U3027" s="361">
        <f t="shared" si="3110"/>
        <v>16.270169110069101</v>
      </c>
      <c r="V3027" s="362">
        <f t="shared" si="3110"/>
        <v>22.378804102444121</v>
      </c>
      <c r="X3027" s="351"/>
    </row>
    <row r="3028" spans="3:24" ht="24.75" customHeight="1" x14ac:dyDescent="0.3">
      <c r="C3028" s="353">
        <f>ABS(E3028-Dashboard!$F$14)</f>
        <v>58.75388443862461</v>
      </c>
      <c r="D3028" s="350">
        <f t="shared" si="3105"/>
        <v>0.3755499999999739</v>
      </c>
      <c r="E3028" s="359" cm="1">
        <f t="array" ref="E3028">1000*SUM('DRE + DCF'!$L$36/M3028,'DRE + DCF'!$N$36:$V$36/N3028:V3028,F3028/V3028)/Dashboard!$F$11</f>
        <v>38.236115561375385</v>
      </c>
      <c r="F3028" s="359">
        <f t="shared" si="3103"/>
        <v>6821338.2770520234</v>
      </c>
      <c r="G3028" s="359">
        <f>'DRE + DCF'!$W$31</f>
        <v>2791623.3540418856</v>
      </c>
      <c r="H3028" s="359">
        <f>'DRE + DCF'!$W$32</f>
        <v>81081.931703745853</v>
      </c>
      <c r="I3028" s="359">
        <f>-H3028*('DRE + DCF'!$V$33+K3028)/'DRE + DCF'!$V$33</f>
        <v>-90858.801614444121</v>
      </c>
      <c r="J3028" s="359">
        <f>-'DRE + DCF'!$V$56*L3028</f>
        <v>-1188924.4255577971</v>
      </c>
      <c r="K3028" s="360">
        <f>(1+L3028)/(1+Ke!$O$12)-1</f>
        <v>2.0000000000000018E-2</v>
      </c>
      <c r="L3028" s="360">
        <f>'DRE + DCF'!$Y$31</f>
        <v>7.3550000000000004E-2</v>
      </c>
      <c r="M3028" s="361">
        <f>(1+D3028)^((5-Dashboard!$F$9)*3/12)</f>
        <v>1.2701566487733307</v>
      </c>
      <c r="N3028" s="361">
        <f t="shared" ref="N3028:V3028" si="3111">M3028*(1+$D3028)</f>
        <v>1.7471639782201218</v>
      </c>
      <c r="O3028" s="361">
        <f t="shared" si="3111"/>
        <v>2.4033114102406428</v>
      </c>
      <c r="P3028" s="361">
        <f t="shared" si="3111"/>
        <v>3.3058750103564534</v>
      </c>
      <c r="Q3028" s="361">
        <f t="shared" si="3111"/>
        <v>4.5473963704957328</v>
      </c>
      <c r="R3028" s="361">
        <f t="shared" si="3111"/>
        <v>6.2551710774352864</v>
      </c>
      <c r="S3028" s="361">
        <f t="shared" si="3111"/>
        <v>8.6043005755659454</v>
      </c>
      <c r="T3028" s="361">
        <f t="shared" si="3111"/>
        <v>11.835645656719512</v>
      </c>
      <c r="U3028" s="361">
        <f t="shared" si="3111"/>
        <v>16.280522383100216</v>
      </c>
      <c r="V3028" s="362">
        <f t="shared" si="3111"/>
        <v>22.394672564073076</v>
      </c>
      <c r="X3028" s="351"/>
    </row>
    <row r="3029" spans="3:24" ht="24.75" customHeight="1" x14ac:dyDescent="0.3">
      <c r="C3029" s="353">
        <f>ABS(E3029-Dashboard!$F$14)</f>
        <v>58.768871026537219</v>
      </c>
      <c r="D3029" s="350">
        <f t="shared" si="3105"/>
        <v>0.37564999999997389</v>
      </c>
      <c r="E3029" s="359" cm="1">
        <f t="array" ref="E3029">1000*SUM('DRE + DCF'!$L$36/M3029,'DRE + DCF'!$N$36:$V$36/N3029:V3029,F3029/V3029)/Dashboard!$F$11</f>
        <v>38.221128973462775</v>
      </c>
      <c r="F3029" s="359">
        <f t="shared" si="3103"/>
        <v>6819338.9042604929</v>
      </c>
      <c r="G3029" s="359">
        <f>'DRE + DCF'!$W$31</f>
        <v>2791623.3540418856</v>
      </c>
      <c r="H3029" s="359">
        <f>'DRE + DCF'!$W$32</f>
        <v>81081.931703745853</v>
      </c>
      <c r="I3029" s="359">
        <f>-H3029*('DRE + DCF'!$V$33+K3029)/'DRE + DCF'!$V$33</f>
        <v>-90858.801614444121</v>
      </c>
      <c r="J3029" s="359">
        <f>-'DRE + DCF'!$V$56*L3029</f>
        <v>-1188924.4255577971</v>
      </c>
      <c r="K3029" s="360">
        <f>(1+L3029)/(1+Ke!$O$12)-1</f>
        <v>2.0000000000000018E-2</v>
      </c>
      <c r="L3029" s="360">
        <f>'DRE + DCF'!$Y$31</f>
        <v>7.3550000000000004E-2</v>
      </c>
      <c r="M3029" s="361">
        <f>(1+D3029)^((5-Dashboard!$F$9)*3/12)</f>
        <v>1.2702259017143467</v>
      </c>
      <c r="N3029" s="361">
        <f t="shared" ref="N3029:V3029" si="3112">M3029*(1+$D3029)</f>
        <v>1.7473862616933078</v>
      </c>
      <c r="O3029" s="361">
        <f t="shared" si="3112"/>
        <v>2.4037919108983532</v>
      </c>
      <c r="P3029" s="361">
        <f t="shared" si="3112"/>
        <v>3.3067763422272569</v>
      </c>
      <c r="Q3029" s="361">
        <f t="shared" si="3112"/>
        <v>4.5489668751848393</v>
      </c>
      <c r="R3029" s="361">
        <f t="shared" si="3112"/>
        <v>6.2577862818479053</v>
      </c>
      <c r="S3029" s="361">
        <f t="shared" si="3112"/>
        <v>8.6085236986239071</v>
      </c>
      <c r="T3029" s="361">
        <f t="shared" si="3112"/>
        <v>11.842315626011752</v>
      </c>
      <c r="U3029" s="361">
        <f t="shared" si="3112"/>
        <v>16.290881490922757</v>
      </c>
      <c r="V3029" s="362">
        <f t="shared" si="3112"/>
        <v>22.410551122987464</v>
      </c>
      <c r="X3029" s="351"/>
    </row>
    <row r="3030" spans="3:24" ht="24.75" customHeight="1" x14ac:dyDescent="0.3">
      <c r="C3030" s="353">
        <f>ABS(E3030-Dashboard!$F$14)</f>
        <v>58.783846791080563</v>
      </c>
      <c r="D3030" s="350">
        <f t="shared" si="3105"/>
        <v>0.37574999999997388</v>
      </c>
      <c r="E3030" s="359" cm="1">
        <f t="array" ref="E3030">1000*SUM('DRE + DCF'!$L$36/M3030,'DRE + DCF'!$N$36:$V$36/N3030:V3030,F3030/V3030)/Dashboard!$F$11</f>
        <v>38.206153208919432</v>
      </c>
      <c r="F3030" s="359">
        <f t="shared" si="3103"/>
        <v>6817340.7170810066</v>
      </c>
      <c r="G3030" s="359">
        <f>'DRE + DCF'!$W$31</f>
        <v>2791623.3540418856</v>
      </c>
      <c r="H3030" s="359">
        <f>'DRE + DCF'!$W$32</f>
        <v>81081.931703745853</v>
      </c>
      <c r="I3030" s="359">
        <f>-H3030*('DRE + DCF'!$V$33+K3030)/'DRE + DCF'!$V$33</f>
        <v>-90858.801614444121</v>
      </c>
      <c r="J3030" s="359">
        <f>-'DRE + DCF'!$V$56*L3030</f>
        <v>-1188924.4255577971</v>
      </c>
      <c r="K3030" s="360">
        <f>(1+L3030)/(1+Ke!$O$12)-1</f>
        <v>2.0000000000000018E-2</v>
      </c>
      <c r="L3030" s="360">
        <f>'DRE + DCF'!$Y$31</f>
        <v>7.3550000000000004E-2</v>
      </c>
      <c r="M3030" s="361">
        <f>(1+D3030)^((5-Dashboard!$F$9)*3/12)</f>
        <v>1.2702951533968247</v>
      </c>
      <c r="N3030" s="361">
        <f t="shared" ref="N3030:V3030" si="3113">M3030*(1+$D3030)</f>
        <v>1.7476085572856483</v>
      </c>
      <c r="O3030" s="361">
        <f t="shared" si="3113"/>
        <v>2.404272472685685</v>
      </c>
      <c r="P3030" s="361">
        <f t="shared" si="3113"/>
        <v>3.307677854297268</v>
      </c>
      <c r="Q3030" s="361">
        <f t="shared" si="3113"/>
        <v>4.5505378080493797</v>
      </c>
      <c r="R3030" s="361">
        <f t="shared" si="3113"/>
        <v>6.260402389423815</v>
      </c>
      <c r="S3030" s="361">
        <f t="shared" si="3113"/>
        <v>8.6127485872496496</v>
      </c>
      <c r="T3030" s="361">
        <f t="shared" si="3113"/>
        <v>11.84898886890848</v>
      </c>
      <c r="U3030" s="361">
        <f t="shared" si="3113"/>
        <v>16.301246436400533</v>
      </c>
      <c r="V3030" s="362">
        <f t="shared" si="3113"/>
        <v>22.426439784877605</v>
      </c>
      <c r="X3030" s="351"/>
    </row>
    <row r="3031" spans="3:24" ht="24.75" customHeight="1" x14ac:dyDescent="0.3">
      <c r="C3031" s="353">
        <f>ABS(E3031-Dashboard!$F$14)</f>
        <v>58.798811743196048</v>
      </c>
      <c r="D3031" s="350">
        <f t="shared" si="3105"/>
        <v>0.37584999999997387</v>
      </c>
      <c r="E3031" s="359" cm="1">
        <f t="array" ref="E3031">1000*SUM('DRE + DCF'!$L$36/M3031,'DRE + DCF'!$N$36:$V$36/N3031:V3031,F3031/V3031)/Dashboard!$F$11</f>
        <v>38.191188256803947</v>
      </c>
      <c r="F3031" s="359">
        <f t="shared" si="3103"/>
        <v>6815343.7144467644</v>
      </c>
      <c r="G3031" s="359">
        <f>'DRE + DCF'!$W$31</f>
        <v>2791623.3540418856</v>
      </c>
      <c r="H3031" s="359">
        <f>'DRE + DCF'!$W$32</f>
        <v>81081.931703745853</v>
      </c>
      <c r="I3031" s="359">
        <f>-H3031*('DRE + DCF'!$V$33+K3031)/'DRE + DCF'!$V$33</f>
        <v>-90858.801614444121</v>
      </c>
      <c r="J3031" s="359">
        <f>-'DRE + DCF'!$V$56*L3031</f>
        <v>-1188924.4255577971</v>
      </c>
      <c r="K3031" s="360">
        <f>(1+L3031)/(1+Ke!$O$12)-1</f>
        <v>2.0000000000000018E-2</v>
      </c>
      <c r="L3031" s="360">
        <f>'DRE + DCF'!$Y$31</f>
        <v>7.3550000000000004E-2</v>
      </c>
      <c r="M3031" s="361">
        <f>(1+D3031)^((5-Dashboard!$F$9)*3/12)</f>
        <v>1.270364403820879</v>
      </c>
      <c r="N3031" s="361">
        <f t="shared" ref="N3031:V3031" si="3114">M3031*(1+$D3031)</f>
        <v>1.7478308649969232</v>
      </c>
      <c r="O3031" s="361">
        <f t="shared" si="3114"/>
        <v>2.4047530956059711</v>
      </c>
      <c r="P3031" s="361">
        <f t="shared" si="3114"/>
        <v>3.3085795465894123</v>
      </c>
      <c r="Q3031" s="361">
        <f t="shared" si="3114"/>
        <v>4.5521091691749564</v>
      </c>
      <c r="R3031" s="361">
        <f t="shared" si="3114"/>
        <v>6.2630194004092443</v>
      </c>
      <c r="S3031" s="361">
        <f t="shared" si="3114"/>
        <v>8.6169752420528951</v>
      </c>
      <c r="T3031" s="361">
        <f t="shared" si="3114"/>
        <v>11.85566538677825</v>
      </c>
      <c r="U3031" s="361">
        <f t="shared" si="3114"/>
        <v>16.311617222398546</v>
      </c>
      <c r="V3031" s="362">
        <f t="shared" si="3114"/>
        <v>22.442338555436613</v>
      </c>
      <c r="X3031" s="351"/>
    </row>
    <row r="3032" spans="3:24" ht="24.75" customHeight="1" x14ac:dyDescent="0.3">
      <c r="C3032" s="353">
        <f>ABS(E3032-Dashboard!$F$14)</f>
        <v>58.813765893810945</v>
      </c>
      <c r="D3032" s="350">
        <f t="shared" si="3105"/>
        <v>0.37594999999997386</v>
      </c>
      <c r="E3032" s="359" cm="1">
        <f t="array" ref="E3032">1000*SUM('DRE + DCF'!$L$36/M3032,'DRE + DCF'!$N$36:$V$36/N3032:V3032,F3032/V3032)/Dashboard!$F$11</f>
        <v>38.17623410618905</v>
      </c>
      <c r="F3032" s="359">
        <f t="shared" si="3103"/>
        <v>6813347.8952922672</v>
      </c>
      <c r="G3032" s="359">
        <f>'DRE + DCF'!$W$31</f>
        <v>2791623.3540418856</v>
      </c>
      <c r="H3032" s="359">
        <f>'DRE + DCF'!$W$32</f>
        <v>81081.931703745853</v>
      </c>
      <c r="I3032" s="359">
        <f>-H3032*('DRE + DCF'!$V$33+K3032)/'DRE + DCF'!$V$33</f>
        <v>-90858.801614444121</v>
      </c>
      <c r="J3032" s="359">
        <f>-'DRE + DCF'!$V$56*L3032</f>
        <v>-1188924.4255577971</v>
      </c>
      <c r="K3032" s="360">
        <f>(1+L3032)/(1+Ke!$O$12)-1</f>
        <v>2.0000000000000018E-2</v>
      </c>
      <c r="L3032" s="360">
        <f>'DRE + DCF'!$Y$31</f>
        <v>7.3550000000000004E-2</v>
      </c>
      <c r="M3032" s="361">
        <f>(1+D3032)^((5-Dashboard!$F$9)*3/12)</f>
        <v>1.2704336529866243</v>
      </c>
      <c r="N3032" s="361">
        <f t="shared" ref="N3032:V3032" si="3115">M3032*(1+$D3032)</f>
        <v>1.7480531848269123</v>
      </c>
      <c r="O3032" s="361">
        <f t="shared" si="3115"/>
        <v>2.4052337796625443</v>
      </c>
      <c r="P3032" s="361">
        <f t="shared" si="3115"/>
        <v>3.3094814191266146</v>
      </c>
      <c r="Q3032" s="361">
        <f t="shared" si="3115"/>
        <v>4.5536809586471785</v>
      </c>
      <c r="R3032" s="361">
        <f t="shared" si="3115"/>
        <v>6.2656373150504656</v>
      </c>
      <c r="S3032" s="361">
        <f t="shared" si="3115"/>
        <v>8.6212036636435236</v>
      </c>
      <c r="T3032" s="361">
        <f t="shared" si="3115"/>
        <v>11.862345180990081</v>
      </c>
      <c r="U3032" s="361">
        <f t="shared" si="3115"/>
        <v>16.321993851782992</v>
      </c>
      <c r="V3032" s="362">
        <f t="shared" si="3115"/>
        <v>22.458247440360381</v>
      </c>
      <c r="X3032" s="351"/>
    </row>
    <row r="3033" spans="3:24" ht="24.75" customHeight="1" x14ac:dyDescent="0.3">
      <c r="C3033" s="353">
        <f>ABS(E3033-Dashboard!$F$14)</f>
        <v>58.828709253838483</v>
      </c>
      <c r="D3033" s="350">
        <f t="shared" si="3105"/>
        <v>0.37604999999997385</v>
      </c>
      <c r="E3033" s="359" cm="1">
        <f t="array" ref="E3033">1000*SUM('DRE + DCF'!$L$36/M3033,'DRE + DCF'!$N$36:$V$36/N3033:V3033,F3033/V3033)/Dashboard!$F$11</f>
        <v>38.161290746161512</v>
      </c>
      <c r="F3033" s="359">
        <f t="shared" si="3103"/>
        <v>6811353.2585533038</v>
      </c>
      <c r="G3033" s="359">
        <f>'DRE + DCF'!$W$31</f>
        <v>2791623.3540418856</v>
      </c>
      <c r="H3033" s="359">
        <f>'DRE + DCF'!$W$32</f>
        <v>81081.931703745853</v>
      </c>
      <c r="I3033" s="359">
        <f>-H3033*('DRE + DCF'!$V$33+K3033)/'DRE + DCF'!$V$33</f>
        <v>-90858.801614444121</v>
      </c>
      <c r="J3033" s="359">
        <f>-'DRE + DCF'!$V$56*L3033</f>
        <v>-1188924.4255577971</v>
      </c>
      <c r="K3033" s="360">
        <f>(1+L3033)/(1+Ke!$O$12)-1</f>
        <v>2.0000000000000018E-2</v>
      </c>
      <c r="L3033" s="360">
        <f>'DRE + DCF'!$Y$31</f>
        <v>7.3550000000000004E-2</v>
      </c>
      <c r="M3033" s="361">
        <f>(1+D3033)^((5-Dashboard!$F$9)*3/12)</f>
        <v>1.2705029008941742</v>
      </c>
      <c r="N3033" s="361">
        <f t="shared" ref="N3033:V3033" si="3116">M3033*(1+$D3033)</f>
        <v>1.7482755167753952</v>
      </c>
      <c r="O3033" s="361">
        <f t="shared" si="3116"/>
        <v>2.4057145248587366</v>
      </c>
      <c r="P3033" s="361">
        <f t="shared" si="3116"/>
        <v>3.3103834719318015</v>
      </c>
      <c r="Q3033" s="361">
        <f t="shared" si="3116"/>
        <v>4.5552531765516688</v>
      </c>
      <c r="R3033" s="361">
        <f t="shared" si="3116"/>
        <v>6.2682561335938045</v>
      </c>
      <c r="S3033" s="361">
        <f t="shared" si="3116"/>
        <v>8.6254338526315912</v>
      </c>
      <c r="T3033" s="361">
        <f t="shared" si="3116"/>
        <v>11.869028252913475</v>
      </c>
      <c r="U3033" s="361">
        <f t="shared" si="3116"/>
        <v>16.332376327421276</v>
      </c>
      <c r="V3033" s="362">
        <f t="shared" si="3116"/>
        <v>22.47416644534762</v>
      </c>
      <c r="X3033" s="351"/>
    </row>
    <row r="3034" spans="3:24" ht="24.75" customHeight="1" x14ac:dyDescent="0.3">
      <c r="C3034" s="353">
        <f>ABS(E3034-Dashboard!$F$14)</f>
        <v>58.84364183417788</v>
      </c>
      <c r="D3034" s="350">
        <f t="shared" si="3105"/>
        <v>0.37614999999997384</v>
      </c>
      <c r="E3034" s="359" cm="1">
        <f t="array" ref="E3034">1000*SUM('DRE + DCF'!$L$36/M3034,'DRE + DCF'!$N$36:$V$36/N3034:V3034,F3034/V3034)/Dashboard!$F$11</f>
        <v>38.146358165822114</v>
      </c>
      <c r="F3034" s="359">
        <f t="shared" si="3103"/>
        <v>6809359.8031669529</v>
      </c>
      <c r="G3034" s="359">
        <f>'DRE + DCF'!$W$31</f>
        <v>2791623.3540418856</v>
      </c>
      <c r="H3034" s="359">
        <f>'DRE + DCF'!$W$32</f>
        <v>81081.931703745853</v>
      </c>
      <c r="I3034" s="359">
        <f>-H3034*('DRE + DCF'!$V$33+K3034)/'DRE + DCF'!$V$33</f>
        <v>-90858.801614444121</v>
      </c>
      <c r="J3034" s="359">
        <f>-'DRE + DCF'!$V$56*L3034</f>
        <v>-1188924.4255577971</v>
      </c>
      <c r="K3034" s="360">
        <f>(1+L3034)/(1+Ke!$O$12)-1</f>
        <v>2.0000000000000018E-2</v>
      </c>
      <c r="L3034" s="360">
        <f>'DRE + DCF'!$Y$31</f>
        <v>7.3550000000000004E-2</v>
      </c>
      <c r="M3034" s="361">
        <f>(1+D3034)^((5-Dashboard!$F$9)*3/12)</f>
        <v>1.2705721475436436</v>
      </c>
      <c r="N3034" s="361">
        <f t="shared" ref="N3034:V3034" si="3117">M3034*(1+$D3034)</f>
        <v>1.7484978608421518</v>
      </c>
      <c r="O3034" s="361">
        <f t="shared" si="3117"/>
        <v>2.4061953311978814</v>
      </c>
      <c r="P3034" s="361">
        <f t="shared" si="3117"/>
        <v>3.3112857050279016</v>
      </c>
      <c r="Q3034" s="361">
        <f t="shared" si="3117"/>
        <v>4.5568258229740604</v>
      </c>
      <c r="R3034" s="361">
        <f t="shared" si="3117"/>
        <v>6.2708758562856337</v>
      </c>
      <c r="S3034" s="361">
        <f t="shared" si="3117"/>
        <v>8.6296658096273102</v>
      </c>
      <c r="T3034" s="361">
        <f t="shared" si="3117"/>
        <v>11.875714603918397</v>
      </c>
      <c r="U3034" s="361">
        <f t="shared" si="3117"/>
        <v>16.342764652181991</v>
      </c>
      <c r="V3034" s="362">
        <f t="shared" si="3117"/>
        <v>22.490095576099819</v>
      </c>
      <c r="X3034" s="351"/>
    </row>
    <row r="3035" spans="3:24" ht="24.75" customHeight="1" x14ac:dyDescent="0.3">
      <c r="C3035" s="353">
        <f>ABS(E3035-Dashboard!$F$14)</f>
        <v>58.858563645714291</v>
      </c>
      <c r="D3035" s="350">
        <f t="shared" si="3105"/>
        <v>0.37624999999997383</v>
      </c>
      <c r="E3035" s="359" cm="1">
        <f t="array" ref="E3035">1000*SUM('DRE + DCF'!$L$36/M3035,'DRE + DCF'!$N$36:$V$36/N3035:V3035,F3035/V3035)/Dashboard!$F$11</f>
        <v>38.131436354285704</v>
      </c>
      <c r="F3035" s="359">
        <f t="shared" si="3103"/>
        <v>6807367.5280715842</v>
      </c>
      <c r="G3035" s="359">
        <f>'DRE + DCF'!$W$31</f>
        <v>2791623.3540418856</v>
      </c>
      <c r="H3035" s="359">
        <f>'DRE + DCF'!$W$32</f>
        <v>81081.931703745853</v>
      </c>
      <c r="I3035" s="359">
        <f>-H3035*('DRE + DCF'!$V$33+K3035)/'DRE + DCF'!$V$33</f>
        <v>-90858.801614444121</v>
      </c>
      <c r="J3035" s="359">
        <f>-'DRE + DCF'!$V$56*L3035</f>
        <v>-1188924.4255577971</v>
      </c>
      <c r="K3035" s="360">
        <f>(1+L3035)/(1+Ke!$O$12)-1</f>
        <v>2.0000000000000018E-2</v>
      </c>
      <c r="L3035" s="360">
        <f>'DRE + DCF'!$Y$31</f>
        <v>7.3550000000000004E-2</v>
      </c>
      <c r="M3035" s="361">
        <f>(1+D3035)^((5-Dashboard!$F$9)*3/12)</f>
        <v>1.2706413929351466</v>
      </c>
      <c r="N3035" s="361">
        <f t="shared" ref="N3035:V3035" si="3118">M3035*(1+$D3035)</f>
        <v>1.748720217026962</v>
      </c>
      <c r="O3035" s="361">
        <f t="shared" si="3118"/>
        <v>2.4066761986833107</v>
      </c>
      <c r="P3035" s="361">
        <f t="shared" si="3118"/>
        <v>3.3121881184378434</v>
      </c>
      <c r="Q3035" s="361">
        <f t="shared" si="3118"/>
        <v>4.5583988979999948</v>
      </c>
      <c r="R3035" s="361">
        <f t="shared" si="3118"/>
        <v>6.273496483372373</v>
      </c>
      <c r="S3035" s="361">
        <f t="shared" si="3118"/>
        <v>8.6338995352410635</v>
      </c>
      <c r="T3035" s="361">
        <f t="shared" si="3118"/>
        <v>11.882404235375287</v>
      </c>
      <c r="U3035" s="361">
        <f t="shared" si="3118"/>
        <v>16.353158828934927</v>
      </c>
      <c r="V3035" s="362">
        <f t="shared" si="3118"/>
        <v>22.506034838321263</v>
      </c>
      <c r="X3035" s="351"/>
    </row>
    <row r="3036" spans="3:24" ht="24.75" customHeight="1" x14ac:dyDescent="0.3">
      <c r="C3036" s="353">
        <f>ABS(E3036-Dashboard!$F$14)</f>
        <v>58.87347469931894</v>
      </c>
      <c r="D3036" s="350">
        <f t="shared" si="3105"/>
        <v>0.37634999999997382</v>
      </c>
      <c r="E3036" s="359" cm="1">
        <f t="array" ref="E3036">1000*SUM('DRE + DCF'!$L$36/M3036,'DRE + DCF'!$N$36:$V$36/N3036:V3036,F3036/V3036)/Dashboard!$F$11</f>
        <v>38.116525300681054</v>
      </c>
      <c r="F3036" s="359">
        <f t="shared" si="3103"/>
        <v>6805376.4322068514</v>
      </c>
      <c r="G3036" s="359">
        <f>'DRE + DCF'!$W$31</f>
        <v>2791623.3540418856</v>
      </c>
      <c r="H3036" s="359">
        <f>'DRE + DCF'!$W$32</f>
        <v>81081.931703745853</v>
      </c>
      <c r="I3036" s="359">
        <f>-H3036*('DRE + DCF'!$V$33+K3036)/'DRE + DCF'!$V$33</f>
        <v>-90858.801614444121</v>
      </c>
      <c r="J3036" s="359">
        <f>-'DRE + DCF'!$V$56*L3036</f>
        <v>-1188924.4255577971</v>
      </c>
      <c r="K3036" s="360">
        <f>(1+L3036)/(1+Ke!$O$12)-1</f>
        <v>2.0000000000000018E-2</v>
      </c>
      <c r="L3036" s="360">
        <f>'DRE + DCF'!$Y$31</f>
        <v>7.3550000000000004E-2</v>
      </c>
      <c r="M3036" s="361">
        <f>(1+D3036)^((5-Dashboard!$F$9)*3/12)</f>
        <v>1.2707106370687971</v>
      </c>
      <c r="N3036" s="361">
        <f t="shared" ref="N3036:V3036" si="3119">M3036*(1+$D3036)</f>
        <v>1.7489425853296054</v>
      </c>
      <c r="O3036" s="361">
        <f t="shared" si="3119"/>
        <v>2.4071571273183565</v>
      </c>
      <c r="P3036" s="361">
        <f t="shared" si="3119"/>
        <v>3.313090712184557</v>
      </c>
      <c r="Q3036" s="361">
        <f t="shared" si="3119"/>
        <v>4.559972401715128</v>
      </c>
      <c r="R3036" s="361">
        <f t="shared" si="3119"/>
        <v>6.2761180151004972</v>
      </c>
      <c r="S3036" s="361">
        <f t="shared" si="3119"/>
        <v>8.6381350300834043</v>
      </c>
      <c r="T3036" s="361">
        <f t="shared" si="3119"/>
        <v>11.889097148655067</v>
      </c>
      <c r="U3036" s="361">
        <f t="shared" si="3119"/>
        <v>16.363558860551088</v>
      </c>
      <c r="V3036" s="362">
        <f t="shared" si="3119"/>
        <v>22.52198423771906</v>
      </c>
      <c r="X3036" s="351"/>
    </row>
    <row r="3037" spans="3:24" ht="24.75" customHeight="1" x14ac:dyDescent="0.3">
      <c r="C3037" s="353">
        <f>ABS(E3037-Dashboard!$F$14)</f>
        <v>58.888375005849063</v>
      </c>
      <c r="D3037" s="350">
        <f t="shared" si="3105"/>
        <v>0.37644999999997381</v>
      </c>
      <c r="E3037" s="359" cm="1">
        <f t="array" ref="E3037">1000*SUM('DRE + DCF'!$L$36/M3037,'DRE + DCF'!$N$36:$V$36/N3037:V3037,F3037/V3037)/Dashboard!$F$11</f>
        <v>38.101624994150932</v>
      </c>
      <c r="F3037" s="359">
        <f t="shared" si="3103"/>
        <v>6803386.5145136937</v>
      </c>
      <c r="G3037" s="359">
        <f>'DRE + DCF'!$W$31</f>
        <v>2791623.3540418856</v>
      </c>
      <c r="H3037" s="359">
        <f>'DRE + DCF'!$W$32</f>
        <v>81081.931703745853</v>
      </c>
      <c r="I3037" s="359">
        <f>-H3037*('DRE + DCF'!$V$33+K3037)/'DRE + DCF'!$V$33</f>
        <v>-90858.801614444121</v>
      </c>
      <c r="J3037" s="359">
        <f>-'DRE + DCF'!$V$56*L3037</f>
        <v>-1188924.4255577971</v>
      </c>
      <c r="K3037" s="360">
        <f>(1+L3037)/(1+Ke!$O$12)-1</f>
        <v>2.0000000000000018E-2</v>
      </c>
      <c r="L3037" s="360">
        <f>'DRE + DCF'!$Y$31</f>
        <v>7.3550000000000004E-2</v>
      </c>
      <c r="M3037" s="361">
        <f>(1+D3037)^((5-Dashboard!$F$9)*3/12)</f>
        <v>1.2707798799447099</v>
      </c>
      <c r="N3037" s="361">
        <f t="shared" ref="N3037:V3037" si="3120">M3037*(1+$D3037)</f>
        <v>1.7491649657498625</v>
      </c>
      <c r="O3037" s="361">
        <f t="shared" si="3120"/>
        <v>2.4076381171063521</v>
      </c>
      <c r="P3037" s="361">
        <f t="shared" si="3120"/>
        <v>3.313993486290975</v>
      </c>
      <c r="Q3037" s="361">
        <f t="shared" si="3120"/>
        <v>4.5615463342051257</v>
      </c>
      <c r="R3037" s="361">
        <f t="shared" si="3120"/>
        <v>6.2787404517165255</v>
      </c>
      <c r="S3037" s="361">
        <f t="shared" si="3120"/>
        <v>8.6423722947650461</v>
      </c>
      <c r="T3037" s="361">
        <f t="shared" si="3120"/>
        <v>11.895793345129121</v>
      </c>
      <c r="U3037" s="361">
        <f t="shared" si="3120"/>
        <v>16.373964749902665</v>
      </c>
      <c r="V3037" s="362">
        <f t="shared" si="3120"/>
        <v>22.537943780003094</v>
      </c>
      <c r="X3037" s="351"/>
    </row>
    <row r="3038" spans="3:24" ht="24.75" customHeight="1" x14ac:dyDescent="0.3">
      <c r="C3038" s="353">
        <f>ABS(E3038-Dashboard!$F$14)</f>
        <v>58.903264576147926</v>
      </c>
      <c r="D3038" s="350">
        <f t="shared" si="3105"/>
        <v>0.37654999999997379</v>
      </c>
      <c r="E3038" s="359" cm="1">
        <f t="array" ref="E3038">1000*SUM('DRE + DCF'!$L$36/M3038,'DRE + DCF'!$N$36:$V$36/N3038:V3038,F3038/V3038)/Dashboard!$F$11</f>
        <v>38.086735423852069</v>
      </c>
      <c r="F3038" s="359">
        <f t="shared" si="3103"/>
        <v>6801397.7739343327</v>
      </c>
      <c r="G3038" s="359">
        <f>'DRE + DCF'!$W$31</f>
        <v>2791623.3540418856</v>
      </c>
      <c r="H3038" s="359">
        <f>'DRE + DCF'!$W$32</f>
        <v>81081.931703745853</v>
      </c>
      <c r="I3038" s="359">
        <f>-H3038*('DRE + DCF'!$V$33+K3038)/'DRE + DCF'!$V$33</f>
        <v>-90858.801614444121</v>
      </c>
      <c r="J3038" s="359">
        <f>-'DRE + DCF'!$V$56*L3038</f>
        <v>-1188924.4255577971</v>
      </c>
      <c r="K3038" s="360">
        <f>(1+L3038)/(1+Ke!$O$12)-1</f>
        <v>2.0000000000000018E-2</v>
      </c>
      <c r="L3038" s="360">
        <f>'DRE + DCF'!$Y$31</f>
        <v>7.3550000000000004E-2</v>
      </c>
      <c r="M3038" s="361">
        <f>(1+D3038)^((5-Dashboard!$F$9)*3/12)</f>
        <v>1.2708491215629989</v>
      </c>
      <c r="N3038" s="361">
        <f t="shared" ref="N3038:V3038" si="3121">M3038*(1+$D3038)</f>
        <v>1.7493873582875128</v>
      </c>
      <c r="O3038" s="361">
        <f t="shared" si="3121"/>
        <v>2.40811916805063</v>
      </c>
      <c r="P3038" s="361">
        <f t="shared" si="3121"/>
        <v>3.3148964407800317</v>
      </c>
      <c r="Q3038" s="361">
        <f t="shared" si="3121"/>
        <v>4.5631206955556651</v>
      </c>
      <c r="R3038" s="361">
        <f t="shared" si="3121"/>
        <v>6.2813637934670314</v>
      </c>
      <c r="S3038" s="361">
        <f t="shared" si="3121"/>
        <v>8.6466113298968779</v>
      </c>
      <c r="T3038" s="361">
        <f t="shared" si="3121"/>
        <v>11.90249282616932</v>
      </c>
      <c r="U3038" s="361">
        <f t="shared" si="3121"/>
        <v>16.384376499863066</v>
      </c>
      <c r="V3038" s="362">
        <f t="shared" si="3121"/>
        <v>22.553913470886073</v>
      </c>
      <c r="X3038" s="351"/>
    </row>
    <row r="3039" spans="3:24" ht="24.75" customHeight="1" x14ac:dyDescent="0.3">
      <c r="C3039" s="353">
        <f>ABS(E3039-Dashboard!$F$14)</f>
        <v>58.91814342104491</v>
      </c>
      <c r="D3039" s="350">
        <f t="shared" si="3105"/>
        <v>0.37664999999997378</v>
      </c>
      <c r="E3039" s="359" cm="1">
        <f t="array" ref="E3039">1000*SUM('DRE + DCF'!$L$36/M3039,'DRE + DCF'!$N$36:$V$36/N3039:V3039,F3039/V3039)/Dashboard!$F$11</f>
        <v>38.071856578955085</v>
      </c>
      <c r="F3039" s="359">
        <f t="shared" si="3103"/>
        <v>6799410.2094122712</v>
      </c>
      <c r="G3039" s="359">
        <f>'DRE + DCF'!$W$31</f>
        <v>2791623.3540418856</v>
      </c>
      <c r="H3039" s="359">
        <f>'DRE + DCF'!$W$32</f>
        <v>81081.931703745853</v>
      </c>
      <c r="I3039" s="359">
        <f>-H3039*('DRE + DCF'!$V$33+K3039)/'DRE + DCF'!$V$33</f>
        <v>-90858.801614444121</v>
      </c>
      <c r="J3039" s="359">
        <f>-'DRE + DCF'!$V$56*L3039</f>
        <v>-1188924.4255577971</v>
      </c>
      <c r="K3039" s="360">
        <f>(1+L3039)/(1+Ke!$O$12)-1</f>
        <v>2.0000000000000018E-2</v>
      </c>
      <c r="L3039" s="360">
        <f>'DRE + DCF'!$Y$31</f>
        <v>7.3550000000000004E-2</v>
      </c>
      <c r="M3039" s="361">
        <f>(1+D3039)^((5-Dashboard!$F$9)*3/12)</f>
        <v>1.2709183619237785</v>
      </c>
      <c r="N3039" s="361">
        <f t="shared" ref="N3039:V3039" si="3122">M3039*(1+$D3039)</f>
        <v>1.7496097629423362</v>
      </c>
      <c r="O3039" s="361">
        <f t="shared" si="3122"/>
        <v>2.4086002801545212</v>
      </c>
      <c r="P3039" s="361">
        <f t="shared" si="3122"/>
        <v>3.3157995756746583</v>
      </c>
      <c r="Q3039" s="361">
        <f t="shared" si="3122"/>
        <v>4.5646954858524316</v>
      </c>
      <c r="R3039" s="361">
        <f t="shared" si="3122"/>
        <v>6.2839880405986301</v>
      </c>
      <c r="S3039" s="361">
        <f t="shared" si="3122"/>
        <v>8.6508521360899397</v>
      </c>
      <c r="T3039" s="361">
        <f t="shared" si="3122"/>
        <v>11.909195593147988</v>
      </c>
      <c r="U3039" s="361">
        <f t="shared" si="3122"/>
        <v>16.394794113306865</v>
      </c>
      <c r="V3039" s="362">
        <f t="shared" si="3122"/>
        <v>22.569893316083466</v>
      </c>
      <c r="X3039" s="351"/>
    </row>
    <row r="3040" spans="3:24" ht="24.75" customHeight="1" x14ac:dyDescent="0.3">
      <c r="C3040" s="353">
        <f>ABS(E3040-Dashboard!$F$14)</f>
        <v>58.93301155135542</v>
      </c>
      <c r="D3040" s="350">
        <f t="shared" si="3105"/>
        <v>0.37674999999997377</v>
      </c>
      <c r="E3040" s="359" cm="1">
        <f t="array" ref="E3040">1000*SUM('DRE + DCF'!$L$36/M3040,'DRE + DCF'!$N$36:$V$36/N3040:V3040,F3040/V3040)/Dashboard!$F$11</f>
        <v>38.056988448644574</v>
      </c>
      <c r="F3040" s="359">
        <f t="shared" si="3103"/>
        <v>6797423.819892291</v>
      </c>
      <c r="G3040" s="359">
        <f>'DRE + DCF'!$W$31</f>
        <v>2791623.3540418856</v>
      </c>
      <c r="H3040" s="359">
        <f>'DRE + DCF'!$W$32</f>
        <v>81081.931703745853</v>
      </c>
      <c r="I3040" s="359">
        <f>-H3040*('DRE + DCF'!$V$33+K3040)/'DRE + DCF'!$V$33</f>
        <v>-90858.801614444121</v>
      </c>
      <c r="J3040" s="359">
        <f>-'DRE + DCF'!$V$56*L3040</f>
        <v>-1188924.4255577971</v>
      </c>
      <c r="K3040" s="360">
        <f>(1+L3040)/(1+Ke!$O$12)-1</f>
        <v>2.0000000000000018E-2</v>
      </c>
      <c r="L3040" s="360">
        <f>'DRE + DCF'!$Y$31</f>
        <v>7.3550000000000004E-2</v>
      </c>
      <c r="M3040" s="361">
        <f>(1+D3040)^((5-Dashboard!$F$9)*3/12)</f>
        <v>1.2709876010271626</v>
      </c>
      <c r="N3040" s="361">
        <f t="shared" ref="N3040:V3040" si="3123">M3040*(1+$D3040)</f>
        <v>1.7498321797141128</v>
      </c>
      <c r="O3040" s="361">
        <f t="shared" si="3123"/>
        <v>2.4090814534213587</v>
      </c>
      <c r="P3040" s="361">
        <f t="shared" si="3123"/>
        <v>3.3167028909977923</v>
      </c>
      <c r="Q3040" s="361">
        <f t="shared" si="3123"/>
        <v>4.5662707051811235</v>
      </c>
      <c r="R3040" s="361">
        <f t="shared" si="3123"/>
        <v>6.2866131933579918</v>
      </c>
      <c r="S3040" s="361">
        <f t="shared" si="3123"/>
        <v>8.6550947139554495</v>
      </c>
      <c r="T3040" s="361">
        <f t="shared" si="3123"/>
        <v>11.915901647437938</v>
      </c>
      <c r="U3040" s="361">
        <f t="shared" si="3123"/>
        <v>16.405217593109867</v>
      </c>
      <c r="V3040" s="362">
        <f t="shared" si="3123"/>
        <v>22.585883321313577</v>
      </c>
      <c r="X3040" s="351"/>
    </row>
    <row r="3041" spans="3:24" ht="24.75" customHeight="1" x14ac:dyDescent="0.3">
      <c r="C3041" s="353">
        <f>ABS(E3041-Dashboard!$F$14)</f>
        <v>58.947868977881079</v>
      </c>
      <c r="D3041" s="350">
        <f t="shared" si="3105"/>
        <v>0.37684999999997376</v>
      </c>
      <c r="E3041" s="359" cm="1">
        <f t="array" ref="E3041">1000*SUM('DRE + DCF'!$L$36/M3041,'DRE + DCF'!$N$36:$V$36/N3041:V3041,F3041/V3041)/Dashboard!$F$11</f>
        <v>38.042131022118916</v>
      </c>
      <c r="F3041" s="359">
        <f t="shared" si="3103"/>
        <v>6795438.6043204451</v>
      </c>
      <c r="G3041" s="359">
        <f>'DRE + DCF'!$W$31</f>
        <v>2791623.3540418856</v>
      </c>
      <c r="H3041" s="359">
        <f>'DRE + DCF'!$W$32</f>
        <v>81081.931703745853</v>
      </c>
      <c r="I3041" s="359">
        <f>-H3041*('DRE + DCF'!$V$33+K3041)/'DRE + DCF'!$V$33</f>
        <v>-90858.801614444121</v>
      </c>
      <c r="J3041" s="359">
        <f>-'DRE + DCF'!$V$56*L3041</f>
        <v>-1188924.4255577971</v>
      </c>
      <c r="K3041" s="360">
        <f>(1+L3041)/(1+Ke!$O$12)-1</f>
        <v>2.0000000000000018E-2</v>
      </c>
      <c r="L3041" s="360">
        <f>'DRE + DCF'!$Y$31</f>
        <v>7.3550000000000004E-2</v>
      </c>
      <c r="M3041" s="361">
        <f>(1+D3041)^((5-Dashboard!$F$9)*3/12)</f>
        <v>1.2710568388732657</v>
      </c>
      <c r="N3041" s="361">
        <f t="shared" ref="N3041:V3041" si="3124">M3041*(1+$D3041)</f>
        <v>1.7500546086026225</v>
      </c>
      <c r="O3041" s="361">
        <f t="shared" si="3124"/>
        <v>2.4095626878544749</v>
      </c>
      <c r="P3041" s="361">
        <f t="shared" si="3124"/>
        <v>3.3176063867723706</v>
      </c>
      <c r="Q3041" s="361">
        <f t="shared" si="3124"/>
        <v>4.5678463536274512</v>
      </c>
      <c r="R3041" s="361">
        <f t="shared" si="3124"/>
        <v>6.2892392519918356</v>
      </c>
      <c r="S3041" s="361">
        <f t="shared" si="3124"/>
        <v>8.6593390641047936</v>
      </c>
      <c r="T3041" s="361">
        <f t="shared" si="3124"/>
        <v>11.922610990412457</v>
      </c>
      <c r="U3041" s="361">
        <f t="shared" si="3124"/>
        <v>16.415646942149078</v>
      </c>
      <c r="V3041" s="362">
        <f t="shared" si="3124"/>
        <v>22.601883492297524</v>
      </c>
      <c r="X3041" s="351"/>
    </row>
    <row r="3042" spans="3:24" ht="24.75" customHeight="1" x14ac:dyDescent="0.3">
      <c r="C3042" s="353">
        <f>ABS(E3042-Dashboard!$F$14)</f>
        <v>58.962715711409558</v>
      </c>
      <c r="D3042" s="350">
        <f t="shared" si="3105"/>
        <v>0.37694999999997375</v>
      </c>
      <c r="E3042" s="359" cm="1">
        <f t="array" ref="E3042">1000*SUM('DRE + DCF'!$L$36/M3042,'DRE + DCF'!$N$36:$V$36/N3042:V3042,F3042/V3042)/Dashboard!$F$11</f>
        <v>38.027284288590437</v>
      </c>
      <c r="F3042" s="359">
        <f t="shared" si="3103"/>
        <v>6793454.5616440699</v>
      </c>
      <c r="G3042" s="359">
        <f>'DRE + DCF'!$W$31</f>
        <v>2791623.3540418856</v>
      </c>
      <c r="H3042" s="359">
        <f>'DRE + DCF'!$W$32</f>
        <v>81081.931703745853</v>
      </c>
      <c r="I3042" s="359">
        <f>-H3042*('DRE + DCF'!$V$33+K3042)/'DRE + DCF'!$V$33</f>
        <v>-90858.801614444121</v>
      </c>
      <c r="J3042" s="359">
        <f>-'DRE + DCF'!$V$56*L3042</f>
        <v>-1188924.4255577971</v>
      </c>
      <c r="K3042" s="360">
        <f>(1+L3042)/(1+Ke!$O$12)-1</f>
        <v>2.0000000000000018E-2</v>
      </c>
      <c r="L3042" s="360">
        <f>'DRE + DCF'!$Y$31</f>
        <v>7.3550000000000004E-2</v>
      </c>
      <c r="M3042" s="361">
        <f>(1+D3042)^((5-Dashboard!$F$9)*3/12)</f>
        <v>1.2711260754622016</v>
      </c>
      <c r="N3042" s="361">
        <f t="shared" ref="N3042:V3042" si="3125">M3042*(1+$D3042)</f>
        <v>1.750277049607645</v>
      </c>
      <c r="O3042" s="361">
        <f t="shared" si="3125"/>
        <v>2.4100439834572005</v>
      </c>
      <c r="P3042" s="361">
        <f t="shared" si="3125"/>
        <v>3.3185100630213289</v>
      </c>
      <c r="Q3042" s="361">
        <f t="shared" si="3125"/>
        <v>4.5694224312771317</v>
      </c>
      <c r="R3042" s="361">
        <f t="shared" si="3125"/>
        <v>6.2918662167469259</v>
      </c>
      <c r="S3042" s="361">
        <f t="shared" si="3125"/>
        <v>8.6635851871495149</v>
      </c>
      <c r="T3042" s="361">
        <f t="shared" si="3125"/>
        <v>11.929323623445297</v>
      </c>
      <c r="U3042" s="361">
        <f t="shared" si="3125"/>
        <v>16.426082163302688</v>
      </c>
      <c r="V3042" s="362">
        <f t="shared" si="3125"/>
        <v>22.617893834759204</v>
      </c>
      <c r="X3042" s="351"/>
    </row>
    <row r="3043" spans="3:24" ht="24.75" customHeight="1" x14ac:dyDescent="0.3">
      <c r="C3043" s="353">
        <f>ABS(E3043-Dashboard!$F$14)</f>
        <v>58.977551762714768</v>
      </c>
      <c r="D3043" s="350">
        <f t="shared" si="3105"/>
        <v>0.37704999999997374</v>
      </c>
      <c r="E3043" s="359" cm="1">
        <f t="array" ref="E3043">1000*SUM('DRE + DCF'!$L$36/M3043,'DRE + DCF'!$N$36:$V$36/N3043:V3043,F3043/V3043)/Dashboard!$F$11</f>
        <v>38.012448237285227</v>
      </c>
      <c r="F3043" s="359">
        <f t="shared" si="3103"/>
        <v>6791471.6908117682</v>
      </c>
      <c r="G3043" s="359">
        <f>'DRE + DCF'!$W$31</f>
        <v>2791623.3540418856</v>
      </c>
      <c r="H3043" s="359">
        <f>'DRE + DCF'!$W$32</f>
        <v>81081.931703745853</v>
      </c>
      <c r="I3043" s="359">
        <f>-H3043*('DRE + DCF'!$V$33+K3043)/'DRE + DCF'!$V$33</f>
        <v>-90858.801614444121</v>
      </c>
      <c r="J3043" s="359">
        <f>-'DRE + DCF'!$V$56*L3043</f>
        <v>-1188924.4255577971</v>
      </c>
      <c r="K3043" s="360">
        <f>(1+L3043)/(1+Ke!$O$12)-1</f>
        <v>2.0000000000000018E-2</v>
      </c>
      <c r="L3043" s="360">
        <f>'DRE + DCF'!$Y$31</f>
        <v>7.3550000000000004E-2</v>
      </c>
      <c r="M3043" s="361">
        <f>(1+D3043)^((5-Dashboard!$F$9)*3/12)</f>
        <v>1.2711953107940845</v>
      </c>
      <c r="N3043" s="361">
        <f t="shared" ref="N3043:V3043" si="3126">M3043*(1+$D3043)</f>
        <v>1.7504995027289607</v>
      </c>
      <c r="O3043" s="361">
        <f t="shared" si="3126"/>
        <v>2.4105253402328692</v>
      </c>
      <c r="P3043" s="361">
        <f t="shared" si="3126"/>
        <v>3.3194139197676091</v>
      </c>
      <c r="Q3043" s="361">
        <f t="shared" si="3126"/>
        <v>4.5709989382158991</v>
      </c>
      <c r="R3043" s="361">
        <f t="shared" si="3126"/>
        <v>6.2944940878700839</v>
      </c>
      <c r="S3043" s="361">
        <f t="shared" si="3126"/>
        <v>8.6678330837013338</v>
      </c>
      <c r="T3043" s="361">
        <f t="shared" si="3126"/>
        <v>11.936039547910694</v>
      </c>
      <c r="U3043" s="361">
        <f t="shared" si="3126"/>
        <v>16.436523259450105</v>
      </c>
      <c r="V3043" s="362">
        <f t="shared" si="3126"/>
        <v>22.633914354425336</v>
      </c>
      <c r="X3043" s="351"/>
    </row>
    <row r="3044" spans="3:24" ht="24.75" customHeight="1" x14ac:dyDescent="0.3">
      <c r="C3044" s="353">
        <f>ABS(E3044-Dashboard!$F$14)</f>
        <v>58.992377142556741</v>
      </c>
      <c r="D3044" s="350">
        <f t="shared" si="3105"/>
        <v>0.37714999999997373</v>
      </c>
      <c r="E3044" s="359" cm="1">
        <f t="array" ref="E3044">1000*SUM('DRE + DCF'!$L$36/M3044,'DRE + DCF'!$N$36:$V$36/N3044:V3044,F3044/V3044)/Dashboard!$F$11</f>
        <v>37.997622857443254</v>
      </c>
      <c r="F3044" s="359">
        <f t="shared" si="3103"/>
        <v>6789489.9907734161</v>
      </c>
      <c r="G3044" s="359">
        <f>'DRE + DCF'!$W$31</f>
        <v>2791623.3540418856</v>
      </c>
      <c r="H3044" s="359">
        <f>'DRE + DCF'!$W$32</f>
        <v>81081.931703745853</v>
      </c>
      <c r="I3044" s="359">
        <f>-H3044*('DRE + DCF'!$V$33+K3044)/'DRE + DCF'!$V$33</f>
        <v>-90858.801614444121</v>
      </c>
      <c r="J3044" s="359">
        <f>-'DRE + DCF'!$V$56*L3044</f>
        <v>-1188924.4255577971</v>
      </c>
      <c r="K3044" s="360">
        <f>(1+L3044)/(1+Ke!$O$12)-1</f>
        <v>2.0000000000000018E-2</v>
      </c>
      <c r="L3044" s="360">
        <f>'DRE + DCF'!$Y$31</f>
        <v>7.3550000000000004E-2</v>
      </c>
      <c r="M3044" s="361">
        <f>(1+D3044)^((5-Dashboard!$F$9)*3/12)</f>
        <v>1.271264544869029</v>
      </c>
      <c r="N3044" s="361">
        <f t="shared" ref="N3044:V3044" si="3127">M3044*(1+$D3044)</f>
        <v>1.7507219679663497</v>
      </c>
      <c r="O3044" s="361">
        <f t="shared" si="3127"/>
        <v>2.4110067581848122</v>
      </c>
      <c r="P3044" s="361">
        <f t="shared" si="3127"/>
        <v>3.3203179570341508</v>
      </c>
      <c r="Q3044" s="361">
        <f t="shared" si="3127"/>
        <v>4.5725758745294938</v>
      </c>
      <c r="R3044" s="361">
        <f t="shared" si="3127"/>
        <v>6.2971228656081717</v>
      </c>
      <c r="S3044" s="361">
        <f t="shared" si="3127"/>
        <v>8.6720827543721271</v>
      </c>
      <c r="T3044" s="361">
        <f t="shared" si="3127"/>
        <v>11.942758765183347</v>
      </c>
      <c r="U3044" s="361">
        <f t="shared" si="3127"/>
        <v>16.446970233471934</v>
      </c>
      <c r="V3044" s="362">
        <f t="shared" si="3127"/>
        <v>22.649945057025441</v>
      </c>
      <c r="X3044" s="351"/>
    </row>
    <row r="3045" spans="3:24" ht="24.75" customHeight="1" x14ac:dyDescent="0.3">
      <c r="C3045" s="353">
        <f>ABS(E3045-Dashboard!$F$14)</f>
        <v>59.007191861681733</v>
      </c>
      <c r="D3045" s="350">
        <f t="shared" si="3105"/>
        <v>0.37724999999997372</v>
      </c>
      <c r="E3045" s="359" cm="1">
        <f t="array" ref="E3045">1000*SUM('DRE + DCF'!$L$36/M3045,'DRE + DCF'!$N$36:$V$36/N3045:V3045,F3045/V3045)/Dashboard!$F$11</f>
        <v>37.982808138318262</v>
      </c>
      <c r="F3045" s="359">
        <f t="shared" si="3103"/>
        <v>6787509.4604801582</v>
      </c>
      <c r="G3045" s="359">
        <f>'DRE + DCF'!$W$31</f>
        <v>2791623.3540418856</v>
      </c>
      <c r="H3045" s="359">
        <f>'DRE + DCF'!$W$32</f>
        <v>81081.931703745853</v>
      </c>
      <c r="I3045" s="359">
        <f>-H3045*('DRE + DCF'!$V$33+K3045)/'DRE + DCF'!$V$33</f>
        <v>-90858.801614444121</v>
      </c>
      <c r="J3045" s="359">
        <f>-'DRE + DCF'!$V$56*L3045</f>
        <v>-1188924.4255577971</v>
      </c>
      <c r="K3045" s="360">
        <f>(1+L3045)/(1+Ke!$O$12)-1</f>
        <v>2.0000000000000018E-2</v>
      </c>
      <c r="L3045" s="360">
        <f>'DRE + DCF'!$Y$31</f>
        <v>7.3550000000000004E-2</v>
      </c>
      <c r="M3045" s="361">
        <f>(1+D3045)^((5-Dashboard!$F$9)*3/12)</f>
        <v>1.2713337776871483</v>
      </c>
      <c r="N3045" s="361">
        <f t="shared" ref="N3045:V3045" si="3128">M3045*(1+$D3045)</f>
        <v>1.7509444453195915</v>
      </c>
      <c r="O3045" s="361">
        <f t="shared" si="3128"/>
        <v>2.4114882373163611</v>
      </c>
      <c r="P3045" s="361">
        <f t="shared" si="3128"/>
        <v>3.3212221748438946</v>
      </c>
      <c r="Q3045" s="361">
        <f t="shared" si="3128"/>
        <v>4.5741532403036667</v>
      </c>
      <c r="R3045" s="361">
        <f t="shared" si="3128"/>
        <v>6.2997525502081047</v>
      </c>
      <c r="S3045" s="361">
        <f t="shared" si="3128"/>
        <v>8.6763341997739456</v>
      </c>
      <c r="T3045" s="361">
        <f t="shared" si="3128"/>
        <v>11.949481276638439</v>
      </c>
      <c r="U3045" s="361">
        <f t="shared" si="3128"/>
        <v>16.457423088249975</v>
      </c>
      <c r="V3045" s="362">
        <f t="shared" si="3128"/>
        <v>22.665985948291844</v>
      </c>
      <c r="X3045" s="351"/>
    </row>
    <row r="3046" spans="3:24" ht="24.75" customHeight="1" x14ac:dyDescent="0.3">
      <c r="C3046" s="353">
        <f>ABS(E3046-Dashboard!$F$14)</f>
        <v>59.021995930822257</v>
      </c>
      <c r="D3046" s="350">
        <f t="shared" si="3105"/>
        <v>0.37734999999997371</v>
      </c>
      <c r="E3046" s="359" cm="1">
        <f t="array" ref="E3046">1000*SUM('DRE + DCF'!$L$36/M3046,'DRE + DCF'!$N$36:$V$36/N3046:V3046,F3046/V3046)/Dashboard!$F$11</f>
        <v>37.968004069177738</v>
      </c>
      <c r="F3046" s="359">
        <f t="shared" si="3103"/>
        <v>6785530.0988844037</v>
      </c>
      <c r="G3046" s="359">
        <f>'DRE + DCF'!$W$31</f>
        <v>2791623.3540418856</v>
      </c>
      <c r="H3046" s="359">
        <f>'DRE + DCF'!$W$32</f>
        <v>81081.931703745853</v>
      </c>
      <c r="I3046" s="359">
        <f>-H3046*('DRE + DCF'!$V$33+K3046)/'DRE + DCF'!$V$33</f>
        <v>-90858.801614444121</v>
      </c>
      <c r="J3046" s="359">
        <f>-'DRE + DCF'!$V$56*L3046</f>
        <v>-1188924.4255577971</v>
      </c>
      <c r="K3046" s="360">
        <f>(1+L3046)/(1+Ke!$O$12)-1</f>
        <v>2.0000000000000018E-2</v>
      </c>
      <c r="L3046" s="360">
        <f>'DRE + DCF'!$Y$31</f>
        <v>7.3550000000000004E-2</v>
      </c>
      <c r="M3046" s="361">
        <f>(1+D3046)^((5-Dashboard!$F$9)*3/12)</f>
        <v>1.2714030092485573</v>
      </c>
      <c r="N3046" s="361">
        <f t="shared" ref="N3046:V3046" si="3129">M3046*(1+$D3046)</f>
        <v>1.7511669347884669</v>
      </c>
      <c r="O3046" s="361">
        <f t="shared" si="3129"/>
        <v>2.4119697776308486</v>
      </c>
      <c r="P3046" s="361">
        <f t="shared" si="3129"/>
        <v>3.3221265732197858</v>
      </c>
      <c r="Q3046" s="361">
        <f t="shared" si="3129"/>
        <v>4.5757310356241847</v>
      </c>
      <c r="R3046" s="361">
        <f t="shared" si="3129"/>
        <v>6.3023831419168506</v>
      </c>
      <c r="S3046" s="361">
        <f t="shared" si="3129"/>
        <v>8.6805874205190072</v>
      </c>
      <c r="T3046" s="361">
        <f t="shared" si="3129"/>
        <v>11.956207083651625</v>
      </c>
      <c r="U3046" s="361">
        <f t="shared" si="3129"/>
        <v>16.467881826667252</v>
      </c>
      <c r="V3046" s="362">
        <f t="shared" si="3129"/>
        <v>22.682037033959705</v>
      </c>
      <c r="X3046" s="351"/>
    </row>
    <row r="3047" spans="3:24" ht="24.75" customHeight="1" x14ac:dyDescent="0.3">
      <c r="C3047" s="353">
        <f>ABS(E3047-Dashboard!$F$14)</f>
        <v>59.036789360697014</v>
      </c>
      <c r="D3047" s="350">
        <f t="shared" si="3105"/>
        <v>0.3774499999999737</v>
      </c>
      <c r="E3047" s="359" cm="1">
        <f t="array" ref="E3047">1000*SUM('DRE + DCF'!$L$36/M3047,'DRE + DCF'!$N$36:$V$36/N3047:V3047,F3047/V3047)/Dashboard!$F$11</f>
        <v>37.953210639302981</v>
      </c>
      <c r="F3047" s="359">
        <f t="shared" si="3103"/>
        <v>6783551.9049398303</v>
      </c>
      <c r="G3047" s="359">
        <f>'DRE + DCF'!$W$31</f>
        <v>2791623.3540418856</v>
      </c>
      <c r="H3047" s="359">
        <f>'DRE + DCF'!$W$32</f>
        <v>81081.931703745853</v>
      </c>
      <c r="I3047" s="359">
        <f>-H3047*('DRE + DCF'!$V$33+K3047)/'DRE + DCF'!$V$33</f>
        <v>-90858.801614444121</v>
      </c>
      <c r="J3047" s="359">
        <f>-'DRE + DCF'!$V$56*L3047</f>
        <v>-1188924.4255577971</v>
      </c>
      <c r="K3047" s="360">
        <f>(1+L3047)/(1+Ke!$O$12)-1</f>
        <v>2.0000000000000018E-2</v>
      </c>
      <c r="L3047" s="360">
        <f>'DRE + DCF'!$Y$31</f>
        <v>7.3550000000000004E-2</v>
      </c>
      <c r="M3047" s="361">
        <f>(1+D3047)^((5-Dashboard!$F$9)*3/12)</f>
        <v>1.2714722395533695</v>
      </c>
      <c r="N3047" s="361">
        <f t="shared" ref="N3047:V3047" si="3130">M3047*(1+$D3047)</f>
        <v>1.7513894363727553</v>
      </c>
      <c r="O3047" s="361">
        <f t="shared" si="3130"/>
        <v>2.4124513791316056</v>
      </c>
      <c r="P3047" s="361">
        <f t="shared" si="3130"/>
        <v>3.3230311521847664</v>
      </c>
      <c r="Q3047" s="361">
        <f t="shared" si="3130"/>
        <v>4.5773092605768193</v>
      </c>
      <c r="R3047" s="361">
        <f t="shared" si="3130"/>
        <v>6.3050146409814189</v>
      </c>
      <c r="S3047" s="361">
        <f t="shared" si="3130"/>
        <v>8.6848424172196896</v>
      </c>
      <c r="T3047" s="361">
        <f t="shared" si="3130"/>
        <v>11.962936187599032</v>
      </c>
      <c r="U3047" s="361">
        <f t="shared" si="3130"/>
        <v>16.478346451607973</v>
      </c>
      <c r="V3047" s="362">
        <f t="shared" si="3130"/>
        <v>22.698098319766967</v>
      </c>
      <c r="X3047" s="351"/>
    </row>
    <row r="3048" spans="3:24" ht="24.75" customHeight="1" x14ac:dyDescent="0.3">
      <c r="C3048" s="353">
        <f>ABS(E3048-Dashboard!$F$14)</f>
        <v>59.051572162011034</v>
      </c>
      <c r="D3048" s="350">
        <f t="shared" si="3105"/>
        <v>0.37754999999997368</v>
      </c>
      <c r="E3048" s="359" cm="1">
        <f t="array" ref="E3048">1000*SUM('DRE + DCF'!$L$36/M3048,'DRE + DCF'!$N$36:$V$36/N3048:V3048,F3048/V3048)/Dashboard!$F$11</f>
        <v>37.938427837988961</v>
      </c>
      <c r="F3048" s="359">
        <f t="shared" si="3103"/>
        <v>6781574.8776013777</v>
      </c>
      <c r="G3048" s="359">
        <f>'DRE + DCF'!$W$31</f>
        <v>2791623.3540418856</v>
      </c>
      <c r="H3048" s="359">
        <f>'DRE + DCF'!$W$32</f>
        <v>81081.931703745853</v>
      </c>
      <c r="I3048" s="359">
        <f>-H3048*('DRE + DCF'!$V$33+K3048)/'DRE + DCF'!$V$33</f>
        <v>-90858.801614444121</v>
      </c>
      <c r="J3048" s="359">
        <f>-'DRE + DCF'!$V$56*L3048</f>
        <v>-1188924.4255577971</v>
      </c>
      <c r="K3048" s="360">
        <f>(1+L3048)/(1+Ke!$O$12)-1</f>
        <v>2.0000000000000018E-2</v>
      </c>
      <c r="L3048" s="360">
        <f>'DRE + DCF'!$Y$31</f>
        <v>7.3550000000000004E-2</v>
      </c>
      <c r="M3048" s="361">
        <f>(1+D3048)^((5-Dashboard!$F$9)*3/12)</f>
        <v>1.2715414686016993</v>
      </c>
      <c r="N3048" s="361">
        <f t="shared" ref="N3048:V3048" si="3131">M3048*(1+$D3048)</f>
        <v>1.7516119500722374</v>
      </c>
      <c r="O3048" s="361">
        <f t="shared" si="3131"/>
        <v>2.4129330418219643</v>
      </c>
      <c r="P3048" s="361">
        <f t="shared" si="3131"/>
        <v>3.3239359117617835</v>
      </c>
      <c r="Q3048" s="361">
        <f t="shared" si="3131"/>
        <v>4.5788879152473569</v>
      </c>
      <c r="R3048" s="361">
        <f t="shared" si="3131"/>
        <v>6.3076470476488762</v>
      </c>
      <c r="S3048" s="361">
        <f t="shared" si="3131"/>
        <v>8.6890991904885428</v>
      </c>
      <c r="T3048" s="361">
        <f t="shared" si="3131"/>
        <v>11.969668589857264</v>
      </c>
      <c r="U3048" s="361">
        <f t="shared" si="3131"/>
        <v>16.488816965957557</v>
      </c>
      <c r="V3048" s="362">
        <f t="shared" si="3131"/>
        <v>22.714169811454397</v>
      </c>
      <c r="X3048" s="351"/>
    </row>
    <row r="3049" spans="3:24" ht="24.75" customHeight="1" x14ac:dyDescent="0.3">
      <c r="C3049" s="353">
        <f>ABS(E3049-Dashboard!$F$14)</f>
        <v>59.06634434545559</v>
      </c>
      <c r="D3049" s="350">
        <f t="shared" si="3105"/>
        <v>0.37764999999997367</v>
      </c>
      <c r="E3049" s="359" cm="1">
        <f t="array" ref="E3049">1000*SUM('DRE + DCF'!$L$36/M3049,'DRE + DCF'!$N$36:$V$36/N3049:V3049,F3049/V3049)/Dashboard!$F$11</f>
        <v>37.923655654544405</v>
      </c>
      <c r="F3049" s="359">
        <f t="shared" si="3103"/>
        <v>6779599.0158252437</v>
      </c>
      <c r="G3049" s="359">
        <f>'DRE + DCF'!$W$31</f>
        <v>2791623.3540418856</v>
      </c>
      <c r="H3049" s="359">
        <f>'DRE + DCF'!$W$32</f>
        <v>81081.931703745853</v>
      </c>
      <c r="I3049" s="359">
        <f>-H3049*('DRE + DCF'!$V$33+K3049)/'DRE + DCF'!$V$33</f>
        <v>-90858.801614444121</v>
      </c>
      <c r="J3049" s="359">
        <f>-'DRE + DCF'!$V$56*L3049</f>
        <v>-1188924.4255577971</v>
      </c>
      <c r="K3049" s="360">
        <f>(1+L3049)/(1+Ke!$O$12)-1</f>
        <v>2.0000000000000018E-2</v>
      </c>
      <c r="L3049" s="360">
        <f>'DRE + DCF'!$Y$31</f>
        <v>7.3550000000000004E-2</v>
      </c>
      <c r="M3049" s="361">
        <f>(1+D3049)^((5-Dashboard!$F$9)*3/12)</f>
        <v>1.2716106963936602</v>
      </c>
      <c r="N3049" s="361">
        <f t="shared" ref="N3049:V3049" si="3132">M3049*(1+$D3049)</f>
        <v>1.7518344758866924</v>
      </c>
      <c r="O3049" s="361">
        <f t="shared" si="3132"/>
        <v>2.4134147657052556</v>
      </c>
      <c r="P3049" s="361">
        <f t="shared" si="3132"/>
        <v>3.3248408519737818</v>
      </c>
      <c r="Q3049" s="361">
        <f t="shared" si="3132"/>
        <v>4.580466999721593</v>
      </c>
      <c r="R3049" s="361">
        <f t="shared" si="3132"/>
        <v>6.3102803621663321</v>
      </c>
      <c r="S3049" s="361">
        <f t="shared" si="3132"/>
        <v>8.6933577409382803</v>
      </c>
      <c r="T3049" s="361">
        <f t="shared" si="3132"/>
        <v>11.976404291803393</v>
      </c>
      <c r="U3049" s="361">
        <f t="shared" si="3132"/>
        <v>16.499293372602629</v>
      </c>
      <c r="V3049" s="362">
        <f t="shared" si="3132"/>
        <v>22.730251514765577</v>
      </c>
      <c r="X3049" s="351"/>
    </row>
    <row r="3050" spans="3:24" ht="24.75" customHeight="1" x14ac:dyDescent="0.3">
      <c r="C3050" s="353">
        <f>ABS(E3050-Dashboard!$F$14)</f>
        <v>59.081105921708293</v>
      </c>
      <c r="D3050" s="350">
        <f t="shared" si="3105"/>
        <v>0.37774999999997366</v>
      </c>
      <c r="E3050" s="359" cm="1">
        <f t="array" ref="E3050">1000*SUM('DRE + DCF'!$L$36/M3050,'DRE + DCF'!$N$36:$V$36/N3050:V3050,F3050/V3050)/Dashboard!$F$11</f>
        <v>37.908894078291702</v>
      </c>
      <c r="F3050" s="359">
        <f t="shared" si="3103"/>
        <v>6777624.3185688909</v>
      </c>
      <c r="G3050" s="359">
        <f>'DRE + DCF'!$W$31</f>
        <v>2791623.3540418856</v>
      </c>
      <c r="H3050" s="359">
        <f>'DRE + DCF'!$W$32</f>
        <v>81081.931703745853</v>
      </c>
      <c r="I3050" s="359">
        <f>-H3050*('DRE + DCF'!$V$33+K3050)/'DRE + DCF'!$V$33</f>
        <v>-90858.801614444121</v>
      </c>
      <c r="J3050" s="359">
        <f>-'DRE + DCF'!$V$56*L3050</f>
        <v>-1188924.4255577971</v>
      </c>
      <c r="K3050" s="360">
        <f>(1+L3050)/(1+Ke!$O$12)-1</f>
        <v>2.0000000000000018E-2</v>
      </c>
      <c r="L3050" s="360">
        <f>'DRE + DCF'!$Y$31</f>
        <v>7.3550000000000004E-2</v>
      </c>
      <c r="M3050" s="361">
        <f>(1+D3050)^((5-Dashboard!$F$9)*3/12)</f>
        <v>1.2716799229293667</v>
      </c>
      <c r="N3050" s="361">
        <f t="shared" ref="N3050:V3050" si="3133">M3050*(1+$D3050)</f>
        <v>1.7520570138159015</v>
      </c>
      <c r="O3050" s="361">
        <f t="shared" si="3133"/>
        <v>2.4138965507848122</v>
      </c>
      <c r="P3050" s="361">
        <f t="shared" si="3133"/>
        <v>3.3257459728437113</v>
      </c>
      <c r="Q3050" s="361">
        <f t="shared" si="3133"/>
        <v>4.5820465140853353</v>
      </c>
      <c r="R3050" s="361">
        <f t="shared" si="3133"/>
        <v>6.31291458478095</v>
      </c>
      <c r="S3050" s="361">
        <f t="shared" si="3133"/>
        <v>8.6976180691817877</v>
      </c>
      <c r="T3050" s="361">
        <f t="shared" si="3133"/>
        <v>11.983143294814978</v>
      </c>
      <c r="U3050" s="361">
        <f t="shared" si="3133"/>
        <v>16.509775674431019</v>
      </c>
      <c r="V3050" s="362">
        <f t="shared" si="3133"/>
        <v>22.746343435446899</v>
      </c>
      <c r="X3050" s="351"/>
    </row>
    <row r="3051" spans="3:24" ht="24.75" customHeight="1" x14ac:dyDescent="0.3">
      <c r="C3051" s="353">
        <f>ABS(E3051-Dashboard!$F$14)</f>
        <v>59.095856901433116</v>
      </c>
      <c r="D3051" s="350">
        <f t="shared" si="3105"/>
        <v>0.37784999999997365</v>
      </c>
      <c r="E3051" s="359" cm="1">
        <f t="array" ref="E3051">1000*SUM('DRE + DCF'!$L$36/M3051,'DRE + DCF'!$N$36:$V$36/N3051:V3051,F3051/V3051)/Dashboard!$F$11</f>
        <v>37.894143098566879</v>
      </c>
      <c r="F3051" s="359">
        <f t="shared" si="3103"/>
        <v>6775650.7847910337</v>
      </c>
      <c r="G3051" s="359">
        <f>'DRE + DCF'!$W$31</f>
        <v>2791623.3540418856</v>
      </c>
      <c r="H3051" s="359">
        <f>'DRE + DCF'!$W$32</f>
        <v>81081.931703745853</v>
      </c>
      <c r="I3051" s="359">
        <f>-H3051*('DRE + DCF'!$V$33+K3051)/'DRE + DCF'!$V$33</f>
        <v>-90858.801614444121</v>
      </c>
      <c r="J3051" s="359">
        <f>-'DRE + DCF'!$V$56*L3051</f>
        <v>-1188924.4255577971</v>
      </c>
      <c r="K3051" s="360">
        <f>(1+L3051)/(1+Ke!$O$12)-1</f>
        <v>2.0000000000000018E-2</v>
      </c>
      <c r="L3051" s="360">
        <f>'DRE + DCF'!$Y$31</f>
        <v>7.3550000000000004E-2</v>
      </c>
      <c r="M3051" s="361">
        <f>(1+D3051)^((5-Dashboard!$F$9)*3/12)</f>
        <v>1.2717491482089329</v>
      </c>
      <c r="N3051" s="361">
        <f t="shared" ref="N3051:V3051" si="3134">M3051*(1+$D3051)</f>
        <v>1.7522795638596447</v>
      </c>
      <c r="O3051" s="361">
        <f t="shared" si="3134"/>
        <v>2.414378397063965</v>
      </c>
      <c r="P3051" s="361">
        <f t="shared" si="3134"/>
        <v>3.3266512743945205</v>
      </c>
      <c r="Q3051" s="361">
        <f t="shared" si="3134"/>
        <v>4.5836264584244022</v>
      </c>
      <c r="R3051" s="361">
        <f t="shared" si="3134"/>
        <v>6.3155497157399418</v>
      </c>
      <c r="S3051" s="361">
        <f t="shared" si="3134"/>
        <v>8.7018801758321125</v>
      </c>
      <c r="T3051" s="361">
        <f t="shared" si="3134"/>
        <v>11.989885600270046</v>
      </c>
      <c r="U3051" s="361">
        <f t="shared" si="3134"/>
        <v>16.520263874331768</v>
      </c>
      <c r="V3051" s="362">
        <f t="shared" si="3134"/>
        <v>22.76244557924759</v>
      </c>
      <c r="X3051" s="351"/>
    </row>
    <row r="3052" spans="3:24" ht="24.75" customHeight="1" x14ac:dyDescent="0.3">
      <c r="C3052" s="353">
        <f>ABS(E3052-Dashboard!$F$14)</f>
        <v>59.1105972952803</v>
      </c>
      <c r="D3052" s="350">
        <f t="shared" si="3105"/>
        <v>0.37794999999997364</v>
      </c>
      <c r="E3052" s="359" cm="1">
        <f t="array" ref="E3052">1000*SUM('DRE + DCF'!$L$36/M3052,'DRE + DCF'!$N$36:$V$36/N3052:V3052,F3052/V3052)/Dashboard!$F$11</f>
        <v>37.879402704719695</v>
      </c>
      <c r="F3052" s="359">
        <f t="shared" si="3103"/>
        <v>6773678.4134516437</v>
      </c>
      <c r="G3052" s="359">
        <f>'DRE + DCF'!$W$31</f>
        <v>2791623.3540418856</v>
      </c>
      <c r="H3052" s="359">
        <f>'DRE + DCF'!$W$32</f>
        <v>81081.931703745853</v>
      </c>
      <c r="I3052" s="359">
        <f>-H3052*('DRE + DCF'!$V$33+K3052)/'DRE + DCF'!$V$33</f>
        <v>-90858.801614444121</v>
      </c>
      <c r="J3052" s="359">
        <f>-'DRE + DCF'!$V$56*L3052</f>
        <v>-1188924.4255577971</v>
      </c>
      <c r="K3052" s="360">
        <f>(1+L3052)/(1+Ke!$O$12)-1</f>
        <v>2.0000000000000018E-2</v>
      </c>
      <c r="L3052" s="360">
        <f>'DRE + DCF'!$Y$31</f>
        <v>7.3550000000000004E-2</v>
      </c>
      <c r="M3052" s="361">
        <f>(1+D3052)^((5-Dashboard!$F$9)*3/12)</f>
        <v>1.2718183722324721</v>
      </c>
      <c r="N3052" s="361">
        <f t="shared" ref="N3052:V3052" si="3135">M3052*(1+$D3052)</f>
        <v>1.7525021260177014</v>
      </c>
      <c r="O3052" s="361">
        <f t="shared" si="3135"/>
        <v>2.4148603045460453</v>
      </c>
      <c r="P3052" s="361">
        <f t="shared" si="3135"/>
        <v>3.3275567566491593</v>
      </c>
      <c r="Q3052" s="361">
        <f t="shared" si="3135"/>
        <v>4.5852068328246212</v>
      </c>
      <c r="R3052" s="361">
        <f t="shared" si="3135"/>
        <v>6.3181857552905658</v>
      </c>
      <c r="S3052" s="361">
        <f t="shared" si="3135"/>
        <v>8.706144061502469</v>
      </c>
      <c r="T3052" s="361">
        <f t="shared" si="3135"/>
        <v>11.996631209547097</v>
      </c>
      <c r="U3052" s="361">
        <f t="shared" si="3135"/>
        <v>16.530757975195105</v>
      </c>
      <c r="V3052" s="362">
        <f t="shared" si="3135"/>
        <v>22.778557951919659</v>
      </c>
      <c r="X3052" s="351"/>
    </row>
    <row r="3053" spans="3:24" ht="24.75" customHeight="1" x14ac:dyDescent="0.3">
      <c r="C3053" s="353">
        <f>ABS(E3053-Dashboard!$F$14)</f>
        <v>59.125327113886549</v>
      </c>
      <c r="D3053" s="350">
        <f t="shared" si="3105"/>
        <v>0.37804999999997363</v>
      </c>
      <c r="E3053" s="359" cm="1">
        <f t="array" ref="E3053">1000*SUM('DRE + DCF'!$L$36/M3053,'DRE + DCF'!$N$36:$V$36/N3053:V3053,F3053/V3053)/Dashboard!$F$11</f>
        <v>37.864672886113446</v>
      </c>
      <c r="F3053" s="359">
        <f t="shared" si="3103"/>
        <v>6771707.2035119459</v>
      </c>
      <c r="G3053" s="359">
        <f>'DRE + DCF'!$W$31</f>
        <v>2791623.3540418856</v>
      </c>
      <c r="H3053" s="359">
        <f>'DRE + DCF'!$W$32</f>
        <v>81081.931703745853</v>
      </c>
      <c r="I3053" s="359">
        <f>-H3053*('DRE + DCF'!$V$33+K3053)/'DRE + DCF'!$V$33</f>
        <v>-90858.801614444121</v>
      </c>
      <c r="J3053" s="359">
        <f>-'DRE + DCF'!$V$56*L3053</f>
        <v>-1188924.4255577971</v>
      </c>
      <c r="K3053" s="360">
        <f>(1+L3053)/(1+Ke!$O$12)-1</f>
        <v>2.0000000000000018E-2</v>
      </c>
      <c r="L3053" s="360">
        <f>'DRE + DCF'!$Y$31</f>
        <v>7.3550000000000004E-2</v>
      </c>
      <c r="M3053" s="361">
        <f>(1+D3053)^((5-Dashboard!$F$9)*3/12)</f>
        <v>1.2718875950000987</v>
      </c>
      <c r="N3053" s="361">
        <f t="shared" ref="N3053:V3053" si="3136">M3053*(1+$D3053)</f>
        <v>1.7527247002898525</v>
      </c>
      <c r="O3053" s="361">
        <f t="shared" si="3136"/>
        <v>2.4153422732343848</v>
      </c>
      <c r="P3053" s="361">
        <f t="shared" si="3136"/>
        <v>3.3284624196305801</v>
      </c>
      <c r="Q3053" s="361">
        <f t="shared" si="3136"/>
        <v>4.5867876373718328</v>
      </c>
      <c r="R3053" s="361">
        <f t="shared" si="3136"/>
        <v>6.3208227036801334</v>
      </c>
      <c r="S3053" s="361">
        <f t="shared" si="3136"/>
        <v>8.7104097268062404</v>
      </c>
      <c r="T3053" s="361">
        <f t="shared" si="3136"/>
        <v>12.00338012402511</v>
      </c>
      <c r="U3053" s="361">
        <f t="shared" si="3136"/>
        <v>16.541257979912487</v>
      </c>
      <c r="V3053" s="362">
        <f t="shared" si="3136"/>
        <v>22.794680559217966</v>
      </c>
      <c r="X3053" s="351"/>
    </row>
    <row r="3054" spans="3:24" ht="24.75" customHeight="1" x14ac:dyDescent="0.3">
      <c r="C3054" s="353">
        <f>ABS(E3054-Dashboard!$F$14)</f>
        <v>59.140046367874902</v>
      </c>
      <c r="D3054" s="350">
        <f t="shared" si="3105"/>
        <v>0.37814999999997362</v>
      </c>
      <c r="E3054" s="359" cm="1">
        <f t="array" ref="E3054">1000*SUM('DRE + DCF'!$L$36/M3054,'DRE + DCF'!$N$36:$V$36/N3054:V3054,F3054/V3054)/Dashboard!$F$11</f>
        <v>37.849953632125093</v>
      </c>
      <c r="F3054" s="359">
        <f t="shared" si="3103"/>
        <v>6769737.153934421</v>
      </c>
      <c r="G3054" s="359">
        <f>'DRE + DCF'!$W$31</f>
        <v>2791623.3540418856</v>
      </c>
      <c r="H3054" s="359">
        <f>'DRE + DCF'!$W$32</f>
        <v>81081.931703745853</v>
      </c>
      <c r="I3054" s="359">
        <f>-H3054*('DRE + DCF'!$V$33+K3054)/'DRE + DCF'!$V$33</f>
        <v>-90858.801614444121</v>
      </c>
      <c r="J3054" s="359">
        <f>-'DRE + DCF'!$V$56*L3054</f>
        <v>-1188924.4255577971</v>
      </c>
      <c r="K3054" s="360">
        <f>(1+L3054)/(1+Ke!$O$12)-1</f>
        <v>2.0000000000000018E-2</v>
      </c>
      <c r="L3054" s="360">
        <f>'DRE + DCF'!$Y$31</f>
        <v>7.3550000000000004E-2</v>
      </c>
      <c r="M3054" s="361">
        <f>(1+D3054)^((5-Dashboard!$F$9)*3/12)</f>
        <v>1.2719568165119266</v>
      </c>
      <c r="N3054" s="361">
        <f t="shared" ref="N3054:V3054" si="3137">M3054*(1+$D3054)</f>
        <v>1.752947286675878</v>
      </c>
      <c r="O3054" s="361">
        <f t="shared" si="3137"/>
        <v>2.415824303132315</v>
      </c>
      <c r="P3054" s="361">
        <f t="shared" si="3137"/>
        <v>3.3293682633617361</v>
      </c>
      <c r="Q3054" s="361">
        <f t="shared" si="3137"/>
        <v>4.5883688721518885</v>
      </c>
      <c r="R3054" s="361">
        <f t="shared" si="3137"/>
        <v>6.3234605611560042</v>
      </c>
      <c r="S3054" s="361">
        <f t="shared" si="3137"/>
        <v>8.7146771723569803</v>
      </c>
      <c r="T3054" s="361">
        <f t="shared" si="3137"/>
        <v>12.010132345083543</v>
      </c>
      <c r="U3054" s="361">
        <f t="shared" si="3137"/>
        <v>16.551763891376567</v>
      </c>
      <c r="V3054" s="362">
        <f t="shared" si="3137"/>
        <v>22.810813406900177</v>
      </c>
      <c r="X3054" s="351"/>
    </row>
    <row r="3055" spans="3:24" ht="24.75" customHeight="1" x14ac:dyDescent="0.3">
      <c r="C3055" s="353">
        <f>ABS(E3055-Dashboard!$F$14)</f>
        <v>59.154755067854865</v>
      </c>
      <c r="D3055" s="350">
        <f t="shared" si="3105"/>
        <v>0.37824999999997361</v>
      </c>
      <c r="E3055" s="359" cm="1">
        <f t="array" ref="E3055">1000*SUM('DRE + DCF'!$L$36/M3055,'DRE + DCF'!$N$36:$V$36/N3055:V3055,F3055/V3055)/Dashboard!$F$11</f>
        <v>37.83524493214513</v>
      </c>
      <c r="F3055" s="359">
        <f t="shared" si="3103"/>
        <v>6767768.263682791</v>
      </c>
      <c r="G3055" s="359">
        <f>'DRE + DCF'!$W$31</f>
        <v>2791623.3540418856</v>
      </c>
      <c r="H3055" s="359">
        <f>'DRE + DCF'!$W$32</f>
        <v>81081.931703745853</v>
      </c>
      <c r="I3055" s="359">
        <f>-H3055*('DRE + DCF'!$V$33+K3055)/'DRE + DCF'!$V$33</f>
        <v>-90858.801614444121</v>
      </c>
      <c r="J3055" s="359">
        <f>-'DRE + DCF'!$V$56*L3055</f>
        <v>-1188924.4255577971</v>
      </c>
      <c r="K3055" s="360">
        <f>(1+L3055)/(1+Ke!$O$12)-1</f>
        <v>2.0000000000000018E-2</v>
      </c>
      <c r="L3055" s="360">
        <f>'DRE + DCF'!$Y$31</f>
        <v>7.3550000000000004E-2</v>
      </c>
      <c r="M3055" s="361">
        <f>(1+D3055)^((5-Dashboard!$F$9)*3/12)</f>
        <v>1.2720260367680696</v>
      </c>
      <c r="N3055" s="361">
        <f t="shared" ref="N3055:V3055" si="3138">M3055*(1+$D3055)</f>
        <v>1.7531698851755582</v>
      </c>
      <c r="O3055" s="361">
        <f t="shared" si="3138"/>
        <v>2.4163063942431666</v>
      </c>
      <c r="P3055" s="361">
        <f t="shared" si="3138"/>
        <v>3.3302742878655804</v>
      </c>
      <c r="Q3055" s="361">
        <f t="shared" si="3138"/>
        <v>4.5899505372506484</v>
      </c>
      <c r="R3055" s="361">
        <f t="shared" si="3138"/>
        <v>6.3260993279655846</v>
      </c>
      <c r="S3055" s="361">
        <f t="shared" si="3138"/>
        <v>8.7189463987684004</v>
      </c>
      <c r="T3055" s="361">
        <f t="shared" si="3138"/>
        <v>12.016887874102316</v>
      </c>
      <c r="U3055" s="361">
        <f t="shared" si="3138"/>
        <v>16.562275712481199</v>
      </c>
      <c r="V3055" s="362">
        <f t="shared" si="3138"/>
        <v>22.826956500726773</v>
      </c>
      <c r="X3055" s="351"/>
    </row>
    <row r="3056" spans="3:24" ht="24.75" customHeight="1" x14ac:dyDescent="0.3">
      <c r="C3056" s="353">
        <f>ABS(E3056-Dashboard!$F$14)</f>
        <v>59.169453224422341</v>
      </c>
      <c r="D3056" s="350">
        <f t="shared" si="3105"/>
        <v>0.3783499999999736</v>
      </c>
      <c r="E3056" s="359" cm="1">
        <f t="array" ref="E3056">1000*SUM('DRE + DCF'!$L$36/M3056,'DRE + DCF'!$N$36:$V$36/N3056:V3056,F3056/V3056)/Dashboard!$F$11</f>
        <v>37.820546775577654</v>
      </c>
      <c r="F3056" s="359">
        <f t="shared" si="3103"/>
        <v>6765800.5317220325</v>
      </c>
      <c r="G3056" s="359">
        <f>'DRE + DCF'!$W$31</f>
        <v>2791623.3540418856</v>
      </c>
      <c r="H3056" s="359">
        <f>'DRE + DCF'!$W$32</f>
        <v>81081.931703745853</v>
      </c>
      <c r="I3056" s="359">
        <f>-H3056*('DRE + DCF'!$V$33+K3056)/'DRE + DCF'!$V$33</f>
        <v>-90858.801614444121</v>
      </c>
      <c r="J3056" s="359">
        <f>-'DRE + DCF'!$V$56*L3056</f>
        <v>-1188924.4255577971</v>
      </c>
      <c r="K3056" s="360">
        <f>(1+L3056)/(1+Ke!$O$12)-1</f>
        <v>2.0000000000000018E-2</v>
      </c>
      <c r="L3056" s="360">
        <f>'DRE + DCF'!$Y$31</f>
        <v>7.3550000000000004E-2</v>
      </c>
      <c r="M3056" s="361">
        <f>(1+D3056)^((5-Dashboard!$F$9)*3/12)</f>
        <v>1.2720952557686416</v>
      </c>
      <c r="N3056" s="361">
        <f t="shared" ref="N3056:V3056" si="3139">M3056*(1+$D3056)</f>
        <v>1.7533924957886735</v>
      </c>
      <c r="O3056" s="361">
        <f t="shared" si="3139"/>
        <v>2.4167885465702716</v>
      </c>
      <c r="P3056" s="361">
        <f t="shared" si="3139"/>
        <v>3.3311804931650699</v>
      </c>
      <c r="Q3056" s="361">
        <f t="shared" si="3139"/>
        <v>4.591532632753986</v>
      </c>
      <c r="R3056" s="361">
        <f t="shared" si="3139"/>
        <v>6.3287390043563354</v>
      </c>
      <c r="S3056" s="361">
        <f t="shared" si="3139"/>
        <v>8.7232174066543866</v>
      </c>
      <c r="T3056" s="361">
        <f t="shared" si="3139"/>
        <v>12.023646712461844</v>
      </c>
      <c r="U3056" s="361">
        <f t="shared" si="3139"/>
        <v>16.572793446121462</v>
      </c>
      <c r="V3056" s="362">
        <f t="shared" si="3139"/>
        <v>22.843109846461079</v>
      </c>
      <c r="X3056" s="351"/>
    </row>
    <row r="3057" spans="3:24" ht="24.75" customHeight="1" x14ac:dyDescent="0.3">
      <c r="C3057" s="353">
        <f>ABS(E3057-Dashboard!$F$14)</f>
        <v>59.184140848159728</v>
      </c>
      <c r="D3057" s="350">
        <f t="shared" si="3105"/>
        <v>0.37844999999997359</v>
      </c>
      <c r="E3057" s="359" cm="1">
        <f t="array" ref="E3057">1000*SUM('DRE + DCF'!$L$36/M3057,'DRE + DCF'!$N$36:$V$36/N3057:V3057,F3057/V3057)/Dashboard!$F$11</f>
        <v>37.805859151840266</v>
      </c>
      <c r="F3057" s="359">
        <f t="shared" si="3103"/>
        <v>6763833.9570183661</v>
      </c>
      <c r="G3057" s="359">
        <f>'DRE + DCF'!$W$31</f>
        <v>2791623.3540418856</v>
      </c>
      <c r="H3057" s="359">
        <f>'DRE + DCF'!$W$32</f>
        <v>81081.931703745853</v>
      </c>
      <c r="I3057" s="359">
        <f>-H3057*('DRE + DCF'!$V$33+K3057)/'DRE + DCF'!$V$33</f>
        <v>-90858.801614444121</v>
      </c>
      <c r="J3057" s="359">
        <f>-'DRE + DCF'!$V$56*L3057</f>
        <v>-1188924.4255577971</v>
      </c>
      <c r="K3057" s="360">
        <f>(1+L3057)/(1+Ke!$O$12)-1</f>
        <v>2.0000000000000018E-2</v>
      </c>
      <c r="L3057" s="360">
        <f>'DRE + DCF'!$Y$31</f>
        <v>7.3550000000000004E-2</v>
      </c>
      <c r="M3057" s="361">
        <f>(1+D3057)^((5-Dashboard!$F$9)*3/12)</f>
        <v>1.2721644735137565</v>
      </c>
      <c r="N3057" s="361">
        <f t="shared" ref="N3057:V3057" si="3140">M3057*(1+$D3057)</f>
        <v>1.753615118515004</v>
      </c>
      <c r="O3057" s="361">
        <f t="shared" si="3140"/>
        <v>2.4172707601169607</v>
      </c>
      <c r="P3057" s="361">
        <f t="shared" si="3140"/>
        <v>3.3320868792831604</v>
      </c>
      <c r="Q3057" s="361">
        <f t="shared" si="3140"/>
        <v>4.5931151587477839</v>
      </c>
      <c r="R3057" s="361">
        <f t="shared" si="3140"/>
        <v>6.3313795905757608</v>
      </c>
      <c r="S3057" s="361">
        <f t="shared" si="3140"/>
        <v>8.7274901966289899</v>
      </c>
      <c r="T3057" s="361">
        <f t="shared" si="3140"/>
        <v>12.030408861543</v>
      </c>
      <c r="U3057" s="361">
        <f t="shared" si="3140"/>
        <v>16.583317095193632</v>
      </c>
      <c r="V3057" s="362">
        <f t="shared" si="3140"/>
        <v>22.859273449869221</v>
      </c>
      <c r="X3057" s="351"/>
    </row>
    <row r="3058" spans="3:24" ht="24.75" customHeight="1" x14ac:dyDescent="0.3">
      <c r="C3058" s="353">
        <f>ABS(E3058-Dashboard!$F$14)</f>
        <v>59.198817949635888</v>
      </c>
      <c r="D3058" s="350">
        <f t="shared" si="3105"/>
        <v>0.37854999999997357</v>
      </c>
      <c r="E3058" s="359" cm="1">
        <f t="array" ref="E3058">1000*SUM('DRE + DCF'!$L$36/M3058,'DRE + DCF'!$N$36:$V$36/N3058:V3058,F3058/V3058)/Dashboard!$F$11</f>
        <v>37.791182050364107</v>
      </c>
      <c r="F3058" s="359">
        <f t="shared" si="3103"/>
        <v>6761868.5385392532</v>
      </c>
      <c r="G3058" s="359">
        <f>'DRE + DCF'!$W$31</f>
        <v>2791623.3540418856</v>
      </c>
      <c r="H3058" s="359">
        <f>'DRE + DCF'!$W$32</f>
        <v>81081.931703745853</v>
      </c>
      <c r="I3058" s="359">
        <f>-H3058*('DRE + DCF'!$V$33+K3058)/'DRE + DCF'!$V$33</f>
        <v>-90858.801614444121</v>
      </c>
      <c r="J3058" s="359">
        <f>-'DRE + DCF'!$V$56*L3058</f>
        <v>-1188924.4255577971</v>
      </c>
      <c r="K3058" s="360">
        <f>(1+L3058)/(1+Ke!$O$12)-1</f>
        <v>2.0000000000000018E-2</v>
      </c>
      <c r="L3058" s="360">
        <f>'DRE + DCF'!$Y$31</f>
        <v>7.3550000000000004E-2</v>
      </c>
      <c r="M3058" s="361">
        <f>(1+D3058)^((5-Dashboard!$F$9)*3/12)</f>
        <v>1.2722336900035283</v>
      </c>
      <c r="N3058" s="361">
        <f t="shared" ref="N3058:V3058" si="3141">M3058*(1+$D3058)</f>
        <v>1.7538377533543301</v>
      </c>
      <c r="O3058" s="361">
        <f t="shared" si="3141"/>
        <v>2.4177530348865655</v>
      </c>
      <c r="P3058" s="361">
        <f t="shared" si="3141"/>
        <v>3.3329934462428108</v>
      </c>
      <c r="Q3058" s="361">
        <f t="shared" si="3141"/>
        <v>4.5946981153179385</v>
      </c>
      <c r="R3058" s="361">
        <f t="shared" si="3141"/>
        <v>6.3340210868714228</v>
      </c>
      <c r="S3058" s="361">
        <f t="shared" si="3141"/>
        <v>8.731764769306432</v>
      </c>
      <c r="T3058" s="361">
        <f t="shared" si="3141"/>
        <v>12.03717432272715</v>
      </c>
      <c r="U3058" s="361">
        <f t="shared" si="3141"/>
        <v>16.593846662595194</v>
      </c>
      <c r="V3058" s="362">
        <f t="shared" si="3141"/>
        <v>22.875447316720166</v>
      </c>
      <c r="X3058" s="351"/>
    </row>
    <row r="3059" spans="3:24" ht="24.75" customHeight="1" x14ac:dyDescent="0.3">
      <c r="C3059" s="353">
        <f>ABS(E3059-Dashboard!$F$14)</f>
        <v>59.21348453940616</v>
      </c>
      <c r="D3059" s="350">
        <f t="shared" si="3105"/>
        <v>0.37864999999997356</v>
      </c>
      <c r="E3059" s="359" cm="1">
        <f t="array" ref="E3059">1000*SUM('DRE + DCF'!$L$36/M3059,'DRE + DCF'!$N$36:$V$36/N3059:V3059,F3059/V3059)/Dashboard!$F$11</f>
        <v>37.776515460593835</v>
      </c>
      <c r="F3059" s="359">
        <f t="shared" si="3103"/>
        <v>6759904.2752534021</v>
      </c>
      <c r="G3059" s="359">
        <f>'DRE + DCF'!$W$31</f>
        <v>2791623.3540418856</v>
      </c>
      <c r="H3059" s="359">
        <f>'DRE + DCF'!$W$32</f>
        <v>81081.931703745853</v>
      </c>
      <c r="I3059" s="359">
        <f>-H3059*('DRE + DCF'!$V$33+K3059)/'DRE + DCF'!$V$33</f>
        <v>-90858.801614444121</v>
      </c>
      <c r="J3059" s="359">
        <f>-'DRE + DCF'!$V$56*L3059</f>
        <v>-1188924.4255577971</v>
      </c>
      <c r="K3059" s="360">
        <f>(1+L3059)/(1+Ke!$O$12)-1</f>
        <v>2.0000000000000018E-2</v>
      </c>
      <c r="L3059" s="360">
        <f>'DRE + DCF'!$Y$31</f>
        <v>7.3550000000000004E-2</v>
      </c>
      <c r="M3059" s="361">
        <f>(1+D3059)^((5-Dashboard!$F$9)*3/12)</f>
        <v>1.2723029052380705</v>
      </c>
      <c r="N3059" s="361">
        <f t="shared" ref="N3059:V3059" si="3142">M3059*(1+$D3059)</f>
        <v>1.7540604003064322</v>
      </c>
      <c r="O3059" s="361">
        <f t="shared" si="3142"/>
        <v>2.4182353708824165</v>
      </c>
      <c r="P3059" s="361">
        <f t="shared" si="3142"/>
        <v>3.3339001940669792</v>
      </c>
      <c r="Q3059" s="361">
        <f t="shared" si="3142"/>
        <v>4.5962815025503527</v>
      </c>
      <c r="R3059" s="361">
        <f t="shared" si="3142"/>
        <v>6.3366634934909216</v>
      </c>
      <c r="S3059" s="361">
        <f t="shared" si="3142"/>
        <v>8.7360411253010906</v>
      </c>
      <c r="T3059" s="361">
        <f t="shared" si="3142"/>
        <v>12.043943097396117</v>
      </c>
      <c r="U3059" s="361">
        <f t="shared" si="3142"/>
        <v>16.604382151224836</v>
      </c>
      <c r="V3059" s="362">
        <f t="shared" si="3142"/>
        <v>22.891631452785681</v>
      </c>
      <c r="X3059" s="351"/>
    </row>
    <row r="3060" spans="3:24" ht="24.75" customHeight="1" x14ac:dyDescent="0.3">
      <c r="C3060" s="353">
        <f>ABS(E3060-Dashboard!$F$14)</f>
        <v>59.228140628012454</v>
      </c>
      <c r="D3060" s="350">
        <f t="shared" si="3105"/>
        <v>0.37874999999997355</v>
      </c>
      <c r="E3060" s="359" cm="1">
        <f t="array" ref="E3060">1000*SUM('DRE + DCF'!$L$36/M3060,'DRE + DCF'!$N$36:$V$36/N3060:V3060,F3060/V3060)/Dashboard!$F$11</f>
        <v>37.761859371987541</v>
      </c>
      <c r="F3060" s="359">
        <f t="shared" si="3103"/>
        <v>6757941.166130757</v>
      </c>
      <c r="G3060" s="359">
        <f>'DRE + DCF'!$W$31</f>
        <v>2791623.3540418856</v>
      </c>
      <c r="H3060" s="359">
        <f>'DRE + DCF'!$W$32</f>
        <v>81081.931703745853</v>
      </c>
      <c r="I3060" s="359">
        <f>-H3060*('DRE + DCF'!$V$33+K3060)/'DRE + DCF'!$V$33</f>
        <v>-90858.801614444121</v>
      </c>
      <c r="J3060" s="359">
        <f>-'DRE + DCF'!$V$56*L3060</f>
        <v>-1188924.4255577971</v>
      </c>
      <c r="K3060" s="360">
        <f>(1+L3060)/(1+Ke!$O$12)-1</f>
        <v>2.0000000000000018E-2</v>
      </c>
      <c r="L3060" s="360">
        <f>'DRE + DCF'!$Y$31</f>
        <v>7.3550000000000004E-2</v>
      </c>
      <c r="M3060" s="361">
        <f>(1+D3060)^((5-Dashboard!$F$9)*3/12)</f>
        <v>1.272372119217497</v>
      </c>
      <c r="N3060" s="361">
        <f t="shared" ref="N3060:V3060" si="3143">M3060*(1+$D3060)</f>
        <v>1.7542830593710903</v>
      </c>
      <c r="O3060" s="361">
        <f t="shared" si="3143"/>
        <v>2.4187177681078444</v>
      </c>
      <c r="P3060" s="361">
        <f t="shared" si="3143"/>
        <v>3.3348071227786265</v>
      </c>
      <c r="Q3060" s="361">
        <f t="shared" si="3143"/>
        <v>4.5978653205309428</v>
      </c>
      <c r="R3060" s="361">
        <f t="shared" si="3143"/>
        <v>6.339306810681915</v>
      </c>
      <c r="S3060" s="361">
        <f t="shared" si="3143"/>
        <v>8.740319265227523</v>
      </c>
      <c r="T3060" s="361">
        <f t="shared" si="3143"/>
        <v>12.050715186932216</v>
      </c>
      <c r="U3060" s="361">
        <f t="shared" si="3143"/>
        <v>16.614923563982472</v>
      </c>
      <c r="V3060" s="362">
        <f t="shared" si="3143"/>
        <v>22.907825863840394</v>
      </c>
      <c r="X3060" s="351"/>
    </row>
    <row r="3061" spans="3:24" ht="24.75" customHeight="1" x14ac:dyDescent="0.3">
      <c r="C3061" s="353">
        <f>ABS(E3061-Dashboard!$F$14)</f>
        <v>59.242786225983203</v>
      </c>
      <c r="D3061" s="350">
        <f t="shared" si="3105"/>
        <v>0.37884999999997354</v>
      </c>
      <c r="E3061" s="359" cm="1">
        <f t="array" ref="E3061">1000*SUM('DRE + DCF'!$L$36/M3061,'DRE + DCF'!$N$36:$V$36/N3061:V3061,F3061/V3061)/Dashboard!$F$11</f>
        <v>37.747213774016792</v>
      </c>
      <c r="F3061" s="359">
        <f t="shared" si="3103"/>
        <v>6755979.2101425044</v>
      </c>
      <c r="G3061" s="359">
        <f>'DRE + DCF'!$W$31</f>
        <v>2791623.3540418856</v>
      </c>
      <c r="H3061" s="359">
        <f>'DRE + DCF'!$W$32</f>
        <v>81081.931703745853</v>
      </c>
      <c r="I3061" s="359">
        <f>-H3061*('DRE + DCF'!$V$33+K3061)/'DRE + DCF'!$V$33</f>
        <v>-90858.801614444121</v>
      </c>
      <c r="J3061" s="359">
        <f>-'DRE + DCF'!$V$56*L3061</f>
        <v>-1188924.4255577971</v>
      </c>
      <c r="K3061" s="360">
        <f>(1+L3061)/(1+Ke!$O$12)-1</f>
        <v>2.0000000000000018E-2</v>
      </c>
      <c r="L3061" s="360">
        <f>'DRE + DCF'!$Y$31</f>
        <v>7.3550000000000004E-2</v>
      </c>
      <c r="M3061" s="361">
        <f>(1+D3061)^((5-Dashboard!$F$9)*3/12)</f>
        <v>1.2724413319419217</v>
      </c>
      <c r="N3061" s="361">
        <f t="shared" ref="N3061:V3061" si="3144">M3061*(1+$D3061)</f>
        <v>1.7545057305480849</v>
      </c>
      <c r="O3061" s="361">
        <f t="shared" si="3144"/>
        <v>2.4192002265661805</v>
      </c>
      <c r="P3061" s="361">
        <f t="shared" si="3144"/>
        <v>3.3357142324007136</v>
      </c>
      <c r="Q3061" s="361">
        <f t="shared" si="3144"/>
        <v>4.5994495693456354</v>
      </c>
      <c r="R3061" s="361">
        <f t="shared" si="3144"/>
        <v>6.3419510386921072</v>
      </c>
      <c r="S3061" s="361">
        <f t="shared" si="3144"/>
        <v>8.7445991897004447</v>
      </c>
      <c r="T3061" s="361">
        <f t="shared" si="3144"/>
        <v>12.057490592718226</v>
      </c>
      <c r="U3061" s="361">
        <f t="shared" si="3144"/>
        <v>16.625470903769205</v>
      </c>
      <c r="V3061" s="362">
        <f t="shared" si="3144"/>
        <v>22.924030555661727</v>
      </c>
      <c r="X3061" s="351"/>
    </row>
    <row r="3062" spans="3:24" ht="24.75" customHeight="1" x14ac:dyDescent="0.3">
      <c r="C3062" s="353">
        <f>ABS(E3062-Dashboard!$F$14)</f>
        <v>59.2574213438334</v>
      </c>
      <c r="D3062" s="350">
        <f t="shared" si="3105"/>
        <v>0.37894999999997353</v>
      </c>
      <c r="E3062" s="359" cm="1">
        <f t="array" ref="E3062">1000*SUM('DRE + DCF'!$L$36/M3062,'DRE + DCF'!$N$36:$V$36/N3062:V3062,F3062/V3062)/Dashboard!$F$11</f>
        <v>37.732578656166595</v>
      </c>
      <c r="F3062" s="359">
        <f t="shared" si="3103"/>
        <v>6754018.4062610632</v>
      </c>
      <c r="G3062" s="359">
        <f>'DRE + DCF'!$W$31</f>
        <v>2791623.3540418856</v>
      </c>
      <c r="H3062" s="359">
        <f>'DRE + DCF'!$W$32</f>
        <v>81081.931703745853</v>
      </c>
      <c r="I3062" s="359">
        <f>-H3062*('DRE + DCF'!$V$33+K3062)/'DRE + DCF'!$V$33</f>
        <v>-90858.801614444121</v>
      </c>
      <c r="J3062" s="359">
        <f>-'DRE + DCF'!$V$56*L3062</f>
        <v>-1188924.4255577971</v>
      </c>
      <c r="K3062" s="360">
        <f>(1+L3062)/(1+Ke!$O$12)-1</f>
        <v>2.0000000000000018E-2</v>
      </c>
      <c r="L3062" s="360">
        <f>'DRE + DCF'!$Y$31</f>
        <v>7.3550000000000004E-2</v>
      </c>
      <c r="M3062" s="361">
        <f>(1+D3062)^((5-Dashboard!$F$9)*3/12)</f>
        <v>1.2725105434114583</v>
      </c>
      <c r="N3062" s="361">
        <f t="shared" ref="N3062:V3062" si="3145">M3062*(1+$D3062)</f>
        <v>1.7547284138371966</v>
      </c>
      <c r="O3062" s="361">
        <f t="shared" si="3145"/>
        <v>2.4196827462607557</v>
      </c>
      <c r="P3062" s="361">
        <f t="shared" si="3145"/>
        <v>3.3366215229562051</v>
      </c>
      <c r="Q3062" s="361">
        <f t="shared" si="3145"/>
        <v>4.6010342490803708</v>
      </c>
      <c r="R3062" s="361">
        <f t="shared" si="3145"/>
        <v>6.3445961777692554</v>
      </c>
      <c r="S3062" s="361">
        <f t="shared" si="3145"/>
        <v>8.7488808993347469</v>
      </c>
      <c r="T3062" s="361">
        <f t="shared" si="3145"/>
        <v>12.064269316137418</v>
      </c>
      <c r="U3062" s="361">
        <f t="shared" si="3145"/>
        <v>16.636024173487371</v>
      </c>
      <c r="V3062" s="362">
        <f t="shared" si="3145"/>
        <v>22.94024553402997</v>
      </c>
      <c r="X3062" s="351"/>
    </row>
    <row r="3063" spans="3:24" ht="24.75" customHeight="1" x14ac:dyDescent="0.3">
      <c r="C3063" s="353">
        <f>ABS(E3063-Dashboard!$F$14)</f>
        <v>59.272045992064598</v>
      </c>
      <c r="D3063" s="350">
        <f t="shared" si="3105"/>
        <v>0.37904999999997352</v>
      </c>
      <c r="E3063" s="359" cm="1">
        <f t="array" ref="E3063">1000*SUM('DRE + DCF'!$L$36/M3063,'DRE + DCF'!$N$36:$V$36/N3063:V3063,F3063/V3063)/Dashboard!$F$11</f>
        <v>37.717954007935397</v>
      </c>
      <c r="F3063" s="359">
        <f t="shared" si="3103"/>
        <v>6752058.7534600897</v>
      </c>
      <c r="G3063" s="359">
        <f>'DRE + DCF'!$W$31</f>
        <v>2791623.3540418856</v>
      </c>
      <c r="H3063" s="359">
        <f>'DRE + DCF'!$W$32</f>
        <v>81081.931703745853</v>
      </c>
      <c r="I3063" s="359">
        <f>-H3063*('DRE + DCF'!$V$33+K3063)/'DRE + DCF'!$V$33</f>
        <v>-90858.801614444121</v>
      </c>
      <c r="J3063" s="359">
        <f>-'DRE + DCF'!$V$56*L3063</f>
        <v>-1188924.4255577971</v>
      </c>
      <c r="K3063" s="360">
        <f>(1+L3063)/(1+Ke!$O$12)-1</f>
        <v>2.0000000000000018E-2</v>
      </c>
      <c r="L3063" s="360">
        <f>'DRE + DCF'!$Y$31</f>
        <v>7.3550000000000004E-2</v>
      </c>
      <c r="M3063" s="361">
        <f>(1+D3063)^((5-Dashboard!$F$9)*3/12)</f>
        <v>1.2725797536262204</v>
      </c>
      <c r="N3063" s="361">
        <f t="shared" ref="N3063:V3063" si="3146">M3063*(1+$D3063)</f>
        <v>1.7549511092382055</v>
      </c>
      <c r="O3063" s="361">
        <f t="shared" si="3146"/>
        <v>2.4201653271949009</v>
      </c>
      <c r="P3063" s="361">
        <f t="shared" si="3146"/>
        <v>3.3375289944680637</v>
      </c>
      <c r="Q3063" s="361">
        <f t="shared" si="3146"/>
        <v>4.6026193598210945</v>
      </c>
      <c r="R3063" s="361">
        <f t="shared" si="3146"/>
        <v>6.347242228161158</v>
      </c>
      <c r="S3063" s="361">
        <f t="shared" si="3146"/>
        <v>8.7531643947454771</v>
      </c>
      <c r="T3063" s="361">
        <f t="shared" si="3146"/>
        <v>12.071051358573518</v>
      </c>
      <c r="U3063" s="361">
        <f t="shared" si="3146"/>
        <v>16.646583376040489</v>
      </c>
      <c r="V3063" s="362">
        <f t="shared" si="3146"/>
        <v>22.956470804728195</v>
      </c>
      <c r="X3063" s="351"/>
    </row>
    <row r="3064" spans="3:24" ht="24.75" customHeight="1" x14ac:dyDescent="0.3">
      <c r="C3064" s="353">
        <f>ABS(E3064-Dashboard!$F$14)</f>
        <v>59.28666018116504</v>
      </c>
      <c r="D3064" s="350">
        <f t="shared" si="3105"/>
        <v>0.37914999999997351</v>
      </c>
      <c r="E3064" s="359" cm="1">
        <f t="array" ref="E3064">1000*SUM('DRE + DCF'!$L$36/M3064,'DRE + DCF'!$N$36:$V$36/N3064:V3064,F3064/V3064)/Dashboard!$F$11</f>
        <v>37.703339818834955</v>
      </c>
      <c r="F3064" s="359">
        <f t="shared" si="3103"/>
        <v>6750100.2507144716</v>
      </c>
      <c r="G3064" s="359">
        <f>'DRE + DCF'!$W$31</f>
        <v>2791623.3540418856</v>
      </c>
      <c r="H3064" s="359">
        <f>'DRE + DCF'!$W$32</f>
        <v>81081.931703745853</v>
      </c>
      <c r="I3064" s="359">
        <f>-H3064*('DRE + DCF'!$V$33+K3064)/'DRE + DCF'!$V$33</f>
        <v>-90858.801614444121</v>
      </c>
      <c r="J3064" s="359">
        <f>-'DRE + DCF'!$V$56*L3064</f>
        <v>-1188924.4255577971</v>
      </c>
      <c r="K3064" s="360">
        <f>(1+L3064)/(1+Ke!$O$12)-1</f>
        <v>2.0000000000000018E-2</v>
      </c>
      <c r="L3064" s="360">
        <f>'DRE + DCF'!$Y$31</f>
        <v>7.3550000000000004E-2</v>
      </c>
      <c r="M3064" s="361">
        <f>(1+D3064)^((5-Dashboard!$F$9)*3/12)</f>
        <v>1.2726489625863222</v>
      </c>
      <c r="N3064" s="361">
        <f t="shared" ref="N3064:V3064" si="3147">M3064*(1+$D3064)</f>
        <v>1.7551738167508926</v>
      </c>
      <c r="O3064" s="361">
        <f t="shared" si="3147"/>
        <v>2.4206479693719469</v>
      </c>
      <c r="P3064" s="361">
        <f t="shared" si="3147"/>
        <v>3.3384366469592561</v>
      </c>
      <c r="Q3064" s="361">
        <f t="shared" si="3147"/>
        <v>4.6042049016537696</v>
      </c>
      <c r="R3064" s="361">
        <f t="shared" si="3147"/>
        <v>6.3498891901156744</v>
      </c>
      <c r="S3064" s="361">
        <f t="shared" si="3147"/>
        <v>8.7574496765478642</v>
      </c>
      <c r="T3064" s="361">
        <f t="shared" si="3147"/>
        <v>12.077836721410755</v>
      </c>
      <c r="U3064" s="361">
        <f t="shared" si="3147"/>
        <v>16.657148514333322</v>
      </c>
      <c r="V3064" s="362">
        <f t="shared" si="3147"/>
        <v>22.972706373542358</v>
      </c>
      <c r="X3064" s="351"/>
    </row>
    <row r="3065" spans="3:24" ht="24.75" customHeight="1" x14ac:dyDescent="0.3">
      <c r="C3065" s="353">
        <f>ABS(E3065-Dashboard!$F$14)</f>
        <v>59.301263921609475</v>
      </c>
      <c r="D3065" s="350">
        <f t="shared" si="3105"/>
        <v>0.3792499999999735</v>
      </c>
      <c r="E3065" s="359" cm="1">
        <f t="array" ref="E3065">1000*SUM('DRE + DCF'!$L$36/M3065,'DRE + DCF'!$N$36:$V$36/N3065:V3065,F3065/V3065)/Dashboard!$F$11</f>
        <v>37.688736078390519</v>
      </c>
      <c r="F3065" s="359">
        <f t="shared" si="3103"/>
        <v>6748142.8970003277</v>
      </c>
      <c r="G3065" s="359">
        <f>'DRE + DCF'!$W$31</f>
        <v>2791623.3540418856</v>
      </c>
      <c r="H3065" s="359">
        <f>'DRE + DCF'!$W$32</f>
        <v>81081.931703745853</v>
      </c>
      <c r="I3065" s="359">
        <f>-H3065*('DRE + DCF'!$V$33+K3065)/'DRE + DCF'!$V$33</f>
        <v>-90858.801614444121</v>
      </c>
      <c r="J3065" s="359">
        <f>-'DRE + DCF'!$V$56*L3065</f>
        <v>-1188924.4255577971</v>
      </c>
      <c r="K3065" s="360">
        <f>(1+L3065)/(1+Ke!$O$12)-1</f>
        <v>2.0000000000000018E-2</v>
      </c>
      <c r="L3065" s="360">
        <f>'DRE + DCF'!$Y$31</f>
        <v>7.3550000000000004E-2</v>
      </c>
      <c r="M3065" s="361">
        <f>(1+D3065)^((5-Dashboard!$F$9)*3/12)</f>
        <v>1.2727181702918771</v>
      </c>
      <c r="N3065" s="361">
        <f t="shared" ref="N3065:V3065" si="3148">M3065*(1+$D3065)</f>
        <v>1.7553965363750377</v>
      </c>
      <c r="O3065" s="361">
        <f t="shared" si="3148"/>
        <v>2.4211306727952242</v>
      </c>
      <c r="P3065" s="361">
        <f t="shared" si="3148"/>
        <v>3.3393444804527488</v>
      </c>
      <c r="Q3065" s="361">
        <f t="shared" si="3148"/>
        <v>4.6057908746643648</v>
      </c>
      <c r="R3065" s="361">
        <f t="shared" si="3148"/>
        <v>6.3525370638807024</v>
      </c>
      <c r="S3065" s="361">
        <f t="shared" si="3148"/>
        <v>8.7617367453572896</v>
      </c>
      <c r="T3065" s="361">
        <f t="shared" si="3148"/>
        <v>12.084625406033808</v>
      </c>
      <c r="U3065" s="361">
        <f t="shared" si="3148"/>
        <v>16.667719591271808</v>
      </c>
      <c r="V3065" s="362">
        <f t="shared" si="3148"/>
        <v>22.988952246261199</v>
      </c>
      <c r="X3065" s="351"/>
    </row>
    <row r="3066" spans="3:24" ht="24.75" customHeight="1" x14ac:dyDescent="0.3">
      <c r="C3066" s="353">
        <f>ABS(E3066-Dashboard!$F$14)</f>
        <v>59.315857223859432</v>
      </c>
      <c r="D3066" s="350">
        <f t="shared" si="3105"/>
        <v>0.37934999999997349</v>
      </c>
      <c r="E3066" s="359" cm="1">
        <f t="array" ref="E3066">1000*SUM('DRE + DCF'!$L$36/M3066,'DRE + DCF'!$N$36:$V$36/N3066:V3066,F3066/V3066)/Dashboard!$F$11</f>
        <v>37.674142776140563</v>
      </c>
      <c r="F3066" s="359">
        <f t="shared" si="3103"/>
        <v>6746186.6912950035</v>
      </c>
      <c r="G3066" s="359">
        <f>'DRE + DCF'!$W$31</f>
        <v>2791623.3540418856</v>
      </c>
      <c r="H3066" s="359">
        <f>'DRE + DCF'!$W$32</f>
        <v>81081.931703745853</v>
      </c>
      <c r="I3066" s="359">
        <f>-H3066*('DRE + DCF'!$V$33+K3066)/'DRE + DCF'!$V$33</f>
        <v>-90858.801614444121</v>
      </c>
      <c r="J3066" s="359">
        <f>-'DRE + DCF'!$V$56*L3066</f>
        <v>-1188924.4255577971</v>
      </c>
      <c r="K3066" s="360">
        <f>(1+L3066)/(1+Ke!$O$12)-1</f>
        <v>2.0000000000000018E-2</v>
      </c>
      <c r="L3066" s="360">
        <f>'DRE + DCF'!$Y$31</f>
        <v>7.3550000000000004E-2</v>
      </c>
      <c r="M3066" s="361">
        <f>(1+D3066)^((5-Dashboard!$F$9)*3/12)</f>
        <v>1.2727873767429987</v>
      </c>
      <c r="N3066" s="361">
        <f t="shared" ref="N3066:V3066" si="3149">M3066*(1+$D3066)</f>
        <v>1.7556192681104215</v>
      </c>
      <c r="O3066" s="361">
        <f t="shared" si="3149"/>
        <v>2.4216134374680633</v>
      </c>
      <c r="P3066" s="361">
        <f t="shared" si="3149"/>
        <v>3.3402524949715087</v>
      </c>
      <c r="Q3066" s="361">
        <f t="shared" si="3149"/>
        <v>4.6073772789388618</v>
      </c>
      <c r="R3066" s="361">
        <f t="shared" si="3149"/>
        <v>6.3551858497041964</v>
      </c>
      <c r="S3066" s="361">
        <f t="shared" si="3149"/>
        <v>8.7660256017893143</v>
      </c>
      <c r="T3066" s="361">
        <f t="shared" si="3149"/>
        <v>12.091417413827857</v>
      </c>
      <c r="U3066" s="361">
        <f t="shared" si="3149"/>
        <v>16.678296609763134</v>
      </c>
      <c r="V3066" s="362">
        <f t="shared" si="3149"/>
        <v>23.005208428676337</v>
      </c>
      <c r="X3066" s="351"/>
    </row>
    <row r="3067" spans="3:24" ht="24.75" customHeight="1" x14ac:dyDescent="0.3">
      <c r="C3067" s="353">
        <f>ABS(E3067-Dashboard!$F$14)</f>
        <v>59.330440098363006</v>
      </c>
      <c r="D3067" s="350">
        <f t="shared" si="3105"/>
        <v>0.37944999999997348</v>
      </c>
      <c r="E3067" s="359" cm="1">
        <f t="array" ref="E3067">1000*SUM('DRE + DCF'!$L$36/M3067,'DRE + DCF'!$N$36:$V$36/N3067:V3067,F3067/V3067)/Dashboard!$F$11</f>
        <v>37.659559901636989</v>
      </c>
      <c r="F3067" s="359">
        <f t="shared" si="3103"/>
        <v>6744231.6325770766</v>
      </c>
      <c r="G3067" s="359">
        <f>'DRE + DCF'!$W$31</f>
        <v>2791623.3540418856</v>
      </c>
      <c r="H3067" s="359">
        <f>'DRE + DCF'!$W$32</f>
        <v>81081.931703745853</v>
      </c>
      <c r="I3067" s="359">
        <f>-H3067*('DRE + DCF'!$V$33+K3067)/'DRE + DCF'!$V$33</f>
        <v>-90858.801614444121</v>
      </c>
      <c r="J3067" s="359">
        <f>-'DRE + DCF'!$V$56*L3067</f>
        <v>-1188924.4255577971</v>
      </c>
      <c r="K3067" s="360">
        <f>(1+L3067)/(1+Ke!$O$12)-1</f>
        <v>2.0000000000000018E-2</v>
      </c>
      <c r="L3067" s="360">
        <f>'DRE + DCF'!$Y$31</f>
        <v>7.3550000000000004E-2</v>
      </c>
      <c r="M3067" s="361">
        <f>(1+D3067)^((5-Dashboard!$F$9)*3/12)</f>
        <v>1.272856581939801</v>
      </c>
      <c r="N3067" s="361">
        <f t="shared" ref="N3067:V3067" si="3150">M3067*(1+$D3067)</f>
        <v>1.7558420119568248</v>
      </c>
      <c r="O3067" s="361">
        <f t="shared" si="3150"/>
        <v>2.4220962633937955</v>
      </c>
      <c r="P3067" s="361">
        <f t="shared" si="3150"/>
        <v>3.3411606905385067</v>
      </c>
      <c r="Q3067" s="361">
        <f t="shared" si="3150"/>
        <v>4.6089641145632543</v>
      </c>
      <c r="R3067" s="361">
        <f t="shared" si="3150"/>
        <v>6.3578355478341582</v>
      </c>
      <c r="S3067" s="361">
        <f t="shared" si="3150"/>
        <v>8.7703162464596609</v>
      </c>
      <c r="T3067" s="361">
        <f t="shared" si="3150"/>
        <v>12.098212746178547</v>
      </c>
      <c r="U3067" s="361">
        <f t="shared" si="3150"/>
        <v>16.688879572715674</v>
      </c>
      <c r="V3067" s="362">
        <f t="shared" si="3150"/>
        <v>23.021474926582194</v>
      </c>
      <c r="X3067" s="351"/>
    </row>
    <row r="3068" spans="3:24" ht="24.75" customHeight="1" x14ac:dyDescent="0.3">
      <c r="C3068" s="353">
        <f>ABS(E3068-Dashboard!$F$14)</f>
        <v>59.345012555555009</v>
      </c>
      <c r="D3068" s="350">
        <f t="shared" si="3105"/>
        <v>0.37954999999997346</v>
      </c>
      <c r="E3068" s="359" cm="1">
        <f t="array" ref="E3068">1000*SUM('DRE + DCF'!$L$36/M3068,'DRE + DCF'!$N$36:$V$36/N3068:V3068,F3068/V3068)/Dashboard!$F$11</f>
        <v>37.644987444444986</v>
      </c>
      <c r="F3068" s="359">
        <f t="shared" si="3103"/>
        <v>6742277.7198263444</v>
      </c>
      <c r="G3068" s="359">
        <f>'DRE + DCF'!$W$31</f>
        <v>2791623.3540418856</v>
      </c>
      <c r="H3068" s="359">
        <f>'DRE + DCF'!$W$32</f>
        <v>81081.931703745853</v>
      </c>
      <c r="I3068" s="359">
        <f>-H3068*('DRE + DCF'!$V$33+K3068)/'DRE + DCF'!$V$33</f>
        <v>-90858.801614444121</v>
      </c>
      <c r="J3068" s="359">
        <f>-'DRE + DCF'!$V$56*L3068</f>
        <v>-1188924.4255577971</v>
      </c>
      <c r="K3068" s="360">
        <f>(1+L3068)/(1+Ke!$O$12)-1</f>
        <v>2.0000000000000018E-2</v>
      </c>
      <c r="L3068" s="360">
        <f>'DRE + DCF'!$Y$31</f>
        <v>7.3550000000000004E-2</v>
      </c>
      <c r="M3068" s="361">
        <f>(1+D3068)^((5-Dashboard!$F$9)*3/12)</f>
        <v>1.2729257858823972</v>
      </c>
      <c r="N3068" s="361">
        <f t="shared" ref="N3068:V3068" si="3151">M3068*(1+$D3068)</f>
        <v>1.7560647679140273</v>
      </c>
      <c r="O3068" s="361">
        <f t="shared" si="3151"/>
        <v>2.4225791505757499</v>
      </c>
      <c r="P3068" s="361">
        <f t="shared" si="3151"/>
        <v>3.3420690671767113</v>
      </c>
      <c r="Q3068" s="361">
        <f t="shared" si="3151"/>
        <v>4.6105513816235435</v>
      </c>
      <c r="R3068" s="361">
        <f t="shared" si="3151"/>
        <v>6.3604861585186372</v>
      </c>
      <c r="S3068" s="361">
        <f t="shared" si="3151"/>
        <v>8.7746086799842171</v>
      </c>
      <c r="T3068" s="361">
        <f t="shared" si="3151"/>
        <v>12.105011404471993</v>
      </c>
      <c r="U3068" s="361">
        <f t="shared" si="3151"/>
        <v>16.699468483039016</v>
      </c>
      <c r="V3068" s="362">
        <f t="shared" si="3151"/>
        <v>23.037751745776031</v>
      </c>
      <c r="X3068" s="351"/>
    </row>
    <row r="3069" spans="3:24" ht="24.75" customHeight="1" x14ac:dyDescent="0.3">
      <c r="C3069" s="353">
        <f>ABS(E3069-Dashboard!$F$14)</f>
        <v>59.359574605856984</v>
      </c>
      <c r="D3069" s="350">
        <f t="shared" si="3105"/>
        <v>0.37964999999997345</v>
      </c>
      <c r="E3069" s="359" cm="1">
        <f t="array" ref="E3069">1000*SUM('DRE + DCF'!$L$36/M3069,'DRE + DCF'!$N$36:$V$36/N3069:V3069,F3069/V3069)/Dashboard!$F$11</f>
        <v>37.63042539414301</v>
      </c>
      <c r="F3069" s="359">
        <f t="shared" si="3103"/>
        <v>6740324.9520238321</v>
      </c>
      <c r="G3069" s="359">
        <f>'DRE + DCF'!$W$31</f>
        <v>2791623.3540418856</v>
      </c>
      <c r="H3069" s="359">
        <f>'DRE + DCF'!$W$32</f>
        <v>81081.931703745853</v>
      </c>
      <c r="I3069" s="359">
        <f>-H3069*('DRE + DCF'!$V$33+K3069)/'DRE + DCF'!$V$33</f>
        <v>-90858.801614444121</v>
      </c>
      <c r="J3069" s="359">
        <f>-'DRE + DCF'!$V$56*L3069</f>
        <v>-1188924.4255577971</v>
      </c>
      <c r="K3069" s="360">
        <f>(1+L3069)/(1+Ke!$O$12)-1</f>
        <v>2.0000000000000018E-2</v>
      </c>
      <c r="L3069" s="360">
        <f>'DRE + DCF'!$Y$31</f>
        <v>7.3550000000000004E-2</v>
      </c>
      <c r="M3069" s="361">
        <f>(1+D3069)^((5-Dashboard!$F$9)*3/12)</f>
        <v>1.2729949885709013</v>
      </c>
      <c r="N3069" s="361">
        <f t="shared" ref="N3069:V3069" si="3152">M3069*(1+$D3069)</f>
        <v>1.7562875359818102</v>
      </c>
      <c r="O3069" s="361">
        <f t="shared" si="3152"/>
        <v>2.4230620990172578</v>
      </c>
      <c r="P3069" s="361">
        <f t="shared" si="3152"/>
        <v>3.3429776249090954</v>
      </c>
      <c r="Q3069" s="361">
        <f t="shared" si="3152"/>
        <v>4.6121390802057443</v>
      </c>
      <c r="R3069" s="361">
        <f t="shared" si="3152"/>
        <v>6.3631376820057319</v>
      </c>
      <c r="S3069" s="361">
        <f t="shared" si="3152"/>
        <v>8.7789029029790395</v>
      </c>
      <c r="T3069" s="361">
        <f t="shared" si="3152"/>
        <v>12.111813390094799</v>
      </c>
      <c r="U3069" s="361">
        <f t="shared" si="3152"/>
        <v>16.710063343643967</v>
      </c>
      <c r="V3069" s="362">
        <f t="shared" si="3152"/>
        <v>23.054038892057953</v>
      </c>
      <c r="X3069" s="351"/>
    </row>
    <row r="3070" spans="3:24" ht="24.75" customHeight="1" x14ac:dyDescent="0.3">
      <c r="C3070" s="353">
        <f>ABS(E3070-Dashboard!$F$14)</f>
        <v>59.374126259677197</v>
      </c>
      <c r="D3070" s="350">
        <f t="shared" si="3105"/>
        <v>0.37974999999997344</v>
      </c>
      <c r="E3070" s="359" cm="1">
        <f t="array" ref="E3070">1000*SUM('DRE + DCF'!$L$36/M3070,'DRE + DCF'!$N$36:$V$36/N3070:V3070,F3070/V3070)/Dashboard!$F$11</f>
        <v>37.615873740322797</v>
      </c>
      <c r="F3070" s="359">
        <f t="shared" si="3103"/>
        <v>6738373.3281517811</v>
      </c>
      <c r="G3070" s="359">
        <f>'DRE + DCF'!$W$31</f>
        <v>2791623.3540418856</v>
      </c>
      <c r="H3070" s="359">
        <f>'DRE + DCF'!$W$32</f>
        <v>81081.931703745853</v>
      </c>
      <c r="I3070" s="359">
        <f>-H3070*('DRE + DCF'!$V$33+K3070)/'DRE + DCF'!$V$33</f>
        <v>-90858.801614444121</v>
      </c>
      <c r="J3070" s="359">
        <f>-'DRE + DCF'!$V$56*L3070</f>
        <v>-1188924.4255577971</v>
      </c>
      <c r="K3070" s="360">
        <f>(1+L3070)/(1+Ke!$O$12)-1</f>
        <v>2.0000000000000018E-2</v>
      </c>
      <c r="L3070" s="360">
        <f>'DRE + DCF'!$Y$31</f>
        <v>7.3550000000000004E-2</v>
      </c>
      <c r="M3070" s="361">
        <f>(1+D3070)^((5-Dashboard!$F$9)*3/12)</f>
        <v>1.2730641900054269</v>
      </c>
      <c r="N3070" s="361">
        <f t="shared" ref="N3070:V3070" si="3153">M3070*(1+$D3070)</f>
        <v>1.756510316159954</v>
      </c>
      <c r="O3070" s="361">
        <f t="shared" si="3153"/>
        <v>2.4235451087216497</v>
      </c>
      <c r="P3070" s="361">
        <f t="shared" si="3153"/>
        <v>3.3438863637586316</v>
      </c>
      <c r="Q3070" s="361">
        <f t="shared" si="3153"/>
        <v>4.6137272103958828</v>
      </c>
      <c r="R3070" s="361">
        <f t="shared" si="3153"/>
        <v>6.3657901185435968</v>
      </c>
      <c r="S3070" s="361">
        <f t="shared" si="3153"/>
        <v>8.7831989160603587</v>
      </c>
      <c r="T3070" s="361">
        <f t="shared" si="3153"/>
        <v>12.118618704434047</v>
      </c>
      <c r="U3070" s="361">
        <f t="shared" si="3153"/>
        <v>16.720664157442553</v>
      </c>
      <c r="V3070" s="362">
        <f t="shared" si="3153"/>
        <v>23.070336371230916</v>
      </c>
      <c r="X3070" s="351"/>
    </row>
    <row r="3071" spans="3:24" ht="24.75" customHeight="1" x14ac:dyDescent="0.3">
      <c r="C3071" s="353">
        <f>ABS(E3071-Dashboard!$F$14)</f>
        <v>59.388667527410639</v>
      </c>
      <c r="D3071" s="350">
        <f t="shared" si="3105"/>
        <v>0.37984999999997343</v>
      </c>
      <c r="E3071" s="359" cm="1">
        <f t="array" ref="E3071">1000*SUM('DRE + DCF'!$L$36/M3071,'DRE + DCF'!$N$36:$V$36/N3071:V3071,F3071/V3071)/Dashboard!$F$11</f>
        <v>37.601332472589355</v>
      </c>
      <c r="F3071" s="359">
        <f t="shared" si="3103"/>
        <v>6736422.8471936584</v>
      </c>
      <c r="G3071" s="359">
        <f>'DRE + DCF'!$W$31</f>
        <v>2791623.3540418856</v>
      </c>
      <c r="H3071" s="359">
        <f>'DRE + DCF'!$W$32</f>
        <v>81081.931703745853</v>
      </c>
      <c r="I3071" s="359">
        <f>-H3071*('DRE + DCF'!$V$33+K3071)/'DRE + DCF'!$V$33</f>
        <v>-90858.801614444121</v>
      </c>
      <c r="J3071" s="359">
        <f>-'DRE + DCF'!$V$56*L3071</f>
        <v>-1188924.4255577971</v>
      </c>
      <c r="K3071" s="360">
        <f>(1+L3071)/(1+Ke!$O$12)-1</f>
        <v>2.0000000000000018E-2</v>
      </c>
      <c r="L3071" s="360">
        <f>'DRE + DCF'!$Y$31</f>
        <v>7.3550000000000004E-2</v>
      </c>
      <c r="M3071" s="361">
        <f>(1+D3071)^((5-Dashboard!$F$9)*3/12)</f>
        <v>1.2731333901860875</v>
      </c>
      <c r="N3071" s="361">
        <f t="shared" ref="N3071:V3071" si="3154">M3071*(1+$D3071)</f>
        <v>1.7567331084482389</v>
      </c>
      <c r="O3071" s="361">
        <f t="shared" si="3154"/>
        <v>2.4240281796922556</v>
      </c>
      <c r="P3071" s="361">
        <f t="shared" si="3154"/>
        <v>3.3447952837482942</v>
      </c>
      <c r="Q3071" s="361">
        <f t="shared" si="3154"/>
        <v>4.6153157722799945</v>
      </c>
      <c r="R3071" s="361">
        <f t="shared" si="3154"/>
        <v>6.3684434683804279</v>
      </c>
      <c r="S3071" s="361">
        <f t="shared" si="3154"/>
        <v>8.7874967198445635</v>
      </c>
      <c r="T3071" s="361">
        <f t="shared" si="3154"/>
        <v>12.125427348877286</v>
      </c>
      <c r="U3071" s="361">
        <f t="shared" si="3154"/>
        <v>16.731270927348</v>
      </c>
      <c r="V3071" s="362">
        <f t="shared" si="3154"/>
        <v>23.086644189100692</v>
      </c>
      <c r="X3071" s="351"/>
    </row>
    <row r="3072" spans="3:24" ht="24.75" customHeight="1" x14ac:dyDescent="0.3">
      <c r="C3072" s="353">
        <f>ABS(E3072-Dashboard!$F$14)</f>
        <v>59.403198419439136</v>
      </c>
      <c r="D3072" s="350">
        <f t="shared" si="3105"/>
        <v>0.37994999999997342</v>
      </c>
      <c r="E3072" s="359" cm="1">
        <f t="array" ref="E3072">1000*SUM('DRE + DCF'!$L$36/M3072,'DRE + DCF'!$N$36:$V$36/N3072:V3072,F3072/V3072)/Dashboard!$F$11</f>
        <v>37.586801580560859</v>
      </c>
      <c r="F3072" s="359">
        <f t="shared" si="3103"/>
        <v>6734473.5081341434</v>
      </c>
      <c r="G3072" s="359">
        <f>'DRE + DCF'!$W$31</f>
        <v>2791623.3540418856</v>
      </c>
      <c r="H3072" s="359">
        <f>'DRE + DCF'!$W$32</f>
        <v>81081.931703745853</v>
      </c>
      <c r="I3072" s="359">
        <f>-H3072*('DRE + DCF'!$V$33+K3072)/'DRE + DCF'!$V$33</f>
        <v>-90858.801614444121</v>
      </c>
      <c r="J3072" s="359">
        <f>-'DRE + DCF'!$V$56*L3072</f>
        <v>-1188924.4255577971</v>
      </c>
      <c r="K3072" s="360">
        <f>(1+L3072)/(1+Ke!$O$12)-1</f>
        <v>2.0000000000000018E-2</v>
      </c>
      <c r="L3072" s="360">
        <f>'DRE + DCF'!$Y$31</f>
        <v>7.3550000000000004E-2</v>
      </c>
      <c r="M3072" s="361">
        <f>(1+D3072)^((5-Dashboard!$F$9)*3/12)</f>
        <v>1.2732025891129966</v>
      </c>
      <c r="N3072" s="361">
        <f t="shared" ref="N3072:V3072" si="3155">M3072*(1+$D3072)</f>
        <v>1.7569559128464456</v>
      </c>
      <c r="O3072" s="361">
        <f t="shared" si="3155"/>
        <v>2.424511311932406</v>
      </c>
      <c r="P3072" s="361">
        <f t="shared" si="3155"/>
        <v>3.345704384901059</v>
      </c>
      <c r="Q3072" s="361">
        <f t="shared" si="3155"/>
        <v>4.6169047659441276</v>
      </c>
      <c r="R3072" s="361">
        <f t="shared" si="3155"/>
        <v>6.3710977317644755</v>
      </c>
      <c r="S3072" s="361">
        <f t="shared" si="3155"/>
        <v>8.7917963149482183</v>
      </c>
      <c r="T3072" s="361">
        <f t="shared" si="3155"/>
        <v>12.132239324812559</v>
      </c>
      <c r="U3072" s="361">
        <f t="shared" si="3155"/>
        <v>16.741883656274769</v>
      </c>
      <c r="V3072" s="362">
        <f t="shared" si="3155"/>
        <v>23.102962351475924</v>
      </c>
      <c r="X3072" s="351"/>
    </row>
    <row r="3073" spans="3:24" ht="24.75" customHeight="1" x14ac:dyDescent="0.3">
      <c r="C3073" s="353">
        <f>ABS(E3073-Dashboard!$F$14)</f>
        <v>59.417718946131203</v>
      </c>
      <c r="D3073" s="350">
        <f t="shared" si="3105"/>
        <v>0.38004999999997341</v>
      </c>
      <c r="E3073" s="359" cm="1">
        <f t="array" ref="E3073">1000*SUM('DRE + DCF'!$L$36/M3073,'DRE + DCF'!$N$36:$V$36/N3073:V3073,F3073/V3073)/Dashboard!$F$11</f>
        <v>37.572281053868792</v>
      </c>
      <c r="F3073" s="359">
        <f t="shared" si="3103"/>
        <v>6732525.3099591359</v>
      </c>
      <c r="G3073" s="359">
        <f>'DRE + DCF'!$W$31</f>
        <v>2791623.3540418856</v>
      </c>
      <c r="H3073" s="359">
        <f>'DRE + DCF'!$W$32</f>
        <v>81081.931703745853</v>
      </c>
      <c r="I3073" s="359">
        <f>-H3073*('DRE + DCF'!$V$33+K3073)/'DRE + DCF'!$V$33</f>
        <v>-90858.801614444121</v>
      </c>
      <c r="J3073" s="359">
        <f>-'DRE + DCF'!$V$56*L3073</f>
        <v>-1188924.4255577971</v>
      </c>
      <c r="K3073" s="360">
        <f>(1+L3073)/(1+Ke!$O$12)-1</f>
        <v>2.0000000000000018E-2</v>
      </c>
      <c r="L3073" s="360">
        <f>'DRE + DCF'!$Y$31</f>
        <v>7.3550000000000004E-2</v>
      </c>
      <c r="M3073" s="361">
        <f>(1+D3073)^((5-Dashboard!$F$9)*3/12)</f>
        <v>1.273271786786268</v>
      </c>
      <c r="N3073" s="361">
        <f t="shared" ref="N3073:V3073" si="3156">M3073*(1+$D3073)</f>
        <v>1.7571787293543553</v>
      </c>
      <c r="O3073" s="361">
        <f t="shared" si="3156"/>
        <v>2.4249945054454312</v>
      </c>
      <c r="P3073" s="361">
        <f t="shared" si="3156"/>
        <v>3.3466136672399025</v>
      </c>
      <c r="Q3073" s="361">
        <f t="shared" si="3156"/>
        <v>4.6184941914743387</v>
      </c>
      <c r="R3073" s="361">
        <f t="shared" si="3156"/>
        <v>6.3737529089440379</v>
      </c>
      <c r="S3073" s="361">
        <f t="shared" si="3156"/>
        <v>8.7960977019880495</v>
      </c>
      <c r="T3073" s="361">
        <f t="shared" si="3156"/>
        <v>12.139054633628373</v>
      </c>
      <c r="U3073" s="361">
        <f t="shared" si="3156"/>
        <v>16.752502347138513</v>
      </c>
      <c r="V3073" s="362">
        <f t="shared" si="3156"/>
        <v>23.119290864168057</v>
      </c>
      <c r="X3073" s="351"/>
    </row>
    <row r="3074" spans="3:24" ht="24.75" customHeight="1" x14ac:dyDescent="0.3">
      <c r="C3074" s="353">
        <f>ABS(E3074-Dashboard!$F$14)</f>
        <v>59.432229117842262</v>
      </c>
      <c r="D3074" s="350">
        <f t="shared" si="3105"/>
        <v>0.3801499999999734</v>
      </c>
      <c r="E3074" s="359" cm="1">
        <f t="array" ref="E3074">1000*SUM('DRE + DCF'!$L$36/M3074,'DRE + DCF'!$N$36:$V$36/N3074:V3074,F3074/V3074)/Dashboard!$F$11</f>
        <v>37.557770882157733</v>
      </c>
      <c r="F3074" s="359">
        <f t="shared" si="3103"/>
        <v>6730578.2516557463</v>
      </c>
      <c r="G3074" s="359">
        <f>'DRE + DCF'!$W$31</f>
        <v>2791623.3540418856</v>
      </c>
      <c r="H3074" s="359">
        <f>'DRE + DCF'!$W$32</f>
        <v>81081.931703745853</v>
      </c>
      <c r="I3074" s="359">
        <f>-H3074*('DRE + DCF'!$V$33+K3074)/'DRE + DCF'!$V$33</f>
        <v>-90858.801614444121</v>
      </c>
      <c r="J3074" s="359">
        <f>-'DRE + DCF'!$V$56*L3074</f>
        <v>-1188924.4255577971</v>
      </c>
      <c r="K3074" s="360">
        <f>(1+L3074)/(1+Ke!$O$12)-1</f>
        <v>2.0000000000000018E-2</v>
      </c>
      <c r="L3074" s="360">
        <f>'DRE + DCF'!$Y$31</f>
        <v>7.3550000000000004E-2</v>
      </c>
      <c r="M3074" s="361">
        <f>(1+D3074)^((5-Dashboard!$F$9)*3/12)</f>
        <v>1.2733409832060152</v>
      </c>
      <c r="N3074" s="361">
        <f t="shared" ref="N3074:V3074" si="3157">M3074*(1+$D3074)</f>
        <v>1.7574015579717479</v>
      </c>
      <c r="O3074" s="361">
        <f t="shared" si="3157"/>
        <v>2.4254777602346609</v>
      </c>
      <c r="P3074" s="361">
        <f t="shared" si="3157"/>
        <v>3.3475231307878026</v>
      </c>
      <c r="Q3074" s="361">
        <f t="shared" si="3157"/>
        <v>4.6200840489566968</v>
      </c>
      <c r="R3074" s="361">
        <f t="shared" si="3157"/>
        <v>6.3764090001674623</v>
      </c>
      <c r="S3074" s="361">
        <f t="shared" si="3157"/>
        <v>8.8004008815809538</v>
      </c>
      <c r="T3074" s="361">
        <f t="shared" si="3157"/>
        <v>12.145873276713719</v>
      </c>
      <c r="U3074" s="361">
        <f t="shared" si="3157"/>
        <v>16.763127002856116</v>
      </c>
      <c r="V3074" s="362">
        <f t="shared" si="3157"/>
        <v>23.135629732991422</v>
      </c>
      <c r="X3074" s="351"/>
    </row>
    <row r="3075" spans="3:24" ht="24.75" customHeight="1" x14ac:dyDescent="0.3">
      <c r="C3075" s="353">
        <f>ABS(E3075-Dashboard!$F$14)</f>
        <v>59.446728944914533</v>
      </c>
      <c r="D3075" s="350">
        <f t="shared" si="3105"/>
        <v>0.38024999999997339</v>
      </c>
      <c r="E3075" s="359" cm="1">
        <f t="array" ref="E3075">1000*SUM('DRE + DCF'!$L$36/M3075,'DRE + DCF'!$N$36:$V$36/N3075:V3075,F3075/V3075)/Dashboard!$F$11</f>
        <v>37.543271055085462</v>
      </c>
      <c r="F3075" s="359">
        <f t="shared" si="3103"/>
        <v>6728632.3322122991</v>
      </c>
      <c r="G3075" s="359">
        <f>'DRE + DCF'!$W$31</f>
        <v>2791623.3540418856</v>
      </c>
      <c r="H3075" s="359">
        <f>'DRE + DCF'!$W$32</f>
        <v>81081.931703745853</v>
      </c>
      <c r="I3075" s="359">
        <f>-H3075*('DRE + DCF'!$V$33+K3075)/'DRE + DCF'!$V$33</f>
        <v>-90858.801614444121</v>
      </c>
      <c r="J3075" s="359">
        <f>-'DRE + DCF'!$V$56*L3075</f>
        <v>-1188924.4255577971</v>
      </c>
      <c r="K3075" s="360">
        <f>(1+L3075)/(1+Ke!$O$12)-1</f>
        <v>2.0000000000000018E-2</v>
      </c>
      <c r="L3075" s="360">
        <f>'DRE + DCF'!$Y$31</f>
        <v>7.3550000000000004E-2</v>
      </c>
      <c r="M3075" s="361">
        <f>(1+D3075)^((5-Dashboard!$F$9)*3/12)</f>
        <v>1.2734101783723515</v>
      </c>
      <c r="N3075" s="361">
        <f t="shared" ref="N3075:V3075" si="3158">M3075*(1+$D3075)</f>
        <v>1.7576243986984041</v>
      </c>
      <c r="O3075" s="361">
        <f t="shared" si="3158"/>
        <v>2.4259610763034254</v>
      </c>
      <c r="P3075" s="361">
        <f t="shared" si="3158"/>
        <v>3.3484327755677383</v>
      </c>
      <c r="Q3075" s="361">
        <f t="shared" si="3158"/>
        <v>4.6216743384772814</v>
      </c>
      <c r="R3075" s="361">
        <f t="shared" si="3158"/>
        <v>6.3790660056831445</v>
      </c>
      <c r="S3075" s="361">
        <f t="shared" si="3158"/>
        <v>8.8047058543439896</v>
      </c>
      <c r="T3075" s="361">
        <f t="shared" si="3158"/>
        <v>12.152695255458056</v>
      </c>
      <c r="U3075" s="361">
        <f t="shared" si="3158"/>
        <v>16.773757626345656</v>
      </c>
      <c r="V3075" s="362">
        <f t="shared" si="3158"/>
        <v>23.151978963763145</v>
      </c>
      <c r="X3075" s="351"/>
    </row>
    <row r="3076" spans="3:24" ht="24.75" customHeight="1" x14ac:dyDescent="0.3">
      <c r="C3076" s="353">
        <f>ABS(E3076-Dashboard!$F$14)</f>
        <v>59.461218437677068</v>
      </c>
      <c r="D3076" s="350">
        <f t="shared" si="3105"/>
        <v>0.38034999999997338</v>
      </c>
      <c r="E3076" s="359" cm="1">
        <f t="array" ref="E3076">1000*SUM('DRE + DCF'!$L$36/M3076,'DRE + DCF'!$N$36:$V$36/N3076:V3076,F3076/V3076)/Dashboard!$F$11</f>
        <v>37.528781562322926</v>
      </c>
      <c r="F3076" s="359">
        <f t="shared" si="3103"/>
        <v>6726687.55061833</v>
      </c>
      <c r="G3076" s="359">
        <f>'DRE + DCF'!$W$31</f>
        <v>2791623.3540418856</v>
      </c>
      <c r="H3076" s="359">
        <f>'DRE + DCF'!$W$32</f>
        <v>81081.931703745853</v>
      </c>
      <c r="I3076" s="359">
        <f>-H3076*('DRE + DCF'!$V$33+K3076)/'DRE + DCF'!$V$33</f>
        <v>-90858.801614444121</v>
      </c>
      <c r="J3076" s="359">
        <f>-'DRE + DCF'!$V$56*L3076</f>
        <v>-1188924.4255577971</v>
      </c>
      <c r="K3076" s="360">
        <f>(1+L3076)/(1+Ke!$O$12)-1</f>
        <v>2.0000000000000018E-2</v>
      </c>
      <c r="L3076" s="360">
        <f>'DRE + DCF'!$Y$31</f>
        <v>7.3550000000000004E-2</v>
      </c>
      <c r="M3076" s="361">
        <f>(1+D3076)^((5-Dashboard!$F$9)*3/12)</f>
        <v>1.2734793722853905</v>
      </c>
      <c r="N3076" s="361">
        <f t="shared" ref="N3076:V3076" si="3159">M3076*(1+$D3076)</f>
        <v>1.7578472515341048</v>
      </c>
      <c r="O3076" s="361">
        <f t="shared" si="3159"/>
        <v>2.4264444536550549</v>
      </c>
      <c r="P3076" s="361">
        <f t="shared" si="3159"/>
        <v>3.3493426016026904</v>
      </c>
      <c r="Q3076" s="361">
        <f t="shared" si="3159"/>
        <v>4.6232650601221845</v>
      </c>
      <c r="R3076" s="361">
        <f t="shared" si="3159"/>
        <v>6.381723925739534</v>
      </c>
      <c r="S3076" s="361">
        <f t="shared" si="3159"/>
        <v>8.8090126208943946</v>
      </c>
      <c r="T3076" s="361">
        <f t="shared" si="3159"/>
        <v>12.159520571251342</v>
      </c>
      <c r="U3076" s="361">
        <f t="shared" si="3159"/>
        <v>16.784394220526465</v>
      </c>
      <c r="V3076" s="362">
        <f t="shared" si="3159"/>
        <v>23.168338562303258</v>
      </c>
      <c r="X3076" s="351"/>
    </row>
    <row r="3077" spans="3:24" ht="24.75" customHeight="1" x14ac:dyDescent="0.3">
      <c r="C3077" s="353">
        <f>ABS(E3077-Dashboard!$F$14)</f>
        <v>59.475697606445827</v>
      </c>
      <c r="D3077" s="350">
        <f t="shared" si="3105"/>
        <v>0.38044999999997337</v>
      </c>
      <c r="E3077" s="359" cm="1">
        <f t="array" ref="E3077">1000*SUM('DRE + DCF'!$L$36/M3077,'DRE + DCF'!$N$36:$V$36/N3077:V3077,F3077/V3077)/Dashboard!$F$11</f>
        <v>37.514302393554168</v>
      </c>
      <c r="F3077" s="359">
        <f t="shared" si="3103"/>
        <v>6724743.9058645796</v>
      </c>
      <c r="G3077" s="359">
        <f>'DRE + DCF'!$W$31</f>
        <v>2791623.3540418856</v>
      </c>
      <c r="H3077" s="359">
        <f>'DRE + DCF'!$W$32</f>
        <v>81081.931703745853</v>
      </c>
      <c r="I3077" s="359">
        <f>-H3077*('DRE + DCF'!$V$33+K3077)/'DRE + DCF'!$V$33</f>
        <v>-90858.801614444121</v>
      </c>
      <c r="J3077" s="359">
        <f>-'DRE + DCF'!$V$56*L3077</f>
        <v>-1188924.4255577971</v>
      </c>
      <c r="K3077" s="360">
        <f>(1+L3077)/(1+Ke!$O$12)-1</f>
        <v>2.0000000000000018E-2</v>
      </c>
      <c r="L3077" s="360">
        <f>'DRE + DCF'!$Y$31</f>
        <v>7.3550000000000004E-2</v>
      </c>
      <c r="M3077" s="361">
        <f>(1+D3077)^((5-Dashboard!$F$9)*3/12)</f>
        <v>1.273548564945246</v>
      </c>
      <c r="N3077" s="361">
        <f t="shared" ref="N3077:V3077" si="3160">M3077*(1+$D3077)</f>
        <v>1.758070116478631</v>
      </c>
      <c r="O3077" s="361">
        <f t="shared" si="3160"/>
        <v>2.4269278922928792</v>
      </c>
      <c r="P3077" s="361">
        <f t="shared" si="3160"/>
        <v>3.3502526089156404</v>
      </c>
      <c r="Q3077" s="361">
        <f t="shared" si="3160"/>
        <v>4.6248562139775062</v>
      </c>
      <c r="R3077" s="361">
        <f t="shared" si="3160"/>
        <v>6.3843827605851251</v>
      </c>
      <c r="S3077" s="361">
        <f t="shared" si="3160"/>
        <v>8.8133211818495649</v>
      </c>
      <c r="T3077" s="361">
        <f t="shared" si="3160"/>
        <v>12.166349225483996</v>
      </c>
      <c r="U3077" s="361">
        <f t="shared" si="3160"/>
        <v>16.795036788319059</v>
      </c>
      <c r="V3077" s="362">
        <f t="shared" si="3160"/>
        <v>23.184708534434598</v>
      </c>
      <c r="X3077" s="351"/>
    </row>
    <row r="3078" spans="3:24" ht="24.75" customHeight="1" x14ac:dyDescent="0.3">
      <c r="C3078" s="353">
        <f>ABS(E3078-Dashboard!$F$14)</f>
        <v>59.490166461523643</v>
      </c>
      <c r="D3078" s="350">
        <f t="shared" si="3105"/>
        <v>0.38054999999997335</v>
      </c>
      <c r="E3078" s="359" cm="1">
        <f t="array" ref="E3078">1000*SUM('DRE + DCF'!$L$36/M3078,'DRE + DCF'!$N$36:$V$36/N3078:V3078,F3078/V3078)/Dashboard!$F$11</f>
        <v>37.499833538476352</v>
      </c>
      <c r="F3078" s="359">
        <f t="shared" si="3103"/>
        <v>6722801.3969429992</v>
      </c>
      <c r="G3078" s="359">
        <f>'DRE + DCF'!$W$31</f>
        <v>2791623.3540418856</v>
      </c>
      <c r="H3078" s="359">
        <f>'DRE + DCF'!$W$32</f>
        <v>81081.931703745853</v>
      </c>
      <c r="I3078" s="359">
        <f>-H3078*('DRE + DCF'!$V$33+K3078)/'DRE + DCF'!$V$33</f>
        <v>-90858.801614444121</v>
      </c>
      <c r="J3078" s="359">
        <f>-'DRE + DCF'!$V$56*L3078</f>
        <v>-1188924.4255577971</v>
      </c>
      <c r="K3078" s="360">
        <f>(1+L3078)/(1+Ke!$O$12)-1</f>
        <v>2.0000000000000018E-2</v>
      </c>
      <c r="L3078" s="360">
        <f>'DRE + DCF'!$Y$31</f>
        <v>7.3550000000000004E-2</v>
      </c>
      <c r="M3078" s="361">
        <f>(1+D3078)^((5-Dashboard!$F$9)*3/12)</f>
        <v>1.2736177563520312</v>
      </c>
      <c r="N3078" s="361">
        <f t="shared" ref="N3078:V3078" si="3161">M3078*(1+$D3078)</f>
        <v>1.7582929935317626</v>
      </c>
      <c r="O3078" s="361">
        <f t="shared" si="3161"/>
        <v>2.4274113922202281</v>
      </c>
      <c r="P3078" s="361">
        <f t="shared" si="3161"/>
        <v>3.3511627975295712</v>
      </c>
      <c r="Q3078" s="361">
        <f t="shared" si="3161"/>
        <v>4.6264478001293599</v>
      </c>
      <c r="R3078" s="361">
        <f t="shared" si="3161"/>
        <v>6.3870425104684641</v>
      </c>
      <c r="S3078" s="361">
        <f t="shared" si="3161"/>
        <v>8.8176315378270669</v>
      </c>
      <c r="T3078" s="361">
        <f t="shared" si="3161"/>
        <v>12.173181219546922</v>
      </c>
      <c r="U3078" s="361">
        <f t="shared" si="3161"/>
        <v>16.805685332645179</v>
      </c>
      <c r="V3078" s="362">
        <f t="shared" si="3161"/>
        <v>23.201088885982852</v>
      </c>
      <c r="X3078" s="351"/>
    </row>
    <row r="3079" spans="3:24" ht="24.75" customHeight="1" x14ac:dyDescent="0.3">
      <c r="C3079" s="353">
        <f>ABS(E3079-Dashboard!$F$14)</f>
        <v>59.504625013200268</v>
      </c>
      <c r="D3079" s="350">
        <f t="shared" si="3105"/>
        <v>0.38064999999997334</v>
      </c>
      <c r="E3079" s="359" cm="1">
        <f t="array" ref="E3079">1000*SUM('DRE + DCF'!$L$36/M3079,'DRE + DCF'!$N$36:$V$36/N3079:V3079,F3079/V3079)/Dashboard!$F$11</f>
        <v>37.485374986799727</v>
      </c>
      <c r="F3079" s="359">
        <f t="shared" si="3103"/>
        <v>6720860.0228467435</v>
      </c>
      <c r="G3079" s="359">
        <f>'DRE + DCF'!$W$31</f>
        <v>2791623.3540418856</v>
      </c>
      <c r="H3079" s="359">
        <f>'DRE + DCF'!$W$32</f>
        <v>81081.931703745853</v>
      </c>
      <c r="I3079" s="359">
        <f>-H3079*('DRE + DCF'!$V$33+K3079)/'DRE + DCF'!$V$33</f>
        <v>-90858.801614444121</v>
      </c>
      <c r="J3079" s="359">
        <f>-'DRE + DCF'!$V$56*L3079</f>
        <v>-1188924.4255577971</v>
      </c>
      <c r="K3079" s="360">
        <f>(1+L3079)/(1+Ke!$O$12)-1</f>
        <v>2.0000000000000018E-2</v>
      </c>
      <c r="L3079" s="360">
        <f>'DRE + DCF'!$Y$31</f>
        <v>7.3550000000000004E-2</v>
      </c>
      <c r="M3079" s="361">
        <f>(1+D3079)^((5-Dashboard!$F$9)*3/12)</f>
        <v>1.2736869465058596</v>
      </c>
      <c r="N3079" s="361">
        <f t="shared" ref="N3079:V3079" si="3162">M3079*(1+$D3079)</f>
        <v>1.758515882693281</v>
      </c>
      <c r="O3079" s="361">
        <f t="shared" si="3162"/>
        <v>2.4278949534404313</v>
      </c>
      <c r="P3079" s="361">
        <f t="shared" si="3162"/>
        <v>3.3520731674674664</v>
      </c>
      <c r="Q3079" s="361">
        <f t="shared" si="3162"/>
        <v>4.6280398186638676</v>
      </c>
      <c r="R3079" s="361">
        <f t="shared" si="3162"/>
        <v>6.3897031756381448</v>
      </c>
      <c r="S3079" s="361">
        <f t="shared" si="3162"/>
        <v>8.8219436894446339</v>
      </c>
      <c r="T3079" s="361">
        <f t="shared" si="3162"/>
        <v>12.180016554831498</v>
      </c>
      <c r="U3079" s="361">
        <f t="shared" si="3162"/>
        <v>16.816339856427781</v>
      </c>
      <c r="V3079" s="362">
        <f t="shared" si="3162"/>
        <v>23.217479622776565</v>
      </c>
      <c r="X3079" s="351"/>
    </row>
    <row r="3080" spans="3:24" ht="24.75" customHeight="1" x14ac:dyDescent="0.3">
      <c r="C3080" s="353">
        <f>ABS(E3080-Dashboard!$F$14)</f>
        <v>59.51907327175239</v>
      </c>
      <c r="D3080" s="350">
        <f t="shared" si="3105"/>
        <v>0.38074999999997333</v>
      </c>
      <c r="E3080" s="359" cm="1">
        <f t="array" ref="E3080">1000*SUM('DRE + DCF'!$L$36/M3080,'DRE + DCF'!$N$36:$V$36/N3080:V3080,F3080/V3080)/Dashboard!$F$11</f>
        <v>37.470926728247605</v>
      </c>
      <c r="F3080" s="359">
        <f t="shared" si="3103"/>
        <v>6718919.7825701702</v>
      </c>
      <c r="G3080" s="359">
        <f>'DRE + DCF'!$W$31</f>
        <v>2791623.3540418856</v>
      </c>
      <c r="H3080" s="359">
        <f>'DRE + DCF'!$W$32</f>
        <v>81081.931703745853</v>
      </c>
      <c r="I3080" s="359">
        <f>-H3080*('DRE + DCF'!$V$33+K3080)/'DRE + DCF'!$V$33</f>
        <v>-90858.801614444121</v>
      </c>
      <c r="J3080" s="359">
        <f>-'DRE + DCF'!$V$56*L3080</f>
        <v>-1188924.4255577971</v>
      </c>
      <c r="K3080" s="360">
        <f>(1+L3080)/(1+Ke!$O$12)-1</f>
        <v>2.0000000000000018E-2</v>
      </c>
      <c r="L3080" s="360">
        <f>'DRE + DCF'!$Y$31</f>
        <v>7.3550000000000004E-2</v>
      </c>
      <c r="M3080" s="361">
        <f>(1+D3080)^((5-Dashboard!$F$9)*3/12)</f>
        <v>1.2737561354068445</v>
      </c>
      <c r="N3080" s="361">
        <f t="shared" ref="N3080:V3080" si="3163">M3080*(1+$D3080)</f>
        <v>1.7587387839629665</v>
      </c>
      <c r="O3080" s="361">
        <f t="shared" si="3163"/>
        <v>2.4283785759568191</v>
      </c>
      <c r="P3080" s="361">
        <f t="shared" si="3163"/>
        <v>3.3529837187523128</v>
      </c>
      <c r="Q3080" s="361">
        <f t="shared" si="3163"/>
        <v>4.6296322696671659</v>
      </c>
      <c r="R3080" s="361">
        <f t="shared" si="3163"/>
        <v>6.3923647563428156</v>
      </c>
      <c r="S3080" s="361">
        <f t="shared" si="3163"/>
        <v>8.8262576373201718</v>
      </c>
      <c r="T3080" s="361">
        <f t="shared" si="3163"/>
        <v>12.186855232729592</v>
      </c>
      <c r="U3080" s="361">
        <f t="shared" si="3163"/>
        <v>16.827000362591058</v>
      </c>
      <c r="V3080" s="362">
        <f t="shared" si="3163"/>
        <v>23.233880750647153</v>
      </c>
      <c r="X3080" s="351"/>
    </row>
    <row r="3081" spans="3:24" ht="24.75" customHeight="1" x14ac:dyDescent="0.3">
      <c r="C3081" s="353">
        <f>ABS(E3081-Dashboard!$F$14)</f>
        <v>59.533511247443649</v>
      </c>
      <c r="D3081" s="350">
        <f t="shared" si="3105"/>
        <v>0.38084999999997332</v>
      </c>
      <c r="E3081" s="359" cm="1">
        <f t="array" ref="E3081">1000*SUM('DRE + DCF'!$L$36/M3081,'DRE + DCF'!$N$36:$V$36/N3081:V3081,F3081/V3081)/Dashboard!$F$11</f>
        <v>37.456488752556346</v>
      </c>
      <c r="F3081" s="359">
        <f t="shared" si="3103"/>
        <v>6716980.675108837</v>
      </c>
      <c r="G3081" s="359">
        <f>'DRE + DCF'!$W$31</f>
        <v>2791623.3540418856</v>
      </c>
      <c r="H3081" s="359">
        <f>'DRE + DCF'!$W$32</f>
        <v>81081.931703745853</v>
      </c>
      <c r="I3081" s="359">
        <f>-H3081*('DRE + DCF'!$V$33+K3081)/'DRE + DCF'!$V$33</f>
        <v>-90858.801614444121</v>
      </c>
      <c r="J3081" s="359">
        <f>-'DRE + DCF'!$V$56*L3081</f>
        <v>-1188924.4255577971</v>
      </c>
      <c r="K3081" s="360">
        <f>(1+L3081)/(1+Ke!$O$12)-1</f>
        <v>2.0000000000000018E-2</v>
      </c>
      <c r="L3081" s="360">
        <f>'DRE + DCF'!$Y$31</f>
        <v>7.3550000000000004E-2</v>
      </c>
      <c r="M3081" s="361">
        <f>(1+D3081)^((5-Dashboard!$F$9)*3/12)</f>
        <v>1.2738253230550995</v>
      </c>
      <c r="N3081" s="361">
        <f t="shared" ref="N3081:V3081" si="3164">M3081*(1+$D3081)</f>
        <v>1.7589616973406001</v>
      </c>
      <c r="O3081" s="361">
        <f t="shared" si="3164"/>
        <v>2.4288622597727207</v>
      </c>
      <c r="P3081" s="361">
        <f t="shared" si="3164"/>
        <v>3.3538944514070965</v>
      </c>
      <c r="Q3081" s="361">
        <f t="shared" si="3164"/>
        <v>4.6312251532253992</v>
      </c>
      <c r="R3081" s="361">
        <f t="shared" si="3164"/>
        <v>6.3950272528311682</v>
      </c>
      <c r="S3081" s="361">
        <f t="shared" si="3164"/>
        <v>8.8305733820717478</v>
      </c>
      <c r="T3081" s="361">
        <f t="shared" si="3164"/>
        <v>12.193697254633538</v>
      </c>
      <c r="U3081" s="361">
        <f t="shared" si="3164"/>
        <v>16.837666854060394</v>
      </c>
      <c r="V3081" s="362">
        <f t="shared" si="3164"/>
        <v>23.250292275428844</v>
      </c>
      <c r="X3081" s="351"/>
    </row>
    <row r="3082" spans="3:24" ht="24.75" customHeight="1" x14ac:dyDescent="0.3">
      <c r="C3082" s="353">
        <f>ABS(E3082-Dashboard!$F$14)</f>
        <v>59.547938950524653</v>
      </c>
      <c r="D3082" s="350">
        <f t="shared" si="3105"/>
        <v>0.38094999999997331</v>
      </c>
      <c r="E3082" s="359" cm="1">
        <f t="array" ref="E3082">1000*SUM('DRE + DCF'!$L$36/M3082,'DRE + DCF'!$N$36:$V$36/N3082:V3082,F3082/V3082)/Dashboard!$F$11</f>
        <v>37.442061049475342</v>
      </c>
      <c r="F3082" s="359">
        <f t="shared" si="3103"/>
        <v>6715042.6994595043</v>
      </c>
      <c r="G3082" s="359">
        <f>'DRE + DCF'!$W$31</f>
        <v>2791623.3540418856</v>
      </c>
      <c r="H3082" s="359">
        <f>'DRE + DCF'!$W$32</f>
        <v>81081.931703745853</v>
      </c>
      <c r="I3082" s="359">
        <f>-H3082*('DRE + DCF'!$V$33+K3082)/'DRE + DCF'!$V$33</f>
        <v>-90858.801614444121</v>
      </c>
      <c r="J3082" s="359">
        <f>-'DRE + DCF'!$V$56*L3082</f>
        <v>-1188924.4255577971</v>
      </c>
      <c r="K3082" s="360">
        <f>(1+L3082)/(1+Ke!$O$12)-1</f>
        <v>2.0000000000000018E-2</v>
      </c>
      <c r="L3082" s="360">
        <f>'DRE + DCF'!$Y$31</f>
        <v>7.3550000000000004E-2</v>
      </c>
      <c r="M3082" s="361">
        <f>(1+D3082)^((5-Dashboard!$F$9)*3/12)</f>
        <v>1.2738945094507381</v>
      </c>
      <c r="N3082" s="361">
        <f t="shared" ref="N3082:V3082" si="3165">M3082*(1+$D3082)</f>
        <v>1.7591846228259627</v>
      </c>
      <c r="O3082" s="361">
        <f t="shared" si="3165"/>
        <v>2.4293460048914661</v>
      </c>
      <c r="P3082" s="361">
        <f t="shared" si="3165"/>
        <v>3.3548053654548053</v>
      </c>
      <c r="Q3082" s="361">
        <f t="shared" si="3165"/>
        <v>4.6328184694247234</v>
      </c>
      <c r="R3082" s="361">
        <f t="shared" si="3165"/>
        <v>6.3976906653519476</v>
      </c>
      <c r="S3082" s="361">
        <f t="shared" si="3165"/>
        <v>8.8348909243176017</v>
      </c>
      <c r="T3082" s="361">
        <f t="shared" si="3165"/>
        <v>12.200542621936156</v>
      </c>
      <c r="U3082" s="361">
        <f t="shared" si="3165"/>
        <v>16.848339333762407</v>
      </c>
      <c r="V3082" s="362">
        <f t="shared" si="3165"/>
        <v>23.266714202958745</v>
      </c>
      <c r="X3082" s="351"/>
    </row>
    <row r="3083" spans="3:24" ht="24.75" customHeight="1" x14ac:dyDescent="0.3">
      <c r="C3083" s="353">
        <f>ABS(E3083-Dashboard!$F$14)</f>
        <v>59.562356391233024</v>
      </c>
      <c r="D3083" s="350">
        <f t="shared" si="3105"/>
        <v>0.3810499999999733</v>
      </c>
      <c r="E3083" s="359" cm="1">
        <f t="array" ref="E3083">1000*SUM('DRE + DCF'!$L$36/M3083,'DRE + DCF'!$N$36:$V$36/N3083:V3083,F3083/V3083)/Dashboard!$F$11</f>
        <v>37.427643608766971</v>
      </c>
      <c r="F3083" s="359">
        <f t="shared" si="3103"/>
        <v>6713105.8546201289</v>
      </c>
      <c r="G3083" s="359">
        <f>'DRE + DCF'!$W$31</f>
        <v>2791623.3540418856</v>
      </c>
      <c r="H3083" s="359">
        <f>'DRE + DCF'!$W$32</f>
        <v>81081.931703745853</v>
      </c>
      <c r="I3083" s="359">
        <f>-H3083*('DRE + DCF'!$V$33+K3083)/'DRE + DCF'!$V$33</f>
        <v>-90858.801614444121</v>
      </c>
      <c r="J3083" s="359">
        <f>-'DRE + DCF'!$V$56*L3083</f>
        <v>-1188924.4255577971</v>
      </c>
      <c r="K3083" s="360">
        <f>(1+L3083)/(1+Ke!$O$12)-1</f>
        <v>2.0000000000000018E-2</v>
      </c>
      <c r="L3083" s="360">
        <f>'DRE + DCF'!$Y$31</f>
        <v>7.3550000000000004E-2</v>
      </c>
      <c r="M3083" s="361">
        <f>(1+D3083)^((5-Dashboard!$F$9)*3/12)</f>
        <v>1.2739636945938735</v>
      </c>
      <c r="N3083" s="361">
        <f t="shared" ref="N3083:V3083" si="3166">M3083*(1+$D3083)</f>
        <v>1.7594075604188348</v>
      </c>
      <c r="O3083" s="361">
        <f t="shared" si="3166"/>
        <v>2.429829811316385</v>
      </c>
      <c r="P3083" s="361">
        <f t="shared" si="3166"/>
        <v>3.3557164609184285</v>
      </c>
      <c r="Q3083" s="361">
        <f t="shared" si="3166"/>
        <v>4.6344122183513061</v>
      </c>
      <c r="R3083" s="361">
        <f t="shared" si="3166"/>
        <v>6.4003549941539477</v>
      </c>
      <c r="S3083" s="361">
        <f t="shared" si="3166"/>
        <v>8.8392102646761384</v>
      </c>
      <c r="T3083" s="361">
        <f t="shared" si="3166"/>
        <v>12.207391336030744</v>
      </c>
      <c r="U3083" s="361">
        <f t="shared" si="3166"/>
        <v>16.859017804624933</v>
      </c>
      <c r="V3083" s="362">
        <f t="shared" si="3166"/>
        <v>23.283146539076814</v>
      </c>
      <c r="X3083" s="351"/>
    </row>
    <row r="3084" spans="3:24" ht="24.75" customHeight="1" x14ac:dyDescent="0.3">
      <c r="C3084" s="353">
        <f>ABS(E3084-Dashboard!$F$14)</f>
        <v>59.576763579793358</v>
      </c>
      <c r="D3084" s="350">
        <f t="shared" si="3105"/>
        <v>0.38114999999997329</v>
      </c>
      <c r="E3084" s="359" cm="1">
        <f t="array" ref="E3084">1000*SUM('DRE + DCF'!$L$36/M3084,'DRE + DCF'!$N$36:$V$36/N3084:V3084,F3084/V3084)/Dashboard!$F$11</f>
        <v>37.413236420206637</v>
      </c>
      <c r="F3084" s="359">
        <f t="shared" si="3103"/>
        <v>6711170.139589861</v>
      </c>
      <c r="G3084" s="359">
        <f>'DRE + DCF'!$W$31</f>
        <v>2791623.3540418856</v>
      </c>
      <c r="H3084" s="359">
        <f>'DRE + DCF'!$W$32</f>
        <v>81081.931703745853</v>
      </c>
      <c r="I3084" s="359">
        <f>-H3084*('DRE + DCF'!$V$33+K3084)/'DRE + DCF'!$V$33</f>
        <v>-90858.801614444121</v>
      </c>
      <c r="J3084" s="359">
        <f>-'DRE + DCF'!$V$56*L3084</f>
        <v>-1188924.4255577971</v>
      </c>
      <c r="K3084" s="360">
        <f>(1+L3084)/(1+Ke!$O$12)-1</f>
        <v>2.0000000000000018E-2</v>
      </c>
      <c r="L3084" s="360">
        <f>'DRE + DCF'!$Y$31</f>
        <v>7.3550000000000004E-2</v>
      </c>
      <c r="M3084" s="361">
        <f>(1+D3084)^((5-Dashboard!$F$9)*3/12)</f>
        <v>1.2740328784846191</v>
      </c>
      <c r="N3084" s="361">
        <f t="shared" ref="N3084:V3084" si="3167">M3084*(1+$D3084)</f>
        <v>1.7596305101189975</v>
      </c>
      <c r="O3084" s="361">
        <f t="shared" si="3167"/>
        <v>2.4303136790508062</v>
      </c>
      <c r="P3084" s="361">
        <f t="shared" si="3167"/>
        <v>3.3566277378209559</v>
      </c>
      <c r="Q3084" s="361">
        <f t="shared" si="3167"/>
        <v>4.6360064000913237</v>
      </c>
      <c r="R3084" s="361">
        <f t="shared" si="3167"/>
        <v>6.4030202394860076</v>
      </c>
      <c r="S3084" s="361">
        <f t="shared" si="3167"/>
        <v>8.8435314037659278</v>
      </c>
      <c r="T3084" s="361">
        <f t="shared" si="3167"/>
        <v>12.214243398311075</v>
      </c>
      <c r="U3084" s="361">
        <f t="shared" si="3167"/>
        <v>16.869702269577015</v>
      </c>
      <c r="V3084" s="362">
        <f t="shared" si="3167"/>
        <v>23.299589289625843</v>
      </c>
      <c r="X3084" s="351"/>
    </row>
    <row r="3085" spans="3:24" ht="24.75" customHeight="1" x14ac:dyDescent="0.3">
      <c r="C3085" s="353">
        <f>ABS(E3085-Dashboard!$F$14)</f>
        <v>59.591160526417333</v>
      </c>
      <c r="D3085" s="350">
        <f t="shared" si="3105"/>
        <v>0.38124999999997328</v>
      </c>
      <c r="E3085" s="359" cm="1">
        <f t="array" ref="E3085">1000*SUM('DRE + DCF'!$L$36/M3085,'DRE + DCF'!$N$36:$V$36/N3085:V3085,F3085/V3085)/Dashboard!$F$11</f>
        <v>37.398839473582662</v>
      </c>
      <c r="F3085" s="359">
        <f t="shared" si="3103"/>
        <v>6709235.5533690471</v>
      </c>
      <c r="G3085" s="359">
        <f>'DRE + DCF'!$W$31</f>
        <v>2791623.3540418856</v>
      </c>
      <c r="H3085" s="359">
        <f>'DRE + DCF'!$W$32</f>
        <v>81081.931703745853</v>
      </c>
      <c r="I3085" s="359">
        <f>-H3085*('DRE + DCF'!$V$33+K3085)/'DRE + DCF'!$V$33</f>
        <v>-90858.801614444121</v>
      </c>
      <c r="J3085" s="359">
        <f>-'DRE + DCF'!$V$56*L3085</f>
        <v>-1188924.4255577971</v>
      </c>
      <c r="K3085" s="360">
        <f>(1+L3085)/(1+Ke!$O$12)-1</f>
        <v>2.0000000000000018E-2</v>
      </c>
      <c r="L3085" s="360">
        <f>'DRE + DCF'!$Y$31</f>
        <v>7.3550000000000004E-2</v>
      </c>
      <c r="M3085" s="361">
        <f>(1+D3085)^((5-Dashboard!$F$9)*3/12)</f>
        <v>1.2741020611230882</v>
      </c>
      <c r="N3085" s="361">
        <f t="shared" ref="N3085:V3085" si="3168">M3085*(1+$D3085)</f>
        <v>1.7598534719262315</v>
      </c>
      <c r="O3085" s="361">
        <f t="shared" si="3168"/>
        <v>2.43079760809806</v>
      </c>
      <c r="P3085" s="361">
        <f t="shared" si="3168"/>
        <v>3.3575391961853804</v>
      </c>
      <c r="Q3085" s="361">
        <f t="shared" si="3168"/>
        <v>4.6376010147309668</v>
      </c>
      <c r="R3085" s="361">
        <f t="shared" si="3168"/>
        <v>6.4056864015970234</v>
      </c>
      <c r="S3085" s="361">
        <f t="shared" si="3168"/>
        <v>8.8478543422057179</v>
      </c>
      <c r="T3085" s="361">
        <f t="shared" si="3168"/>
        <v>12.22109881017141</v>
      </c>
      <c r="U3085" s="361">
        <f t="shared" si="3168"/>
        <v>16.880392731548934</v>
      </c>
      <c r="V3085" s="362">
        <f t="shared" si="3168"/>
        <v>23.316042460451513</v>
      </c>
      <c r="X3085" s="351"/>
    </row>
    <row r="3086" spans="3:24" ht="24.75" customHeight="1" x14ac:dyDescent="0.3">
      <c r="C3086" s="353">
        <f>ABS(E3086-Dashboard!$F$14)</f>
        <v>59.605547241303654</v>
      </c>
      <c r="D3086" s="350">
        <f t="shared" si="3105"/>
        <v>0.38134999999997327</v>
      </c>
      <c r="E3086" s="359" cm="1">
        <f t="array" ref="E3086">1000*SUM('DRE + DCF'!$L$36/M3086,'DRE + DCF'!$N$36:$V$36/N3086:V3086,F3086/V3086)/Dashboard!$F$11</f>
        <v>37.384452758696341</v>
      </c>
      <c r="F3086" s="359">
        <f t="shared" ref="F3086:F3149" si="3169">AVERAGE(SUM(G3086:J3086)*(1+L3086)/(D3086-L3086),G3086*(1+L3086)*(1-L3086/D3086)/(D3086-L3086))</f>
        <v>6707302.0949592274</v>
      </c>
      <c r="G3086" s="359">
        <f>'DRE + DCF'!$W$31</f>
        <v>2791623.3540418856</v>
      </c>
      <c r="H3086" s="359">
        <f>'DRE + DCF'!$W$32</f>
        <v>81081.931703745853</v>
      </c>
      <c r="I3086" s="359">
        <f>-H3086*('DRE + DCF'!$V$33+K3086)/'DRE + DCF'!$V$33</f>
        <v>-90858.801614444121</v>
      </c>
      <c r="J3086" s="359">
        <f>-'DRE + DCF'!$V$56*L3086</f>
        <v>-1188924.4255577971</v>
      </c>
      <c r="K3086" s="360">
        <f>(1+L3086)/(1+Ke!$O$12)-1</f>
        <v>2.0000000000000018E-2</v>
      </c>
      <c r="L3086" s="360">
        <f>'DRE + DCF'!$Y$31</f>
        <v>7.3550000000000004E-2</v>
      </c>
      <c r="M3086" s="361">
        <f>(1+D3086)^((5-Dashboard!$F$9)*3/12)</f>
        <v>1.2741712425093943</v>
      </c>
      <c r="N3086" s="361">
        <f t="shared" ref="N3086:V3086" si="3170">M3086*(1+$D3086)</f>
        <v>1.7600764458403177</v>
      </c>
      <c r="O3086" s="361">
        <f t="shared" si="3170"/>
        <v>2.4312815984614757</v>
      </c>
      <c r="P3086" s="361">
        <f t="shared" si="3170"/>
        <v>3.3584508360346943</v>
      </c>
      <c r="Q3086" s="361">
        <f t="shared" si="3170"/>
        <v>4.6391960623564348</v>
      </c>
      <c r="R3086" s="361">
        <f t="shared" si="3170"/>
        <v>6.4083534807359372</v>
      </c>
      <c r="S3086" s="361">
        <f t="shared" si="3170"/>
        <v>8.8521790806144161</v>
      </c>
      <c r="T3086" s="361">
        <f t="shared" si="3170"/>
        <v>12.227957573006487</v>
      </c>
      <c r="U3086" s="361">
        <f t="shared" si="3170"/>
        <v>16.891089193472183</v>
      </c>
      <c r="V3086" s="362">
        <f t="shared" si="3170"/>
        <v>23.332506057402348</v>
      </c>
      <c r="X3086" s="351"/>
    </row>
    <row r="3087" spans="3:24" ht="24.75" customHeight="1" x14ac:dyDescent="0.3">
      <c r="C3087" s="353">
        <f>ABS(E3087-Dashboard!$F$14)</f>
        <v>59.619923734638121</v>
      </c>
      <c r="D3087" s="350">
        <f t="shared" ref="D3087:D3150" si="3171">D3086+0.0001</f>
        <v>0.38144999999997325</v>
      </c>
      <c r="E3087" s="359" cm="1">
        <f t="array" ref="E3087">1000*SUM('DRE + DCF'!$L$36/M3087,'DRE + DCF'!$N$36:$V$36/N3087:V3087,F3087/V3087)/Dashboard!$F$11</f>
        <v>37.370076265361874</v>
      </c>
      <c r="F3087" s="359">
        <f t="shared" si="3169"/>
        <v>6705369.7633631304</v>
      </c>
      <c r="G3087" s="359">
        <f>'DRE + DCF'!$W$31</f>
        <v>2791623.3540418856</v>
      </c>
      <c r="H3087" s="359">
        <f>'DRE + DCF'!$W$32</f>
        <v>81081.931703745853</v>
      </c>
      <c r="I3087" s="359">
        <f>-H3087*('DRE + DCF'!$V$33+K3087)/'DRE + DCF'!$V$33</f>
        <v>-90858.801614444121</v>
      </c>
      <c r="J3087" s="359">
        <f>-'DRE + DCF'!$V$56*L3087</f>
        <v>-1188924.4255577971</v>
      </c>
      <c r="K3087" s="360">
        <f>(1+L3087)/(1+Ke!$O$12)-1</f>
        <v>2.0000000000000018E-2</v>
      </c>
      <c r="L3087" s="360">
        <f>'DRE + DCF'!$Y$31</f>
        <v>7.3550000000000004E-2</v>
      </c>
      <c r="M3087" s="361">
        <f>(1+D3087)^((5-Dashboard!$F$9)*3/12)</f>
        <v>1.2742404226436503</v>
      </c>
      <c r="N3087" s="361">
        <f t="shared" ref="N3087:V3087" si="3172">M3087*(1+$D3087)</f>
        <v>1.7602994318610365</v>
      </c>
      <c r="O3087" s="361">
        <f t="shared" si="3172"/>
        <v>2.4317656501443818</v>
      </c>
      <c r="P3087" s="361">
        <f t="shared" si="3172"/>
        <v>3.3593626573918911</v>
      </c>
      <c r="Q3087" s="361">
        <f t="shared" si="3172"/>
        <v>4.6407915430539379</v>
      </c>
      <c r="R3087" s="361">
        <f t="shared" si="3172"/>
        <v>6.4110214771517384</v>
      </c>
      <c r="S3087" s="361">
        <f t="shared" si="3172"/>
        <v>8.8565056196110969</v>
      </c>
      <c r="T3087" s="361">
        <f t="shared" si="3172"/>
        <v>12.234819688211513</v>
      </c>
      <c r="U3087" s="361">
        <f t="shared" si="3172"/>
        <v>16.901791658279468</v>
      </c>
      <c r="V3087" s="362">
        <f t="shared" si="3172"/>
        <v>23.348980086329718</v>
      </c>
      <c r="X3087" s="351"/>
    </row>
    <row r="3088" spans="3:24" ht="24.75" customHeight="1" x14ac:dyDescent="0.3">
      <c r="C3088" s="353">
        <f>ABS(E3088-Dashboard!$F$14)</f>
        <v>59.634290016593589</v>
      </c>
      <c r="D3088" s="350">
        <f t="shared" si="3171"/>
        <v>0.38154999999997324</v>
      </c>
      <c r="E3088" s="359" cm="1">
        <f t="array" ref="E3088">1000*SUM('DRE + DCF'!$L$36/M3088,'DRE + DCF'!$N$36:$V$36/N3088:V3088,F3088/V3088)/Dashboard!$F$11</f>
        <v>37.355709983406406</v>
      </c>
      <c r="F3088" s="359">
        <f t="shared" si="3169"/>
        <v>6703438.5575846713</v>
      </c>
      <c r="G3088" s="359">
        <f>'DRE + DCF'!$W$31</f>
        <v>2791623.3540418856</v>
      </c>
      <c r="H3088" s="359">
        <f>'DRE + DCF'!$W$32</f>
        <v>81081.931703745853</v>
      </c>
      <c r="I3088" s="359">
        <f>-H3088*('DRE + DCF'!$V$33+K3088)/'DRE + DCF'!$V$33</f>
        <v>-90858.801614444121</v>
      </c>
      <c r="J3088" s="359">
        <f>-'DRE + DCF'!$V$56*L3088</f>
        <v>-1188924.4255577971</v>
      </c>
      <c r="K3088" s="360">
        <f>(1+L3088)/(1+Ke!$O$12)-1</f>
        <v>2.0000000000000018E-2</v>
      </c>
      <c r="L3088" s="360">
        <f>'DRE + DCF'!$Y$31</f>
        <v>7.3550000000000004E-2</v>
      </c>
      <c r="M3088" s="361">
        <f>(1+D3088)^((5-Dashboard!$F$9)*3/12)</f>
        <v>1.2743096015259701</v>
      </c>
      <c r="N3088" s="361">
        <f t="shared" ref="N3088:V3088" si="3173">M3088*(1+$D3088)</f>
        <v>1.7605224299881699</v>
      </c>
      <c r="O3088" s="361">
        <f t="shared" si="3173"/>
        <v>2.432249763150109</v>
      </c>
      <c r="P3088" s="361">
        <f t="shared" si="3173"/>
        <v>3.360274660279968</v>
      </c>
      <c r="Q3088" s="361">
        <f t="shared" si="3173"/>
        <v>4.6423874569096997</v>
      </c>
      <c r="R3088" s="361">
        <f t="shared" si="3173"/>
        <v>6.4136903910934713</v>
      </c>
      <c r="S3088" s="361">
        <f t="shared" si="3173"/>
        <v>8.8608339598150128</v>
      </c>
      <c r="T3088" s="361">
        <f t="shared" si="3173"/>
        <v>12.241685157182193</v>
      </c>
      <c r="U3088" s="361">
        <f t="shared" si="3173"/>
        <v>16.912500128904732</v>
      </c>
      <c r="V3088" s="362">
        <f t="shared" si="3173"/>
        <v>23.365464553087879</v>
      </c>
      <c r="X3088" s="351"/>
    </row>
    <row r="3089" spans="3:24" ht="24.75" customHeight="1" x14ac:dyDescent="0.3">
      <c r="C3089" s="353">
        <f>ABS(E3089-Dashboard!$F$14)</f>
        <v>59.648646097330058</v>
      </c>
      <c r="D3089" s="350">
        <f t="shared" si="3171"/>
        <v>0.38164999999997323</v>
      </c>
      <c r="E3089" s="359" cm="1">
        <f t="array" ref="E3089">1000*SUM('DRE + DCF'!$L$36/M3089,'DRE + DCF'!$N$36:$V$36/N3089:V3089,F3089/V3089)/Dashboard!$F$11</f>
        <v>37.341353902669937</v>
      </c>
      <c r="F3089" s="359">
        <f t="shared" si="3169"/>
        <v>6701508.4766289573</v>
      </c>
      <c r="G3089" s="359">
        <f>'DRE + DCF'!$W$31</f>
        <v>2791623.3540418856</v>
      </c>
      <c r="H3089" s="359">
        <f>'DRE + DCF'!$W$32</f>
        <v>81081.931703745853</v>
      </c>
      <c r="I3089" s="359">
        <f>-H3089*('DRE + DCF'!$V$33+K3089)/'DRE + DCF'!$V$33</f>
        <v>-90858.801614444121</v>
      </c>
      <c r="J3089" s="359">
        <f>-'DRE + DCF'!$V$56*L3089</f>
        <v>-1188924.4255577971</v>
      </c>
      <c r="K3089" s="360">
        <f>(1+L3089)/(1+Ke!$O$12)-1</f>
        <v>2.0000000000000018E-2</v>
      </c>
      <c r="L3089" s="360">
        <f>'DRE + DCF'!$Y$31</f>
        <v>7.3550000000000004E-2</v>
      </c>
      <c r="M3089" s="361">
        <f>(1+D3089)^((5-Dashboard!$F$9)*3/12)</f>
        <v>1.2743787791564665</v>
      </c>
      <c r="N3089" s="361">
        <f t="shared" ref="N3089:V3089" si="3174">M3089*(1+$D3089)</f>
        <v>1.7607454402214977</v>
      </c>
      <c r="O3089" s="361">
        <f t="shared" si="3174"/>
        <v>2.4327339374819852</v>
      </c>
      <c r="P3089" s="361">
        <f t="shared" si="3174"/>
        <v>3.3611868447219195</v>
      </c>
      <c r="Q3089" s="361">
        <f t="shared" si="3174"/>
        <v>4.6439838040099497</v>
      </c>
      <c r="R3089" s="361">
        <f t="shared" si="3174"/>
        <v>6.4163602228102228</v>
      </c>
      <c r="S3089" s="361">
        <f t="shared" si="3174"/>
        <v>8.865164101845572</v>
      </c>
      <c r="T3089" s="361">
        <f t="shared" si="3174"/>
        <v>12.248553981314696</v>
      </c>
      <c r="U3089" s="361">
        <f t="shared" si="3174"/>
        <v>16.923214608283121</v>
      </c>
      <c r="V3089" s="362">
        <f t="shared" si="3174"/>
        <v>23.381959463533921</v>
      </c>
      <c r="X3089" s="351"/>
    </row>
    <row r="3090" spans="3:24" ht="24.75" customHeight="1" x14ac:dyDescent="0.3">
      <c r="C3090" s="353">
        <f>ABS(E3090-Dashboard!$F$14)</f>
        <v>59.662991986994655</v>
      </c>
      <c r="D3090" s="350">
        <f t="shared" si="3171"/>
        <v>0.38174999999997322</v>
      </c>
      <c r="E3090" s="359" cm="1">
        <f t="array" ref="E3090">1000*SUM('DRE + DCF'!$L$36/M3090,'DRE + DCF'!$N$36:$V$36/N3090:V3090,F3090/V3090)/Dashboard!$F$11</f>
        <v>37.32700801300534</v>
      </c>
      <c r="F3090" s="359">
        <f t="shared" si="3169"/>
        <v>6699579.5195022775</v>
      </c>
      <c r="G3090" s="359">
        <f>'DRE + DCF'!$W$31</f>
        <v>2791623.3540418856</v>
      </c>
      <c r="H3090" s="359">
        <f>'DRE + DCF'!$W$32</f>
        <v>81081.931703745853</v>
      </c>
      <c r="I3090" s="359">
        <f>-H3090*('DRE + DCF'!$V$33+K3090)/'DRE + DCF'!$V$33</f>
        <v>-90858.801614444121</v>
      </c>
      <c r="J3090" s="359">
        <f>-'DRE + DCF'!$V$56*L3090</f>
        <v>-1188924.4255577971</v>
      </c>
      <c r="K3090" s="360">
        <f>(1+L3090)/(1+Ke!$O$12)-1</f>
        <v>2.0000000000000018E-2</v>
      </c>
      <c r="L3090" s="360">
        <f>'DRE + DCF'!$Y$31</f>
        <v>7.3550000000000004E-2</v>
      </c>
      <c r="M3090" s="361">
        <f>(1+D3090)^((5-Dashboard!$F$9)*3/12)</f>
        <v>1.2744479555352528</v>
      </c>
      <c r="N3090" s="361">
        <f t="shared" ref="N3090:V3090" si="3175">M3090*(1+$D3090)</f>
        <v>1.7609684625608013</v>
      </c>
      <c r="O3090" s="361">
        <f t="shared" si="3175"/>
        <v>2.4332181731433398</v>
      </c>
      <c r="P3090" s="361">
        <f t="shared" si="3175"/>
        <v>3.3620992107407446</v>
      </c>
      <c r="Q3090" s="361">
        <f t="shared" si="3175"/>
        <v>4.6455805844409337</v>
      </c>
      <c r="R3090" s="361">
        <f t="shared" si="3175"/>
        <v>6.4190309725511359</v>
      </c>
      <c r="S3090" s="361">
        <f t="shared" si="3175"/>
        <v>8.8694960463223591</v>
      </c>
      <c r="T3090" s="361">
        <f t="shared" si="3175"/>
        <v>12.255426162005682</v>
      </c>
      <c r="U3090" s="361">
        <f t="shared" si="3175"/>
        <v>16.933935099351022</v>
      </c>
      <c r="V3090" s="362">
        <f t="shared" si="3175"/>
        <v>23.398464823527821</v>
      </c>
      <c r="X3090" s="351"/>
    </row>
    <row r="3091" spans="3:24" ht="24.75" customHeight="1" x14ac:dyDescent="0.3">
      <c r="C3091" s="353">
        <f>ABS(E3091-Dashboard!$F$14)</f>
        <v>59.677327695721672</v>
      </c>
      <c r="D3091" s="350">
        <f t="shared" si="3171"/>
        <v>0.38184999999997321</v>
      </c>
      <c r="E3091" s="359" cm="1">
        <f t="array" ref="E3091">1000*SUM('DRE + DCF'!$L$36/M3091,'DRE + DCF'!$N$36:$V$36/N3091:V3091,F3091/V3091)/Dashboard!$F$11</f>
        <v>37.312672304278323</v>
      </c>
      <c r="F3091" s="359">
        <f t="shared" si="3169"/>
        <v>6697651.6852121036</v>
      </c>
      <c r="G3091" s="359">
        <f>'DRE + DCF'!$W$31</f>
        <v>2791623.3540418856</v>
      </c>
      <c r="H3091" s="359">
        <f>'DRE + DCF'!$W$32</f>
        <v>81081.931703745853</v>
      </c>
      <c r="I3091" s="359">
        <f>-H3091*('DRE + DCF'!$V$33+K3091)/'DRE + DCF'!$V$33</f>
        <v>-90858.801614444121</v>
      </c>
      <c r="J3091" s="359">
        <f>-'DRE + DCF'!$V$56*L3091</f>
        <v>-1188924.4255577971</v>
      </c>
      <c r="K3091" s="360">
        <f>(1+L3091)/(1+Ke!$O$12)-1</f>
        <v>2.0000000000000018E-2</v>
      </c>
      <c r="L3091" s="360">
        <f>'DRE + DCF'!$Y$31</f>
        <v>7.3550000000000004E-2</v>
      </c>
      <c r="M3091" s="361">
        <f>(1+D3091)^((5-Dashboard!$F$9)*3/12)</f>
        <v>1.2745171306624425</v>
      </c>
      <c r="N3091" s="361">
        <f t="shared" ref="N3091:V3091" si="3176">M3091*(1+$D3091)</f>
        <v>1.761191497005862</v>
      </c>
      <c r="O3091" s="361">
        <f t="shared" si="3176"/>
        <v>2.433702470137503</v>
      </c>
      <c r="P3091" s="361">
        <f t="shared" si="3176"/>
        <v>3.363011758359443</v>
      </c>
      <c r="Q3091" s="361">
        <f t="shared" si="3176"/>
        <v>4.6471777982889062</v>
      </c>
      <c r="R3091" s="361">
        <f t="shared" si="3176"/>
        <v>6.4217026405654005</v>
      </c>
      <c r="S3091" s="361">
        <f t="shared" si="3176"/>
        <v>8.8738297938651272</v>
      </c>
      <c r="T3091" s="361">
        <f t="shared" si="3176"/>
        <v>12.262301700652287</v>
      </c>
      <c r="U3091" s="361">
        <f t="shared" si="3176"/>
        <v>16.944661605046033</v>
      </c>
      <c r="V3091" s="362">
        <f t="shared" si="3176"/>
        <v>23.414980638932406</v>
      </c>
      <c r="X3091" s="351"/>
    </row>
    <row r="3092" spans="3:24" ht="24.75" customHeight="1" x14ac:dyDescent="0.3">
      <c r="C3092" s="353">
        <f>ABS(E3092-Dashboard!$F$14)</f>
        <v>59.691653233632557</v>
      </c>
      <c r="D3092" s="350">
        <f t="shared" si="3171"/>
        <v>0.3819499999999732</v>
      </c>
      <c r="E3092" s="359" cm="1">
        <f t="array" ref="E3092">1000*SUM('DRE + DCF'!$L$36/M3092,'DRE + DCF'!$N$36:$V$36/N3092:V3092,F3092/V3092)/Dashboard!$F$11</f>
        <v>37.298346766367438</v>
      </c>
      <c r="F3092" s="359">
        <f t="shared" si="3169"/>
        <v>6695724.9727670904</v>
      </c>
      <c r="G3092" s="359">
        <f>'DRE + DCF'!$W$31</f>
        <v>2791623.3540418856</v>
      </c>
      <c r="H3092" s="359">
        <f>'DRE + DCF'!$W$32</f>
        <v>81081.931703745853</v>
      </c>
      <c r="I3092" s="359">
        <f>-H3092*('DRE + DCF'!$V$33+K3092)/'DRE + DCF'!$V$33</f>
        <v>-90858.801614444121</v>
      </c>
      <c r="J3092" s="359">
        <f>-'DRE + DCF'!$V$56*L3092</f>
        <v>-1188924.4255577971</v>
      </c>
      <c r="K3092" s="360">
        <f>(1+L3092)/(1+Ke!$O$12)-1</f>
        <v>2.0000000000000018E-2</v>
      </c>
      <c r="L3092" s="360">
        <f>'DRE + DCF'!$Y$31</f>
        <v>7.3550000000000004E-2</v>
      </c>
      <c r="M3092" s="361">
        <f>(1+D3092)^((5-Dashboard!$F$9)*3/12)</f>
        <v>1.2745863045381485</v>
      </c>
      <c r="N3092" s="361">
        <f t="shared" ref="N3092:V3092" si="3177">M3092*(1+$D3092)</f>
        <v>1.7614145435564601</v>
      </c>
      <c r="O3092" s="361">
        <f t="shared" si="3177"/>
        <v>2.4341868284678028</v>
      </c>
      <c r="P3092" s="361">
        <f t="shared" si="3177"/>
        <v>3.3639244876010146</v>
      </c>
      <c r="Q3092" s="361">
        <f t="shared" si="3177"/>
        <v>4.6487754456401316</v>
      </c>
      <c r="R3092" s="361">
        <f t="shared" si="3177"/>
        <v>6.4243752271022547</v>
      </c>
      <c r="S3092" s="361">
        <f t="shared" si="3177"/>
        <v>8.8781653450937892</v>
      </c>
      <c r="T3092" s="361">
        <f t="shared" si="3177"/>
        <v>12.269180598652124</v>
      </c>
      <c r="U3092" s="361">
        <f t="shared" si="3177"/>
        <v>16.955394128306974</v>
      </c>
      <c r="V3092" s="362">
        <f t="shared" si="3177"/>
        <v>23.431506915613369</v>
      </c>
      <c r="X3092" s="351"/>
    </row>
    <row r="3093" spans="3:24" ht="24.75" customHeight="1" x14ac:dyDescent="0.3">
      <c r="C3093" s="353">
        <f>ABS(E3093-Dashboard!$F$14)</f>
        <v>59.705968610835953</v>
      </c>
      <c r="D3093" s="350">
        <f t="shared" si="3171"/>
        <v>0.38204999999997319</v>
      </c>
      <c r="E3093" s="359" cm="1">
        <f t="array" ref="E3093">1000*SUM('DRE + DCF'!$L$36/M3093,'DRE + DCF'!$N$36:$V$36/N3093:V3093,F3093/V3093)/Dashboard!$F$11</f>
        <v>37.284031389164042</v>
      </c>
      <c r="F3093" s="359">
        <f t="shared" si="3169"/>
        <v>6693799.3811770743</v>
      </c>
      <c r="G3093" s="359">
        <f>'DRE + DCF'!$W$31</f>
        <v>2791623.3540418856</v>
      </c>
      <c r="H3093" s="359">
        <f>'DRE + DCF'!$W$32</f>
        <v>81081.931703745853</v>
      </c>
      <c r="I3093" s="359">
        <f>-H3093*('DRE + DCF'!$V$33+K3093)/'DRE + DCF'!$V$33</f>
        <v>-90858.801614444121</v>
      </c>
      <c r="J3093" s="359">
        <f>-'DRE + DCF'!$V$56*L3093</f>
        <v>-1188924.4255577971</v>
      </c>
      <c r="K3093" s="360">
        <f>(1+L3093)/(1+Ke!$O$12)-1</f>
        <v>2.0000000000000018E-2</v>
      </c>
      <c r="L3093" s="360">
        <f>'DRE + DCF'!$Y$31</f>
        <v>7.3550000000000004E-2</v>
      </c>
      <c r="M3093" s="361">
        <f>(1+D3093)^((5-Dashboard!$F$9)*3/12)</f>
        <v>1.2746554771624843</v>
      </c>
      <c r="N3093" s="361">
        <f t="shared" ref="N3093:V3093" si="3178">M3093*(1+$D3093)</f>
        <v>1.7616376022123772</v>
      </c>
      <c r="O3093" s="361">
        <f t="shared" si="3178"/>
        <v>2.4346712481375685</v>
      </c>
      <c r="P3093" s="361">
        <f t="shared" si="3178"/>
        <v>3.364837398488461</v>
      </c>
      <c r="Q3093" s="361">
        <f t="shared" si="3178"/>
        <v>4.6503735265808874</v>
      </c>
      <c r="R3093" s="361">
        <f t="shared" si="3178"/>
        <v>6.4270487324109906</v>
      </c>
      <c r="S3093" s="361">
        <f t="shared" si="3178"/>
        <v>8.8825027006284376</v>
      </c>
      <c r="T3093" s="361">
        <f t="shared" si="3178"/>
        <v>12.276062857403293</v>
      </c>
      <c r="U3093" s="361">
        <f t="shared" si="3178"/>
        <v>16.96613267207389</v>
      </c>
      <c r="V3093" s="362">
        <f t="shared" si="3178"/>
        <v>23.448043659439264</v>
      </c>
      <c r="X3093" s="351"/>
    </row>
    <row r="3094" spans="3:24" ht="24.75" customHeight="1" x14ac:dyDescent="0.3">
      <c r="C3094" s="353">
        <f>ABS(E3094-Dashboard!$F$14)</f>
        <v>59.720273837427719</v>
      </c>
      <c r="D3094" s="350">
        <f t="shared" si="3171"/>
        <v>0.38214999999997318</v>
      </c>
      <c r="E3094" s="359" cm="1">
        <f t="array" ref="E3094">1000*SUM('DRE + DCF'!$L$36/M3094,'DRE + DCF'!$N$36:$V$36/N3094:V3094,F3094/V3094)/Dashboard!$F$11</f>
        <v>37.269726162572276</v>
      </c>
      <c r="F3094" s="359">
        <f t="shared" si="3169"/>
        <v>6691874.9094530642</v>
      </c>
      <c r="G3094" s="359">
        <f>'DRE + DCF'!$W$31</f>
        <v>2791623.3540418856</v>
      </c>
      <c r="H3094" s="359">
        <f>'DRE + DCF'!$W$32</f>
        <v>81081.931703745853</v>
      </c>
      <c r="I3094" s="359">
        <f>-H3094*('DRE + DCF'!$V$33+K3094)/'DRE + DCF'!$V$33</f>
        <v>-90858.801614444121</v>
      </c>
      <c r="J3094" s="359">
        <f>-'DRE + DCF'!$V$56*L3094</f>
        <v>-1188924.4255577971</v>
      </c>
      <c r="K3094" s="360">
        <f>(1+L3094)/(1+Ke!$O$12)-1</f>
        <v>2.0000000000000018E-2</v>
      </c>
      <c r="L3094" s="360">
        <f>'DRE + DCF'!$Y$31</f>
        <v>7.3550000000000004E-2</v>
      </c>
      <c r="M3094" s="361">
        <f>(1+D3094)^((5-Dashboard!$F$9)*3/12)</f>
        <v>1.274724648535563</v>
      </c>
      <c r="N3094" s="361">
        <f t="shared" ref="N3094:V3094" si="3179">M3094*(1+$D3094)</f>
        <v>1.7618606729733941</v>
      </c>
      <c r="O3094" s="361">
        <f t="shared" si="3179"/>
        <v>2.4351557291501291</v>
      </c>
      <c r="P3094" s="361">
        <f t="shared" si="3179"/>
        <v>3.3657504910447855</v>
      </c>
      <c r="Q3094" s="361">
        <f t="shared" si="3179"/>
        <v>4.6519720411974594</v>
      </c>
      <c r="R3094" s="361">
        <f t="shared" si="3179"/>
        <v>6.4297231567409439</v>
      </c>
      <c r="S3094" s="361">
        <f t="shared" si="3179"/>
        <v>8.8868418610893229</v>
      </c>
      <c r="T3094" s="361">
        <f t="shared" si="3179"/>
        <v>12.28294847830437</v>
      </c>
      <c r="U3094" s="361">
        <f t="shared" si="3179"/>
        <v>16.976877239288054</v>
      </c>
      <c r="V3094" s="362">
        <f t="shared" si="3179"/>
        <v>23.464590876281527</v>
      </c>
      <c r="X3094" s="351"/>
    </row>
    <row r="3095" spans="3:24" ht="24.75" customHeight="1" x14ac:dyDescent="0.3">
      <c r="C3095" s="353">
        <f>ABS(E3095-Dashboard!$F$14)</f>
        <v>59.734568923490947</v>
      </c>
      <c r="D3095" s="350">
        <f t="shared" si="3171"/>
        <v>0.38224999999997317</v>
      </c>
      <c r="E3095" s="359" cm="1">
        <f t="array" ref="E3095">1000*SUM('DRE + DCF'!$L$36/M3095,'DRE + DCF'!$N$36:$V$36/N3095:V3095,F3095/V3095)/Dashboard!$F$11</f>
        <v>37.255431076509048</v>
      </c>
      <c r="F3095" s="359">
        <f t="shared" si="3169"/>
        <v>6689951.5566072511</v>
      </c>
      <c r="G3095" s="359">
        <f>'DRE + DCF'!$W$31</f>
        <v>2791623.3540418856</v>
      </c>
      <c r="H3095" s="359">
        <f>'DRE + DCF'!$W$32</f>
        <v>81081.931703745853</v>
      </c>
      <c r="I3095" s="359">
        <f>-H3095*('DRE + DCF'!$V$33+K3095)/'DRE + DCF'!$V$33</f>
        <v>-90858.801614444121</v>
      </c>
      <c r="J3095" s="359">
        <f>-'DRE + DCF'!$V$56*L3095</f>
        <v>-1188924.4255577971</v>
      </c>
      <c r="K3095" s="360">
        <f>(1+L3095)/(1+Ke!$O$12)-1</f>
        <v>2.0000000000000018E-2</v>
      </c>
      <c r="L3095" s="360">
        <f>'DRE + DCF'!$Y$31</f>
        <v>7.3550000000000004E-2</v>
      </c>
      <c r="M3095" s="361">
        <f>(1+D3095)^((5-Dashboard!$F$9)*3/12)</f>
        <v>1.2747938186574974</v>
      </c>
      <c r="N3095" s="361">
        <f t="shared" ref="N3095:V3095" si="3180">M3095*(1+$D3095)</f>
        <v>1.7620837558392914</v>
      </c>
      <c r="O3095" s="361">
        <f t="shared" si="3180"/>
        <v>2.435640271508813</v>
      </c>
      <c r="P3095" s="361">
        <f t="shared" si="3180"/>
        <v>3.3666637652929912</v>
      </c>
      <c r="Q3095" s="361">
        <f t="shared" si="3180"/>
        <v>4.6535709895761466</v>
      </c>
      <c r="R3095" s="361">
        <f t="shared" si="3180"/>
        <v>6.4323985003415034</v>
      </c>
      <c r="S3095" s="361">
        <f t="shared" si="3180"/>
        <v>8.8911828270968698</v>
      </c>
      <c r="T3095" s="361">
        <f t="shared" si="3180"/>
        <v>12.289837462754409</v>
      </c>
      <c r="U3095" s="361">
        <f t="shared" si="3180"/>
        <v>16.987627832891953</v>
      </c>
      <c r="V3095" s="362">
        <f t="shared" si="3180"/>
        <v>23.481148572014444</v>
      </c>
      <c r="X3095" s="351"/>
    </row>
    <row r="3096" spans="3:24" ht="24.75" customHeight="1" x14ac:dyDescent="0.3">
      <c r="C3096" s="353">
        <f>ABS(E3096-Dashboard!$F$14)</f>
        <v>59.748853879095989</v>
      </c>
      <c r="D3096" s="350">
        <f t="shared" si="3171"/>
        <v>0.38234999999997316</v>
      </c>
      <c r="E3096" s="359" cm="1">
        <f t="array" ref="E3096">1000*SUM('DRE + DCF'!$L$36/M3096,'DRE + DCF'!$N$36:$V$36/N3096:V3096,F3096/V3096)/Dashboard!$F$11</f>
        <v>37.241146120904006</v>
      </c>
      <c r="F3096" s="359">
        <f t="shared" si="3169"/>
        <v>6688029.3216529973</v>
      </c>
      <c r="G3096" s="359">
        <f>'DRE + DCF'!$W$31</f>
        <v>2791623.3540418856</v>
      </c>
      <c r="H3096" s="359">
        <f>'DRE + DCF'!$W$32</f>
        <v>81081.931703745853</v>
      </c>
      <c r="I3096" s="359">
        <f>-H3096*('DRE + DCF'!$V$33+K3096)/'DRE + DCF'!$V$33</f>
        <v>-90858.801614444121</v>
      </c>
      <c r="J3096" s="359">
        <f>-'DRE + DCF'!$V$56*L3096</f>
        <v>-1188924.4255577971</v>
      </c>
      <c r="K3096" s="360">
        <f>(1+L3096)/(1+Ke!$O$12)-1</f>
        <v>2.0000000000000018E-2</v>
      </c>
      <c r="L3096" s="360">
        <f>'DRE + DCF'!$Y$31</f>
        <v>7.3550000000000004E-2</v>
      </c>
      <c r="M3096" s="361">
        <f>(1+D3096)^((5-Dashboard!$F$9)*3/12)</f>
        <v>1.2748629875284012</v>
      </c>
      <c r="N3096" s="361">
        <f t="shared" ref="N3096:V3096" si="3181">M3096*(1+$D3096)</f>
        <v>1.7623068508098512</v>
      </c>
      <c r="O3096" s="361">
        <f t="shared" si="3181"/>
        <v>2.4361248752169504</v>
      </c>
      <c r="P3096" s="361">
        <f t="shared" si="3181"/>
        <v>3.3675772212560857</v>
      </c>
      <c r="Q3096" s="361">
        <f t="shared" si="3181"/>
        <v>4.6551703718032593</v>
      </c>
      <c r="R3096" s="361">
        <f t="shared" si="3181"/>
        <v>6.4350747634621106</v>
      </c>
      <c r="S3096" s="361">
        <f t="shared" si="3181"/>
        <v>8.8955255992716751</v>
      </c>
      <c r="T3096" s="361">
        <f t="shared" si="3181"/>
        <v>12.296729812152961</v>
      </c>
      <c r="U3096" s="361">
        <f t="shared" si="3181"/>
        <v>16.998384455829314</v>
      </c>
      <c r="V3096" s="362">
        <f t="shared" si="3181"/>
        <v>23.497716752515196</v>
      </c>
      <c r="X3096" s="351"/>
    </row>
    <row r="3097" spans="3:24" ht="24.75" customHeight="1" x14ac:dyDescent="0.3">
      <c r="C3097" s="353">
        <f>ABS(E3097-Dashboard!$F$14)</f>
        <v>59.763128714300464</v>
      </c>
      <c r="D3097" s="350">
        <f t="shared" si="3171"/>
        <v>0.38244999999997314</v>
      </c>
      <c r="E3097" s="359" cm="1">
        <f t="array" ref="E3097">1000*SUM('DRE + DCF'!$L$36/M3097,'DRE + DCF'!$N$36:$V$36/N3097:V3097,F3097/V3097)/Dashboard!$F$11</f>
        <v>37.226871285699531</v>
      </c>
      <c r="F3097" s="359">
        <f t="shared" si="3169"/>
        <v>6686108.2036048369</v>
      </c>
      <c r="G3097" s="359">
        <f>'DRE + DCF'!$W$31</f>
        <v>2791623.3540418856</v>
      </c>
      <c r="H3097" s="359">
        <f>'DRE + DCF'!$W$32</f>
        <v>81081.931703745853</v>
      </c>
      <c r="I3097" s="359">
        <f>-H3097*('DRE + DCF'!$V$33+K3097)/'DRE + DCF'!$V$33</f>
        <v>-90858.801614444121</v>
      </c>
      <c r="J3097" s="359">
        <f>-'DRE + DCF'!$V$56*L3097</f>
        <v>-1188924.4255577971</v>
      </c>
      <c r="K3097" s="360">
        <f>(1+L3097)/(1+Ke!$O$12)-1</f>
        <v>2.0000000000000018E-2</v>
      </c>
      <c r="L3097" s="360">
        <f>'DRE + DCF'!$Y$31</f>
        <v>7.3550000000000004E-2</v>
      </c>
      <c r="M3097" s="361">
        <f>(1+D3097)^((5-Dashboard!$F$9)*3/12)</f>
        <v>1.2749321551483872</v>
      </c>
      <c r="N3097" s="361">
        <f t="shared" ref="N3097:V3097" si="3182">M3097*(1+$D3097)</f>
        <v>1.7625299578848537</v>
      </c>
      <c r="O3097" s="361">
        <f t="shared" si="3182"/>
        <v>2.4366095402778685</v>
      </c>
      <c r="P3097" s="361">
        <f t="shared" si="3182"/>
        <v>3.3684908589570739</v>
      </c>
      <c r="Q3097" s="361">
        <f t="shared" si="3182"/>
        <v>4.6567701879651162</v>
      </c>
      <c r="R3097" s="361">
        <f t="shared" si="3182"/>
        <v>6.4377519463522495</v>
      </c>
      <c r="S3097" s="361">
        <f t="shared" si="3182"/>
        <v>8.8998701782344938</v>
      </c>
      <c r="T3097" s="361">
        <f t="shared" si="3182"/>
        <v>12.303625527900037</v>
      </c>
      <c r="U3097" s="361">
        <f t="shared" si="3182"/>
        <v>17.009147111045074</v>
      </c>
      <c r="V3097" s="362">
        <f t="shared" si="3182"/>
        <v>23.514295423663803</v>
      </c>
      <c r="X3097" s="351"/>
    </row>
    <row r="3098" spans="3:24" ht="24.75" customHeight="1" x14ac:dyDescent="0.3">
      <c r="C3098" s="353">
        <f>ABS(E3098-Dashboard!$F$14)</f>
        <v>59.777393439149257</v>
      </c>
      <c r="D3098" s="350">
        <f t="shared" si="3171"/>
        <v>0.38254999999997313</v>
      </c>
      <c r="E3098" s="359" cm="1">
        <f t="array" ref="E3098">1000*SUM('DRE + DCF'!$L$36/M3098,'DRE + DCF'!$N$36:$V$36/N3098:V3098,F3098/V3098)/Dashboard!$F$11</f>
        <v>37.212606560850737</v>
      </c>
      <c r="F3098" s="359">
        <f t="shared" si="3169"/>
        <v>6684188.2014784766</v>
      </c>
      <c r="G3098" s="359">
        <f>'DRE + DCF'!$W$31</f>
        <v>2791623.3540418856</v>
      </c>
      <c r="H3098" s="359">
        <f>'DRE + DCF'!$W$32</f>
        <v>81081.931703745853</v>
      </c>
      <c r="I3098" s="359">
        <f>-H3098*('DRE + DCF'!$V$33+K3098)/'DRE + DCF'!$V$33</f>
        <v>-90858.801614444121</v>
      </c>
      <c r="J3098" s="359">
        <f>-'DRE + DCF'!$V$56*L3098</f>
        <v>-1188924.4255577971</v>
      </c>
      <c r="K3098" s="360">
        <f>(1+L3098)/(1+Ke!$O$12)-1</f>
        <v>2.0000000000000018E-2</v>
      </c>
      <c r="L3098" s="360">
        <f>'DRE + DCF'!$Y$31</f>
        <v>7.3550000000000004E-2</v>
      </c>
      <c r="M3098" s="361">
        <f>(1+D3098)^((5-Dashboard!$F$9)*3/12)</f>
        <v>1.2750013215175686</v>
      </c>
      <c r="N3098" s="361">
        <f t="shared" ref="N3098:V3098" si="3183">M3098*(1+$D3098)</f>
        <v>1.7627530770640802</v>
      </c>
      <c r="O3098" s="361">
        <f t="shared" si="3183"/>
        <v>2.4370942666948965</v>
      </c>
      <c r="P3098" s="361">
        <f t="shared" si="3183"/>
        <v>3.3694046784189635</v>
      </c>
      <c r="Q3098" s="361">
        <f t="shared" si="3183"/>
        <v>4.6583704381480473</v>
      </c>
      <c r="R3098" s="361">
        <f t="shared" si="3183"/>
        <v>6.4404300492614572</v>
      </c>
      <c r="S3098" s="361">
        <f t="shared" si="3183"/>
        <v>8.904216564606255</v>
      </c>
      <c r="T3098" s="361">
        <f t="shared" si="3183"/>
        <v>12.310524611396138</v>
      </c>
      <c r="U3098" s="361">
        <f t="shared" si="3183"/>
        <v>17.0199158014854</v>
      </c>
      <c r="V3098" s="362">
        <f t="shared" si="3183"/>
        <v>23.530884591343181</v>
      </c>
      <c r="X3098" s="351"/>
    </row>
    <row r="3099" spans="3:24" ht="24.75" customHeight="1" x14ac:dyDescent="0.3">
      <c r="C3099" s="353">
        <f>ABS(E3099-Dashboard!$F$14)</f>
        <v>59.791648063674593</v>
      </c>
      <c r="D3099" s="350">
        <f t="shared" si="3171"/>
        <v>0.38264999999997312</v>
      </c>
      <c r="E3099" s="359" cm="1">
        <f t="array" ref="E3099">1000*SUM('DRE + DCF'!$L$36/M3099,'DRE + DCF'!$N$36:$V$36/N3099:V3099,F3099/V3099)/Dashboard!$F$11</f>
        <v>37.198351936325402</v>
      </c>
      <c r="F3099" s="359">
        <f t="shared" si="3169"/>
        <v>6682269.3142907936</v>
      </c>
      <c r="G3099" s="359">
        <f>'DRE + DCF'!$W$31</f>
        <v>2791623.3540418856</v>
      </c>
      <c r="H3099" s="359">
        <f>'DRE + DCF'!$W$32</f>
        <v>81081.931703745853</v>
      </c>
      <c r="I3099" s="359">
        <f>-H3099*('DRE + DCF'!$V$33+K3099)/'DRE + DCF'!$V$33</f>
        <v>-90858.801614444121</v>
      </c>
      <c r="J3099" s="359">
        <f>-'DRE + DCF'!$V$56*L3099</f>
        <v>-1188924.4255577971</v>
      </c>
      <c r="K3099" s="360">
        <f>(1+L3099)/(1+Ke!$O$12)-1</f>
        <v>2.0000000000000018E-2</v>
      </c>
      <c r="L3099" s="360">
        <f>'DRE + DCF'!$Y$31</f>
        <v>7.3550000000000004E-2</v>
      </c>
      <c r="M3099" s="361">
        <f>(1+D3099)^((5-Dashboard!$F$9)*3/12)</f>
        <v>1.2750704866360583</v>
      </c>
      <c r="N3099" s="361">
        <f t="shared" ref="N3099:V3099" si="3184">M3099*(1+$D3099)</f>
        <v>1.7629762083473117</v>
      </c>
      <c r="O3099" s="361">
        <f t="shared" si="3184"/>
        <v>2.4375790544713629</v>
      </c>
      <c r="P3099" s="361">
        <f t="shared" si="3184"/>
        <v>3.3703186796647642</v>
      </c>
      <c r="Q3099" s="361">
        <f t="shared" si="3184"/>
        <v>4.6599711224383951</v>
      </c>
      <c r="R3099" s="361">
        <f t="shared" si="3184"/>
        <v>6.4431090724393218</v>
      </c>
      <c r="S3099" s="361">
        <f t="shared" si="3184"/>
        <v>8.9085647590080548</v>
      </c>
      <c r="T3099" s="361">
        <f t="shared" si="3184"/>
        <v>12.317427064042247</v>
      </c>
      <c r="U3099" s="361">
        <f t="shared" si="3184"/>
        <v>17.030690530097683</v>
      </c>
      <c r="V3099" s="362">
        <f t="shared" si="3184"/>
        <v>23.547484261439102</v>
      </c>
      <c r="X3099" s="351"/>
    </row>
    <row r="3100" spans="3:24" ht="24.75" customHeight="1" x14ac:dyDescent="0.3">
      <c r="C3100" s="353">
        <f>ABS(E3100-Dashboard!$F$14)</f>
        <v>59.80589259789604</v>
      </c>
      <c r="D3100" s="350">
        <f t="shared" si="3171"/>
        <v>0.38274999999997311</v>
      </c>
      <c r="E3100" s="359" cm="1">
        <f t="array" ref="E3100">1000*SUM('DRE + DCF'!$L$36/M3100,'DRE + DCF'!$N$36:$V$36/N3100:V3100,F3100/V3100)/Dashboard!$F$11</f>
        <v>37.184107402103955</v>
      </c>
      <c r="F3100" s="359">
        <f t="shared" si="3169"/>
        <v>6680351.5410598312</v>
      </c>
      <c r="G3100" s="359">
        <f>'DRE + DCF'!$W$31</f>
        <v>2791623.3540418856</v>
      </c>
      <c r="H3100" s="359">
        <f>'DRE + DCF'!$W$32</f>
        <v>81081.931703745853</v>
      </c>
      <c r="I3100" s="359">
        <f>-H3100*('DRE + DCF'!$V$33+K3100)/'DRE + DCF'!$V$33</f>
        <v>-90858.801614444121</v>
      </c>
      <c r="J3100" s="359">
        <f>-'DRE + DCF'!$V$56*L3100</f>
        <v>-1188924.4255577971</v>
      </c>
      <c r="K3100" s="360">
        <f>(1+L3100)/(1+Ke!$O$12)-1</f>
        <v>2.0000000000000018E-2</v>
      </c>
      <c r="L3100" s="360">
        <f>'DRE + DCF'!$Y$31</f>
        <v>7.3550000000000004E-2</v>
      </c>
      <c r="M3100" s="361">
        <f>(1+D3100)^((5-Dashboard!$F$9)*3/12)</f>
        <v>1.2751396505039696</v>
      </c>
      <c r="N3100" s="361">
        <f t="shared" ref="N3100:V3100" si="3185">M3100*(1+$D3100)</f>
        <v>1.7631993517343296</v>
      </c>
      <c r="O3100" s="361">
        <f t="shared" si="3185"/>
        <v>2.4380639036105967</v>
      </c>
      <c r="P3100" s="361">
        <f t="shared" si="3185"/>
        <v>3.3712328627174868</v>
      </c>
      <c r="Q3100" s="361">
        <f t="shared" si="3185"/>
        <v>4.6615722409225144</v>
      </c>
      <c r="R3100" s="361">
        <f t="shared" si="3185"/>
        <v>6.4457890161354809</v>
      </c>
      <c r="S3100" s="361">
        <f t="shared" si="3185"/>
        <v>8.9129147620611633</v>
      </c>
      <c r="T3100" s="361">
        <f t="shared" si="3185"/>
        <v>12.324332887239834</v>
      </c>
      <c r="U3100" s="361">
        <f t="shared" si="3185"/>
        <v>17.041471299830548</v>
      </c>
      <c r="V3100" s="362">
        <f t="shared" si="3185"/>
        <v>23.564094439840229</v>
      </c>
      <c r="X3100" s="351"/>
    </row>
    <row r="3101" spans="3:24" ht="24.75" customHeight="1" x14ac:dyDescent="0.3">
      <c r="C3101" s="353">
        <f>ABS(E3101-Dashboard!$F$14)</f>
        <v>59.820127051820478</v>
      </c>
      <c r="D3101" s="350">
        <f t="shared" si="3171"/>
        <v>0.3828499999999731</v>
      </c>
      <c r="E3101" s="359" cm="1">
        <f t="array" ref="E3101">1000*SUM('DRE + DCF'!$L$36/M3101,'DRE + DCF'!$N$36:$V$36/N3101:V3101,F3101/V3101)/Dashboard!$F$11</f>
        <v>37.169872948179517</v>
      </c>
      <c r="F3101" s="359">
        <f t="shared" si="3169"/>
        <v>6678434.8808047967</v>
      </c>
      <c r="G3101" s="359">
        <f>'DRE + DCF'!$W$31</f>
        <v>2791623.3540418856</v>
      </c>
      <c r="H3101" s="359">
        <f>'DRE + DCF'!$W$32</f>
        <v>81081.931703745853</v>
      </c>
      <c r="I3101" s="359">
        <f>-H3101*('DRE + DCF'!$V$33+K3101)/'DRE + DCF'!$V$33</f>
        <v>-90858.801614444121</v>
      </c>
      <c r="J3101" s="359">
        <f>-'DRE + DCF'!$V$56*L3101</f>
        <v>-1188924.4255577971</v>
      </c>
      <c r="K3101" s="360">
        <f>(1+L3101)/(1+Ke!$O$12)-1</f>
        <v>2.0000000000000018E-2</v>
      </c>
      <c r="L3101" s="360">
        <f>'DRE + DCF'!$Y$31</f>
        <v>7.3550000000000004E-2</v>
      </c>
      <c r="M3101" s="361">
        <f>(1+D3101)^((5-Dashboard!$F$9)*3/12)</f>
        <v>1.2752088131214157</v>
      </c>
      <c r="N3101" s="361">
        <f t="shared" ref="N3101:V3101" si="3186">M3101*(1+$D3101)</f>
        <v>1.7634225072249152</v>
      </c>
      <c r="O3101" s="361">
        <f t="shared" si="3186"/>
        <v>2.4385488141159266</v>
      </c>
      <c r="P3101" s="361">
        <f t="shared" si="3186"/>
        <v>3.3721472276001432</v>
      </c>
      <c r="Q3101" s="361">
        <f t="shared" si="3186"/>
        <v>4.6631737936867674</v>
      </c>
      <c r="R3101" s="361">
        <f t="shared" si="3186"/>
        <v>6.448469880599621</v>
      </c>
      <c r="S3101" s="361">
        <f t="shared" si="3186"/>
        <v>8.9172665743870123</v>
      </c>
      <c r="T3101" s="361">
        <f t="shared" si="3186"/>
        <v>12.33124208239084</v>
      </c>
      <c r="U3101" s="361">
        <f t="shared" si="3186"/>
        <v>17.05225811363384</v>
      </c>
      <c r="V3101" s="362">
        <f t="shared" si="3186"/>
        <v>23.580715132438097</v>
      </c>
      <c r="X3101" s="351"/>
    </row>
    <row r="3102" spans="3:24" ht="24.75" customHeight="1" x14ac:dyDescent="0.3">
      <c r="C3102" s="353">
        <f>ABS(E3102-Dashboard!$F$14)</f>
        <v>59.834351435442166</v>
      </c>
      <c r="D3102" s="350">
        <f t="shared" si="3171"/>
        <v>0.38294999999997309</v>
      </c>
      <c r="E3102" s="359" cm="1">
        <f t="array" ref="E3102">1000*SUM('DRE + DCF'!$L$36/M3102,'DRE + DCF'!$N$36:$V$36/N3102:V3102,F3102/V3102)/Dashboard!$F$11</f>
        <v>37.155648564557829</v>
      </c>
      <c r="F3102" s="359">
        <f t="shared" si="3169"/>
        <v>6676519.3325460628</v>
      </c>
      <c r="G3102" s="359">
        <f>'DRE + DCF'!$W$31</f>
        <v>2791623.3540418856</v>
      </c>
      <c r="H3102" s="359">
        <f>'DRE + DCF'!$W$32</f>
        <v>81081.931703745853</v>
      </c>
      <c r="I3102" s="359">
        <f>-H3102*('DRE + DCF'!$V$33+K3102)/'DRE + DCF'!$V$33</f>
        <v>-90858.801614444121</v>
      </c>
      <c r="J3102" s="359">
        <f>-'DRE + DCF'!$V$56*L3102</f>
        <v>-1188924.4255577971</v>
      </c>
      <c r="K3102" s="360">
        <f>(1+L3102)/(1+Ke!$O$12)-1</f>
        <v>2.0000000000000018E-2</v>
      </c>
      <c r="L3102" s="360">
        <f>'DRE + DCF'!$Y$31</f>
        <v>7.3550000000000004E-2</v>
      </c>
      <c r="M3102" s="361">
        <f>(1+D3102)^((5-Dashboard!$F$9)*3/12)</f>
        <v>1.275277974488509</v>
      </c>
      <c r="N3102" s="361">
        <f t="shared" ref="N3102:V3102" si="3187">M3102*(1+$D3102)</f>
        <v>1.7636456748188492</v>
      </c>
      <c r="O3102" s="361">
        <f t="shared" si="3187"/>
        <v>2.4390337859906799</v>
      </c>
      <c r="P3102" s="361">
        <f t="shared" si="3187"/>
        <v>3.3730617743357452</v>
      </c>
      <c r="Q3102" s="361">
        <f t="shared" si="3187"/>
        <v>4.6647757808175276</v>
      </c>
      <c r="R3102" s="361">
        <f t="shared" si="3187"/>
        <v>6.4511516660814738</v>
      </c>
      <c r="S3102" s="361">
        <f t="shared" si="3187"/>
        <v>8.9216201966072006</v>
      </c>
      <c r="T3102" s="361">
        <f t="shared" si="3187"/>
        <v>12.338154650897687</v>
      </c>
      <c r="U3102" s="361">
        <f t="shared" si="3187"/>
        <v>17.063050974458623</v>
      </c>
      <c r="V3102" s="362">
        <f t="shared" si="3187"/>
        <v>23.597346345127093</v>
      </c>
      <c r="X3102" s="351"/>
    </row>
    <row r="3103" spans="3:24" ht="24.75" customHeight="1" x14ac:dyDescent="0.3">
      <c r="C3103" s="353">
        <f>ABS(E3103-Dashboard!$F$14)</f>
        <v>59.848565758742765</v>
      </c>
      <c r="D3103" s="350">
        <f t="shared" si="3171"/>
        <v>0.38304999999997308</v>
      </c>
      <c r="E3103" s="359" cm="1">
        <f t="array" ref="E3103">1000*SUM('DRE + DCF'!$L$36/M3103,'DRE + DCF'!$N$36:$V$36/N3103:V3103,F3103/V3103)/Dashboard!$F$11</f>
        <v>37.14143424125723</v>
      </c>
      <c r="F3103" s="359">
        <f t="shared" si="3169"/>
        <v>6674604.8953051651</v>
      </c>
      <c r="G3103" s="359">
        <f>'DRE + DCF'!$W$31</f>
        <v>2791623.3540418856</v>
      </c>
      <c r="H3103" s="359">
        <f>'DRE + DCF'!$W$32</f>
        <v>81081.931703745853</v>
      </c>
      <c r="I3103" s="359">
        <f>-H3103*('DRE + DCF'!$V$33+K3103)/'DRE + DCF'!$V$33</f>
        <v>-90858.801614444121</v>
      </c>
      <c r="J3103" s="359">
        <f>-'DRE + DCF'!$V$56*L3103</f>
        <v>-1188924.4255577971</v>
      </c>
      <c r="K3103" s="360">
        <f>(1+L3103)/(1+Ke!$O$12)-1</f>
        <v>2.0000000000000018E-2</v>
      </c>
      <c r="L3103" s="360">
        <f>'DRE + DCF'!$Y$31</f>
        <v>7.3550000000000004E-2</v>
      </c>
      <c r="M3103" s="361">
        <f>(1+D3103)^((5-Dashboard!$F$9)*3/12)</f>
        <v>1.2753471346053631</v>
      </c>
      <c r="N3103" s="361">
        <f t="shared" ref="N3103:V3103" si="3188">M3103*(1+$D3103)</f>
        <v>1.7638688545159129</v>
      </c>
      <c r="O3103" s="361">
        <f t="shared" si="3188"/>
        <v>2.4395188192381858</v>
      </c>
      <c r="P3103" s="361">
        <f t="shared" si="3188"/>
        <v>3.3739765029473072</v>
      </c>
      <c r="Q3103" s="361">
        <f t="shared" si="3188"/>
        <v>4.666378202401182</v>
      </c>
      <c r="R3103" s="361">
        <f t="shared" si="3188"/>
        <v>6.4538343728308289</v>
      </c>
      <c r="S3103" s="361">
        <f t="shared" si="3188"/>
        <v>8.9259756293435046</v>
      </c>
      <c r="T3103" s="361">
        <f t="shared" si="3188"/>
        <v>12.345070594163293</v>
      </c>
      <c r="U3103" s="361">
        <f t="shared" si="3188"/>
        <v>17.073849885257207</v>
      </c>
      <c r="V3103" s="362">
        <f t="shared" si="3188"/>
        <v>23.613988083804522</v>
      </c>
      <c r="X3103" s="351"/>
    </row>
    <row r="3104" spans="3:24" ht="24.75" customHeight="1" x14ac:dyDescent="0.3">
      <c r="C3104" s="353">
        <f>ABS(E3104-Dashboard!$F$14)</f>
        <v>59.862770031691355</v>
      </c>
      <c r="D3104" s="350">
        <f t="shared" si="3171"/>
        <v>0.38314999999997307</v>
      </c>
      <c r="E3104" s="359" cm="1">
        <f t="array" ref="E3104">1000*SUM('DRE + DCF'!$L$36/M3104,'DRE + DCF'!$N$36:$V$36/N3104:V3104,F3104/V3104)/Dashboard!$F$11</f>
        <v>37.12722996830864</v>
      </c>
      <c r="F3104" s="359">
        <f t="shared" si="3169"/>
        <v>6672691.568104798</v>
      </c>
      <c r="G3104" s="359">
        <f>'DRE + DCF'!$W$31</f>
        <v>2791623.3540418856</v>
      </c>
      <c r="H3104" s="359">
        <f>'DRE + DCF'!$W$32</f>
        <v>81081.931703745853</v>
      </c>
      <c r="I3104" s="359">
        <f>-H3104*('DRE + DCF'!$V$33+K3104)/'DRE + DCF'!$V$33</f>
        <v>-90858.801614444121</v>
      </c>
      <c r="J3104" s="359">
        <f>-'DRE + DCF'!$V$56*L3104</f>
        <v>-1188924.4255577971</v>
      </c>
      <c r="K3104" s="360">
        <f>(1+L3104)/(1+Ke!$O$12)-1</f>
        <v>2.0000000000000018E-2</v>
      </c>
      <c r="L3104" s="360">
        <f>'DRE + DCF'!$Y$31</f>
        <v>7.3550000000000004E-2</v>
      </c>
      <c r="M3104" s="361">
        <f>(1+D3104)^((5-Dashboard!$F$9)*3/12)</f>
        <v>1.275416293472091</v>
      </c>
      <c r="N3104" s="361">
        <f t="shared" ref="N3104:V3104" si="3189">M3104*(1+$D3104)</f>
        <v>1.7640920463158882</v>
      </c>
      <c r="O3104" s="361">
        <f t="shared" si="3189"/>
        <v>2.4400039138617733</v>
      </c>
      <c r="P3104" s="361">
        <f t="shared" si="3189"/>
        <v>3.374891413457846</v>
      </c>
      <c r="Q3104" s="361">
        <f t="shared" si="3189"/>
        <v>4.6679810585241288</v>
      </c>
      <c r="R3104" s="361">
        <f t="shared" si="3189"/>
        <v>6.4565180010975229</v>
      </c>
      <c r="S3104" s="361">
        <f t="shared" si="3189"/>
        <v>8.9303328732178642</v>
      </c>
      <c r="T3104" s="361">
        <f t="shared" si="3189"/>
        <v>12.351989913591048</v>
      </c>
      <c r="U3104" s="361">
        <f t="shared" si="3189"/>
        <v>17.084654848983124</v>
      </c>
      <c r="V3104" s="362">
        <f t="shared" si="3189"/>
        <v>23.630640354370549</v>
      </c>
      <c r="X3104" s="351"/>
    </row>
    <row r="3105" spans="3:24" ht="24.75" customHeight="1" x14ac:dyDescent="0.3">
      <c r="C3105" s="353">
        <f>ABS(E3105-Dashboard!$F$14)</f>
        <v>59.8769642642444</v>
      </c>
      <c r="D3105" s="350">
        <f t="shared" si="3171"/>
        <v>0.38324999999997306</v>
      </c>
      <c r="E3105" s="359" cm="1">
        <f t="array" ref="E3105">1000*SUM('DRE + DCF'!$L$36/M3105,'DRE + DCF'!$N$36:$V$36/N3105:V3105,F3105/V3105)/Dashboard!$F$11</f>
        <v>37.113035735755595</v>
      </c>
      <c r="F3105" s="359">
        <f t="shared" si="3169"/>
        <v>6670779.3499688171</v>
      </c>
      <c r="G3105" s="359">
        <f>'DRE + DCF'!$W$31</f>
        <v>2791623.3540418856</v>
      </c>
      <c r="H3105" s="359">
        <f>'DRE + DCF'!$W$32</f>
        <v>81081.931703745853</v>
      </c>
      <c r="I3105" s="359">
        <f>-H3105*('DRE + DCF'!$V$33+K3105)/'DRE + DCF'!$V$33</f>
        <v>-90858.801614444121</v>
      </c>
      <c r="J3105" s="359">
        <f>-'DRE + DCF'!$V$56*L3105</f>
        <v>-1188924.4255577971</v>
      </c>
      <c r="K3105" s="360">
        <f>(1+L3105)/(1+Ke!$O$12)-1</f>
        <v>2.0000000000000018E-2</v>
      </c>
      <c r="L3105" s="360">
        <f>'DRE + DCF'!$Y$31</f>
        <v>7.3550000000000004E-2</v>
      </c>
      <c r="M3105" s="361">
        <f>(1+D3105)^((5-Dashboard!$F$9)*3/12)</f>
        <v>1.2754854510888052</v>
      </c>
      <c r="N3105" s="361">
        <f t="shared" ref="N3105:V3105" si="3190">M3105*(1+$D3105)</f>
        <v>1.7643152502185553</v>
      </c>
      <c r="O3105" s="361">
        <f t="shared" si="3190"/>
        <v>2.440489069864769</v>
      </c>
      <c r="P3105" s="361">
        <f t="shared" si="3190"/>
        <v>3.3758065058903757</v>
      </c>
      <c r="Q3105" s="361">
        <f t="shared" si="3190"/>
        <v>4.6695843492727711</v>
      </c>
      <c r="R3105" s="361">
        <f t="shared" si="3190"/>
        <v>6.4592025511314342</v>
      </c>
      <c r="S3105" s="361">
        <f t="shared" si="3190"/>
        <v>8.9346919288523825</v>
      </c>
      <c r="T3105" s="361">
        <f t="shared" si="3190"/>
        <v>12.358912610584817</v>
      </c>
      <c r="U3105" s="361">
        <f t="shared" si="3190"/>
        <v>17.095465868591113</v>
      </c>
      <c r="V3105" s="362">
        <f t="shared" si="3190"/>
        <v>23.647303162728196</v>
      </c>
      <c r="X3105" s="351"/>
    </row>
    <row r="3106" spans="3:24" ht="24.75" customHeight="1" x14ac:dyDescent="0.3">
      <c r="C3106" s="353">
        <f>ABS(E3106-Dashboard!$F$14)</f>
        <v>59.89114846634584</v>
      </c>
      <c r="D3106" s="350">
        <f t="shared" si="3171"/>
        <v>0.38334999999997305</v>
      </c>
      <c r="E3106" s="359" cm="1">
        <f t="array" ref="E3106">1000*SUM('DRE + DCF'!$L$36/M3106,'DRE + DCF'!$N$36:$V$36/N3106:V3106,F3106/V3106)/Dashboard!$F$11</f>
        <v>37.098851533654155</v>
      </c>
      <c r="F3106" s="359">
        <f t="shared" si="3169"/>
        <v>6668868.2399222311</v>
      </c>
      <c r="G3106" s="359">
        <f>'DRE + DCF'!$W$31</f>
        <v>2791623.3540418856</v>
      </c>
      <c r="H3106" s="359">
        <f>'DRE + DCF'!$W$32</f>
        <v>81081.931703745853</v>
      </c>
      <c r="I3106" s="359">
        <f>-H3106*('DRE + DCF'!$V$33+K3106)/'DRE + DCF'!$V$33</f>
        <v>-90858.801614444121</v>
      </c>
      <c r="J3106" s="359">
        <f>-'DRE + DCF'!$V$56*L3106</f>
        <v>-1188924.4255577971</v>
      </c>
      <c r="K3106" s="360">
        <f>(1+L3106)/(1+Ke!$O$12)-1</f>
        <v>2.0000000000000018E-2</v>
      </c>
      <c r="L3106" s="360">
        <f>'DRE + DCF'!$Y$31</f>
        <v>7.3550000000000004E-2</v>
      </c>
      <c r="M3106" s="361">
        <f>(1+D3106)^((5-Dashboard!$F$9)*3/12)</f>
        <v>1.2755546074556192</v>
      </c>
      <c r="N3106" s="361">
        <f t="shared" ref="N3106:V3106" si="3191">M3106*(1+$D3106)</f>
        <v>1.7645384662236965</v>
      </c>
      <c r="O3106" s="361">
        <f t="shared" si="3191"/>
        <v>2.4409742872505027</v>
      </c>
      <c r="P3106" s="361">
        <f t="shared" si="3191"/>
        <v>3.3767217802679168</v>
      </c>
      <c r="Q3106" s="361">
        <f t="shared" si="3191"/>
        <v>4.6711880747335313</v>
      </c>
      <c r="R3106" s="361">
        <f t="shared" si="3191"/>
        <v>6.461888023182504</v>
      </c>
      <c r="S3106" s="361">
        <f t="shared" si="3191"/>
        <v>8.9390527968693423</v>
      </c>
      <c r="T3106" s="361">
        <f t="shared" si="3191"/>
        <v>12.365838686548964</v>
      </c>
      <c r="U3106" s="361">
        <f t="shared" si="3191"/>
        <v>17.106282947037176</v>
      </c>
      <c r="V3106" s="362">
        <f t="shared" si="3191"/>
        <v>23.663976514783414</v>
      </c>
      <c r="X3106" s="351"/>
    </row>
    <row r="3107" spans="3:24" ht="24.75" customHeight="1" x14ac:dyDescent="0.3">
      <c r="C3107" s="353">
        <f>ABS(E3107-Dashboard!$F$14)</f>
        <v>59.905322647927072</v>
      </c>
      <c r="D3107" s="350">
        <f t="shared" si="3171"/>
        <v>0.38344999999997303</v>
      </c>
      <c r="E3107" s="359" cm="1">
        <f t="array" ref="E3107">1000*SUM('DRE + DCF'!$L$36/M3107,'DRE + DCF'!$N$36:$V$36/N3107:V3107,F3107/V3107)/Dashboard!$F$11</f>
        <v>37.084677352072923</v>
      </c>
      <c r="F3107" s="359">
        <f t="shared" si="3169"/>
        <v>6666958.2369912071</v>
      </c>
      <c r="G3107" s="359">
        <f>'DRE + DCF'!$W$31</f>
        <v>2791623.3540418856</v>
      </c>
      <c r="H3107" s="359">
        <f>'DRE + DCF'!$W$32</f>
        <v>81081.931703745853</v>
      </c>
      <c r="I3107" s="359">
        <f>-H3107*('DRE + DCF'!$V$33+K3107)/'DRE + DCF'!$V$33</f>
        <v>-90858.801614444121</v>
      </c>
      <c r="J3107" s="359">
        <f>-'DRE + DCF'!$V$56*L3107</f>
        <v>-1188924.4255577971</v>
      </c>
      <c r="K3107" s="360">
        <f>(1+L3107)/(1+Ke!$O$12)-1</f>
        <v>2.0000000000000018E-2</v>
      </c>
      <c r="L3107" s="360">
        <f>'DRE + DCF'!$Y$31</f>
        <v>7.3550000000000004E-2</v>
      </c>
      <c r="M3107" s="361">
        <f>(1+D3107)^((5-Dashboard!$F$9)*3/12)</f>
        <v>1.2756237625726454</v>
      </c>
      <c r="N3107" s="361">
        <f t="shared" ref="N3107:V3107" si="3192">M3107*(1+$D3107)</f>
        <v>1.7647616943310918</v>
      </c>
      <c r="O3107" s="361">
        <f t="shared" si="3192"/>
        <v>2.4414595660223011</v>
      </c>
      <c r="P3107" s="361">
        <f t="shared" si="3192"/>
        <v>3.3776372366134866</v>
      </c>
      <c r="Q3107" s="361">
        <f t="shared" si="3192"/>
        <v>4.672792234992837</v>
      </c>
      <c r="R3107" s="361">
        <f t="shared" si="3192"/>
        <v>6.4645744175007138</v>
      </c>
      <c r="S3107" s="361">
        <f t="shared" si="3192"/>
        <v>8.9434154778911878</v>
      </c>
      <c r="T3107" s="361">
        <f t="shared" si="3192"/>
        <v>12.372768142888322</v>
      </c>
      <c r="U3107" s="361">
        <f t="shared" si="3192"/>
        <v>17.117106087278515</v>
      </c>
      <c r="V3107" s="362">
        <f t="shared" si="3192"/>
        <v>23.680660416444997</v>
      </c>
      <c r="X3107" s="351"/>
    </row>
    <row r="3108" spans="3:24" ht="24.75" customHeight="1" x14ac:dyDescent="0.3">
      <c r="C3108" s="353">
        <f>ABS(E3108-Dashboard!$F$14)</f>
        <v>59.919486818907018</v>
      </c>
      <c r="D3108" s="350">
        <f t="shared" si="3171"/>
        <v>0.38354999999997302</v>
      </c>
      <c r="E3108" s="359" cm="1">
        <f t="array" ref="E3108">1000*SUM('DRE + DCF'!$L$36/M3108,'DRE + DCF'!$N$36:$V$36/N3108:V3108,F3108/V3108)/Dashboard!$F$11</f>
        <v>37.070513181092977</v>
      </c>
      <c r="F3108" s="359">
        <f t="shared" si="3169"/>
        <v>6665049.3402030654</v>
      </c>
      <c r="G3108" s="359">
        <f>'DRE + DCF'!$W$31</f>
        <v>2791623.3540418856</v>
      </c>
      <c r="H3108" s="359">
        <f>'DRE + DCF'!$W$32</f>
        <v>81081.931703745853</v>
      </c>
      <c r="I3108" s="359">
        <f>-H3108*('DRE + DCF'!$V$33+K3108)/'DRE + DCF'!$V$33</f>
        <v>-90858.801614444121</v>
      </c>
      <c r="J3108" s="359">
        <f>-'DRE + DCF'!$V$56*L3108</f>
        <v>-1188924.4255577971</v>
      </c>
      <c r="K3108" s="360">
        <f>(1+L3108)/(1+Ke!$O$12)-1</f>
        <v>2.0000000000000018E-2</v>
      </c>
      <c r="L3108" s="360">
        <f>'DRE + DCF'!$Y$31</f>
        <v>7.3550000000000004E-2</v>
      </c>
      <c r="M3108" s="361">
        <f>(1+D3108)^((5-Dashboard!$F$9)*3/12)</f>
        <v>1.2756929164399973</v>
      </c>
      <c r="N3108" s="361">
        <f t="shared" ref="N3108:V3108" si="3193">M3108*(1+$D3108)</f>
        <v>1.7649849345405237</v>
      </c>
      <c r="O3108" s="361">
        <f t="shared" si="3193"/>
        <v>2.4419449061834939</v>
      </c>
      <c r="P3108" s="361">
        <f t="shared" si="3193"/>
        <v>3.378552874950107</v>
      </c>
      <c r="Q3108" s="361">
        <f t="shared" si="3193"/>
        <v>4.6743968301371295</v>
      </c>
      <c r="R3108" s="361">
        <f t="shared" si="3193"/>
        <v>6.4672617343360992</v>
      </c>
      <c r="S3108" s="361">
        <f t="shared" si="3193"/>
        <v>8.9477799725405358</v>
      </c>
      <c r="T3108" s="361">
        <f t="shared" si="3193"/>
        <v>12.379700981008217</v>
      </c>
      <c r="U3108" s="361">
        <f t="shared" si="3193"/>
        <v>17.127935292273584</v>
      </c>
      <c r="V3108" s="362">
        <f t="shared" si="3193"/>
        <v>23.697354873624654</v>
      </c>
      <c r="X3108" s="351"/>
    </row>
    <row r="3109" spans="3:24" ht="24.75" customHeight="1" x14ac:dyDescent="0.3">
      <c r="C3109" s="353">
        <f>ABS(E3109-Dashboard!$F$14)</f>
        <v>59.933640989192007</v>
      </c>
      <c r="D3109" s="350">
        <f t="shared" si="3171"/>
        <v>0.38364999999997301</v>
      </c>
      <c r="E3109" s="359" cm="1">
        <f t="array" ref="E3109">1000*SUM('DRE + DCF'!$L$36/M3109,'DRE + DCF'!$N$36:$V$36/N3109:V3109,F3109/V3109)/Dashboard!$F$11</f>
        <v>37.056359010807988</v>
      </c>
      <c r="F3109" s="359">
        <f t="shared" si="3169"/>
        <v>6663141.5485862773</v>
      </c>
      <c r="G3109" s="359">
        <f>'DRE + DCF'!$W$31</f>
        <v>2791623.3540418856</v>
      </c>
      <c r="H3109" s="359">
        <f>'DRE + DCF'!$W$32</f>
        <v>81081.931703745853</v>
      </c>
      <c r="I3109" s="359">
        <f>-H3109*('DRE + DCF'!$V$33+K3109)/'DRE + DCF'!$V$33</f>
        <v>-90858.801614444121</v>
      </c>
      <c r="J3109" s="359">
        <f>-'DRE + DCF'!$V$56*L3109</f>
        <v>-1188924.4255577971</v>
      </c>
      <c r="K3109" s="360">
        <f>(1+L3109)/(1+Ke!$O$12)-1</f>
        <v>2.0000000000000018E-2</v>
      </c>
      <c r="L3109" s="360">
        <f>'DRE + DCF'!$Y$31</f>
        <v>7.3550000000000004E-2</v>
      </c>
      <c r="M3109" s="361">
        <f>(1+D3109)^((5-Dashboard!$F$9)*3/12)</f>
        <v>1.2757620690577873</v>
      </c>
      <c r="N3109" s="361">
        <f t="shared" ref="N3109:V3109" si="3194">M3109*(1+$D3109)</f>
        <v>1.7652081868517728</v>
      </c>
      <c r="O3109" s="361">
        <f t="shared" si="3194"/>
        <v>2.4424303077374079</v>
      </c>
      <c r="P3109" s="361">
        <f t="shared" si="3194"/>
        <v>3.3794686953007984</v>
      </c>
      <c r="Q3109" s="361">
        <f t="shared" si="3194"/>
        <v>4.6760018602528586</v>
      </c>
      <c r="R3109" s="361">
        <f t="shared" si="3194"/>
        <v>6.4699499739387409</v>
      </c>
      <c r="S3109" s="361">
        <f t="shared" si="3194"/>
        <v>8.9521462814401644</v>
      </c>
      <c r="T3109" s="361">
        <f t="shared" si="3194"/>
        <v>12.386637202314441</v>
      </c>
      <c r="U3109" s="361">
        <f t="shared" si="3194"/>
        <v>17.138770564982043</v>
      </c>
      <c r="V3109" s="362">
        <f t="shared" si="3194"/>
        <v>23.714059892236939</v>
      </c>
      <c r="X3109" s="351"/>
    </row>
    <row r="3110" spans="3:24" ht="24.75" customHeight="1" x14ac:dyDescent="0.3">
      <c r="C3110" s="353">
        <f>ABS(E3110-Dashboard!$F$14)</f>
        <v>59.947785168675999</v>
      </c>
      <c r="D3110" s="350">
        <f t="shared" si="3171"/>
        <v>0.383749999999973</v>
      </c>
      <c r="E3110" s="359" cm="1">
        <f t="array" ref="E3110">1000*SUM('DRE + DCF'!$L$36/M3110,'DRE + DCF'!$N$36:$V$36/N3110:V3110,F3110/V3110)/Dashboard!$F$11</f>
        <v>37.042214831323996</v>
      </c>
      <c r="F3110" s="359">
        <f t="shared" si="3169"/>
        <v>6661234.8611704614</v>
      </c>
      <c r="G3110" s="359">
        <f>'DRE + DCF'!$W$31</f>
        <v>2791623.3540418856</v>
      </c>
      <c r="H3110" s="359">
        <f>'DRE + DCF'!$W$32</f>
        <v>81081.931703745853</v>
      </c>
      <c r="I3110" s="359">
        <f>-H3110*('DRE + DCF'!$V$33+K3110)/'DRE + DCF'!$V$33</f>
        <v>-90858.801614444121</v>
      </c>
      <c r="J3110" s="359">
        <f>-'DRE + DCF'!$V$56*L3110</f>
        <v>-1188924.4255577971</v>
      </c>
      <c r="K3110" s="360">
        <f>(1+L3110)/(1+Ke!$O$12)-1</f>
        <v>2.0000000000000018E-2</v>
      </c>
      <c r="L3110" s="360">
        <f>'DRE + DCF'!$Y$31</f>
        <v>7.3550000000000004E-2</v>
      </c>
      <c r="M3110" s="361">
        <f>(1+D3110)^((5-Dashboard!$F$9)*3/12)</f>
        <v>1.2758312204261286</v>
      </c>
      <c r="N3110" s="361">
        <f t="shared" ref="N3110:V3110" si="3195">M3110*(1+$D3110)</f>
        <v>1.765431451264621</v>
      </c>
      <c r="O3110" s="361">
        <f t="shared" si="3195"/>
        <v>2.4429157706873714</v>
      </c>
      <c r="P3110" s="361">
        <f t="shared" si="3195"/>
        <v>3.3803846976885841</v>
      </c>
      <c r="Q3110" s="361">
        <f t="shared" si="3195"/>
        <v>4.6776073254264867</v>
      </c>
      <c r="R3110" s="361">
        <f t="shared" si="3195"/>
        <v>6.4726391365587741</v>
      </c>
      <c r="S3110" s="361">
        <f t="shared" si="3195"/>
        <v>8.9565144052130279</v>
      </c>
      <c r="T3110" s="361">
        <f t="shared" si="3195"/>
        <v>12.393576808213284</v>
      </c>
      <c r="U3110" s="361">
        <f t="shared" si="3195"/>
        <v>17.149611908364797</v>
      </c>
      <c r="V3110" s="362">
        <f t="shared" si="3195"/>
        <v>23.730775478199323</v>
      </c>
      <c r="X3110" s="351"/>
    </row>
    <row r="3111" spans="3:24" ht="24.75" customHeight="1" x14ac:dyDescent="0.3">
      <c r="C3111" s="353">
        <f>ABS(E3111-Dashboard!$F$14)</f>
        <v>59.961919367240419</v>
      </c>
      <c r="D3111" s="350">
        <f t="shared" si="3171"/>
        <v>0.38384999999997299</v>
      </c>
      <c r="E3111" s="359" cm="1">
        <f t="array" ref="E3111">1000*SUM('DRE + DCF'!$L$36/M3111,'DRE + DCF'!$N$36:$V$36/N3111:V3111,F3111/V3111)/Dashboard!$F$11</f>
        <v>37.028080632759576</v>
      </c>
      <c r="F3111" s="359">
        <f t="shared" si="3169"/>
        <v>6659329.2769863922</v>
      </c>
      <c r="G3111" s="359">
        <f>'DRE + DCF'!$W$31</f>
        <v>2791623.3540418856</v>
      </c>
      <c r="H3111" s="359">
        <f>'DRE + DCF'!$W$32</f>
        <v>81081.931703745853</v>
      </c>
      <c r="I3111" s="359">
        <f>-H3111*('DRE + DCF'!$V$33+K3111)/'DRE + DCF'!$V$33</f>
        <v>-90858.801614444121</v>
      </c>
      <c r="J3111" s="359">
        <f>-'DRE + DCF'!$V$56*L3111</f>
        <v>-1188924.4255577971</v>
      </c>
      <c r="K3111" s="360">
        <f>(1+L3111)/(1+Ke!$O$12)-1</f>
        <v>2.0000000000000018E-2</v>
      </c>
      <c r="L3111" s="360">
        <f>'DRE + DCF'!$Y$31</f>
        <v>7.3550000000000004E-2</v>
      </c>
      <c r="M3111" s="361">
        <f>(1+D3111)^((5-Dashboard!$F$9)*3/12)</f>
        <v>1.2759003705451339</v>
      </c>
      <c r="N3111" s="361">
        <f t="shared" ref="N3111:V3111" si="3196">M3111*(1+$D3111)</f>
        <v>1.765654727778849</v>
      </c>
      <c r="O3111" s="361">
        <f t="shared" si="3196"/>
        <v>2.4434012950367126</v>
      </c>
      <c r="P3111" s="361">
        <f t="shared" si="3196"/>
        <v>3.3813008821364887</v>
      </c>
      <c r="Q3111" s="361">
        <f t="shared" si="3196"/>
        <v>4.6792132257444887</v>
      </c>
      <c r="R3111" s="361">
        <f t="shared" si="3196"/>
        <v>6.4753292224463843</v>
      </c>
      <c r="S3111" s="361">
        <f t="shared" si="3196"/>
        <v>8.9608843444822543</v>
      </c>
      <c r="T3111" s="361">
        <f t="shared" si="3196"/>
        <v>12.400519800111525</v>
      </c>
      <c r="U3111" s="361">
        <f t="shared" si="3196"/>
        <v>17.160459325383997</v>
      </c>
      <c r="V3111" s="362">
        <f t="shared" si="3196"/>
        <v>23.74750163743218</v>
      </c>
      <c r="X3111" s="351"/>
    </row>
    <row r="3112" spans="3:24" ht="24.75" customHeight="1" x14ac:dyDescent="0.3">
      <c r="C3112" s="353">
        <f>ABS(E3112-Dashboard!$F$14)</f>
        <v>59.976043594754302</v>
      </c>
      <c r="D3112" s="350">
        <f t="shared" si="3171"/>
        <v>0.38394999999997298</v>
      </c>
      <c r="E3112" s="359" cm="1">
        <f t="array" ref="E3112">1000*SUM('DRE + DCF'!$L$36/M3112,'DRE + DCF'!$N$36:$V$36/N3112:V3112,F3112/V3112)/Dashboard!$F$11</f>
        <v>37.013956405245693</v>
      </c>
      <c r="F3112" s="359">
        <f t="shared" si="3169"/>
        <v>6657424.7950659823</v>
      </c>
      <c r="G3112" s="359">
        <f>'DRE + DCF'!$W$31</f>
        <v>2791623.3540418856</v>
      </c>
      <c r="H3112" s="359">
        <f>'DRE + DCF'!$W$32</f>
        <v>81081.931703745853</v>
      </c>
      <c r="I3112" s="359">
        <f>-H3112*('DRE + DCF'!$V$33+K3112)/'DRE + DCF'!$V$33</f>
        <v>-90858.801614444121</v>
      </c>
      <c r="J3112" s="359">
        <f>-'DRE + DCF'!$V$56*L3112</f>
        <v>-1188924.4255577971</v>
      </c>
      <c r="K3112" s="360">
        <f>(1+L3112)/(1+Ke!$O$12)-1</f>
        <v>2.0000000000000018E-2</v>
      </c>
      <c r="L3112" s="360">
        <f>'DRE + DCF'!$Y$31</f>
        <v>7.3550000000000004E-2</v>
      </c>
      <c r="M3112" s="361">
        <f>(1+D3112)^((5-Dashboard!$F$9)*3/12)</f>
        <v>1.2759695194149163</v>
      </c>
      <c r="N3112" s="361">
        <f t="shared" ref="N3112:V3112" si="3197">M3112*(1+$D3112)</f>
        <v>1.7658780163942389</v>
      </c>
      <c r="O3112" s="361">
        <f t="shared" si="3197"/>
        <v>2.4438868807887593</v>
      </c>
      <c r="P3112" s="361">
        <f t="shared" si="3197"/>
        <v>3.382217248667537</v>
      </c>
      <c r="Q3112" s="361">
        <f t="shared" si="3197"/>
        <v>4.6808195612933465</v>
      </c>
      <c r="R3112" s="361">
        <f t="shared" si="3197"/>
        <v>6.4780202318517999</v>
      </c>
      <c r="S3112" s="361">
        <f t="shared" si="3197"/>
        <v>8.965256099871123</v>
      </c>
      <c r="T3112" s="361">
        <f t="shared" si="3197"/>
        <v>12.407466179416398</v>
      </c>
      <c r="U3112" s="361">
        <f t="shared" si="3197"/>
        <v>17.171312819002988</v>
      </c>
      <c r="V3112" s="362">
        <f t="shared" si="3197"/>
        <v>23.764238375858721</v>
      </c>
      <c r="X3112" s="351"/>
    </row>
    <row r="3113" spans="3:24" ht="24.75" customHeight="1" x14ac:dyDescent="0.3">
      <c r="C3113" s="353">
        <f>ABS(E3113-Dashboard!$F$14)</f>
        <v>59.990157861074216</v>
      </c>
      <c r="D3113" s="350">
        <f t="shared" si="3171"/>
        <v>0.38404999999997297</v>
      </c>
      <c r="E3113" s="359" cm="1">
        <f t="array" ref="E3113">1000*SUM('DRE + DCF'!$L$36/M3113,'DRE + DCF'!$N$36:$V$36/N3113:V3113,F3113/V3113)/Dashboard!$F$11</f>
        <v>36.999842138925779</v>
      </c>
      <c r="F3113" s="359">
        <f t="shared" si="3169"/>
        <v>6655521.4144422952</v>
      </c>
      <c r="G3113" s="359">
        <f>'DRE + DCF'!$W$31</f>
        <v>2791623.3540418856</v>
      </c>
      <c r="H3113" s="359">
        <f>'DRE + DCF'!$W$32</f>
        <v>81081.931703745853</v>
      </c>
      <c r="I3113" s="359">
        <f>-H3113*('DRE + DCF'!$V$33+K3113)/'DRE + DCF'!$V$33</f>
        <v>-90858.801614444121</v>
      </c>
      <c r="J3113" s="359">
        <f>-'DRE + DCF'!$V$56*L3113</f>
        <v>-1188924.4255577971</v>
      </c>
      <c r="K3113" s="360">
        <f>(1+L3113)/(1+Ke!$O$12)-1</f>
        <v>2.0000000000000018E-2</v>
      </c>
      <c r="L3113" s="360">
        <f>'DRE + DCF'!$Y$31</f>
        <v>7.3550000000000004E-2</v>
      </c>
      <c r="M3113" s="361">
        <f>(1+D3113)^((5-Dashboard!$F$9)*3/12)</f>
        <v>1.2760386670355883</v>
      </c>
      <c r="N3113" s="361">
        <f t="shared" ref="N3113:V3113" si="3198">M3113*(1+$D3113)</f>
        <v>1.7661013171105715</v>
      </c>
      <c r="O3113" s="361">
        <f t="shared" si="3198"/>
        <v>2.4443725279468387</v>
      </c>
      <c r="P3113" s="361">
        <f t="shared" si="3198"/>
        <v>3.3831337973047559</v>
      </c>
      <c r="Q3113" s="361">
        <f t="shared" si="3198"/>
        <v>4.6824263321595554</v>
      </c>
      <c r="R3113" s="361">
        <f t="shared" si="3198"/>
        <v>6.4807121650253059</v>
      </c>
      <c r="S3113" s="361">
        <f t="shared" si="3198"/>
        <v>8.9696296720030997</v>
      </c>
      <c r="T3113" s="361">
        <f t="shared" si="3198"/>
        <v>12.414415947535646</v>
      </c>
      <c r="U3113" s="361">
        <f t="shared" si="3198"/>
        <v>17.182172392186374</v>
      </c>
      <c r="V3113" s="362">
        <f t="shared" si="3198"/>
        <v>23.780985699405086</v>
      </c>
      <c r="X3113" s="351"/>
    </row>
    <row r="3114" spans="3:24" ht="24.75" customHeight="1" x14ac:dyDescent="0.3">
      <c r="C3114" s="353">
        <f>ABS(E3114-Dashboard!$F$14)</f>
        <v>60.004262176044378</v>
      </c>
      <c r="D3114" s="350">
        <f t="shared" si="3171"/>
        <v>0.38414999999997296</v>
      </c>
      <c r="E3114" s="359" cm="1">
        <f t="array" ref="E3114">1000*SUM('DRE + DCF'!$L$36/M3114,'DRE + DCF'!$N$36:$V$36/N3114:V3114,F3114/V3114)/Dashboard!$F$11</f>
        <v>36.985737823955617</v>
      </c>
      <c r="F3114" s="359">
        <f t="shared" si="3169"/>
        <v>6653619.1341495346</v>
      </c>
      <c r="G3114" s="359">
        <f>'DRE + DCF'!$W$31</f>
        <v>2791623.3540418856</v>
      </c>
      <c r="H3114" s="359">
        <f>'DRE + DCF'!$W$32</f>
        <v>81081.931703745853</v>
      </c>
      <c r="I3114" s="359">
        <f>-H3114*('DRE + DCF'!$V$33+K3114)/'DRE + DCF'!$V$33</f>
        <v>-90858.801614444121</v>
      </c>
      <c r="J3114" s="359">
        <f>-'DRE + DCF'!$V$56*L3114</f>
        <v>-1188924.4255577971</v>
      </c>
      <c r="K3114" s="360">
        <f>(1+L3114)/(1+Ke!$O$12)-1</f>
        <v>2.0000000000000018E-2</v>
      </c>
      <c r="L3114" s="360">
        <f>'DRE + DCF'!$Y$31</f>
        <v>7.3550000000000004E-2</v>
      </c>
      <c r="M3114" s="361">
        <f>(1+D3114)^((5-Dashboard!$F$9)*3/12)</f>
        <v>1.276107813407263</v>
      </c>
      <c r="N3114" s="361">
        <f t="shared" ref="N3114:V3114" si="3199">M3114*(1+$D3114)</f>
        <v>1.7663246299276285</v>
      </c>
      <c r="O3114" s="361">
        <f t="shared" si="3199"/>
        <v>2.4448582365142792</v>
      </c>
      <c r="P3114" s="361">
        <f t="shared" si="3199"/>
        <v>3.3840505280711732</v>
      </c>
      <c r="Q3114" s="361">
        <f t="shared" si="3199"/>
        <v>4.684033538429623</v>
      </c>
      <c r="R3114" s="361">
        <f t="shared" si="3199"/>
        <v>6.4834050222172355</v>
      </c>
      <c r="S3114" s="361">
        <f t="shared" si="3199"/>
        <v>8.9740050615018117</v>
      </c>
      <c r="T3114" s="361">
        <f t="shared" si="3199"/>
        <v>12.42136910587749</v>
      </c>
      <c r="U3114" s="361">
        <f t="shared" si="3199"/>
        <v>17.193038047899993</v>
      </c>
      <c r="V3114" s="362">
        <f t="shared" si="3199"/>
        <v>23.797743614000311</v>
      </c>
      <c r="X3114" s="351"/>
    </row>
    <row r="3115" spans="3:24" ht="24.75" customHeight="1" x14ac:dyDescent="0.3">
      <c r="C3115" s="353">
        <f>ABS(E3115-Dashboard!$F$14)</f>
        <v>60.018356549496588</v>
      </c>
      <c r="D3115" s="350">
        <f t="shared" si="3171"/>
        <v>0.38424999999997295</v>
      </c>
      <c r="E3115" s="359" cm="1">
        <f t="array" ref="E3115">1000*SUM('DRE + DCF'!$L$36/M3115,'DRE + DCF'!$N$36:$V$36/N3115:V3115,F3115/V3115)/Dashboard!$F$11</f>
        <v>36.971643450503407</v>
      </c>
      <c r="F3115" s="359">
        <f t="shared" si="3169"/>
        <v>6651717.9532230459</v>
      </c>
      <c r="G3115" s="359">
        <f>'DRE + DCF'!$W$31</f>
        <v>2791623.3540418856</v>
      </c>
      <c r="H3115" s="359">
        <f>'DRE + DCF'!$W$32</f>
        <v>81081.931703745853</v>
      </c>
      <c r="I3115" s="359">
        <f>-H3115*('DRE + DCF'!$V$33+K3115)/'DRE + DCF'!$V$33</f>
        <v>-90858.801614444121</v>
      </c>
      <c r="J3115" s="359">
        <f>-'DRE + DCF'!$V$56*L3115</f>
        <v>-1188924.4255577971</v>
      </c>
      <c r="K3115" s="360">
        <f>(1+L3115)/(1+Ke!$O$12)-1</f>
        <v>2.0000000000000018E-2</v>
      </c>
      <c r="L3115" s="360">
        <f>'DRE + DCF'!$Y$31</f>
        <v>7.3550000000000004E-2</v>
      </c>
      <c r="M3115" s="361">
        <f>(1+D3115)^((5-Dashboard!$F$9)*3/12)</f>
        <v>1.2761769585300529</v>
      </c>
      <c r="N3115" s="361">
        <f t="shared" ref="N3115:V3115" si="3200">M3115*(1+$D3115)</f>
        <v>1.766547954845191</v>
      </c>
      <c r="O3115" s="361">
        <f t="shared" si="3200"/>
        <v>2.4453440064944076</v>
      </c>
      <c r="P3115" s="361">
        <f t="shared" si="3200"/>
        <v>3.3849674409898176</v>
      </c>
      <c r="Q3115" s="361">
        <f t="shared" si="3200"/>
        <v>4.6856411801900633</v>
      </c>
      <c r="R3115" s="361">
        <f t="shared" si="3200"/>
        <v>6.4860988036779679</v>
      </c>
      <c r="S3115" s="361">
        <f t="shared" si="3200"/>
        <v>8.9783822689910515</v>
      </c>
      <c r="T3115" s="361">
        <f t="shared" si="3200"/>
        <v>12.428325655850619</v>
      </c>
      <c r="U3115" s="361">
        <f t="shared" si="3200"/>
        <v>17.203909789110881</v>
      </c>
      <c r="V3115" s="362">
        <f t="shared" si="3200"/>
        <v>23.814512125576272</v>
      </c>
      <c r="X3115" s="351"/>
    </row>
    <row r="3116" spans="3:24" ht="24.75" customHeight="1" x14ac:dyDescent="0.3">
      <c r="C3116" s="353">
        <f>ABS(E3116-Dashboard!$F$14)</f>
        <v>60.032440991250311</v>
      </c>
      <c r="D3116" s="350">
        <f t="shared" si="3171"/>
        <v>0.38434999999997294</v>
      </c>
      <c r="E3116" s="359" cm="1">
        <f t="array" ref="E3116">1000*SUM('DRE + DCF'!$L$36/M3116,'DRE + DCF'!$N$36:$V$36/N3116:V3116,F3116/V3116)/Dashboard!$F$11</f>
        <v>36.957559008749683</v>
      </c>
      <c r="F3116" s="359">
        <f t="shared" si="3169"/>
        <v>6649817.8706993153</v>
      </c>
      <c r="G3116" s="359">
        <f>'DRE + DCF'!$W$31</f>
        <v>2791623.3540418856</v>
      </c>
      <c r="H3116" s="359">
        <f>'DRE + DCF'!$W$32</f>
        <v>81081.931703745853</v>
      </c>
      <c r="I3116" s="359">
        <f>-H3116*('DRE + DCF'!$V$33+K3116)/'DRE + DCF'!$V$33</f>
        <v>-90858.801614444121</v>
      </c>
      <c r="J3116" s="359">
        <f>-'DRE + DCF'!$V$56*L3116</f>
        <v>-1188924.4255577971</v>
      </c>
      <c r="K3116" s="360">
        <f>(1+L3116)/(1+Ke!$O$12)-1</f>
        <v>2.0000000000000018E-2</v>
      </c>
      <c r="L3116" s="360">
        <f>'DRE + DCF'!$Y$31</f>
        <v>7.3550000000000004E-2</v>
      </c>
      <c r="M3116" s="361">
        <f>(1+D3116)^((5-Dashboard!$F$9)*3/12)</f>
        <v>1.276246102404071</v>
      </c>
      <c r="N3116" s="361">
        <f t="shared" ref="N3116:V3116" si="3201">M3116*(1+$D3116)</f>
        <v>1.7667712918630412</v>
      </c>
      <c r="O3116" s="361">
        <f t="shared" si="3201"/>
        <v>2.4458298378905532</v>
      </c>
      <c r="P3116" s="361">
        <f t="shared" si="3201"/>
        <v>3.3858845360837209</v>
      </c>
      <c r="Q3116" s="361">
        <f t="shared" si="3201"/>
        <v>4.687249257527407</v>
      </c>
      <c r="R3116" s="361">
        <f t="shared" si="3201"/>
        <v>6.4887935096579383</v>
      </c>
      <c r="S3116" s="361">
        <f t="shared" si="3201"/>
        <v>8.9827612950947913</v>
      </c>
      <c r="T3116" s="361">
        <f t="shared" si="3201"/>
        <v>12.435285598864231</v>
      </c>
      <c r="U3116" s="361">
        <f t="shared" si="3201"/>
        <v>17.214787618787362</v>
      </c>
      <c r="V3116" s="362">
        <f t="shared" si="3201"/>
        <v>23.831291240067817</v>
      </c>
      <c r="X3116" s="351"/>
    </row>
    <row r="3117" spans="3:24" ht="24.75" customHeight="1" x14ac:dyDescent="0.3">
      <c r="C3117" s="353">
        <f>ABS(E3117-Dashboard!$F$14)</f>
        <v>60.046515511112624</v>
      </c>
      <c r="D3117" s="350">
        <f t="shared" si="3171"/>
        <v>0.38444999999997292</v>
      </c>
      <c r="E3117" s="359" cm="1">
        <f t="array" ref="E3117">1000*SUM('DRE + DCF'!$L$36/M3117,'DRE + DCF'!$N$36:$V$36/N3117:V3117,F3117/V3117)/Dashboard!$F$11</f>
        <v>36.943484488887371</v>
      </c>
      <c r="F3117" s="359">
        <f t="shared" si="3169"/>
        <v>6647918.8856159672</v>
      </c>
      <c r="G3117" s="359">
        <f>'DRE + DCF'!$W$31</f>
        <v>2791623.3540418856</v>
      </c>
      <c r="H3117" s="359">
        <f>'DRE + DCF'!$W$32</f>
        <v>81081.931703745853</v>
      </c>
      <c r="I3117" s="359">
        <f>-H3117*('DRE + DCF'!$V$33+K3117)/'DRE + DCF'!$V$33</f>
        <v>-90858.801614444121</v>
      </c>
      <c r="J3117" s="359">
        <f>-'DRE + DCF'!$V$56*L3117</f>
        <v>-1188924.4255577971</v>
      </c>
      <c r="K3117" s="360">
        <f>(1+L3117)/(1+Ke!$O$12)-1</f>
        <v>2.0000000000000018E-2</v>
      </c>
      <c r="L3117" s="360">
        <f>'DRE + DCF'!$Y$31</f>
        <v>7.3550000000000004E-2</v>
      </c>
      <c r="M3117" s="361">
        <f>(1+D3117)^((5-Dashboard!$F$9)*3/12)</f>
        <v>1.2763152450294299</v>
      </c>
      <c r="N3117" s="361">
        <f t="shared" ref="N3117:V3117" si="3202">M3117*(1+$D3117)</f>
        <v>1.7669946409809596</v>
      </c>
      <c r="O3117" s="361">
        <f t="shared" si="3202"/>
        <v>2.4463157307060417</v>
      </c>
      <c r="P3117" s="361">
        <f t="shared" si="3202"/>
        <v>3.386801813375913</v>
      </c>
      <c r="Q3117" s="361">
        <f t="shared" si="3202"/>
        <v>4.6888577705281911</v>
      </c>
      <c r="R3117" s="361">
        <f t="shared" si="3202"/>
        <v>6.4914891404076274</v>
      </c>
      <c r="S3117" s="361">
        <f t="shared" si="3202"/>
        <v>8.9871421404371628</v>
      </c>
      <c r="T3117" s="361">
        <f t="shared" si="3202"/>
        <v>12.442248936327987</v>
      </c>
      <c r="U3117" s="361">
        <f t="shared" si="3202"/>
        <v>17.225671539898944</v>
      </c>
      <c r="V3117" s="362">
        <f t="shared" si="3202"/>
        <v>23.848080963412624</v>
      </c>
      <c r="X3117" s="351"/>
    </row>
    <row r="3118" spans="3:24" ht="24.75" customHeight="1" x14ac:dyDescent="0.3">
      <c r="C3118" s="353">
        <f>ABS(E3118-Dashboard!$F$14)</f>
        <v>60.060580118878349</v>
      </c>
      <c r="D3118" s="350">
        <f t="shared" si="3171"/>
        <v>0.38454999999997291</v>
      </c>
      <c r="E3118" s="359" cm="1">
        <f t="array" ref="E3118">1000*SUM('DRE + DCF'!$L$36/M3118,'DRE + DCF'!$N$36:$V$36/N3118:V3118,F3118/V3118)/Dashboard!$F$11</f>
        <v>36.929419881121646</v>
      </c>
      <c r="F3118" s="359">
        <f t="shared" si="3169"/>
        <v>6646020.9970117602</v>
      </c>
      <c r="G3118" s="359">
        <f>'DRE + DCF'!$W$31</f>
        <v>2791623.3540418856</v>
      </c>
      <c r="H3118" s="359">
        <f>'DRE + DCF'!$W$32</f>
        <v>81081.931703745853</v>
      </c>
      <c r="I3118" s="359">
        <f>-H3118*('DRE + DCF'!$V$33+K3118)/'DRE + DCF'!$V$33</f>
        <v>-90858.801614444121</v>
      </c>
      <c r="J3118" s="359">
        <f>-'DRE + DCF'!$V$56*L3118</f>
        <v>-1188924.4255577971</v>
      </c>
      <c r="K3118" s="360">
        <f>(1+L3118)/(1+Ke!$O$12)-1</f>
        <v>2.0000000000000018E-2</v>
      </c>
      <c r="L3118" s="360">
        <f>'DRE + DCF'!$Y$31</f>
        <v>7.3550000000000004E-2</v>
      </c>
      <c r="M3118" s="361">
        <f>(1+D3118)^((5-Dashboard!$F$9)*3/12)</f>
        <v>1.2763843864062425</v>
      </c>
      <c r="N3118" s="361">
        <f t="shared" ref="N3118:V3118" si="3203">M3118*(1+$D3118)</f>
        <v>1.7672180021987285</v>
      </c>
      <c r="O3118" s="361">
        <f t="shared" si="3203"/>
        <v>2.4468016849442016</v>
      </c>
      <c r="P3118" s="361">
        <f t="shared" si="3203"/>
        <v>3.3877192728894281</v>
      </c>
      <c r="Q3118" s="361">
        <f t="shared" si="3203"/>
        <v>4.690466719278966</v>
      </c>
      <c r="R3118" s="361">
        <f t="shared" si="3203"/>
        <v>6.4941856961775652</v>
      </c>
      <c r="S3118" s="361">
        <f t="shared" si="3203"/>
        <v>8.9915248056424719</v>
      </c>
      <c r="T3118" s="361">
        <f t="shared" si="3203"/>
        <v>12.449215669652041</v>
      </c>
      <c r="U3118" s="361">
        <f t="shared" si="3203"/>
        <v>17.236561555416397</v>
      </c>
      <c r="V3118" s="362">
        <f t="shared" si="3203"/>
        <v>23.864881301551303</v>
      </c>
      <c r="X3118" s="351"/>
    </row>
    <row r="3119" spans="3:24" ht="24.75" customHeight="1" x14ac:dyDescent="0.3">
      <c r="C3119" s="353">
        <f>ABS(E3119-Dashboard!$F$14)</f>
        <v>60.074634824329891</v>
      </c>
      <c r="D3119" s="350">
        <f t="shared" si="3171"/>
        <v>0.3846499999999729</v>
      </c>
      <c r="E3119" s="359" cm="1">
        <f t="array" ref="E3119">1000*SUM('DRE + DCF'!$L$36/M3119,'DRE + DCF'!$N$36:$V$36/N3119:V3119,F3119/V3119)/Dashboard!$F$11</f>
        <v>36.915365175670104</v>
      </c>
      <c r="F3119" s="359">
        <f t="shared" si="3169"/>
        <v>6644124.2039265921</v>
      </c>
      <c r="G3119" s="359">
        <f>'DRE + DCF'!$W$31</f>
        <v>2791623.3540418856</v>
      </c>
      <c r="H3119" s="359">
        <f>'DRE + DCF'!$W$32</f>
        <v>81081.931703745853</v>
      </c>
      <c r="I3119" s="359">
        <f>-H3119*('DRE + DCF'!$V$33+K3119)/'DRE + DCF'!$V$33</f>
        <v>-90858.801614444121</v>
      </c>
      <c r="J3119" s="359">
        <f>-'DRE + DCF'!$V$56*L3119</f>
        <v>-1188924.4255577971</v>
      </c>
      <c r="K3119" s="360">
        <f>(1+L3119)/(1+Ke!$O$12)-1</f>
        <v>2.0000000000000018E-2</v>
      </c>
      <c r="L3119" s="360">
        <f>'DRE + DCF'!$Y$31</f>
        <v>7.3550000000000004E-2</v>
      </c>
      <c r="M3119" s="361">
        <f>(1+D3119)^((5-Dashboard!$F$9)*3/12)</f>
        <v>1.2764535265346215</v>
      </c>
      <c r="N3119" s="361">
        <f t="shared" ref="N3119:V3119" si="3204">M3119*(1+$D3119)</f>
        <v>1.7674413755161291</v>
      </c>
      <c r="O3119" s="361">
        <f t="shared" si="3204"/>
        <v>2.44728770060836</v>
      </c>
      <c r="P3119" s="361">
        <f t="shared" si="3204"/>
        <v>3.3886369146472992</v>
      </c>
      <c r="Q3119" s="361">
        <f t="shared" si="3204"/>
        <v>4.6920761038662908</v>
      </c>
      <c r="R3119" s="361">
        <f t="shared" si="3204"/>
        <v>6.496883177218332</v>
      </c>
      <c r="S3119" s="361">
        <f t="shared" si="3204"/>
        <v>8.9959092913351864</v>
      </c>
      <c r="T3119" s="361">
        <f t="shared" si="3204"/>
        <v>12.456185800247022</v>
      </c>
      <c r="U3119" s="361">
        <f t="shared" si="3204"/>
        <v>17.2474576683117</v>
      </c>
      <c r="V3119" s="362">
        <f t="shared" si="3204"/>
        <v>23.881692260427329</v>
      </c>
      <c r="X3119" s="351"/>
    </row>
    <row r="3120" spans="3:24" ht="24.75" customHeight="1" x14ac:dyDescent="0.3">
      <c r="C3120" s="353">
        <f>ABS(E3120-Dashboard!$F$14)</f>
        <v>60.088679637237483</v>
      </c>
      <c r="D3120" s="350">
        <f t="shared" si="3171"/>
        <v>0.38474999999997289</v>
      </c>
      <c r="E3120" s="359" cm="1">
        <f t="array" ref="E3120">1000*SUM('DRE + DCF'!$L$36/M3120,'DRE + DCF'!$N$36:$V$36/N3120:V3120,F3120/V3120)/Dashboard!$F$11</f>
        <v>36.901320362762512</v>
      </c>
      <c r="F3120" s="359">
        <f t="shared" si="3169"/>
        <v>6642228.5054014875</v>
      </c>
      <c r="G3120" s="359">
        <f>'DRE + DCF'!$W$31</f>
        <v>2791623.3540418856</v>
      </c>
      <c r="H3120" s="359">
        <f>'DRE + DCF'!$W$32</f>
        <v>81081.931703745853</v>
      </c>
      <c r="I3120" s="359">
        <f>-H3120*('DRE + DCF'!$V$33+K3120)/'DRE + DCF'!$V$33</f>
        <v>-90858.801614444121</v>
      </c>
      <c r="J3120" s="359">
        <f>-'DRE + DCF'!$V$56*L3120</f>
        <v>-1188924.4255577971</v>
      </c>
      <c r="K3120" s="360">
        <f>(1+L3120)/(1+Ke!$O$12)-1</f>
        <v>2.0000000000000018E-2</v>
      </c>
      <c r="L3120" s="360">
        <f>'DRE + DCF'!$Y$31</f>
        <v>7.3550000000000004E-2</v>
      </c>
      <c r="M3120" s="361">
        <f>(1+D3120)^((5-Dashboard!$F$9)*3/12)</f>
        <v>1.2765226654146795</v>
      </c>
      <c r="N3120" s="361">
        <f t="shared" ref="N3120:V3120" si="3205">M3120*(1+$D3120)</f>
        <v>1.7676647609329428</v>
      </c>
      <c r="O3120" s="361">
        <f t="shared" si="3205"/>
        <v>2.4477737777018445</v>
      </c>
      <c r="P3120" s="361">
        <f t="shared" si="3205"/>
        <v>3.3895547386725626</v>
      </c>
      <c r="Q3120" s="361">
        <f t="shared" si="3205"/>
        <v>4.693685924376739</v>
      </c>
      <c r="R3120" s="361">
        <f t="shared" si="3205"/>
        <v>6.4995815837805617</v>
      </c>
      <c r="S3120" s="361">
        <f t="shared" si="3205"/>
        <v>9.0002955981399566</v>
      </c>
      <c r="T3120" s="361">
        <f t="shared" si="3205"/>
        <v>12.463159329524061</v>
      </c>
      <c r="U3120" s="361">
        <f t="shared" si="3205"/>
        <v>17.258359881558103</v>
      </c>
      <c r="V3120" s="362">
        <f t="shared" si="3205"/>
        <v>23.898513845987114</v>
      </c>
      <c r="X3120" s="351"/>
    </row>
    <row r="3121" spans="3:24" ht="24.75" customHeight="1" x14ac:dyDescent="0.3">
      <c r="C3121" s="353">
        <f>ABS(E3121-Dashboard!$F$14)</f>
        <v>60.102714567359044</v>
      </c>
      <c r="D3121" s="350">
        <f t="shared" si="3171"/>
        <v>0.38484999999997288</v>
      </c>
      <c r="E3121" s="359" cm="1">
        <f t="array" ref="E3121">1000*SUM('DRE + DCF'!$L$36/M3121,'DRE + DCF'!$N$36:$V$36/N3121:V3121,F3121/V3121)/Dashboard!$F$11</f>
        <v>36.887285432640951</v>
      </c>
      <c r="F3121" s="359">
        <f t="shared" si="3169"/>
        <v>6640333.900478607</v>
      </c>
      <c r="G3121" s="359">
        <f>'DRE + DCF'!$W$31</f>
        <v>2791623.3540418856</v>
      </c>
      <c r="H3121" s="359">
        <f>'DRE + DCF'!$W$32</f>
        <v>81081.931703745853</v>
      </c>
      <c r="I3121" s="359">
        <f>-H3121*('DRE + DCF'!$V$33+K3121)/'DRE + DCF'!$V$33</f>
        <v>-90858.801614444121</v>
      </c>
      <c r="J3121" s="359">
        <f>-'DRE + DCF'!$V$56*L3121</f>
        <v>-1188924.4255577971</v>
      </c>
      <c r="K3121" s="360">
        <f>(1+L3121)/(1+Ke!$O$12)-1</f>
        <v>2.0000000000000018E-2</v>
      </c>
      <c r="L3121" s="360">
        <f>'DRE + DCF'!$Y$31</f>
        <v>7.3550000000000004E-2</v>
      </c>
      <c r="M3121" s="361">
        <f>(1+D3121)^((5-Dashboard!$F$9)*3/12)</f>
        <v>1.2765918030465293</v>
      </c>
      <c r="N3121" s="361">
        <f t="shared" ref="N3121:V3121" si="3206">M3121*(1+$D3121)</f>
        <v>1.7678881584489514</v>
      </c>
      <c r="O3121" s="361">
        <f t="shared" si="3206"/>
        <v>2.4482599162279821</v>
      </c>
      <c r="P3121" s="361">
        <f t="shared" si="3206"/>
        <v>3.3904727449882546</v>
      </c>
      <c r="Q3121" s="361">
        <f t="shared" si="3206"/>
        <v>4.695296180896892</v>
      </c>
      <c r="R3121" s="361">
        <f t="shared" si="3206"/>
        <v>6.5022809161149331</v>
      </c>
      <c r="S3121" s="361">
        <f t="shared" si="3206"/>
        <v>9.0046837266815878</v>
      </c>
      <c r="T3121" s="361">
        <f t="shared" si="3206"/>
        <v>12.470136258894753</v>
      </c>
      <c r="U3121" s="361">
        <f t="shared" si="3206"/>
        <v>17.26926819813006</v>
      </c>
      <c r="V3121" s="362">
        <f t="shared" si="3206"/>
        <v>23.915346064179946</v>
      </c>
      <c r="X3121" s="351"/>
    </row>
    <row r="3122" spans="3:24" ht="24.75" customHeight="1" x14ac:dyDescent="0.3">
      <c r="C3122" s="353">
        <f>ABS(E3122-Dashboard!$F$14)</f>
        <v>60.116739624440207</v>
      </c>
      <c r="D3122" s="350">
        <f t="shared" si="3171"/>
        <v>0.38494999999997287</v>
      </c>
      <c r="E3122" s="359" cm="1">
        <f t="array" ref="E3122">1000*SUM('DRE + DCF'!$L$36/M3122,'DRE + DCF'!$N$36:$V$36/N3122:V3122,F3122/V3122)/Dashboard!$F$11</f>
        <v>36.873260375559788</v>
      </c>
      <c r="F3122" s="359">
        <f t="shared" si="3169"/>
        <v>6638440.3882012395</v>
      </c>
      <c r="G3122" s="359">
        <f>'DRE + DCF'!$W$31</f>
        <v>2791623.3540418856</v>
      </c>
      <c r="H3122" s="359">
        <f>'DRE + DCF'!$W$32</f>
        <v>81081.931703745853</v>
      </c>
      <c r="I3122" s="359">
        <f>-H3122*('DRE + DCF'!$V$33+K3122)/'DRE + DCF'!$V$33</f>
        <v>-90858.801614444121</v>
      </c>
      <c r="J3122" s="359">
        <f>-'DRE + DCF'!$V$56*L3122</f>
        <v>-1188924.4255577971</v>
      </c>
      <c r="K3122" s="360">
        <f>(1+L3122)/(1+Ke!$O$12)-1</f>
        <v>2.0000000000000018E-2</v>
      </c>
      <c r="L3122" s="360">
        <f>'DRE + DCF'!$Y$31</f>
        <v>7.3550000000000004E-2</v>
      </c>
      <c r="M3122" s="361">
        <f>(1+D3122)^((5-Dashboard!$F$9)*3/12)</f>
        <v>1.2766609394302832</v>
      </c>
      <c r="N3122" s="361">
        <f t="shared" ref="N3122:V3122" si="3207">M3122*(1+$D3122)</f>
        <v>1.7681115680639361</v>
      </c>
      <c r="O3122" s="361">
        <f t="shared" si="3207"/>
        <v>2.4487461161901001</v>
      </c>
      <c r="P3122" s="361">
        <f t="shared" si="3207"/>
        <v>3.3913909336174126</v>
      </c>
      <c r="Q3122" s="361">
        <f t="shared" si="3207"/>
        <v>4.6969068735133437</v>
      </c>
      <c r="R3122" s="361">
        <f t="shared" si="3207"/>
        <v>6.5049811744721779</v>
      </c>
      <c r="S3122" s="361">
        <f t="shared" si="3207"/>
        <v>9.0090736775850662</v>
      </c>
      <c r="T3122" s="361">
        <f t="shared" si="3207"/>
        <v>12.477116589771192</v>
      </c>
      <c r="U3122" s="361">
        <f t="shared" si="3207"/>
        <v>17.280182621003274</v>
      </c>
      <c r="V3122" s="362">
        <f t="shared" si="3207"/>
        <v>23.932188920958016</v>
      </c>
      <c r="X3122" s="351"/>
    </row>
    <row r="3123" spans="3:24" ht="24.75" customHeight="1" x14ac:dyDescent="0.3">
      <c r="C3123" s="353">
        <f>ABS(E3123-Dashboard!$F$14)</f>
        <v>60.130754818214434</v>
      </c>
      <c r="D3123" s="350">
        <f t="shared" si="3171"/>
        <v>0.38504999999997286</v>
      </c>
      <c r="E3123" s="359" cm="1">
        <f t="array" ref="E3123">1000*SUM('DRE + DCF'!$L$36/M3123,'DRE + DCF'!$N$36:$V$36/N3123:V3123,F3123/V3123)/Dashboard!$F$11</f>
        <v>36.85924518178556</v>
      </c>
      <c r="F3123" s="359">
        <f t="shared" si="3169"/>
        <v>6636547.9676138014</v>
      </c>
      <c r="G3123" s="359">
        <f>'DRE + DCF'!$W$31</f>
        <v>2791623.3540418856</v>
      </c>
      <c r="H3123" s="359">
        <f>'DRE + DCF'!$W$32</f>
        <v>81081.931703745853</v>
      </c>
      <c r="I3123" s="359">
        <f>-H3123*('DRE + DCF'!$V$33+K3123)/'DRE + DCF'!$V$33</f>
        <v>-90858.801614444121</v>
      </c>
      <c r="J3123" s="359">
        <f>-'DRE + DCF'!$V$56*L3123</f>
        <v>-1188924.4255577971</v>
      </c>
      <c r="K3123" s="360">
        <f>(1+L3123)/(1+Ke!$O$12)-1</f>
        <v>2.0000000000000018E-2</v>
      </c>
      <c r="L3123" s="360">
        <f>'DRE + DCF'!$Y$31</f>
        <v>7.3550000000000004E-2</v>
      </c>
      <c r="M3123" s="361">
        <f>(1+D3123)^((5-Dashboard!$F$9)*3/12)</f>
        <v>1.2767300745660544</v>
      </c>
      <c r="N3123" s="361">
        <f t="shared" ref="N3123:V3123" si="3208">M3123*(1+$D3123)</f>
        <v>1.7683349897776788</v>
      </c>
      <c r="O3123" s="361">
        <f t="shared" si="3208"/>
        <v>2.4492323775915259</v>
      </c>
      <c r="P3123" s="361">
        <f t="shared" si="3208"/>
        <v>3.3923093045830766</v>
      </c>
      <c r="Q3123" s="361">
        <f t="shared" si="3208"/>
        <v>4.6985180023126976</v>
      </c>
      <c r="R3123" s="361">
        <f t="shared" si="3208"/>
        <v>6.5076823591030744</v>
      </c>
      <c r="S3123" s="361">
        <f t="shared" si="3208"/>
        <v>9.0134654514755361</v>
      </c>
      <c r="T3123" s="361">
        <f t="shared" si="3208"/>
        <v>12.484100323565945</v>
      </c>
      <c r="U3123" s="361">
        <f t="shared" si="3208"/>
        <v>17.291103153154673</v>
      </c>
      <c r="V3123" s="362">
        <f t="shared" si="3208"/>
        <v>23.94904242227641</v>
      </c>
      <c r="X3123" s="351"/>
    </row>
    <row r="3124" spans="3:24" ht="24.75" customHeight="1" x14ac:dyDescent="0.3">
      <c r="C3124" s="353">
        <f>ABS(E3124-Dashboard!$F$14)</f>
        <v>60.144760158402931</v>
      </c>
      <c r="D3124" s="350">
        <f t="shared" si="3171"/>
        <v>0.38514999999997285</v>
      </c>
      <c r="E3124" s="359" cm="1">
        <f t="array" ref="E3124">1000*SUM('DRE + DCF'!$L$36/M3124,'DRE + DCF'!$N$36:$V$36/N3124:V3124,F3124/V3124)/Dashboard!$F$11</f>
        <v>36.845239841597063</v>
      </c>
      <c r="F3124" s="359">
        <f t="shared" si="3169"/>
        <v>6634656.6377618369</v>
      </c>
      <c r="G3124" s="359">
        <f>'DRE + DCF'!$W$31</f>
        <v>2791623.3540418856</v>
      </c>
      <c r="H3124" s="359">
        <f>'DRE + DCF'!$W$32</f>
        <v>81081.931703745853</v>
      </c>
      <c r="I3124" s="359">
        <f>-H3124*('DRE + DCF'!$V$33+K3124)/'DRE + DCF'!$V$33</f>
        <v>-90858.801614444121</v>
      </c>
      <c r="J3124" s="359">
        <f>-'DRE + DCF'!$V$56*L3124</f>
        <v>-1188924.4255577971</v>
      </c>
      <c r="K3124" s="360">
        <f>(1+L3124)/(1+Ke!$O$12)-1</f>
        <v>2.0000000000000018E-2</v>
      </c>
      <c r="L3124" s="360">
        <f>'DRE + DCF'!$Y$31</f>
        <v>7.3550000000000004E-2</v>
      </c>
      <c r="M3124" s="361">
        <f>(1+D3124)^((5-Dashboard!$F$9)*3/12)</f>
        <v>1.2767992084539552</v>
      </c>
      <c r="N3124" s="361">
        <f t="shared" ref="N3124:V3124" si="3209">M3124*(1+$D3124)</f>
        <v>1.7685584235899614</v>
      </c>
      <c r="O3124" s="361">
        <f t="shared" si="3209"/>
        <v>2.4497187004355867</v>
      </c>
      <c r="P3124" s="361">
        <f t="shared" si="3209"/>
        <v>3.3932278579082862</v>
      </c>
      <c r="Q3124" s="361">
        <f t="shared" si="3209"/>
        <v>4.7001295673815706</v>
      </c>
      <c r="R3124" s="361">
        <f t="shared" si="3209"/>
        <v>6.5103844702584546</v>
      </c>
      <c r="S3124" s="361">
        <f t="shared" si="3209"/>
        <v>9.0178590489783215</v>
      </c>
      <c r="T3124" s="361">
        <f t="shared" si="3209"/>
        <v>12.491087461692077</v>
      </c>
      <c r="U3124" s="361">
        <f t="shared" si="3209"/>
        <v>17.30202979756244</v>
      </c>
      <c r="V3124" s="362">
        <f t="shared" si="3209"/>
        <v>23.965906574093143</v>
      </c>
      <c r="X3124" s="351"/>
    </row>
    <row r="3125" spans="3:24" ht="24.75" customHeight="1" x14ac:dyDescent="0.3">
      <c r="C3125" s="353">
        <f>ABS(E3125-Dashboard!$F$14)</f>
        <v>60.158755654714732</v>
      </c>
      <c r="D3125" s="350">
        <f t="shared" si="3171"/>
        <v>0.38524999999997284</v>
      </c>
      <c r="E3125" s="359" cm="1">
        <f t="array" ref="E3125">1000*SUM('DRE + DCF'!$L$36/M3125,'DRE + DCF'!$N$36:$V$36/N3125:V3125,F3125/V3125)/Dashboard!$F$11</f>
        <v>36.831244345285263</v>
      </c>
      <c r="F3125" s="359">
        <f t="shared" si="3169"/>
        <v>6632766.3976920117</v>
      </c>
      <c r="G3125" s="359">
        <f>'DRE + DCF'!$W$31</f>
        <v>2791623.3540418856</v>
      </c>
      <c r="H3125" s="359">
        <f>'DRE + DCF'!$W$32</f>
        <v>81081.931703745853</v>
      </c>
      <c r="I3125" s="359">
        <f>-H3125*('DRE + DCF'!$V$33+K3125)/'DRE + DCF'!$V$33</f>
        <v>-90858.801614444121</v>
      </c>
      <c r="J3125" s="359">
        <f>-'DRE + DCF'!$V$56*L3125</f>
        <v>-1188924.4255577971</v>
      </c>
      <c r="K3125" s="360">
        <f>(1+L3125)/(1+Ke!$O$12)-1</f>
        <v>2.0000000000000018E-2</v>
      </c>
      <c r="L3125" s="360">
        <f>'DRE + DCF'!$Y$31</f>
        <v>7.3550000000000004E-2</v>
      </c>
      <c r="M3125" s="361">
        <f>(1+D3125)^((5-Dashboard!$F$9)*3/12)</f>
        <v>1.2768683410940984</v>
      </c>
      <c r="N3125" s="361">
        <f t="shared" ref="N3125:V3125" si="3210">M3125*(1+$D3125)</f>
        <v>1.768781869500565</v>
      </c>
      <c r="O3125" s="361">
        <f t="shared" si="3210"/>
        <v>2.4502050847256096</v>
      </c>
      <c r="P3125" s="361">
        <f t="shared" si="3210"/>
        <v>3.394146593616084</v>
      </c>
      <c r="Q3125" s="361">
        <f t="shared" si="3210"/>
        <v>4.7017415688065878</v>
      </c>
      <c r="R3125" s="361">
        <f t="shared" si="3210"/>
        <v>6.5130875081891979</v>
      </c>
      <c r="S3125" s="361">
        <f t="shared" si="3210"/>
        <v>9.0222544707189094</v>
      </c>
      <c r="T3125" s="361">
        <f t="shared" si="3210"/>
        <v>12.498078005563123</v>
      </c>
      <c r="U3125" s="361">
        <f t="shared" si="3210"/>
        <v>17.312962557205974</v>
      </c>
      <c r="V3125" s="362">
        <f t="shared" si="3210"/>
        <v>23.982781382369105</v>
      </c>
      <c r="X3125" s="351"/>
    </row>
    <row r="3126" spans="3:24" ht="24.75" customHeight="1" x14ac:dyDescent="0.3">
      <c r="C3126" s="353">
        <f>ABS(E3126-Dashboard!$F$14)</f>
        <v>60.172741316846668</v>
      </c>
      <c r="D3126" s="350">
        <f t="shared" si="3171"/>
        <v>0.38534999999997283</v>
      </c>
      <c r="E3126" s="359" cm="1">
        <f t="array" ref="E3126">1000*SUM('DRE + DCF'!$L$36/M3126,'DRE + DCF'!$N$36:$V$36/N3126:V3126,F3126/V3126)/Dashboard!$F$11</f>
        <v>36.817258683153327</v>
      </c>
      <c r="F3126" s="359">
        <f t="shared" si="3169"/>
        <v>6630877.2464521173</v>
      </c>
      <c r="G3126" s="359">
        <f>'DRE + DCF'!$W$31</f>
        <v>2791623.3540418856</v>
      </c>
      <c r="H3126" s="359">
        <f>'DRE + DCF'!$W$32</f>
        <v>81081.931703745853</v>
      </c>
      <c r="I3126" s="359">
        <f>-H3126*('DRE + DCF'!$V$33+K3126)/'DRE + DCF'!$V$33</f>
        <v>-90858.801614444121</v>
      </c>
      <c r="J3126" s="359">
        <f>-'DRE + DCF'!$V$56*L3126</f>
        <v>-1188924.4255577971</v>
      </c>
      <c r="K3126" s="360">
        <f>(1+L3126)/(1+Ke!$O$12)-1</f>
        <v>2.0000000000000018E-2</v>
      </c>
      <c r="L3126" s="360">
        <f>'DRE + DCF'!$Y$31</f>
        <v>7.3550000000000004E-2</v>
      </c>
      <c r="M3126" s="361">
        <f>(1+D3126)^((5-Dashboard!$F$9)*3/12)</f>
        <v>1.2769374724865963</v>
      </c>
      <c r="N3126" s="361">
        <f t="shared" ref="N3126:V3126" si="3211">M3126*(1+$D3126)</f>
        <v>1.7690053275092714</v>
      </c>
      <c r="O3126" s="361">
        <f t="shared" si="3211"/>
        <v>2.4506915304649208</v>
      </c>
      <c r="P3126" s="361">
        <f t="shared" si="3211"/>
        <v>3.3950655117295114</v>
      </c>
      <c r="Q3126" s="361">
        <f t="shared" si="3211"/>
        <v>4.7033540066743864</v>
      </c>
      <c r="R3126" s="361">
        <f t="shared" si="3211"/>
        <v>6.5157914731462334</v>
      </c>
      <c r="S3126" s="361">
        <f t="shared" si="3211"/>
        <v>9.0266517173229577</v>
      </c>
      <c r="T3126" s="361">
        <f t="shared" si="3211"/>
        <v>12.505071956593113</v>
      </c>
      <c r="U3126" s="361">
        <f t="shared" si="3211"/>
        <v>17.323901435065928</v>
      </c>
      <c r="V3126" s="362">
        <f t="shared" si="3211"/>
        <v>23.99966685306811</v>
      </c>
      <c r="X3126" s="351"/>
    </row>
    <row r="3127" spans="3:24" ht="24.75" customHeight="1" x14ac:dyDescent="0.3">
      <c r="C3127" s="353">
        <f>ABS(E3127-Dashboard!$F$14)</f>
        <v>60.186717154483453</v>
      </c>
      <c r="D3127" s="350">
        <f t="shared" si="3171"/>
        <v>0.38544999999997281</v>
      </c>
      <c r="E3127" s="359" cm="1">
        <f t="array" ref="E3127">1000*SUM('DRE + DCF'!$L$36/M3127,'DRE + DCF'!$N$36:$V$36/N3127:V3127,F3127/V3127)/Dashboard!$F$11</f>
        <v>36.803282845516541</v>
      </c>
      <c r="F3127" s="359">
        <f t="shared" si="3169"/>
        <v>6628989.1830910649</v>
      </c>
      <c r="G3127" s="359">
        <f>'DRE + DCF'!$W$31</f>
        <v>2791623.3540418856</v>
      </c>
      <c r="H3127" s="359">
        <f>'DRE + DCF'!$W$32</f>
        <v>81081.931703745853</v>
      </c>
      <c r="I3127" s="359">
        <f>-H3127*('DRE + DCF'!$V$33+K3127)/'DRE + DCF'!$V$33</f>
        <v>-90858.801614444121</v>
      </c>
      <c r="J3127" s="359">
        <f>-'DRE + DCF'!$V$56*L3127</f>
        <v>-1188924.4255577971</v>
      </c>
      <c r="K3127" s="360">
        <f>(1+L3127)/(1+Ke!$O$12)-1</f>
        <v>2.0000000000000018E-2</v>
      </c>
      <c r="L3127" s="360">
        <f>'DRE + DCF'!$Y$31</f>
        <v>7.3550000000000004E-2</v>
      </c>
      <c r="M3127" s="361">
        <f>(1+D3127)^((5-Dashboard!$F$9)*3/12)</f>
        <v>1.2770066026315618</v>
      </c>
      <c r="N3127" s="361">
        <f t="shared" ref="N3127:V3127" si="3212">M3127*(1+$D3127)</f>
        <v>1.7692287976158625</v>
      </c>
      <c r="O3127" s="361">
        <f t="shared" si="3212"/>
        <v>2.4511780376568484</v>
      </c>
      <c r="P3127" s="361">
        <f t="shared" si="3212"/>
        <v>3.3959846122716137</v>
      </c>
      <c r="Q3127" s="361">
        <f t="shared" si="3212"/>
        <v>4.7049668810716145</v>
      </c>
      <c r="R3127" s="361">
        <f t="shared" si="3212"/>
        <v>6.5184963653805399</v>
      </c>
      <c r="S3127" s="361">
        <f t="shared" si="3212"/>
        <v>9.031050789416291</v>
      </c>
      <c r="T3127" s="361">
        <f t="shared" si="3212"/>
        <v>12.512069316196554</v>
      </c>
      <c r="U3127" s="361">
        <f t="shared" si="3212"/>
        <v>17.334846434124174</v>
      </c>
      <c r="V3127" s="362">
        <f t="shared" si="3212"/>
        <v>24.016562992156864</v>
      </c>
      <c r="X3127" s="351"/>
    </row>
    <row r="3128" spans="3:24" ht="24.75" customHeight="1" x14ac:dyDescent="0.3">
      <c r="C3128" s="353">
        <f>ABS(E3128-Dashboard!$F$14)</f>
        <v>60.200683177297641</v>
      </c>
      <c r="D3128" s="350">
        <f t="shared" si="3171"/>
        <v>0.3855499999999728</v>
      </c>
      <c r="E3128" s="359" cm="1">
        <f t="array" ref="E3128">1000*SUM('DRE + DCF'!$L$36/M3128,'DRE + DCF'!$N$36:$V$36/N3128:V3128,F3128/V3128)/Dashboard!$F$11</f>
        <v>36.789316822702354</v>
      </c>
      <c r="F3128" s="359">
        <f t="shared" si="3169"/>
        <v>6627102.2066588867</v>
      </c>
      <c r="G3128" s="359">
        <f>'DRE + DCF'!$W$31</f>
        <v>2791623.3540418856</v>
      </c>
      <c r="H3128" s="359">
        <f>'DRE + DCF'!$W$32</f>
        <v>81081.931703745853</v>
      </c>
      <c r="I3128" s="359">
        <f>-H3128*('DRE + DCF'!$V$33+K3128)/'DRE + DCF'!$V$33</f>
        <v>-90858.801614444121</v>
      </c>
      <c r="J3128" s="359">
        <f>-'DRE + DCF'!$V$56*L3128</f>
        <v>-1188924.4255577971</v>
      </c>
      <c r="K3128" s="360">
        <f>(1+L3128)/(1+Ke!$O$12)-1</f>
        <v>2.0000000000000018E-2</v>
      </c>
      <c r="L3128" s="360">
        <f>'DRE + DCF'!$Y$31</f>
        <v>7.3550000000000004E-2</v>
      </c>
      <c r="M3128" s="361">
        <f>(1+D3128)^((5-Dashboard!$F$9)*3/12)</f>
        <v>1.2770757315291072</v>
      </c>
      <c r="N3128" s="361">
        <f t="shared" ref="N3128:V3128" si="3213">M3128*(1+$D3128)</f>
        <v>1.7694522798201198</v>
      </c>
      <c r="O3128" s="361">
        <f t="shared" si="3213"/>
        <v>2.4516646063047189</v>
      </c>
      <c r="P3128" s="361">
        <f t="shared" si="3213"/>
        <v>3.3969038952654365</v>
      </c>
      <c r="Q3128" s="361">
        <f t="shared" si="3213"/>
        <v>4.7065801920849326</v>
      </c>
      <c r="R3128" s="361">
        <f t="shared" si="3213"/>
        <v>6.5212021851431503</v>
      </c>
      <c r="S3128" s="361">
        <f t="shared" si="3213"/>
        <v>9.0354516876249136</v>
      </c>
      <c r="T3128" s="361">
        <f t="shared" si="3213"/>
        <v>12.519070085788453</v>
      </c>
      <c r="U3128" s="361">
        <f t="shared" si="3213"/>
        <v>17.345797557363849</v>
      </c>
      <c r="V3128" s="362">
        <f t="shared" si="3213"/>
        <v>24.033469805605009</v>
      </c>
      <c r="X3128" s="351"/>
    </row>
    <row r="3129" spans="3:24" ht="24.75" customHeight="1" x14ac:dyDescent="0.3">
      <c r="C3129" s="353">
        <f>ABS(E3129-Dashboard!$F$14)</f>
        <v>60.214639394949657</v>
      </c>
      <c r="D3129" s="350">
        <f t="shared" si="3171"/>
        <v>0.38564999999997279</v>
      </c>
      <c r="E3129" s="359" cm="1">
        <f t="array" ref="E3129">1000*SUM('DRE + DCF'!$L$36/M3129,'DRE + DCF'!$N$36:$V$36/N3129:V3129,F3129/V3129)/Dashboard!$F$11</f>
        <v>36.775360605050338</v>
      </c>
      <c r="F3129" s="359">
        <f t="shared" si="3169"/>
        <v>6625216.3162067318</v>
      </c>
      <c r="G3129" s="359">
        <f>'DRE + DCF'!$W$31</f>
        <v>2791623.3540418856</v>
      </c>
      <c r="H3129" s="359">
        <f>'DRE + DCF'!$W$32</f>
        <v>81081.931703745853</v>
      </c>
      <c r="I3129" s="359">
        <f>-H3129*('DRE + DCF'!$V$33+K3129)/'DRE + DCF'!$V$33</f>
        <v>-90858.801614444121</v>
      </c>
      <c r="J3129" s="359">
        <f>-'DRE + DCF'!$V$56*L3129</f>
        <v>-1188924.4255577971</v>
      </c>
      <c r="K3129" s="360">
        <f>(1+L3129)/(1+Ke!$O$12)-1</f>
        <v>2.0000000000000018E-2</v>
      </c>
      <c r="L3129" s="360">
        <f>'DRE + DCF'!$Y$31</f>
        <v>7.3550000000000004E-2</v>
      </c>
      <c r="M3129" s="361">
        <f>(1+D3129)^((5-Dashboard!$F$9)*3/12)</f>
        <v>1.2771448591793453</v>
      </c>
      <c r="N3129" s="361">
        <f t="shared" ref="N3129:V3129" si="3214">M3129*(1+$D3129)</f>
        <v>1.769675774121825</v>
      </c>
      <c r="O3129" s="361">
        <f t="shared" si="3214"/>
        <v>2.4521512364118587</v>
      </c>
      <c r="P3129" s="361">
        <f t="shared" si="3214"/>
        <v>3.3978233607340251</v>
      </c>
      <c r="Q3129" s="361">
        <f t="shared" si="3214"/>
        <v>4.7081939398010091</v>
      </c>
      <c r="R3129" s="361">
        <f t="shared" si="3214"/>
        <v>6.5239089326851403</v>
      </c>
      <c r="S3129" s="361">
        <f t="shared" si="3214"/>
        <v>9.0398544125749876</v>
      </c>
      <c r="T3129" s="361">
        <f t="shared" si="3214"/>
        <v>12.526074266784285</v>
      </c>
      <c r="U3129" s="361">
        <f t="shared" si="3214"/>
        <v>17.356754807769303</v>
      </c>
      <c r="V3129" s="362">
        <f t="shared" si="3214"/>
        <v>24.050387299385061</v>
      </c>
      <c r="X3129" s="351"/>
    </row>
    <row r="3130" spans="3:24" ht="24.75" customHeight="1" x14ac:dyDescent="0.3">
      <c r="C3130" s="353">
        <f>ABS(E3130-Dashboard!$F$14)</f>
        <v>60.228585817087826</v>
      </c>
      <c r="D3130" s="350">
        <f t="shared" si="3171"/>
        <v>0.38574999999997278</v>
      </c>
      <c r="E3130" s="359" cm="1">
        <f t="array" ref="E3130">1000*SUM('DRE + DCF'!$L$36/M3130,'DRE + DCF'!$N$36:$V$36/N3130:V3130,F3130/V3130)/Dashboard!$F$11</f>
        <v>36.761414182912169</v>
      </c>
      <c r="F3130" s="359">
        <f t="shared" si="3169"/>
        <v>6623331.5107868649</v>
      </c>
      <c r="G3130" s="359">
        <f>'DRE + DCF'!$W$31</f>
        <v>2791623.3540418856</v>
      </c>
      <c r="H3130" s="359">
        <f>'DRE + DCF'!$W$32</f>
        <v>81081.931703745853</v>
      </c>
      <c r="I3130" s="359">
        <f>-H3130*('DRE + DCF'!$V$33+K3130)/'DRE + DCF'!$V$33</f>
        <v>-90858.801614444121</v>
      </c>
      <c r="J3130" s="359">
        <f>-'DRE + DCF'!$V$56*L3130</f>
        <v>-1188924.4255577971</v>
      </c>
      <c r="K3130" s="360">
        <f>(1+L3130)/(1+Ke!$O$12)-1</f>
        <v>2.0000000000000018E-2</v>
      </c>
      <c r="L3130" s="360">
        <f>'DRE + DCF'!$Y$31</f>
        <v>7.3550000000000004E-2</v>
      </c>
      <c r="M3130" s="361">
        <f>(1+D3130)^((5-Dashboard!$F$9)*3/12)</f>
        <v>1.2772139855823883</v>
      </c>
      <c r="N3130" s="361">
        <f t="shared" ref="N3130:V3130" si="3215">M3130*(1+$D3130)</f>
        <v>1.7698992805207598</v>
      </c>
      <c r="O3130" s="361">
        <f t="shared" si="3215"/>
        <v>2.4526379279815949</v>
      </c>
      <c r="P3130" s="361">
        <f t="shared" si="3215"/>
        <v>3.398743008700428</v>
      </c>
      <c r="Q3130" s="361">
        <f t="shared" si="3215"/>
        <v>4.7098081243065257</v>
      </c>
      <c r="R3130" s="361">
        <f t="shared" si="3215"/>
        <v>6.5266166082576396</v>
      </c>
      <c r="S3130" s="361">
        <f t="shared" si="3215"/>
        <v>9.0442589648928458</v>
      </c>
      <c r="T3130" s="361">
        <f t="shared" si="3215"/>
        <v>12.533081860600014</v>
      </c>
      <c r="U3130" s="361">
        <f t="shared" si="3215"/>
        <v>17.367718188326126</v>
      </c>
      <c r="V3130" s="362">
        <f t="shared" si="3215"/>
        <v>24.067315479472455</v>
      </c>
      <c r="X3130" s="351"/>
    </row>
    <row r="3131" spans="3:24" ht="24.75" customHeight="1" x14ac:dyDescent="0.3">
      <c r="C3131" s="353">
        <f>ABS(E3131-Dashboard!$F$14)</f>
        <v>60.242522453348386</v>
      </c>
      <c r="D3131" s="350">
        <f t="shared" si="3171"/>
        <v>0.38584999999997277</v>
      </c>
      <c r="E3131" s="359" cm="1">
        <f t="array" ref="E3131">1000*SUM('DRE + DCF'!$L$36/M3131,'DRE + DCF'!$N$36:$V$36/N3131:V3131,F3131/V3131)/Dashboard!$F$11</f>
        <v>36.747477546651609</v>
      </c>
      <c r="F3131" s="359">
        <f t="shared" si="3169"/>
        <v>6621447.7894526664</v>
      </c>
      <c r="G3131" s="359">
        <f>'DRE + DCF'!$W$31</f>
        <v>2791623.3540418856</v>
      </c>
      <c r="H3131" s="359">
        <f>'DRE + DCF'!$W$32</f>
        <v>81081.931703745853</v>
      </c>
      <c r="I3131" s="359">
        <f>-H3131*('DRE + DCF'!$V$33+K3131)/'DRE + DCF'!$V$33</f>
        <v>-90858.801614444121</v>
      </c>
      <c r="J3131" s="359">
        <f>-'DRE + DCF'!$V$56*L3131</f>
        <v>-1188924.4255577971</v>
      </c>
      <c r="K3131" s="360">
        <f>(1+L3131)/(1+Ke!$O$12)-1</f>
        <v>2.0000000000000018E-2</v>
      </c>
      <c r="L3131" s="360">
        <f>'DRE + DCF'!$Y$31</f>
        <v>7.3550000000000004E-2</v>
      </c>
      <c r="M3131" s="361">
        <f>(1+D3131)^((5-Dashboard!$F$9)*3/12)</f>
        <v>1.2772831107383489</v>
      </c>
      <c r="N3131" s="361">
        <f t="shared" ref="N3131:V3131" si="3216">M3131*(1+$D3131)</f>
        <v>1.7701227990167059</v>
      </c>
      <c r="O3131" s="361">
        <f t="shared" si="3216"/>
        <v>2.4531246810172536</v>
      </c>
      <c r="P3131" s="361">
        <f t="shared" si="3216"/>
        <v>3.3996628391876937</v>
      </c>
      <c r="Q3131" s="361">
        <f t="shared" si="3216"/>
        <v>4.7114227456881723</v>
      </c>
      <c r="R3131" s="361">
        <f t="shared" si="3216"/>
        <v>6.529325212111825</v>
      </c>
      <c r="S3131" s="361">
        <f t="shared" si="3216"/>
        <v>9.048665345204995</v>
      </c>
      <c r="T3131" s="361">
        <f t="shared" si="3216"/>
        <v>12.540092868652096</v>
      </c>
      <c r="U3131" s="361">
        <f t="shared" si="3216"/>
        <v>17.378687702021164</v>
      </c>
      <c r="V3131" s="362">
        <f t="shared" si="3216"/>
        <v>24.084254351845555</v>
      </c>
      <c r="X3131" s="351"/>
    </row>
    <row r="3132" spans="3:24" ht="24.75" customHeight="1" x14ac:dyDescent="0.3">
      <c r="C3132" s="353">
        <f>ABS(E3132-Dashboard!$F$14)</f>
        <v>60.25644931335556</v>
      </c>
      <c r="D3132" s="350">
        <f t="shared" si="3171"/>
        <v>0.38594999999997276</v>
      </c>
      <c r="E3132" s="359" cm="1">
        <f t="array" ref="E3132">1000*SUM('DRE + DCF'!$L$36/M3132,'DRE + DCF'!$N$36:$V$36/N3132:V3132,F3132/V3132)/Dashboard!$F$11</f>
        <v>36.733550686644435</v>
      </c>
      <c r="F3132" s="359">
        <f t="shared" si="3169"/>
        <v>6619565.1512586288</v>
      </c>
      <c r="G3132" s="359">
        <f>'DRE + DCF'!$W$31</f>
        <v>2791623.3540418856</v>
      </c>
      <c r="H3132" s="359">
        <f>'DRE + DCF'!$W$32</f>
        <v>81081.931703745853</v>
      </c>
      <c r="I3132" s="359">
        <f>-H3132*('DRE + DCF'!$V$33+K3132)/'DRE + DCF'!$V$33</f>
        <v>-90858.801614444121</v>
      </c>
      <c r="J3132" s="359">
        <f>-'DRE + DCF'!$V$56*L3132</f>
        <v>-1188924.4255577971</v>
      </c>
      <c r="K3132" s="360">
        <f>(1+L3132)/(1+Ke!$O$12)-1</f>
        <v>2.0000000000000018E-2</v>
      </c>
      <c r="L3132" s="360">
        <f>'DRE + DCF'!$Y$31</f>
        <v>7.3550000000000004E-2</v>
      </c>
      <c r="M3132" s="361">
        <f>(1+D3132)^((5-Dashboard!$F$9)*3/12)</f>
        <v>1.2773522346473396</v>
      </c>
      <c r="N3132" s="361">
        <f t="shared" ref="N3132:V3132" si="3217">M3132*(1+$D3132)</f>
        <v>1.7703463296094455</v>
      </c>
      <c r="O3132" s="361">
        <f t="shared" si="3217"/>
        <v>2.4536114955221628</v>
      </c>
      <c r="P3132" s="361">
        <f t="shared" si="3217"/>
        <v>3.4005828522188746</v>
      </c>
      <c r="Q3132" s="361">
        <f t="shared" si="3217"/>
        <v>4.7130378040326564</v>
      </c>
      <c r="R3132" s="361">
        <f t="shared" si="3217"/>
        <v>6.5320347444989313</v>
      </c>
      <c r="S3132" s="361">
        <f t="shared" si="3217"/>
        <v>9.0530735541381162</v>
      </c>
      <c r="T3132" s="361">
        <f t="shared" si="3217"/>
        <v>12.547107292357476</v>
      </c>
      <c r="U3132" s="361">
        <f t="shared" si="3217"/>
        <v>17.389663351842501</v>
      </c>
      <c r="V3132" s="362">
        <f t="shared" si="3217"/>
        <v>24.101203922485638</v>
      </c>
      <c r="X3132" s="351"/>
    </row>
    <row r="3133" spans="3:24" ht="24.75" customHeight="1" x14ac:dyDescent="0.3">
      <c r="C3133" s="353">
        <f>ABS(E3133-Dashboard!$F$14)</f>
        <v>60.270366406721436</v>
      </c>
      <c r="D3133" s="350">
        <f t="shared" si="3171"/>
        <v>0.38604999999997275</v>
      </c>
      <c r="E3133" s="359" cm="1">
        <f t="array" ref="E3133">1000*SUM('DRE + DCF'!$L$36/M3133,'DRE + DCF'!$N$36:$V$36/N3133:V3133,F3133/V3133)/Dashboard!$F$11</f>
        <v>36.719633593278559</v>
      </c>
      <c r="F3133" s="359">
        <f t="shared" si="3169"/>
        <v>6617683.5952603575</v>
      </c>
      <c r="G3133" s="359">
        <f>'DRE + DCF'!$W$31</f>
        <v>2791623.3540418856</v>
      </c>
      <c r="H3133" s="359">
        <f>'DRE + DCF'!$W$32</f>
        <v>81081.931703745853</v>
      </c>
      <c r="I3133" s="359">
        <f>-H3133*('DRE + DCF'!$V$33+K3133)/'DRE + DCF'!$V$33</f>
        <v>-90858.801614444121</v>
      </c>
      <c r="J3133" s="359">
        <f>-'DRE + DCF'!$V$56*L3133</f>
        <v>-1188924.4255577971</v>
      </c>
      <c r="K3133" s="360">
        <f>(1+L3133)/(1+Ke!$O$12)-1</f>
        <v>2.0000000000000018E-2</v>
      </c>
      <c r="L3133" s="360">
        <f>'DRE + DCF'!$Y$31</f>
        <v>7.3550000000000004E-2</v>
      </c>
      <c r="M3133" s="361">
        <f>(1+D3133)^((5-Dashboard!$F$9)*3/12)</f>
        <v>1.2774213573094726</v>
      </c>
      <c r="N3133" s="361">
        <f t="shared" ref="N3133:V3133" si="3218">M3133*(1+$D3133)</f>
        <v>1.7705698722987595</v>
      </c>
      <c r="O3133" s="361">
        <f t="shared" si="3218"/>
        <v>2.4540983714996472</v>
      </c>
      <c r="P3133" s="361">
        <f t="shared" si="3218"/>
        <v>3.4015030478170187</v>
      </c>
      <c r="Q3133" s="361">
        <f t="shared" si="3218"/>
        <v>4.7146532994266863</v>
      </c>
      <c r="R3133" s="361">
        <f t="shared" si="3218"/>
        <v>6.5347452056702302</v>
      </c>
      <c r="S3133" s="361">
        <f t="shared" si="3218"/>
        <v>9.0574835923190449</v>
      </c>
      <c r="T3133" s="361">
        <f t="shared" si="3218"/>
        <v>12.554125133133565</v>
      </c>
      <c r="U3133" s="361">
        <f t="shared" si="3218"/>
        <v>17.400645140779435</v>
      </c>
      <c r="V3133" s="362">
        <f t="shared" si="3218"/>
        <v>24.11816419737686</v>
      </c>
      <c r="X3133" s="351"/>
    </row>
    <row r="3134" spans="3:24" ht="24.75" customHeight="1" x14ac:dyDescent="0.3">
      <c r="C3134" s="353">
        <f>ABS(E3134-Dashboard!$F$14)</f>
        <v>60.284273743046178</v>
      </c>
      <c r="D3134" s="350">
        <f t="shared" si="3171"/>
        <v>0.38614999999997274</v>
      </c>
      <c r="E3134" s="359" cm="1">
        <f t="array" ref="E3134">1000*SUM('DRE + DCF'!$L$36/M3134,'DRE + DCF'!$N$36:$V$36/N3134:V3134,F3134/V3134)/Dashboard!$F$11</f>
        <v>36.705726256953817</v>
      </c>
      <c r="F3134" s="359">
        <f t="shared" si="3169"/>
        <v>6615803.1205145661</v>
      </c>
      <c r="G3134" s="359">
        <f>'DRE + DCF'!$W$31</f>
        <v>2791623.3540418856</v>
      </c>
      <c r="H3134" s="359">
        <f>'DRE + DCF'!$W$32</f>
        <v>81081.931703745853</v>
      </c>
      <c r="I3134" s="359">
        <f>-H3134*('DRE + DCF'!$V$33+K3134)/'DRE + DCF'!$V$33</f>
        <v>-90858.801614444121</v>
      </c>
      <c r="J3134" s="359">
        <f>-'DRE + DCF'!$V$56*L3134</f>
        <v>-1188924.4255577971</v>
      </c>
      <c r="K3134" s="360">
        <f>(1+L3134)/(1+Ke!$O$12)-1</f>
        <v>2.0000000000000018E-2</v>
      </c>
      <c r="L3134" s="360">
        <f>'DRE + DCF'!$Y$31</f>
        <v>7.3550000000000004E-2</v>
      </c>
      <c r="M3134" s="361">
        <f>(1+D3134)^((5-Dashboard!$F$9)*3/12)</f>
        <v>1.2774904787248609</v>
      </c>
      <c r="N3134" s="361">
        <f t="shared" ref="N3134:V3134" si="3219">M3134*(1+$D3134)</f>
        <v>1.770793427084431</v>
      </c>
      <c r="O3134" s="361">
        <f t="shared" si="3219"/>
        <v>2.4545853089530358</v>
      </c>
      <c r="P3134" s="361">
        <f t="shared" si="3219"/>
        <v>3.4024234260051838</v>
      </c>
      <c r="Q3134" s="361">
        <f t="shared" si="3219"/>
        <v>4.7162692319569928</v>
      </c>
      <c r="R3134" s="361">
        <f t="shared" si="3219"/>
        <v>6.5374565958770567</v>
      </c>
      <c r="S3134" s="361">
        <f t="shared" si="3219"/>
        <v>9.061895460374803</v>
      </c>
      <c r="T3134" s="361">
        <f t="shared" si="3219"/>
        <v>12.561146392398285</v>
      </c>
      <c r="U3134" s="361">
        <f t="shared" si="3219"/>
        <v>17.411633071822539</v>
      </c>
      <c r="V3134" s="362">
        <f t="shared" si="3219"/>
        <v>24.135135182506335</v>
      </c>
      <c r="X3134" s="351"/>
    </row>
    <row r="3135" spans="3:24" ht="24.75" customHeight="1" x14ac:dyDescent="0.3">
      <c r="C3135" s="353">
        <f>ABS(E3135-Dashboard!$F$14)</f>
        <v>60.298171331917821</v>
      </c>
      <c r="D3135" s="350">
        <f t="shared" si="3171"/>
        <v>0.38624999999997273</v>
      </c>
      <c r="E3135" s="359" cm="1">
        <f t="array" ref="E3135">1000*SUM('DRE + DCF'!$L$36/M3135,'DRE + DCF'!$N$36:$V$36/N3135:V3135,F3135/V3135)/Dashboard!$F$11</f>
        <v>36.691828668082174</v>
      </c>
      <c r="F3135" s="359">
        <f t="shared" si="3169"/>
        <v>6613923.7260790747</v>
      </c>
      <c r="G3135" s="359">
        <f>'DRE + DCF'!$W$31</f>
        <v>2791623.3540418856</v>
      </c>
      <c r="H3135" s="359">
        <f>'DRE + DCF'!$W$32</f>
        <v>81081.931703745853</v>
      </c>
      <c r="I3135" s="359">
        <f>-H3135*('DRE + DCF'!$V$33+K3135)/'DRE + DCF'!$V$33</f>
        <v>-90858.801614444121</v>
      </c>
      <c r="J3135" s="359">
        <f>-'DRE + DCF'!$V$56*L3135</f>
        <v>-1188924.4255577971</v>
      </c>
      <c r="K3135" s="360">
        <f>(1+L3135)/(1+Ke!$O$12)-1</f>
        <v>2.0000000000000018E-2</v>
      </c>
      <c r="L3135" s="360">
        <f>'DRE + DCF'!$Y$31</f>
        <v>7.3550000000000004E-2</v>
      </c>
      <c r="M3135" s="361">
        <f>(1+D3135)^((5-Dashboard!$F$9)*3/12)</f>
        <v>1.2775595988936164</v>
      </c>
      <c r="N3135" s="361">
        <f t="shared" ref="N3135:V3135" si="3220">M3135*(1+$D3135)</f>
        <v>1.7710169939662408</v>
      </c>
      <c r="O3135" s="361">
        <f t="shared" si="3220"/>
        <v>2.4550723078856529</v>
      </c>
      <c r="P3135" s="361">
        <f t="shared" si="3220"/>
        <v>3.4033439868064193</v>
      </c>
      <c r="Q3135" s="361">
        <f t="shared" si="3220"/>
        <v>4.7178856017103055</v>
      </c>
      <c r="R3135" s="361">
        <f t="shared" si="3220"/>
        <v>6.5401689153707823</v>
      </c>
      <c r="S3135" s="361">
        <f t="shared" si="3220"/>
        <v>9.0663091589325688</v>
      </c>
      <c r="T3135" s="361">
        <f t="shared" si="3220"/>
        <v>12.568171071570026</v>
      </c>
      <c r="U3135" s="361">
        <f t="shared" si="3220"/>
        <v>17.422627147963606</v>
      </c>
      <c r="V3135" s="362">
        <f t="shared" si="3220"/>
        <v>24.152116883864071</v>
      </c>
      <c r="X3135" s="351"/>
    </row>
    <row r="3136" spans="3:24" ht="24.75" customHeight="1" x14ac:dyDescent="0.3">
      <c r="C3136" s="353">
        <f>ABS(E3136-Dashboard!$F$14)</f>
        <v>60.312059182912527</v>
      </c>
      <c r="D3136" s="350">
        <f t="shared" si="3171"/>
        <v>0.38634999999997272</v>
      </c>
      <c r="E3136" s="359" cm="1">
        <f t="array" ref="E3136">1000*SUM('DRE + DCF'!$L$36/M3136,'DRE + DCF'!$N$36:$V$36/N3136:V3136,F3136/V3136)/Dashboard!$F$11</f>
        <v>36.677940817087467</v>
      </c>
      <c r="F3136" s="359">
        <f t="shared" si="3169"/>
        <v>6612045.4110128134</v>
      </c>
      <c r="G3136" s="359">
        <f>'DRE + DCF'!$W$31</f>
        <v>2791623.3540418856</v>
      </c>
      <c r="H3136" s="359">
        <f>'DRE + DCF'!$W$32</f>
        <v>81081.931703745853</v>
      </c>
      <c r="I3136" s="359">
        <f>-H3136*('DRE + DCF'!$V$33+K3136)/'DRE + DCF'!$V$33</f>
        <v>-90858.801614444121</v>
      </c>
      <c r="J3136" s="359">
        <f>-'DRE + DCF'!$V$56*L3136</f>
        <v>-1188924.4255577971</v>
      </c>
      <c r="K3136" s="360">
        <f>(1+L3136)/(1+Ke!$O$12)-1</f>
        <v>2.0000000000000018E-2</v>
      </c>
      <c r="L3136" s="360">
        <f>'DRE + DCF'!$Y$31</f>
        <v>7.3550000000000004E-2</v>
      </c>
      <c r="M3136" s="361">
        <f>(1+D3136)^((5-Dashboard!$F$9)*3/12)</f>
        <v>1.2776287178158516</v>
      </c>
      <c r="N3136" s="361">
        <f t="shared" ref="N3136:V3136" si="3221">M3136*(1+$D3136)</f>
        <v>1.7712405729439711</v>
      </c>
      <c r="O3136" s="361">
        <f t="shared" si="3221"/>
        <v>2.4555593683008259</v>
      </c>
      <c r="P3136" s="361">
        <f t="shared" si="3221"/>
        <v>3.4042647302437827</v>
      </c>
      <c r="Q3136" s="361">
        <f t="shared" si="3221"/>
        <v>4.7195024087733755</v>
      </c>
      <c r="R3136" s="361">
        <f t="shared" si="3221"/>
        <v>6.5428821644028403</v>
      </c>
      <c r="S3136" s="361">
        <f t="shared" si="3221"/>
        <v>9.0707246886196984</v>
      </c>
      <c r="T3136" s="361">
        <f t="shared" si="3221"/>
        <v>12.575199172067672</v>
      </c>
      <c r="U3136" s="361">
        <f t="shared" si="3221"/>
        <v>17.433627372195673</v>
      </c>
      <c r="V3136" s="362">
        <f t="shared" si="3221"/>
        <v>24.169109307442994</v>
      </c>
      <c r="X3136" s="351"/>
    </row>
    <row r="3137" spans="3:24" ht="24.75" customHeight="1" x14ac:dyDescent="0.3">
      <c r="C3137" s="353">
        <f>ABS(E3137-Dashboard!$F$14)</f>
        <v>60.325937305594373</v>
      </c>
      <c r="D3137" s="350">
        <f t="shared" si="3171"/>
        <v>0.3864499999999727</v>
      </c>
      <c r="E3137" s="359" cm="1">
        <f t="array" ref="E3137">1000*SUM('DRE + DCF'!$L$36/M3137,'DRE + DCF'!$N$36:$V$36/N3137:V3137,F3137/V3137)/Dashboard!$F$11</f>
        <v>36.664062694405622</v>
      </c>
      <c r="F3137" s="359">
        <f t="shared" si="3169"/>
        <v>6610168.1743758153</v>
      </c>
      <c r="G3137" s="359">
        <f>'DRE + DCF'!$W$31</f>
        <v>2791623.3540418856</v>
      </c>
      <c r="H3137" s="359">
        <f>'DRE + DCF'!$W$32</f>
        <v>81081.931703745853</v>
      </c>
      <c r="I3137" s="359">
        <f>-H3137*('DRE + DCF'!$V$33+K3137)/'DRE + DCF'!$V$33</f>
        <v>-90858.801614444121</v>
      </c>
      <c r="J3137" s="359">
        <f>-'DRE + DCF'!$V$56*L3137</f>
        <v>-1188924.4255577971</v>
      </c>
      <c r="K3137" s="360">
        <f>(1+L3137)/(1+Ke!$O$12)-1</f>
        <v>2.0000000000000018E-2</v>
      </c>
      <c r="L3137" s="360">
        <f>'DRE + DCF'!$Y$31</f>
        <v>7.3550000000000004E-2</v>
      </c>
      <c r="M3137" s="361">
        <f>(1+D3137)^((5-Dashboard!$F$9)*3/12)</f>
        <v>1.277697835491679</v>
      </c>
      <c r="N3137" s="361">
        <f t="shared" ref="N3137:V3137" si="3222">M3137*(1+$D3137)</f>
        <v>1.7714641640174034</v>
      </c>
      <c r="O3137" s="361">
        <f t="shared" si="3222"/>
        <v>2.4560464902018806</v>
      </c>
      <c r="P3137" s="361">
        <f t="shared" si="3222"/>
        <v>3.40518565634033</v>
      </c>
      <c r="Q3137" s="361">
        <f t="shared" si="3222"/>
        <v>4.7211196532329573</v>
      </c>
      <c r="R3137" s="361">
        <f t="shared" si="3222"/>
        <v>6.5455963432247044</v>
      </c>
      <c r="S3137" s="361">
        <f t="shared" si="3222"/>
        <v>9.0751420500637128</v>
      </c>
      <c r="T3137" s="361">
        <f t="shared" si="3222"/>
        <v>12.582230695310587</v>
      </c>
      <c r="U3137" s="361">
        <f t="shared" si="3222"/>
        <v>17.44463374751302</v>
      </c>
      <c r="V3137" s="362">
        <f t="shared" si="3222"/>
        <v>24.186112459238949</v>
      </c>
      <c r="X3137" s="351"/>
    </row>
    <row r="3138" spans="3:24" ht="24.75" customHeight="1" x14ac:dyDescent="0.3">
      <c r="C3138" s="353">
        <f>ABS(E3138-Dashboard!$F$14)</f>
        <v>60.339805709515574</v>
      </c>
      <c r="D3138" s="350">
        <f t="shared" si="3171"/>
        <v>0.38654999999997269</v>
      </c>
      <c r="E3138" s="359" cm="1">
        <f t="array" ref="E3138">1000*SUM('DRE + DCF'!$L$36/M3138,'DRE + DCF'!$N$36:$V$36/N3138:V3138,F3138/V3138)/Dashboard!$F$11</f>
        <v>36.650194290484421</v>
      </c>
      <c r="F3138" s="359">
        <f t="shared" si="3169"/>
        <v>6608292.0152292158</v>
      </c>
      <c r="G3138" s="359">
        <f>'DRE + DCF'!$W$31</f>
        <v>2791623.3540418856</v>
      </c>
      <c r="H3138" s="359">
        <f>'DRE + DCF'!$W$32</f>
        <v>81081.931703745853</v>
      </c>
      <c r="I3138" s="359">
        <f>-H3138*('DRE + DCF'!$V$33+K3138)/'DRE + DCF'!$V$33</f>
        <v>-90858.801614444121</v>
      </c>
      <c r="J3138" s="359">
        <f>-'DRE + DCF'!$V$56*L3138</f>
        <v>-1188924.4255577971</v>
      </c>
      <c r="K3138" s="360">
        <f>(1+L3138)/(1+Ke!$O$12)-1</f>
        <v>2.0000000000000018E-2</v>
      </c>
      <c r="L3138" s="360">
        <f>'DRE + DCF'!$Y$31</f>
        <v>7.3550000000000004E-2</v>
      </c>
      <c r="M3138" s="361">
        <f>(1+D3138)^((5-Dashboard!$F$9)*3/12)</f>
        <v>1.2777669519212111</v>
      </c>
      <c r="N3138" s="361">
        <f t="shared" ref="N3138:V3138" si="3223">M3138*(1+$D3138)</f>
        <v>1.7716877671863203</v>
      </c>
      <c r="O3138" s="361">
        <f t="shared" si="3223"/>
        <v>2.4565336735921437</v>
      </c>
      <c r="P3138" s="361">
        <f t="shared" si="3223"/>
        <v>3.4061067651191195</v>
      </c>
      <c r="Q3138" s="361">
        <f t="shared" si="3223"/>
        <v>4.7227373351758217</v>
      </c>
      <c r="R3138" s="361">
        <f t="shared" si="3223"/>
        <v>6.5483114520879067</v>
      </c>
      <c r="S3138" s="361">
        <f t="shared" si="3223"/>
        <v>9.0795612438923072</v>
      </c>
      <c r="T3138" s="361">
        <f t="shared" si="3223"/>
        <v>12.58926564271863</v>
      </c>
      <c r="U3138" s="361">
        <f t="shared" si="3223"/>
        <v>17.455646276911171</v>
      </c>
      <c r="V3138" s="362">
        <f t="shared" si="3223"/>
        <v>24.203126345250705</v>
      </c>
      <c r="X3138" s="351"/>
    </row>
    <row r="3139" spans="3:24" ht="24.75" customHeight="1" x14ac:dyDescent="0.3">
      <c r="C3139" s="353">
        <f>ABS(E3139-Dashboard!$F$14)</f>
        <v>60.353664404216381</v>
      </c>
      <c r="D3139" s="350">
        <f t="shared" si="3171"/>
        <v>0.38664999999997268</v>
      </c>
      <c r="E3139" s="359" cm="1">
        <f t="array" ref="E3139">1000*SUM('DRE + DCF'!$L$36/M3139,'DRE + DCF'!$N$36:$V$36/N3139:V3139,F3139/V3139)/Dashboard!$F$11</f>
        <v>36.636335595783613</v>
      </c>
      <c r="F3139" s="359">
        <f t="shared" si="3169"/>
        <v>6606416.9326352496</v>
      </c>
      <c r="G3139" s="359">
        <f>'DRE + DCF'!$W$31</f>
        <v>2791623.3540418856</v>
      </c>
      <c r="H3139" s="359">
        <f>'DRE + DCF'!$W$32</f>
        <v>81081.931703745853</v>
      </c>
      <c r="I3139" s="359">
        <f>-H3139*('DRE + DCF'!$V$33+K3139)/'DRE + DCF'!$V$33</f>
        <v>-90858.801614444121</v>
      </c>
      <c r="J3139" s="359">
        <f>-'DRE + DCF'!$V$56*L3139</f>
        <v>-1188924.4255577971</v>
      </c>
      <c r="K3139" s="360">
        <f>(1+L3139)/(1+Ke!$O$12)-1</f>
        <v>2.0000000000000018E-2</v>
      </c>
      <c r="L3139" s="360">
        <f>'DRE + DCF'!$Y$31</f>
        <v>7.3550000000000004E-2</v>
      </c>
      <c r="M3139" s="361">
        <f>(1+D3139)^((5-Dashboard!$F$9)*3/12)</f>
        <v>1.2778360671045601</v>
      </c>
      <c r="N3139" s="361">
        <f t="shared" ref="N3139:V3139" si="3224">M3139*(1+$D3139)</f>
        <v>1.7719113824505033</v>
      </c>
      <c r="O3139" s="361">
        <f t="shared" si="3224"/>
        <v>2.4570209184749419</v>
      </c>
      <c r="P3139" s="361">
        <f t="shared" si="3224"/>
        <v>3.407028056603211</v>
      </c>
      <c r="Q3139" s="361">
        <f t="shared" si="3224"/>
        <v>4.724355454688749</v>
      </c>
      <c r="R3139" s="361">
        <f t="shared" si="3224"/>
        <v>6.5510274912440245</v>
      </c>
      <c r="S3139" s="361">
        <f t="shared" si="3224"/>
        <v>9.0839822707333475</v>
      </c>
      <c r="T3139" s="361">
        <f t="shared" si="3224"/>
        <v>12.596304015712148</v>
      </c>
      <c r="U3139" s="361">
        <f t="shared" si="3224"/>
        <v>17.466664963386904</v>
      </c>
      <c r="V3139" s="362">
        <f t="shared" si="3224"/>
        <v>24.220150971479974</v>
      </c>
      <c r="X3139" s="351"/>
    </row>
    <row r="3140" spans="3:24" ht="24.75" customHeight="1" x14ac:dyDescent="0.3">
      <c r="C3140" s="353">
        <f>ABS(E3140-Dashboard!$F$14)</f>
        <v>60.367513399225068</v>
      </c>
      <c r="D3140" s="350">
        <f t="shared" si="3171"/>
        <v>0.38674999999997267</v>
      </c>
      <c r="E3140" s="359" cm="1">
        <f t="array" ref="E3140">1000*SUM('DRE + DCF'!$L$36/M3140,'DRE + DCF'!$N$36:$V$36/N3140:V3140,F3140/V3140)/Dashboard!$F$11</f>
        <v>36.622486600774927</v>
      </c>
      <c r="F3140" s="359">
        <f t="shared" si="3169"/>
        <v>6604542.9256572593</v>
      </c>
      <c r="G3140" s="359">
        <f>'DRE + DCF'!$W$31</f>
        <v>2791623.3540418856</v>
      </c>
      <c r="H3140" s="359">
        <f>'DRE + DCF'!$W$32</f>
        <v>81081.931703745853</v>
      </c>
      <c r="I3140" s="359">
        <f>-H3140*('DRE + DCF'!$V$33+K3140)/'DRE + DCF'!$V$33</f>
        <v>-90858.801614444121</v>
      </c>
      <c r="J3140" s="359">
        <f>-'DRE + DCF'!$V$56*L3140</f>
        <v>-1188924.4255577971</v>
      </c>
      <c r="K3140" s="360">
        <f>(1+L3140)/(1+Ke!$O$12)-1</f>
        <v>2.0000000000000018E-2</v>
      </c>
      <c r="L3140" s="360">
        <f>'DRE + DCF'!$Y$31</f>
        <v>7.3550000000000004E-2</v>
      </c>
      <c r="M3140" s="361">
        <f>(1+D3140)^((5-Dashboard!$F$9)*3/12)</f>
        <v>1.2779051810418383</v>
      </c>
      <c r="N3140" s="361">
        <f t="shared" ref="N3140:V3140" si="3225">M3140*(1+$D3140)</f>
        <v>1.7721350098097342</v>
      </c>
      <c r="O3140" s="361">
        <f t="shared" si="3225"/>
        <v>2.4575082248536004</v>
      </c>
      <c r="P3140" s="361">
        <f t="shared" si="3225"/>
        <v>3.4079495308156633</v>
      </c>
      <c r="Q3140" s="361">
        <f t="shared" si="3225"/>
        <v>4.7259740118585274</v>
      </c>
      <c r="R3140" s="361">
        <f t="shared" si="3225"/>
        <v>6.5537444609446833</v>
      </c>
      <c r="S3140" s="361">
        <f t="shared" si="3225"/>
        <v>9.0884051312148593</v>
      </c>
      <c r="T3140" s="361">
        <f t="shared" si="3225"/>
        <v>12.603345815711958</v>
      </c>
      <c r="U3140" s="361">
        <f t="shared" si="3225"/>
        <v>17.477689809938212</v>
      </c>
      <c r="V3140" s="362">
        <f t="shared" si="3225"/>
        <v>24.237186343931338</v>
      </c>
      <c r="X3140" s="351"/>
    </row>
    <row r="3141" spans="3:24" ht="24.75" customHeight="1" x14ac:dyDescent="0.3">
      <c r="C3141" s="353">
        <f>ABS(E3141-Dashboard!$F$14)</f>
        <v>60.381352704058081</v>
      </c>
      <c r="D3141" s="350">
        <f t="shared" si="3171"/>
        <v>0.38684999999997266</v>
      </c>
      <c r="E3141" s="359" cm="1">
        <f t="array" ref="E3141">1000*SUM('DRE + DCF'!$L$36/M3141,'DRE + DCF'!$N$36:$V$36/N3141:V3141,F3141/V3141)/Dashboard!$F$11</f>
        <v>36.608647295941914</v>
      </c>
      <c r="F3141" s="359">
        <f t="shared" si="3169"/>
        <v>6602669.9933596766</v>
      </c>
      <c r="G3141" s="359">
        <f>'DRE + DCF'!$W$31</f>
        <v>2791623.3540418856</v>
      </c>
      <c r="H3141" s="359">
        <f>'DRE + DCF'!$W$32</f>
        <v>81081.931703745853</v>
      </c>
      <c r="I3141" s="359">
        <f>-H3141*('DRE + DCF'!$V$33+K3141)/'DRE + DCF'!$V$33</f>
        <v>-90858.801614444121</v>
      </c>
      <c r="J3141" s="359">
        <f>-'DRE + DCF'!$V$56*L3141</f>
        <v>-1188924.4255577971</v>
      </c>
      <c r="K3141" s="360">
        <f>(1+L3141)/(1+Ke!$O$12)-1</f>
        <v>2.0000000000000018E-2</v>
      </c>
      <c r="L3141" s="360">
        <f>'DRE + DCF'!$Y$31</f>
        <v>7.3550000000000004E-2</v>
      </c>
      <c r="M3141" s="361">
        <f>(1+D3141)^((5-Dashboard!$F$9)*3/12)</f>
        <v>1.277974293733158</v>
      </c>
      <c r="N3141" s="361">
        <f t="shared" ref="N3141:V3141" si="3226">M3141*(1+$D3141)</f>
        <v>1.772358649263795</v>
      </c>
      <c r="O3141" s="361">
        <f t="shared" si="3226"/>
        <v>2.4579955927314456</v>
      </c>
      <c r="P3141" s="361">
        <f t="shared" si="3226"/>
        <v>3.4088711877795381</v>
      </c>
      <c r="Q3141" s="361">
        <f t="shared" si="3226"/>
        <v>4.7275930067719587</v>
      </c>
      <c r="R3141" s="361">
        <f t="shared" si="3226"/>
        <v>6.5564623614415618</v>
      </c>
      <c r="S3141" s="361">
        <f t="shared" si="3226"/>
        <v>9.0928298259650511</v>
      </c>
      <c r="T3141" s="361">
        <f t="shared" si="3226"/>
        <v>12.610391044139382</v>
      </c>
      <c r="U3141" s="361">
        <f t="shared" si="3226"/>
        <v>17.488720819564357</v>
      </c>
      <c r="V3141" s="362">
        <f t="shared" si="3226"/>
        <v>24.254232468612347</v>
      </c>
      <c r="X3141" s="351"/>
    </row>
    <row r="3142" spans="3:24" ht="24.75" customHeight="1" x14ac:dyDescent="0.3">
      <c r="C3142" s="353">
        <f>ABS(E3142-Dashboard!$F$14)</f>
        <v>60.395182328219946</v>
      </c>
      <c r="D3142" s="350">
        <f t="shared" si="3171"/>
        <v>0.38694999999997265</v>
      </c>
      <c r="E3142" s="359" cm="1">
        <f t="array" ref="E3142">1000*SUM('DRE + DCF'!$L$36/M3142,'DRE + DCF'!$N$36:$V$36/N3142:V3142,F3142/V3142)/Dashboard!$F$11</f>
        <v>36.594817671780049</v>
      </c>
      <c r="F3142" s="359">
        <f t="shared" si="3169"/>
        <v>6600798.1348080337</v>
      </c>
      <c r="G3142" s="359">
        <f>'DRE + DCF'!$W$31</f>
        <v>2791623.3540418856</v>
      </c>
      <c r="H3142" s="359">
        <f>'DRE + DCF'!$W$32</f>
        <v>81081.931703745853</v>
      </c>
      <c r="I3142" s="359">
        <f>-H3142*('DRE + DCF'!$V$33+K3142)/'DRE + DCF'!$V$33</f>
        <v>-90858.801614444121</v>
      </c>
      <c r="J3142" s="359">
        <f>-'DRE + DCF'!$V$56*L3142</f>
        <v>-1188924.4255577971</v>
      </c>
      <c r="K3142" s="360">
        <f>(1+L3142)/(1+Ke!$O$12)-1</f>
        <v>2.0000000000000018E-2</v>
      </c>
      <c r="L3142" s="360">
        <f>'DRE + DCF'!$Y$31</f>
        <v>7.3550000000000004E-2</v>
      </c>
      <c r="M3142" s="361">
        <f>(1+D3142)^((5-Dashboard!$F$9)*3/12)</f>
        <v>1.2780434051786316</v>
      </c>
      <c r="N3142" s="361">
        <f t="shared" ref="N3142:V3142" si="3227">M3142*(1+$D3142)</f>
        <v>1.7725823008124679</v>
      </c>
      <c r="O3142" s="361">
        <f t="shared" si="3227"/>
        <v>2.4584830221118037</v>
      </c>
      <c r="P3142" s="361">
        <f t="shared" si="3227"/>
        <v>3.4097930275178987</v>
      </c>
      <c r="Q3142" s="361">
        <f t="shared" si="3227"/>
        <v>4.7292124395158561</v>
      </c>
      <c r="R3142" s="361">
        <f t="shared" si="3227"/>
        <v>6.5591811929863875</v>
      </c>
      <c r="S3142" s="361">
        <f t="shared" si="3227"/>
        <v>9.0972563556122896</v>
      </c>
      <c r="T3142" s="361">
        <f t="shared" si="3227"/>
        <v>12.617439702416215</v>
      </c>
      <c r="U3142" s="361">
        <f t="shared" si="3227"/>
        <v>17.499757995265824</v>
      </c>
      <c r="V3142" s="362">
        <f t="shared" si="3227"/>
        <v>24.271289351533454</v>
      </c>
      <c r="X3142" s="351"/>
    </row>
    <row r="3143" spans="3:24" ht="24.75" customHeight="1" x14ac:dyDescent="0.3">
      <c r="C3143" s="353">
        <f>ABS(E3143-Dashboard!$F$14)</f>
        <v>60.40900228120335</v>
      </c>
      <c r="D3143" s="350">
        <f t="shared" si="3171"/>
        <v>0.38704999999997264</v>
      </c>
      <c r="E3143" s="359" cm="1">
        <f t="array" ref="E3143">1000*SUM('DRE + DCF'!$L$36/M3143,'DRE + DCF'!$N$36:$V$36/N3143:V3143,F3143/V3143)/Dashboard!$F$11</f>
        <v>36.580997718796645</v>
      </c>
      <c r="F3143" s="359">
        <f t="shared" si="3169"/>
        <v>6598927.3490689574</v>
      </c>
      <c r="G3143" s="359">
        <f>'DRE + DCF'!$W$31</f>
        <v>2791623.3540418856</v>
      </c>
      <c r="H3143" s="359">
        <f>'DRE + DCF'!$W$32</f>
        <v>81081.931703745853</v>
      </c>
      <c r="I3143" s="359">
        <f>-H3143*('DRE + DCF'!$V$33+K3143)/'DRE + DCF'!$V$33</f>
        <v>-90858.801614444121</v>
      </c>
      <c r="J3143" s="359">
        <f>-'DRE + DCF'!$V$56*L3143</f>
        <v>-1188924.4255577971</v>
      </c>
      <c r="K3143" s="360">
        <f>(1+L3143)/(1+Ke!$O$12)-1</f>
        <v>2.0000000000000018E-2</v>
      </c>
      <c r="L3143" s="360">
        <f>'DRE + DCF'!$Y$31</f>
        <v>7.3550000000000004E-2</v>
      </c>
      <c r="M3143" s="361">
        <f>(1+D3143)^((5-Dashboard!$F$9)*3/12)</f>
        <v>1.2781125153783712</v>
      </c>
      <c r="N3143" s="361">
        <f t="shared" ref="N3143:V3143" si="3228">M3143*(1+$D3143)</f>
        <v>1.7728059644555347</v>
      </c>
      <c r="O3143" s="361">
        <f t="shared" si="3228"/>
        <v>2.4589705129980008</v>
      </c>
      <c r="P3143" s="361">
        <f t="shared" si="3228"/>
        <v>3.4107150500538097</v>
      </c>
      <c r="Q3143" s="361">
        <f t="shared" si="3228"/>
        <v>4.7308323101770435</v>
      </c>
      <c r="R3143" s="361">
        <f t="shared" si="3228"/>
        <v>6.5619009558309385</v>
      </c>
      <c r="S3143" s="361">
        <f t="shared" si="3228"/>
        <v>9.1016847207851228</v>
      </c>
      <c r="T3143" s="361">
        <f t="shared" si="3228"/>
        <v>12.624491791964756</v>
      </c>
      <c r="U3143" s="361">
        <f t="shared" si="3228"/>
        <v>17.51080134004437</v>
      </c>
      <c r="V3143" s="362">
        <f t="shared" si="3228"/>
        <v>24.288356998708064</v>
      </c>
      <c r="X3143" s="351"/>
    </row>
    <row r="3144" spans="3:24" ht="24.75" customHeight="1" x14ac:dyDescent="0.3">
      <c r="C3144" s="353">
        <f>ABS(E3144-Dashboard!$F$14)</f>
        <v>60.422812572489093</v>
      </c>
      <c r="D3144" s="350">
        <f t="shared" si="3171"/>
        <v>0.38714999999997263</v>
      </c>
      <c r="E3144" s="359" cm="1">
        <f t="array" ref="E3144">1000*SUM('DRE + DCF'!$L$36/M3144,'DRE + DCF'!$N$36:$V$36/N3144:V3144,F3144/V3144)/Dashboard!$F$11</f>
        <v>36.567187427510902</v>
      </c>
      <c r="F3144" s="359">
        <f t="shared" si="3169"/>
        <v>6597057.6352101695</v>
      </c>
      <c r="G3144" s="359">
        <f>'DRE + DCF'!$W$31</f>
        <v>2791623.3540418856</v>
      </c>
      <c r="H3144" s="359">
        <f>'DRE + DCF'!$W$32</f>
        <v>81081.931703745853</v>
      </c>
      <c r="I3144" s="359">
        <f>-H3144*('DRE + DCF'!$V$33+K3144)/'DRE + DCF'!$V$33</f>
        <v>-90858.801614444121</v>
      </c>
      <c r="J3144" s="359">
        <f>-'DRE + DCF'!$V$56*L3144</f>
        <v>-1188924.4255577971</v>
      </c>
      <c r="K3144" s="360">
        <f>(1+L3144)/(1+Ke!$O$12)-1</f>
        <v>2.0000000000000018E-2</v>
      </c>
      <c r="L3144" s="360">
        <f>'DRE + DCF'!$Y$31</f>
        <v>7.3550000000000004E-2</v>
      </c>
      <c r="M3144" s="361">
        <f>(1+D3144)^((5-Dashboard!$F$9)*3/12)</f>
        <v>1.2781816243324895</v>
      </c>
      <c r="N3144" s="361">
        <f t="shared" ref="N3144:V3144" si="3229">M3144*(1+$D3144)</f>
        <v>1.7730296401927776</v>
      </c>
      <c r="O3144" s="361">
        <f t="shared" si="3229"/>
        <v>2.4594580653933629</v>
      </c>
      <c r="P3144" s="361">
        <f t="shared" si="3229"/>
        <v>3.4116372554103358</v>
      </c>
      <c r="Q3144" s="361">
        <f t="shared" si="3229"/>
        <v>4.7324526188423537</v>
      </c>
      <c r="R3144" s="361">
        <f t="shared" si="3229"/>
        <v>6.5646216502270409</v>
      </c>
      <c r="S3144" s="361">
        <f t="shared" si="3229"/>
        <v>9.1061149221122601</v>
      </c>
      <c r="T3144" s="361">
        <f t="shared" si="3229"/>
        <v>12.631547314207772</v>
      </c>
      <c r="U3144" s="361">
        <f t="shared" si="3229"/>
        <v>17.521850856902965</v>
      </c>
      <c r="V3144" s="362">
        <f t="shared" si="3229"/>
        <v>24.305435416152466</v>
      </c>
      <c r="X3144" s="351"/>
    </row>
    <row r="3145" spans="3:24" ht="24.75" customHeight="1" x14ac:dyDescent="0.3">
      <c r="C3145" s="353">
        <f>ABS(E3145-Dashboard!$F$14)</f>
        <v>60.436613211546202</v>
      </c>
      <c r="D3145" s="350">
        <f t="shared" si="3171"/>
        <v>0.38724999999997262</v>
      </c>
      <c r="E3145" s="359" cm="1">
        <f t="array" ref="E3145">1000*SUM('DRE + DCF'!$L$36/M3145,'DRE + DCF'!$N$36:$V$36/N3145:V3145,F3145/V3145)/Dashboard!$F$11</f>
        <v>36.553386788453793</v>
      </c>
      <c r="F3145" s="359">
        <f t="shared" si="3169"/>
        <v>6595188.9923004797</v>
      </c>
      <c r="G3145" s="359">
        <f>'DRE + DCF'!$W$31</f>
        <v>2791623.3540418856</v>
      </c>
      <c r="H3145" s="359">
        <f>'DRE + DCF'!$W$32</f>
        <v>81081.931703745853</v>
      </c>
      <c r="I3145" s="359">
        <f>-H3145*('DRE + DCF'!$V$33+K3145)/'DRE + DCF'!$V$33</f>
        <v>-90858.801614444121</v>
      </c>
      <c r="J3145" s="359">
        <f>-'DRE + DCF'!$V$56*L3145</f>
        <v>-1188924.4255577971</v>
      </c>
      <c r="K3145" s="360">
        <f>(1+L3145)/(1+Ke!$O$12)-1</f>
        <v>2.0000000000000018E-2</v>
      </c>
      <c r="L3145" s="360">
        <f>'DRE + DCF'!$Y$31</f>
        <v>7.3550000000000004E-2</v>
      </c>
      <c r="M3145" s="361">
        <f>(1+D3145)^((5-Dashboard!$F$9)*3/12)</f>
        <v>1.2782507320410983</v>
      </c>
      <c r="N3145" s="361">
        <f t="shared" ref="N3145:V3145" si="3230">M3145*(1+$D3145)</f>
        <v>1.7732533280239786</v>
      </c>
      <c r="O3145" s="361">
        <f t="shared" si="3230"/>
        <v>2.4599456793012155</v>
      </c>
      <c r="P3145" s="361">
        <f t="shared" si="3230"/>
        <v>3.4125596436105439</v>
      </c>
      <c r="Q3145" s="361">
        <f t="shared" si="3230"/>
        <v>4.7340733655986336</v>
      </c>
      <c r="R3145" s="361">
        <f t="shared" si="3230"/>
        <v>6.5673432764265742</v>
      </c>
      <c r="S3145" s="361">
        <f t="shared" si="3230"/>
        <v>9.1105469602225853</v>
      </c>
      <c r="T3145" s="361">
        <f t="shared" si="3230"/>
        <v>12.638606270568532</v>
      </c>
      <c r="U3145" s="361">
        <f t="shared" si="3230"/>
        <v>17.532906548845851</v>
      </c>
      <c r="V3145" s="362">
        <f t="shared" si="3230"/>
        <v>24.322524609885924</v>
      </c>
      <c r="X3145" s="351"/>
    </row>
    <row r="3146" spans="3:24" ht="24.75" customHeight="1" x14ac:dyDescent="0.3">
      <c r="C3146" s="353">
        <f>ABS(E3146-Dashboard!$F$14)</f>
        <v>60.450404207831816</v>
      </c>
      <c r="D3146" s="350">
        <f t="shared" si="3171"/>
        <v>0.38734999999997261</v>
      </c>
      <c r="E3146" s="359" cm="1">
        <f t="array" ref="E3146">1000*SUM('DRE + DCF'!$L$36/M3146,'DRE + DCF'!$N$36:$V$36/N3146:V3146,F3146/V3146)/Dashboard!$F$11</f>
        <v>36.539595792168178</v>
      </c>
      <c r="F3146" s="359">
        <f t="shared" si="3169"/>
        <v>6593321.419409791</v>
      </c>
      <c r="G3146" s="359">
        <f>'DRE + DCF'!$W$31</f>
        <v>2791623.3540418856</v>
      </c>
      <c r="H3146" s="359">
        <f>'DRE + DCF'!$W$32</f>
        <v>81081.931703745853</v>
      </c>
      <c r="I3146" s="359">
        <f>-H3146*('DRE + DCF'!$V$33+K3146)/'DRE + DCF'!$V$33</f>
        <v>-90858.801614444121</v>
      </c>
      <c r="J3146" s="359">
        <f>-'DRE + DCF'!$V$56*L3146</f>
        <v>-1188924.4255577971</v>
      </c>
      <c r="K3146" s="360">
        <f>(1+L3146)/(1+Ke!$O$12)-1</f>
        <v>2.0000000000000018E-2</v>
      </c>
      <c r="L3146" s="360">
        <f>'DRE + DCF'!$Y$31</f>
        <v>7.3550000000000004E-2</v>
      </c>
      <c r="M3146" s="361">
        <f>(1+D3146)^((5-Dashboard!$F$9)*3/12)</f>
        <v>1.27831983850431</v>
      </c>
      <c r="N3146" s="361">
        <f t="shared" ref="N3146:V3146" si="3231">M3146*(1+$D3146)</f>
        <v>1.7734770279489194</v>
      </c>
      <c r="O3146" s="361">
        <f t="shared" si="3231"/>
        <v>2.4604333547248847</v>
      </c>
      <c r="P3146" s="361">
        <f t="shared" si="3231"/>
        <v>3.4134822146775012</v>
      </c>
      <c r="Q3146" s="361">
        <f t="shared" si="3231"/>
        <v>4.7356945505327372</v>
      </c>
      <c r="R3146" s="361">
        <f t="shared" si="3231"/>
        <v>6.5700658346814631</v>
      </c>
      <c r="S3146" s="361">
        <f t="shared" si="3231"/>
        <v>9.1149808357451469</v>
      </c>
      <c r="T3146" s="361">
        <f t="shared" si="3231"/>
        <v>12.645668662470779</v>
      </c>
      <c r="U3146" s="361">
        <f t="shared" si="3231"/>
        <v>17.543968418878489</v>
      </c>
      <c r="V3146" s="362">
        <f t="shared" si="3231"/>
        <v>24.33962458593059</v>
      </c>
      <c r="X3146" s="351"/>
    </row>
    <row r="3147" spans="3:24" ht="24.75" customHeight="1" x14ac:dyDescent="0.3">
      <c r="C3147" s="353">
        <f>ABS(E3147-Dashboard!$F$14)</f>
        <v>60.464185570791351</v>
      </c>
      <c r="D3147" s="350">
        <f t="shared" si="3171"/>
        <v>0.38744999999997259</v>
      </c>
      <c r="E3147" s="359" cm="1">
        <f t="array" ref="E3147">1000*SUM('DRE + DCF'!$L$36/M3147,'DRE + DCF'!$N$36:$V$36/N3147:V3147,F3147/V3147)/Dashboard!$F$11</f>
        <v>36.525814429208644</v>
      </c>
      <c r="F3147" s="359">
        <f t="shared" si="3169"/>
        <v>6591454.9156090934</v>
      </c>
      <c r="G3147" s="359">
        <f>'DRE + DCF'!$W$31</f>
        <v>2791623.3540418856</v>
      </c>
      <c r="H3147" s="359">
        <f>'DRE + DCF'!$W$32</f>
        <v>81081.931703745853</v>
      </c>
      <c r="I3147" s="359">
        <f>-H3147*('DRE + DCF'!$V$33+K3147)/'DRE + DCF'!$V$33</f>
        <v>-90858.801614444121</v>
      </c>
      <c r="J3147" s="359">
        <f>-'DRE + DCF'!$V$56*L3147</f>
        <v>-1188924.4255577971</v>
      </c>
      <c r="K3147" s="360">
        <f>(1+L3147)/(1+Ke!$O$12)-1</f>
        <v>2.0000000000000018E-2</v>
      </c>
      <c r="L3147" s="360">
        <f>'DRE + DCF'!$Y$31</f>
        <v>7.3550000000000004E-2</v>
      </c>
      <c r="M3147" s="361">
        <f>(1+D3147)^((5-Dashboard!$F$9)*3/12)</f>
        <v>1.2783889437222369</v>
      </c>
      <c r="N3147" s="361">
        <f t="shared" ref="N3147:V3147" si="3232">M3147*(1+$D3147)</f>
        <v>1.7737007399673825</v>
      </c>
      <c r="O3147" s="361">
        <f t="shared" si="3232"/>
        <v>2.460921091667696</v>
      </c>
      <c r="P3147" s="361">
        <f t="shared" si="3232"/>
        <v>3.4144049686342774</v>
      </c>
      <c r="Q3147" s="361">
        <f t="shared" si="3232"/>
        <v>4.7373161737315348</v>
      </c>
      <c r="R3147" s="361">
        <f t="shared" si="3232"/>
        <v>6.5727893252436882</v>
      </c>
      <c r="S3147" s="361">
        <f t="shared" si="3232"/>
        <v>9.1194165493091752</v>
      </c>
      <c r="T3147" s="361">
        <f t="shared" si="3232"/>
        <v>12.652734491338764</v>
      </c>
      <c r="U3147" s="361">
        <f t="shared" si="3232"/>
        <v>17.555036470007622</v>
      </c>
      <c r="V3147" s="362">
        <f t="shared" si="3232"/>
        <v>24.356735350311592</v>
      </c>
      <c r="X3147" s="351"/>
    </row>
    <row r="3148" spans="3:24" ht="24.75" customHeight="1" x14ac:dyDescent="0.3">
      <c r="C3148" s="353">
        <f>ABS(E3148-Dashboard!$F$14)</f>
        <v>60.477957309858411</v>
      </c>
      <c r="D3148" s="350">
        <f t="shared" si="3171"/>
        <v>0.38754999999997258</v>
      </c>
      <c r="E3148" s="359" cm="1">
        <f t="array" ref="E3148">1000*SUM('DRE + DCF'!$L$36/M3148,'DRE + DCF'!$N$36:$V$36/N3148:V3148,F3148/V3148)/Dashboard!$F$11</f>
        <v>36.512042690141584</v>
      </c>
      <c r="F3148" s="359">
        <f t="shared" si="3169"/>
        <v>6589589.4799704654</v>
      </c>
      <c r="G3148" s="359">
        <f>'DRE + DCF'!$W$31</f>
        <v>2791623.3540418856</v>
      </c>
      <c r="H3148" s="359">
        <f>'DRE + DCF'!$W$32</f>
        <v>81081.931703745853</v>
      </c>
      <c r="I3148" s="359">
        <f>-H3148*('DRE + DCF'!$V$33+K3148)/'DRE + DCF'!$V$33</f>
        <v>-90858.801614444121</v>
      </c>
      <c r="J3148" s="359">
        <f>-'DRE + DCF'!$V$56*L3148</f>
        <v>-1188924.4255577971</v>
      </c>
      <c r="K3148" s="360">
        <f>(1+L3148)/(1+Ke!$O$12)-1</f>
        <v>2.0000000000000018E-2</v>
      </c>
      <c r="L3148" s="360">
        <f>'DRE + DCF'!$Y$31</f>
        <v>7.3550000000000004E-2</v>
      </c>
      <c r="M3148" s="361">
        <f>(1+D3148)^((5-Dashboard!$F$9)*3/12)</f>
        <v>1.2784580476949909</v>
      </c>
      <c r="N3148" s="361">
        <f t="shared" ref="N3148:V3148" si="3233">M3148*(1+$D3148)</f>
        <v>1.7739244640791496</v>
      </c>
      <c r="O3148" s="361">
        <f t="shared" si="3233"/>
        <v>2.4614088901329754</v>
      </c>
      <c r="P3148" s="361">
        <f t="shared" si="3233"/>
        <v>3.4153279055039425</v>
      </c>
      <c r="Q3148" s="361">
        <f t="shared" si="3233"/>
        <v>4.7389382352819016</v>
      </c>
      <c r="R3148" s="361">
        <f t="shared" si="3233"/>
        <v>6.5755137483652728</v>
      </c>
      <c r="S3148" s="361">
        <f t="shared" si="3233"/>
        <v>9.1238541015440529</v>
      </c>
      <c r="T3148" s="361">
        <f t="shared" si="3233"/>
        <v>12.659803758597199</v>
      </c>
      <c r="U3148" s="361">
        <f t="shared" si="3233"/>
        <v>17.566110705241197</v>
      </c>
      <c r="V3148" s="362">
        <f t="shared" si="3233"/>
        <v>24.37385690905694</v>
      </c>
      <c r="X3148" s="351"/>
    </row>
    <row r="3149" spans="3:24" ht="24.75" customHeight="1" x14ac:dyDescent="0.3">
      <c r="C3149" s="353">
        <f>ABS(E3149-Dashboard!$F$14)</f>
        <v>60.491719434454858</v>
      </c>
      <c r="D3149" s="350">
        <f t="shared" si="3171"/>
        <v>0.38764999999997257</v>
      </c>
      <c r="E3149" s="359" cm="1">
        <f t="array" ref="E3149">1000*SUM('DRE + DCF'!$L$36/M3149,'DRE + DCF'!$N$36:$V$36/N3149:V3149,F3149/V3149)/Dashboard!$F$11</f>
        <v>36.498280565545137</v>
      </c>
      <c r="F3149" s="359">
        <f t="shared" si="3169"/>
        <v>6587725.111567067</v>
      </c>
      <c r="G3149" s="359">
        <f>'DRE + DCF'!$W$31</f>
        <v>2791623.3540418856</v>
      </c>
      <c r="H3149" s="359">
        <f>'DRE + DCF'!$W$32</f>
        <v>81081.931703745853</v>
      </c>
      <c r="I3149" s="359">
        <f>-H3149*('DRE + DCF'!$V$33+K3149)/'DRE + DCF'!$V$33</f>
        <v>-90858.801614444121</v>
      </c>
      <c r="J3149" s="359">
        <f>-'DRE + DCF'!$V$56*L3149</f>
        <v>-1188924.4255577971</v>
      </c>
      <c r="K3149" s="360">
        <f>(1+L3149)/(1+Ke!$O$12)-1</f>
        <v>2.0000000000000018E-2</v>
      </c>
      <c r="L3149" s="360">
        <f>'DRE + DCF'!$Y$31</f>
        <v>7.3550000000000004E-2</v>
      </c>
      <c r="M3149" s="361">
        <f>(1+D3149)^((5-Dashboard!$F$9)*3/12)</f>
        <v>1.2785271504226845</v>
      </c>
      <c r="N3149" s="361">
        <f t="shared" ref="N3149:V3149" si="3234">M3149*(1+$D3149)</f>
        <v>1.774148200284003</v>
      </c>
      <c r="O3149" s="361">
        <f t="shared" si="3234"/>
        <v>2.4618967501240481</v>
      </c>
      <c r="P3149" s="361">
        <f t="shared" si="3234"/>
        <v>3.4162510253095677</v>
      </c>
      <c r="Q3149" s="361">
        <f t="shared" si="3234"/>
        <v>4.7405607352707273</v>
      </c>
      <c r="R3149" s="361">
        <f t="shared" si="3234"/>
        <v>6.5782391042982944</v>
      </c>
      <c r="S3149" s="361">
        <f t="shared" si="3234"/>
        <v>9.1282934930793473</v>
      </c>
      <c r="T3149" s="361">
        <f t="shared" si="3234"/>
        <v>12.666876465671306</v>
      </c>
      <c r="U3149" s="361">
        <f t="shared" si="3234"/>
        <v>17.577191127588438</v>
      </c>
      <c r="V3149" s="362">
        <f t="shared" si="3234"/>
        <v>24.390989268197615</v>
      </c>
      <c r="X3149" s="351"/>
    </row>
    <row r="3150" spans="3:24" ht="24.75" customHeight="1" x14ac:dyDescent="0.3">
      <c r="C3150" s="353">
        <f>ABS(E3150-Dashboard!$F$14)</f>
        <v>60.505471953990799</v>
      </c>
      <c r="D3150" s="350">
        <f t="shared" si="3171"/>
        <v>0.38774999999997256</v>
      </c>
      <c r="E3150" s="359" cm="1">
        <f t="array" ref="E3150">1000*SUM('DRE + DCF'!$L$36/M3150,'DRE + DCF'!$N$36:$V$36/N3150:V3150,F3150/V3150)/Dashboard!$F$11</f>
        <v>36.484528046009196</v>
      </c>
      <c r="F3150" s="359">
        <f t="shared" ref="F3150:F3213" si="3235">AVERAGE(SUM(G3150:J3150)*(1+L3150)/(D3150-L3150),G3150*(1+L3150)*(1-L3150/D3150)/(D3150-L3150))</f>
        <v>6585861.8094731439</v>
      </c>
      <c r="G3150" s="359">
        <f>'DRE + DCF'!$W$31</f>
        <v>2791623.3540418856</v>
      </c>
      <c r="H3150" s="359">
        <f>'DRE + DCF'!$W$32</f>
        <v>81081.931703745853</v>
      </c>
      <c r="I3150" s="359">
        <f>-H3150*('DRE + DCF'!$V$33+K3150)/'DRE + DCF'!$V$33</f>
        <v>-90858.801614444121</v>
      </c>
      <c r="J3150" s="359">
        <f>-'DRE + DCF'!$V$56*L3150</f>
        <v>-1188924.4255577971</v>
      </c>
      <c r="K3150" s="360">
        <f>(1+L3150)/(1+Ke!$O$12)-1</f>
        <v>2.0000000000000018E-2</v>
      </c>
      <c r="L3150" s="360">
        <f>'DRE + DCF'!$Y$31</f>
        <v>7.3550000000000004E-2</v>
      </c>
      <c r="M3150" s="361">
        <f>(1+D3150)^((5-Dashboard!$F$9)*3/12)</f>
        <v>1.2785962519054297</v>
      </c>
      <c r="N3150" s="361">
        <f t="shared" ref="N3150:V3150" si="3236">M3150*(1+$D3150)</f>
        <v>1.7743719485817249</v>
      </c>
      <c r="O3150" s="361">
        <f t="shared" si="3236"/>
        <v>2.4623846716442399</v>
      </c>
      <c r="P3150" s="361">
        <f t="shared" si="3236"/>
        <v>3.4171743280742262</v>
      </c>
      <c r="Q3150" s="361">
        <f t="shared" si="3236"/>
        <v>4.742183673784913</v>
      </c>
      <c r="R3150" s="361">
        <f t="shared" si="3236"/>
        <v>6.5809653932948828</v>
      </c>
      <c r="S3150" s="361">
        <f t="shared" si="3236"/>
        <v>9.1327347245447932</v>
      </c>
      <c r="T3150" s="361">
        <f t="shared" si="3236"/>
        <v>12.673952613986785</v>
      </c>
      <c r="U3150" s="361">
        <f t="shared" si="3236"/>
        <v>17.588277740059812</v>
      </c>
      <c r="V3150" s="362">
        <f t="shared" si="3236"/>
        <v>24.40813243376752</v>
      </c>
      <c r="X3150" s="351"/>
    </row>
    <row r="3151" spans="3:24" ht="24.75" customHeight="1" x14ac:dyDescent="0.3">
      <c r="C3151" s="353">
        <f>ABS(E3151-Dashboard!$F$14)</f>
        <v>60.519214877864641</v>
      </c>
      <c r="D3151" s="350">
        <f t="shared" ref="D3151:D3214" si="3237">D3150+0.0001</f>
        <v>0.38784999999997255</v>
      </c>
      <c r="E3151" s="359" cm="1">
        <f t="array" ref="E3151">1000*SUM('DRE + DCF'!$L$36/M3151,'DRE + DCF'!$N$36:$V$36/N3151:V3151,F3151/V3151)/Dashboard!$F$11</f>
        <v>36.470785122135354</v>
      </c>
      <c r="F3151" s="359">
        <f t="shared" si="3235"/>
        <v>6583999.5727640279</v>
      </c>
      <c r="G3151" s="359">
        <f>'DRE + DCF'!$W$31</f>
        <v>2791623.3540418856</v>
      </c>
      <c r="H3151" s="359">
        <f>'DRE + DCF'!$W$32</f>
        <v>81081.931703745853</v>
      </c>
      <c r="I3151" s="359">
        <f>-H3151*('DRE + DCF'!$V$33+K3151)/'DRE + DCF'!$V$33</f>
        <v>-90858.801614444121</v>
      </c>
      <c r="J3151" s="359">
        <f>-'DRE + DCF'!$V$56*L3151</f>
        <v>-1188924.4255577971</v>
      </c>
      <c r="K3151" s="360">
        <f>(1+L3151)/(1+Ke!$O$12)-1</f>
        <v>2.0000000000000018E-2</v>
      </c>
      <c r="L3151" s="360">
        <f>'DRE + DCF'!$Y$31</f>
        <v>7.3550000000000004E-2</v>
      </c>
      <c r="M3151" s="361">
        <f>(1+D3151)^((5-Dashboard!$F$9)*3/12)</f>
        <v>1.2786653521433384</v>
      </c>
      <c r="N3151" s="361">
        <f t="shared" ref="N3151:V3151" si="3238">M3151*(1+$D3151)</f>
        <v>1.7745957089720972</v>
      </c>
      <c r="O3151" s="361">
        <f t="shared" si="3238"/>
        <v>2.4628726546968762</v>
      </c>
      <c r="P3151" s="361">
        <f t="shared" si="3238"/>
        <v>3.4180978138209919</v>
      </c>
      <c r="Q3151" s="361">
        <f t="shared" si="3238"/>
        <v>4.7438070509113697</v>
      </c>
      <c r="R3151" s="361">
        <f t="shared" si="3238"/>
        <v>6.5836926156072142</v>
      </c>
      <c r="S3151" s="361">
        <f t="shared" si="3238"/>
        <v>9.1371777965702918</v>
      </c>
      <c r="T3151" s="361">
        <f t="shared" si="3238"/>
        <v>12.681032204969828</v>
      </c>
      <c r="U3151" s="361">
        <f t="shared" si="3238"/>
        <v>17.599370545667028</v>
      </c>
      <c r="V3151" s="362">
        <f t="shared" si="3238"/>
        <v>24.425286411803501</v>
      </c>
      <c r="X3151" s="351"/>
    </row>
    <row r="3152" spans="3:24" ht="24.75" customHeight="1" x14ac:dyDescent="0.3">
      <c r="C3152" s="353">
        <f>ABS(E3152-Dashboard!$F$14)</f>
        <v>60.532948215463065</v>
      </c>
      <c r="D3152" s="350">
        <f t="shared" si="3237"/>
        <v>0.38794999999997254</v>
      </c>
      <c r="E3152" s="359" cm="1">
        <f t="array" ref="E3152">1000*SUM('DRE + DCF'!$L$36/M3152,'DRE + DCF'!$N$36:$V$36/N3152:V3152,F3152/V3152)/Dashboard!$F$11</f>
        <v>36.45705178453693</v>
      </c>
      <c r="F3152" s="359">
        <f t="shared" si="3235"/>
        <v>6582138.4005161244</v>
      </c>
      <c r="G3152" s="359">
        <f>'DRE + DCF'!$W$31</f>
        <v>2791623.3540418856</v>
      </c>
      <c r="H3152" s="359">
        <f>'DRE + DCF'!$W$32</f>
        <v>81081.931703745853</v>
      </c>
      <c r="I3152" s="359">
        <f>-H3152*('DRE + DCF'!$V$33+K3152)/'DRE + DCF'!$V$33</f>
        <v>-90858.801614444121</v>
      </c>
      <c r="J3152" s="359">
        <f>-'DRE + DCF'!$V$56*L3152</f>
        <v>-1188924.4255577971</v>
      </c>
      <c r="K3152" s="360">
        <f>(1+L3152)/(1+Ke!$O$12)-1</f>
        <v>2.0000000000000018E-2</v>
      </c>
      <c r="L3152" s="360">
        <f>'DRE + DCF'!$Y$31</f>
        <v>7.3550000000000004E-2</v>
      </c>
      <c r="M3152" s="361">
        <f>(1+D3152)^((5-Dashboard!$F$9)*3/12)</f>
        <v>1.2787344511365233</v>
      </c>
      <c r="N3152" s="361">
        <f t="shared" ref="N3152:V3152" si="3239">M3152*(1+$D3152)</f>
        <v>1.7748194814549023</v>
      </c>
      <c r="O3152" s="361">
        <f t="shared" si="3239"/>
        <v>2.4633606992852828</v>
      </c>
      <c r="P3152" s="361">
        <f t="shared" si="3239"/>
        <v>3.4190214825729406</v>
      </c>
      <c r="Q3152" s="361">
        <f t="shared" si="3239"/>
        <v>4.7454308667370189</v>
      </c>
      <c r="R3152" s="361">
        <f t="shared" si="3239"/>
        <v>6.5864207714875151</v>
      </c>
      <c r="S3152" s="361">
        <f t="shared" si="3239"/>
        <v>9.1416227097859153</v>
      </c>
      <c r="T3152" s="361">
        <f t="shared" si="3239"/>
        <v>12.688115240047109</v>
      </c>
      <c r="U3152" s="361">
        <f t="shared" si="3239"/>
        <v>17.610469547423037</v>
      </c>
      <c r="V3152" s="362">
        <f t="shared" si="3239"/>
        <v>24.442451208345318</v>
      </c>
      <c r="X3152" s="351"/>
    </row>
    <row r="3153" spans="3:24" ht="24.75" customHeight="1" x14ac:dyDescent="0.3">
      <c r="C3153" s="353">
        <f>ABS(E3153-Dashboard!$F$14)</f>
        <v>60.546671976161079</v>
      </c>
      <c r="D3153" s="350">
        <f t="shared" si="3237"/>
        <v>0.38804999999997253</v>
      </c>
      <c r="E3153" s="359" cm="1">
        <f t="array" ref="E3153">1000*SUM('DRE + DCF'!$L$36/M3153,'DRE + DCF'!$N$36:$V$36/N3153:V3153,F3153/V3153)/Dashboard!$F$11</f>
        <v>36.443328023838916</v>
      </c>
      <c r="F3153" s="359">
        <f t="shared" si="3235"/>
        <v>6580278.2918069232</v>
      </c>
      <c r="G3153" s="359">
        <f>'DRE + DCF'!$W$31</f>
        <v>2791623.3540418856</v>
      </c>
      <c r="H3153" s="359">
        <f>'DRE + DCF'!$W$32</f>
        <v>81081.931703745853</v>
      </c>
      <c r="I3153" s="359">
        <f>-H3153*('DRE + DCF'!$V$33+K3153)/'DRE + DCF'!$V$33</f>
        <v>-90858.801614444121</v>
      </c>
      <c r="J3153" s="359">
        <f>-'DRE + DCF'!$V$56*L3153</f>
        <v>-1188924.4255577971</v>
      </c>
      <c r="K3153" s="360">
        <f>(1+L3153)/(1+Ke!$O$12)-1</f>
        <v>2.0000000000000018E-2</v>
      </c>
      <c r="L3153" s="360">
        <f>'DRE + DCF'!$Y$31</f>
        <v>7.3550000000000004E-2</v>
      </c>
      <c r="M3153" s="361">
        <f>(1+D3153)^((5-Dashboard!$F$9)*3/12)</f>
        <v>1.278803548885096</v>
      </c>
      <c r="N3153" s="361">
        <f t="shared" ref="N3153:V3153" si="3240">M3153*(1+$D3153)</f>
        <v>1.7750432660299222</v>
      </c>
      <c r="O3153" s="361">
        <f t="shared" si="3240"/>
        <v>2.4638488054127845</v>
      </c>
      <c r="P3153" s="361">
        <f t="shared" si="3240"/>
        <v>3.4199453343531476</v>
      </c>
      <c r="Q3153" s="361">
        <f t="shared" si="3240"/>
        <v>4.7470551213487928</v>
      </c>
      <c r="R3153" s="361">
        <f t="shared" si="3240"/>
        <v>6.5891498611880612</v>
      </c>
      <c r="S3153" s="361">
        <f t="shared" si="3240"/>
        <v>9.1460694648219079</v>
      </c>
      <c r="T3153" s="361">
        <f t="shared" si="3240"/>
        <v>12.695201720645798</v>
      </c>
      <c r="U3153" s="361">
        <f t="shared" si="3240"/>
        <v>17.621574748342052</v>
      </c>
      <c r="V3153" s="362">
        <f t="shared" si="3240"/>
        <v>24.459626829435699</v>
      </c>
      <c r="X3153" s="351"/>
    </row>
    <row r="3154" spans="3:24" ht="24.75" customHeight="1" x14ac:dyDescent="0.3">
      <c r="C3154" s="353">
        <f>ABS(E3154-Dashboard!$F$14)</f>
        <v>60.560386169322008</v>
      </c>
      <c r="D3154" s="350">
        <f t="shared" si="3237"/>
        <v>0.38814999999997252</v>
      </c>
      <c r="E3154" s="359" cm="1">
        <f t="array" ref="E3154">1000*SUM('DRE + DCF'!$L$36/M3154,'DRE + DCF'!$N$36:$V$36/N3154:V3154,F3154/V3154)/Dashboard!$F$11</f>
        <v>36.429613830677987</v>
      </c>
      <c r="F3154" s="359">
        <f t="shared" si="3235"/>
        <v>6578419.2457149848</v>
      </c>
      <c r="G3154" s="359">
        <f>'DRE + DCF'!$W$31</f>
        <v>2791623.3540418856</v>
      </c>
      <c r="H3154" s="359">
        <f>'DRE + DCF'!$W$32</f>
        <v>81081.931703745853</v>
      </c>
      <c r="I3154" s="359">
        <f>-H3154*('DRE + DCF'!$V$33+K3154)/'DRE + DCF'!$V$33</f>
        <v>-90858.801614444121</v>
      </c>
      <c r="J3154" s="359">
        <f>-'DRE + DCF'!$V$56*L3154</f>
        <v>-1188924.4255577971</v>
      </c>
      <c r="K3154" s="360">
        <f>(1+L3154)/(1+Ke!$O$12)-1</f>
        <v>2.0000000000000018E-2</v>
      </c>
      <c r="L3154" s="360">
        <f>'DRE + DCF'!$Y$31</f>
        <v>7.3550000000000004E-2</v>
      </c>
      <c r="M3154" s="361">
        <f>(1+D3154)^((5-Dashboard!$F$9)*3/12)</f>
        <v>1.2788726453891688</v>
      </c>
      <c r="N3154" s="361">
        <f t="shared" ref="N3154:V3154" si="3241">M3154*(1+$D3154)</f>
        <v>1.7752670626969393</v>
      </c>
      <c r="O3154" s="361">
        <f t="shared" si="3241"/>
        <v>2.4643369730827076</v>
      </c>
      <c r="P3154" s="361">
        <f t="shared" si="3241"/>
        <v>3.4208693691846928</v>
      </c>
      <c r="Q3154" s="361">
        <f t="shared" si="3241"/>
        <v>4.7486798148336371</v>
      </c>
      <c r="R3154" s="361">
        <f t="shared" si="3241"/>
        <v>6.5918798849611822</v>
      </c>
      <c r="S3154" s="361">
        <f t="shared" si="3241"/>
        <v>9.1505180623086844</v>
      </c>
      <c r="T3154" s="361">
        <f t="shared" si="3241"/>
        <v>12.702291648193548</v>
      </c>
      <c r="U3154" s="361">
        <f t="shared" si="3241"/>
        <v>17.632686151439522</v>
      </c>
      <c r="V3154" s="362">
        <f t="shared" si="3241"/>
        <v>24.476813281120286</v>
      </c>
      <c r="X3154" s="351"/>
    </row>
    <row r="3155" spans="3:24" ht="24.75" customHeight="1" x14ac:dyDescent="0.3">
      <c r="C3155" s="353">
        <f>ABS(E3155-Dashboard!$F$14)</f>
        <v>60.574090804297541</v>
      </c>
      <c r="D3155" s="350">
        <f t="shared" si="3237"/>
        <v>0.38824999999997251</v>
      </c>
      <c r="E3155" s="359" cm="1">
        <f t="array" ref="E3155">1000*SUM('DRE + DCF'!$L$36/M3155,'DRE + DCF'!$N$36:$V$36/N3155:V3155,F3155/V3155)/Dashboard!$F$11</f>
        <v>36.415909195702454</v>
      </c>
      <c r="F3155" s="359">
        <f t="shared" si="3235"/>
        <v>6576561.2613199558</v>
      </c>
      <c r="G3155" s="359">
        <f>'DRE + DCF'!$W$31</f>
        <v>2791623.3540418856</v>
      </c>
      <c r="H3155" s="359">
        <f>'DRE + DCF'!$W$32</f>
        <v>81081.931703745853</v>
      </c>
      <c r="I3155" s="359">
        <f>-H3155*('DRE + DCF'!$V$33+K3155)/'DRE + DCF'!$V$33</f>
        <v>-90858.801614444121</v>
      </c>
      <c r="J3155" s="359">
        <f>-'DRE + DCF'!$V$56*L3155</f>
        <v>-1188924.4255577971</v>
      </c>
      <c r="K3155" s="360">
        <f>(1+L3155)/(1+Ke!$O$12)-1</f>
        <v>2.0000000000000018E-2</v>
      </c>
      <c r="L3155" s="360">
        <f>'DRE + DCF'!$Y$31</f>
        <v>7.3550000000000004E-2</v>
      </c>
      <c r="M3155" s="361">
        <f>(1+D3155)^((5-Dashboard!$F$9)*3/12)</f>
        <v>1.2789417406488537</v>
      </c>
      <c r="N3155" s="361">
        <f t="shared" ref="N3155:V3155" si="3242">M3155*(1+$D3155)</f>
        <v>1.7754908714557358</v>
      </c>
      <c r="O3155" s="361">
        <f t="shared" si="3242"/>
        <v>2.4648252022983765</v>
      </c>
      <c r="P3155" s="361">
        <f t="shared" si="3242"/>
        <v>3.4217935870906535</v>
      </c>
      <c r="Q3155" s="361">
        <f t="shared" si="3242"/>
        <v>4.7503049472785053</v>
      </c>
      <c r="R3155" s="361">
        <f t="shared" si="3242"/>
        <v>6.5946108430592538</v>
      </c>
      <c r="S3155" s="361">
        <f t="shared" si="3242"/>
        <v>9.1549685028768266</v>
      </c>
      <c r="T3155" s="361">
        <f t="shared" si="3242"/>
        <v>12.709385024118502</v>
      </c>
      <c r="U3155" s="361">
        <f t="shared" si="3242"/>
        <v>17.643803759732162</v>
      </c>
      <c r="V3155" s="362">
        <f t="shared" si="3242"/>
        <v>24.494010569447688</v>
      </c>
      <c r="X3155" s="351"/>
    </row>
    <row r="3156" spans="3:24" ht="24.75" customHeight="1" x14ac:dyDescent="0.3">
      <c r="C3156" s="353">
        <f>ABS(E3156-Dashboard!$F$14)</f>
        <v>60.587785890427725</v>
      </c>
      <c r="D3156" s="350">
        <f t="shared" si="3237"/>
        <v>0.38834999999997249</v>
      </c>
      <c r="E3156" s="359" cm="1">
        <f t="array" ref="E3156">1000*SUM('DRE + DCF'!$L$36/M3156,'DRE + DCF'!$N$36:$V$36/N3156:V3156,F3156/V3156)/Dashboard!$F$11</f>
        <v>36.40221410957227</v>
      </c>
      <c r="F3156" s="359">
        <f t="shared" si="3235"/>
        <v>6574704.3377025444</v>
      </c>
      <c r="G3156" s="359">
        <f>'DRE + DCF'!$W$31</f>
        <v>2791623.3540418856</v>
      </c>
      <c r="H3156" s="359">
        <f>'DRE + DCF'!$W$32</f>
        <v>81081.931703745853</v>
      </c>
      <c r="I3156" s="359">
        <f>-H3156*('DRE + DCF'!$V$33+K3156)/'DRE + DCF'!$V$33</f>
        <v>-90858.801614444121</v>
      </c>
      <c r="J3156" s="359">
        <f>-'DRE + DCF'!$V$56*L3156</f>
        <v>-1188924.4255577971</v>
      </c>
      <c r="K3156" s="360">
        <f>(1+L3156)/(1+Ke!$O$12)-1</f>
        <v>2.0000000000000018E-2</v>
      </c>
      <c r="L3156" s="360">
        <f>'DRE + DCF'!$Y$31</f>
        <v>7.3550000000000004E-2</v>
      </c>
      <c r="M3156" s="361">
        <f>(1+D3156)^((5-Dashboard!$F$9)*3/12)</f>
        <v>1.2790108346642628</v>
      </c>
      <c r="N3156" s="361">
        <f t="shared" ref="N3156:V3156" si="3243">M3156*(1+$D3156)</f>
        <v>1.775714692306094</v>
      </c>
      <c r="O3156" s="361">
        <f t="shared" si="3243"/>
        <v>2.4653134930631166</v>
      </c>
      <c r="P3156" s="361">
        <f t="shared" si="3243"/>
        <v>3.4227179880941101</v>
      </c>
      <c r="Q3156" s="361">
        <f t="shared" si="3243"/>
        <v>4.7519305187703633</v>
      </c>
      <c r="R3156" s="361">
        <f t="shared" si="3243"/>
        <v>6.5973427357347028</v>
      </c>
      <c r="S3156" s="361">
        <f t="shared" si="3243"/>
        <v>9.1594207871570923</v>
      </c>
      <c r="T3156" s="361">
        <f t="shared" si="3243"/>
        <v>12.716481849849297</v>
      </c>
      <c r="U3156" s="361">
        <f t="shared" si="3243"/>
        <v>17.65492757623792</v>
      </c>
      <c r="V3156" s="362">
        <f t="shared" si="3243"/>
        <v>24.511218700469431</v>
      </c>
      <c r="X3156" s="351"/>
    </row>
    <row r="3157" spans="3:24" ht="24.75" customHeight="1" x14ac:dyDescent="0.3">
      <c r="C3157" s="353">
        <f>ABS(E3157-Dashboard!$F$14)</f>
        <v>60.601471437040985</v>
      </c>
      <c r="D3157" s="350">
        <f t="shared" si="3237"/>
        <v>0.38844999999997248</v>
      </c>
      <c r="E3157" s="359" cm="1">
        <f t="array" ref="E3157">1000*SUM('DRE + DCF'!$L$36/M3157,'DRE + DCF'!$N$36:$V$36/N3157:V3157,F3157/V3157)/Dashboard!$F$11</f>
        <v>36.38852856295901</v>
      </c>
      <c r="F3157" s="359">
        <f t="shared" si="3235"/>
        <v>6572848.4739445401</v>
      </c>
      <c r="G3157" s="359">
        <f>'DRE + DCF'!$W$31</f>
        <v>2791623.3540418856</v>
      </c>
      <c r="H3157" s="359">
        <f>'DRE + DCF'!$W$32</f>
        <v>81081.931703745853</v>
      </c>
      <c r="I3157" s="359">
        <f>-H3157*('DRE + DCF'!$V$33+K3157)/'DRE + DCF'!$V$33</f>
        <v>-90858.801614444121</v>
      </c>
      <c r="J3157" s="359">
        <f>-'DRE + DCF'!$V$56*L3157</f>
        <v>-1188924.4255577971</v>
      </c>
      <c r="K3157" s="360">
        <f>(1+L3157)/(1+Ke!$O$12)-1</f>
        <v>2.0000000000000018E-2</v>
      </c>
      <c r="L3157" s="360">
        <f>'DRE + DCF'!$Y$31</f>
        <v>7.3550000000000004E-2</v>
      </c>
      <c r="M3157" s="361">
        <f>(1+D3157)^((5-Dashboard!$F$9)*3/12)</f>
        <v>1.279079927435508</v>
      </c>
      <c r="N3157" s="361">
        <f t="shared" ref="N3157:V3157" si="3244">M3157*(1+$D3157)</f>
        <v>1.7759385252477959</v>
      </c>
      <c r="O3157" s="361">
        <f t="shared" si="3244"/>
        <v>2.4658018453802533</v>
      </c>
      <c r="P3157" s="361">
        <f t="shared" si="3244"/>
        <v>3.4236425722181445</v>
      </c>
      <c r="Q3157" s="361">
        <f t="shared" si="3244"/>
        <v>4.7535565293961879</v>
      </c>
      <c r="R3157" s="361">
        <f t="shared" si="3244"/>
        <v>6.6000755632400061</v>
      </c>
      <c r="S3157" s="361">
        <f t="shared" si="3244"/>
        <v>9.1638749157804043</v>
      </c>
      <c r="T3157" s="361">
        <f t="shared" si="3244"/>
        <v>12.72358212681505</v>
      </c>
      <c r="U3157" s="361">
        <f t="shared" si="3244"/>
        <v>17.666057603976004</v>
      </c>
      <c r="V3157" s="362">
        <f t="shared" si="3244"/>
        <v>24.528437680239996</v>
      </c>
      <c r="X3157" s="351"/>
    </row>
    <row r="3158" spans="3:24" ht="24.75" customHeight="1" x14ac:dyDescent="0.3">
      <c r="C3158" s="353">
        <f>ABS(E3158-Dashboard!$F$14)</f>
        <v>60.615147453454163</v>
      </c>
      <c r="D3158" s="350">
        <f t="shared" si="3237"/>
        <v>0.38854999999997247</v>
      </c>
      <c r="E3158" s="359" cm="1">
        <f t="array" ref="E3158">1000*SUM('DRE + DCF'!$L$36/M3158,'DRE + DCF'!$N$36:$V$36/N3158:V3158,F3158/V3158)/Dashboard!$F$11</f>
        <v>36.374852546545831</v>
      </c>
      <c r="F3158" s="359">
        <f t="shared" si="3235"/>
        <v>6570993.6691288017</v>
      </c>
      <c r="G3158" s="359">
        <f>'DRE + DCF'!$W$31</f>
        <v>2791623.3540418856</v>
      </c>
      <c r="H3158" s="359">
        <f>'DRE + DCF'!$W$32</f>
        <v>81081.931703745853</v>
      </c>
      <c r="I3158" s="359">
        <f>-H3158*('DRE + DCF'!$V$33+K3158)/'DRE + DCF'!$V$33</f>
        <v>-90858.801614444121</v>
      </c>
      <c r="J3158" s="359">
        <f>-'DRE + DCF'!$V$56*L3158</f>
        <v>-1188924.4255577971</v>
      </c>
      <c r="K3158" s="360">
        <f>(1+L3158)/(1+Ke!$O$12)-1</f>
        <v>2.0000000000000018E-2</v>
      </c>
      <c r="L3158" s="360">
        <f>'DRE + DCF'!$Y$31</f>
        <v>7.3550000000000004E-2</v>
      </c>
      <c r="M3158" s="361">
        <f>(1+D3158)^((5-Dashboard!$F$9)*3/12)</f>
        <v>1.2791490189627013</v>
      </c>
      <c r="N3158" s="361">
        <f t="shared" ref="N3158:V3158" si="3245">M3158*(1+$D3158)</f>
        <v>1.7761623702806235</v>
      </c>
      <c r="O3158" s="361">
        <f t="shared" si="3245"/>
        <v>2.4662902592531109</v>
      </c>
      <c r="P3158" s="361">
        <f t="shared" si="3245"/>
        <v>3.4245673394858391</v>
      </c>
      <c r="Q3158" s="361">
        <f t="shared" si="3245"/>
        <v>4.7551829792429672</v>
      </c>
      <c r="R3158" s="361">
        <f t="shared" si="3245"/>
        <v>6.6028093258276908</v>
      </c>
      <c r="S3158" s="361">
        <f t="shared" si="3245"/>
        <v>9.1683308893778577</v>
      </c>
      <c r="T3158" s="361">
        <f t="shared" si="3245"/>
        <v>12.730685856445371</v>
      </c>
      <c r="U3158" s="361">
        <f t="shared" si="3245"/>
        <v>17.677193845966869</v>
      </c>
      <c r="V3158" s="362">
        <f t="shared" si="3245"/>
        <v>24.54566751481681</v>
      </c>
      <c r="X3158" s="351"/>
    </row>
    <row r="3159" spans="3:24" ht="24.75" customHeight="1" x14ac:dyDescent="0.3">
      <c r="C3159" s="353">
        <f>ABS(E3159-Dashboard!$F$14)</f>
        <v>60.628813948972507</v>
      </c>
      <c r="D3159" s="350">
        <f t="shared" si="3237"/>
        <v>0.38864999999997246</v>
      </c>
      <c r="E3159" s="359" cm="1">
        <f t="array" ref="E3159">1000*SUM('DRE + DCF'!$L$36/M3159,'DRE + DCF'!$N$36:$V$36/N3159:V3159,F3159/V3159)/Dashboard!$F$11</f>
        <v>36.361186051027488</v>
      </c>
      <c r="F3159" s="359">
        <f t="shared" si="3235"/>
        <v>6569139.9223392541</v>
      </c>
      <c r="G3159" s="359">
        <f>'DRE + DCF'!$W$31</f>
        <v>2791623.3540418856</v>
      </c>
      <c r="H3159" s="359">
        <f>'DRE + DCF'!$W$32</f>
        <v>81081.931703745853</v>
      </c>
      <c r="I3159" s="359">
        <f>-H3159*('DRE + DCF'!$V$33+K3159)/'DRE + DCF'!$V$33</f>
        <v>-90858.801614444121</v>
      </c>
      <c r="J3159" s="359">
        <f>-'DRE + DCF'!$V$56*L3159</f>
        <v>-1188924.4255577971</v>
      </c>
      <c r="K3159" s="360">
        <f>(1+L3159)/(1+Ke!$O$12)-1</f>
        <v>2.0000000000000018E-2</v>
      </c>
      <c r="L3159" s="360">
        <f>'DRE + DCF'!$Y$31</f>
        <v>7.3550000000000004E-2</v>
      </c>
      <c r="M3159" s="361">
        <f>(1+D3159)^((5-Dashboard!$F$9)*3/12)</f>
        <v>1.2792181092459549</v>
      </c>
      <c r="N3159" s="361">
        <f t="shared" ref="N3159:V3159" si="3246">M3159*(1+$D3159)</f>
        <v>1.77638622740436</v>
      </c>
      <c r="O3159" s="361">
        <f t="shared" si="3246"/>
        <v>2.4667787346850156</v>
      </c>
      <c r="P3159" s="361">
        <f t="shared" si="3246"/>
        <v>3.4254922899202791</v>
      </c>
      <c r="Q3159" s="361">
        <f t="shared" si="3246"/>
        <v>4.7568098683977009</v>
      </c>
      <c r="R3159" s="361">
        <f t="shared" si="3246"/>
        <v>6.605544023750336</v>
      </c>
      <c r="S3159" s="361">
        <f t="shared" si="3246"/>
        <v>9.1727887085807218</v>
      </c>
      <c r="T3159" s="361">
        <f t="shared" si="3246"/>
        <v>12.737793040170367</v>
      </c>
      <c r="U3159" s="361">
        <f t="shared" si="3246"/>
        <v>17.688336305232227</v>
      </c>
      <c r="V3159" s="362">
        <f t="shared" si="3246"/>
        <v>24.562908210260243</v>
      </c>
      <c r="X3159" s="351"/>
    </row>
    <row r="3160" spans="3:24" ht="24.75" customHeight="1" x14ac:dyDescent="0.3">
      <c r="C3160" s="353">
        <f>ABS(E3160-Dashboard!$F$14)</f>
        <v>60.642470932889708</v>
      </c>
      <c r="D3160" s="350">
        <f t="shared" si="3237"/>
        <v>0.38874999999997245</v>
      </c>
      <c r="E3160" s="359" cm="1">
        <f t="array" ref="E3160">1000*SUM('DRE + DCF'!$L$36/M3160,'DRE + DCF'!$N$36:$V$36/N3160:V3160,F3160/V3160)/Dashboard!$F$11</f>
        <v>36.347529067110287</v>
      </c>
      <c r="F3160" s="359">
        <f t="shared" si="3235"/>
        <v>6567287.2326608943</v>
      </c>
      <c r="G3160" s="359">
        <f>'DRE + DCF'!$W$31</f>
        <v>2791623.3540418856</v>
      </c>
      <c r="H3160" s="359">
        <f>'DRE + DCF'!$W$32</f>
        <v>81081.931703745853</v>
      </c>
      <c r="I3160" s="359">
        <f>-H3160*('DRE + DCF'!$V$33+K3160)/'DRE + DCF'!$V$33</f>
        <v>-90858.801614444121</v>
      </c>
      <c r="J3160" s="359">
        <f>-'DRE + DCF'!$V$56*L3160</f>
        <v>-1188924.4255577971</v>
      </c>
      <c r="K3160" s="360">
        <f>(1+L3160)/(1+Ke!$O$12)-1</f>
        <v>2.0000000000000018E-2</v>
      </c>
      <c r="L3160" s="360">
        <f>'DRE + DCF'!$Y$31</f>
        <v>7.3550000000000004E-2</v>
      </c>
      <c r="M3160" s="361">
        <f>(1+D3160)^((5-Dashboard!$F$9)*3/12)</f>
        <v>1.2792871982853806</v>
      </c>
      <c r="N3160" s="361">
        <f t="shared" ref="N3160:V3160" si="3247">M3160*(1+$D3160)</f>
        <v>1.776610096618787</v>
      </c>
      <c r="O3160" s="361">
        <f t="shared" si="3247"/>
        <v>2.4672672716792916</v>
      </c>
      <c r="P3160" s="361">
        <f t="shared" si="3247"/>
        <v>3.4264174235445481</v>
      </c>
      <c r="Q3160" s="361">
        <f t="shared" si="3247"/>
        <v>4.7584371969473969</v>
      </c>
      <c r="R3160" s="361">
        <f t="shared" si="3247"/>
        <v>6.6082796572605664</v>
      </c>
      <c r="S3160" s="361">
        <f t="shared" si="3247"/>
        <v>9.1772483740204294</v>
      </c>
      <c r="T3160" s="361">
        <f t="shared" si="3247"/>
        <v>12.744903679420618</v>
      </c>
      <c r="U3160" s="361">
        <f t="shared" si="3247"/>
        <v>17.699484984795031</v>
      </c>
      <c r="V3160" s="362">
        <f t="shared" si="3247"/>
        <v>24.580159772633611</v>
      </c>
      <c r="X3160" s="351"/>
    </row>
    <row r="3161" spans="3:24" ht="24.75" customHeight="1" x14ac:dyDescent="0.3">
      <c r="C3161" s="353">
        <f>ABS(E3161-Dashboard!$F$14)</f>
        <v>60.656118414487899</v>
      </c>
      <c r="D3161" s="350">
        <f t="shared" si="3237"/>
        <v>0.38884999999997244</v>
      </c>
      <c r="E3161" s="359" cm="1">
        <f t="array" ref="E3161">1000*SUM('DRE + DCF'!$L$36/M3161,'DRE + DCF'!$N$36:$V$36/N3161:V3161,F3161/V3161)/Dashboard!$F$11</f>
        <v>36.333881585512096</v>
      </c>
      <c r="F3161" s="359">
        <f t="shared" si="3235"/>
        <v>6565435.599179782</v>
      </c>
      <c r="G3161" s="359">
        <f>'DRE + DCF'!$W$31</f>
        <v>2791623.3540418856</v>
      </c>
      <c r="H3161" s="359">
        <f>'DRE + DCF'!$W$32</f>
        <v>81081.931703745853</v>
      </c>
      <c r="I3161" s="359">
        <f>-H3161*('DRE + DCF'!$V$33+K3161)/'DRE + DCF'!$V$33</f>
        <v>-90858.801614444121</v>
      </c>
      <c r="J3161" s="359">
        <f>-'DRE + DCF'!$V$56*L3161</f>
        <v>-1188924.4255577971</v>
      </c>
      <c r="K3161" s="360">
        <f>(1+L3161)/(1+Ke!$O$12)-1</f>
        <v>2.0000000000000018E-2</v>
      </c>
      <c r="L3161" s="360">
        <f>'DRE + DCF'!$Y$31</f>
        <v>7.3550000000000004E-2</v>
      </c>
      <c r="M3161" s="361">
        <f>(1+D3161)^((5-Dashboard!$F$9)*3/12)</f>
        <v>1.2793562860810905</v>
      </c>
      <c r="N3161" s="361">
        <f t="shared" ref="N3161:V3161" si="3248">M3161*(1+$D3161)</f>
        <v>1.7768339779236872</v>
      </c>
      <c r="O3161" s="361">
        <f t="shared" si="3248"/>
        <v>2.4677558702392641</v>
      </c>
      <c r="P3161" s="361">
        <f t="shared" si="3248"/>
        <v>3.427342740381734</v>
      </c>
      <c r="Q3161" s="361">
        <f t="shared" si="3248"/>
        <v>4.7600649649790769</v>
      </c>
      <c r="R3161" s="361">
        <f t="shared" si="3248"/>
        <v>6.6110162266110599</v>
      </c>
      <c r="S3161" s="361">
        <f t="shared" si="3248"/>
        <v>9.1817098863285889</v>
      </c>
      <c r="T3161" s="361">
        <f t="shared" si="3248"/>
        <v>12.752017775627207</v>
      </c>
      <c r="U3161" s="361">
        <f t="shared" si="3248"/>
        <v>17.710639887679495</v>
      </c>
      <c r="V3161" s="362">
        <f t="shared" si="3248"/>
        <v>24.597422208003177</v>
      </c>
      <c r="X3161" s="351"/>
    </row>
    <row r="3162" spans="3:24" ht="24.75" customHeight="1" x14ac:dyDescent="0.3">
      <c r="C3162" s="353">
        <f>ABS(E3162-Dashboard!$F$14)</f>
        <v>60.669756403037717</v>
      </c>
      <c r="D3162" s="350">
        <f t="shared" si="3237"/>
        <v>0.38894999999997243</v>
      </c>
      <c r="E3162" s="359" cm="1">
        <f t="array" ref="E3162">1000*SUM('DRE + DCF'!$L$36/M3162,'DRE + DCF'!$N$36:$V$36/N3162:V3162,F3162/V3162)/Dashboard!$F$11</f>
        <v>36.320243596962278</v>
      </c>
      <c r="F3162" s="359">
        <f t="shared" si="3235"/>
        <v>6563585.0209830441</v>
      </c>
      <c r="G3162" s="359">
        <f>'DRE + DCF'!$W$31</f>
        <v>2791623.3540418856</v>
      </c>
      <c r="H3162" s="359">
        <f>'DRE + DCF'!$W$32</f>
        <v>81081.931703745853</v>
      </c>
      <c r="I3162" s="359">
        <f>-H3162*('DRE + DCF'!$V$33+K3162)/'DRE + DCF'!$V$33</f>
        <v>-90858.801614444121</v>
      </c>
      <c r="J3162" s="359">
        <f>-'DRE + DCF'!$V$56*L3162</f>
        <v>-1188924.4255577971</v>
      </c>
      <c r="K3162" s="360">
        <f>(1+L3162)/(1+Ke!$O$12)-1</f>
        <v>2.0000000000000018E-2</v>
      </c>
      <c r="L3162" s="360">
        <f>'DRE + DCF'!$Y$31</f>
        <v>7.3550000000000004E-2</v>
      </c>
      <c r="M3162" s="361">
        <f>(1+D3162)^((5-Dashboard!$F$9)*3/12)</f>
        <v>1.2794253726331966</v>
      </c>
      <c r="N3162" s="361">
        <f t="shared" ref="N3162:V3162" si="3249">M3162*(1+$D3162)</f>
        <v>1.777057871318843</v>
      </c>
      <c r="O3162" s="361">
        <f t="shared" si="3249"/>
        <v>2.4682445303682576</v>
      </c>
      <c r="P3162" s="361">
        <f t="shared" si="3249"/>
        <v>3.4282682404549232</v>
      </c>
      <c r="Q3162" s="361">
        <f t="shared" si="3249"/>
        <v>4.7616931725797711</v>
      </c>
      <c r="R3162" s="361">
        <f t="shared" si="3249"/>
        <v>6.6137537320545414</v>
      </c>
      <c r="S3162" s="361">
        <f t="shared" si="3249"/>
        <v>9.1861732461369723</v>
      </c>
      <c r="T3162" s="361">
        <f t="shared" si="3249"/>
        <v>12.759135330221694</v>
      </c>
      <c r="U3162" s="361">
        <f t="shared" si="3249"/>
        <v>17.721801016911069</v>
      </c>
      <c r="V3162" s="362">
        <f t="shared" si="3249"/>
        <v>24.61469552243814</v>
      </c>
      <c r="X3162" s="351"/>
    </row>
    <row r="3163" spans="3:24" ht="24.75" customHeight="1" x14ac:dyDescent="0.3">
      <c r="C3163" s="353">
        <f>ABS(E3163-Dashboard!$F$14)</f>
        <v>60.683384907798221</v>
      </c>
      <c r="D3163" s="350">
        <f t="shared" si="3237"/>
        <v>0.38904999999997242</v>
      </c>
      <c r="E3163" s="359" cm="1">
        <f t="array" ref="E3163">1000*SUM('DRE + DCF'!$L$36/M3163,'DRE + DCF'!$N$36:$V$36/N3163:V3163,F3163/V3163)/Dashboard!$F$11</f>
        <v>36.306615092201774</v>
      </c>
      <c r="F3163" s="359">
        <f t="shared" si="3235"/>
        <v>6561735.4971588682</v>
      </c>
      <c r="G3163" s="359">
        <f>'DRE + DCF'!$W$31</f>
        <v>2791623.3540418856</v>
      </c>
      <c r="H3163" s="359">
        <f>'DRE + DCF'!$W$32</f>
        <v>81081.931703745853</v>
      </c>
      <c r="I3163" s="359">
        <f>-H3163*('DRE + DCF'!$V$33+K3163)/'DRE + DCF'!$V$33</f>
        <v>-90858.801614444121</v>
      </c>
      <c r="J3163" s="359">
        <f>-'DRE + DCF'!$V$56*L3163</f>
        <v>-1188924.4255577971</v>
      </c>
      <c r="K3163" s="360">
        <f>(1+L3163)/(1+Ke!$O$12)-1</f>
        <v>2.0000000000000018E-2</v>
      </c>
      <c r="L3163" s="360">
        <f>'DRE + DCF'!$Y$31</f>
        <v>7.3550000000000004E-2</v>
      </c>
      <c r="M3163" s="361">
        <f>(1+D3163)^((5-Dashboard!$F$9)*3/12)</f>
        <v>1.2794944579418104</v>
      </c>
      <c r="N3163" s="361">
        <f t="shared" ref="N3163:V3163" si="3250">M3163*(1+$D3163)</f>
        <v>1.7772817768040363</v>
      </c>
      <c r="O3163" s="361">
        <f t="shared" si="3250"/>
        <v>2.4687332520695975</v>
      </c>
      <c r="P3163" s="361">
        <f t="shared" si="3250"/>
        <v>3.429193923787206</v>
      </c>
      <c r="Q3163" s="361">
        <f t="shared" si="3250"/>
        <v>4.7633218198365235</v>
      </c>
      <c r="R3163" s="361">
        <f t="shared" si="3250"/>
        <v>6.616492173843791</v>
      </c>
      <c r="S3163" s="361">
        <f t="shared" si="3250"/>
        <v>9.1906384540775345</v>
      </c>
      <c r="T3163" s="361">
        <f t="shared" si="3250"/>
        <v>12.766256344636146</v>
      </c>
      <c r="U3163" s="361">
        <f t="shared" si="3250"/>
        <v>17.732968375516485</v>
      </c>
      <c r="V3163" s="362">
        <f t="shared" si="3250"/>
        <v>24.631979722010684</v>
      </c>
      <c r="X3163" s="351"/>
    </row>
    <row r="3164" spans="3:24" ht="24.75" customHeight="1" x14ac:dyDescent="0.3">
      <c r="C3164" s="353">
        <f>ABS(E3164-Dashboard!$F$14)</f>
        <v>60.697003938017062</v>
      </c>
      <c r="D3164" s="350">
        <f t="shared" si="3237"/>
        <v>0.38914999999997241</v>
      </c>
      <c r="E3164" s="359" cm="1">
        <f t="array" ref="E3164">1000*SUM('DRE + DCF'!$L$36/M3164,'DRE + DCF'!$N$36:$V$36/N3164:V3164,F3164/V3164)/Dashboard!$F$11</f>
        <v>36.292996061982933</v>
      </c>
      <c r="F3164" s="359">
        <f t="shared" si="3235"/>
        <v>6559887.0267965058</v>
      </c>
      <c r="G3164" s="359">
        <f>'DRE + DCF'!$W$31</f>
        <v>2791623.3540418856</v>
      </c>
      <c r="H3164" s="359">
        <f>'DRE + DCF'!$W$32</f>
        <v>81081.931703745853</v>
      </c>
      <c r="I3164" s="359">
        <f>-H3164*('DRE + DCF'!$V$33+K3164)/'DRE + DCF'!$V$33</f>
        <v>-90858.801614444121</v>
      </c>
      <c r="J3164" s="359">
        <f>-'DRE + DCF'!$V$56*L3164</f>
        <v>-1188924.4255577971</v>
      </c>
      <c r="K3164" s="360">
        <f>(1+L3164)/(1+Ke!$O$12)-1</f>
        <v>2.0000000000000018E-2</v>
      </c>
      <c r="L3164" s="360">
        <f>'DRE + DCF'!$Y$31</f>
        <v>7.3550000000000004E-2</v>
      </c>
      <c r="M3164" s="361">
        <f>(1+D3164)^((5-Dashboard!$F$9)*3/12)</f>
        <v>1.2795635420070441</v>
      </c>
      <c r="N3164" s="361">
        <f t="shared" ref="N3164:V3164" si="3251">M3164*(1+$D3164)</f>
        <v>1.7775056943790499</v>
      </c>
      <c r="O3164" s="361">
        <f t="shared" si="3251"/>
        <v>2.4692220353466081</v>
      </c>
      <c r="P3164" s="361">
        <f t="shared" si="3251"/>
        <v>3.4301197904016725</v>
      </c>
      <c r="Q3164" s="361">
        <f t="shared" si="3251"/>
        <v>4.7649509068363889</v>
      </c>
      <c r="R3164" s="361">
        <f t="shared" si="3251"/>
        <v>6.6192315522316383</v>
      </c>
      <c r="S3164" s="361">
        <f t="shared" si="3251"/>
        <v>9.1951055107823976</v>
      </c>
      <c r="T3164" s="361">
        <f t="shared" si="3251"/>
        <v>12.773380820303114</v>
      </c>
      <c r="U3164" s="361">
        <f t="shared" si="3251"/>
        <v>17.744141966523717</v>
      </c>
      <c r="V3164" s="362">
        <f t="shared" si="3251"/>
        <v>24.64927481279593</v>
      </c>
      <c r="X3164" s="351"/>
    </row>
    <row r="3165" spans="3:24" ht="24.75" customHeight="1" x14ac:dyDescent="0.3">
      <c r="C3165" s="353">
        <f>ABS(E3165-Dashboard!$F$14)</f>
        <v>60.71061350293035</v>
      </c>
      <c r="D3165" s="350">
        <f t="shared" si="3237"/>
        <v>0.3892499999999724</v>
      </c>
      <c r="E3165" s="359" cm="1">
        <f t="array" ref="E3165">1000*SUM('DRE + DCF'!$L$36/M3165,'DRE + DCF'!$N$36:$V$36/N3165:V3165,F3165/V3165)/Dashboard!$F$11</f>
        <v>36.279386497069645</v>
      </c>
      <c r="F3165" s="359">
        <f t="shared" si="3235"/>
        <v>6558039.6089862669</v>
      </c>
      <c r="G3165" s="359">
        <f>'DRE + DCF'!$W$31</f>
        <v>2791623.3540418856</v>
      </c>
      <c r="H3165" s="359">
        <f>'DRE + DCF'!$W$32</f>
        <v>81081.931703745853</v>
      </c>
      <c r="I3165" s="359">
        <f>-H3165*('DRE + DCF'!$V$33+K3165)/'DRE + DCF'!$V$33</f>
        <v>-90858.801614444121</v>
      </c>
      <c r="J3165" s="359">
        <f>-'DRE + DCF'!$V$56*L3165</f>
        <v>-1188924.4255577971</v>
      </c>
      <c r="K3165" s="360">
        <f>(1+L3165)/(1+Ke!$O$12)-1</f>
        <v>2.0000000000000018E-2</v>
      </c>
      <c r="L3165" s="360">
        <f>'DRE + DCF'!$Y$31</f>
        <v>7.3550000000000004E-2</v>
      </c>
      <c r="M3165" s="361">
        <f>(1+D3165)^((5-Dashboard!$F$9)*3/12)</f>
        <v>1.2796326248290097</v>
      </c>
      <c r="N3165" s="361">
        <f t="shared" ref="N3165:V3165" si="3252">M3165*(1+$D3165)</f>
        <v>1.7777296240436664</v>
      </c>
      <c r="O3165" s="361">
        <f t="shared" si="3252"/>
        <v>2.4697108802026144</v>
      </c>
      <c r="P3165" s="361">
        <f t="shared" si="3252"/>
        <v>3.4310458403214139</v>
      </c>
      <c r="Q3165" s="361">
        <f t="shared" si="3252"/>
        <v>4.7665804336664293</v>
      </c>
      <c r="R3165" s="361">
        <f t="shared" si="3252"/>
        <v>6.6219718674709549</v>
      </c>
      <c r="S3165" s="361">
        <f t="shared" si="3252"/>
        <v>9.1995744168838414</v>
      </c>
      <c r="T3165" s="361">
        <f t="shared" si="3252"/>
        <v>12.780508758655623</v>
      </c>
      <c r="U3165" s="361">
        <f t="shared" si="3252"/>
        <v>17.755321792961972</v>
      </c>
      <c r="V3165" s="362">
        <f t="shared" si="3252"/>
        <v>24.666580800871927</v>
      </c>
      <c r="X3165" s="351"/>
    </row>
    <row r="3166" spans="3:24" ht="24.75" customHeight="1" x14ac:dyDescent="0.3">
      <c r="C3166" s="353">
        <f>ABS(E3166-Dashboard!$F$14)</f>
        <v>60.724213611762757</v>
      </c>
      <c r="D3166" s="350">
        <f t="shared" si="3237"/>
        <v>0.38934999999997238</v>
      </c>
      <c r="E3166" s="359" cm="1">
        <f t="array" ref="E3166">1000*SUM('DRE + DCF'!$L$36/M3166,'DRE + DCF'!$N$36:$V$36/N3166:V3166,F3166/V3166)/Dashboard!$F$11</f>
        <v>36.265786388237238</v>
      </c>
      <c r="F3166" s="359">
        <f t="shared" si="3235"/>
        <v>6556193.2428195197</v>
      </c>
      <c r="G3166" s="359">
        <f>'DRE + DCF'!$W$31</f>
        <v>2791623.3540418856</v>
      </c>
      <c r="H3166" s="359">
        <f>'DRE + DCF'!$W$32</f>
        <v>81081.931703745853</v>
      </c>
      <c r="I3166" s="359">
        <f>-H3166*('DRE + DCF'!$V$33+K3166)/'DRE + DCF'!$V$33</f>
        <v>-90858.801614444121</v>
      </c>
      <c r="J3166" s="359">
        <f>-'DRE + DCF'!$V$56*L3166</f>
        <v>-1188924.4255577971</v>
      </c>
      <c r="K3166" s="360">
        <f>(1+L3166)/(1+Ke!$O$12)-1</f>
        <v>2.0000000000000018E-2</v>
      </c>
      <c r="L3166" s="360">
        <f>'DRE + DCF'!$Y$31</f>
        <v>7.3550000000000004E-2</v>
      </c>
      <c r="M3166" s="361">
        <f>(1+D3166)^((5-Dashboard!$F$9)*3/12)</f>
        <v>1.2797017064078187</v>
      </c>
      <c r="N3166" s="361">
        <f t="shared" ref="N3166:V3166" si="3253">M3166*(1+$D3166)</f>
        <v>1.7779535657976675</v>
      </c>
      <c r="O3166" s="361">
        <f t="shared" si="3253"/>
        <v>2.47019978664094</v>
      </c>
      <c r="P3166" s="361">
        <f t="shared" si="3253"/>
        <v>3.4319720735695216</v>
      </c>
      <c r="Q3166" s="361">
        <f t="shared" si="3253"/>
        <v>4.7682104004137198</v>
      </c>
      <c r="R3166" s="361">
        <f t="shared" si="3253"/>
        <v>6.62471311981467</v>
      </c>
      <c r="S3166" s="361">
        <f t="shared" si="3253"/>
        <v>9.2040451730143289</v>
      </c>
      <c r="T3166" s="361">
        <f t="shared" si="3253"/>
        <v>12.787640161127204</v>
      </c>
      <c r="U3166" s="361">
        <f t="shared" si="3253"/>
        <v>17.766507857861725</v>
      </c>
      <c r="V3166" s="362">
        <f t="shared" si="3253"/>
        <v>24.683897692319697</v>
      </c>
      <c r="X3166" s="351"/>
    </row>
    <row r="3167" spans="3:24" ht="24.75" customHeight="1" x14ac:dyDescent="0.3">
      <c r="C3167" s="353">
        <f>ABS(E3167-Dashboard!$F$14)</f>
        <v>60.737804273727505</v>
      </c>
      <c r="D3167" s="350">
        <f t="shared" si="3237"/>
        <v>0.38944999999997237</v>
      </c>
      <c r="E3167" s="359" cm="1">
        <f t="array" ref="E3167">1000*SUM('DRE + DCF'!$L$36/M3167,'DRE + DCF'!$N$36:$V$36/N3167:V3167,F3167/V3167)/Dashboard!$F$11</f>
        <v>36.25219572627249</v>
      </c>
      <c r="F3167" s="359">
        <f t="shared" si="3235"/>
        <v>6554347.9273886904</v>
      </c>
      <c r="G3167" s="359">
        <f>'DRE + DCF'!$W$31</f>
        <v>2791623.3540418856</v>
      </c>
      <c r="H3167" s="359">
        <f>'DRE + DCF'!$W$32</f>
        <v>81081.931703745853</v>
      </c>
      <c r="I3167" s="359">
        <f>-H3167*('DRE + DCF'!$V$33+K3167)/'DRE + DCF'!$V$33</f>
        <v>-90858.801614444121</v>
      </c>
      <c r="J3167" s="359">
        <f>-'DRE + DCF'!$V$56*L3167</f>
        <v>-1188924.4255577971</v>
      </c>
      <c r="K3167" s="360">
        <f>(1+L3167)/(1+Ke!$O$12)-1</f>
        <v>2.0000000000000018E-2</v>
      </c>
      <c r="L3167" s="360">
        <f>'DRE + DCF'!$Y$31</f>
        <v>7.3550000000000004E-2</v>
      </c>
      <c r="M3167" s="361">
        <f>(1+D3167)^((5-Dashboard!$F$9)*3/12)</f>
        <v>1.2797707867435832</v>
      </c>
      <c r="N3167" s="361">
        <f t="shared" ref="N3167:V3167" si="3254">M3167*(1+$D3167)</f>
        <v>1.7781775196408363</v>
      </c>
      <c r="O3167" s="361">
        <f t="shared" si="3254"/>
        <v>2.4706887546649106</v>
      </c>
      <c r="P3167" s="361">
        <f t="shared" si="3254"/>
        <v>3.4328984901690918</v>
      </c>
      <c r="Q3167" s="361">
        <f t="shared" si="3254"/>
        <v>4.7698408071653491</v>
      </c>
      <c r="R3167" s="361">
        <f t="shared" si="3254"/>
        <v>6.6274553095157627</v>
      </c>
      <c r="S3167" s="361">
        <f t="shared" si="3254"/>
        <v>9.2085177798064937</v>
      </c>
      <c r="T3167" s="361">
        <f t="shared" si="3254"/>
        <v>12.794775029151877</v>
      </c>
      <c r="U3167" s="361">
        <f t="shared" si="3254"/>
        <v>17.777700164254721</v>
      </c>
      <c r="V3167" s="362">
        <f t="shared" si="3254"/>
        <v>24.70122549322323</v>
      </c>
      <c r="X3167" s="351"/>
    </row>
    <row r="3168" spans="3:24" ht="24.75" customHeight="1" x14ac:dyDescent="0.3">
      <c r="C3168" s="353">
        <f>ABS(E3168-Dashboard!$F$14)</f>
        <v>60.751385498026416</v>
      </c>
      <c r="D3168" s="350">
        <f t="shared" si="3237"/>
        <v>0.38954999999997236</v>
      </c>
      <c r="E3168" s="359" cm="1">
        <f t="array" ref="E3168">1000*SUM('DRE + DCF'!$L$36/M3168,'DRE + DCF'!$N$36:$V$36/N3168:V3168,F3168/V3168)/Dashboard!$F$11</f>
        <v>36.238614501973579</v>
      </c>
      <c r="F3168" s="359">
        <f t="shared" si="3235"/>
        <v>6552503.6617872585</v>
      </c>
      <c r="G3168" s="359">
        <f>'DRE + DCF'!$W$31</f>
        <v>2791623.3540418856</v>
      </c>
      <c r="H3168" s="359">
        <f>'DRE + DCF'!$W$32</f>
        <v>81081.931703745853</v>
      </c>
      <c r="I3168" s="359">
        <f>-H3168*('DRE + DCF'!$V$33+K3168)/'DRE + DCF'!$V$33</f>
        <v>-90858.801614444121</v>
      </c>
      <c r="J3168" s="359">
        <f>-'DRE + DCF'!$V$56*L3168</f>
        <v>-1188924.4255577971</v>
      </c>
      <c r="K3168" s="360">
        <f>(1+L3168)/(1+Ke!$O$12)-1</f>
        <v>2.0000000000000018E-2</v>
      </c>
      <c r="L3168" s="360">
        <f>'DRE + DCF'!$Y$31</f>
        <v>7.3550000000000004E-2</v>
      </c>
      <c r="M3168" s="361">
        <f>(1+D3168)^((5-Dashboard!$F$9)*3/12)</f>
        <v>1.2798398658364152</v>
      </c>
      <c r="N3168" s="361">
        <f t="shared" ref="N3168:V3168" si="3255">M3168*(1+$D3168)</f>
        <v>1.7784014855729553</v>
      </c>
      <c r="O3168" s="361">
        <f t="shared" si="3255"/>
        <v>2.4711777842778506</v>
      </c>
      <c r="P3168" s="361">
        <f t="shared" si="3255"/>
        <v>3.4338250901432188</v>
      </c>
      <c r="Q3168" s="361">
        <f t="shared" si="3255"/>
        <v>4.7714716540084146</v>
      </c>
      <c r="R3168" s="361">
        <f t="shared" si="3255"/>
        <v>6.6301984368272606</v>
      </c>
      <c r="S3168" s="361">
        <f t="shared" si="3255"/>
        <v>9.2129922378931361</v>
      </c>
      <c r="T3168" s="361">
        <f t="shared" si="3255"/>
        <v>12.801913364164152</v>
      </c>
      <c r="U3168" s="361">
        <f t="shared" si="3255"/>
        <v>17.788898715173943</v>
      </c>
      <c r="V3168" s="362">
        <f t="shared" si="3255"/>
        <v>24.718564209669459</v>
      </c>
      <c r="X3168" s="351"/>
    </row>
    <row r="3169" spans="3:24" ht="24.75" customHeight="1" x14ac:dyDescent="0.3">
      <c r="C3169" s="353">
        <f>ABS(E3169-Dashboard!$F$14)</f>
        <v>60.764957293849875</v>
      </c>
      <c r="D3169" s="350">
        <f t="shared" si="3237"/>
        <v>0.38964999999997235</v>
      </c>
      <c r="E3169" s="359" cm="1">
        <f t="array" ref="E3169">1000*SUM('DRE + DCF'!$L$36/M3169,'DRE + DCF'!$N$36:$V$36/N3169:V3169,F3169/V3169)/Dashboard!$F$11</f>
        <v>36.22504270615012</v>
      </c>
      <c r="F3169" s="359">
        <f t="shared" si="3235"/>
        <v>6550660.4451097585</v>
      </c>
      <c r="G3169" s="359">
        <f>'DRE + DCF'!$W$31</f>
        <v>2791623.3540418856</v>
      </c>
      <c r="H3169" s="359">
        <f>'DRE + DCF'!$W$32</f>
        <v>81081.931703745853</v>
      </c>
      <c r="I3169" s="359">
        <f>-H3169*('DRE + DCF'!$V$33+K3169)/'DRE + DCF'!$V$33</f>
        <v>-90858.801614444121</v>
      </c>
      <c r="J3169" s="359">
        <f>-'DRE + DCF'!$V$56*L3169</f>
        <v>-1188924.4255577971</v>
      </c>
      <c r="K3169" s="360">
        <f>(1+L3169)/(1+Ke!$O$12)-1</f>
        <v>2.0000000000000018E-2</v>
      </c>
      <c r="L3169" s="360">
        <f>'DRE + DCF'!$Y$31</f>
        <v>7.3550000000000004E-2</v>
      </c>
      <c r="M3169" s="361">
        <f>(1+D3169)^((5-Dashboard!$F$9)*3/12)</f>
        <v>1.2799089436864262</v>
      </c>
      <c r="N3169" s="361">
        <f t="shared" ref="N3169:V3169" si="3256">M3169*(1+$D3169)</f>
        <v>1.7786254635938066</v>
      </c>
      <c r="O3169" s="361">
        <f t="shared" si="3256"/>
        <v>2.4716668754830842</v>
      </c>
      <c r="P3169" s="361">
        <f t="shared" si="3256"/>
        <v>3.4347518735149993</v>
      </c>
      <c r="Q3169" s="361">
        <f t="shared" si="3256"/>
        <v>4.7731029410300234</v>
      </c>
      <c r="R3169" s="361">
        <f t="shared" si="3256"/>
        <v>6.6329425020022397</v>
      </c>
      <c r="S3169" s="361">
        <f t="shared" si="3256"/>
        <v>9.2174685479072291</v>
      </c>
      <c r="T3169" s="361">
        <f t="shared" si="3256"/>
        <v>12.809055167599025</v>
      </c>
      <c r="U3169" s="361">
        <f t="shared" si="3256"/>
        <v>17.800103513653632</v>
      </c>
      <c r="V3169" s="362">
        <f t="shared" si="3256"/>
        <v>24.735913847748275</v>
      </c>
      <c r="X3169" s="351"/>
    </row>
    <row r="3170" spans="3:24" ht="24.75" customHeight="1" x14ac:dyDescent="0.3">
      <c r="C3170" s="353">
        <f>ABS(E3170-Dashboard!$F$14)</f>
        <v>60.778519670376888</v>
      </c>
      <c r="D3170" s="350">
        <f t="shared" si="3237"/>
        <v>0.38974999999997234</v>
      </c>
      <c r="E3170" s="359" cm="1">
        <f t="array" ref="E3170">1000*SUM('DRE + DCF'!$L$36/M3170,'DRE + DCF'!$N$36:$V$36/N3170:V3170,F3170/V3170)/Dashboard!$F$11</f>
        <v>36.211480329623107</v>
      </c>
      <c r="F3170" s="359">
        <f t="shared" si="3235"/>
        <v>6548818.2764517777</v>
      </c>
      <c r="G3170" s="359">
        <f>'DRE + DCF'!$W$31</f>
        <v>2791623.3540418856</v>
      </c>
      <c r="H3170" s="359">
        <f>'DRE + DCF'!$W$32</f>
        <v>81081.931703745853</v>
      </c>
      <c r="I3170" s="359">
        <f>-H3170*('DRE + DCF'!$V$33+K3170)/'DRE + DCF'!$V$33</f>
        <v>-90858.801614444121</v>
      </c>
      <c r="J3170" s="359">
        <f>-'DRE + DCF'!$V$56*L3170</f>
        <v>-1188924.4255577971</v>
      </c>
      <c r="K3170" s="360">
        <f>(1+L3170)/(1+Ke!$O$12)-1</f>
        <v>2.0000000000000018E-2</v>
      </c>
      <c r="L3170" s="360">
        <f>'DRE + DCF'!$Y$31</f>
        <v>7.3550000000000004E-2</v>
      </c>
      <c r="M3170" s="361">
        <f>(1+D3170)^((5-Dashboard!$F$9)*3/12)</f>
        <v>1.2799780202937281</v>
      </c>
      <c r="N3170" s="361">
        <f t="shared" ref="N3170:V3170" si="3257">M3170*(1+$D3170)</f>
        <v>1.7788494537031732</v>
      </c>
      <c r="O3170" s="361">
        <f t="shared" si="3257"/>
        <v>2.4721560282839357</v>
      </c>
      <c r="P3170" s="361">
        <f t="shared" si="3257"/>
        <v>3.4356788403075309</v>
      </c>
      <c r="Q3170" s="361">
        <f t="shared" si="3257"/>
        <v>4.7747346683172962</v>
      </c>
      <c r="R3170" s="361">
        <f t="shared" si="3257"/>
        <v>6.6356875052938298</v>
      </c>
      <c r="S3170" s="361">
        <f t="shared" si="3257"/>
        <v>9.2219467104819159</v>
      </c>
      <c r="T3170" s="361">
        <f t="shared" si="3257"/>
        <v>12.816200440891986</v>
      </c>
      <c r="U3170" s="361">
        <f t="shared" si="3257"/>
        <v>17.811314562729283</v>
      </c>
      <c r="V3170" s="362">
        <f t="shared" si="3257"/>
        <v>24.753274413552528</v>
      </c>
      <c r="X3170" s="351"/>
    </row>
    <row r="3171" spans="3:24" ht="24.75" customHeight="1" x14ac:dyDescent="0.3">
      <c r="C3171" s="353">
        <f>ABS(E3171-Dashboard!$F$14)</f>
        <v>60.792072636775089</v>
      </c>
      <c r="D3171" s="350">
        <f t="shared" si="3237"/>
        <v>0.38984999999997233</v>
      </c>
      <c r="E3171" s="359" cm="1">
        <f t="array" ref="E3171">1000*SUM('DRE + DCF'!$L$36/M3171,'DRE + DCF'!$N$36:$V$36/N3171:V3171,F3171/V3171)/Dashboard!$F$11</f>
        <v>36.197927363224906</v>
      </c>
      <c r="F3171" s="359">
        <f t="shared" si="3235"/>
        <v>6546977.1549099535</v>
      </c>
      <c r="G3171" s="359">
        <f>'DRE + DCF'!$W$31</f>
        <v>2791623.3540418856</v>
      </c>
      <c r="H3171" s="359">
        <f>'DRE + DCF'!$W$32</f>
        <v>81081.931703745853</v>
      </c>
      <c r="I3171" s="359">
        <f>-H3171*('DRE + DCF'!$V$33+K3171)/'DRE + DCF'!$V$33</f>
        <v>-90858.801614444121</v>
      </c>
      <c r="J3171" s="359">
        <f>-'DRE + DCF'!$V$56*L3171</f>
        <v>-1188924.4255577971</v>
      </c>
      <c r="K3171" s="360">
        <f>(1+L3171)/(1+Ke!$O$12)-1</f>
        <v>2.0000000000000018E-2</v>
      </c>
      <c r="L3171" s="360">
        <f>'DRE + DCF'!$Y$31</f>
        <v>7.3550000000000004E-2</v>
      </c>
      <c r="M3171" s="361">
        <f>(1+D3171)^((5-Dashboard!$F$9)*3/12)</f>
        <v>1.2800470956584324</v>
      </c>
      <c r="N3171" s="361">
        <f t="shared" ref="N3171:V3171" si="3258">M3171*(1+$D3171)</f>
        <v>1.7790734559008368</v>
      </c>
      <c r="O3171" s="361">
        <f t="shared" si="3258"/>
        <v>2.4726452426837287</v>
      </c>
      <c r="P3171" s="361">
        <f t="shared" si="3258"/>
        <v>3.4366059905439119</v>
      </c>
      <c r="Q3171" s="361">
        <f t="shared" si="3258"/>
        <v>4.7763668359573606</v>
      </c>
      <c r="R3171" s="361">
        <f t="shared" si="3258"/>
        <v>6.6384334469552053</v>
      </c>
      <c r="S3171" s="361">
        <f t="shared" si="3258"/>
        <v>9.2264267262505086</v>
      </c>
      <c r="T3171" s="361">
        <f t="shared" si="3258"/>
        <v>12.823349185479014</v>
      </c>
      <c r="U3171" s="361">
        <f t="shared" si="3258"/>
        <v>17.82253186543765</v>
      </c>
      <c r="V3171" s="362">
        <f t="shared" si="3258"/>
        <v>24.770645913178022</v>
      </c>
      <c r="X3171" s="351"/>
    </row>
    <row r="3172" spans="3:24" ht="24.75" customHeight="1" x14ac:dyDescent="0.3">
      <c r="C3172" s="353">
        <f>ABS(E3172-Dashboard!$F$14)</f>
        <v>60.80561620220076</v>
      </c>
      <c r="D3172" s="350">
        <f t="shared" si="3237"/>
        <v>0.38994999999997232</v>
      </c>
      <c r="E3172" s="359" cm="1">
        <f t="array" ref="E3172">1000*SUM('DRE + DCF'!$L$36/M3172,'DRE + DCF'!$N$36:$V$36/N3172:V3172,F3172/V3172)/Dashboard!$F$11</f>
        <v>36.184383797799235</v>
      </c>
      <c r="F3172" s="359">
        <f t="shared" si="3235"/>
        <v>6545137.0795819741</v>
      </c>
      <c r="G3172" s="359">
        <f>'DRE + DCF'!$W$31</f>
        <v>2791623.3540418856</v>
      </c>
      <c r="H3172" s="359">
        <f>'DRE + DCF'!$W$32</f>
        <v>81081.931703745853</v>
      </c>
      <c r="I3172" s="359">
        <f>-H3172*('DRE + DCF'!$V$33+K3172)/'DRE + DCF'!$V$33</f>
        <v>-90858.801614444121</v>
      </c>
      <c r="J3172" s="359">
        <f>-'DRE + DCF'!$V$56*L3172</f>
        <v>-1188924.4255577971</v>
      </c>
      <c r="K3172" s="360">
        <f>(1+L3172)/(1+Ke!$O$12)-1</f>
        <v>2.0000000000000018E-2</v>
      </c>
      <c r="L3172" s="360">
        <f>'DRE + DCF'!$Y$31</f>
        <v>7.3550000000000004E-2</v>
      </c>
      <c r="M3172" s="361">
        <f>(1+D3172)^((5-Dashboard!$F$9)*3/12)</f>
        <v>1.2801161697806513</v>
      </c>
      <c r="N3172" s="361">
        <f t="shared" ref="N3172:V3172" si="3259">M3172*(1+$D3172)</f>
        <v>1.7792974701865809</v>
      </c>
      <c r="O3172" s="361">
        <f t="shared" si="3259"/>
        <v>2.4731345186857889</v>
      </c>
      <c r="P3172" s="361">
        <f t="shared" si="3259"/>
        <v>3.4375333242472439</v>
      </c>
      <c r="Q3172" s="361">
        <f t="shared" si="3259"/>
        <v>4.777999444037361</v>
      </c>
      <c r="R3172" s="361">
        <f t="shared" si="3259"/>
        <v>6.6411803272395975</v>
      </c>
      <c r="S3172" s="361">
        <f t="shared" si="3259"/>
        <v>9.2309085958464951</v>
      </c>
      <c r="T3172" s="361">
        <f t="shared" si="3259"/>
        <v>12.83050140279658</v>
      </c>
      <c r="U3172" s="361">
        <f t="shared" si="3259"/>
        <v>17.833755424816751</v>
      </c>
      <c r="V3172" s="362">
        <f t="shared" si="3259"/>
        <v>24.788028352723547</v>
      </c>
      <c r="X3172" s="351"/>
    </row>
    <row r="3173" spans="3:24" ht="24.75" customHeight="1" x14ac:dyDescent="0.3">
      <c r="C3173" s="353">
        <f>ABS(E3173-Dashboard!$F$14)</f>
        <v>60.819150375798799</v>
      </c>
      <c r="D3173" s="350">
        <f t="shared" si="3237"/>
        <v>0.39004999999997231</v>
      </c>
      <c r="E3173" s="359" cm="1">
        <f t="array" ref="E3173">1000*SUM('DRE + DCF'!$L$36/M3173,'DRE + DCF'!$N$36:$V$36/N3173:V3173,F3173/V3173)/Dashboard!$F$11</f>
        <v>36.170849624201196</v>
      </c>
      <c r="F3173" s="359">
        <f t="shared" si="3235"/>
        <v>6543298.0495665688</v>
      </c>
      <c r="G3173" s="359">
        <f>'DRE + DCF'!$W$31</f>
        <v>2791623.3540418856</v>
      </c>
      <c r="H3173" s="359">
        <f>'DRE + DCF'!$W$32</f>
        <v>81081.931703745853</v>
      </c>
      <c r="I3173" s="359">
        <f>-H3173*('DRE + DCF'!$V$33+K3173)/'DRE + DCF'!$V$33</f>
        <v>-90858.801614444121</v>
      </c>
      <c r="J3173" s="359">
        <f>-'DRE + DCF'!$V$56*L3173</f>
        <v>-1188924.4255577971</v>
      </c>
      <c r="K3173" s="360">
        <f>(1+L3173)/(1+Ke!$O$12)-1</f>
        <v>2.0000000000000018E-2</v>
      </c>
      <c r="L3173" s="360">
        <f>'DRE + DCF'!$Y$31</f>
        <v>7.3550000000000004E-2</v>
      </c>
      <c r="M3173" s="361">
        <f>(1+D3173)^((5-Dashboard!$F$9)*3/12)</f>
        <v>1.2801852426604965</v>
      </c>
      <c r="N3173" s="361">
        <f t="shared" ref="N3173:V3173" si="3260">M3173*(1+$D3173)</f>
        <v>1.7795214965601875</v>
      </c>
      <c r="O3173" s="361">
        <f t="shared" si="3260"/>
        <v>2.4736238562934392</v>
      </c>
      <c r="P3173" s="361">
        <f t="shared" si="3260"/>
        <v>3.4384608414406266</v>
      </c>
      <c r="Q3173" s="361">
        <f t="shared" si="3260"/>
        <v>4.7796324926444473</v>
      </c>
      <c r="R3173" s="361">
        <f t="shared" si="3260"/>
        <v>6.6439281464002811</v>
      </c>
      <c r="S3173" s="361">
        <f t="shared" si="3260"/>
        <v>9.2353923199035268</v>
      </c>
      <c r="T3173" s="361">
        <f t="shared" si="3260"/>
        <v>12.83765709428164</v>
      </c>
      <c r="U3173" s="361">
        <f t="shared" si="3260"/>
        <v>17.844985243905839</v>
      </c>
      <c r="V3173" s="362">
        <f t="shared" si="3260"/>
        <v>24.805421738290818</v>
      </c>
      <c r="X3173" s="351"/>
    </row>
    <row r="3174" spans="3:24" ht="24.75" customHeight="1" x14ac:dyDescent="0.3">
      <c r="C3174" s="353">
        <f>ABS(E3174-Dashboard!$F$14)</f>
        <v>60.832675166702863</v>
      </c>
      <c r="D3174" s="350">
        <f t="shared" si="3237"/>
        <v>0.3901499999999723</v>
      </c>
      <c r="E3174" s="359" cm="1">
        <f t="array" ref="E3174">1000*SUM('DRE + DCF'!$L$36/M3174,'DRE + DCF'!$N$36:$V$36/N3174:V3174,F3174/V3174)/Dashboard!$F$11</f>
        <v>36.157324833297132</v>
      </c>
      <c r="F3174" s="359">
        <f t="shared" si="3235"/>
        <v>6541460.0639635222</v>
      </c>
      <c r="G3174" s="359">
        <f>'DRE + DCF'!$W$31</f>
        <v>2791623.3540418856</v>
      </c>
      <c r="H3174" s="359">
        <f>'DRE + DCF'!$W$32</f>
        <v>81081.931703745853</v>
      </c>
      <c r="I3174" s="359">
        <f>-H3174*('DRE + DCF'!$V$33+K3174)/'DRE + DCF'!$V$33</f>
        <v>-90858.801614444121</v>
      </c>
      <c r="J3174" s="359">
        <f>-'DRE + DCF'!$V$56*L3174</f>
        <v>-1188924.4255577971</v>
      </c>
      <c r="K3174" s="360">
        <f>(1+L3174)/(1+Ke!$O$12)-1</f>
        <v>2.0000000000000018E-2</v>
      </c>
      <c r="L3174" s="360">
        <f>'DRE + DCF'!$Y$31</f>
        <v>7.3550000000000004E-2</v>
      </c>
      <c r="M3174" s="361">
        <f>(1+D3174)^((5-Dashboard!$F$9)*3/12)</f>
        <v>1.2802543142980793</v>
      </c>
      <c r="N3174" s="361">
        <f t="shared" ref="N3174:V3174" si="3261">M3174*(1+$D3174)</f>
        <v>1.7797455350214395</v>
      </c>
      <c r="O3174" s="361">
        <f t="shared" si="3261"/>
        <v>2.4741132555100047</v>
      </c>
      <c r="P3174" s="361">
        <f t="shared" si="3261"/>
        <v>3.4393885421471642</v>
      </c>
      <c r="Q3174" s="361">
        <f t="shared" si="3261"/>
        <v>4.7812659818657846</v>
      </c>
      <c r="R3174" s="361">
        <f t="shared" si="3261"/>
        <v>6.6466769046905876</v>
      </c>
      <c r="S3174" s="361">
        <f t="shared" si="3261"/>
        <v>9.2398778990554362</v>
      </c>
      <c r="T3174" s="361">
        <f t="shared" si="3261"/>
        <v>12.844816261371658</v>
      </c>
      <c r="U3174" s="361">
        <f t="shared" si="3261"/>
        <v>17.856221325745455</v>
      </c>
      <c r="V3174" s="362">
        <f t="shared" si="3261"/>
        <v>24.822826075984548</v>
      </c>
      <c r="X3174" s="351"/>
    </row>
    <row r="3175" spans="3:24" ht="24.75" customHeight="1" x14ac:dyDescent="0.3">
      <c r="C3175" s="353">
        <f>ABS(E3175-Dashboard!$F$14)</f>
        <v>60.846190584035263</v>
      </c>
      <c r="D3175" s="350">
        <f t="shared" si="3237"/>
        <v>0.39024999999997229</v>
      </c>
      <c r="E3175" s="359" cm="1">
        <f t="array" ref="E3175">1000*SUM('DRE + DCF'!$L$36/M3175,'DRE + DCF'!$N$36:$V$36/N3175:V3175,F3175/V3175)/Dashboard!$F$11</f>
        <v>36.143809415964732</v>
      </c>
      <c r="F3175" s="359">
        <f t="shared" si="3235"/>
        <v>6539623.1218736563</v>
      </c>
      <c r="G3175" s="359">
        <f>'DRE + DCF'!$W$31</f>
        <v>2791623.3540418856</v>
      </c>
      <c r="H3175" s="359">
        <f>'DRE + DCF'!$W$32</f>
        <v>81081.931703745853</v>
      </c>
      <c r="I3175" s="359">
        <f>-H3175*('DRE + DCF'!$V$33+K3175)/'DRE + DCF'!$V$33</f>
        <v>-90858.801614444121</v>
      </c>
      <c r="J3175" s="359">
        <f>-'DRE + DCF'!$V$56*L3175</f>
        <v>-1188924.4255577971</v>
      </c>
      <c r="K3175" s="360">
        <f>(1+L3175)/(1+Ke!$O$12)-1</f>
        <v>2.0000000000000018E-2</v>
      </c>
      <c r="L3175" s="360">
        <f>'DRE + DCF'!$Y$31</f>
        <v>7.3550000000000004E-2</v>
      </c>
      <c r="M3175" s="361">
        <f>(1+D3175)^((5-Dashboard!$F$9)*3/12)</f>
        <v>1.280323384693512</v>
      </c>
      <c r="N3175" s="361">
        <f t="shared" ref="N3175:V3175" si="3262">M3175*(1+$D3175)</f>
        <v>1.7799695855701196</v>
      </c>
      <c r="O3175" s="361">
        <f t="shared" si="3262"/>
        <v>2.4746027163388096</v>
      </c>
      <c r="P3175" s="361">
        <f t="shared" si="3262"/>
        <v>3.4403164263899613</v>
      </c>
      <c r="Q3175" s="361">
        <f t="shared" si="3262"/>
        <v>4.7828999117885482</v>
      </c>
      <c r="R3175" s="361">
        <f t="shared" si="3262"/>
        <v>6.6494266023638966</v>
      </c>
      <c r="S3175" s="361">
        <f t="shared" si="3262"/>
        <v>9.2443653339362228</v>
      </c>
      <c r="T3175" s="361">
        <f t="shared" si="3262"/>
        <v>12.851978905504577</v>
      </c>
      <c r="U3175" s="361">
        <f t="shared" si="3262"/>
        <v>17.86746367337738</v>
      </c>
      <c r="V3175" s="362">
        <f t="shared" si="3262"/>
        <v>24.840241371912406</v>
      </c>
      <c r="X3175" s="351"/>
    </row>
    <row r="3176" spans="3:24" ht="24.75" customHeight="1" x14ac:dyDescent="0.3">
      <c r="C3176" s="353">
        <f>ABS(E3176-Dashboard!$F$14)</f>
        <v>60.859696636906975</v>
      </c>
      <c r="D3176" s="350">
        <f t="shared" si="3237"/>
        <v>0.39034999999997227</v>
      </c>
      <c r="E3176" s="359" cm="1">
        <f t="array" ref="E3176">1000*SUM('DRE + DCF'!$L$36/M3176,'DRE + DCF'!$N$36:$V$36/N3176:V3176,F3176/V3176)/Dashboard!$F$11</f>
        <v>36.13030336309302</v>
      </c>
      <c r="F3176" s="359">
        <f t="shared" si="3235"/>
        <v>6537787.222398839</v>
      </c>
      <c r="G3176" s="359">
        <f>'DRE + DCF'!$W$31</f>
        <v>2791623.3540418856</v>
      </c>
      <c r="H3176" s="359">
        <f>'DRE + DCF'!$W$32</f>
        <v>81081.931703745853</v>
      </c>
      <c r="I3176" s="359">
        <f>-H3176*('DRE + DCF'!$V$33+K3176)/'DRE + DCF'!$V$33</f>
        <v>-90858.801614444121</v>
      </c>
      <c r="J3176" s="359">
        <f>-'DRE + DCF'!$V$56*L3176</f>
        <v>-1188924.4255577971</v>
      </c>
      <c r="K3176" s="360">
        <f>(1+L3176)/(1+Ke!$O$12)-1</f>
        <v>2.0000000000000018E-2</v>
      </c>
      <c r="L3176" s="360">
        <f>'DRE + DCF'!$Y$31</f>
        <v>7.3550000000000004E-2</v>
      </c>
      <c r="M3176" s="361">
        <f>(1+D3176)^((5-Dashboard!$F$9)*3/12)</f>
        <v>1.2803924538469056</v>
      </c>
      <c r="N3176" s="361">
        <f t="shared" ref="N3176:V3176" si="3263">M3176*(1+$D3176)</f>
        <v>1.7801936482060097</v>
      </c>
      <c r="O3176" s="361">
        <f t="shared" si="3263"/>
        <v>2.475092238783176</v>
      </c>
      <c r="P3176" s="361">
        <f t="shared" si="3263"/>
        <v>3.4412444941921199</v>
      </c>
      <c r="Q3176" s="361">
        <f t="shared" si="3263"/>
        <v>4.7845342824999184</v>
      </c>
      <c r="R3176" s="361">
        <f t="shared" si="3263"/>
        <v>6.6521772396736285</v>
      </c>
      <c r="S3176" s="361">
        <f t="shared" si="3263"/>
        <v>9.2488546251800443</v>
      </c>
      <c r="T3176" s="361">
        <f t="shared" si="3263"/>
        <v>12.859145028118817</v>
      </c>
      <c r="U3176" s="361">
        <f t="shared" si="3263"/>
        <v>17.878712289844639</v>
      </c>
      <c r="V3176" s="362">
        <f t="shared" si="3263"/>
        <v>24.857667632184999</v>
      </c>
      <c r="X3176" s="351"/>
    </row>
    <row r="3177" spans="3:24" ht="24.75" customHeight="1" x14ac:dyDescent="0.3">
      <c r="C3177" s="353">
        <f>ABS(E3177-Dashboard!$F$14)</f>
        <v>60.873193334417792</v>
      </c>
      <c r="D3177" s="350">
        <f t="shared" si="3237"/>
        <v>0.39044999999997226</v>
      </c>
      <c r="E3177" s="359" cm="1">
        <f t="array" ref="E3177">1000*SUM('DRE + DCF'!$L$36/M3177,'DRE + DCF'!$N$36:$V$36/N3177:V3177,F3177/V3177)/Dashboard!$F$11</f>
        <v>36.116806665582203</v>
      </c>
      <c r="F3177" s="359">
        <f t="shared" si="3235"/>
        <v>6535952.3646419793</v>
      </c>
      <c r="G3177" s="359">
        <f>'DRE + DCF'!$W$31</f>
        <v>2791623.3540418856</v>
      </c>
      <c r="H3177" s="359">
        <f>'DRE + DCF'!$W$32</f>
        <v>81081.931703745853</v>
      </c>
      <c r="I3177" s="359">
        <f>-H3177*('DRE + DCF'!$V$33+K3177)/'DRE + DCF'!$V$33</f>
        <v>-90858.801614444121</v>
      </c>
      <c r="J3177" s="359">
        <f>-'DRE + DCF'!$V$56*L3177</f>
        <v>-1188924.4255577971</v>
      </c>
      <c r="K3177" s="360">
        <f>(1+L3177)/(1+Ke!$O$12)-1</f>
        <v>2.0000000000000018E-2</v>
      </c>
      <c r="L3177" s="360">
        <f>'DRE + DCF'!$Y$31</f>
        <v>7.3550000000000004E-2</v>
      </c>
      <c r="M3177" s="361">
        <f>(1+D3177)^((5-Dashboard!$F$9)*3/12)</f>
        <v>1.2804615217583724</v>
      </c>
      <c r="N3177" s="361">
        <f t="shared" ref="N3177:V3177" si="3264">M3177*(1+$D3177)</f>
        <v>1.7804177229288933</v>
      </c>
      <c r="O3177" s="361">
        <f t="shared" si="3264"/>
        <v>2.4755818228464301</v>
      </c>
      <c r="P3177" s="361">
        <f t="shared" si="3264"/>
        <v>3.4421727455767499</v>
      </c>
      <c r="Q3177" s="361">
        <f t="shared" si="3264"/>
        <v>4.7861690940870965</v>
      </c>
      <c r="R3177" s="361">
        <f t="shared" si="3264"/>
        <v>6.6549288168732703</v>
      </c>
      <c r="S3177" s="361">
        <f t="shared" si="3264"/>
        <v>9.2533457734212536</v>
      </c>
      <c r="T3177" s="361">
        <f t="shared" si="3264"/>
        <v>12.866314630653324</v>
      </c>
      <c r="U3177" s="361">
        <f t="shared" si="3264"/>
        <v>17.889967178191558</v>
      </c>
      <c r="V3177" s="362">
        <f t="shared" si="3264"/>
        <v>24.875104862915954</v>
      </c>
      <c r="X3177" s="351"/>
    </row>
    <row r="3178" spans="3:24" ht="24.75" customHeight="1" x14ac:dyDescent="0.3">
      <c r="C3178" s="353">
        <f>ABS(E3178-Dashboard!$F$14)</f>
        <v>60.886680685656181</v>
      </c>
      <c r="D3178" s="350">
        <f t="shared" si="3237"/>
        <v>0.39054999999997225</v>
      </c>
      <c r="E3178" s="359" cm="1">
        <f t="array" ref="E3178">1000*SUM('DRE + DCF'!$L$36/M3178,'DRE + DCF'!$N$36:$V$36/N3178:V3178,F3178/V3178)/Dashboard!$F$11</f>
        <v>36.103319314343814</v>
      </c>
      <c r="F3178" s="359">
        <f t="shared" si="3235"/>
        <v>6534118.547707025</v>
      </c>
      <c r="G3178" s="359">
        <f>'DRE + DCF'!$W$31</f>
        <v>2791623.3540418856</v>
      </c>
      <c r="H3178" s="359">
        <f>'DRE + DCF'!$W$32</f>
        <v>81081.931703745853</v>
      </c>
      <c r="I3178" s="359">
        <f>-H3178*('DRE + DCF'!$V$33+K3178)/'DRE + DCF'!$V$33</f>
        <v>-90858.801614444121</v>
      </c>
      <c r="J3178" s="359">
        <f>-'DRE + DCF'!$V$56*L3178</f>
        <v>-1188924.4255577971</v>
      </c>
      <c r="K3178" s="360">
        <f>(1+L3178)/(1+Ke!$O$12)-1</f>
        <v>2.0000000000000018E-2</v>
      </c>
      <c r="L3178" s="360">
        <f>'DRE + DCF'!$Y$31</f>
        <v>7.3550000000000004E-2</v>
      </c>
      <c r="M3178" s="361">
        <f>(1+D3178)^((5-Dashboard!$F$9)*3/12)</f>
        <v>1.2805305884280236</v>
      </c>
      <c r="N3178" s="361">
        <f t="shared" ref="N3178:V3178" si="3265">M3178*(1+$D3178)</f>
        <v>1.7806418097385526</v>
      </c>
      <c r="O3178" s="361">
        <f t="shared" si="3265"/>
        <v>2.4760714685318947</v>
      </c>
      <c r="P3178" s="361">
        <f t="shared" si="3265"/>
        <v>3.4431011805669574</v>
      </c>
      <c r="Q3178" s="361">
        <f t="shared" si="3265"/>
        <v>4.7878043466372864</v>
      </c>
      <c r="R3178" s="361">
        <f t="shared" si="3265"/>
        <v>6.6576813342163454</v>
      </c>
      <c r="S3178" s="361">
        <f t="shared" si="3265"/>
        <v>9.2578387792943548</v>
      </c>
      <c r="T3178" s="361">
        <f t="shared" si="3265"/>
        <v>12.873487714547508</v>
      </c>
      <c r="U3178" s="361">
        <f t="shared" si="3265"/>
        <v>17.901228341463678</v>
      </c>
      <c r="V3178" s="362">
        <f t="shared" si="3265"/>
        <v>24.892553070221819</v>
      </c>
      <c r="X3178" s="351"/>
    </row>
    <row r="3179" spans="3:24" ht="24.75" customHeight="1" x14ac:dyDescent="0.3">
      <c r="C3179" s="353">
        <f>ABS(E3179-Dashboard!$F$14)</f>
        <v>60.900158699699411</v>
      </c>
      <c r="D3179" s="350">
        <f t="shared" si="3237"/>
        <v>0.39064999999997224</v>
      </c>
      <c r="E3179" s="359" cm="1">
        <f t="array" ref="E3179">1000*SUM('DRE + DCF'!$L$36/M3179,'DRE + DCF'!$N$36:$V$36/N3179:V3179,F3179/V3179)/Dashboard!$F$11</f>
        <v>36.089841300300584</v>
      </c>
      <c r="F3179" s="359">
        <f t="shared" si="3235"/>
        <v>6532285.7706989646</v>
      </c>
      <c r="G3179" s="359">
        <f>'DRE + DCF'!$W$31</f>
        <v>2791623.3540418856</v>
      </c>
      <c r="H3179" s="359">
        <f>'DRE + DCF'!$W$32</f>
        <v>81081.931703745853</v>
      </c>
      <c r="I3179" s="359">
        <f>-H3179*('DRE + DCF'!$V$33+K3179)/'DRE + DCF'!$V$33</f>
        <v>-90858.801614444121</v>
      </c>
      <c r="J3179" s="359">
        <f>-'DRE + DCF'!$V$56*L3179</f>
        <v>-1188924.4255577971</v>
      </c>
      <c r="K3179" s="360">
        <f>(1+L3179)/(1+Ke!$O$12)-1</f>
        <v>2.0000000000000018E-2</v>
      </c>
      <c r="L3179" s="360">
        <f>'DRE + DCF'!$Y$31</f>
        <v>7.3550000000000004E-2</v>
      </c>
      <c r="M3179" s="361">
        <f>(1+D3179)^((5-Dashboard!$F$9)*3/12)</f>
        <v>1.2805996538559712</v>
      </c>
      <c r="N3179" s="361">
        <f t="shared" ref="N3179:V3179" si="3266">M3179*(1+$D3179)</f>
        <v>1.7808659086347707</v>
      </c>
      <c r="O3179" s="361">
        <f t="shared" si="3266"/>
        <v>2.4765611758428943</v>
      </c>
      <c r="P3179" s="361">
        <f t="shared" si="3266"/>
        <v>3.4440297991858522</v>
      </c>
      <c r="Q3179" s="361">
        <f t="shared" si="3266"/>
        <v>4.7894400402377091</v>
      </c>
      <c r="R3179" s="361">
        <f t="shared" si="3266"/>
        <v>6.6604347919564368</v>
      </c>
      <c r="S3179" s="361">
        <f t="shared" si="3266"/>
        <v>9.2623336434340331</v>
      </c>
      <c r="T3179" s="361">
        <f t="shared" si="3266"/>
        <v>12.88066428124128</v>
      </c>
      <c r="U3179" s="361">
        <f t="shared" si="3266"/>
        <v>17.912495782707829</v>
      </c>
      <c r="V3179" s="362">
        <f t="shared" si="3266"/>
        <v>24.910012260222143</v>
      </c>
      <c r="X3179" s="351"/>
    </row>
    <row r="3180" spans="3:24" ht="24.75" customHeight="1" x14ac:dyDescent="0.3">
      <c r="C3180" s="353">
        <f>ABS(E3180-Dashboard!$F$14)</f>
        <v>60.913627385613509</v>
      </c>
      <c r="D3180" s="350">
        <f t="shared" si="3237"/>
        <v>0.39074999999997223</v>
      </c>
      <c r="E3180" s="359" cm="1">
        <f t="array" ref="E3180">1000*SUM('DRE + DCF'!$L$36/M3180,'DRE + DCF'!$N$36:$V$36/N3180:V3180,F3180/V3180)/Dashboard!$F$11</f>
        <v>36.076372614386486</v>
      </c>
      <c r="F3180" s="359">
        <f t="shared" si="3235"/>
        <v>6530454.0327238217</v>
      </c>
      <c r="G3180" s="359">
        <f>'DRE + DCF'!$W$31</f>
        <v>2791623.3540418856</v>
      </c>
      <c r="H3180" s="359">
        <f>'DRE + DCF'!$W$32</f>
        <v>81081.931703745853</v>
      </c>
      <c r="I3180" s="359">
        <f>-H3180*('DRE + DCF'!$V$33+K3180)/'DRE + DCF'!$V$33</f>
        <v>-90858.801614444121</v>
      </c>
      <c r="J3180" s="359">
        <f>-'DRE + DCF'!$V$56*L3180</f>
        <v>-1188924.4255577971</v>
      </c>
      <c r="K3180" s="360">
        <f>(1+L3180)/(1+Ke!$O$12)-1</f>
        <v>2.0000000000000018E-2</v>
      </c>
      <c r="L3180" s="360">
        <f>'DRE + DCF'!$Y$31</f>
        <v>7.3550000000000004E-2</v>
      </c>
      <c r="M3180" s="361">
        <f>(1+D3180)^((5-Dashboard!$F$9)*3/12)</f>
        <v>1.2806687180423264</v>
      </c>
      <c r="N3180" s="361">
        <f t="shared" ref="N3180:V3180" si="3267">M3180*(1+$D3180)</f>
        <v>1.7810900196173298</v>
      </c>
      <c r="O3180" s="361">
        <f t="shared" si="3267"/>
        <v>2.4770509447827518</v>
      </c>
      <c r="P3180" s="361">
        <f t="shared" si="3267"/>
        <v>3.444958601456543</v>
      </c>
      <c r="Q3180" s="361">
        <f t="shared" si="3267"/>
        <v>4.7910761749755917</v>
      </c>
      <c r="R3180" s="361">
        <f t="shared" si="3267"/>
        <v>6.6631891903471709</v>
      </c>
      <c r="S3180" s="361">
        <f t="shared" si="3267"/>
        <v>9.2668303664751424</v>
      </c>
      <c r="T3180" s="361">
        <f t="shared" si="3267"/>
        <v>12.887844332175046</v>
      </c>
      <c r="U3180" s="361">
        <f t="shared" si="3267"/>
        <v>17.923769504972086</v>
      </c>
      <c r="V3180" s="362">
        <f t="shared" si="3267"/>
        <v>24.92748243903943</v>
      </c>
      <c r="X3180" s="351"/>
    </row>
    <row r="3181" spans="3:24" ht="24.75" customHeight="1" x14ac:dyDescent="0.3">
      <c r="C3181" s="353">
        <f>ABS(E3181-Dashboard!$F$14)</f>
        <v>60.927086752453327</v>
      </c>
      <c r="D3181" s="350">
        <f t="shared" si="3237"/>
        <v>0.39084999999997222</v>
      </c>
      <c r="E3181" s="359" cm="1">
        <f t="array" ref="E3181">1000*SUM('DRE + DCF'!$L$36/M3181,'DRE + DCF'!$N$36:$V$36/N3181:V3181,F3181/V3181)/Dashboard!$F$11</f>
        <v>36.062913247546668</v>
      </c>
      <c r="F3181" s="359">
        <f t="shared" si="3235"/>
        <v>6528623.3328886572</v>
      </c>
      <c r="G3181" s="359">
        <f>'DRE + DCF'!$W$31</f>
        <v>2791623.3540418856</v>
      </c>
      <c r="H3181" s="359">
        <f>'DRE + DCF'!$W$32</f>
        <v>81081.931703745853</v>
      </c>
      <c r="I3181" s="359">
        <f>-H3181*('DRE + DCF'!$V$33+K3181)/'DRE + DCF'!$V$33</f>
        <v>-90858.801614444121</v>
      </c>
      <c r="J3181" s="359">
        <f>-'DRE + DCF'!$V$56*L3181</f>
        <v>-1188924.4255577971</v>
      </c>
      <c r="K3181" s="360">
        <f>(1+L3181)/(1+Ke!$O$12)-1</f>
        <v>2.0000000000000018E-2</v>
      </c>
      <c r="L3181" s="360">
        <f>'DRE + DCF'!$Y$31</f>
        <v>7.3550000000000004E-2</v>
      </c>
      <c r="M3181" s="361">
        <f>(1+D3181)^((5-Dashboard!$F$9)*3/12)</f>
        <v>1.2807377809872011</v>
      </c>
      <c r="N3181" s="361">
        <f t="shared" ref="N3181:V3181" si="3268">M3181*(1+$D3181)</f>
        <v>1.7813141426860131</v>
      </c>
      <c r="O3181" s="361">
        <f t="shared" si="3268"/>
        <v>2.4775407753547918</v>
      </c>
      <c r="P3181" s="361">
        <f t="shared" si="3268"/>
        <v>3.4458875874021433</v>
      </c>
      <c r="Q3181" s="361">
        <f t="shared" si="3268"/>
        <v>4.7927127509381755</v>
      </c>
      <c r="R3181" s="361">
        <f t="shared" si="3268"/>
        <v>6.6659445296422284</v>
      </c>
      <c r="S3181" s="361">
        <f t="shared" si="3268"/>
        <v>9.2713289490527071</v>
      </c>
      <c r="T3181" s="361">
        <f t="shared" si="3268"/>
        <v>12.8950278687897</v>
      </c>
      <c r="U3181" s="361">
        <f t="shared" si="3268"/>
        <v>17.935049511305795</v>
      </c>
      <c r="V3181" s="362">
        <f t="shared" si="3268"/>
        <v>24.944963612799167</v>
      </c>
      <c r="X3181" s="351"/>
    </row>
    <row r="3182" spans="3:24" ht="24.75" customHeight="1" x14ac:dyDescent="0.3">
      <c r="C3182" s="353">
        <f>ABS(E3182-Dashboard!$F$14)</f>
        <v>60.940536809262483</v>
      </c>
      <c r="D3182" s="350">
        <f t="shared" si="3237"/>
        <v>0.39094999999997221</v>
      </c>
      <c r="E3182" s="359" cm="1">
        <f t="array" ref="E3182">1000*SUM('DRE + DCF'!$L$36/M3182,'DRE + DCF'!$N$36:$V$36/N3182:V3182,F3182/V3182)/Dashboard!$F$11</f>
        <v>36.049463190737512</v>
      </c>
      <c r="F3182" s="359">
        <f t="shared" si="3235"/>
        <v>6526793.6703015603</v>
      </c>
      <c r="G3182" s="359">
        <f>'DRE + DCF'!$W$31</f>
        <v>2791623.3540418856</v>
      </c>
      <c r="H3182" s="359">
        <f>'DRE + DCF'!$W$32</f>
        <v>81081.931703745853</v>
      </c>
      <c r="I3182" s="359">
        <f>-H3182*('DRE + DCF'!$V$33+K3182)/'DRE + DCF'!$V$33</f>
        <v>-90858.801614444121</v>
      </c>
      <c r="J3182" s="359">
        <f>-'DRE + DCF'!$V$56*L3182</f>
        <v>-1188924.4255577971</v>
      </c>
      <c r="K3182" s="360">
        <f>(1+L3182)/(1+Ke!$O$12)-1</f>
        <v>2.0000000000000018E-2</v>
      </c>
      <c r="L3182" s="360">
        <f>'DRE + DCF'!$Y$31</f>
        <v>7.3550000000000004E-2</v>
      </c>
      <c r="M3182" s="361">
        <f>(1+D3182)^((5-Dashboard!$F$9)*3/12)</f>
        <v>1.2808068426907069</v>
      </c>
      <c r="N3182" s="361">
        <f t="shared" ref="N3182:V3182" si="3269">M3182*(1+$D3182)</f>
        <v>1.781538277840603</v>
      </c>
      <c r="O3182" s="361">
        <f t="shared" si="3269"/>
        <v>2.4780306675623374</v>
      </c>
      <c r="P3182" s="361">
        <f t="shared" si="3269"/>
        <v>3.446816757045764</v>
      </c>
      <c r="Q3182" s="361">
        <f t="shared" si="3269"/>
        <v>4.794349768212709</v>
      </c>
      <c r="R3182" s="361">
        <f t="shared" si="3269"/>
        <v>6.6687008100953342</v>
      </c>
      <c r="S3182" s="361">
        <f t="shared" si="3269"/>
        <v>9.2758293918019188</v>
      </c>
      <c r="T3182" s="361">
        <f t="shared" si="3269"/>
        <v>12.90221489252662</v>
      </c>
      <c r="U3182" s="361">
        <f t="shared" si="3269"/>
        <v>17.946335804759542</v>
      </c>
      <c r="V3182" s="362">
        <f t="shared" si="3269"/>
        <v>24.962455787629786</v>
      </c>
      <c r="X3182" s="351"/>
    </row>
    <row r="3183" spans="3:24" ht="24.75" customHeight="1" x14ac:dyDescent="0.3">
      <c r="C3183" s="353">
        <f>ABS(E3183-Dashboard!$F$14)</f>
        <v>60.953977565073473</v>
      </c>
      <c r="D3183" s="350">
        <f t="shared" si="3237"/>
        <v>0.3910499999999722</v>
      </c>
      <c r="E3183" s="359" cm="1">
        <f t="array" ref="E3183">1000*SUM('DRE + DCF'!$L$36/M3183,'DRE + DCF'!$N$36:$V$36/N3183:V3183,F3183/V3183)/Dashboard!$F$11</f>
        <v>36.036022434926522</v>
      </c>
      <c r="F3183" s="359">
        <f t="shared" si="3235"/>
        <v>6524965.0440716594</v>
      </c>
      <c r="G3183" s="359">
        <f>'DRE + DCF'!$W$31</f>
        <v>2791623.3540418856</v>
      </c>
      <c r="H3183" s="359">
        <f>'DRE + DCF'!$W$32</f>
        <v>81081.931703745853</v>
      </c>
      <c r="I3183" s="359">
        <f>-H3183*('DRE + DCF'!$V$33+K3183)/'DRE + DCF'!$V$33</f>
        <v>-90858.801614444121</v>
      </c>
      <c r="J3183" s="359">
        <f>-'DRE + DCF'!$V$56*L3183</f>
        <v>-1188924.4255577971</v>
      </c>
      <c r="K3183" s="360">
        <f>(1+L3183)/(1+Ke!$O$12)-1</f>
        <v>2.0000000000000018E-2</v>
      </c>
      <c r="L3183" s="360">
        <f>'DRE + DCF'!$Y$31</f>
        <v>7.3550000000000004E-2</v>
      </c>
      <c r="M3183" s="361">
        <f>(1+D3183)^((5-Dashboard!$F$9)*3/12)</f>
        <v>1.2808759031529551</v>
      </c>
      <c r="N3183" s="361">
        <f t="shared" ref="N3183:V3183" si="3270">M3183*(1+$D3183)</f>
        <v>1.7817624250808826</v>
      </c>
      <c r="O3183" s="361">
        <f t="shared" si="3270"/>
        <v>2.4785206214087121</v>
      </c>
      <c r="P3183" s="361">
        <f t="shared" si="3270"/>
        <v>3.4477461104105198</v>
      </c>
      <c r="Q3183" s="361">
        <f t="shared" si="3270"/>
        <v>4.7959872268864574</v>
      </c>
      <c r="R3183" s="361">
        <f t="shared" si="3270"/>
        <v>6.671458031960273</v>
      </c>
      <c r="S3183" s="361">
        <f t="shared" si="3270"/>
        <v>9.2803316953581518</v>
      </c>
      <c r="T3183" s="361">
        <f t="shared" si="3270"/>
        <v>12.909405404827698</v>
      </c>
      <c r="U3183" s="361">
        <f t="shared" si="3270"/>
        <v>17.95762838838521</v>
      </c>
      <c r="V3183" s="362">
        <f t="shared" si="3270"/>
        <v>24.979958969662746</v>
      </c>
      <c r="X3183" s="351"/>
    </row>
    <row r="3184" spans="3:24" ht="24.75" customHeight="1" x14ac:dyDescent="0.3">
      <c r="C3184" s="353">
        <f>ABS(E3184-Dashboard!$F$14)</f>
        <v>60.967409028907596</v>
      </c>
      <c r="D3184" s="350">
        <f t="shared" si="3237"/>
        <v>0.39114999999997219</v>
      </c>
      <c r="E3184" s="359" cm="1">
        <f t="array" ref="E3184">1000*SUM('DRE + DCF'!$L$36/M3184,'DRE + DCF'!$N$36:$V$36/N3184:V3184,F3184/V3184)/Dashboard!$F$11</f>
        <v>36.022590971092399</v>
      </c>
      <c r="F3184" s="359">
        <f t="shared" si="3235"/>
        <v>6523137.4533091113</v>
      </c>
      <c r="G3184" s="359">
        <f>'DRE + DCF'!$W$31</f>
        <v>2791623.3540418856</v>
      </c>
      <c r="H3184" s="359">
        <f>'DRE + DCF'!$W$32</f>
        <v>81081.931703745853</v>
      </c>
      <c r="I3184" s="359">
        <f>-H3184*('DRE + DCF'!$V$33+K3184)/'DRE + DCF'!$V$33</f>
        <v>-90858.801614444121</v>
      </c>
      <c r="J3184" s="359">
        <f>-'DRE + DCF'!$V$56*L3184</f>
        <v>-1188924.4255577971</v>
      </c>
      <c r="K3184" s="360">
        <f>(1+L3184)/(1+Ke!$O$12)-1</f>
        <v>2.0000000000000018E-2</v>
      </c>
      <c r="L3184" s="360">
        <f>'DRE + DCF'!$Y$31</f>
        <v>7.3550000000000004E-2</v>
      </c>
      <c r="M3184" s="361">
        <f>(1+D3184)^((5-Dashboard!$F$9)*3/12)</f>
        <v>1.2809449623740572</v>
      </c>
      <c r="N3184" s="361">
        <f t="shared" ref="N3184:V3184" si="3271">M3184*(1+$D3184)</f>
        <v>1.781986584406634</v>
      </c>
      <c r="O3184" s="361">
        <f t="shared" si="3271"/>
        <v>2.4790106368972391</v>
      </c>
      <c r="P3184" s="361">
        <f t="shared" si="3271"/>
        <v>3.4486756475195253</v>
      </c>
      <c r="Q3184" s="361">
        <f t="shared" si="3271"/>
        <v>4.7976251270466914</v>
      </c>
      <c r="R3184" s="361">
        <f t="shared" si="3271"/>
        <v>6.674216195490871</v>
      </c>
      <c r="S3184" s="361">
        <f t="shared" si="3271"/>
        <v>9.2848358603569388</v>
      </c>
      <c r="T3184" s="361">
        <f t="shared" si="3271"/>
        <v>12.916599407135296</v>
      </c>
      <c r="U3184" s="361">
        <f t="shared" si="3271"/>
        <v>17.968927265235905</v>
      </c>
      <c r="V3184" s="362">
        <f t="shared" si="3271"/>
        <v>24.997473165032428</v>
      </c>
      <c r="X3184" s="351"/>
    </row>
    <row r="3185" spans="3:24" ht="24.75" customHeight="1" x14ac:dyDescent="0.3">
      <c r="C3185" s="353">
        <f>ABS(E3185-Dashboard!$F$14)</f>
        <v>60.980831209775076</v>
      </c>
      <c r="D3185" s="350">
        <f t="shared" si="3237"/>
        <v>0.39124999999997218</v>
      </c>
      <c r="E3185" s="359" cm="1">
        <f t="array" ref="E3185">1000*SUM('DRE + DCF'!$L$36/M3185,'DRE + DCF'!$N$36:$V$36/N3185:V3185,F3185/V3185)/Dashboard!$F$11</f>
        <v>36.009168790224919</v>
      </c>
      <c r="F3185" s="359">
        <f t="shared" si="3235"/>
        <v>6521310.8971250989</v>
      </c>
      <c r="G3185" s="359">
        <f>'DRE + DCF'!$W$31</f>
        <v>2791623.3540418856</v>
      </c>
      <c r="H3185" s="359">
        <f>'DRE + DCF'!$W$32</f>
        <v>81081.931703745853</v>
      </c>
      <c r="I3185" s="359">
        <f>-H3185*('DRE + DCF'!$V$33+K3185)/'DRE + DCF'!$V$33</f>
        <v>-90858.801614444121</v>
      </c>
      <c r="J3185" s="359">
        <f>-'DRE + DCF'!$V$56*L3185</f>
        <v>-1188924.4255577971</v>
      </c>
      <c r="K3185" s="360">
        <f>(1+L3185)/(1+Ke!$O$12)-1</f>
        <v>2.0000000000000018E-2</v>
      </c>
      <c r="L3185" s="360">
        <f>'DRE + DCF'!$Y$31</f>
        <v>7.3550000000000004E-2</v>
      </c>
      <c r="M3185" s="361">
        <f>(1+D3185)^((5-Dashboard!$F$9)*3/12)</f>
        <v>1.2810140203541251</v>
      </c>
      <c r="N3185" s="361">
        <f t="shared" ref="N3185:V3185" si="3272">M3185*(1+$D3185)</f>
        <v>1.782210755817641</v>
      </c>
      <c r="O3185" s="361">
        <f t="shared" si="3272"/>
        <v>2.4795007140312433</v>
      </c>
      <c r="P3185" s="361">
        <f t="shared" si="3272"/>
        <v>3.4496053683958983</v>
      </c>
      <c r="Q3185" s="361">
        <f t="shared" si="3272"/>
        <v>4.7992634687806977</v>
      </c>
      <c r="R3185" s="361">
        <f t="shared" si="3272"/>
        <v>6.6769753009410122</v>
      </c>
      <c r="S3185" s="361">
        <f t="shared" si="3272"/>
        <v>9.2893418874339968</v>
      </c>
      <c r="T3185" s="361">
        <f t="shared" si="3272"/>
        <v>12.92379690089229</v>
      </c>
      <c r="U3185" s="361">
        <f t="shared" si="3272"/>
        <v>17.980232438366038</v>
      </c>
      <c r="V3185" s="362">
        <f t="shared" si="3272"/>
        <v>25.01499837987625</v>
      </c>
      <c r="X3185" s="351"/>
    </row>
    <row r="3186" spans="3:24" ht="24.75" customHeight="1" x14ac:dyDescent="0.3">
      <c r="C3186" s="353">
        <f>ABS(E3186-Dashboard!$F$14)</f>
        <v>60.994244116674928</v>
      </c>
      <c r="D3186" s="350">
        <f t="shared" si="3237"/>
        <v>0.39134999999997216</v>
      </c>
      <c r="E3186" s="359" cm="1">
        <f t="array" ref="E3186">1000*SUM('DRE + DCF'!$L$36/M3186,'DRE + DCF'!$N$36:$V$36/N3186:V3186,F3186/V3186)/Dashboard!$F$11</f>
        <v>35.995755883325067</v>
      </c>
      <c r="F3186" s="359">
        <f t="shared" si="3235"/>
        <v>6519485.3746318398</v>
      </c>
      <c r="G3186" s="359">
        <f>'DRE + DCF'!$W$31</f>
        <v>2791623.3540418856</v>
      </c>
      <c r="H3186" s="359">
        <f>'DRE + DCF'!$W$32</f>
        <v>81081.931703745853</v>
      </c>
      <c r="I3186" s="359">
        <f>-H3186*('DRE + DCF'!$V$33+K3186)/'DRE + DCF'!$V$33</f>
        <v>-90858.801614444121</v>
      </c>
      <c r="J3186" s="359">
        <f>-'DRE + DCF'!$V$56*L3186</f>
        <v>-1188924.4255577971</v>
      </c>
      <c r="K3186" s="360">
        <f>(1+L3186)/(1+Ke!$O$12)-1</f>
        <v>2.0000000000000018E-2</v>
      </c>
      <c r="L3186" s="360">
        <f>'DRE + DCF'!$Y$31</f>
        <v>7.3550000000000004E-2</v>
      </c>
      <c r="M3186" s="361">
        <f>(1+D3186)^((5-Dashboard!$F$9)*3/12)</f>
        <v>1.28108307709327</v>
      </c>
      <c r="N3186" s="361">
        <f t="shared" ref="N3186:V3186" si="3273">M3186*(1+$D3186)</f>
        <v>1.7824349393136854</v>
      </c>
      <c r="O3186" s="361">
        <f t="shared" si="3273"/>
        <v>2.4799908528140464</v>
      </c>
      <c r="P3186" s="361">
        <f t="shared" si="3273"/>
        <v>3.4505352730627541</v>
      </c>
      <c r="Q3186" s="361">
        <f t="shared" si="3273"/>
        <v>4.8009022521757663</v>
      </c>
      <c r="R3186" s="361">
        <f t="shared" si="3273"/>
        <v>6.6797353485646189</v>
      </c>
      <c r="S3186" s="361">
        <f t="shared" si="3273"/>
        <v>9.293849777225196</v>
      </c>
      <c r="T3186" s="361">
        <f t="shared" si="3273"/>
        <v>12.930997887542016</v>
      </c>
      <c r="U3186" s="361">
        <f t="shared" si="3273"/>
        <v>17.991543910831226</v>
      </c>
      <c r="V3186" s="362">
        <f t="shared" si="3273"/>
        <v>25.032534620334523</v>
      </c>
      <c r="X3186" s="351"/>
    </row>
    <row r="3187" spans="3:24" ht="24.75" customHeight="1" x14ac:dyDescent="0.3">
      <c r="C3187" s="353">
        <f>ABS(E3187-Dashboard!$F$14)</f>
        <v>61.007647758595134</v>
      </c>
      <c r="D3187" s="350">
        <f t="shared" si="3237"/>
        <v>0.39144999999997215</v>
      </c>
      <c r="E3187" s="359" cm="1">
        <f t="array" ref="E3187">1000*SUM('DRE + DCF'!$L$36/M3187,'DRE + DCF'!$N$36:$V$36/N3187:V3187,F3187/V3187)/Dashboard!$F$11</f>
        <v>35.982352241404861</v>
      </c>
      <c r="F3187" s="359">
        <f t="shared" si="3235"/>
        <v>6517660.8849425688</v>
      </c>
      <c r="G3187" s="359">
        <f>'DRE + DCF'!$W$31</f>
        <v>2791623.3540418856</v>
      </c>
      <c r="H3187" s="359">
        <f>'DRE + DCF'!$W$32</f>
        <v>81081.931703745853</v>
      </c>
      <c r="I3187" s="359">
        <f>-H3187*('DRE + DCF'!$V$33+K3187)/'DRE + DCF'!$V$33</f>
        <v>-90858.801614444121</v>
      </c>
      <c r="J3187" s="359">
        <f>-'DRE + DCF'!$V$56*L3187</f>
        <v>-1188924.4255577971</v>
      </c>
      <c r="K3187" s="360">
        <f>(1+L3187)/(1+Ke!$O$12)-1</f>
        <v>2.0000000000000018E-2</v>
      </c>
      <c r="L3187" s="360">
        <f>'DRE + DCF'!$Y$31</f>
        <v>7.3550000000000004E-2</v>
      </c>
      <c r="M3187" s="361">
        <f>(1+D3187)^((5-Dashboard!$F$9)*3/12)</f>
        <v>1.2811521325916035</v>
      </c>
      <c r="N3187" s="361">
        <f t="shared" ref="N3187:V3187" si="3274">M3187*(1+$D3187)</f>
        <v>1.7826591348945511</v>
      </c>
      <c r="O3187" s="361">
        <f t="shared" si="3274"/>
        <v>2.4804810532489734</v>
      </c>
      <c r="P3187" s="361">
        <f t="shared" si="3274"/>
        <v>3.4514653615432147</v>
      </c>
      <c r="Q3187" s="361">
        <f t="shared" si="3274"/>
        <v>4.8025414773192097</v>
      </c>
      <c r="R3187" s="361">
        <f t="shared" si="3274"/>
        <v>6.6824963386156799</v>
      </c>
      <c r="S3187" s="361">
        <f t="shared" si="3274"/>
        <v>9.2983595303666018</v>
      </c>
      <c r="T3187" s="361">
        <f t="shared" si="3274"/>
        <v>12.938202368528348</v>
      </c>
      <c r="U3187" s="361">
        <f t="shared" si="3274"/>
        <v>18.002861685688408</v>
      </c>
      <c r="V3187" s="362">
        <f t="shared" si="3274"/>
        <v>25.050081892550633</v>
      </c>
      <c r="X3187" s="351"/>
    </row>
    <row r="3188" spans="3:24" ht="24.75" customHeight="1" x14ac:dyDescent="0.3">
      <c r="C3188" s="353">
        <f>ABS(E3188-Dashboard!$F$14)</f>
        <v>61.021042144512592</v>
      </c>
      <c r="D3188" s="350">
        <f t="shared" si="3237"/>
        <v>0.39154999999997214</v>
      </c>
      <c r="E3188" s="359" cm="1">
        <f t="array" ref="E3188">1000*SUM('DRE + DCF'!$L$36/M3188,'DRE + DCF'!$N$36:$V$36/N3188:V3188,F3188/V3188)/Dashboard!$F$11</f>
        <v>35.968957855487403</v>
      </c>
      <c r="F3188" s="359">
        <f t="shared" si="3235"/>
        <v>6515837.4271715553</v>
      </c>
      <c r="G3188" s="359">
        <f>'DRE + DCF'!$W$31</f>
        <v>2791623.3540418856</v>
      </c>
      <c r="H3188" s="359">
        <f>'DRE + DCF'!$W$32</f>
        <v>81081.931703745853</v>
      </c>
      <c r="I3188" s="359">
        <f>-H3188*('DRE + DCF'!$V$33+K3188)/'DRE + DCF'!$V$33</f>
        <v>-90858.801614444121</v>
      </c>
      <c r="J3188" s="359">
        <f>-'DRE + DCF'!$V$56*L3188</f>
        <v>-1188924.4255577971</v>
      </c>
      <c r="K3188" s="360">
        <f>(1+L3188)/(1+Ke!$O$12)-1</f>
        <v>2.0000000000000018E-2</v>
      </c>
      <c r="L3188" s="360">
        <f>'DRE + DCF'!$Y$31</f>
        <v>7.3550000000000004E-2</v>
      </c>
      <c r="M3188" s="361">
        <f>(1+D3188)^((5-Dashboard!$F$9)*3/12)</f>
        <v>1.2812211868492371</v>
      </c>
      <c r="N3188" s="361">
        <f t="shared" ref="N3188:V3188" si="3275">M3188*(1+$D3188)</f>
        <v>1.7828833425600201</v>
      </c>
      <c r="O3188" s="361">
        <f t="shared" si="3275"/>
        <v>2.4809713153393465</v>
      </c>
      <c r="P3188" s="361">
        <f t="shared" si="3275"/>
        <v>3.4523956338603985</v>
      </c>
      <c r="Q3188" s="361">
        <f t="shared" si="3275"/>
        <v>4.8041811442983411</v>
      </c>
      <c r="R3188" s="361">
        <f t="shared" si="3275"/>
        <v>6.6852582713482223</v>
      </c>
      <c r="S3188" s="361">
        <f t="shared" si="3275"/>
        <v>9.3028711474944323</v>
      </c>
      <c r="T3188" s="361">
        <f t="shared" si="3275"/>
        <v>12.945410345295617</v>
      </c>
      <c r="U3188" s="361">
        <f t="shared" si="3275"/>
        <v>18.014185765995755</v>
      </c>
      <c r="V3188" s="362">
        <f t="shared" si="3275"/>
        <v>25.067640202670891</v>
      </c>
      <c r="X3188" s="351"/>
    </row>
    <row r="3189" spans="3:24" ht="24.75" customHeight="1" x14ac:dyDescent="0.3">
      <c r="C3189" s="353">
        <f>ABS(E3189-Dashboard!$F$14)</f>
        <v>61.034427283393079</v>
      </c>
      <c r="D3189" s="350">
        <f t="shared" si="3237"/>
        <v>0.39164999999997213</v>
      </c>
      <c r="E3189" s="359" cm="1">
        <f t="array" ref="E3189">1000*SUM('DRE + DCF'!$L$36/M3189,'DRE + DCF'!$N$36:$V$36/N3189:V3189,F3189/V3189)/Dashboard!$F$11</f>
        <v>35.955572716606916</v>
      </c>
      <c r="F3189" s="359">
        <f t="shared" si="3235"/>
        <v>6514015.0004340839</v>
      </c>
      <c r="G3189" s="359">
        <f>'DRE + DCF'!$W$31</f>
        <v>2791623.3540418856</v>
      </c>
      <c r="H3189" s="359">
        <f>'DRE + DCF'!$W$32</f>
        <v>81081.931703745853</v>
      </c>
      <c r="I3189" s="359">
        <f>-H3189*('DRE + DCF'!$V$33+K3189)/'DRE + DCF'!$V$33</f>
        <v>-90858.801614444121</v>
      </c>
      <c r="J3189" s="359">
        <f>-'DRE + DCF'!$V$56*L3189</f>
        <v>-1188924.4255577971</v>
      </c>
      <c r="K3189" s="360">
        <f>(1+L3189)/(1+Ke!$O$12)-1</f>
        <v>2.0000000000000018E-2</v>
      </c>
      <c r="L3189" s="360">
        <f>'DRE + DCF'!$Y$31</f>
        <v>7.3550000000000004E-2</v>
      </c>
      <c r="M3189" s="361">
        <f>(1+D3189)^((5-Dashboard!$F$9)*3/12)</f>
        <v>1.2812902398662822</v>
      </c>
      <c r="N3189" s="361">
        <f t="shared" ref="N3189:V3189" si="3276">M3189*(1+$D3189)</f>
        <v>1.7831075623098758</v>
      </c>
      <c r="O3189" s="361">
        <f t="shared" si="3276"/>
        <v>2.4814616390884887</v>
      </c>
      <c r="P3189" s="361">
        <f t="shared" si="3276"/>
        <v>3.4533260900374261</v>
      </c>
      <c r="Q3189" s="361">
        <f t="shared" si="3276"/>
        <v>4.8058212532004871</v>
      </c>
      <c r="R3189" s="361">
        <f t="shared" si="3276"/>
        <v>6.6880211470163236</v>
      </c>
      <c r="S3189" s="361">
        <f t="shared" si="3276"/>
        <v>9.3073846292450799</v>
      </c>
      <c r="T3189" s="361">
        <f t="shared" si="3276"/>
        <v>12.952621819288655</v>
      </c>
      <c r="U3189" s="361">
        <f t="shared" si="3276"/>
        <v>18.025516154812696</v>
      </c>
      <c r="V3189" s="362">
        <f t="shared" si="3276"/>
        <v>25.085209556844585</v>
      </c>
      <c r="X3189" s="351"/>
    </row>
    <row r="3190" spans="3:24" ht="24.75" customHeight="1" x14ac:dyDescent="0.3">
      <c r="C3190" s="353">
        <f>ABS(E3190-Dashboard!$F$14)</f>
        <v>61.047803184191345</v>
      </c>
      <c r="D3190" s="350">
        <f t="shared" si="3237"/>
        <v>0.39174999999997212</v>
      </c>
      <c r="E3190" s="359" cm="1">
        <f t="array" ref="E3190">1000*SUM('DRE + DCF'!$L$36/M3190,'DRE + DCF'!$N$36:$V$36/N3190:V3190,F3190/V3190)/Dashboard!$F$11</f>
        <v>35.94219681580865</v>
      </c>
      <c r="F3190" s="359">
        <f t="shared" si="3235"/>
        <v>6512193.6038464643</v>
      </c>
      <c r="G3190" s="359">
        <f>'DRE + DCF'!$W$31</f>
        <v>2791623.3540418856</v>
      </c>
      <c r="H3190" s="359">
        <f>'DRE + DCF'!$W$32</f>
        <v>81081.931703745853</v>
      </c>
      <c r="I3190" s="359">
        <f>-H3190*('DRE + DCF'!$V$33+K3190)/'DRE + DCF'!$V$33</f>
        <v>-90858.801614444121</v>
      </c>
      <c r="J3190" s="359">
        <f>-'DRE + DCF'!$V$56*L3190</f>
        <v>-1188924.4255577971</v>
      </c>
      <c r="K3190" s="360">
        <f>(1+L3190)/(1+Ke!$O$12)-1</f>
        <v>2.0000000000000018E-2</v>
      </c>
      <c r="L3190" s="360">
        <f>'DRE + DCF'!$Y$31</f>
        <v>7.3550000000000004E-2</v>
      </c>
      <c r="M3190" s="361">
        <f>(1+D3190)^((5-Dashboard!$F$9)*3/12)</f>
        <v>1.2813592916428502</v>
      </c>
      <c r="N3190" s="361">
        <f t="shared" ref="N3190:V3190" si="3277">M3190*(1+$D3190)</f>
        <v>1.7833317941439011</v>
      </c>
      <c r="O3190" s="361">
        <f t="shared" si="3277"/>
        <v>2.4819520244997246</v>
      </c>
      <c r="P3190" s="361">
        <f t="shared" si="3277"/>
        <v>3.4542567300974225</v>
      </c>
      <c r="Q3190" s="361">
        <f t="shared" si="3277"/>
        <v>4.8074618041129913</v>
      </c>
      <c r="R3190" s="361">
        <f t="shared" si="3277"/>
        <v>6.690784965874121</v>
      </c>
      <c r="S3190" s="361">
        <f t="shared" si="3277"/>
        <v>9.3118999762551216</v>
      </c>
      <c r="T3190" s="361">
        <f t="shared" si="3277"/>
        <v>12.959836791952805</v>
      </c>
      <c r="U3190" s="361">
        <f t="shared" si="3277"/>
        <v>18.036852855199953</v>
      </c>
      <c r="V3190" s="362">
        <f t="shared" si="3277"/>
        <v>25.10278996122403</v>
      </c>
      <c r="X3190" s="351"/>
    </row>
    <row r="3191" spans="3:24" ht="24.75" customHeight="1" x14ac:dyDescent="0.3">
      <c r="C3191" s="353">
        <f>ABS(E3191-Dashboard!$F$14)</f>
        <v>61.061169855851105</v>
      </c>
      <c r="D3191" s="350">
        <f t="shared" si="3237"/>
        <v>0.39184999999997211</v>
      </c>
      <c r="E3191" s="359" cm="1">
        <f t="array" ref="E3191">1000*SUM('DRE + DCF'!$L$36/M3191,'DRE + DCF'!$N$36:$V$36/N3191:V3191,F3191/V3191)/Dashboard!$F$11</f>
        <v>35.92883014414889</v>
      </c>
      <c r="F3191" s="359">
        <f t="shared" si="3235"/>
        <v>6510373.2365260292</v>
      </c>
      <c r="G3191" s="359">
        <f>'DRE + DCF'!$W$31</f>
        <v>2791623.3540418856</v>
      </c>
      <c r="H3191" s="359">
        <f>'DRE + DCF'!$W$32</f>
        <v>81081.931703745853</v>
      </c>
      <c r="I3191" s="359">
        <f>-H3191*('DRE + DCF'!$V$33+K3191)/'DRE + DCF'!$V$33</f>
        <v>-90858.801614444121</v>
      </c>
      <c r="J3191" s="359">
        <f>-'DRE + DCF'!$V$56*L3191</f>
        <v>-1188924.4255577971</v>
      </c>
      <c r="K3191" s="360">
        <f>(1+L3191)/(1+Ke!$O$12)-1</f>
        <v>2.0000000000000018E-2</v>
      </c>
      <c r="L3191" s="360">
        <f>'DRE + DCF'!$Y$31</f>
        <v>7.3550000000000004E-2</v>
      </c>
      <c r="M3191" s="361">
        <f>(1+D3191)^((5-Dashboard!$F$9)*3/12)</f>
        <v>1.2814283421790524</v>
      </c>
      <c r="N3191" s="361">
        <f t="shared" ref="N3191:V3191" si="3278">M3191*(1+$D3191)</f>
        <v>1.7835560380618782</v>
      </c>
      <c r="O3191" s="361">
        <f t="shared" si="3278"/>
        <v>2.4824424715763755</v>
      </c>
      <c r="P3191" s="361">
        <f t="shared" si="3278"/>
        <v>3.4551875540635089</v>
      </c>
      <c r="Q3191" s="361">
        <f t="shared" si="3278"/>
        <v>4.8091027971231979</v>
      </c>
      <c r="R3191" s="361">
        <f t="shared" si="3278"/>
        <v>6.693549728175789</v>
      </c>
      <c r="S3191" s="361">
        <f t="shared" si="3278"/>
        <v>9.3164171891612853</v>
      </c>
      <c r="T3191" s="361">
        <f t="shared" si="3278"/>
        <v>12.967055264733874</v>
      </c>
      <c r="U3191" s="361">
        <f t="shared" si="3278"/>
        <v>18.04819587021948</v>
      </c>
      <c r="V3191" s="362">
        <f t="shared" si="3278"/>
        <v>25.120381421964478</v>
      </c>
      <c r="X3191" s="351"/>
    </row>
    <row r="3192" spans="3:24" ht="24.75" customHeight="1" x14ac:dyDescent="0.3">
      <c r="C3192" s="353">
        <f>ABS(E3192-Dashboard!$F$14)</f>
        <v>61.074527307305068</v>
      </c>
      <c r="D3192" s="350">
        <f t="shared" si="3237"/>
        <v>0.3919499999999721</v>
      </c>
      <c r="E3192" s="359" cm="1">
        <f t="array" ref="E3192">1000*SUM('DRE + DCF'!$L$36/M3192,'DRE + DCF'!$N$36:$V$36/N3192:V3192,F3192/V3192)/Dashboard!$F$11</f>
        <v>35.915472692694927</v>
      </c>
      <c r="F3192" s="359">
        <f t="shared" si="3235"/>
        <v>6508553.8975911243</v>
      </c>
      <c r="G3192" s="359">
        <f>'DRE + DCF'!$W$31</f>
        <v>2791623.3540418856</v>
      </c>
      <c r="H3192" s="359">
        <f>'DRE + DCF'!$W$32</f>
        <v>81081.931703745853</v>
      </c>
      <c r="I3192" s="359">
        <f>-H3192*('DRE + DCF'!$V$33+K3192)/'DRE + DCF'!$V$33</f>
        <v>-90858.801614444121</v>
      </c>
      <c r="J3192" s="359">
        <f>-'DRE + DCF'!$V$56*L3192</f>
        <v>-1188924.4255577971</v>
      </c>
      <c r="K3192" s="360">
        <f>(1+L3192)/(1+Ke!$O$12)-1</f>
        <v>2.0000000000000018E-2</v>
      </c>
      <c r="L3192" s="360">
        <f>'DRE + DCF'!$Y$31</f>
        <v>7.3550000000000004E-2</v>
      </c>
      <c r="M3192" s="361">
        <f>(1+D3192)^((5-Dashboard!$F$9)*3/12)</f>
        <v>1.2814973914750005</v>
      </c>
      <c r="N3192" s="361">
        <f t="shared" ref="N3192:V3192" si="3279">M3192*(1+$D3192)</f>
        <v>1.7837802940635912</v>
      </c>
      <c r="O3192" s="361">
        <f t="shared" si="3279"/>
        <v>2.4829329803217659</v>
      </c>
      <c r="P3192" s="361">
        <f t="shared" si="3279"/>
        <v>3.4561185619588128</v>
      </c>
      <c r="Q3192" s="361">
        <f t="shared" si="3279"/>
        <v>4.8107442323184726</v>
      </c>
      <c r="R3192" s="361">
        <f t="shared" si="3279"/>
        <v>6.6963154341755633</v>
      </c>
      <c r="S3192" s="361">
        <f t="shared" si="3279"/>
        <v>9.3209362686004873</v>
      </c>
      <c r="T3192" s="361">
        <f t="shared" si="3279"/>
        <v>12.974277239078187</v>
      </c>
      <c r="U3192" s="361">
        <f t="shared" si="3279"/>
        <v>18.059545202934519</v>
      </c>
      <c r="V3192" s="362">
        <f t="shared" si="3279"/>
        <v>25.1379839452242</v>
      </c>
      <c r="X3192" s="351"/>
    </row>
    <row r="3193" spans="3:24" ht="24.75" customHeight="1" x14ac:dyDescent="0.3">
      <c r="C3193" s="353">
        <f>ABS(E3193-Dashboard!$F$14)</f>
        <v>61.087875547474908</v>
      </c>
      <c r="D3193" s="350">
        <f t="shared" si="3237"/>
        <v>0.39204999999997209</v>
      </c>
      <c r="E3193" s="359" cm="1">
        <f t="array" ref="E3193">1000*SUM('DRE + DCF'!$L$36/M3193,'DRE + DCF'!$N$36:$V$36/N3193:V3193,F3193/V3193)/Dashboard!$F$11</f>
        <v>35.902124452525086</v>
      </c>
      <c r="F3193" s="359">
        <f t="shared" si="3235"/>
        <v>6506735.586161118</v>
      </c>
      <c r="G3193" s="359">
        <f>'DRE + DCF'!$W$31</f>
        <v>2791623.3540418856</v>
      </c>
      <c r="H3193" s="359">
        <f>'DRE + DCF'!$W$32</f>
        <v>81081.931703745853</v>
      </c>
      <c r="I3193" s="359">
        <f>-H3193*('DRE + DCF'!$V$33+K3193)/'DRE + DCF'!$V$33</f>
        <v>-90858.801614444121</v>
      </c>
      <c r="J3193" s="359">
        <f>-'DRE + DCF'!$V$56*L3193</f>
        <v>-1188924.4255577971</v>
      </c>
      <c r="K3193" s="360">
        <f>(1+L3193)/(1+Ke!$O$12)-1</f>
        <v>2.0000000000000018E-2</v>
      </c>
      <c r="L3193" s="360">
        <f>'DRE + DCF'!$Y$31</f>
        <v>7.3550000000000004E-2</v>
      </c>
      <c r="M3193" s="361">
        <f>(1+D3193)^((5-Dashboard!$F$9)*3/12)</f>
        <v>1.2815664395308057</v>
      </c>
      <c r="N3193" s="361">
        <f t="shared" ref="N3193:V3193" si="3280">M3193*(1+$D3193)</f>
        <v>1.7840045621488223</v>
      </c>
      <c r="O3193" s="361">
        <f t="shared" si="3280"/>
        <v>2.4834235507392184</v>
      </c>
      <c r="P3193" s="361">
        <f t="shared" si="3280"/>
        <v>3.4570497538064595</v>
      </c>
      <c r="Q3193" s="361">
        <f t="shared" si="3280"/>
        <v>4.8123861097861855</v>
      </c>
      <c r="R3193" s="361">
        <f t="shared" si="3280"/>
        <v>6.699082084127725</v>
      </c>
      <c r="S3193" s="361">
        <f t="shared" si="3280"/>
        <v>9.3254572152098127</v>
      </c>
      <c r="T3193" s="361">
        <f t="shared" si="3280"/>
        <v>12.981502716432558</v>
      </c>
      <c r="U3193" s="361">
        <f t="shared" si="3280"/>
        <v>18.07090085640958</v>
      </c>
      <c r="V3193" s="362">
        <f t="shared" si="3280"/>
        <v>25.15559753716445</v>
      </c>
      <c r="X3193" s="351"/>
    </row>
    <row r="3194" spans="3:24" ht="24.75" customHeight="1" x14ac:dyDescent="0.3">
      <c r="C3194" s="353">
        <f>ABS(E3194-Dashboard!$F$14)</f>
        <v>61.101214585271322</v>
      </c>
      <c r="D3194" s="350">
        <f t="shared" si="3237"/>
        <v>0.39214999999997208</v>
      </c>
      <c r="E3194" s="359" cm="1">
        <f t="array" ref="E3194">1000*SUM('DRE + DCF'!$L$36/M3194,'DRE + DCF'!$N$36:$V$36/N3194:V3194,F3194/V3194)/Dashboard!$F$11</f>
        <v>35.888785414728673</v>
      </c>
      <c r="F3194" s="359">
        <f t="shared" si="3235"/>
        <v>6504918.301356391</v>
      </c>
      <c r="G3194" s="359">
        <f>'DRE + DCF'!$W$31</f>
        <v>2791623.3540418856</v>
      </c>
      <c r="H3194" s="359">
        <f>'DRE + DCF'!$W$32</f>
        <v>81081.931703745853</v>
      </c>
      <c r="I3194" s="359">
        <f>-H3194*('DRE + DCF'!$V$33+K3194)/'DRE + DCF'!$V$33</f>
        <v>-90858.801614444121</v>
      </c>
      <c r="J3194" s="359">
        <f>-'DRE + DCF'!$V$56*L3194</f>
        <v>-1188924.4255577971</v>
      </c>
      <c r="K3194" s="360">
        <f>(1+L3194)/(1+Ke!$O$12)-1</f>
        <v>2.0000000000000018E-2</v>
      </c>
      <c r="L3194" s="360">
        <f>'DRE + DCF'!$Y$31</f>
        <v>7.3550000000000004E-2</v>
      </c>
      <c r="M3194" s="361">
        <f>(1+D3194)^((5-Dashboard!$F$9)*3/12)</f>
        <v>1.2816354863465793</v>
      </c>
      <c r="N3194" s="361">
        <f t="shared" ref="N3194:V3194" si="3281">M3194*(1+$D3194)</f>
        <v>1.7842288423173545</v>
      </c>
      <c r="O3194" s="361">
        <f t="shared" si="3281"/>
        <v>2.4839141828320552</v>
      </c>
      <c r="P3194" s="361">
        <f t="shared" si="3281"/>
        <v>3.4579811296295762</v>
      </c>
      <c r="Q3194" s="361">
        <f t="shared" si="3281"/>
        <v>4.8140284296137175</v>
      </c>
      <c r="R3194" s="361">
        <f t="shared" si="3281"/>
        <v>6.7018496782866022</v>
      </c>
      <c r="S3194" s="361">
        <f t="shared" si="3281"/>
        <v>9.3299800296265065</v>
      </c>
      <c r="T3194" s="361">
        <f t="shared" si="3281"/>
        <v>12.98873169824428</v>
      </c>
      <c r="U3194" s="361">
        <f t="shared" si="3281"/>
        <v>18.082262833710409</v>
      </c>
      <c r="V3194" s="362">
        <f t="shared" si="3281"/>
        <v>25.17322220394944</v>
      </c>
      <c r="X3194" s="351"/>
    </row>
    <row r="3195" spans="3:24" ht="24.75" customHeight="1" x14ac:dyDescent="0.3">
      <c r="C3195" s="353">
        <f>ABS(E3195-Dashboard!$F$14)</f>
        <v>61.114544429594048</v>
      </c>
      <c r="D3195" s="350">
        <f t="shared" si="3237"/>
        <v>0.39224999999997207</v>
      </c>
      <c r="E3195" s="359" cm="1">
        <f t="array" ref="E3195">1000*SUM('DRE + DCF'!$L$36/M3195,'DRE + DCF'!$N$36:$V$36/N3195:V3195,F3195/V3195)/Dashboard!$F$11</f>
        <v>35.875455570405947</v>
      </c>
      <c r="F3195" s="359">
        <f t="shared" si="3235"/>
        <v>6503102.0422983412</v>
      </c>
      <c r="G3195" s="359">
        <f>'DRE + DCF'!$W$31</f>
        <v>2791623.3540418856</v>
      </c>
      <c r="H3195" s="359">
        <f>'DRE + DCF'!$W$32</f>
        <v>81081.931703745853</v>
      </c>
      <c r="I3195" s="359">
        <f>-H3195*('DRE + DCF'!$V$33+K3195)/'DRE + DCF'!$V$33</f>
        <v>-90858.801614444121</v>
      </c>
      <c r="J3195" s="359">
        <f>-'DRE + DCF'!$V$56*L3195</f>
        <v>-1188924.4255577971</v>
      </c>
      <c r="K3195" s="360">
        <f>(1+L3195)/(1+Ke!$O$12)-1</f>
        <v>2.0000000000000018E-2</v>
      </c>
      <c r="L3195" s="360">
        <f>'DRE + DCF'!$Y$31</f>
        <v>7.3550000000000004E-2</v>
      </c>
      <c r="M3195" s="361">
        <f>(1+D3195)^((5-Dashboard!$F$9)*3/12)</f>
        <v>1.2817045319224327</v>
      </c>
      <c r="N3195" s="361">
        <f t="shared" ref="N3195:V3195" si="3282">M3195*(1+$D3195)</f>
        <v>1.7844531345689711</v>
      </c>
      <c r="O3195" s="361">
        <f t="shared" si="3282"/>
        <v>2.4844048766036</v>
      </c>
      <c r="P3195" s="361">
        <f t="shared" si="3282"/>
        <v>3.4589126894512927</v>
      </c>
      <c r="Q3195" s="361">
        <f t="shared" si="3282"/>
        <v>4.8156711918884652</v>
      </c>
      <c r="R3195" s="361">
        <f t="shared" si="3282"/>
        <v>6.7046182169065807</v>
      </c>
      <c r="S3195" s="361">
        <f t="shared" si="3282"/>
        <v>9.3345047124880001</v>
      </c>
      <c r="T3195" s="361">
        <f t="shared" si="3282"/>
        <v>12.995964185961157</v>
      </c>
      <c r="U3195" s="361">
        <f t="shared" si="3282"/>
        <v>18.093631137904058</v>
      </c>
      <c r="V3195" s="362">
        <f t="shared" si="3282"/>
        <v>25.19085795174642</v>
      </c>
      <c r="X3195" s="351"/>
    </row>
    <row r="3196" spans="3:24" ht="24.75" customHeight="1" x14ac:dyDescent="0.3">
      <c r="C3196" s="353">
        <f>ABS(E3196-Dashboard!$F$14)</f>
        <v>61.127865089331856</v>
      </c>
      <c r="D3196" s="350">
        <f t="shared" si="3237"/>
        <v>0.39234999999997205</v>
      </c>
      <c r="E3196" s="359" cm="1">
        <f t="array" ref="E3196">1000*SUM('DRE + DCF'!$L$36/M3196,'DRE + DCF'!$N$36:$V$36/N3196:V3196,F3196/V3196)/Dashboard!$F$11</f>
        <v>35.862134910668139</v>
      </c>
      <c r="F3196" s="359">
        <f t="shared" si="3235"/>
        <v>6501286.8081093766</v>
      </c>
      <c r="G3196" s="359">
        <f>'DRE + DCF'!$W$31</f>
        <v>2791623.3540418856</v>
      </c>
      <c r="H3196" s="359">
        <f>'DRE + DCF'!$W$32</f>
        <v>81081.931703745853</v>
      </c>
      <c r="I3196" s="359">
        <f>-H3196*('DRE + DCF'!$V$33+K3196)/'DRE + DCF'!$V$33</f>
        <v>-90858.801614444121</v>
      </c>
      <c r="J3196" s="359">
        <f>-'DRE + DCF'!$V$56*L3196</f>
        <v>-1188924.4255577971</v>
      </c>
      <c r="K3196" s="360">
        <f>(1+L3196)/(1+Ke!$O$12)-1</f>
        <v>2.0000000000000018E-2</v>
      </c>
      <c r="L3196" s="360">
        <f>'DRE + DCF'!$Y$31</f>
        <v>7.3550000000000004E-2</v>
      </c>
      <c r="M3196" s="361">
        <f>(1+D3196)^((5-Dashboard!$F$9)*3/12)</f>
        <v>1.2817735762584774</v>
      </c>
      <c r="N3196" s="361">
        <f t="shared" ref="N3196:V3196" si="3283">M3196*(1+$D3196)</f>
        <v>1.7846774389034552</v>
      </c>
      <c r="O3196" s="361">
        <f t="shared" si="3283"/>
        <v>2.4848956320571758</v>
      </c>
      <c r="P3196" s="361">
        <f t="shared" si="3283"/>
        <v>3.4598444332947391</v>
      </c>
      <c r="Q3196" s="361">
        <f t="shared" si="3283"/>
        <v>4.8173143966978333</v>
      </c>
      <c r="R3196" s="361">
        <f t="shared" si="3283"/>
        <v>6.7073877002420934</v>
      </c>
      <c r="S3196" s="361">
        <f t="shared" si="3283"/>
        <v>9.3390312644318918</v>
      </c>
      <c r="T3196" s="361">
        <f t="shared" si="3283"/>
        <v>13.003200181031483</v>
      </c>
      <c r="U3196" s="361">
        <f t="shared" si="3283"/>
        <v>18.105005772058821</v>
      </c>
      <c r="V3196" s="362">
        <f t="shared" si="3283"/>
        <v>25.208504786725591</v>
      </c>
      <c r="X3196" s="351"/>
    </row>
    <row r="3197" spans="3:24" ht="24.75" customHeight="1" x14ac:dyDescent="0.3">
      <c r="C3197" s="353">
        <f>ABS(E3197-Dashboard!$F$14)</f>
        <v>61.141176573362593</v>
      </c>
      <c r="D3197" s="350">
        <f t="shared" si="3237"/>
        <v>0.39244999999997204</v>
      </c>
      <c r="E3197" s="359" cm="1">
        <f t="array" ref="E3197">1000*SUM('DRE + DCF'!$L$36/M3197,'DRE + DCF'!$N$36:$V$36/N3197:V3197,F3197/V3197)/Dashboard!$F$11</f>
        <v>35.848823426637402</v>
      </c>
      <c r="F3197" s="359">
        <f t="shared" si="3235"/>
        <v>6499472.5979129206</v>
      </c>
      <c r="G3197" s="359">
        <f>'DRE + DCF'!$W$31</f>
        <v>2791623.3540418856</v>
      </c>
      <c r="H3197" s="359">
        <f>'DRE + DCF'!$W$32</f>
        <v>81081.931703745853</v>
      </c>
      <c r="I3197" s="359">
        <f>-H3197*('DRE + DCF'!$V$33+K3197)/'DRE + DCF'!$V$33</f>
        <v>-90858.801614444121</v>
      </c>
      <c r="J3197" s="359">
        <f>-'DRE + DCF'!$V$56*L3197</f>
        <v>-1188924.4255577971</v>
      </c>
      <c r="K3197" s="360">
        <f>(1+L3197)/(1+Ke!$O$12)-1</f>
        <v>2.0000000000000018E-2</v>
      </c>
      <c r="L3197" s="360">
        <f>'DRE + DCF'!$Y$31</f>
        <v>7.3550000000000004E-2</v>
      </c>
      <c r="M3197" s="361">
        <f>(1+D3197)^((5-Dashboard!$F$9)*3/12)</f>
        <v>1.2818426193548245</v>
      </c>
      <c r="N3197" s="361">
        <f t="shared" ref="N3197:V3197" si="3284">M3197*(1+$D3197)</f>
        <v>1.7849017553205895</v>
      </c>
      <c r="O3197" s="361">
        <f t="shared" si="3284"/>
        <v>2.4853864491961049</v>
      </c>
      <c r="P3197" s="361">
        <f t="shared" si="3284"/>
        <v>3.4607763611830467</v>
      </c>
      <c r="Q3197" s="361">
        <f t="shared" si="3284"/>
        <v>4.8189580441292366</v>
      </c>
      <c r="R3197" s="361">
        <f t="shared" si="3284"/>
        <v>6.7101581285476204</v>
      </c>
      <c r="S3197" s="361">
        <f t="shared" si="3284"/>
        <v>9.3435596860959453</v>
      </c>
      <c r="T3197" s="361">
        <f t="shared" si="3284"/>
        <v>13.010439684904037</v>
      </c>
      <c r="U3197" s="361">
        <f t="shared" si="3284"/>
        <v>18.116386739244263</v>
      </c>
      <c r="V3197" s="362">
        <f t="shared" si="3284"/>
        <v>25.226162715060166</v>
      </c>
      <c r="X3197" s="351"/>
    </row>
    <row r="3198" spans="3:24" ht="24.75" customHeight="1" x14ac:dyDescent="0.3">
      <c r="C3198" s="353">
        <f>ABS(E3198-Dashboard!$F$14)</f>
        <v>61.154478890553158</v>
      </c>
      <c r="D3198" s="350">
        <f t="shared" si="3237"/>
        <v>0.39254999999997203</v>
      </c>
      <c r="E3198" s="359" cm="1">
        <f t="array" ref="E3198">1000*SUM('DRE + DCF'!$L$36/M3198,'DRE + DCF'!$N$36:$V$36/N3198:V3198,F3198/V3198)/Dashboard!$F$11</f>
        <v>35.835521109446837</v>
      </c>
      <c r="F3198" s="359">
        <f t="shared" si="3235"/>
        <v>6497659.4108334016</v>
      </c>
      <c r="G3198" s="359">
        <f>'DRE + DCF'!$W$31</f>
        <v>2791623.3540418856</v>
      </c>
      <c r="H3198" s="359">
        <f>'DRE + DCF'!$W$32</f>
        <v>81081.931703745853</v>
      </c>
      <c r="I3198" s="359">
        <f>-H3198*('DRE + DCF'!$V$33+K3198)/'DRE + DCF'!$V$33</f>
        <v>-90858.801614444121</v>
      </c>
      <c r="J3198" s="359">
        <f>-'DRE + DCF'!$V$56*L3198</f>
        <v>-1188924.4255577971</v>
      </c>
      <c r="K3198" s="360">
        <f>(1+L3198)/(1+Ke!$O$12)-1</f>
        <v>2.0000000000000018E-2</v>
      </c>
      <c r="L3198" s="360">
        <f>'DRE + DCF'!$Y$31</f>
        <v>7.3550000000000004E-2</v>
      </c>
      <c r="M3198" s="361">
        <f>(1+D3198)^((5-Dashboard!$F$9)*3/12)</f>
        <v>1.2819116612115851</v>
      </c>
      <c r="N3198" s="361">
        <f t="shared" ref="N3198:V3198" si="3285">M3198*(1+$D3198)</f>
        <v>1.7851260838201568</v>
      </c>
      <c r="O3198" s="361">
        <f t="shared" si="3285"/>
        <v>2.4858773280237094</v>
      </c>
      <c r="P3198" s="361">
        <f t="shared" si="3285"/>
        <v>3.461708473139347</v>
      </c>
      <c r="Q3198" s="361">
        <f t="shared" si="3285"/>
        <v>4.8206021342701009</v>
      </c>
      <c r="R3198" s="361">
        <f t="shared" si="3285"/>
        <v>6.712929502077694</v>
      </c>
      <c r="S3198" s="361">
        <f t="shared" si="3285"/>
        <v>9.3480899781181055</v>
      </c>
      <c r="T3198" s="361">
        <f t="shared" si="3285"/>
        <v>13.017682699028105</v>
      </c>
      <c r="U3198" s="361">
        <f t="shared" si="3285"/>
        <v>18.127774042531222</v>
      </c>
      <c r="V3198" s="362">
        <f t="shared" si="3285"/>
        <v>25.243831742926346</v>
      </c>
      <c r="X3198" s="351"/>
    </row>
    <row r="3199" spans="3:24" ht="24.75" customHeight="1" x14ac:dyDescent="0.3">
      <c r="C3199" s="353">
        <f>ABS(E3199-Dashboard!$F$14)</f>
        <v>61.16777204975957</v>
      </c>
      <c r="D3199" s="350">
        <f t="shared" si="3237"/>
        <v>0.39264999999997202</v>
      </c>
      <c r="E3199" s="359" cm="1">
        <f t="array" ref="E3199">1000*SUM('DRE + DCF'!$L$36/M3199,'DRE + DCF'!$N$36:$V$36/N3199:V3199,F3199/V3199)/Dashboard!$F$11</f>
        <v>35.822227950240425</v>
      </c>
      <c r="F3199" s="359">
        <f t="shared" si="3235"/>
        <v>6495847.2459962592</v>
      </c>
      <c r="G3199" s="359">
        <f>'DRE + DCF'!$W$31</f>
        <v>2791623.3540418856</v>
      </c>
      <c r="H3199" s="359">
        <f>'DRE + DCF'!$W$32</f>
        <v>81081.931703745853</v>
      </c>
      <c r="I3199" s="359">
        <f>-H3199*('DRE + DCF'!$V$33+K3199)/'DRE + DCF'!$V$33</f>
        <v>-90858.801614444121</v>
      </c>
      <c r="J3199" s="359">
        <f>-'DRE + DCF'!$V$56*L3199</f>
        <v>-1188924.4255577971</v>
      </c>
      <c r="K3199" s="360">
        <f>(1+L3199)/(1+Ke!$O$12)-1</f>
        <v>2.0000000000000018E-2</v>
      </c>
      <c r="L3199" s="360">
        <f>'DRE + DCF'!$Y$31</f>
        <v>7.3550000000000004E-2</v>
      </c>
      <c r="M3199" s="361">
        <f>(1+D3199)^((5-Dashboard!$F$9)*3/12)</f>
        <v>1.2819807018288709</v>
      </c>
      <c r="N3199" s="361">
        <f t="shared" ref="N3199:V3199" si="3286">M3199*(1+$D3199)</f>
        <v>1.7853504244019411</v>
      </c>
      <c r="O3199" s="361">
        <f t="shared" si="3286"/>
        <v>2.4863682685433135</v>
      </c>
      <c r="P3199" s="361">
        <f t="shared" si="3286"/>
        <v>3.462640769186776</v>
      </c>
      <c r="Q3199" s="361">
        <f t="shared" si="3286"/>
        <v>4.8222466672078665</v>
      </c>
      <c r="R3199" s="361">
        <f t="shared" si="3286"/>
        <v>6.7157018210868999</v>
      </c>
      <c r="S3199" s="361">
        <f t="shared" si="3286"/>
        <v>9.3526221411364823</v>
      </c>
      <c r="T3199" s="361">
        <f t="shared" si="3286"/>
        <v>13.02492922485346</v>
      </c>
      <c r="U3199" s="361">
        <f t="shared" si="3286"/>
        <v>18.139167684991808</v>
      </c>
      <c r="V3199" s="362">
        <f t="shared" si="3286"/>
        <v>25.261511876503331</v>
      </c>
      <c r="X3199" s="351"/>
    </row>
    <row r="3200" spans="3:24" ht="24.75" customHeight="1" x14ac:dyDescent="0.3">
      <c r="C3200" s="353">
        <f>ABS(E3200-Dashboard!$F$14)</f>
        <v>61.181056059826929</v>
      </c>
      <c r="D3200" s="350">
        <f t="shared" si="3237"/>
        <v>0.39274999999997201</v>
      </c>
      <c r="E3200" s="359" cm="1">
        <f t="array" ref="E3200">1000*SUM('DRE + DCF'!$L$36/M3200,'DRE + DCF'!$N$36:$V$36/N3200:V3200,F3200/V3200)/Dashboard!$F$11</f>
        <v>35.808943940173066</v>
      </c>
      <c r="F3200" s="359">
        <f t="shared" si="3235"/>
        <v>6494036.1025279406</v>
      </c>
      <c r="G3200" s="359">
        <f>'DRE + DCF'!$W$31</f>
        <v>2791623.3540418856</v>
      </c>
      <c r="H3200" s="359">
        <f>'DRE + DCF'!$W$32</f>
        <v>81081.931703745853</v>
      </c>
      <c r="I3200" s="359">
        <f>-H3200*('DRE + DCF'!$V$33+K3200)/'DRE + DCF'!$V$33</f>
        <v>-90858.801614444121</v>
      </c>
      <c r="J3200" s="359">
        <f>-'DRE + DCF'!$V$56*L3200</f>
        <v>-1188924.4255577971</v>
      </c>
      <c r="K3200" s="360">
        <f>(1+L3200)/(1+Ke!$O$12)-1</f>
        <v>2.0000000000000018E-2</v>
      </c>
      <c r="L3200" s="360">
        <f>'DRE + DCF'!$Y$31</f>
        <v>7.3550000000000004E-2</v>
      </c>
      <c r="M3200" s="361">
        <f>(1+D3200)^((5-Dashboard!$F$9)*3/12)</f>
        <v>1.2820497412067928</v>
      </c>
      <c r="N3200" s="361">
        <f t="shared" ref="N3200:V3200" si="3287">M3200*(1+$D3200)</f>
        <v>1.7855747770657246</v>
      </c>
      <c r="O3200" s="361">
        <f t="shared" si="3287"/>
        <v>2.486859270758238</v>
      </c>
      <c r="P3200" s="361">
        <f t="shared" si="3287"/>
        <v>3.4635732493484661</v>
      </c>
      <c r="Q3200" s="361">
        <f t="shared" si="3287"/>
        <v>4.8238916430299792</v>
      </c>
      <c r="R3200" s="361">
        <f t="shared" si="3287"/>
        <v>6.7184750858298683</v>
      </c>
      <c r="S3200" s="361">
        <f t="shared" si="3287"/>
        <v>9.3571561757893598</v>
      </c>
      <c r="T3200" s="361">
        <f t="shared" si="3287"/>
        <v>13.032179263830368</v>
      </c>
      <c r="U3200" s="361">
        <f t="shared" si="3287"/>
        <v>18.150567669699381</v>
      </c>
      <c r="V3200" s="362">
        <f t="shared" si="3287"/>
        <v>25.279203121973303</v>
      </c>
      <c r="X3200" s="351"/>
    </row>
    <row r="3201" spans="3:24" ht="24.75" customHeight="1" x14ac:dyDescent="0.3">
      <c r="C3201" s="353">
        <f>ABS(E3201-Dashboard!$F$14)</f>
        <v>61.194330929589512</v>
      </c>
      <c r="D3201" s="350">
        <f t="shared" si="3237"/>
        <v>0.392849999999972</v>
      </c>
      <c r="E3201" s="359" cm="1">
        <f t="array" ref="E3201">1000*SUM('DRE + DCF'!$L$36/M3201,'DRE + DCF'!$N$36:$V$36/N3201:V3201,F3201/V3201)/Dashboard!$F$11</f>
        <v>35.795669070410483</v>
      </c>
      <c r="F3201" s="359">
        <f t="shared" si="3235"/>
        <v>6492225.9795558974</v>
      </c>
      <c r="G3201" s="359">
        <f>'DRE + DCF'!$W$31</f>
        <v>2791623.3540418856</v>
      </c>
      <c r="H3201" s="359">
        <f>'DRE + DCF'!$W$32</f>
        <v>81081.931703745853</v>
      </c>
      <c r="I3201" s="359">
        <f>-H3201*('DRE + DCF'!$V$33+K3201)/'DRE + DCF'!$V$33</f>
        <v>-90858.801614444121</v>
      </c>
      <c r="J3201" s="359">
        <f>-'DRE + DCF'!$V$56*L3201</f>
        <v>-1188924.4255577971</v>
      </c>
      <c r="K3201" s="360">
        <f>(1+L3201)/(1+Ke!$O$12)-1</f>
        <v>2.0000000000000018E-2</v>
      </c>
      <c r="L3201" s="360">
        <f>'DRE + DCF'!$Y$31</f>
        <v>7.3550000000000004E-2</v>
      </c>
      <c r="M3201" s="361">
        <f>(1+D3201)^((5-Dashboard!$F$9)*3/12)</f>
        <v>1.2821187793454623</v>
      </c>
      <c r="N3201" s="361">
        <f t="shared" ref="N3201:V3201" si="3288">M3201*(1+$D3201)</f>
        <v>1.7857991418112911</v>
      </c>
      <c r="O3201" s="361">
        <f t="shared" si="3288"/>
        <v>2.4873503346718069</v>
      </c>
      <c r="P3201" s="361">
        <f t="shared" si="3288"/>
        <v>3.4645059136475562</v>
      </c>
      <c r="Q3201" s="361">
        <f t="shared" si="3288"/>
        <v>4.8255370618239013</v>
      </c>
      <c r="R3201" s="361">
        <f t="shared" si="3288"/>
        <v>6.7212492965612851</v>
      </c>
      <c r="S3201" s="361">
        <f t="shared" si="3288"/>
        <v>9.3616920827151979</v>
      </c>
      <c r="T3201" s="361">
        <f t="shared" si="3288"/>
        <v>13.039432817409601</v>
      </c>
      <c r="U3201" s="361">
        <f t="shared" si="3288"/>
        <v>18.161973999728598</v>
      </c>
      <c r="V3201" s="362">
        <f t="shared" si="3288"/>
        <v>25.296905485521467</v>
      </c>
      <c r="X3201" s="351"/>
    </row>
    <row r="3202" spans="3:24" ht="24.75" customHeight="1" x14ac:dyDescent="0.3">
      <c r="C3202" s="353">
        <f>ABS(E3202-Dashboard!$F$14)</f>
        <v>61.207596667870689</v>
      </c>
      <c r="D3202" s="350">
        <f t="shared" si="3237"/>
        <v>0.39294999999997199</v>
      </c>
      <c r="E3202" s="359" cm="1">
        <f t="array" ref="E3202">1000*SUM('DRE + DCF'!$L$36/M3202,'DRE + DCF'!$N$36:$V$36/N3202:V3202,F3202/V3202)/Dashboard!$F$11</f>
        <v>35.782403332129306</v>
      </c>
      <c r="F3202" s="359">
        <f t="shared" si="3235"/>
        <v>6490416.8762085848</v>
      </c>
      <c r="G3202" s="359">
        <f>'DRE + DCF'!$W$31</f>
        <v>2791623.3540418856</v>
      </c>
      <c r="H3202" s="359">
        <f>'DRE + DCF'!$W$32</f>
        <v>81081.931703745853</v>
      </c>
      <c r="I3202" s="359">
        <f>-H3202*('DRE + DCF'!$V$33+K3202)/'DRE + DCF'!$V$33</f>
        <v>-90858.801614444121</v>
      </c>
      <c r="J3202" s="359">
        <f>-'DRE + DCF'!$V$56*L3202</f>
        <v>-1188924.4255577971</v>
      </c>
      <c r="K3202" s="360">
        <f>(1+L3202)/(1+Ke!$O$12)-1</f>
        <v>2.0000000000000018E-2</v>
      </c>
      <c r="L3202" s="360">
        <f>'DRE + DCF'!$Y$31</f>
        <v>7.3550000000000004E-2</v>
      </c>
      <c r="M3202" s="361">
        <f>(1+D3202)^((5-Dashboard!$F$9)*3/12)</f>
        <v>1.2821878162449902</v>
      </c>
      <c r="N3202" s="361">
        <f t="shared" ref="N3202:V3202" si="3289">M3202*(1+$D3202)</f>
        <v>1.7860235186384232</v>
      </c>
      <c r="O3202" s="361">
        <f t="shared" si="3289"/>
        <v>2.4878414602873415</v>
      </c>
      <c r="P3202" s="361">
        <f t="shared" si="3289"/>
        <v>3.4654387621071825</v>
      </c>
      <c r="Q3202" s="361">
        <f t="shared" si="3289"/>
        <v>4.8271829236771024</v>
      </c>
      <c r="R3202" s="361">
        <f t="shared" si="3289"/>
        <v>6.7240244535358844</v>
      </c>
      <c r="S3202" s="361">
        <f t="shared" si="3289"/>
        <v>9.3662298625526219</v>
      </c>
      <c r="T3202" s="361">
        <f t="shared" si="3289"/>
        <v>13.046689887042412</v>
      </c>
      <c r="U3202" s="361">
        <f t="shared" si="3289"/>
        <v>18.17338667815536</v>
      </c>
      <c r="V3202" s="362">
        <f t="shared" si="3289"/>
        <v>25.314618973336</v>
      </c>
      <c r="X3202" s="351"/>
    </row>
    <row r="3203" spans="3:24" ht="24.75" customHeight="1" x14ac:dyDescent="0.3">
      <c r="C3203" s="353">
        <f>ABS(E3203-Dashboard!$F$14)</f>
        <v>61.220853283482995</v>
      </c>
      <c r="D3203" s="350">
        <f t="shared" si="3237"/>
        <v>0.39304999999997198</v>
      </c>
      <c r="E3203" s="359" cm="1">
        <f t="array" ref="E3203">1000*SUM('DRE + DCF'!$L$36/M3203,'DRE + DCF'!$N$36:$V$36/N3203:V3203,F3203/V3203)/Dashboard!$F$11</f>
        <v>35.769146716517</v>
      </c>
      <c r="F3203" s="359">
        <f t="shared" si="3235"/>
        <v>6488608.7916154638</v>
      </c>
      <c r="G3203" s="359">
        <f>'DRE + DCF'!$W$31</f>
        <v>2791623.3540418856</v>
      </c>
      <c r="H3203" s="359">
        <f>'DRE + DCF'!$W$32</f>
        <v>81081.931703745853</v>
      </c>
      <c r="I3203" s="359">
        <f>-H3203*('DRE + DCF'!$V$33+K3203)/'DRE + DCF'!$V$33</f>
        <v>-90858.801614444121</v>
      </c>
      <c r="J3203" s="359">
        <f>-'DRE + DCF'!$V$56*L3203</f>
        <v>-1188924.4255577971</v>
      </c>
      <c r="K3203" s="360">
        <f>(1+L3203)/(1+Ke!$O$12)-1</f>
        <v>2.0000000000000018E-2</v>
      </c>
      <c r="L3203" s="360">
        <f>'DRE + DCF'!$Y$31</f>
        <v>7.3550000000000004E-2</v>
      </c>
      <c r="M3203" s="361">
        <f>(1+D3203)^((5-Dashboard!$F$9)*3/12)</f>
        <v>1.2822568519054882</v>
      </c>
      <c r="N3203" s="361">
        <f t="shared" ref="N3203:V3203" si="3290">M3203*(1+$D3203)</f>
        <v>1.7862479075469044</v>
      </c>
      <c r="O3203" s="361">
        <f t="shared" si="3290"/>
        <v>2.4883326476081651</v>
      </c>
      <c r="P3203" s="361">
        <f t="shared" si="3290"/>
        <v>3.4663717947504846</v>
      </c>
      <c r="Q3203" s="361">
        <f t="shared" si="3290"/>
        <v>4.8288292286770655</v>
      </c>
      <c r="R3203" s="361">
        <f t="shared" si="3290"/>
        <v>6.7268005570084508</v>
      </c>
      <c r="S3203" s="361">
        <f t="shared" si="3290"/>
        <v>9.3707695159404327</v>
      </c>
      <c r="T3203" s="361">
        <f t="shared" si="3290"/>
        <v>13.053950474180557</v>
      </c>
      <c r="U3203" s="361">
        <f t="shared" si="3290"/>
        <v>18.184805708056857</v>
      </c>
      <c r="V3203" s="362">
        <f t="shared" si="3290"/>
        <v>25.332343591608094</v>
      </c>
      <c r="X3203" s="351"/>
    </row>
    <row r="3204" spans="3:24" ht="24.75" customHeight="1" x14ac:dyDescent="0.3">
      <c r="C3204" s="353">
        <f>ABS(E3204-Dashboard!$F$14)</f>
        <v>61.234100785228179</v>
      </c>
      <c r="D3204" s="350">
        <f t="shared" si="3237"/>
        <v>0.39314999999997197</v>
      </c>
      <c r="E3204" s="359" cm="1">
        <f t="array" ref="E3204">1000*SUM('DRE + DCF'!$L$36/M3204,'DRE + DCF'!$N$36:$V$36/N3204:V3204,F3204/V3204)/Dashboard!$F$11</f>
        <v>35.755899214771816</v>
      </c>
      <c r="F3204" s="359">
        <f t="shared" si="3235"/>
        <v>6486801.7249069922</v>
      </c>
      <c r="G3204" s="359">
        <f>'DRE + DCF'!$W$31</f>
        <v>2791623.3540418856</v>
      </c>
      <c r="H3204" s="359">
        <f>'DRE + DCF'!$W$32</f>
        <v>81081.931703745853</v>
      </c>
      <c r="I3204" s="359">
        <f>-H3204*('DRE + DCF'!$V$33+K3204)/'DRE + DCF'!$V$33</f>
        <v>-90858.801614444121</v>
      </c>
      <c r="J3204" s="359">
        <f>-'DRE + DCF'!$V$56*L3204</f>
        <v>-1188924.4255577971</v>
      </c>
      <c r="K3204" s="360">
        <f>(1+L3204)/(1+Ke!$O$12)-1</f>
        <v>2.0000000000000018E-2</v>
      </c>
      <c r="L3204" s="360">
        <f>'DRE + DCF'!$Y$31</f>
        <v>7.3550000000000004E-2</v>
      </c>
      <c r="M3204" s="361">
        <f>(1+D3204)^((5-Dashboard!$F$9)*3/12)</f>
        <v>1.2823258863270675</v>
      </c>
      <c r="N3204" s="361">
        <f t="shared" ref="N3204:V3204" si="3291">M3204*(1+$D3204)</f>
        <v>1.786472308536518</v>
      </c>
      <c r="O3204" s="361">
        <f t="shared" si="3291"/>
        <v>2.4888238966375997</v>
      </c>
      <c r="P3204" s="361">
        <f t="shared" si="3291"/>
        <v>3.4673050116006023</v>
      </c>
      <c r="Q3204" s="361">
        <f t="shared" si="3291"/>
        <v>4.8304759769112815</v>
      </c>
      <c r="R3204" s="361">
        <f t="shared" si="3291"/>
        <v>6.729577607233816</v>
      </c>
      <c r="S3204" s="361">
        <f t="shared" si="3291"/>
        <v>9.3753110435176019</v>
      </c>
      <c r="T3204" s="361">
        <f t="shared" si="3291"/>
        <v>13.061214580276284</v>
      </c>
      <c r="U3204" s="361">
        <f t="shared" si="3291"/>
        <v>18.196231092511539</v>
      </c>
      <c r="V3204" s="362">
        <f t="shared" si="3291"/>
        <v>25.350079346531938</v>
      </c>
      <c r="X3204" s="351"/>
    </row>
    <row r="3205" spans="3:24" ht="24.75" customHeight="1" x14ac:dyDescent="0.3">
      <c r="C3205" s="353">
        <f>ABS(E3205-Dashboard!$F$14)</f>
        <v>61.247339181897139</v>
      </c>
      <c r="D3205" s="350">
        <f t="shared" si="3237"/>
        <v>0.39324999999997196</v>
      </c>
      <c r="E3205" s="359" cm="1">
        <f t="array" ref="E3205">1000*SUM('DRE + DCF'!$L$36/M3205,'DRE + DCF'!$N$36:$V$36/N3205:V3205,F3205/V3205)/Dashboard!$F$11</f>
        <v>35.742660818102856</v>
      </c>
      <c r="F3205" s="359">
        <f t="shared" si="3235"/>
        <v>6484995.6752146306</v>
      </c>
      <c r="G3205" s="359">
        <f>'DRE + DCF'!$W$31</f>
        <v>2791623.3540418856</v>
      </c>
      <c r="H3205" s="359">
        <f>'DRE + DCF'!$W$32</f>
        <v>81081.931703745853</v>
      </c>
      <c r="I3205" s="359">
        <f>-H3205*('DRE + DCF'!$V$33+K3205)/'DRE + DCF'!$V$33</f>
        <v>-90858.801614444121</v>
      </c>
      <c r="J3205" s="359">
        <f>-'DRE + DCF'!$V$56*L3205</f>
        <v>-1188924.4255577971</v>
      </c>
      <c r="K3205" s="360">
        <f>(1+L3205)/(1+Ke!$O$12)-1</f>
        <v>2.0000000000000018E-2</v>
      </c>
      <c r="L3205" s="360">
        <f>'DRE + DCF'!$Y$31</f>
        <v>7.3550000000000004E-2</v>
      </c>
      <c r="M3205" s="361">
        <f>(1+D3205)^((5-Dashboard!$F$9)*3/12)</f>
        <v>1.2823949195098387</v>
      </c>
      <c r="N3205" s="361">
        <f t="shared" ref="N3205:V3205" si="3292">M3205*(1+$D3205)</f>
        <v>1.7866967216070468</v>
      </c>
      <c r="O3205" s="361">
        <f t="shared" si="3292"/>
        <v>2.4893152073789677</v>
      </c>
      <c r="P3205" s="361">
        <f t="shared" si="3292"/>
        <v>3.4682384126806767</v>
      </c>
      <c r="Q3205" s="361">
        <f t="shared" si="3292"/>
        <v>4.8321231684672554</v>
      </c>
      <c r="R3205" s="361">
        <f t="shared" si="3292"/>
        <v>6.7323556044668678</v>
      </c>
      <c r="S3205" s="361">
        <f t="shared" si="3292"/>
        <v>9.3798544459232751</v>
      </c>
      <c r="T3205" s="361">
        <f t="shared" si="3292"/>
        <v>13.06848220678234</v>
      </c>
      <c r="U3205" s="361">
        <f t="shared" si="3292"/>
        <v>18.207662834599127</v>
      </c>
      <c r="V3205" s="362">
        <f t="shared" si="3292"/>
        <v>25.367826244304723</v>
      </c>
      <c r="X3205" s="351"/>
    </row>
    <row r="3206" spans="3:24" ht="24.75" customHeight="1" x14ac:dyDescent="0.3">
      <c r="C3206" s="353">
        <f>ABS(E3206-Dashboard!$F$14)</f>
        <v>61.260568482269996</v>
      </c>
      <c r="D3206" s="350">
        <f t="shared" si="3237"/>
        <v>0.39334999999997194</v>
      </c>
      <c r="E3206" s="359" cm="1">
        <f t="array" ref="E3206">1000*SUM('DRE + DCF'!$L$36/M3206,'DRE + DCF'!$N$36:$V$36/N3206:V3206,F3206/V3206)/Dashboard!$F$11</f>
        <v>35.729431517729999</v>
      </c>
      <c r="F3206" s="359">
        <f t="shared" si="3235"/>
        <v>6483190.6416708371</v>
      </c>
      <c r="G3206" s="359">
        <f>'DRE + DCF'!$W$31</f>
        <v>2791623.3540418856</v>
      </c>
      <c r="H3206" s="359">
        <f>'DRE + DCF'!$W$32</f>
        <v>81081.931703745853</v>
      </c>
      <c r="I3206" s="359">
        <f>-H3206*('DRE + DCF'!$V$33+K3206)/'DRE + DCF'!$V$33</f>
        <v>-90858.801614444121</v>
      </c>
      <c r="J3206" s="359">
        <f>-'DRE + DCF'!$V$56*L3206</f>
        <v>-1188924.4255577971</v>
      </c>
      <c r="K3206" s="360">
        <f>(1+L3206)/(1+Ke!$O$12)-1</f>
        <v>2.0000000000000018E-2</v>
      </c>
      <c r="L3206" s="360">
        <f>'DRE + DCF'!$Y$31</f>
        <v>7.3550000000000004E-2</v>
      </c>
      <c r="M3206" s="361">
        <f>(1+D3206)^((5-Dashboard!$F$9)*3/12)</f>
        <v>1.2824639514539133</v>
      </c>
      <c r="N3206" s="361">
        <f t="shared" ref="N3206:V3206" si="3293">M3206*(1+$D3206)</f>
        <v>1.7869211467582742</v>
      </c>
      <c r="O3206" s="361">
        <f t="shared" si="3293"/>
        <v>2.4898065798355913</v>
      </c>
      <c r="P3206" s="361">
        <f t="shared" si="3293"/>
        <v>3.4691719980138513</v>
      </c>
      <c r="Q3206" s="361">
        <f t="shared" si="3293"/>
        <v>4.8337708034325022</v>
      </c>
      <c r="R3206" s="361">
        <f t="shared" si="3293"/>
        <v>6.7351345489625407</v>
      </c>
      <c r="S3206" s="361">
        <f t="shared" si="3293"/>
        <v>9.3843997237967667</v>
      </c>
      <c r="T3206" s="361">
        <f t="shared" si="3293"/>
        <v>13.075753355151962</v>
      </c>
      <c r="U3206" s="361">
        <f t="shared" si="3293"/>
        <v>18.219100937400619</v>
      </c>
      <c r="V3206" s="362">
        <f t="shared" si="3293"/>
        <v>25.385584291126641</v>
      </c>
      <c r="X3206" s="351"/>
    </row>
    <row r="3207" spans="3:24" ht="24.75" customHeight="1" x14ac:dyDescent="0.3">
      <c r="C3207" s="353">
        <f>ABS(E3207-Dashboard!$F$14)</f>
        <v>61.273788695116089</v>
      </c>
      <c r="D3207" s="350">
        <f t="shared" si="3237"/>
        <v>0.39344999999997193</v>
      </c>
      <c r="E3207" s="359" cm="1">
        <f t="array" ref="E3207">1000*SUM('DRE + DCF'!$L$36/M3207,'DRE + DCF'!$N$36:$V$36/N3207:V3207,F3207/V3207)/Dashboard!$F$11</f>
        <v>35.716211304883906</v>
      </c>
      <c r="F3207" s="359">
        <f t="shared" si="3235"/>
        <v>6481386.6234090663</v>
      </c>
      <c r="G3207" s="359">
        <f>'DRE + DCF'!$W$31</f>
        <v>2791623.3540418856</v>
      </c>
      <c r="H3207" s="359">
        <f>'DRE + DCF'!$W$32</f>
        <v>81081.931703745853</v>
      </c>
      <c r="I3207" s="359">
        <f>-H3207*('DRE + DCF'!$V$33+K3207)/'DRE + DCF'!$V$33</f>
        <v>-90858.801614444121</v>
      </c>
      <c r="J3207" s="359">
        <f>-'DRE + DCF'!$V$56*L3207</f>
        <v>-1188924.4255577971</v>
      </c>
      <c r="K3207" s="360">
        <f>(1+L3207)/(1+Ke!$O$12)-1</f>
        <v>2.0000000000000018E-2</v>
      </c>
      <c r="L3207" s="360">
        <f>'DRE + DCF'!$Y$31</f>
        <v>7.3550000000000004E-2</v>
      </c>
      <c r="M3207" s="361">
        <f>(1+D3207)^((5-Dashboard!$F$9)*3/12)</f>
        <v>1.2825329821594025</v>
      </c>
      <c r="N3207" s="361">
        <f t="shared" ref="N3207:V3207" si="3294">M3207*(1+$D3207)</f>
        <v>1.7871455839899832</v>
      </c>
      <c r="O3207" s="361">
        <f t="shared" si="3294"/>
        <v>2.4902980140107918</v>
      </c>
      <c r="P3207" s="361">
        <f t="shared" si="3294"/>
        <v>3.4701057676232678</v>
      </c>
      <c r="Q3207" s="361">
        <f t="shared" si="3294"/>
        <v>4.8354188818945447</v>
      </c>
      <c r="R3207" s="361">
        <f t="shared" si="3294"/>
        <v>6.7379144409758176</v>
      </c>
      <c r="S3207" s="361">
        <f t="shared" si="3294"/>
        <v>9.3889468777775633</v>
      </c>
      <c r="T3207" s="361">
        <f t="shared" si="3294"/>
        <v>13.083028026838882</v>
      </c>
      <c r="U3207" s="361">
        <f t="shared" si="3294"/>
        <v>18.230545403998271</v>
      </c>
      <c r="V3207" s="362">
        <f t="shared" si="3294"/>
        <v>25.403353493200878</v>
      </c>
      <c r="X3207" s="351"/>
    </row>
    <row r="3208" spans="3:24" ht="24.75" customHeight="1" x14ac:dyDescent="0.3">
      <c r="C3208" s="353">
        <f>ABS(E3208-Dashboard!$F$14)</f>
        <v>61.286999829194031</v>
      </c>
      <c r="D3208" s="350">
        <f t="shared" si="3237"/>
        <v>0.39354999999997192</v>
      </c>
      <c r="E3208" s="359" cm="1">
        <f t="array" ref="E3208">1000*SUM('DRE + DCF'!$L$36/M3208,'DRE + DCF'!$N$36:$V$36/N3208:V3208,F3208/V3208)/Dashboard!$F$11</f>
        <v>35.703000170805964</v>
      </c>
      <c r="F3208" s="359">
        <f t="shared" si="3235"/>
        <v>6479583.6195637677</v>
      </c>
      <c r="G3208" s="359">
        <f>'DRE + DCF'!$W$31</f>
        <v>2791623.3540418856</v>
      </c>
      <c r="H3208" s="359">
        <f>'DRE + DCF'!$W$32</f>
        <v>81081.931703745853</v>
      </c>
      <c r="I3208" s="359">
        <f>-H3208*('DRE + DCF'!$V$33+K3208)/'DRE + DCF'!$V$33</f>
        <v>-90858.801614444121</v>
      </c>
      <c r="J3208" s="359">
        <f>-'DRE + DCF'!$V$56*L3208</f>
        <v>-1188924.4255577971</v>
      </c>
      <c r="K3208" s="360">
        <f>(1+L3208)/(1+Ke!$O$12)-1</f>
        <v>2.0000000000000018E-2</v>
      </c>
      <c r="L3208" s="360">
        <f>'DRE + DCF'!$Y$31</f>
        <v>7.3550000000000004E-2</v>
      </c>
      <c r="M3208" s="361">
        <f>(1+D3208)^((5-Dashboard!$F$9)*3/12)</f>
        <v>1.2826020116264172</v>
      </c>
      <c r="N3208" s="361">
        <f t="shared" ref="N3208:V3208" si="3295">M3208*(1+$D3208)</f>
        <v>1.7873700333019575</v>
      </c>
      <c r="O3208" s="361">
        <f t="shared" si="3295"/>
        <v>2.4907895099078927</v>
      </c>
      <c r="P3208" s="361">
        <f t="shared" si="3295"/>
        <v>3.4710397215320739</v>
      </c>
      <c r="Q3208" s="361">
        <f t="shared" si="3295"/>
        <v>4.8370674039409236</v>
      </c>
      <c r="R3208" s="361">
        <f t="shared" si="3295"/>
        <v>6.740695280761738</v>
      </c>
      <c r="S3208" s="361">
        <f t="shared" si="3295"/>
        <v>9.3934959085053311</v>
      </c>
      <c r="T3208" s="361">
        <f t="shared" si="3295"/>
        <v>13.09030622329734</v>
      </c>
      <c r="U3208" s="361">
        <f t="shared" si="3295"/>
        <v>18.241996237475639</v>
      </c>
      <c r="V3208" s="362">
        <f t="shared" si="3295"/>
        <v>25.421133856733665</v>
      </c>
      <c r="X3208" s="351"/>
    </row>
    <row r="3209" spans="3:24" ht="24.75" customHeight="1" x14ac:dyDescent="0.3">
      <c r="C3209" s="353">
        <f>ABS(E3209-Dashboard!$F$14)</f>
        <v>61.300201893251646</v>
      </c>
      <c r="D3209" s="350">
        <f t="shared" si="3237"/>
        <v>0.39364999999997191</v>
      </c>
      <c r="E3209" s="359" cm="1">
        <f t="array" ref="E3209">1000*SUM('DRE + DCF'!$L$36/M3209,'DRE + DCF'!$N$36:$V$36/N3209:V3209,F3209/V3209)/Dashboard!$F$11</f>
        <v>35.689798106748349</v>
      </c>
      <c r="F3209" s="359">
        <f t="shared" si="3235"/>
        <v>6477781.6292703878</v>
      </c>
      <c r="G3209" s="359">
        <f>'DRE + DCF'!$W$31</f>
        <v>2791623.3540418856</v>
      </c>
      <c r="H3209" s="359">
        <f>'DRE + DCF'!$W$32</f>
        <v>81081.931703745853</v>
      </c>
      <c r="I3209" s="359">
        <f>-H3209*('DRE + DCF'!$V$33+K3209)/'DRE + DCF'!$V$33</f>
        <v>-90858.801614444121</v>
      </c>
      <c r="J3209" s="359">
        <f>-'DRE + DCF'!$V$56*L3209</f>
        <v>-1188924.4255577971</v>
      </c>
      <c r="K3209" s="360">
        <f>(1+L3209)/(1+Ke!$O$12)-1</f>
        <v>2.0000000000000018E-2</v>
      </c>
      <c r="L3209" s="360">
        <f>'DRE + DCF'!$Y$31</f>
        <v>7.3550000000000004E-2</v>
      </c>
      <c r="M3209" s="361">
        <f>(1+D3209)^((5-Dashboard!$F$9)*3/12)</f>
        <v>1.2826710398550685</v>
      </c>
      <c r="N3209" s="361">
        <f t="shared" ref="N3209:V3209" si="3296">M3209*(1+$D3209)</f>
        <v>1.7875944946939801</v>
      </c>
      <c r="O3209" s="361">
        <f t="shared" si="3296"/>
        <v>2.4912810675302151</v>
      </c>
      <c r="P3209" s="361">
        <f t="shared" si="3296"/>
        <v>3.471973859763414</v>
      </c>
      <c r="Q3209" s="361">
        <f t="shared" si="3296"/>
        <v>4.8387163696591839</v>
      </c>
      <c r="R3209" s="361">
        <f t="shared" si="3296"/>
        <v>6.7434770685753858</v>
      </c>
      <c r="S3209" s="361">
        <f t="shared" si="3296"/>
        <v>9.398046816619896</v>
      </c>
      <c r="T3209" s="361">
        <f t="shared" si="3296"/>
        <v>13.097587945982054</v>
      </c>
      <c r="U3209" s="361">
        <f t="shared" si="3296"/>
        <v>18.253453440917522</v>
      </c>
      <c r="V3209" s="362">
        <f t="shared" si="3296"/>
        <v>25.438925387934191</v>
      </c>
      <c r="X3209" s="351"/>
    </row>
    <row r="3210" spans="3:24" ht="24.75" customHeight="1" x14ac:dyDescent="0.3">
      <c r="C3210" s="353">
        <f>ABS(E3210-Dashboard!$F$14)</f>
        <v>61.313394896026033</v>
      </c>
      <c r="D3210" s="350">
        <f t="shared" si="3237"/>
        <v>0.3937499999999719</v>
      </c>
      <c r="E3210" s="359" cm="1">
        <f t="array" ref="E3210">1000*SUM('DRE + DCF'!$L$36/M3210,'DRE + DCF'!$N$36:$V$36/N3210:V3210,F3210/V3210)/Dashboard!$F$11</f>
        <v>35.676605103973962</v>
      </c>
      <c r="F3210" s="359">
        <f t="shared" si="3235"/>
        <v>6475980.6516653607</v>
      </c>
      <c r="G3210" s="359">
        <f>'DRE + DCF'!$W$31</f>
        <v>2791623.3540418856</v>
      </c>
      <c r="H3210" s="359">
        <f>'DRE + DCF'!$W$32</f>
        <v>81081.931703745853</v>
      </c>
      <c r="I3210" s="359">
        <f>-H3210*('DRE + DCF'!$V$33+K3210)/'DRE + DCF'!$V$33</f>
        <v>-90858.801614444121</v>
      </c>
      <c r="J3210" s="359">
        <f>-'DRE + DCF'!$V$56*L3210</f>
        <v>-1188924.4255577971</v>
      </c>
      <c r="K3210" s="360">
        <f>(1+L3210)/(1+Ke!$O$12)-1</f>
        <v>2.0000000000000018E-2</v>
      </c>
      <c r="L3210" s="360">
        <f>'DRE + DCF'!$Y$31</f>
        <v>7.3550000000000004E-2</v>
      </c>
      <c r="M3210" s="361">
        <f>(1+D3210)^((5-Dashboard!$F$9)*3/12)</f>
        <v>1.2827400668454678</v>
      </c>
      <c r="N3210" s="361">
        <f t="shared" ref="N3210:V3210" si="3297">M3210*(1+$D3210)</f>
        <v>1.7878189681658347</v>
      </c>
      <c r="O3210" s="361">
        <f t="shared" si="3297"/>
        <v>2.4917726868810819</v>
      </c>
      <c r="P3210" s="361">
        <f t="shared" si="3297"/>
        <v>3.4729081823404377</v>
      </c>
      <c r="Q3210" s="361">
        <f t="shared" si="3297"/>
        <v>4.8403657791368877</v>
      </c>
      <c r="R3210" s="361">
        <f t="shared" si="3297"/>
        <v>6.7462598046719009</v>
      </c>
      <c r="S3210" s="361">
        <f t="shared" si="3297"/>
        <v>9.4025996027612724</v>
      </c>
      <c r="T3210" s="361">
        <f t="shared" si="3297"/>
        <v>13.104873196348258</v>
      </c>
      <c r="U3210" s="361">
        <f t="shared" si="3297"/>
        <v>18.264917017410017</v>
      </c>
      <c r="V3210" s="362">
        <f t="shared" si="3297"/>
        <v>25.456728093014696</v>
      </c>
      <c r="X3210" s="351"/>
    </row>
    <row r="3211" spans="3:24" ht="24.75" customHeight="1" x14ac:dyDescent="0.3">
      <c r="C3211" s="353">
        <f>ABS(E3211-Dashboard!$F$14)</f>
        <v>61.326578846243599</v>
      </c>
      <c r="D3211" s="350">
        <f t="shared" si="3237"/>
        <v>0.39384999999997189</v>
      </c>
      <c r="E3211" s="359" cm="1">
        <f t="array" ref="E3211">1000*SUM('DRE + DCF'!$L$36/M3211,'DRE + DCF'!$N$36:$V$36/N3211:V3211,F3211/V3211)/Dashboard!$F$11</f>
        <v>35.663421153756396</v>
      </c>
      <c r="F3211" s="359">
        <f t="shared" si="3235"/>
        <v>6474180.6858861148</v>
      </c>
      <c r="G3211" s="359">
        <f>'DRE + DCF'!$W$31</f>
        <v>2791623.3540418856</v>
      </c>
      <c r="H3211" s="359">
        <f>'DRE + DCF'!$W$32</f>
        <v>81081.931703745853</v>
      </c>
      <c r="I3211" s="359">
        <f>-H3211*('DRE + DCF'!$V$33+K3211)/'DRE + DCF'!$V$33</f>
        <v>-90858.801614444121</v>
      </c>
      <c r="J3211" s="359">
        <f>-'DRE + DCF'!$V$56*L3211</f>
        <v>-1188924.4255577971</v>
      </c>
      <c r="K3211" s="360">
        <f>(1+L3211)/(1+Ke!$O$12)-1</f>
        <v>2.0000000000000018E-2</v>
      </c>
      <c r="L3211" s="360">
        <f>'DRE + DCF'!$Y$31</f>
        <v>7.3550000000000004E-2</v>
      </c>
      <c r="M3211" s="361">
        <f>(1+D3211)^((5-Dashboard!$F$9)*3/12)</f>
        <v>1.2828090925977256</v>
      </c>
      <c r="N3211" s="361">
        <f t="shared" ref="N3211:V3211" si="3298">M3211*(1+$D3211)</f>
        <v>1.7880434537173036</v>
      </c>
      <c r="O3211" s="361">
        <f t="shared" si="3298"/>
        <v>2.4922643679638132</v>
      </c>
      <c r="P3211" s="361">
        <f t="shared" si="3298"/>
        <v>3.473842689286291</v>
      </c>
      <c r="Q3211" s="361">
        <f t="shared" si="3298"/>
        <v>4.8420156324615986</v>
      </c>
      <c r="R3211" s="361">
        <f t="shared" si="3298"/>
        <v>6.7490434893064633</v>
      </c>
      <c r="S3211" s="361">
        <f t="shared" si="3298"/>
        <v>9.4071542675696236</v>
      </c>
      <c r="T3211" s="361">
        <f t="shared" si="3298"/>
        <v>13.112161975851654</v>
      </c>
      <c r="U3211" s="361">
        <f t="shared" si="3298"/>
        <v>18.276386970040459</v>
      </c>
      <c r="V3211" s="362">
        <f t="shared" si="3298"/>
        <v>25.474541978190381</v>
      </c>
      <c r="X3211" s="351"/>
    </row>
    <row r="3212" spans="3:24" ht="24.75" customHeight="1" x14ac:dyDescent="0.3">
      <c r="C3212" s="353">
        <f>ABS(E3212-Dashboard!$F$14)</f>
        <v>61.339753752620048</v>
      </c>
      <c r="D3212" s="350">
        <f t="shared" si="3237"/>
        <v>0.39394999999997188</v>
      </c>
      <c r="E3212" s="359" cm="1">
        <f t="array" ref="E3212">1000*SUM('DRE + DCF'!$L$36/M3212,'DRE + DCF'!$N$36:$V$36/N3212:V3212,F3212/V3212)/Dashboard!$F$11</f>
        <v>35.650246247379947</v>
      </c>
      <c r="F3212" s="359">
        <f t="shared" si="3235"/>
        <v>6472381.7310710698</v>
      </c>
      <c r="G3212" s="359">
        <f>'DRE + DCF'!$W$31</f>
        <v>2791623.3540418856</v>
      </c>
      <c r="H3212" s="359">
        <f>'DRE + DCF'!$W$32</f>
        <v>81081.931703745853</v>
      </c>
      <c r="I3212" s="359">
        <f>-H3212*('DRE + DCF'!$V$33+K3212)/'DRE + DCF'!$V$33</f>
        <v>-90858.801614444121</v>
      </c>
      <c r="J3212" s="359">
        <f>-'DRE + DCF'!$V$56*L3212</f>
        <v>-1188924.4255577971</v>
      </c>
      <c r="K3212" s="360">
        <f>(1+L3212)/(1+Ke!$O$12)-1</f>
        <v>2.0000000000000018E-2</v>
      </c>
      <c r="L3212" s="360">
        <f>'DRE + DCF'!$Y$31</f>
        <v>7.3550000000000004E-2</v>
      </c>
      <c r="M3212" s="361">
        <f>(1+D3212)^((5-Dashboard!$F$9)*3/12)</f>
        <v>1.2828781171119534</v>
      </c>
      <c r="N3212" s="361">
        <f t="shared" ref="N3212:V3212" si="3299">M3212*(1+$D3212)</f>
        <v>1.7882679513481714</v>
      </c>
      <c r="O3212" s="361">
        <f t="shared" si="3299"/>
        <v>2.4927561107817331</v>
      </c>
      <c r="P3212" s="361">
        <f t="shared" si="3299"/>
        <v>3.4747773806241264</v>
      </c>
      <c r="Q3212" s="361">
        <f t="shared" si="3299"/>
        <v>4.8436659297209035</v>
      </c>
      <c r="R3212" s="361">
        <f t="shared" si="3299"/>
        <v>6.7518281227343167</v>
      </c>
      <c r="S3212" s="361">
        <f t="shared" si="3299"/>
        <v>9.4117108116853103</v>
      </c>
      <c r="T3212" s="361">
        <f t="shared" si="3299"/>
        <v>13.119454285948473</v>
      </c>
      <c r="U3212" s="361">
        <f t="shared" si="3299"/>
        <v>18.287863301897506</v>
      </c>
      <c r="V3212" s="362">
        <f t="shared" si="3299"/>
        <v>25.492367049679512</v>
      </c>
      <c r="X3212" s="351"/>
    </row>
    <row r="3213" spans="3:24" ht="24.75" customHeight="1" x14ac:dyDescent="0.3">
      <c r="C3213" s="353">
        <f>ABS(E3213-Dashboard!$F$14)</f>
        <v>61.352919623860416</v>
      </c>
      <c r="D3213" s="350">
        <f t="shared" si="3237"/>
        <v>0.39404999999997187</v>
      </c>
      <c r="E3213" s="359" cm="1">
        <f t="array" ref="E3213">1000*SUM('DRE + DCF'!$L$36/M3213,'DRE + DCF'!$N$36:$V$36/N3213:V3213,F3213/V3213)/Dashboard!$F$11</f>
        <v>35.637080376139579</v>
      </c>
      <c r="F3213" s="359">
        <f t="shared" si="3235"/>
        <v>6470583.7863596268</v>
      </c>
      <c r="G3213" s="359">
        <f>'DRE + DCF'!$W$31</f>
        <v>2791623.3540418856</v>
      </c>
      <c r="H3213" s="359">
        <f>'DRE + DCF'!$W$32</f>
        <v>81081.931703745853</v>
      </c>
      <c r="I3213" s="359">
        <f>-H3213*('DRE + DCF'!$V$33+K3213)/'DRE + DCF'!$V$33</f>
        <v>-90858.801614444121</v>
      </c>
      <c r="J3213" s="359">
        <f>-'DRE + DCF'!$V$56*L3213</f>
        <v>-1188924.4255577971</v>
      </c>
      <c r="K3213" s="360">
        <f>(1+L3213)/(1+Ke!$O$12)-1</f>
        <v>2.0000000000000018E-2</v>
      </c>
      <c r="L3213" s="360">
        <f>'DRE + DCF'!$Y$31</f>
        <v>7.3550000000000004E-2</v>
      </c>
      <c r="M3213" s="361">
        <f>(1+D3213)^((5-Dashboard!$F$9)*3/12)</f>
        <v>1.2829471403882622</v>
      </c>
      <c r="N3213" s="361">
        <f t="shared" ref="N3213:V3213" si="3300">M3213*(1+$D3213)</f>
        <v>1.7884924610582207</v>
      </c>
      <c r="O3213" s="361">
        <f t="shared" si="3300"/>
        <v>2.4932479153381619</v>
      </c>
      <c r="P3213" s="361">
        <f t="shared" si="3300"/>
        <v>3.4757122563770944</v>
      </c>
      <c r="Q3213" s="361">
        <f t="shared" si="3300"/>
        <v>4.8453166710023901</v>
      </c>
      <c r="R3213" s="361">
        <f t="shared" si="3300"/>
        <v>6.7546137052107449</v>
      </c>
      <c r="S3213" s="361">
        <f t="shared" si="3300"/>
        <v>9.4162692357488478</v>
      </c>
      <c r="T3213" s="361">
        <f t="shared" si="3300"/>
        <v>13.126750128095416</v>
      </c>
      <c r="U3213" s="361">
        <f t="shared" si="3300"/>
        <v>18.299346016071045</v>
      </c>
      <c r="V3213" s="362">
        <f t="shared" si="3300"/>
        <v>25.510203313703325</v>
      </c>
      <c r="X3213" s="351"/>
    </row>
    <row r="3214" spans="3:24" ht="24.75" customHeight="1" x14ac:dyDescent="0.3">
      <c r="C3214" s="353">
        <f>ABS(E3214-Dashboard!$F$14)</f>
        <v>61.366076468659045</v>
      </c>
      <c r="D3214" s="350">
        <f t="shared" si="3237"/>
        <v>0.39414999999997186</v>
      </c>
      <c r="E3214" s="359" cm="1">
        <f t="array" ref="E3214">1000*SUM('DRE + DCF'!$L$36/M3214,'DRE + DCF'!$N$36:$V$36/N3214:V3214,F3214/V3214)/Dashboard!$F$11</f>
        <v>35.623923531340949</v>
      </c>
      <c r="F3214" s="359">
        <f t="shared" ref="F3214:F3277" si="3301">AVERAGE(SUM(G3214:J3214)*(1+L3214)/(D3214-L3214),G3214*(1+L3214)*(1-L3214/D3214)/(D3214-L3214))</f>
        <v>6468786.8508921843</v>
      </c>
      <c r="G3214" s="359">
        <f>'DRE + DCF'!$W$31</f>
        <v>2791623.3540418856</v>
      </c>
      <c r="H3214" s="359">
        <f>'DRE + DCF'!$W$32</f>
        <v>81081.931703745853</v>
      </c>
      <c r="I3214" s="359">
        <f>-H3214*('DRE + DCF'!$V$33+K3214)/'DRE + DCF'!$V$33</f>
        <v>-90858.801614444121</v>
      </c>
      <c r="J3214" s="359">
        <f>-'DRE + DCF'!$V$56*L3214</f>
        <v>-1188924.4255577971</v>
      </c>
      <c r="K3214" s="360">
        <f>(1+L3214)/(1+Ke!$O$12)-1</f>
        <v>2.0000000000000018E-2</v>
      </c>
      <c r="L3214" s="360">
        <f>'DRE + DCF'!$Y$31</f>
        <v>7.3550000000000004E-2</v>
      </c>
      <c r="M3214" s="361">
        <f>(1+D3214)^((5-Dashboard!$F$9)*3/12)</f>
        <v>1.2830161624267626</v>
      </c>
      <c r="N3214" s="361">
        <f t="shared" ref="N3214:V3214" si="3302">M3214*(1+$D3214)</f>
        <v>1.7887169828472349</v>
      </c>
      <c r="O3214" s="361">
        <f t="shared" si="3302"/>
        <v>2.493739781636422</v>
      </c>
      <c r="P3214" s="361">
        <f t="shared" si="3302"/>
        <v>3.4766473165683474</v>
      </c>
      <c r="Q3214" s="361">
        <f t="shared" si="3302"/>
        <v>4.8469678563936638</v>
      </c>
      <c r="R3214" s="361">
        <f t="shared" si="3302"/>
        <v>6.7574002369910895</v>
      </c>
      <c r="S3214" s="361">
        <f t="shared" si="3302"/>
        <v>9.4208295404009377</v>
      </c>
      <c r="T3214" s="361">
        <f t="shared" si="3302"/>
        <v>13.134049503749702</v>
      </c>
      <c r="U3214" s="361">
        <f t="shared" si="3302"/>
        <v>18.310835115652278</v>
      </c>
      <c r="V3214" s="362">
        <f t="shared" si="3302"/>
        <v>25.528050776486108</v>
      </c>
      <c r="X3214" s="351"/>
    </row>
    <row r="3215" spans="3:24" ht="24.75" customHeight="1" x14ac:dyDescent="0.3">
      <c r="C3215" s="353">
        <f>ABS(E3215-Dashboard!$F$14)</f>
        <v>61.37922429569965</v>
      </c>
      <c r="D3215" s="350">
        <f t="shared" ref="D3215:D3278" si="3303">D3214+0.0001</f>
        <v>0.39424999999997185</v>
      </c>
      <c r="E3215" s="359" cm="1">
        <f t="array" ref="E3215">1000*SUM('DRE + DCF'!$L$36/M3215,'DRE + DCF'!$N$36:$V$36/N3215:V3215,F3215/V3215)/Dashboard!$F$11</f>
        <v>35.610775704300345</v>
      </c>
      <c r="F3215" s="359">
        <f t="shared" si="3301"/>
        <v>6466990.9238101142</v>
      </c>
      <c r="G3215" s="359">
        <f>'DRE + DCF'!$W$31</f>
        <v>2791623.3540418856</v>
      </c>
      <c r="H3215" s="359">
        <f>'DRE + DCF'!$W$32</f>
        <v>81081.931703745853</v>
      </c>
      <c r="I3215" s="359">
        <f>-H3215*('DRE + DCF'!$V$33+K3215)/'DRE + DCF'!$V$33</f>
        <v>-90858.801614444121</v>
      </c>
      <c r="J3215" s="359">
        <f>-'DRE + DCF'!$V$56*L3215</f>
        <v>-1188924.4255577971</v>
      </c>
      <c r="K3215" s="360">
        <f>(1+L3215)/(1+Ke!$O$12)-1</f>
        <v>2.0000000000000018E-2</v>
      </c>
      <c r="L3215" s="360">
        <f>'DRE + DCF'!$Y$31</f>
        <v>7.3550000000000004E-2</v>
      </c>
      <c r="M3215" s="361">
        <f>(1+D3215)^((5-Dashboard!$F$9)*3/12)</f>
        <v>1.283085183227566</v>
      </c>
      <c r="N3215" s="361">
        <f t="shared" ref="N3215:V3215" si="3304">M3215*(1+$D3215)</f>
        <v>1.7889415167149978</v>
      </c>
      <c r="O3215" s="361">
        <f t="shared" si="3304"/>
        <v>2.494231709679835</v>
      </c>
      <c r="P3215" s="361">
        <f t="shared" si="3304"/>
        <v>3.4775825612210394</v>
      </c>
      <c r="Q3215" s="361">
        <f t="shared" si="3304"/>
        <v>4.8486194859823364</v>
      </c>
      <c r="R3215" s="361">
        <f t="shared" si="3304"/>
        <v>6.7601877183307355</v>
      </c>
      <c r="S3215" s="361">
        <f t="shared" si="3304"/>
        <v>9.425391726282438</v>
      </c>
      <c r="T3215" s="361">
        <f t="shared" si="3304"/>
        <v>13.141352414369024</v>
      </c>
      <c r="U3215" s="361">
        <f t="shared" si="3304"/>
        <v>18.32233060373364</v>
      </c>
      <c r="V3215" s="362">
        <f t="shared" si="3304"/>
        <v>25.545909444255109</v>
      </c>
      <c r="X3215" s="351"/>
    </row>
    <row r="3216" spans="3:24" ht="24.75" customHeight="1" x14ac:dyDescent="0.3">
      <c r="C3216" s="353">
        <f>ABS(E3216-Dashboard!$F$14)</f>
        <v>61.392363113655321</v>
      </c>
      <c r="D3216" s="350">
        <f t="shared" si="3303"/>
        <v>0.39434999999997183</v>
      </c>
      <c r="E3216" s="359" cm="1">
        <f t="array" ref="E3216">1000*SUM('DRE + DCF'!$L$36/M3216,'DRE + DCF'!$N$36:$V$36/N3216:V3216,F3216/V3216)/Dashboard!$F$11</f>
        <v>35.597636886344674</v>
      </c>
      <c r="F3216" s="359">
        <f t="shared" si="3301"/>
        <v>6465196.004255781</v>
      </c>
      <c r="G3216" s="359">
        <f>'DRE + DCF'!$W$31</f>
        <v>2791623.3540418856</v>
      </c>
      <c r="H3216" s="359">
        <f>'DRE + DCF'!$W$32</f>
        <v>81081.931703745853</v>
      </c>
      <c r="I3216" s="359">
        <f>-H3216*('DRE + DCF'!$V$33+K3216)/'DRE + DCF'!$V$33</f>
        <v>-90858.801614444121</v>
      </c>
      <c r="J3216" s="359">
        <f>-'DRE + DCF'!$V$56*L3216</f>
        <v>-1188924.4255577971</v>
      </c>
      <c r="K3216" s="360">
        <f>(1+L3216)/(1+Ke!$O$12)-1</f>
        <v>2.0000000000000018E-2</v>
      </c>
      <c r="L3216" s="360">
        <f>'DRE + DCF'!$Y$31</f>
        <v>7.3550000000000004E-2</v>
      </c>
      <c r="M3216" s="361">
        <f>(1+D3216)^((5-Dashboard!$F$9)*3/12)</f>
        <v>1.2831542027907834</v>
      </c>
      <c r="N3216" s="361">
        <f t="shared" ref="N3216:V3216" si="3305">M3216*(1+$D3216)</f>
        <v>1.7891660626612926</v>
      </c>
      <c r="O3216" s="361">
        <f t="shared" si="3305"/>
        <v>2.4947236994717228</v>
      </c>
      <c r="P3216" s="361">
        <f t="shared" si="3305"/>
        <v>3.4785179903583261</v>
      </c>
      <c r="Q3216" s="361">
        <f t="shared" si="3305"/>
        <v>4.8502715598560338</v>
      </c>
      <c r="R3216" s="361">
        <f t="shared" si="3305"/>
        <v>6.7629761494851239</v>
      </c>
      <c r="S3216" s="361">
        <f t="shared" si="3305"/>
        <v>9.4299557940343917</v>
      </c>
      <c r="T3216" s="361">
        <f t="shared" si="3305"/>
        <v>13.148658861411588</v>
      </c>
      <c r="U3216" s="361">
        <f t="shared" si="3305"/>
        <v>18.333832483408877</v>
      </c>
      <c r="V3216" s="362">
        <f t="shared" si="3305"/>
        <v>25.563779323240649</v>
      </c>
      <c r="X3216" s="351"/>
    </row>
    <row r="3217" spans="3:24" ht="24.75" customHeight="1" x14ac:dyDescent="0.3">
      <c r="C3217" s="353">
        <f>ABS(E3217-Dashboard!$F$14)</f>
        <v>61.405492931188498</v>
      </c>
      <c r="D3217" s="350">
        <f t="shared" si="3303"/>
        <v>0.39444999999997182</v>
      </c>
      <c r="E3217" s="359" cm="1">
        <f t="array" ref="E3217">1000*SUM('DRE + DCF'!$L$36/M3217,'DRE + DCF'!$N$36:$V$36/N3217:V3217,F3217/V3217)/Dashboard!$F$11</f>
        <v>35.584507068811497</v>
      </c>
      <c r="F3217" s="359">
        <f t="shared" si="3301"/>
        <v>6463402.091372529</v>
      </c>
      <c r="G3217" s="359">
        <f>'DRE + DCF'!$W$31</f>
        <v>2791623.3540418856</v>
      </c>
      <c r="H3217" s="359">
        <f>'DRE + DCF'!$W$32</f>
        <v>81081.931703745853</v>
      </c>
      <c r="I3217" s="359">
        <f>-H3217*('DRE + DCF'!$V$33+K3217)/'DRE + DCF'!$V$33</f>
        <v>-90858.801614444121</v>
      </c>
      <c r="J3217" s="359">
        <f>-'DRE + DCF'!$V$56*L3217</f>
        <v>-1188924.4255577971</v>
      </c>
      <c r="K3217" s="360">
        <f>(1+L3217)/(1+Ke!$O$12)-1</f>
        <v>2.0000000000000018E-2</v>
      </c>
      <c r="L3217" s="360">
        <f>'DRE + DCF'!$Y$31</f>
        <v>7.3550000000000004E-2</v>
      </c>
      <c r="M3217" s="361">
        <f>(1+D3217)^((5-Dashboard!$F$9)*3/12)</f>
        <v>1.2832232211165253</v>
      </c>
      <c r="N3217" s="361">
        <f t="shared" ref="N3217:V3217" si="3306">M3217*(1+$D3217)</f>
        <v>1.7893906206859025</v>
      </c>
      <c r="O3217" s="361">
        <f t="shared" si="3306"/>
        <v>2.4952157510154063</v>
      </c>
      <c r="P3217" s="361">
        <f t="shared" si="3306"/>
        <v>3.4794536040033628</v>
      </c>
      <c r="Q3217" s="361">
        <f t="shared" si="3306"/>
        <v>4.8519240781023907</v>
      </c>
      <c r="R3217" s="361">
        <f t="shared" si="3306"/>
        <v>6.765765530709742</v>
      </c>
      <c r="S3217" s="361">
        <f t="shared" si="3306"/>
        <v>9.4345217442980083</v>
      </c>
      <c r="T3217" s="361">
        <f t="shared" si="3306"/>
        <v>13.155968846336091</v>
      </c>
      <c r="U3217" s="361">
        <f t="shared" si="3306"/>
        <v>18.345340757772991</v>
      </c>
      <c r="V3217" s="362">
        <f t="shared" si="3306"/>
        <v>25.58166041967603</v>
      </c>
      <c r="X3217" s="351"/>
    </row>
    <row r="3218" spans="3:24" ht="24.75" customHeight="1" x14ac:dyDescent="0.3">
      <c r="C3218" s="353">
        <f>ABS(E3218-Dashboard!$F$14)</f>
        <v>61.418613756951025</v>
      </c>
      <c r="D3218" s="350">
        <f t="shared" si="3303"/>
        <v>0.39454999999997181</v>
      </c>
      <c r="E3218" s="359" cm="1">
        <f t="array" ref="E3218">1000*SUM('DRE + DCF'!$L$36/M3218,'DRE + DCF'!$N$36:$V$36/N3218:V3218,F3218/V3218)/Dashboard!$F$11</f>
        <v>35.57138624304897</v>
      </c>
      <c r="F3218" s="359">
        <f t="shared" si="3301"/>
        <v>6461609.1843046835</v>
      </c>
      <c r="G3218" s="359">
        <f>'DRE + DCF'!$W$31</f>
        <v>2791623.3540418856</v>
      </c>
      <c r="H3218" s="359">
        <f>'DRE + DCF'!$W$32</f>
        <v>81081.931703745853</v>
      </c>
      <c r="I3218" s="359">
        <f>-H3218*('DRE + DCF'!$V$33+K3218)/'DRE + DCF'!$V$33</f>
        <v>-90858.801614444121</v>
      </c>
      <c r="J3218" s="359">
        <f>-'DRE + DCF'!$V$56*L3218</f>
        <v>-1188924.4255577971</v>
      </c>
      <c r="K3218" s="360">
        <f>(1+L3218)/(1+Ke!$O$12)-1</f>
        <v>2.0000000000000018E-2</v>
      </c>
      <c r="L3218" s="360">
        <f>'DRE + DCF'!$Y$31</f>
        <v>7.3550000000000004E-2</v>
      </c>
      <c r="M3218" s="361">
        <f>(1+D3218)^((5-Dashboard!$F$9)*3/12)</f>
        <v>1.2832922382049028</v>
      </c>
      <c r="N3218" s="361">
        <f t="shared" ref="N3218:V3218" si="3307">M3218*(1+$D3218)</f>
        <v>1.7896151907886109</v>
      </c>
      <c r="O3218" s="361">
        <f t="shared" si="3307"/>
        <v>2.4957078643142068</v>
      </c>
      <c r="P3218" s="361">
        <f t="shared" si="3307"/>
        <v>3.4803894021793065</v>
      </c>
      <c r="Q3218" s="361">
        <f t="shared" si="3307"/>
        <v>4.8535770408090535</v>
      </c>
      <c r="R3218" s="361">
        <f t="shared" si="3307"/>
        <v>6.7685558622601283</v>
      </c>
      <c r="S3218" s="361">
        <f t="shared" si="3307"/>
        <v>9.4390895777146699</v>
      </c>
      <c r="T3218" s="361">
        <f t="shared" si="3307"/>
        <v>13.163282370601726</v>
      </c>
      <c r="U3218" s="361">
        <f t="shared" si="3307"/>
        <v>18.356855429922266</v>
      </c>
      <c r="V3218" s="362">
        <f t="shared" si="3307"/>
        <v>25.599552739797577</v>
      </c>
      <c r="X3218" s="351"/>
    </row>
    <row r="3219" spans="3:24" ht="24.75" customHeight="1" x14ac:dyDescent="0.3">
      <c r="C3219" s="353">
        <f>ABS(E3219-Dashboard!$F$14)</f>
        <v>61.431725599584226</v>
      </c>
      <c r="D3219" s="350">
        <f t="shared" si="3303"/>
        <v>0.3946499999999718</v>
      </c>
      <c r="E3219" s="359" cm="1">
        <f t="array" ref="E3219">1000*SUM('DRE + DCF'!$L$36/M3219,'DRE + DCF'!$N$36:$V$36/N3219:V3219,F3219/V3219)/Dashboard!$F$11</f>
        <v>35.558274400415769</v>
      </c>
      <c r="F3219" s="359">
        <f t="shared" si="3301"/>
        <v>6459817.2821975499</v>
      </c>
      <c r="G3219" s="359">
        <f>'DRE + DCF'!$W$31</f>
        <v>2791623.3540418856</v>
      </c>
      <c r="H3219" s="359">
        <f>'DRE + DCF'!$W$32</f>
        <v>81081.931703745853</v>
      </c>
      <c r="I3219" s="359">
        <f>-H3219*('DRE + DCF'!$V$33+K3219)/'DRE + DCF'!$V$33</f>
        <v>-90858.801614444121</v>
      </c>
      <c r="J3219" s="359">
        <f>-'DRE + DCF'!$V$56*L3219</f>
        <v>-1188924.4255577971</v>
      </c>
      <c r="K3219" s="360">
        <f>(1+L3219)/(1+Ke!$O$12)-1</f>
        <v>2.0000000000000018E-2</v>
      </c>
      <c r="L3219" s="360">
        <f>'DRE + DCF'!$Y$31</f>
        <v>7.3550000000000004E-2</v>
      </c>
      <c r="M3219" s="361">
        <f>(1+D3219)^((5-Dashboard!$F$9)*3/12)</f>
        <v>1.2833612540560271</v>
      </c>
      <c r="N3219" s="361">
        <f t="shared" ref="N3219:V3219" si="3308">M3219*(1+$D3219)</f>
        <v>1.7898397729692019</v>
      </c>
      <c r="O3219" s="361">
        <f t="shared" si="3308"/>
        <v>2.496200039371447</v>
      </c>
      <c r="P3219" s="361">
        <f t="shared" si="3308"/>
        <v>3.4813253849093182</v>
      </c>
      <c r="Q3219" s="361">
        <f t="shared" si="3308"/>
        <v>4.8552304480636819</v>
      </c>
      <c r="R3219" s="361">
        <f t="shared" si="3308"/>
        <v>6.7713471443918767</v>
      </c>
      <c r="S3219" s="361">
        <f t="shared" si="3308"/>
        <v>9.4436592949259399</v>
      </c>
      <c r="T3219" s="361">
        <f t="shared" si="3308"/>
        <v>13.170599435668196</v>
      </c>
      <c r="U3219" s="361">
        <f t="shared" si="3308"/>
        <v>18.368376502954277</v>
      </c>
      <c r="V3219" s="362">
        <f t="shared" si="3308"/>
        <v>25.617456289844664</v>
      </c>
      <c r="X3219" s="351"/>
    </row>
    <row r="3220" spans="3:24" ht="24.75" customHeight="1" x14ac:dyDescent="0.3">
      <c r="C3220" s="353">
        <f>ABS(E3220-Dashboard!$F$14)</f>
        <v>61.44482846771875</v>
      </c>
      <c r="D3220" s="350">
        <f t="shared" si="3303"/>
        <v>0.39474999999997179</v>
      </c>
      <c r="E3220" s="359" cm="1">
        <f t="array" ref="E3220">1000*SUM('DRE + DCF'!$L$36/M3220,'DRE + DCF'!$N$36:$V$36/N3220:V3220,F3220/V3220)/Dashboard!$F$11</f>
        <v>35.545171532281245</v>
      </c>
      <c r="F3220" s="359">
        <f t="shared" si="3301"/>
        <v>6458026.3841974083</v>
      </c>
      <c r="G3220" s="359">
        <f>'DRE + DCF'!$W$31</f>
        <v>2791623.3540418856</v>
      </c>
      <c r="H3220" s="359">
        <f>'DRE + DCF'!$W$32</f>
        <v>81081.931703745853</v>
      </c>
      <c r="I3220" s="359">
        <f>-H3220*('DRE + DCF'!$V$33+K3220)/'DRE + DCF'!$V$33</f>
        <v>-90858.801614444121</v>
      </c>
      <c r="J3220" s="359">
        <f>-'DRE + DCF'!$V$56*L3220</f>
        <v>-1188924.4255577971</v>
      </c>
      <c r="K3220" s="360">
        <f>(1+L3220)/(1+Ke!$O$12)-1</f>
        <v>2.0000000000000018E-2</v>
      </c>
      <c r="L3220" s="360">
        <f>'DRE + DCF'!$Y$31</f>
        <v>7.3550000000000004E-2</v>
      </c>
      <c r="M3220" s="361">
        <f>(1+D3220)^((5-Dashboard!$F$9)*3/12)</f>
        <v>1.2834302686700088</v>
      </c>
      <c r="N3220" s="361">
        <f t="shared" ref="N3220:V3220" si="3309">M3220*(1+$D3220)</f>
        <v>1.7900643672274585</v>
      </c>
      <c r="O3220" s="361">
        <f t="shared" si="3309"/>
        <v>2.4966922761904473</v>
      </c>
      <c r="P3220" s="361">
        <f t="shared" si="3309"/>
        <v>3.4822615522165559</v>
      </c>
      <c r="Q3220" s="361">
        <f t="shared" si="3309"/>
        <v>4.8568842999539426</v>
      </c>
      <c r="R3220" s="361">
        <f t="shared" si="3309"/>
        <v>6.7741393773606244</v>
      </c>
      <c r="S3220" s="361">
        <f t="shared" si="3309"/>
        <v>9.4482308965735395</v>
      </c>
      <c r="T3220" s="361">
        <f t="shared" si="3309"/>
        <v>13.177920042995677</v>
      </c>
      <c r="U3220" s="361">
        <f t="shared" si="3309"/>
        <v>18.379903979967846</v>
      </c>
      <c r="V3220" s="362">
        <f t="shared" si="3309"/>
        <v>25.635371076059634</v>
      </c>
      <c r="X3220" s="351"/>
    </row>
    <row r="3221" spans="3:24" ht="24.75" customHeight="1" x14ac:dyDescent="0.3">
      <c r="C3221" s="353">
        <f>ABS(E3221-Dashboard!$F$14)</f>
        <v>61.457922369974767</v>
      </c>
      <c r="D3221" s="350">
        <f t="shared" si="3303"/>
        <v>0.39484999999997178</v>
      </c>
      <c r="E3221" s="359" cm="1">
        <f t="array" ref="E3221">1000*SUM('DRE + DCF'!$L$36/M3221,'DRE + DCF'!$N$36:$V$36/N3221:V3221,F3221/V3221)/Dashboard!$F$11</f>
        <v>35.532077630025228</v>
      </c>
      <c r="F3221" s="359">
        <f t="shared" si="3301"/>
        <v>6456236.489451522</v>
      </c>
      <c r="G3221" s="359">
        <f>'DRE + DCF'!$W$31</f>
        <v>2791623.3540418856</v>
      </c>
      <c r="H3221" s="359">
        <f>'DRE + DCF'!$W$32</f>
        <v>81081.931703745853</v>
      </c>
      <c r="I3221" s="359">
        <f>-H3221*('DRE + DCF'!$V$33+K3221)/'DRE + DCF'!$V$33</f>
        <v>-90858.801614444121</v>
      </c>
      <c r="J3221" s="359">
        <f>-'DRE + DCF'!$V$56*L3221</f>
        <v>-1188924.4255577971</v>
      </c>
      <c r="K3221" s="360">
        <f>(1+L3221)/(1+Ke!$O$12)-1</f>
        <v>2.0000000000000018E-2</v>
      </c>
      <c r="L3221" s="360">
        <f>'DRE + DCF'!$Y$31</f>
        <v>7.3550000000000004E-2</v>
      </c>
      <c r="M3221" s="361">
        <f>(1+D3221)^((5-Dashboard!$F$9)*3/12)</f>
        <v>1.2834992820469588</v>
      </c>
      <c r="N3221" s="361">
        <f t="shared" ref="N3221:V3221" si="3310">M3221*(1+$D3221)</f>
        <v>1.7902889735631642</v>
      </c>
      <c r="O3221" s="361">
        <f t="shared" si="3310"/>
        <v>2.4971845747745292</v>
      </c>
      <c r="P3221" s="361">
        <f t="shared" si="3310"/>
        <v>3.4831979041241814</v>
      </c>
      <c r="Q3221" s="361">
        <f t="shared" si="3310"/>
        <v>4.8585385965675156</v>
      </c>
      <c r="R3221" s="361">
        <f t="shared" si="3310"/>
        <v>6.7769325614220621</v>
      </c>
      <c r="S3221" s="361">
        <f t="shared" si="3310"/>
        <v>9.4528043832993713</v>
      </c>
      <c r="T3221" s="361">
        <f t="shared" si="3310"/>
        <v>13.185244194044861</v>
      </c>
      <c r="U3221" s="361">
        <f t="shared" si="3310"/>
        <v>18.3914378640631</v>
      </c>
      <c r="V3221" s="362">
        <f t="shared" si="3310"/>
        <v>25.653297104687894</v>
      </c>
      <c r="X3221" s="351"/>
    </row>
    <row r="3222" spans="3:24" ht="24.75" customHeight="1" x14ac:dyDescent="0.3">
      <c r="C3222" s="353">
        <f>ABS(E3222-Dashboard!$F$14)</f>
        <v>61.471007314961881</v>
      </c>
      <c r="D3222" s="350">
        <f t="shared" si="3303"/>
        <v>0.39494999999997177</v>
      </c>
      <c r="E3222" s="359" cm="1">
        <f t="array" ref="E3222">1000*SUM('DRE + DCF'!$L$36/M3222,'DRE + DCF'!$N$36:$V$36/N3222:V3222,F3222/V3222)/Dashboard!$F$11</f>
        <v>35.518992685038114</v>
      </c>
      <c r="F3222" s="359">
        <f t="shared" si="3301"/>
        <v>6454447.5971081257</v>
      </c>
      <c r="G3222" s="359">
        <f>'DRE + DCF'!$W$31</f>
        <v>2791623.3540418856</v>
      </c>
      <c r="H3222" s="359">
        <f>'DRE + DCF'!$W$32</f>
        <v>81081.931703745853</v>
      </c>
      <c r="I3222" s="359">
        <f>-H3222*('DRE + DCF'!$V$33+K3222)/'DRE + DCF'!$V$33</f>
        <v>-90858.801614444121</v>
      </c>
      <c r="J3222" s="359">
        <f>-'DRE + DCF'!$V$56*L3222</f>
        <v>-1188924.4255577971</v>
      </c>
      <c r="K3222" s="360">
        <f>(1+L3222)/(1+Ke!$O$12)-1</f>
        <v>2.0000000000000018E-2</v>
      </c>
      <c r="L3222" s="360">
        <f>'DRE + DCF'!$Y$31</f>
        <v>7.3550000000000004E-2</v>
      </c>
      <c r="M3222" s="361">
        <f>(1+D3222)^((5-Dashboard!$F$9)*3/12)</f>
        <v>1.2835682941869881</v>
      </c>
      <c r="N3222" s="361">
        <f t="shared" ref="N3222:V3222" si="3311">M3222*(1+$D3222)</f>
        <v>1.7905135919761028</v>
      </c>
      <c r="O3222" s="361">
        <f t="shared" si="3311"/>
        <v>2.4976769351270138</v>
      </c>
      <c r="P3222" s="361">
        <f t="shared" si="3311"/>
        <v>3.4841344406553572</v>
      </c>
      <c r="Q3222" s="361">
        <f t="shared" si="3311"/>
        <v>4.8601933379920919</v>
      </c>
      <c r="R3222" s="361">
        <f t="shared" si="3311"/>
        <v>6.779726696831931</v>
      </c>
      <c r="S3222" s="361">
        <f t="shared" si="3311"/>
        <v>9.4573797557455102</v>
      </c>
      <c r="T3222" s="361">
        <f t="shared" si="3311"/>
        <v>13.192571890276932</v>
      </c>
      <c r="U3222" s="361">
        <f t="shared" si="3311"/>
        <v>18.402978158341433</v>
      </c>
      <c r="V3222" s="362">
        <f t="shared" si="3311"/>
        <v>25.671234381977861</v>
      </c>
      <c r="X3222" s="351"/>
    </row>
    <row r="3223" spans="3:24" ht="24.75" customHeight="1" x14ac:dyDescent="0.3">
      <c r="C3223" s="353">
        <f>ABS(E3223-Dashboard!$F$14)</f>
        <v>61.484083311279186</v>
      </c>
      <c r="D3223" s="350">
        <f t="shared" si="3303"/>
        <v>0.39504999999997176</v>
      </c>
      <c r="E3223" s="359" cm="1">
        <f t="array" ref="E3223">1000*SUM('DRE + DCF'!$L$36/M3223,'DRE + DCF'!$N$36:$V$36/N3223:V3223,F3223/V3223)/Dashboard!$F$11</f>
        <v>35.505916688720809</v>
      </c>
      <c r="F3223" s="359">
        <f t="shared" si="3301"/>
        <v>6452659.7063164273</v>
      </c>
      <c r="G3223" s="359">
        <f>'DRE + DCF'!$W$31</f>
        <v>2791623.3540418856</v>
      </c>
      <c r="H3223" s="359">
        <f>'DRE + DCF'!$W$32</f>
        <v>81081.931703745853</v>
      </c>
      <c r="I3223" s="359">
        <f>-H3223*('DRE + DCF'!$V$33+K3223)/'DRE + DCF'!$V$33</f>
        <v>-90858.801614444121</v>
      </c>
      <c r="J3223" s="359">
        <f>-'DRE + DCF'!$V$56*L3223</f>
        <v>-1188924.4255577971</v>
      </c>
      <c r="K3223" s="360">
        <f>(1+L3223)/(1+Ke!$O$12)-1</f>
        <v>2.0000000000000018E-2</v>
      </c>
      <c r="L3223" s="360">
        <f>'DRE + DCF'!$Y$31</f>
        <v>7.3550000000000004E-2</v>
      </c>
      <c r="M3223" s="361">
        <f>(1+D3223)^((5-Dashboard!$F$9)*3/12)</f>
        <v>1.2836373050902072</v>
      </c>
      <c r="N3223" s="361">
        <f t="shared" ref="N3223:V3223" si="3312">M3223*(1+$D3223)</f>
        <v>1.7907382224660573</v>
      </c>
      <c r="O3223" s="361">
        <f t="shared" si="3312"/>
        <v>2.4981693572512227</v>
      </c>
      <c r="P3223" s="361">
        <f t="shared" si="3312"/>
        <v>3.4850711618332477</v>
      </c>
      <c r="Q3223" s="361">
        <f t="shared" si="3312"/>
        <v>4.8618485243153735</v>
      </c>
      <c r="R3223" s="361">
        <f t="shared" si="3312"/>
        <v>6.7825217838460246</v>
      </c>
      <c r="S3223" s="361">
        <f t="shared" si="3312"/>
        <v>9.4619570145542049</v>
      </c>
      <c r="T3223" s="361">
        <f t="shared" si="3312"/>
        <v>13.199903133153576</v>
      </c>
      <c r="U3223" s="361">
        <f t="shared" si="3312"/>
        <v>18.414524865905523</v>
      </c>
      <c r="V3223" s="362">
        <f t="shared" si="3312"/>
        <v>25.689182914180979</v>
      </c>
      <c r="X3223" s="351"/>
    </row>
    <row r="3224" spans="3:24" ht="24.75" customHeight="1" x14ac:dyDescent="0.3">
      <c r="C3224" s="353">
        <f>ABS(E3224-Dashboard!$F$14)</f>
        <v>61.497150367515268</v>
      </c>
      <c r="D3224" s="350">
        <f t="shared" si="3303"/>
        <v>0.39514999999997175</v>
      </c>
      <c r="E3224" s="359" cm="1">
        <f t="array" ref="E3224">1000*SUM('DRE + DCF'!$L$36/M3224,'DRE + DCF'!$N$36:$V$36/N3224:V3224,F3224/V3224)/Dashboard!$F$11</f>
        <v>35.492849632484727</v>
      </c>
      <c r="F3224" s="359">
        <f t="shared" si="3301"/>
        <v>6450872.8162266109</v>
      </c>
      <c r="G3224" s="359">
        <f>'DRE + DCF'!$W$31</f>
        <v>2791623.3540418856</v>
      </c>
      <c r="H3224" s="359">
        <f>'DRE + DCF'!$W$32</f>
        <v>81081.931703745853</v>
      </c>
      <c r="I3224" s="359">
        <f>-H3224*('DRE + DCF'!$V$33+K3224)/'DRE + DCF'!$V$33</f>
        <v>-90858.801614444121</v>
      </c>
      <c r="J3224" s="359">
        <f>-'DRE + DCF'!$V$56*L3224</f>
        <v>-1188924.4255577971</v>
      </c>
      <c r="K3224" s="360">
        <f>(1+L3224)/(1+Ke!$O$12)-1</f>
        <v>2.0000000000000018E-2</v>
      </c>
      <c r="L3224" s="360">
        <f>'DRE + DCF'!$Y$31</f>
        <v>7.3550000000000004E-2</v>
      </c>
      <c r="M3224" s="361">
        <f>(1+D3224)^((5-Dashboard!$F$9)*3/12)</f>
        <v>1.2837063147567276</v>
      </c>
      <c r="N3224" s="361">
        <f t="shared" ref="N3224:V3224" si="3313">M3224*(1+$D3224)</f>
        <v>1.7909628650328122</v>
      </c>
      <c r="O3224" s="361">
        <f t="shared" si="3313"/>
        <v>2.4986618411504771</v>
      </c>
      <c r="P3224" s="361">
        <f t="shared" si="3313"/>
        <v>3.4860080676810172</v>
      </c>
      <c r="Q3224" s="361">
        <f t="shared" si="3313"/>
        <v>4.8635041556250727</v>
      </c>
      <c r="R3224" s="361">
        <f t="shared" si="3313"/>
        <v>6.7853178227201827</v>
      </c>
      <c r="S3224" s="361">
        <f t="shared" si="3313"/>
        <v>9.4665361603678715</v>
      </c>
      <c r="T3224" s="361">
        <f t="shared" si="3313"/>
        <v>13.207237924136967</v>
      </c>
      <c r="U3224" s="361">
        <f t="shared" si="3313"/>
        <v>18.426077989859316</v>
      </c>
      <c r="V3224" s="362">
        <f t="shared" si="3313"/>
        <v>25.707142707551704</v>
      </c>
      <c r="X3224" s="351"/>
    </row>
    <row r="3225" spans="3:24" ht="24.75" customHeight="1" x14ac:dyDescent="0.3">
      <c r="C3225" s="353">
        <f>ABS(E3225-Dashboard!$F$14)</f>
        <v>61.510208492248189</v>
      </c>
      <c r="D3225" s="350">
        <f t="shared" si="3303"/>
        <v>0.39524999999997174</v>
      </c>
      <c r="E3225" s="359" cm="1">
        <f t="array" ref="E3225">1000*SUM('DRE + DCF'!$L$36/M3225,'DRE + DCF'!$N$36:$V$36/N3225:V3225,F3225/V3225)/Dashboard!$F$11</f>
        <v>35.479791507751806</v>
      </c>
      <c r="F3225" s="359">
        <f t="shared" si="3301"/>
        <v>6449086.925989829</v>
      </c>
      <c r="G3225" s="359">
        <f>'DRE + DCF'!$W$31</f>
        <v>2791623.3540418856</v>
      </c>
      <c r="H3225" s="359">
        <f>'DRE + DCF'!$W$32</f>
        <v>81081.931703745853</v>
      </c>
      <c r="I3225" s="359">
        <f>-H3225*('DRE + DCF'!$V$33+K3225)/'DRE + DCF'!$V$33</f>
        <v>-90858.801614444121</v>
      </c>
      <c r="J3225" s="359">
        <f>-'DRE + DCF'!$V$56*L3225</f>
        <v>-1188924.4255577971</v>
      </c>
      <c r="K3225" s="360">
        <f>(1+L3225)/(1+Ke!$O$12)-1</f>
        <v>2.0000000000000018E-2</v>
      </c>
      <c r="L3225" s="360">
        <f>'DRE + DCF'!$Y$31</f>
        <v>7.3550000000000004E-2</v>
      </c>
      <c r="M3225" s="361">
        <f>(1+D3225)^((5-Dashboard!$F$9)*3/12)</f>
        <v>1.2837753231866593</v>
      </c>
      <c r="N3225" s="361">
        <f t="shared" ref="N3225:V3225" si="3314">M3225*(1+$D3225)</f>
        <v>1.79118751967615</v>
      </c>
      <c r="O3225" s="361">
        <f t="shared" si="3314"/>
        <v>2.4991543868280974</v>
      </c>
      <c r="P3225" s="361">
        <f t="shared" si="3314"/>
        <v>3.486945158221832</v>
      </c>
      <c r="Q3225" s="361">
        <f t="shared" si="3314"/>
        <v>4.865160232008912</v>
      </c>
      <c r="R3225" s="361">
        <f t="shared" si="3314"/>
        <v>6.7881148137102967</v>
      </c>
      <c r="S3225" s="361">
        <f t="shared" si="3314"/>
        <v>9.4711171938290999</v>
      </c>
      <c r="T3225" s="361">
        <f t="shared" si="3314"/>
        <v>13.214576264689784</v>
      </c>
      <c r="U3225" s="361">
        <f t="shared" si="3314"/>
        <v>18.437637533308045</v>
      </c>
      <c r="V3225" s="362">
        <f t="shared" si="3314"/>
        <v>25.725113768347526</v>
      </c>
      <c r="X3225" s="351"/>
    </row>
    <row r="3226" spans="3:24" ht="24.75" customHeight="1" x14ac:dyDescent="0.3">
      <c r="C3226" s="353">
        <f>ABS(E3226-Dashboard!$F$14)</f>
        <v>61.523257694045597</v>
      </c>
      <c r="D3226" s="350">
        <f t="shared" si="3303"/>
        <v>0.39534999999997172</v>
      </c>
      <c r="E3226" s="359" cm="1">
        <f t="array" ref="E3226">1000*SUM('DRE + DCF'!$L$36/M3226,'DRE + DCF'!$N$36:$V$36/N3226:V3226,F3226/V3226)/Dashboard!$F$11</f>
        <v>35.466742305954398</v>
      </c>
      <c r="F3226" s="359">
        <f t="shared" si="3301"/>
        <v>6447302.0347582046</v>
      </c>
      <c r="G3226" s="359">
        <f>'DRE + DCF'!$W$31</f>
        <v>2791623.3540418856</v>
      </c>
      <c r="H3226" s="359">
        <f>'DRE + DCF'!$W$32</f>
        <v>81081.931703745853</v>
      </c>
      <c r="I3226" s="359">
        <f>-H3226*('DRE + DCF'!$V$33+K3226)/'DRE + DCF'!$V$33</f>
        <v>-90858.801614444121</v>
      </c>
      <c r="J3226" s="359">
        <f>-'DRE + DCF'!$V$56*L3226</f>
        <v>-1188924.4255577971</v>
      </c>
      <c r="K3226" s="360">
        <f>(1+L3226)/(1+Ke!$O$12)-1</f>
        <v>2.0000000000000018E-2</v>
      </c>
      <c r="L3226" s="360">
        <f>'DRE + DCF'!$Y$31</f>
        <v>7.3550000000000004E-2</v>
      </c>
      <c r="M3226" s="361">
        <f>(1+D3226)^((5-Dashboard!$F$9)*3/12)</f>
        <v>1.2838443303801137</v>
      </c>
      <c r="N3226" s="361">
        <f t="shared" ref="N3226:V3226" si="3315">M3226*(1+$D3226)</f>
        <v>1.7914121863958552</v>
      </c>
      <c r="O3226" s="361">
        <f t="shared" si="3315"/>
        <v>2.499646994287406</v>
      </c>
      <c r="P3226" s="361">
        <f t="shared" si="3315"/>
        <v>3.4878824334788612</v>
      </c>
      <c r="Q3226" s="361">
        <f t="shared" si="3315"/>
        <v>4.8668167535546303</v>
      </c>
      <c r="R3226" s="361">
        <f t="shared" si="3315"/>
        <v>6.7909127570723156</v>
      </c>
      <c r="S3226" s="361">
        <f t="shared" si="3315"/>
        <v>9.4757001155806631</v>
      </c>
      <c r="T3226" s="361">
        <f t="shared" si="3315"/>
        <v>13.22191815627521</v>
      </c>
      <c r="U3226" s="361">
        <f t="shared" si="3315"/>
        <v>18.449203499358241</v>
      </c>
      <c r="V3226" s="362">
        <f t="shared" si="3315"/>
        <v>25.743096102829</v>
      </c>
      <c r="X3226" s="351"/>
    </row>
    <row r="3227" spans="3:24" ht="24.75" customHeight="1" x14ac:dyDescent="0.3">
      <c r="C3227" s="353">
        <f>ABS(E3227-Dashboard!$F$14)</f>
        <v>61.536297981464593</v>
      </c>
      <c r="D3227" s="350">
        <f t="shared" si="3303"/>
        <v>0.39544999999997171</v>
      </c>
      <c r="E3227" s="359" cm="1">
        <f t="array" ref="E3227">1000*SUM('DRE + DCF'!$L$36/M3227,'DRE + DCF'!$N$36:$V$36/N3227:V3227,F3227/V3227)/Dashboard!$F$11</f>
        <v>35.453702018535402</v>
      </c>
      <c r="F3227" s="359">
        <f t="shared" si="3301"/>
        <v>6445518.1416848293</v>
      </c>
      <c r="G3227" s="359">
        <f>'DRE + DCF'!$W$31</f>
        <v>2791623.3540418856</v>
      </c>
      <c r="H3227" s="359">
        <f>'DRE + DCF'!$W$32</f>
        <v>81081.931703745853</v>
      </c>
      <c r="I3227" s="359">
        <f>-H3227*('DRE + DCF'!$V$33+K3227)/'DRE + DCF'!$V$33</f>
        <v>-90858.801614444121</v>
      </c>
      <c r="J3227" s="359">
        <f>-'DRE + DCF'!$V$56*L3227</f>
        <v>-1188924.4255577971</v>
      </c>
      <c r="K3227" s="360">
        <f>(1+L3227)/(1+Ke!$O$12)-1</f>
        <v>2.0000000000000018E-2</v>
      </c>
      <c r="L3227" s="360">
        <f>'DRE + DCF'!$Y$31</f>
        <v>7.3550000000000004E-2</v>
      </c>
      <c r="M3227" s="361">
        <f>(1+D3227)^((5-Dashboard!$F$9)*3/12)</f>
        <v>1.2839133363372011</v>
      </c>
      <c r="N3227" s="361">
        <f t="shared" ref="N3227:V3227" si="3316">M3227*(1+$D3227)</f>
        <v>1.7916368651917107</v>
      </c>
      <c r="O3227" s="361">
        <f t="shared" si="3316"/>
        <v>2.5001396635317219</v>
      </c>
      <c r="P3227" s="361">
        <f t="shared" si="3316"/>
        <v>3.4888198934752706</v>
      </c>
      <c r="Q3227" s="361">
        <f t="shared" si="3316"/>
        <v>4.8684737203499671</v>
      </c>
      <c r="R3227" s="361">
        <f t="shared" si="3316"/>
        <v>6.7937116530622239</v>
      </c>
      <c r="S3227" s="361">
        <f t="shared" si="3316"/>
        <v>9.4802849262654885</v>
      </c>
      <c r="T3227" s="361">
        <f t="shared" si="3316"/>
        <v>13.229263600356907</v>
      </c>
      <c r="U3227" s="361">
        <f t="shared" si="3316"/>
        <v>18.46077589111767</v>
      </c>
      <c r="V3227" s="362">
        <f t="shared" si="3316"/>
        <v>25.76108971725963</v>
      </c>
      <c r="X3227" s="351"/>
    </row>
    <row r="3228" spans="3:24" ht="24.75" customHeight="1" x14ac:dyDescent="0.3">
      <c r="C3228" s="353">
        <f>ABS(E3228-Dashboard!$F$14)</f>
        <v>61.549329363051932</v>
      </c>
      <c r="D3228" s="350">
        <f t="shared" si="3303"/>
        <v>0.3955499999999717</v>
      </c>
      <c r="E3228" s="359" cm="1">
        <f t="array" ref="E3228">1000*SUM('DRE + DCF'!$L$36/M3228,'DRE + DCF'!$N$36:$V$36/N3228:V3228,F3228/V3228)/Dashboard!$F$11</f>
        <v>35.440670636948063</v>
      </c>
      <c r="F3228" s="359">
        <f t="shared" si="3301"/>
        <v>6443735.2459237613</v>
      </c>
      <c r="G3228" s="359">
        <f>'DRE + DCF'!$W$31</f>
        <v>2791623.3540418856</v>
      </c>
      <c r="H3228" s="359">
        <f>'DRE + DCF'!$W$32</f>
        <v>81081.931703745853</v>
      </c>
      <c r="I3228" s="359">
        <f>-H3228*('DRE + DCF'!$V$33+K3228)/'DRE + DCF'!$V$33</f>
        <v>-90858.801614444121</v>
      </c>
      <c r="J3228" s="359">
        <f>-'DRE + DCF'!$V$56*L3228</f>
        <v>-1188924.4255577971</v>
      </c>
      <c r="K3228" s="360">
        <f>(1+L3228)/(1+Ke!$O$12)-1</f>
        <v>2.0000000000000018E-2</v>
      </c>
      <c r="L3228" s="360">
        <f>'DRE + DCF'!$Y$31</f>
        <v>7.3550000000000004E-2</v>
      </c>
      <c r="M3228" s="361">
        <f>(1+D3228)^((5-Dashboard!$F$9)*3/12)</f>
        <v>1.2839823410580327</v>
      </c>
      <c r="N3228" s="361">
        <f t="shared" ref="N3228:V3228" si="3317">M3228*(1+$D3228)</f>
        <v>1.7918615560635012</v>
      </c>
      <c r="O3228" s="361">
        <f t="shared" si="3317"/>
        <v>2.5006323945643683</v>
      </c>
      <c r="P3228" s="361">
        <f t="shared" si="3317"/>
        <v>3.4897575382342332</v>
      </c>
      <c r="Q3228" s="361">
        <f t="shared" si="3317"/>
        <v>4.870131132482685</v>
      </c>
      <c r="R3228" s="361">
        <f t="shared" si="3317"/>
        <v>6.7965115019360729</v>
      </c>
      <c r="S3228" s="361">
        <f t="shared" si="3317"/>
        <v>9.4848716265266937</v>
      </c>
      <c r="T3228" s="361">
        <f t="shared" si="3317"/>
        <v>13.236612598399059</v>
      </c>
      <c r="U3228" s="361">
        <f t="shared" si="3317"/>
        <v>18.472354711695431</v>
      </c>
      <c r="V3228" s="362">
        <f t="shared" si="3317"/>
        <v>25.779094617906036</v>
      </c>
      <c r="X3228" s="351"/>
    </row>
    <row r="3229" spans="3:24" ht="24.75" customHeight="1" x14ac:dyDescent="0.3">
      <c r="C3229" s="353">
        <f>ABS(E3229-Dashboard!$F$14)</f>
        <v>61.562351847343862</v>
      </c>
      <c r="D3229" s="350">
        <f t="shared" si="3303"/>
        <v>0.39564999999997169</v>
      </c>
      <c r="E3229" s="359" cm="1">
        <f t="array" ref="E3229">1000*SUM('DRE + DCF'!$L$36/M3229,'DRE + DCF'!$N$36:$V$36/N3229:V3229,F3229/V3229)/Dashboard!$F$11</f>
        <v>35.427648152656133</v>
      </c>
      <c r="F3229" s="359">
        <f t="shared" si="3301"/>
        <v>6441953.3466300257</v>
      </c>
      <c r="G3229" s="359">
        <f>'DRE + DCF'!$W$31</f>
        <v>2791623.3540418856</v>
      </c>
      <c r="H3229" s="359">
        <f>'DRE + DCF'!$W$32</f>
        <v>81081.931703745853</v>
      </c>
      <c r="I3229" s="359">
        <f>-H3229*('DRE + DCF'!$V$33+K3229)/'DRE + DCF'!$V$33</f>
        <v>-90858.801614444121</v>
      </c>
      <c r="J3229" s="359">
        <f>-'DRE + DCF'!$V$56*L3229</f>
        <v>-1188924.4255577971</v>
      </c>
      <c r="K3229" s="360">
        <f>(1+L3229)/(1+Ke!$O$12)-1</f>
        <v>2.0000000000000018E-2</v>
      </c>
      <c r="L3229" s="360">
        <f>'DRE + DCF'!$Y$31</f>
        <v>7.3550000000000004E-2</v>
      </c>
      <c r="M3229" s="361">
        <f>(1+D3229)^((5-Dashboard!$F$9)*3/12)</f>
        <v>1.2840513445427189</v>
      </c>
      <c r="N3229" s="361">
        <f t="shared" ref="N3229:V3229" si="3318">M3229*(1+$D3229)</f>
        <v>1.7920862590110092</v>
      </c>
      <c r="O3229" s="361">
        <f t="shared" si="3318"/>
        <v>2.5011251873886642</v>
      </c>
      <c r="P3229" s="361">
        <f t="shared" si="3318"/>
        <v>3.4906953677789181</v>
      </c>
      <c r="Q3229" s="361">
        <f t="shared" si="3318"/>
        <v>4.8717889900405478</v>
      </c>
      <c r="R3229" s="361">
        <f t="shared" si="3318"/>
        <v>6.7993123039499519</v>
      </c>
      <c r="S3229" s="361">
        <f t="shared" si="3318"/>
        <v>9.4894602170075579</v>
      </c>
      <c r="T3229" s="361">
        <f t="shared" si="3318"/>
        <v>13.243965151866329</v>
      </c>
      <c r="U3229" s="361">
        <f t="shared" si="3318"/>
        <v>18.483939964201866</v>
      </c>
      <c r="V3229" s="362">
        <f t="shared" si="3318"/>
        <v>25.797110811037811</v>
      </c>
      <c r="X3229" s="351"/>
    </row>
    <row r="3230" spans="3:24" ht="24.75" customHeight="1" x14ac:dyDescent="0.3">
      <c r="C3230" s="353">
        <f>ABS(E3230-Dashboard!$F$14)</f>
        <v>61.575365442866243</v>
      </c>
      <c r="D3230" s="350">
        <f t="shared" si="3303"/>
        <v>0.39574999999997168</v>
      </c>
      <c r="E3230" s="359" cm="1">
        <f t="array" ref="E3230">1000*SUM('DRE + DCF'!$L$36/M3230,'DRE + DCF'!$N$36:$V$36/N3230:V3230,F3230/V3230)/Dashboard!$F$11</f>
        <v>35.414634557133752</v>
      </c>
      <c r="F3230" s="359">
        <f t="shared" si="3301"/>
        <v>6440172.4429596104</v>
      </c>
      <c r="G3230" s="359">
        <f>'DRE + DCF'!$W$31</f>
        <v>2791623.3540418856</v>
      </c>
      <c r="H3230" s="359">
        <f>'DRE + DCF'!$W$32</f>
        <v>81081.931703745853</v>
      </c>
      <c r="I3230" s="359">
        <f>-H3230*('DRE + DCF'!$V$33+K3230)/'DRE + DCF'!$V$33</f>
        <v>-90858.801614444121</v>
      </c>
      <c r="J3230" s="359">
        <f>-'DRE + DCF'!$V$56*L3230</f>
        <v>-1188924.4255577971</v>
      </c>
      <c r="K3230" s="360">
        <f>(1+L3230)/(1+Ke!$O$12)-1</f>
        <v>2.0000000000000018E-2</v>
      </c>
      <c r="L3230" s="360">
        <f>'DRE + DCF'!$Y$31</f>
        <v>7.3550000000000004E-2</v>
      </c>
      <c r="M3230" s="361">
        <f>(1+D3230)^((5-Dashboard!$F$9)*3/12)</f>
        <v>1.2841203467913704</v>
      </c>
      <c r="N3230" s="361">
        <f t="shared" ref="N3230:V3230" si="3319">M3230*(1+$D3230)</f>
        <v>1.7923109740340188</v>
      </c>
      <c r="O3230" s="361">
        <f t="shared" si="3319"/>
        <v>2.501618042007931</v>
      </c>
      <c r="P3230" s="361">
        <f t="shared" si="3319"/>
        <v>3.4916333821324987</v>
      </c>
      <c r="Q3230" s="361">
        <f t="shared" si="3319"/>
        <v>4.8734472931113357</v>
      </c>
      <c r="R3230" s="361">
        <f t="shared" si="3319"/>
        <v>6.8021140593600089</v>
      </c>
      <c r="S3230" s="361">
        <f t="shared" si="3319"/>
        <v>9.4940506983515398</v>
      </c>
      <c r="T3230" s="361">
        <f t="shared" si="3319"/>
        <v>13.251321262223893</v>
      </c>
      <c r="U3230" s="361">
        <f t="shared" si="3319"/>
        <v>18.495531651748625</v>
      </c>
      <c r="V3230" s="362">
        <f t="shared" si="3319"/>
        <v>25.815138302927618</v>
      </c>
      <c r="X3230" s="351"/>
    </row>
    <row r="3231" spans="3:24" ht="24.75" customHeight="1" x14ac:dyDescent="0.3">
      <c r="C3231" s="353">
        <f>ABS(E3231-Dashboard!$F$14)</f>
        <v>61.588370158134538</v>
      </c>
      <c r="D3231" s="350">
        <f t="shared" si="3303"/>
        <v>0.39584999999997167</v>
      </c>
      <c r="E3231" s="359" cm="1">
        <f t="array" ref="E3231">1000*SUM('DRE + DCF'!$L$36/M3231,'DRE + DCF'!$N$36:$V$36/N3231:V3231,F3231/V3231)/Dashboard!$F$11</f>
        <v>35.401629841865457</v>
      </c>
      <c r="F3231" s="359">
        <f t="shared" si="3301"/>
        <v>6438392.5340694645</v>
      </c>
      <c r="G3231" s="359">
        <f>'DRE + DCF'!$W$31</f>
        <v>2791623.3540418856</v>
      </c>
      <c r="H3231" s="359">
        <f>'DRE + DCF'!$W$32</f>
        <v>81081.931703745853</v>
      </c>
      <c r="I3231" s="359">
        <f>-H3231*('DRE + DCF'!$V$33+K3231)/'DRE + DCF'!$V$33</f>
        <v>-90858.801614444121</v>
      </c>
      <c r="J3231" s="359">
        <f>-'DRE + DCF'!$V$56*L3231</f>
        <v>-1188924.4255577971</v>
      </c>
      <c r="K3231" s="360">
        <f>(1+L3231)/(1+Ke!$O$12)-1</f>
        <v>2.0000000000000018E-2</v>
      </c>
      <c r="L3231" s="360">
        <f>'DRE + DCF'!$Y$31</f>
        <v>7.3550000000000004E-2</v>
      </c>
      <c r="M3231" s="361">
        <f>(1+D3231)^((5-Dashboard!$F$9)*3/12)</f>
        <v>1.2841893478040982</v>
      </c>
      <c r="N3231" s="361">
        <f t="shared" ref="N3231:V3231" si="3320">M3231*(1+$D3231)</f>
        <v>1.792535701132314</v>
      </c>
      <c r="O3231" s="361">
        <f t="shared" si="3320"/>
        <v>2.5021109584254897</v>
      </c>
      <c r="P3231" s="361">
        <f t="shared" si="3320"/>
        <v>3.4925715813181486</v>
      </c>
      <c r="Q3231" s="361">
        <f t="shared" si="3320"/>
        <v>4.8751060417828382</v>
      </c>
      <c r="R3231" s="361">
        <f t="shared" si="3320"/>
        <v>6.8049167684224363</v>
      </c>
      <c r="S3231" s="361">
        <f t="shared" si="3320"/>
        <v>9.4986430712022649</v>
      </c>
      <c r="T3231" s="361">
        <f t="shared" si="3320"/>
        <v>13.258680930937413</v>
      </c>
      <c r="U3231" s="361">
        <f t="shared" si="3320"/>
        <v>18.507129777448611</v>
      </c>
      <c r="V3231" s="362">
        <f t="shared" si="3320"/>
        <v>25.83317709985112</v>
      </c>
      <c r="X3231" s="351"/>
    </row>
    <row r="3232" spans="3:24" ht="24.75" customHeight="1" x14ac:dyDescent="0.3">
      <c r="C3232" s="353">
        <f>ABS(E3232-Dashboard!$F$14)</f>
        <v>61.601366001653844</v>
      </c>
      <c r="D3232" s="350">
        <f t="shared" si="3303"/>
        <v>0.39594999999997166</v>
      </c>
      <c r="E3232" s="359" cm="1">
        <f t="array" ref="E3232">1000*SUM('DRE + DCF'!$L$36/M3232,'DRE + DCF'!$N$36:$V$36/N3232:V3232,F3232/V3232)/Dashboard!$F$11</f>
        <v>35.388633998346151</v>
      </c>
      <c r="F3232" s="359">
        <f t="shared" si="3301"/>
        <v>6436613.6191175031</v>
      </c>
      <c r="G3232" s="359">
        <f>'DRE + DCF'!$W$31</f>
        <v>2791623.3540418856</v>
      </c>
      <c r="H3232" s="359">
        <f>'DRE + DCF'!$W$32</f>
        <v>81081.931703745853</v>
      </c>
      <c r="I3232" s="359">
        <f>-H3232*('DRE + DCF'!$V$33+K3232)/'DRE + DCF'!$V$33</f>
        <v>-90858.801614444121</v>
      </c>
      <c r="J3232" s="359">
        <f>-'DRE + DCF'!$V$56*L3232</f>
        <v>-1188924.4255577971</v>
      </c>
      <c r="K3232" s="360">
        <f>(1+L3232)/(1+Ke!$O$12)-1</f>
        <v>2.0000000000000018E-2</v>
      </c>
      <c r="L3232" s="360">
        <f>'DRE + DCF'!$Y$31</f>
        <v>7.3550000000000004E-2</v>
      </c>
      <c r="M3232" s="361">
        <f>(1+D3232)^((5-Dashboard!$F$9)*3/12)</f>
        <v>1.2842583475810125</v>
      </c>
      <c r="N3232" s="361">
        <f t="shared" ref="N3232:V3232" si="3321">M3232*(1+$D3232)</f>
        <v>1.792760440305678</v>
      </c>
      <c r="O3232" s="361">
        <f t="shared" si="3321"/>
        <v>2.5026039366446602</v>
      </c>
      <c r="P3232" s="361">
        <f t="shared" si="3321"/>
        <v>3.4935099653590425</v>
      </c>
      <c r="Q3232" s="361">
        <f t="shared" si="3321"/>
        <v>4.8767652361428562</v>
      </c>
      <c r="R3232" s="361">
        <f t="shared" si="3321"/>
        <v>6.8077204313934816</v>
      </c>
      <c r="S3232" s="361">
        <f t="shared" si="3321"/>
        <v>9.5032373362035365</v>
      </c>
      <c r="T3232" s="361">
        <f t="shared" si="3321"/>
        <v>13.266044159473056</v>
      </c>
      <c r="U3232" s="361">
        <f t="shared" si="3321"/>
        <v>18.518734344416035</v>
      </c>
      <c r="V3232" s="362">
        <f t="shared" si="3321"/>
        <v>25.851227208087039</v>
      </c>
      <c r="X3232" s="351"/>
    </row>
    <row r="3233" spans="3:24" ht="24.75" customHeight="1" x14ac:dyDescent="0.3">
      <c r="C3233" s="353">
        <f>ABS(E3233-Dashboard!$F$14)</f>
        <v>61.614352981918863</v>
      </c>
      <c r="D3233" s="350">
        <f t="shared" si="3303"/>
        <v>0.39604999999997165</v>
      </c>
      <c r="E3233" s="359" cm="1">
        <f t="array" ref="E3233">1000*SUM('DRE + DCF'!$L$36/M3233,'DRE + DCF'!$N$36:$V$36/N3233:V3233,F3233/V3233)/Dashboard!$F$11</f>
        <v>35.375647018081132</v>
      </c>
      <c r="F3233" s="359">
        <f t="shared" si="3301"/>
        <v>6434835.6972625982</v>
      </c>
      <c r="G3233" s="359">
        <f>'DRE + DCF'!$W$31</f>
        <v>2791623.3540418856</v>
      </c>
      <c r="H3233" s="359">
        <f>'DRE + DCF'!$W$32</f>
        <v>81081.931703745853</v>
      </c>
      <c r="I3233" s="359">
        <f>-H3233*('DRE + DCF'!$V$33+K3233)/'DRE + DCF'!$V$33</f>
        <v>-90858.801614444121</v>
      </c>
      <c r="J3233" s="359">
        <f>-'DRE + DCF'!$V$56*L3233</f>
        <v>-1188924.4255577971</v>
      </c>
      <c r="K3233" s="360">
        <f>(1+L3233)/(1+Ke!$O$12)-1</f>
        <v>2.0000000000000018E-2</v>
      </c>
      <c r="L3233" s="360">
        <f>'DRE + DCF'!$Y$31</f>
        <v>7.3550000000000004E-2</v>
      </c>
      <c r="M3233" s="361">
        <f>(1+D3233)^((5-Dashboard!$F$9)*3/12)</f>
        <v>1.2843273461222247</v>
      </c>
      <c r="N3233" s="361">
        <f t="shared" ref="N3233:V3233" si="3322">M3233*(1+$D3233)</f>
        <v>1.7929851915538952</v>
      </c>
      <c r="O3233" s="361">
        <f t="shared" si="3322"/>
        <v>2.5030969766687643</v>
      </c>
      <c r="P3233" s="361">
        <f t="shared" si="3322"/>
        <v>3.4944485342783573</v>
      </c>
      <c r="Q3233" s="361">
        <f t="shared" si="3322"/>
        <v>4.8784248762792011</v>
      </c>
      <c r="R3233" s="361">
        <f t="shared" si="3322"/>
        <v>6.8105250485294402</v>
      </c>
      <c r="S3233" s="361">
        <f t="shared" si="3322"/>
        <v>9.5078334939993319</v>
      </c>
      <c r="T3233" s="361">
        <f t="shared" si="3322"/>
        <v>13.273410949297498</v>
      </c>
      <c r="U3233" s="361">
        <f t="shared" si="3322"/>
        <v>18.530345355766393</v>
      </c>
      <c r="V3233" s="362">
        <f t="shared" si="3322"/>
        <v>25.869288633917147</v>
      </c>
      <c r="X3233" s="351"/>
    </row>
    <row r="3234" spans="3:24" ht="24.75" customHeight="1" x14ac:dyDescent="0.3">
      <c r="C3234" s="353">
        <f>ABS(E3234-Dashboard!$F$14)</f>
        <v>61.627331107413944</v>
      </c>
      <c r="D3234" s="350">
        <f t="shared" si="3303"/>
        <v>0.39614999999997164</v>
      </c>
      <c r="E3234" s="359" cm="1">
        <f t="array" ref="E3234">1000*SUM('DRE + DCF'!$L$36/M3234,'DRE + DCF'!$N$36:$V$36/N3234:V3234,F3234/V3234)/Dashboard!$F$11</f>
        <v>35.362668892586051</v>
      </c>
      <c r="F3234" s="359">
        <f t="shared" si="3301"/>
        <v>6433058.7676645815</v>
      </c>
      <c r="G3234" s="359">
        <f>'DRE + DCF'!$W$31</f>
        <v>2791623.3540418856</v>
      </c>
      <c r="H3234" s="359">
        <f>'DRE + DCF'!$W$32</f>
        <v>81081.931703745853</v>
      </c>
      <c r="I3234" s="359">
        <f>-H3234*('DRE + DCF'!$V$33+K3234)/'DRE + DCF'!$V$33</f>
        <v>-90858.801614444121</v>
      </c>
      <c r="J3234" s="359">
        <f>-'DRE + DCF'!$V$56*L3234</f>
        <v>-1188924.4255577971</v>
      </c>
      <c r="K3234" s="360">
        <f>(1+L3234)/(1+Ke!$O$12)-1</f>
        <v>2.0000000000000018E-2</v>
      </c>
      <c r="L3234" s="360">
        <f>'DRE + DCF'!$Y$31</f>
        <v>7.3550000000000004E-2</v>
      </c>
      <c r="M3234" s="361">
        <f>(1+D3234)^((5-Dashboard!$F$9)*3/12)</f>
        <v>1.2843963434278447</v>
      </c>
      <c r="N3234" s="361">
        <f t="shared" ref="N3234:V3234" si="3323">M3234*(1+$D3234)</f>
        <v>1.7932099548767488</v>
      </c>
      <c r="O3234" s="361">
        <f t="shared" si="3323"/>
        <v>2.503590078501122</v>
      </c>
      <c r="P3234" s="361">
        <f t="shared" si="3323"/>
        <v>3.4953872880992702</v>
      </c>
      <c r="Q3234" s="361">
        <f t="shared" si="3323"/>
        <v>4.8800849622796969</v>
      </c>
      <c r="R3234" s="361">
        <f t="shared" si="3323"/>
        <v>6.8133306200866599</v>
      </c>
      <c r="S3234" s="361">
        <f t="shared" si="3323"/>
        <v>9.5124315452337971</v>
      </c>
      <c r="T3234" s="361">
        <f t="shared" si="3323"/>
        <v>13.280781301877896</v>
      </c>
      <c r="U3234" s="361">
        <f t="shared" si="3323"/>
        <v>18.541962814616447</v>
      </c>
      <c r="V3234" s="362">
        <f t="shared" si="3323"/>
        <v>25.887361383626224</v>
      </c>
      <c r="X3234" s="351"/>
    </row>
    <row r="3235" spans="3:24" ht="24.75" customHeight="1" x14ac:dyDescent="0.3">
      <c r="C3235" s="353">
        <f>ABS(E3235-Dashboard!$F$14)</f>
        <v>61.640300386613113</v>
      </c>
      <c r="D3235" s="350">
        <f t="shared" si="3303"/>
        <v>0.39624999999997162</v>
      </c>
      <c r="E3235" s="359" cm="1">
        <f t="array" ref="E3235">1000*SUM('DRE + DCF'!$L$36/M3235,'DRE + DCF'!$N$36:$V$36/N3235:V3235,F3235/V3235)/Dashboard!$F$11</f>
        <v>35.349699613386882</v>
      </c>
      <c r="F3235" s="359">
        <f t="shared" si="3301"/>
        <v>6431282.8294842411</v>
      </c>
      <c r="G3235" s="359">
        <f>'DRE + DCF'!$W$31</f>
        <v>2791623.3540418856</v>
      </c>
      <c r="H3235" s="359">
        <f>'DRE + DCF'!$W$32</f>
        <v>81081.931703745853</v>
      </c>
      <c r="I3235" s="359">
        <f>-H3235*('DRE + DCF'!$V$33+K3235)/'DRE + DCF'!$V$33</f>
        <v>-90858.801614444121</v>
      </c>
      <c r="J3235" s="359">
        <f>-'DRE + DCF'!$V$56*L3235</f>
        <v>-1188924.4255577971</v>
      </c>
      <c r="K3235" s="360">
        <f>(1+L3235)/(1+Ke!$O$12)-1</f>
        <v>2.0000000000000018E-2</v>
      </c>
      <c r="L3235" s="360">
        <f>'DRE + DCF'!$Y$31</f>
        <v>7.3550000000000004E-2</v>
      </c>
      <c r="M3235" s="361">
        <f>(1+D3235)^((5-Dashboard!$F$9)*3/12)</f>
        <v>1.2844653394979835</v>
      </c>
      <c r="N3235" s="361">
        <f t="shared" ref="N3235:V3235" si="3324">M3235*(1+$D3235)</f>
        <v>1.793434730274023</v>
      </c>
      <c r="O3235" s="361">
        <f t="shared" si="3324"/>
        <v>2.5040832421450538</v>
      </c>
      <c r="P3235" s="361">
        <f t="shared" si="3324"/>
        <v>3.4963262268449604</v>
      </c>
      <c r="Q3235" s="361">
        <f t="shared" si="3324"/>
        <v>4.8817454942321765</v>
      </c>
      <c r="R3235" s="361">
        <f t="shared" si="3324"/>
        <v>6.8161371463215374</v>
      </c>
      <c r="S3235" s="361">
        <f t="shared" si="3324"/>
        <v>9.5170314905512523</v>
      </c>
      <c r="T3235" s="361">
        <f t="shared" si="3324"/>
        <v>13.288155218681915</v>
      </c>
      <c r="U3235" s="361">
        <f t="shared" si="3324"/>
        <v>18.553586724084244</v>
      </c>
      <c r="V3235" s="362">
        <f t="shared" si="3324"/>
        <v>25.905445463502097</v>
      </c>
      <c r="X3235" s="351"/>
    </row>
    <row r="3236" spans="3:24" ht="24.75" customHeight="1" x14ac:dyDescent="0.3">
      <c r="C3236" s="353">
        <f>ABS(E3236-Dashboard!$F$14)</f>
        <v>61.653260827980063</v>
      </c>
      <c r="D3236" s="350">
        <f t="shared" si="3303"/>
        <v>0.39634999999997161</v>
      </c>
      <c r="E3236" s="359" cm="1">
        <f t="array" ref="E3236">1000*SUM('DRE + DCF'!$L$36/M3236,'DRE + DCF'!$N$36:$V$36/N3236:V3236,F3236/V3236)/Dashboard!$F$11</f>
        <v>35.336739172019932</v>
      </c>
      <c r="F3236" s="359">
        <f t="shared" si="3301"/>
        <v>6429507.8818833213</v>
      </c>
      <c r="G3236" s="359">
        <f>'DRE + DCF'!$W$31</f>
        <v>2791623.3540418856</v>
      </c>
      <c r="H3236" s="359">
        <f>'DRE + DCF'!$W$32</f>
        <v>81081.931703745853</v>
      </c>
      <c r="I3236" s="359">
        <f>-H3236*('DRE + DCF'!$V$33+K3236)/'DRE + DCF'!$V$33</f>
        <v>-90858.801614444121</v>
      </c>
      <c r="J3236" s="359">
        <f>-'DRE + DCF'!$V$56*L3236</f>
        <v>-1188924.4255577971</v>
      </c>
      <c r="K3236" s="360">
        <f>(1+L3236)/(1+Ke!$O$12)-1</f>
        <v>2.0000000000000018E-2</v>
      </c>
      <c r="L3236" s="360">
        <f>'DRE + DCF'!$Y$31</f>
        <v>7.3550000000000004E-2</v>
      </c>
      <c r="M3236" s="361">
        <f>(1+D3236)^((5-Dashboard!$F$9)*3/12)</f>
        <v>1.2845343343327515</v>
      </c>
      <c r="N3236" s="361">
        <f t="shared" ref="N3236:V3236" si="3325">M3236*(1+$D3236)</f>
        <v>1.793659517745501</v>
      </c>
      <c r="O3236" s="361">
        <f t="shared" si="3325"/>
        <v>2.5045764676038793</v>
      </c>
      <c r="P3236" s="361">
        <f t="shared" si="3325"/>
        <v>3.4972653505386058</v>
      </c>
      <c r="Q3236" s="361">
        <f t="shared" si="3325"/>
        <v>4.8834064722244825</v>
      </c>
      <c r="R3236" s="361">
        <f t="shared" si="3325"/>
        <v>6.8189446274905174</v>
      </c>
      <c r="S3236" s="361">
        <f t="shared" si="3325"/>
        <v>9.52163333059619</v>
      </c>
      <c r="T3236" s="361">
        <f t="shared" si="3325"/>
        <v>13.295532701177718</v>
      </c>
      <c r="U3236" s="361">
        <f t="shared" si="3325"/>
        <v>18.565217087289128</v>
      </c>
      <c r="V3236" s="362">
        <f t="shared" si="3325"/>
        <v>25.923540879835645</v>
      </c>
      <c r="X3236" s="351"/>
    </row>
    <row r="3237" spans="3:24" ht="24.75" customHeight="1" x14ac:dyDescent="0.3">
      <c r="C3237" s="353">
        <f>ABS(E3237-Dashboard!$F$14)</f>
        <v>61.666212439968206</v>
      </c>
      <c r="D3237" s="350">
        <f t="shared" si="3303"/>
        <v>0.3964499999999716</v>
      </c>
      <c r="E3237" s="359" cm="1">
        <f t="array" ref="E3237">1000*SUM('DRE + DCF'!$L$36/M3237,'DRE + DCF'!$N$36:$V$36/N3237:V3237,F3237/V3237)/Dashboard!$F$11</f>
        <v>35.323787560031789</v>
      </c>
      <c r="F3237" s="359">
        <f t="shared" si="3301"/>
        <v>6427733.9240245214</v>
      </c>
      <c r="G3237" s="359">
        <f>'DRE + DCF'!$W$31</f>
        <v>2791623.3540418856</v>
      </c>
      <c r="H3237" s="359">
        <f>'DRE + DCF'!$W$32</f>
        <v>81081.931703745853</v>
      </c>
      <c r="I3237" s="359">
        <f>-H3237*('DRE + DCF'!$V$33+K3237)/'DRE + DCF'!$V$33</f>
        <v>-90858.801614444121</v>
      </c>
      <c r="J3237" s="359">
        <f>-'DRE + DCF'!$V$56*L3237</f>
        <v>-1188924.4255577971</v>
      </c>
      <c r="K3237" s="360">
        <f>(1+L3237)/(1+Ke!$O$12)-1</f>
        <v>2.0000000000000018E-2</v>
      </c>
      <c r="L3237" s="360">
        <f>'DRE + DCF'!$Y$31</f>
        <v>7.3550000000000004E-2</v>
      </c>
      <c r="M3237" s="361">
        <f>(1+D3237)^((5-Dashboard!$F$9)*3/12)</f>
        <v>1.2846033279322595</v>
      </c>
      <c r="N3237" s="361">
        <f t="shared" ref="N3237:V3237" si="3326">M3237*(1+$D3237)</f>
        <v>1.7938843172909673</v>
      </c>
      <c r="O3237" s="361">
        <f t="shared" si="3326"/>
        <v>2.5050697548809202</v>
      </c>
      <c r="P3237" s="361">
        <f t="shared" si="3326"/>
        <v>3.49820465920339</v>
      </c>
      <c r="Q3237" s="361">
        <f t="shared" si="3326"/>
        <v>4.8850678963444745</v>
      </c>
      <c r="R3237" s="361">
        <f t="shared" si="3326"/>
        <v>6.8217530638501023</v>
      </c>
      <c r="S3237" s="361">
        <f t="shared" si="3326"/>
        <v>9.526237066013282</v>
      </c>
      <c r="T3237" s="361">
        <f t="shared" si="3326"/>
        <v>13.302913750833977</v>
      </c>
      <c r="U3237" s="361">
        <f t="shared" si="3326"/>
        <v>18.57685390735173</v>
      </c>
      <c r="V3237" s="362">
        <f t="shared" si="3326"/>
        <v>25.941647638920795</v>
      </c>
      <c r="X3237" s="351"/>
    </row>
    <row r="3238" spans="3:24" ht="24.75" customHeight="1" x14ac:dyDescent="0.3">
      <c r="C3238" s="353">
        <f>ABS(E3238-Dashboard!$F$14)</f>
        <v>61.679155231020616</v>
      </c>
      <c r="D3238" s="350">
        <f t="shared" si="3303"/>
        <v>0.39654999999997159</v>
      </c>
      <c r="E3238" s="359" cm="1">
        <f t="array" ref="E3238">1000*SUM('DRE + DCF'!$L$36/M3238,'DRE + DCF'!$N$36:$V$36/N3238:V3238,F3238/V3238)/Dashboard!$F$11</f>
        <v>35.310844768979379</v>
      </c>
      <c r="F3238" s="359">
        <f t="shared" si="3301"/>
        <v>6425960.9550714949</v>
      </c>
      <c r="G3238" s="359">
        <f>'DRE + DCF'!$W$31</f>
        <v>2791623.3540418856</v>
      </c>
      <c r="H3238" s="359">
        <f>'DRE + DCF'!$W$32</f>
        <v>81081.931703745853</v>
      </c>
      <c r="I3238" s="359">
        <f>-H3238*('DRE + DCF'!$V$33+K3238)/'DRE + DCF'!$V$33</f>
        <v>-90858.801614444121</v>
      </c>
      <c r="J3238" s="359">
        <f>-'DRE + DCF'!$V$56*L3238</f>
        <v>-1188924.4255577971</v>
      </c>
      <c r="K3238" s="360">
        <f>(1+L3238)/(1+Ke!$O$12)-1</f>
        <v>2.0000000000000018E-2</v>
      </c>
      <c r="L3238" s="360">
        <f>'DRE + DCF'!$Y$31</f>
        <v>7.3550000000000004E-2</v>
      </c>
      <c r="M3238" s="361">
        <f>(1+D3238)^((5-Dashboard!$F$9)*3/12)</f>
        <v>1.2846723202966179</v>
      </c>
      <c r="N3238" s="361">
        <f t="shared" ref="N3238:V3238" si="3327">M3238*(1+$D3238)</f>
        <v>1.7941091289102051</v>
      </c>
      <c r="O3238" s="361">
        <f t="shared" si="3327"/>
        <v>2.5055631039794961</v>
      </c>
      <c r="P3238" s="361">
        <f t="shared" si="3327"/>
        <v>3.499144152862494</v>
      </c>
      <c r="Q3238" s="361">
        <f t="shared" si="3327"/>
        <v>4.8867297666800162</v>
      </c>
      <c r="R3238" s="361">
        <f t="shared" si="3327"/>
        <v>6.8245624556568378</v>
      </c>
      <c r="S3238" s="361">
        <f t="shared" si="3327"/>
        <v>9.5308426974473619</v>
      </c>
      <c r="T3238" s="361">
        <f t="shared" si="3327"/>
        <v>13.310298369119842</v>
      </c>
      <c r="U3238" s="361">
        <f t="shared" si="3327"/>
        <v>18.588497187393937</v>
      </c>
      <c r="V3238" s="362">
        <f t="shared" si="3327"/>
        <v>25.959765747054472</v>
      </c>
      <c r="X3238" s="351"/>
    </row>
    <row r="3239" spans="3:24" ht="24.75" customHeight="1" x14ac:dyDescent="0.3">
      <c r="C3239" s="353">
        <f>ABS(E3239-Dashboard!$F$14)</f>
        <v>61.692089209570128</v>
      </c>
      <c r="D3239" s="350">
        <f t="shared" si="3303"/>
        <v>0.39664999999997158</v>
      </c>
      <c r="E3239" s="359" cm="1">
        <f t="array" ref="E3239">1000*SUM('DRE + DCF'!$L$36/M3239,'DRE + DCF'!$N$36:$V$36/N3239:V3239,F3239/V3239)/Dashboard!$F$11</f>
        <v>35.297910790429867</v>
      </c>
      <c r="F3239" s="359">
        <f t="shared" si="3301"/>
        <v>6424188.9741888456</v>
      </c>
      <c r="G3239" s="359">
        <f>'DRE + DCF'!$W$31</f>
        <v>2791623.3540418856</v>
      </c>
      <c r="H3239" s="359">
        <f>'DRE + DCF'!$W$32</f>
        <v>81081.931703745853</v>
      </c>
      <c r="I3239" s="359">
        <f>-H3239*('DRE + DCF'!$V$33+K3239)/'DRE + DCF'!$V$33</f>
        <v>-90858.801614444121</v>
      </c>
      <c r="J3239" s="359">
        <f>-'DRE + DCF'!$V$56*L3239</f>
        <v>-1188924.4255577971</v>
      </c>
      <c r="K3239" s="360">
        <f>(1+L3239)/(1+Ke!$O$12)-1</f>
        <v>2.0000000000000018E-2</v>
      </c>
      <c r="L3239" s="360">
        <f>'DRE + DCF'!$Y$31</f>
        <v>7.3550000000000004E-2</v>
      </c>
      <c r="M3239" s="361">
        <f>(1+D3239)^((5-Dashboard!$F$9)*3/12)</f>
        <v>1.2847413114259374</v>
      </c>
      <c r="N3239" s="361">
        <f t="shared" ref="N3239:V3239" si="3328">M3239*(1+$D3239)</f>
        <v>1.7943339526029989</v>
      </c>
      <c r="O3239" s="361">
        <f t="shared" si="3328"/>
        <v>2.5060565149029275</v>
      </c>
      <c r="P3239" s="361">
        <f t="shared" si="3328"/>
        <v>3.5000838315391021</v>
      </c>
      <c r="Q3239" s="361">
        <f t="shared" si="3328"/>
        <v>4.8883920833189869</v>
      </c>
      <c r="R3239" s="361">
        <f t="shared" si="3328"/>
        <v>6.8273728031673242</v>
      </c>
      <c r="S3239" s="361">
        <f t="shared" si="3328"/>
        <v>9.5354502255434497</v>
      </c>
      <c r="T3239" s="361">
        <f t="shared" si="3328"/>
        <v>13.317686557504988</v>
      </c>
      <c r="U3239" s="361">
        <f t="shared" si="3328"/>
        <v>18.600146930538962</v>
      </c>
      <c r="V3239" s="362">
        <f t="shared" si="3328"/>
        <v>25.977895210536712</v>
      </c>
      <c r="X3239" s="351"/>
    </row>
    <row r="3240" spans="3:24" ht="24.75" customHeight="1" x14ac:dyDescent="0.3">
      <c r="C3240" s="353">
        <f>ABS(E3240-Dashboard!$F$14)</f>
        <v>61.705014384039316</v>
      </c>
      <c r="D3240" s="350">
        <f t="shared" si="3303"/>
        <v>0.39674999999997157</v>
      </c>
      <c r="E3240" s="359" cm="1">
        <f t="array" ref="E3240">1000*SUM('DRE + DCF'!$L$36/M3240,'DRE + DCF'!$N$36:$V$36/N3240:V3240,F3240/V3240)/Dashboard!$F$11</f>
        <v>35.284985615960679</v>
      </c>
      <c r="F3240" s="359">
        <f t="shared" si="3301"/>
        <v>6422417.9805421252</v>
      </c>
      <c r="G3240" s="359">
        <f>'DRE + DCF'!$W$31</f>
        <v>2791623.3540418856</v>
      </c>
      <c r="H3240" s="359">
        <f>'DRE + DCF'!$W$32</f>
        <v>81081.931703745853</v>
      </c>
      <c r="I3240" s="359">
        <f>-H3240*('DRE + DCF'!$V$33+K3240)/'DRE + DCF'!$V$33</f>
        <v>-90858.801614444121</v>
      </c>
      <c r="J3240" s="359">
        <f>-'DRE + DCF'!$V$56*L3240</f>
        <v>-1188924.4255577971</v>
      </c>
      <c r="K3240" s="360">
        <f>(1+L3240)/(1+Ke!$O$12)-1</f>
        <v>2.0000000000000018E-2</v>
      </c>
      <c r="L3240" s="360">
        <f>'DRE + DCF'!$Y$31</f>
        <v>7.3550000000000004E-2</v>
      </c>
      <c r="M3240" s="361">
        <f>(1+D3240)^((5-Dashboard!$F$9)*3/12)</f>
        <v>1.2848103013203285</v>
      </c>
      <c r="N3240" s="361">
        <f t="shared" ref="N3240:V3240" si="3329">M3240*(1+$D3240)</f>
        <v>1.7945587883691323</v>
      </c>
      <c r="O3240" s="361">
        <f t="shared" si="3329"/>
        <v>2.5065499876545343</v>
      </c>
      <c r="P3240" s="361">
        <f t="shared" si="3329"/>
        <v>3.5010236952563996</v>
      </c>
      <c r="Q3240" s="361">
        <f t="shared" si="3329"/>
        <v>4.8900548463492761</v>
      </c>
      <c r="R3240" s="361">
        <f t="shared" si="3329"/>
        <v>6.8301841066382121</v>
      </c>
      <c r="S3240" s="361">
        <f t="shared" si="3329"/>
        <v>9.5400596509467288</v>
      </c>
      <c r="T3240" s="361">
        <f t="shared" si="3329"/>
        <v>13.325078317459571</v>
      </c>
      <c r="U3240" s="361">
        <f t="shared" si="3329"/>
        <v>18.611803139911277</v>
      </c>
      <c r="V3240" s="362">
        <f t="shared" si="3329"/>
        <v>25.996036035670546</v>
      </c>
      <c r="X3240" s="351"/>
    </row>
    <row r="3241" spans="3:24" ht="24.75" customHeight="1" x14ac:dyDescent="0.3">
      <c r="C3241" s="353">
        <f>ABS(E3241-Dashboard!$F$14)</f>
        <v>61.717930762840467</v>
      </c>
      <c r="D3241" s="350">
        <f t="shared" si="3303"/>
        <v>0.39684999999997156</v>
      </c>
      <c r="E3241" s="359" cm="1">
        <f t="array" ref="E3241">1000*SUM('DRE + DCF'!$L$36/M3241,'DRE + DCF'!$N$36:$V$36/N3241:V3241,F3241/V3241)/Dashboard!$F$11</f>
        <v>35.272069237159528</v>
      </c>
      <c r="F3241" s="359">
        <f t="shared" si="3301"/>
        <v>6420647.9732978418</v>
      </c>
      <c r="G3241" s="359">
        <f>'DRE + DCF'!$W$31</f>
        <v>2791623.3540418856</v>
      </c>
      <c r="H3241" s="359">
        <f>'DRE + DCF'!$W$32</f>
        <v>81081.931703745853</v>
      </c>
      <c r="I3241" s="359">
        <f>-H3241*('DRE + DCF'!$V$33+K3241)/'DRE + DCF'!$V$33</f>
        <v>-90858.801614444121</v>
      </c>
      <c r="J3241" s="359">
        <f>-'DRE + DCF'!$V$56*L3241</f>
        <v>-1188924.4255577971</v>
      </c>
      <c r="K3241" s="360">
        <f>(1+L3241)/(1+Ke!$O$12)-1</f>
        <v>2.0000000000000018E-2</v>
      </c>
      <c r="L3241" s="360">
        <f>'DRE + DCF'!$Y$31</f>
        <v>7.3550000000000004E-2</v>
      </c>
      <c r="M3241" s="361">
        <f>(1+D3241)^((5-Dashboard!$F$9)*3/12)</f>
        <v>1.2848792899799015</v>
      </c>
      <c r="N3241" s="361">
        <f t="shared" ref="N3241:V3241" si="3330">M3241*(1+$D3241)</f>
        <v>1.7947836362083889</v>
      </c>
      <c r="O3241" s="361">
        <f t="shared" si="3330"/>
        <v>2.507043522237637</v>
      </c>
      <c r="P3241" s="361">
        <f t="shared" si="3330"/>
        <v>3.5019637440375719</v>
      </c>
      <c r="Q3241" s="361">
        <f t="shared" si="3330"/>
        <v>4.8917180558587825</v>
      </c>
      <c r="R3241" s="361">
        <f t="shared" si="3330"/>
        <v>6.832996366326201</v>
      </c>
      <c r="S3241" s="361">
        <f t="shared" si="3330"/>
        <v>9.5446709743025586</v>
      </c>
      <c r="T3241" s="361">
        <f t="shared" si="3330"/>
        <v>13.332473650454258</v>
      </c>
      <c r="U3241" s="361">
        <f t="shared" si="3330"/>
        <v>18.62346581863665</v>
      </c>
      <c r="V3241" s="362">
        <f t="shared" si="3330"/>
        <v>26.014188228762073</v>
      </c>
      <c r="X3241" s="351"/>
    </row>
    <row r="3242" spans="3:24" ht="24.75" customHeight="1" x14ac:dyDescent="0.3">
      <c r="C3242" s="353">
        <f>ABS(E3242-Dashboard!$F$14)</f>
        <v>61.730838354375685</v>
      </c>
      <c r="D3242" s="350">
        <f t="shared" si="3303"/>
        <v>0.39694999999997155</v>
      </c>
      <c r="E3242" s="359" cm="1">
        <f t="array" ref="E3242">1000*SUM('DRE + DCF'!$L$36/M3242,'DRE + DCF'!$N$36:$V$36/N3242:V3242,F3242/V3242)/Dashboard!$F$11</f>
        <v>35.25916164562431</v>
      </c>
      <c r="F3242" s="359">
        <f t="shared" si="3301"/>
        <v>6418878.9516234435</v>
      </c>
      <c r="G3242" s="359">
        <f>'DRE + DCF'!$W$31</f>
        <v>2791623.3540418856</v>
      </c>
      <c r="H3242" s="359">
        <f>'DRE + DCF'!$W$32</f>
        <v>81081.931703745853</v>
      </c>
      <c r="I3242" s="359">
        <f>-H3242*('DRE + DCF'!$V$33+K3242)/'DRE + DCF'!$V$33</f>
        <v>-90858.801614444121</v>
      </c>
      <c r="J3242" s="359">
        <f>-'DRE + DCF'!$V$56*L3242</f>
        <v>-1188924.4255577971</v>
      </c>
      <c r="K3242" s="360">
        <f>(1+L3242)/(1+Ke!$O$12)-1</f>
        <v>2.0000000000000018E-2</v>
      </c>
      <c r="L3242" s="360">
        <f>'DRE + DCF'!$Y$31</f>
        <v>7.3550000000000004E-2</v>
      </c>
      <c r="M3242" s="361">
        <f>(1+D3242)^((5-Dashboard!$F$9)*3/12)</f>
        <v>1.2849482774047674</v>
      </c>
      <c r="N3242" s="361">
        <f t="shared" ref="N3242:V3242" si="3331">M3242*(1+$D3242)</f>
        <v>1.795008496120553</v>
      </c>
      <c r="O3242" s="361">
        <f t="shared" si="3331"/>
        <v>2.5075371186555553</v>
      </c>
      <c r="P3242" s="361">
        <f t="shared" si="3331"/>
        <v>3.5029039779058064</v>
      </c>
      <c r="Q3242" s="361">
        <f t="shared" si="3331"/>
        <v>4.8933817119354162</v>
      </c>
      <c r="R3242" s="361">
        <f t="shared" si="3331"/>
        <v>6.8358095824880403</v>
      </c>
      <c r="S3242" s="361">
        <f t="shared" si="3331"/>
        <v>9.5492841962564725</v>
      </c>
      <c r="T3242" s="361">
        <f t="shared" si="3331"/>
        <v>13.339872557960208</v>
      </c>
      <c r="U3242" s="361">
        <f t="shared" si="3331"/>
        <v>18.635134969842131</v>
      </c>
      <c r="V3242" s="362">
        <f t="shared" si="3331"/>
        <v>26.032351796120434</v>
      </c>
      <c r="X3242" s="351"/>
    </row>
    <row r="3243" spans="3:24" ht="24.75" customHeight="1" x14ac:dyDescent="0.3">
      <c r="C3243" s="353">
        <f>ABS(E3243-Dashboard!$F$14)</f>
        <v>61.743737167036826</v>
      </c>
      <c r="D3243" s="350">
        <f t="shared" si="3303"/>
        <v>0.39704999999997154</v>
      </c>
      <c r="E3243" s="359" cm="1">
        <f t="array" ref="E3243">1000*SUM('DRE + DCF'!$L$36/M3243,'DRE + DCF'!$N$36:$V$36/N3243:V3243,F3243/V3243)/Dashboard!$F$11</f>
        <v>35.246262832963168</v>
      </c>
      <c r="F3243" s="359">
        <f t="shared" si="3301"/>
        <v>6417110.9146873299</v>
      </c>
      <c r="G3243" s="359">
        <f>'DRE + DCF'!$W$31</f>
        <v>2791623.3540418856</v>
      </c>
      <c r="H3243" s="359">
        <f>'DRE + DCF'!$W$32</f>
        <v>81081.931703745853</v>
      </c>
      <c r="I3243" s="359">
        <f>-H3243*('DRE + DCF'!$V$33+K3243)/'DRE + DCF'!$V$33</f>
        <v>-90858.801614444121</v>
      </c>
      <c r="J3243" s="359">
        <f>-'DRE + DCF'!$V$56*L3243</f>
        <v>-1188924.4255577971</v>
      </c>
      <c r="K3243" s="360">
        <f>(1+L3243)/(1+Ke!$O$12)-1</f>
        <v>2.0000000000000018E-2</v>
      </c>
      <c r="L3243" s="360">
        <f>'DRE + DCF'!$Y$31</f>
        <v>7.3550000000000004E-2</v>
      </c>
      <c r="M3243" s="361">
        <f>(1+D3243)^((5-Dashboard!$F$9)*3/12)</f>
        <v>1.2850172635950361</v>
      </c>
      <c r="N3243" s="361">
        <f t="shared" ref="N3243:V3243" si="3332">M3243*(1+$D3243)</f>
        <v>1.7952333681054085</v>
      </c>
      <c r="O3243" s="361">
        <f t="shared" si="3332"/>
        <v>2.5080307769116095</v>
      </c>
      <c r="P3243" s="361">
        <f t="shared" si="3332"/>
        <v>3.5038443968842925</v>
      </c>
      <c r="Q3243" s="361">
        <f t="shared" si="3332"/>
        <v>4.8950458146671005</v>
      </c>
      <c r="R3243" s="361">
        <f t="shared" si="3332"/>
        <v>6.8386237553805334</v>
      </c>
      <c r="S3243" s="361">
        <f t="shared" si="3332"/>
        <v>9.5538993174541798</v>
      </c>
      <c r="T3243" s="361">
        <f t="shared" si="3332"/>
        <v>13.347275041449089</v>
      </c>
      <c r="U3243" s="361">
        <f t="shared" si="3332"/>
        <v>18.646810596656071</v>
      </c>
      <c r="V3243" s="362">
        <f t="shared" si="3332"/>
        <v>26.05052674405783</v>
      </c>
      <c r="X3243" s="351"/>
    </row>
    <row r="3244" spans="3:24" ht="24.75" customHeight="1" x14ac:dyDescent="0.3">
      <c r="C3244" s="353">
        <f>ABS(E3244-Dashboard!$F$14)</f>
        <v>61.756627209205583</v>
      </c>
      <c r="D3244" s="350">
        <f t="shared" si="3303"/>
        <v>0.39714999999997153</v>
      </c>
      <c r="E3244" s="359" cm="1">
        <f t="array" ref="E3244">1000*SUM('DRE + DCF'!$L$36/M3244,'DRE + DCF'!$N$36:$V$36/N3244:V3244,F3244/V3244)/Dashboard!$F$11</f>
        <v>35.233372790794412</v>
      </c>
      <c r="F3244" s="359">
        <f t="shared" si="3301"/>
        <v>6415343.8616588432</v>
      </c>
      <c r="G3244" s="359">
        <f>'DRE + DCF'!$W$31</f>
        <v>2791623.3540418856</v>
      </c>
      <c r="H3244" s="359">
        <f>'DRE + DCF'!$W$32</f>
        <v>81081.931703745853</v>
      </c>
      <c r="I3244" s="359">
        <f>-H3244*('DRE + DCF'!$V$33+K3244)/'DRE + DCF'!$V$33</f>
        <v>-90858.801614444121</v>
      </c>
      <c r="J3244" s="359">
        <f>-'DRE + DCF'!$V$56*L3244</f>
        <v>-1188924.4255577971</v>
      </c>
      <c r="K3244" s="360">
        <f>(1+L3244)/(1+Ke!$O$12)-1</f>
        <v>2.0000000000000018E-2</v>
      </c>
      <c r="L3244" s="360">
        <f>'DRE + DCF'!$Y$31</f>
        <v>7.3550000000000004E-2</v>
      </c>
      <c r="M3244" s="361">
        <f>(1+D3244)^((5-Dashboard!$F$9)*3/12)</f>
        <v>1.2850862485508183</v>
      </c>
      <c r="N3244" s="361">
        <f t="shared" ref="N3244:V3244" si="3333">M3244*(1+$D3244)</f>
        <v>1.7954582521627391</v>
      </c>
      <c r="O3244" s="361">
        <f t="shared" si="3333"/>
        <v>2.5085244970091196</v>
      </c>
      <c r="P3244" s="361">
        <f t="shared" si="3333"/>
        <v>3.50478500099622</v>
      </c>
      <c r="Q3244" s="361">
        <f t="shared" si="3333"/>
        <v>4.8967103641417689</v>
      </c>
      <c r="R3244" s="361">
        <f t="shared" si="3333"/>
        <v>6.8414388852605326</v>
      </c>
      <c r="S3244" s="361">
        <f t="shared" si="3333"/>
        <v>9.5585163385415584</v>
      </c>
      <c r="T3244" s="361">
        <f t="shared" si="3333"/>
        <v>13.354681102393066</v>
      </c>
      <c r="U3244" s="361">
        <f t="shared" si="3333"/>
        <v>18.65849270220809</v>
      </c>
      <c r="V3244" s="362">
        <f t="shared" si="3333"/>
        <v>26.068713078889502</v>
      </c>
      <c r="X3244" s="351"/>
    </row>
    <row r="3245" spans="3:24" ht="24.75" customHeight="1" x14ac:dyDescent="0.3">
      <c r="C3245" s="353">
        <f>ABS(E3245-Dashboard!$F$14)</f>
        <v>61.769508489253418</v>
      </c>
      <c r="D3245" s="350">
        <f t="shared" si="3303"/>
        <v>0.39724999999997151</v>
      </c>
      <c r="E3245" s="359" cm="1">
        <f t="array" ref="E3245">1000*SUM('DRE + DCF'!$L$36/M3245,'DRE + DCF'!$N$36:$V$36/N3245:V3245,F3245/V3245)/Dashboard!$F$11</f>
        <v>35.220491510746577</v>
      </c>
      <c r="F3245" s="359">
        <f t="shared" si="3301"/>
        <v>6413577.791708271</v>
      </c>
      <c r="G3245" s="359">
        <f>'DRE + DCF'!$W$31</f>
        <v>2791623.3540418856</v>
      </c>
      <c r="H3245" s="359">
        <f>'DRE + DCF'!$W$32</f>
        <v>81081.931703745853</v>
      </c>
      <c r="I3245" s="359">
        <f>-H3245*('DRE + DCF'!$V$33+K3245)/'DRE + DCF'!$V$33</f>
        <v>-90858.801614444121</v>
      </c>
      <c r="J3245" s="359">
        <f>-'DRE + DCF'!$V$56*L3245</f>
        <v>-1188924.4255577971</v>
      </c>
      <c r="K3245" s="360">
        <f>(1+L3245)/(1+Ke!$O$12)-1</f>
        <v>2.0000000000000018E-2</v>
      </c>
      <c r="L3245" s="360">
        <f>'DRE + DCF'!$Y$31</f>
        <v>7.3550000000000004E-2</v>
      </c>
      <c r="M3245" s="361">
        <f>(1+D3245)^((5-Dashboard!$F$9)*3/12)</f>
        <v>1.2851552322722246</v>
      </c>
      <c r="N3245" s="361">
        <f t="shared" ref="N3245:V3245" si="3334">M3245*(1+$D3245)</f>
        <v>1.7956831482923292</v>
      </c>
      <c r="O3245" s="361">
        <f t="shared" si="3334"/>
        <v>2.5090182789514057</v>
      </c>
      <c r="P3245" s="361">
        <f t="shared" si="3334"/>
        <v>3.5057257902647798</v>
      </c>
      <c r="Q3245" s="361">
        <f t="shared" si="3334"/>
        <v>4.8983753604473632</v>
      </c>
      <c r="R3245" s="361">
        <f t="shared" si="3334"/>
        <v>6.8442549723849382</v>
      </c>
      <c r="S3245" s="361">
        <f t="shared" si="3334"/>
        <v>9.5631352601646604</v>
      </c>
      <c r="T3245" s="361">
        <f t="shared" si="3334"/>
        <v>13.362090742264799</v>
      </c>
      <c r="U3245" s="361">
        <f t="shared" si="3334"/>
        <v>18.67018128962911</v>
      </c>
      <c r="V3245" s="362">
        <f t="shared" si="3334"/>
        <v>26.086910806933741</v>
      </c>
      <c r="X3245" s="351"/>
    </row>
    <row r="3246" spans="3:24" ht="24.75" customHeight="1" x14ac:dyDescent="0.3">
      <c r="C3246" s="353">
        <f>ABS(E3246-Dashboard!$F$14)</f>
        <v>61.782381015541652</v>
      </c>
      <c r="D3246" s="350">
        <f t="shared" si="3303"/>
        <v>0.3973499999999715</v>
      </c>
      <c r="E3246" s="359" cm="1">
        <f t="array" ref="E3246">1000*SUM('DRE + DCF'!$L$36/M3246,'DRE + DCF'!$N$36:$V$36/N3246:V3246,F3246/V3246)/Dashboard!$F$11</f>
        <v>35.207618984458342</v>
      </c>
      <c r="F3246" s="359">
        <f t="shared" si="3301"/>
        <v>6411812.7040068386</v>
      </c>
      <c r="G3246" s="359">
        <f>'DRE + DCF'!$W$31</f>
        <v>2791623.3540418856</v>
      </c>
      <c r="H3246" s="359">
        <f>'DRE + DCF'!$W$32</f>
        <v>81081.931703745853</v>
      </c>
      <c r="I3246" s="359">
        <f>-H3246*('DRE + DCF'!$V$33+K3246)/'DRE + DCF'!$V$33</f>
        <v>-90858.801614444121</v>
      </c>
      <c r="J3246" s="359">
        <f>-'DRE + DCF'!$V$56*L3246</f>
        <v>-1188924.4255577971</v>
      </c>
      <c r="K3246" s="360">
        <f>(1+L3246)/(1+Ke!$O$12)-1</f>
        <v>2.0000000000000018E-2</v>
      </c>
      <c r="L3246" s="360">
        <f>'DRE + DCF'!$Y$31</f>
        <v>7.3550000000000004E-2</v>
      </c>
      <c r="M3246" s="361">
        <f>(1+D3246)^((5-Dashboard!$F$9)*3/12)</f>
        <v>1.2852242147593653</v>
      </c>
      <c r="N3246" s="361">
        <f t="shared" ref="N3246:V3246" si="3335">M3246*(1+$D3246)</f>
        <v>1.7959080564939625</v>
      </c>
      <c r="O3246" s="361">
        <f t="shared" si="3335"/>
        <v>2.5095121227417874</v>
      </c>
      <c r="P3246" s="361">
        <f t="shared" si="3335"/>
        <v>3.5066667647131649</v>
      </c>
      <c r="Q3246" s="361">
        <f t="shared" si="3335"/>
        <v>4.9000408036718408</v>
      </c>
      <c r="R3246" s="361">
        <f t="shared" si="3335"/>
        <v>6.8470720170107064</v>
      </c>
      <c r="S3246" s="361">
        <f t="shared" si="3335"/>
        <v>9.5677560829697157</v>
      </c>
      <c r="T3246" s="361">
        <f t="shared" si="3335"/>
        <v>13.369503962537459</v>
      </c>
      <c r="U3246" s="361">
        <f t="shared" si="3335"/>
        <v>18.681876362051337</v>
      </c>
      <c r="V3246" s="362">
        <f t="shared" si="3335"/>
        <v>26.105119934511904</v>
      </c>
      <c r="X3246" s="351"/>
    </row>
    <row r="3247" spans="3:24" ht="24.75" customHeight="1" x14ac:dyDescent="0.3">
      <c r="C3247" s="353">
        <f>ABS(E3247-Dashboard!$F$14)</f>
        <v>61.795244796421429</v>
      </c>
      <c r="D3247" s="350">
        <f t="shared" si="3303"/>
        <v>0.39744999999997149</v>
      </c>
      <c r="E3247" s="359" cm="1">
        <f t="array" ref="E3247">1000*SUM('DRE + DCF'!$L$36/M3247,'DRE + DCF'!$N$36:$V$36/N3247:V3247,F3247/V3247)/Dashboard!$F$11</f>
        <v>35.194755203578566</v>
      </c>
      <c r="F3247" s="359">
        <f t="shared" si="3301"/>
        <v>6410048.5977267195</v>
      </c>
      <c r="G3247" s="359">
        <f>'DRE + DCF'!$W$31</f>
        <v>2791623.3540418856</v>
      </c>
      <c r="H3247" s="359">
        <f>'DRE + DCF'!$W$32</f>
        <v>81081.931703745853</v>
      </c>
      <c r="I3247" s="359">
        <f>-H3247*('DRE + DCF'!$V$33+K3247)/'DRE + DCF'!$V$33</f>
        <v>-90858.801614444121</v>
      </c>
      <c r="J3247" s="359">
        <f>-'DRE + DCF'!$V$56*L3247</f>
        <v>-1188924.4255577971</v>
      </c>
      <c r="K3247" s="360">
        <f>(1+L3247)/(1+Ke!$O$12)-1</f>
        <v>2.0000000000000018E-2</v>
      </c>
      <c r="L3247" s="360">
        <f>'DRE + DCF'!$Y$31</f>
        <v>7.3550000000000004E-2</v>
      </c>
      <c r="M3247" s="361">
        <f>(1+D3247)^((5-Dashboard!$F$9)*3/12)</f>
        <v>1.2852931960123508</v>
      </c>
      <c r="N3247" s="361">
        <f t="shared" ref="N3247:V3247" si="3336">M3247*(1+$D3247)</f>
        <v>1.796132976767423</v>
      </c>
      <c r="O3247" s="361">
        <f t="shared" si="3336"/>
        <v>2.5100060283835841</v>
      </c>
      <c r="P3247" s="361">
        <f t="shared" si="3336"/>
        <v>3.5076079243645681</v>
      </c>
      <c r="Q3247" s="361">
        <f t="shared" si="3336"/>
        <v>4.9017066939031659</v>
      </c>
      <c r="R3247" s="361">
        <f t="shared" si="3336"/>
        <v>6.8498900193948389</v>
      </c>
      <c r="S3247" s="361">
        <f t="shared" si="3336"/>
        <v>9.5723788076031227</v>
      </c>
      <c r="T3247" s="361">
        <f t="shared" si="3336"/>
        <v>13.37692076468471</v>
      </c>
      <c r="U3247" s="361">
        <f t="shared" si="3336"/>
        <v>18.693577922608267</v>
      </c>
      <c r="V3247" s="362">
        <f t="shared" si="3336"/>
        <v>26.123340467948388</v>
      </c>
      <c r="X3247" s="351"/>
    </row>
    <row r="3248" spans="3:24" ht="24.75" customHeight="1" x14ac:dyDescent="0.3">
      <c r="C3248" s="353">
        <f>ABS(E3248-Dashboard!$F$14)</f>
        <v>61.808099840233766</v>
      </c>
      <c r="D3248" s="350">
        <f t="shared" si="3303"/>
        <v>0.39754999999997148</v>
      </c>
      <c r="E3248" s="359" cm="1">
        <f t="array" ref="E3248">1000*SUM('DRE + DCF'!$L$36/M3248,'DRE + DCF'!$N$36:$V$36/N3248:V3248,F3248/V3248)/Dashboard!$F$11</f>
        <v>35.181900159766229</v>
      </c>
      <c r="F3248" s="359">
        <f t="shared" si="3301"/>
        <v>6408285.4720410192</v>
      </c>
      <c r="G3248" s="359">
        <f>'DRE + DCF'!$W$31</f>
        <v>2791623.3540418856</v>
      </c>
      <c r="H3248" s="359">
        <f>'DRE + DCF'!$W$32</f>
        <v>81081.931703745853</v>
      </c>
      <c r="I3248" s="359">
        <f>-H3248*('DRE + DCF'!$V$33+K3248)/'DRE + DCF'!$V$33</f>
        <v>-90858.801614444121</v>
      </c>
      <c r="J3248" s="359">
        <f>-'DRE + DCF'!$V$56*L3248</f>
        <v>-1188924.4255577971</v>
      </c>
      <c r="K3248" s="360">
        <f>(1+L3248)/(1+Ke!$O$12)-1</f>
        <v>2.0000000000000018E-2</v>
      </c>
      <c r="L3248" s="360">
        <f>'DRE + DCF'!$Y$31</f>
        <v>7.3550000000000004E-2</v>
      </c>
      <c r="M3248" s="361">
        <f>(1+D3248)^((5-Dashboard!$F$9)*3/12)</f>
        <v>1.2853621760312917</v>
      </c>
      <c r="N3248" s="361">
        <f t="shared" ref="N3248:V3248" si="3337">M3248*(1+$D3248)</f>
        <v>1.7963579091124948</v>
      </c>
      <c r="O3248" s="361">
        <f t="shared" si="3337"/>
        <v>2.510499995880116</v>
      </c>
      <c r="P3248" s="361">
        <f t="shared" si="3337"/>
        <v>3.5085492692421845</v>
      </c>
      <c r="Q3248" s="361">
        <f t="shared" si="3337"/>
        <v>4.9033730312293144</v>
      </c>
      <c r="R3248" s="361">
        <f t="shared" si="3337"/>
        <v>6.8527089797943885</v>
      </c>
      <c r="S3248" s="361">
        <f t="shared" si="3337"/>
        <v>9.5770034347114521</v>
      </c>
      <c r="T3248" s="361">
        <f t="shared" si="3337"/>
        <v>13.384341150180717</v>
      </c>
      <c r="U3248" s="361">
        <f t="shared" si="3337"/>
        <v>18.705285974434677</v>
      </c>
      <c r="V3248" s="362">
        <f t="shared" si="3337"/>
        <v>26.14157241357065</v>
      </c>
      <c r="X3248" s="351"/>
    </row>
    <row r="3249" spans="3:24" ht="24.75" customHeight="1" x14ac:dyDescent="0.3">
      <c r="C3249" s="353">
        <f>ABS(E3249-Dashboard!$F$14)</f>
        <v>61.820946155309549</v>
      </c>
      <c r="D3249" s="350">
        <f t="shared" si="3303"/>
        <v>0.39764999999997147</v>
      </c>
      <c r="E3249" s="359" cm="1">
        <f t="array" ref="E3249">1000*SUM('DRE + DCF'!$L$36/M3249,'DRE + DCF'!$N$36:$V$36/N3249:V3249,F3249/V3249)/Dashboard!$F$11</f>
        <v>35.169053844690445</v>
      </c>
      <c r="F3249" s="359">
        <f t="shared" si="3301"/>
        <v>6406523.326123789</v>
      </c>
      <c r="G3249" s="359">
        <f>'DRE + DCF'!$W$31</f>
        <v>2791623.3540418856</v>
      </c>
      <c r="H3249" s="359">
        <f>'DRE + DCF'!$W$32</f>
        <v>81081.931703745853</v>
      </c>
      <c r="I3249" s="359">
        <f>-H3249*('DRE + DCF'!$V$33+K3249)/'DRE + DCF'!$V$33</f>
        <v>-90858.801614444121</v>
      </c>
      <c r="J3249" s="359">
        <f>-'DRE + DCF'!$V$56*L3249</f>
        <v>-1188924.4255577971</v>
      </c>
      <c r="K3249" s="360">
        <f>(1+L3249)/(1+Ke!$O$12)-1</f>
        <v>2.0000000000000018E-2</v>
      </c>
      <c r="L3249" s="360">
        <f>'DRE + DCF'!$Y$31</f>
        <v>7.3550000000000004E-2</v>
      </c>
      <c r="M3249" s="361">
        <f>(1+D3249)^((5-Dashboard!$F$9)*3/12)</f>
        <v>1.2854311548162978</v>
      </c>
      <c r="N3249" s="361">
        <f t="shared" ref="N3249:V3249" si="3338">M3249*(1+$D3249)</f>
        <v>1.7965828535289619</v>
      </c>
      <c r="O3249" s="361">
        <f t="shared" si="3338"/>
        <v>2.5109940252347021</v>
      </c>
      <c r="P3249" s="361">
        <f t="shared" si="3338"/>
        <v>3.5094907993692095</v>
      </c>
      <c r="Q3249" s="361">
        <f t="shared" si="3338"/>
        <v>4.9050398157382755</v>
      </c>
      <c r="R3249" s="361">
        <f t="shared" si="3338"/>
        <v>6.8555288984664609</v>
      </c>
      <c r="S3249" s="361">
        <f t="shared" si="3338"/>
        <v>9.5816299649414525</v>
      </c>
      <c r="T3249" s="361">
        <f t="shared" si="3338"/>
        <v>13.391765120500148</v>
      </c>
      <c r="U3249" s="361">
        <f t="shared" si="3338"/>
        <v>18.717000520666648</v>
      </c>
      <c r="V3249" s="362">
        <f t="shared" si="3338"/>
        <v>26.159815777709206</v>
      </c>
      <c r="X3249" s="351"/>
    </row>
    <row r="3250" spans="3:24" ht="24.75" customHeight="1" x14ac:dyDescent="0.3">
      <c r="C3250" s="353">
        <f>ABS(E3250-Dashboard!$F$14)</f>
        <v>61.833783749969562</v>
      </c>
      <c r="D3250" s="350">
        <f t="shared" si="3303"/>
        <v>0.39774999999997146</v>
      </c>
      <c r="E3250" s="359" cm="1">
        <f t="array" ref="E3250">1000*SUM('DRE + DCF'!$L$36/M3250,'DRE + DCF'!$N$36:$V$36/N3250:V3250,F3250/V3250)/Dashboard!$F$11</f>
        <v>35.156216250030432</v>
      </c>
      <c r="F3250" s="359">
        <f t="shared" si="3301"/>
        <v>6404762.1591500109</v>
      </c>
      <c r="G3250" s="359">
        <f>'DRE + DCF'!$W$31</f>
        <v>2791623.3540418856</v>
      </c>
      <c r="H3250" s="359">
        <f>'DRE + DCF'!$W$32</f>
        <v>81081.931703745853</v>
      </c>
      <c r="I3250" s="359">
        <f>-H3250*('DRE + DCF'!$V$33+K3250)/'DRE + DCF'!$V$33</f>
        <v>-90858.801614444121</v>
      </c>
      <c r="J3250" s="359">
        <f>-'DRE + DCF'!$V$56*L3250</f>
        <v>-1188924.4255577971</v>
      </c>
      <c r="K3250" s="360">
        <f>(1+L3250)/(1+Ke!$O$12)-1</f>
        <v>2.0000000000000018E-2</v>
      </c>
      <c r="L3250" s="360">
        <f>'DRE + DCF'!$Y$31</f>
        <v>7.3550000000000004E-2</v>
      </c>
      <c r="M3250" s="361">
        <f>(1+D3250)^((5-Dashboard!$F$9)*3/12)</f>
        <v>1.28550013236748</v>
      </c>
      <c r="N3250" s="361">
        <f t="shared" ref="N3250:V3250" si="3339">M3250*(1+$D3250)</f>
        <v>1.7968078100166083</v>
      </c>
      <c r="O3250" s="361">
        <f t="shared" si="3339"/>
        <v>2.5114881164506628</v>
      </c>
      <c r="P3250" s="361">
        <f t="shared" si="3339"/>
        <v>3.510432514768842</v>
      </c>
      <c r="Q3250" s="361">
        <f t="shared" si="3339"/>
        <v>4.9067070475180481</v>
      </c>
      <c r="R3250" s="361">
        <f t="shared" si="3339"/>
        <v>6.858349775668211</v>
      </c>
      <c r="S3250" s="361">
        <f t="shared" si="3339"/>
        <v>9.5862583989400463</v>
      </c>
      <c r="T3250" s="361">
        <f t="shared" si="3339"/>
        <v>13.399192677118176</v>
      </c>
      <c r="U3250" s="361">
        <f t="shared" si="3339"/>
        <v>18.728721564441546</v>
      </c>
      <c r="V3250" s="362">
        <f t="shared" si="3339"/>
        <v>26.178070566697635</v>
      </c>
      <c r="X3250" s="351"/>
    </row>
    <row r="3251" spans="3:24" ht="24.75" customHeight="1" x14ac:dyDescent="0.3">
      <c r="C3251" s="353">
        <f>ABS(E3251-Dashboard!$F$14)</f>
        <v>61.846612632524504</v>
      </c>
      <c r="D3251" s="350">
        <f t="shared" si="3303"/>
        <v>0.39784999999997145</v>
      </c>
      <c r="E3251" s="359" cm="1">
        <f t="array" ref="E3251">1000*SUM('DRE + DCF'!$L$36/M3251,'DRE + DCF'!$N$36:$V$36/N3251:V3251,F3251/V3251)/Dashboard!$F$11</f>
        <v>35.143387367475491</v>
      </c>
      <c r="F3251" s="359">
        <f t="shared" si="3301"/>
        <v>6403001.9702956043</v>
      </c>
      <c r="G3251" s="359">
        <f>'DRE + DCF'!$W$31</f>
        <v>2791623.3540418856</v>
      </c>
      <c r="H3251" s="359">
        <f>'DRE + DCF'!$W$32</f>
        <v>81081.931703745853</v>
      </c>
      <c r="I3251" s="359">
        <f>-H3251*('DRE + DCF'!$V$33+K3251)/'DRE + DCF'!$V$33</f>
        <v>-90858.801614444121</v>
      </c>
      <c r="J3251" s="359">
        <f>-'DRE + DCF'!$V$56*L3251</f>
        <v>-1188924.4255577971</v>
      </c>
      <c r="K3251" s="360">
        <f>(1+L3251)/(1+Ke!$O$12)-1</f>
        <v>2.0000000000000018E-2</v>
      </c>
      <c r="L3251" s="360">
        <f>'DRE + DCF'!$Y$31</f>
        <v>7.3550000000000004E-2</v>
      </c>
      <c r="M3251" s="361">
        <f>(1+D3251)^((5-Dashboard!$F$9)*3/12)</f>
        <v>1.2855691086849486</v>
      </c>
      <c r="N3251" s="361">
        <f t="shared" ref="N3251:V3251" si="3340">M3251*(1+$D3251)</f>
        <v>1.7970327785752185</v>
      </c>
      <c r="O3251" s="361">
        <f t="shared" si="3340"/>
        <v>2.5119822695313179</v>
      </c>
      <c r="P3251" s="361">
        <f t="shared" si="3340"/>
        <v>3.5113744154642808</v>
      </c>
      <c r="Q3251" s="361">
        <f t="shared" si="3340"/>
        <v>4.9083747266566444</v>
      </c>
      <c r="R3251" s="361">
        <f t="shared" si="3340"/>
        <v>6.8611716116568502</v>
      </c>
      <c r="S3251" s="361">
        <f t="shared" si="3340"/>
        <v>9.5908887373543319</v>
      </c>
      <c r="T3251" s="361">
        <f t="shared" si="3340"/>
        <v>13.406623821510479</v>
      </c>
      <c r="U3251" s="361">
        <f t="shared" si="3340"/>
        <v>18.740449108898041</v>
      </c>
      <c r="V3251" s="362">
        <f t="shared" si="3340"/>
        <v>26.196336786872589</v>
      </c>
      <c r="X3251" s="351"/>
    </row>
    <row r="3252" spans="3:24" ht="24.75" customHeight="1" x14ac:dyDescent="0.3">
      <c r="C3252" s="353">
        <f>ABS(E3252-Dashboard!$F$14)</f>
        <v>61.859432811274942</v>
      </c>
      <c r="D3252" s="350">
        <f t="shared" si="3303"/>
        <v>0.39794999999997144</v>
      </c>
      <c r="E3252" s="359" cm="1">
        <f t="array" ref="E3252">1000*SUM('DRE + DCF'!$L$36/M3252,'DRE + DCF'!$N$36:$V$36/N3252:V3252,F3252/V3252)/Dashboard!$F$11</f>
        <v>35.130567188725053</v>
      </c>
      <c r="F3252" s="359">
        <f t="shared" si="3301"/>
        <v>6401242.7587374244</v>
      </c>
      <c r="G3252" s="359">
        <f>'DRE + DCF'!$W$31</f>
        <v>2791623.3540418856</v>
      </c>
      <c r="H3252" s="359">
        <f>'DRE + DCF'!$W$32</f>
        <v>81081.931703745853</v>
      </c>
      <c r="I3252" s="359">
        <f>-H3252*('DRE + DCF'!$V$33+K3252)/'DRE + DCF'!$V$33</f>
        <v>-90858.801614444121</v>
      </c>
      <c r="J3252" s="359">
        <f>-'DRE + DCF'!$V$56*L3252</f>
        <v>-1188924.4255577971</v>
      </c>
      <c r="K3252" s="360">
        <f>(1+L3252)/(1+Ke!$O$12)-1</f>
        <v>2.0000000000000018E-2</v>
      </c>
      <c r="L3252" s="360">
        <f>'DRE + DCF'!$Y$31</f>
        <v>7.3550000000000004E-2</v>
      </c>
      <c r="M3252" s="361">
        <f>(1+D3252)^((5-Dashboard!$F$9)*3/12)</f>
        <v>1.2856380837688137</v>
      </c>
      <c r="N3252" s="361">
        <f t="shared" ref="N3252:V3252" si="3341">M3252*(1+$D3252)</f>
        <v>1.7972577592045764</v>
      </c>
      <c r="O3252" s="361">
        <f t="shared" si="3341"/>
        <v>2.5124764844799863</v>
      </c>
      <c r="P3252" s="361">
        <f t="shared" si="3341"/>
        <v>3.512316501478725</v>
      </c>
      <c r="Q3252" s="361">
        <f t="shared" si="3341"/>
        <v>4.910042853242083</v>
      </c>
      <c r="R3252" s="361">
        <f t="shared" si="3341"/>
        <v>6.8639944066896295</v>
      </c>
      <c r="S3252" s="361">
        <f t="shared" si="3341"/>
        <v>9.5955209808315711</v>
      </c>
      <c r="T3252" s="361">
        <f t="shared" si="3341"/>
        <v>13.41405855515322</v>
      </c>
      <c r="U3252" s="361">
        <f t="shared" si="3341"/>
        <v>18.752183157176059</v>
      </c>
      <c r="V3252" s="362">
        <f t="shared" si="3341"/>
        <v>26.214614444573737</v>
      </c>
      <c r="X3252" s="351"/>
    </row>
    <row r="3253" spans="3:24" ht="24.75" customHeight="1" x14ac:dyDescent="0.3">
      <c r="C3253" s="353">
        <f>ABS(E3253-Dashboard!$F$14)</f>
        <v>61.872244294511418</v>
      </c>
      <c r="D3253" s="350">
        <f t="shared" si="3303"/>
        <v>0.39804999999997143</v>
      </c>
      <c r="E3253" s="359" cm="1">
        <f t="array" ref="E3253">1000*SUM('DRE + DCF'!$L$36/M3253,'DRE + DCF'!$N$36:$V$36/N3253:V3253,F3253/V3253)/Dashboard!$F$11</f>
        <v>35.117755705488577</v>
      </c>
      <c r="F3253" s="359">
        <f t="shared" si="3301"/>
        <v>6399484.5236532595</v>
      </c>
      <c r="G3253" s="359">
        <f>'DRE + DCF'!$W$31</f>
        <v>2791623.3540418856</v>
      </c>
      <c r="H3253" s="359">
        <f>'DRE + DCF'!$W$32</f>
        <v>81081.931703745853</v>
      </c>
      <c r="I3253" s="359">
        <f>-H3253*('DRE + DCF'!$V$33+K3253)/'DRE + DCF'!$V$33</f>
        <v>-90858.801614444121</v>
      </c>
      <c r="J3253" s="359">
        <f>-'DRE + DCF'!$V$56*L3253</f>
        <v>-1188924.4255577971</v>
      </c>
      <c r="K3253" s="360">
        <f>(1+L3253)/(1+Ke!$O$12)-1</f>
        <v>2.0000000000000018E-2</v>
      </c>
      <c r="L3253" s="360">
        <f>'DRE + DCF'!$Y$31</f>
        <v>7.3550000000000004E-2</v>
      </c>
      <c r="M3253" s="361">
        <f>(1+D3253)^((5-Dashboard!$F$9)*3/12)</f>
        <v>1.2857070576191856</v>
      </c>
      <c r="N3253" s="361">
        <f t="shared" ref="N3253:V3253" si="3342">M3253*(1+$D3253)</f>
        <v>1.7974827519044656</v>
      </c>
      <c r="O3253" s="361">
        <f t="shared" si="3342"/>
        <v>2.5129707612999868</v>
      </c>
      <c r="P3253" s="361">
        <f t="shared" si="3342"/>
        <v>3.5132587728353744</v>
      </c>
      <c r="Q3253" s="361">
        <f t="shared" si="3342"/>
        <v>4.9117114273623947</v>
      </c>
      <c r="R3253" s="361">
        <f t="shared" si="3342"/>
        <v>6.866818161023855</v>
      </c>
      <c r="S3253" s="361">
        <f t="shared" si="3342"/>
        <v>9.6001551300192034</v>
      </c>
      <c r="T3253" s="361">
        <f t="shared" si="3342"/>
        <v>13.421496879523072</v>
      </c>
      <c r="U3253" s="361">
        <f t="shared" si="3342"/>
        <v>18.763923712416847</v>
      </c>
      <c r="V3253" s="362">
        <f t="shared" si="3342"/>
        <v>26.232903546143838</v>
      </c>
      <c r="X3253" s="351"/>
    </row>
    <row r="3254" spans="3:24" ht="24.75" customHeight="1" x14ac:dyDescent="0.3">
      <c r="C3254" s="353">
        <f>ABS(E3254-Dashboard!$F$14)</f>
        <v>61.885047090514433</v>
      </c>
      <c r="D3254" s="350">
        <f t="shared" si="3303"/>
        <v>0.39814999999997142</v>
      </c>
      <c r="E3254" s="359" cm="1">
        <f t="array" ref="E3254">1000*SUM('DRE + DCF'!$L$36/M3254,'DRE + DCF'!$N$36:$V$36/N3254:V3254,F3254/V3254)/Dashboard!$F$11</f>
        <v>35.104952909485561</v>
      </c>
      <c r="F3254" s="359">
        <f t="shared" si="3301"/>
        <v>6397727.2642218266</v>
      </c>
      <c r="G3254" s="359">
        <f>'DRE + DCF'!$W$31</f>
        <v>2791623.3540418856</v>
      </c>
      <c r="H3254" s="359">
        <f>'DRE + DCF'!$W$32</f>
        <v>81081.931703745853</v>
      </c>
      <c r="I3254" s="359">
        <f>-H3254*('DRE + DCF'!$V$33+K3254)/'DRE + DCF'!$V$33</f>
        <v>-90858.801614444121</v>
      </c>
      <c r="J3254" s="359">
        <f>-'DRE + DCF'!$V$56*L3254</f>
        <v>-1188924.4255577971</v>
      </c>
      <c r="K3254" s="360">
        <f>(1+L3254)/(1+Ke!$O$12)-1</f>
        <v>2.0000000000000018E-2</v>
      </c>
      <c r="L3254" s="360">
        <f>'DRE + DCF'!$Y$31</f>
        <v>7.3550000000000004E-2</v>
      </c>
      <c r="M3254" s="361">
        <f>(1+D3254)^((5-Dashboard!$F$9)*3/12)</f>
        <v>1.2857760302361747</v>
      </c>
      <c r="N3254" s="361">
        <f t="shared" ref="N3254:V3254" si="3343">M3254*(1+$D3254)</f>
        <v>1.7977077566746709</v>
      </c>
      <c r="O3254" s="361">
        <f t="shared" si="3343"/>
        <v>2.5134650999946397</v>
      </c>
      <c r="P3254" s="361">
        <f t="shared" si="3343"/>
        <v>3.5142012295574334</v>
      </c>
      <c r="Q3254" s="361">
        <f t="shared" si="3343"/>
        <v>4.9133804491056248</v>
      </c>
      <c r="R3254" s="361">
        <f t="shared" si="3343"/>
        <v>6.869642874916889</v>
      </c>
      <c r="S3254" s="361">
        <f t="shared" si="3343"/>
        <v>9.6047911855648511</v>
      </c>
      <c r="T3254" s="361">
        <f t="shared" si="3343"/>
        <v>13.428938796097221</v>
      </c>
      <c r="U3254" s="361">
        <f t="shared" si="3343"/>
        <v>18.775670777762944</v>
      </c>
      <c r="V3254" s="362">
        <f t="shared" si="3343"/>
        <v>26.251204097928721</v>
      </c>
      <c r="X3254" s="351"/>
    </row>
    <row r="3255" spans="3:24" ht="24.75" customHeight="1" x14ac:dyDescent="0.3">
      <c r="C3255" s="353">
        <f>ABS(E3255-Dashboard!$F$14)</f>
        <v>61.897841207554414</v>
      </c>
      <c r="D3255" s="350">
        <f t="shared" si="3303"/>
        <v>0.3982499999999714</v>
      </c>
      <c r="E3255" s="359" cm="1">
        <f t="array" ref="E3255">1000*SUM('DRE + DCF'!$L$36/M3255,'DRE + DCF'!$N$36:$V$36/N3255:V3255,F3255/V3255)/Dashboard!$F$11</f>
        <v>35.092158792445581</v>
      </c>
      <c r="F3255" s="359">
        <f t="shared" si="3301"/>
        <v>6395970.9796227748</v>
      </c>
      <c r="G3255" s="359">
        <f>'DRE + DCF'!$W$31</f>
        <v>2791623.3540418856</v>
      </c>
      <c r="H3255" s="359">
        <f>'DRE + DCF'!$W$32</f>
        <v>81081.931703745853</v>
      </c>
      <c r="I3255" s="359">
        <f>-H3255*('DRE + DCF'!$V$33+K3255)/'DRE + DCF'!$V$33</f>
        <v>-90858.801614444121</v>
      </c>
      <c r="J3255" s="359">
        <f>-'DRE + DCF'!$V$56*L3255</f>
        <v>-1188924.4255577971</v>
      </c>
      <c r="K3255" s="360">
        <f>(1+L3255)/(1+Ke!$O$12)-1</f>
        <v>2.0000000000000018E-2</v>
      </c>
      <c r="L3255" s="360">
        <f>'DRE + DCF'!$Y$31</f>
        <v>7.3550000000000004E-2</v>
      </c>
      <c r="M3255" s="361">
        <f>(1+D3255)^((5-Dashboard!$F$9)*3/12)</f>
        <v>1.2858450016198912</v>
      </c>
      <c r="N3255" s="361">
        <f t="shared" ref="N3255:V3255" si="3344">M3255*(1+$D3255)</f>
        <v>1.7979327735149762</v>
      </c>
      <c r="O3255" s="361">
        <f t="shared" si="3344"/>
        <v>2.5139595005672639</v>
      </c>
      <c r="P3255" s="361">
        <f t="shared" si="3344"/>
        <v>3.5151438716681049</v>
      </c>
      <c r="Q3255" s="361">
        <f t="shared" si="3344"/>
        <v>4.9150499185598271</v>
      </c>
      <c r="R3255" s="361">
        <f t="shared" si="3344"/>
        <v>6.872468548626137</v>
      </c>
      <c r="S3255" s="361">
        <f t="shared" si="3344"/>
        <v>9.6094291481162983</v>
      </c>
      <c r="T3255" s="361">
        <f t="shared" si="3344"/>
        <v>13.436384306353339</v>
      </c>
      <c r="U3255" s="361">
        <f t="shared" si="3344"/>
        <v>18.787424356358173</v>
      </c>
      <c r="V3255" s="362">
        <f t="shared" si="3344"/>
        <v>26.269516106277276</v>
      </c>
      <c r="X3255" s="351"/>
    </row>
    <row r="3256" spans="3:24" ht="24.75" customHeight="1" x14ac:dyDescent="0.3">
      <c r="C3256" s="353">
        <f>ABS(E3256-Dashboard!$F$14)</f>
        <v>61.910626653891782</v>
      </c>
      <c r="D3256" s="350">
        <f t="shared" si="3303"/>
        <v>0.39834999999997139</v>
      </c>
      <c r="E3256" s="359" cm="1">
        <f t="array" ref="E3256">1000*SUM('DRE + DCF'!$L$36/M3256,'DRE + DCF'!$N$36:$V$36/N3256:V3256,F3256/V3256)/Dashboard!$F$11</f>
        <v>35.079373346108213</v>
      </c>
      <c r="F3256" s="359">
        <f t="shared" si="3301"/>
        <v>6394215.6690366808</v>
      </c>
      <c r="G3256" s="359">
        <f>'DRE + DCF'!$W$31</f>
        <v>2791623.3540418856</v>
      </c>
      <c r="H3256" s="359">
        <f>'DRE + DCF'!$W$32</f>
        <v>81081.931703745853</v>
      </c>
      <c r="I3256" s="359">
        <f>-H3256*('DRE + DCF'!$V$33+K3256)/'DRE + DCF'!$V$33</f>
        <v>-90858.801614444121</v>
      </c>
      <c r="J3256" s="359">
        <f>-'DRE + DCF'!$V$56*L3256</f>
        <v>-1188924.4255577971</v>
      </c>
      <c r="K3256" s="360">
        <f>(1+L3256)/(1+Ke!$O$12)-1</f>
        <v>2.0000000000000018E-2</v>
      </c>
      <c r="L3256" s="360">
        <f>'DRE + DCF'!$Y$31</f>
        <v>7.3550000000000004E-2</v>
      </c>
      <c r="M3256" s="361">
        <f>(1+D3256)^((5-Dashboard!$F$9)*3/12)</f>
        <v>1.2859139717704455</v>
      </c>
      <c r="N3256" s="361">
        <f t="shared" ref="N3256:V3256" si="3345">M3256*(1+$D3256)</f>
        <v>1.7981578024251657</v>
      </c>
      <c r="O3256" s="361">
        <f t="shared" si="3345"/>
        <v>2.5144539630211789</v>
      </c>
      <c r="P3256" s="361">
        <f t="shared" si="3345"/>
        <v>3.5160866991905935</v>
      </c>
      <c r="Q3256" s="361">
        <f t="shared" si="3345"/>
        <v>4.9167198358130655</v>
      </c>
      <c r="R3256" s="361">
        <f t="shared" si="3345"/>
        <v>6.8752951824090589</v>
      </c>
      <c r="S3256" s="361">
        <f t="shared" si="3345"/>
        <v>9.6140690183215103</v>
      </c>
      <c r="T3256" s="361">
        <f t="shared" si="3345"/>
        <v>13.443833411769608</v>
      </c>
      <c r="U3256" s="361">
        <f t="shared" si="3345"/>
        <v>18.799184451347646</v>
      </c>
      <c r="V3256" s="362">
        <f t="shared" si="3345"/>
        <v>26.28783957754144</v>
      </c>
      <c r="X3256" s="351"/>
    </row>
    <row r="3257" spans="3:24" ht="24.75" customHeight="1" x14ac:dyDescent="0.3">
      <c r="C3257" s="353">
        <f>ABS(E3257-Dashboard!$F$14)</f>
        <v>61.923403437776976</v>
      </c>
      <c r="D3257" s="350">
        <f t="shared" si="3303"/>
        <v>0.39844999999997138</v>
      </c>
      <c r="E3257" s="359" cm="1">
        <f t="array" ref="E3257">1000*SUM('DRE + DCF'!$L$36/M3257,'DRE + DCF'!$N$36:$V$36/N3257:V3257,F3257/V3257)/Dashboard!$F$11</f>
        <v>35.066596562223019</v>
      </c>
      <c r="F3257" s="359">
        <f t="shared" si="3301"/>
        <v>6392461.331645051</v>
      </c>
      <c r="G3257" s="359">
        <f>'DRE + DCF'!$W$31</f>
        <v>2791623.3540418856</v>
      </c>
      <c r="H3257" s="359">
        <f>'DRE + DCF'!$W$32</f>
        <v>81081.931703745853</v>
      </c>
      <c r="I3257" s="359">
        <f>-H3257*('DRE + DCF'!$V$33+K3257)/'DRE + DCF'!$V$33</f>
        <v>-90858.801614444121</v>
      </c>
      <c r="J3257" s="359">
        <f>-'DRE + DCF'!$V$56*L3257</f>
        <v>-1188924.4255577971</v>
      </c>
      <c r="K3257" s="360">
        <f>(1+L3257)/(1+Ke!$O$12)-1</f>
        <v>2.0000000000000018E-2</v>
      </c>
      <c r="L3257" s="360">
        <f>'DRE + DCF'!$Y$31</f>
        <v>7.3550000000000004E-2</v>
      </c>
      <c r="M3257" s="361">
        <f>(1+D3257)^((5-Dashboard!$F$9)*3/12)</f>
        <v>1.2859829406879479</v>
      </c>
      <c r="N3257" s="361">
        <f t="shared" ref="N3257:V3257" si="3346">M3257*(1+$D3257)</f>
        <v>1.798382843405024</v>
      </c>
      <c r="O3257" s="361">
        <f t="shared" si="3346"/>
        <v>2.5149484873597041</v>
      </c>
      <c r="P3257" s="361">
        <f t="shared" si="3346"/>
        <v>3.5170297121481062</v>
      </c>
      <c r="Q3257" s="361">
        <f t="shared" si="3346"/>
        <v>4.9183902009534179</v>
      </c>
      <c r="R3257" s="361">
        <f t="shared" si="3346"/>
        <v>6.8781227765231661</v>
      </c>
      <c r="S3257" s="361">
        <f t="shared" si="3346"/>
        <v>9.6187107968286245</v>
      </c>
      <c r="T3257" s="361">
        <f t="shared" si="3346"/>
        <v>13.451286113824715</v>
      </c>
      <c r="U3257" s="361">
        <f t="shared" si="3346"/>
        <v>18.810951065877788</v>
      </c>
      <c r="V3257" s="362">
        <f t="shared" si="3346"/>
        <v>26.306174518076254</v>
      </c>
      <c r="X3257" s="351"/>
    </row>
    <row r="3258" spans="3:24" ht="24.75" customHeight="1" x14ac:dyDescent="0.3">
      <c r="C3258" s="353">
        <f>ABS(E3258-Dashboard!$F$14)</f>
        <v>61.936171567450394</v>
      </c>
      <c r="D3258" s="350">
        <f t="shared" si="3303"/>
        <v>0.39854999999997137</v>
      </c>
      <c r="E3258" s="359" cm="1">
        <f t="array" ref="E3258">1000*SUM('DRE + DCF'!$L$36/M3258,'DRE + DCF'!$N$36:$V$36/N3258:V3258,F3258/V3258)/Dashboard!$F$11</f>
        <v>35.053828432549601</v>
      </c>
      <c r="F3258" s="359">
        <f t="shared" si="3301"/>
        <v>6390707.9666303182</v>
      </c>
      <c r="G3258" s="359">
        <f>'DRE + DCF'!$W$31</f>
        <v>2791623.3540418856</v>
      </c>
      <c r="H3258" s="359">
        <f>'DRE + DCF'!$W$32</f>
        <v>81081.931703745853</v>
      </c>
      <c r="I3258" s="359">
        <f>-H3258*('DRE + DCF'!$V$33+K3258)/'DRE + DCF'!$V$33</f>
        <v>-90858.801614444121</v>
      </c>
      <c r="J3258" s="359">
        <f>-'DRE + DCF'!$V$56*L3258</f>
        <v>-1188924.4255577971</v>
      </c>
      <c r="K3258" s="360">
        <f>(1+L3258)/(1+Ke!$O$12)-1</f>
        <v>2.0000000000000018E-2</v>
      </c>
      <c r="L3258" s="360">
        <f>'DRE + DCF'!$Y$31</f>
        <v>7.3550000000000004E-2</v>
      </c>
      <c r="M3258" s="361">
        <f>(1+D3258)^((5-Dashboard!$F$9)*3/12)</f>
        <v>1.2860519083725084</v>
      </c>
      <c r="N3258" s="361">
        <f t="shared" ref="N3258:V3258" si="3347">M3258*(1+$D3258)</f>
        <v>1.7986078964543346</v>
      </c>
      <c r="O3258" s="361">
        <f t="shared" si="3347"/>
        <v>2.5154430735861579</v>
      </c>
      <c r="P3258" s="361">
        <f t="shared" si="3347"/>
        <v>3.5179729105638491</v>
      </c>
      <c r="Q3258" s="361">
        <f t="shared" si="3347"/>
        <v>4.9200610140689705</v>
      </c>
      <c r="R3258" s="361">
        <f t="shared" si="3347"/>
        <v>6.8809513312260178</v>
      </c>
      <c r="S3258" s="361">
        <f t="shared" si="3347"/>
        <v>9.6233544842859491</v>
      </c>
      <c r="T3258" s="361">
        <f t="shared" si="3347"/>
        <v>13.458742413997838</v>
      </c>
      <c r="U3258" s="361">
        <f t="shared" si="3347"/>
        <v>18.822724203096289</v>
      </c>
      <c r="V3258" s="362">
        <f t="shared" si="3347"/>
        <v>26.324520934239775</v>
      </c>
      <c r="X3258" s="351"/>
    </row>
    <row r="3259" spans="3:24" ht="24.75" customHeight="1" x14ac:dyDescent="0.3">
      <c r="C3259" s="353">
        <f>ABS(E3259-Dashboard!$F$14)</f>
        <v>61.948931051142495</v>
      </c>
      <c r="D3259" s="350">
        <f t="shared" si="3303"/>
        <v>0.39864999999997136</v>
      </c>
      <c r="E3259" s="359" cm="1">
        <f t="array" ref="E3259">1000*SUM('DRE + DCF'!$L$36/M3259,'DRE + DCF'!$N$36:$V$36/N3259:V3259,F3259/V3259)/Dashboard!$F$11</f>
        <v>35.0410689488575</v>
      </c>
      <c r="F3259" s="359">
        <f t="shared" si="3301"/>
        <v>6388955.5731758364</v>
      </c>
      <c r="G3259" s="359">
        <f>'DRE + DCF'!$W$31</f>
        <v>2791623.3540418856</v>
      </c>
      <c r="H3259" s="359">
        <f>'DRE + DCF'!$W$32</f>
        <v>81081.931703745853</v>
      </c>
      <c r="I3259" s="359">
        <f>-H3259*('DRE + DCF'!$V$33+K3259)/'DRE + DCF'!$V$33</f>
        <v>-90858.801614444121</v>
      </c>
      <c r="J3259" s="359">
        <f>-'DRE + DCF'!$V$56*L3259</f>
        <v>-1188924.4255577971</v>
      </c>
      <c r="K3259" s="360">
        <f>(1+L3259)/(1+Ke!$O$12)-1</f>
        <v>2.0000000000000018E-2</v>
      </c>
      <c r="L3259" s="360">
        <f>'DRE + DCF'!$Y$31</f>
        <v>7.3550000000000004E-2</v>
      </c>
      <c r="M3259" s="361">
        <f>(1+D3259)^((5-Dashboard!$F$9)*3/12)</f>
        <v>1.2861208748242372</v>
      </c>
      <c r="N3259" s="361">
        <f t="shared" ref="N3259:V3259" si="3348">M3259*(1+$D3259)</f>
        <v>1.7988329615728824</v>
      </c>
      <c r="O3259" s="361">
        <f t="shared" si="3348"/>
        <v>2.5159377217038603</v>
      </c>
      <c r="P3259" s="361">
        <f t="shared" si="3348"/>
        <v>3.5189162944610319</v>
      </c>
      <c r="Q3259" s="361">
        <f t="shared" si="3348"/>
        <v>4.9217322752478214</v>
      </c>
      <c r="R3259" s="361">
        <f t="shared" si="3348"/>
        <v>6.8837808467752239</v>
      </c>
      <c r="S3259" s="361">
        <f t="shared" si="3348"/>
        <v>9.6280000813419697</v>
      </c>
      <c r="T3259" s="361">
        <f t="shared" si="3348"/>
        <v>13.466202313768669</v>
      </c>
      <c r="U3259" s="361">
        <f t="shared" si="3348"/>
        <v>18.834503866152161</v>
      </c>
      <c r="V3259" s="362">
        <f t="shared" si="3348"/>
        <v>26.342878832393179</v>
      </c>
      <c r="X3259" s="351"/>
    </row>
    <row r="3260" spans="3:24" ht="24.75" customHeight="1" x14ac:dyDescent="0.3">
      <c r="C3260" s="353">
        <f>ABS(E3260-Dashboard!$F$14)</f>
        <v>61.961681897073753</v>
      </c>
      <c r="D3260" s="350">
        <f t="shared" si="3303"/>
        <v>0.39874999999997135</v>
      </c>
      <c r="E3260" s="359" cm="1">
        <f t="array" ref="E3260">1000*SUM('DRE + DCF'!$L$36/M3260,'DRE + DCF'!$N$36:$V$36/N3260:V3260,F3260/V3260)/Dashboard!$F$11</f>
        <v>35.028318102926242</v>
      </c>
      <c r="F3260" s="359">
        <f t="shared" si="3301"/>
        <v>6387204.150465887</v>
      </c>
      <c r="G3260" s="359">
        <f>'DRE + DCF'!$W$31</f>
        <v>2791623.3540418856</v>
      </c>
      <c r="H3260" s="359">
        <f>'DRE + DCF'!$W$32</f>
        <v>81081.931703745853</v>
      </c>
      <c r="I3260" s="359">
        <f>-H3260*('DRE + DCF'!$V$33+K3260)/'DRE + DCF'!$V$33</f>
        <v>-90858.801614444121</v>
      </c>
      <c r="J3260" s="359">
        <f>-'DRE + DCF'!$V$56*L3260</f>
        <v>-1188924.4255577971</v>
      </c>
      <c r="K3260" s="360">
        <f>(1+L3260)/(1+Ke!$O$12)-1</f>
        <v>2.0000000000000018E-2</v>
      </c>
      <c r="L3260" s="360">
        <f>'DRE + DCF'!$Y$31</f>
        <v>7.3550000000000004E-2</v>
      </c>
      <c r="M3260" s="361">
        <f>(1+D3260)^((5-Dashboard!$F$9)*3/12)</f>
        <v>1.2861898400432443</v>
      </c>
      <c r="N3260" s="361">
        <f t="shared" ref="N3260:V3260" si="3349">M3260*(1+$D3260)</f>
        <v>1.7990580387604511</v>
      </c>
      <c r="O3260" s="361">
        <f t="shared" si="3349"/>
        <v>2.5164324317161295</v>
      </c>
      <c r="P3260" s="361">
        <f t="shared" si="3349"/>
        <v>3.5198598638628638</v>
      </c>
      <c r="Q3260" s="361">
        <f t="shared" si="3349"/>
        <v>4.9234039845780799</v>
      </c>
      <c r="R3260" s="361">
        <f t="shared" si="3349"/>
        <v>6.8866113234284478</v>
      </c>
      <c r="S3260" s="361">
        <f t="shared" si="3349"/>
        <v>9.6326475886453444</v>
      </c>
      <c r="T3260" s="361">
        <f t="shared" si="3349"/>
        <v>13.4736658146174</v>
      </c>
      <c r="U3260" s="361">
        <f t="shared" si="3349"/>
        <v>18.846290058195702</v>
      </c>
      <c r="V3260" s="362">
        <f t="shared" si="3349"/>
        <v>26.361248218900698</v>
      </c>
      <c r="X3260" s="351"/>
    </row>
    <row r="3261" spans="3:24" ht="24.75" customHeight="1" x14ac:dyDescent="0.3">
      <c r="C3261" s="353">
        <f>ABS(E3261-Dashboard!$F$14)</f>
        <v>61.974424113454702</v>
      </c>
      <c r="D3261" s="350">
        <f t="shared" si="3303"/>
        <v>0.39884999999997134</v>
      </c>
      <c r="E3261" s="359" cm="1">
        <f t="array" ref="E3261">1000*SUM('DRE + DCF'!$L$36/M3261,'DRE + DCF'!$N$36:$V$36/N3261:V3261,F3261/V3261)/Dashboard!$F$11</f>
        <v>35.015575886545292</v>
      </c>
      <c r="F3261" s="359">
        <f t="shared" si="3301"/>
        <v>6385453.697685672</v>
      </c>
      <c r="G3261" s="359">
        <f>'DRE + DCF'!$W$31</f>
        <v>2791623.3540418856</v>
      </c>
      <c r="H3261" s="359">
        <f>'DRE + DCF'!$W$32</f>
        <v>81081.931703745853</v>
      </c>
      <c r="I3261" s="359">
        <f>-H3261*('DRE + DCF'!$V$33+K3261)/'DRE + DCF'!$V$33</f>
        <v>-90858.801614444121</v>
      </c>
      <c r="J3261" s="359">
        <f>-'DRE + DCF'!$V$56*L3261</f>
        <v>-1188924.4255577971</v>
      </c>
      <c r="K3261" s="360">
        <f>(1+L3261)/(1+Ke!$O$12)-1</f>
        <v>2.0000000000000018E-2</v>
      </c>
      <c r="L3261" s="360">
        <f>'DRE + DCF'!$Y$31</f>
        <v>7.3550000000000004E-2</v>
      </c>
      <c r="M3261" s="361">
        <f>(1+D3261)^((5-Dashboard!$F$9)*3/12)</f>
        <v>1.2862588040296403</v>
      </c>
      <c r="N3261" s="361">
        <f t="shared" ref="N3261:V3261" si="3350">M3261*(1+$D3261)</f>
        <v>1.7992831280168253</v>
      </c>
      <c r="O3261" s="361">
        <f t="shared" si="3350"/>
        <v>2.5169272036262846</v>
      </c>
      <c r="P3261" s="361">
        <f t="shared" si="3350"/>
        <v>3.5208036187925558</v>
      </c>
      <c r="Q3261" s="361">
        <f t="shared" si="3350"/>
        <v>4.9250761421478657</v>
      </c>
      <c r="R3261" s="361">
        <f t="shared" si="3350"/>
        <v>6.8894427614434006</v>
      </c>
      <c r="S3261" s="361">
        <f t="shared" si="3350"/>
        <v>9.6372970068449035</v>
      </c>
      <c r="T3261" s="361">
        <f t="shared" si="3350"/>
        <v>13.481132918024716</v>
      </c>
      <c r="U3261" s="361">
        <f t="shared" si="3350"/>
        <v>18.858082782378489</v>
      </c>
      <c r="V3261" s="362">
        <f t="shared" si="3350"/>
        <v>26.379629100129609</v>
      </c>
      <c r="X3261" s="351"/>
    </row>
    <row r="3262" spans="3:24" ht="24.75" customHeight="1" x14ac:dyDescent="0.3">
      <c r="C3262" s="353">
        <f>ABS(E3262-Dashboard!$F$14)</f>
        <v>61.987157708485952</v>
      </c>
      <c r="D3262" s="350">
        <f t="shared" si="3303"/>
        <v>0.39894999999997133</v>
      </c>
      <c r="E3262" s="359" cm="1">
        <f t="array" ref="E3262">1000*SUM('DRE + DCF'!$L$36/M3262,'DRE + DCF'!$N$36:$V$36/N3262:V3262,F3262/V3262)/Dashboard!$F$11</f>
        <v>35.002842291514042</v>
      </c>
      <c r="F3262" s="359">
        <f t="shared" si="3301"/>
        <v>6383704.2140213139</v>
      </c>
      <c r="G3262" s="359">
        <f>'DRE + DCF'!$W$31</f>
        <v>2791623.3540418856</v>
      </c>
      <c r="H3262" s="359">
        <f>'DRE + DCF'!$W$32</f>
        <v>81081.931703745853</v>
      </c>
      <c r="I3262" s="359">
        <f>-H3262*('DRE + DCF'!$V$33+K3262)/'DRE + DCF'!$V$33</f>
        <v>-90858.801614444121</v>
      </c>
      <c r="J3262" s="359">
        <f>-'DRE + DCF'!$V$56*L3262</f>
        <v>-1188924.4255577971</v>
      </c>
      <c r="K3262" s="360">
        <f>(1+L3262)/(1+Ke!$O$12)-1</f>
        <v>2.0000000000000018E-2</v>
      </c>
      <c r="L3262" s="360">
        <f>'DRE + DCF'!$Y$31</f>
        <v>7.3550000000000004E-2</v>
      </c>
      <c r="M3262" s="361">
        <f>(1+D3262)^((5-Dashboard!$F$9)*3/12)</f>
        <v>1.2863277667835353</v>
      </c>
      <c r="N3262" s="361">
        <f t="shared" ref="N3262:V3262" si="3351">M3262*(1+$D3262)</f>
        <v>1.7995082293417899</v>
      </c>
      <c r="O3262" s="361">
        <f t="shared" si="3351"/>
        <v>2.5174220374376453</v>
      </c>
      <c r="P3262" s="361">
        <f t="shared" si="3351"/>
        <v>3.5217475592733214</v>
      </c>
      <c r="Q3262" s="361">
        <f t="shared" si="3351"/>
        <v>4.9267487480453118</v>
      </c>
      <c r="R3262" s="361">
        <f t="shared" si="3351"/>
        <v>6.8922751610778477</v>
      </c>
      <c r="S3262" s="361">
        <f t="shared" si="3351"/>
        <v>9.6419483365896568</v>
      </c>
      <c r="T3262" s="361">
        <f t="shared" si="3351"/>
        <v>13.488603625471823</v>
      </c>
      <c r="U3262" s="361">
        <f t="shared" si="3351"/>
        <v>18.869882041853419</v>
      </c>
      <c r="V3262" s="362">
        <f t="shared" si="3351"/>
        <v>26.3980214824503</v>
      </c>
      <c r="X3262" s="351"/>
    </row>
    <row r="3263" spans="3:24" ht="24.75" customHeight="1" x14ac:dyDescent="0.3">
      <c r="C3263" s="353">
        <f>ABS(E3263-Dashboard!$F$14)</f>
        <v>61.99988269035817</v>
      </c>
      <c r="D3263" s="350">
        <f t="shared" si="3303"/>
        <v>0.39904999999997132</v>
      </c>
      <c r="E3263" s="359" cm="1">
        <f t="array" ref="E3263">1000*SUM('DRE + DCF'!$L$36/M3263,'DRE + DCF'!$N$36:$V$36/N3263:V3263,F3263/V3263)/Dashboard!$F$11</f>
        <v>34.990117309641825</v>
      </c>
      <c r="F3263" s="359">
        <f t="shared" si="3301"/>
        <v>6381955.6986598568</v>
      </c>
      <c r="G3263" s="359">
        <f>'DRE + DCF'!$W$31</f>
        <v>2791623.3540418856</v>
      </c>
      <c r="H3263" s="359">
        <f>'DRE + DCF'!$W$32</f>
        <v>81081.931703745853</v>
      </c>
      <c r="I3263" s="359">
        <f>-H3263*('DRE + DCF'!$V$33+K3263)/'DRE + DCF'!$V$33</f>
        <v>-90858.801614444121</v>
      </c>
      <c r="J3263" s="359">
        <f>-'DRE + DCF'!$V$56*L3263</f>
        <v>-1188924.4255577971</v>
      </c>
      <c r="K3263" s="360">
        <f>(1+L3263)/(1+Ke!$O$12)-1</f>
        <v>2.0000000000000018E-2</v>
      </c>
      <c r="L3263" s="360">
        <f>'DRE + DCF'!$Y$31</f>
        <v>7.3550000000000004E-2</v>
      </c>
      <c r="M3263" s="361">
        <f>(1+D3263)^((5-Dashboard!$F$9)*3/12)</f>
        <v>1.286396728305039</v>
      </c>
      <c r="N3263" s="361">
        <f t="shared" ref="N3263:V3263" si="3352">M3263*(1+$D3263)</f>
        <v>1.7997333427351279</v>
      </c>
      <c r="O3263" s="361">
        <f t="shared" si="3352"/>
        <v>2.5179169331535287</v>
      </c>
      <c r="P3263" s="361">
        <f t="shared" si="3352"/>
        <v>3.5226916853283718</v>
      </c>
      <c r="Q3263" s="361">
        <f t="shared" si="3352"/>
        <v>4.9284218023585575</v>
      </c>
      <c r="R3263" s="361">
        <f t="shared" si="3352"/>
        <v>6.8951085225895987</v>
      </c>
      <c r="S3263" s="361">
        <f t="shared" si="3352"/>
        <v>9.6466015785287791</v>
      </c>
      <c r="T3263" s="361">
        <f t="shared" si="3352"/>
        <v>13.496077938440411</v>
      </c>
      <c r="U3263" s="361">
        <f t="shared" si="3352"/>
        <v>18.881687839774671</v>
      </c>
      <c r="V3263" s="362">
        <f t="shared" si="3352"/>
        <v>26.416425372236212</v>
      </c>
      <c r="X3263" s="351"/>
    </row>
    <row r="3264" spans="3:24" ht="24.75" customHeight="1" x14ac:dyDescent="0.3">
      <c r="C3264" s="353">
        <f>ABS(E3264-Dashboard!$F$14)</f>
        <v>62.01259906725214</v>
      </c>
      <c r="D3264" s="350">
        <f t="shared" si="3303"/>
        <v>0.39914999999997131</v>
      </c>
      <c r="E3264" s="359" cm="1">
        <f t="array" ref="E3264">1000*SUM('DRE + DCF'!$L$36/M3264,'DRE + DCF'!$N$36:$V$36/N3264:V3264,F3264/V3264)/Dashboard!$F$11</f>
        <v>34.977400932747855</v>
      </c>
      <c r="F3264" s="359">
        <f t="shared" si="3301"/>
        <v>6380208.1507892609</v>
      </c>
      <c r="G3264" s="359">
        <f>'DRE + DCF'!$W$31</f>
        <v>2791623.3540418856</v>
      </c>
      <c r="H3264" s="359">
        <f>'DRE + DCF'!$W$32</f>
        <v>81081.931703745853</v>
      </c>
      <c r="I3264" s="359">
        <f>-H3264*('DRE + DCF'!$V$33+K3264)/'DRE + DCF'!$V$33</f>
        <v>-90858.801614444121</v>
      </c>
      <c r="J3264" s="359">
        <f>-'DRE + DCF'!$V$56*L3264</f>
        <v>-1188924.4255577971</v>
      </c>
      <c r="K3264" s="360">
        <f>(1+L3264)/(1+Ke!$O$12)-1</f>
        <v>2.0000000000000018E-2</v>
      </c>
      <c r="L3264" s="360">
        <f>'DRE + DCF'!$Y$31</f>
        <v>7.3550000000000004E-2</v>
      </c>
      <c r="M3264" s="361">
        <f>(1+D3264)^((5-Dashboard!$F$9)*3/12)</f>
        <v>1.2864656885942618</v>
      </c>
      <c r="N3264" s="361">
        <f t="shared" ref="N3264:V3264" si="3353">M3264*(1+$D3264)</f>
        <v>1.7999584681966243</v>
      </c>
      <c r="O3264" s="361">
        <f t="shared" si="3353"/>
        <v>2.518411890777255</v>
      </c>
      <c r="P3264" s="361">
        <f t="shared" si="3353"/>
        <v>3.5236359969809241</v>
      </c>
      <c r="Q3264" s="361">
        <f t="shared" si="3353"/>
        <v>4.930095305175759</v>
      </c>
      <c r="R3264" s="361">
        <f t="shared" si="3353"/>
        <v>6.8979428462365213</v>
      </c>
      <c r="S3264" s="361">
        <f t="shared" si="3353"/>
        <v>9.6512567333116301</v>
      </c>
      <c r="T3264" s="361">
        <f t="shared" si="3353"/>
        <v>13.503555858412691</v>
      </c>
      <c r="U3264" s="361">
        <f t="shared" si="3353"/>
        <v>18.893500179297728</v>
      </c>
      <c r="V3264" s="362">
        <f t="shared" si="3353"/>
        <v>26.434840775863872</v>
      </c>
      <c r="X3264" s="351"/>
    </row>
    <row r="3265" spans="3:24" ht="24.75" customHeight="1" x14ac:dyDescent="0.3">
      <c r="C3265" s="353">
        <f>ABS(E3265-Dashboard!$F$14)</f>
        <v>62.02530684733874</v>
      </c>
      <c r="D3265" s="350">
        <f t="shared" si="3303"/>
        <v>0.39924999999997129</v>
      </c>
      <c r="E3265" s="359" cm="1">
        <f t="array" ref="E3265">1000*SUM('DRE + DCF'!$L$36/M3265,'DRE + DCF'!$N$36:$V$36/N3265:V3265,F3265/V3265)/Dashboard!$F$11</f>
        <v>34.964693152661255</v>
      </c>
      <c r="F3265" s="359">
        <f t="shared" si="3301"/>
        <v>6378461.5695984047</v>
      </c>
      <c r="G3265" s="359">
        <f>'DRE + DCF'!$W$31</f>
        <v>2791623.3540418856</v>
      </c>
      <c r="H3265" s="359">
        <f>'DRE + DCF'!$W$32</f>
        <v>81081.931703745853</v>
      </c>
      <c r="I3265" s="359">
        <f>-H3265*('DRE + DCF'!$V$33+K3265)/'DRE + DCF'!$V$33</f>
        <v>-90858.801614444121</v>
      </c>
      <c r="J3265" s="359">
        <f>-'DRE + DCF'!$V$56*L3265</f>
        <v>-1188924.4255577971</v>
      </c>
      <c r="K3265" s="360">
        <f>(1+L3265)/(1+Ke!$O$12)-1</f>
        <v>2.0000000000000018E-2</v>
      </c>
      <c r="L3265" s="360">
        <f>'DRE + DCF'!$Y$31</f>
        <v>7.3550000000000004E-2</v>
      </c>
      <c r="M3265" s="361">
        <f>(1+D3265)^((5-Dashboard!$F$9)*3/12)</f>
        <v>1.286534647651314</v>
      </c>
      <c r="N3265" s="361">
        <f t="shared" ref="N3265:V3265" si="3354">M3265*(1+$D3265)</f>
        <v>1.8001836057260641</v>
      </c>
      <c r="O3265" s="361">
        <f t="shared" si="3354"/>
        <v>2.5189069103121433</v>
      </c>
      <c r="P3265" s="361">
        <f t="shared" si="3354"/>
        <v>3.5245804942541943</v>
      </c>
      <c r="Q3265" s="361">
        <f t="shared" si="3354"/>
        <v>4.9317692565850804</v>
      </c>
      <c r="R3265" s="361">
        <f t="shared" si="3354"/>
        <v>6.9007781322765318</v>
      </c>
      <c r="S3265" s="361">
        <f t="shared" si="3354"/>
        <v>9.6559138015877384</v>
      </c>
      <c r="T3265" s="361">
        <f t="shared" si="3354"/>
        <v>13.511037386871365</v>
      </c>
      <c r="U3265" s="361">
        <f t="shared" si="3354"/>
        <v>18.90531906357937</v>
      </c>
      <c r="V3265" s="362">
        <f t="shared" si="3354"/>
        <v>26.453267699712889</v>
      </c>
      <c r="X3265" s="351"/>
    </row>
    <row r="3266" spans="3:24" ht="24.75" customHeight="1" x14ac:dyDescent="0.3">
      <c r="C3266" s="353">
        <f>ABS(E3266-Dashboard!$F$14)</f>
        <v>62.038006038778967</v>
      </c>
      <c r="D3266" s="350">
        <f t="shared" si="3303"/>
        <v>0.39934999999997128</v>
      </c>
      <c r="E3266" s="359" cm="1">
        <f t="array" ref="E3266">1000*SUM('DRE + DCF'!$L$36/M3266,'DRE + DCF'!$N$36:$V$36/N3266:V3266,F3266/V3266)/Dashboard!$F$11</f>
        <v>34.951993961221028</v>
      </c>
      <c r="F3266" s="359">
        <f t="shared" si="3301"/>
        <v>6376715.9542770833</v>
      </c>
      <c r="G3266" s="359">
        <f>'DRE + DCF'!$W$31</f>
        <v>2791623.3540418856</v>
      </c>
      <c r="H3266" s="359">
        <f>'DRE + DCF'!$W$32</f>
        <v>81081.931703745853</v>
      </c>
      <c r="I3266" s="359">
        <f>-H3266*('DRE + DCF'!$V$33+K3266)/'DRE + DCF'!$V$33</f>
        <v>-90858.801614444121</v>
      </c>
      <c r="J3266" s="359">
        <f>-'DRE + DCF'!$V$56*L3266</f>
        <v>-1188924.4255577971</v>
      </c>
      <c r="K3266" s="360">
        <f>(1+L3266)/(1+Ke!$O$12)-1</f>
        <v>2.0000000000000018E-2</v>
      </c>
      <c r="L3266" s="360">
        <f>'DRE + DCF'!$Y$31</f>
        <v>7.3550000000000004E-2</v>
      </c>
      <c r="M3266" s="361">
        <f>(1+D3266)^((5-Dashboard!$F$9)*3/12)</f>
        <v>1.286603605476305</v>
      </c>
      <c r="N3266" s="361">
        <f t="shared" ref="N3266:V3266" si="3355">M3266*(1+$D3266)</f>
        <v>1.8004087553232304</v>
      </c>
      <c r="O3266" s="361">
        <f t="shared" si="3355"/>
        <v>2.5194019917615105</v>
      </c>
      <c r="P3266" s="361">
        <f t="shared" si="3355"/>
        <v>3.5255251771713971</v>
      </c>
      <c r="Q3266" s="361">
        <f t="shared" si="3355"/>
        <v>4.9334436566746929</v>
      </c>
      <c r="R3266" s="361">
        <f t="shared" si="3355"/>
        <v>6.9036143809675892</v>
      </c>
      <c r="S3266" s="361">
        <f t="shared" si="3355"/>
        <v>9.6605727840067974</v>
      </c>
      <c r="T3266" s="361">
        <f t="shared" si="3355"/>
        <v>13.518522525299634</v>
      </c>
      <c r="U3266" s="361">
        <f t="shared" si="3355"/>
        <v>18.917144495777652</v>
      </c>
      <c r="V3266" s="362">
        <f t="shared" si="3355"/>
        <v>26.471706150165915</v>
      </c>
      <c r="X3266" s="351"/>
    </row>
    <row r="3267" spans="3:24" ht="24.75" customHeight="1" x14ac:dyDescent="0.3">
      <c r="C3267" s="353">
        <f>ABS(E3267-Dashboard!$F$14)</f>
        <v>62.050696649724003</v>
      </c>
      <c r="D3267" s="350">
        <f t="shared" si="3303"/>
        <v>0.39944999999997127</v>
      </c>
      <c r="E3267" s="359" cm="1">
        <f t="array" ref="E3267">1000*SUM('DRE + DCF'!$L$36/M3267,'DRE + DCF'!$N$36:$V$36/N3267:V3267,F3267/V3267)/Dashboard!$F$11</f>
        <v>34.939303350275992</v>
      </c>
      <c r="F3267" s="359">
        <f t="shared" si="3301"/>
        <v>6374971.3040160043</v>
      </c>
      <c r="G3267" s="359">
        <f>'DRE + DCF'!$W$31</f>
        <v>2791623.3540418856</v>
      </c>
      <c r="H3267" s="359">
        <f>'DRE + DCF'!$W$32</f>
        <v>81081.931703745853</v>
      </c>
      <c r="I3267" s="359">
        <f>-H3267*('DRE + DCF'!$V$33+K3267)/'DRE + DCF'!$V$33</f>
        <v>-90858.801614444121</v>
      </c>
      <c r="J3267" s="359">
        <f>-'DRE + DCF'!$V$56*L3267</f>
        <v>-1188924.4255577971</v>
      </c>
      <c r="K3267" s="360">
        <f>(1+L3267)/(1+Ke!$O$12)-1</f>
        <v>2.0000000000000018E-2</v>
      </c>
      <c r="L3267" s="360">
        <f>'DRE + DCF'!$Y$31</f>
        <v>7.3550000000000004E-2</v>
      </c>
      <c r="M3267" s="361">
        <f>(1+D3267)^((5-Dashboard!$F$9)*3/12)</f>
        <v>1.2866725620693455</v>
      </c>
      <c r="N3267" s="361">
        <f t="shared" ref="N3267:V3267" si="3356">M3267*(1+$D3267)</f>
        <v>1.8006339169879086</v>
      </c>
      <c r="O3267" s="361">
        <f t="shared" si="3356"/>
        <v>2.519897135128677</v>
      </c>
      <c r="P3267" s="361">
        <f t="shared" si="3356"/>
        <v>3.5264700457557545</v>
      </c>
      <c r="Q3267" s="361">
        <f t="shared" si="3356"/>
        <v>4.9351185055327891</v>
      </c>
      <c r="R3267" s="361">
        <f t="shared" si="3356"/>
        <v>6.9064515925677199</v>
      </c>
      <c r="S3267" s="361">
        <f t="shared" si="3356"/>
        <v>9.6652336812186963</v>
      </c>
      <c r="T3267" s="361">
        <f t="shared" si="3356"/>
        <v>13.526011275181226</v>
      </c>
      <c r="U3267" s="361">
        <f t="shared" si="3356"/>
        <v>18.928976479051975</v>
      </c>
      <c r="V3267" s="362">
        <f t="shared" si="3356"/>
        <v>26.490156133608743</v>
      </c>
      <c r="X3267" s="351"/>
    </row>
    <row r="3268" spans="3:24" ht="24.75" customHeight="1" x14ac:dyDescent="0.3">
      <c r="C3268" s="353">
        <f>ABS(E3268-Dashboard!$F$14)</f>
        <v>62.063378688315105</v>
      </c>
      <c r="D3268" s="350">
        <f t="shared" si="3303"/>
        <v>0.39954999999997126</v>
      </c>
      <c r="E3268" s="359" cm="1">
        <f t="array" ref="E3268">1000*SUM('DRE + DCF'!$L$36/M3268,'DRE + DCF'!$N$36:$V$36/N3268:V3268,F3268/V3268)/Dashboard!$F$11</f>
        <v>34.92662131168489</v>
      </c>
      <c r="F3268" s="359">
        <f t="shared" si="3301"/>
        <v>6373227.6180067882</v>
      </c>
      <c r="G3268" s="359">
        <f>'DRE + DCF'!$W$31</f>
        <v>2791623.3540418856</v>
      </c>
      <c r="H3268" s="359">
        <f>'DRE + DCF'!$W$32</f>
        <v>81081.931703745853</v>
      </c>
      <c r="I3268" s="359">
        <f>-H3268*('DRE + DCF'!$V$33+K3268)/'DRE + DCF'!$V$33</f>
        <v>-90858.801614444121</v>
      </c>
      <c r="J3268" s="359">
        <f>-'DRE + DCF'!$V$56*L3268</f>
        <v>-1188924.4255577971</v>
      </c>
      <c r="K3268" s="360">
        <f>(1+L3268)/(1+Ke!$O$12)-1</f>
        <v>2.0000000000000018E-2</v>
      </c>
      <c r="L3268" s="360">
        <f>'DRE + DCF'!$Y$31</f>
        <v>7.3550000000000004E-2</v>
      </c>
      <c r="M3268" s="361">
        <f>(1+D3268)^((5-Dashboard!$F$9)*3/12)</f>
        <v>1.2867415174305454</v>
      </c>
      <c r="N3268" s="361">
        <f t="shared" ref="N3268:V3268" si="3357">M3268*(1+$D3268)</f>
        <v>1.8008590907198827</v>
      </c>
      <c r="O3268" s="361">
        <f t="shared" si="3357"/>
        <v>2.5203923404169601</v>
      </c>
      <c r="P3268" s="361">
        <f t="shared" si="3357"/>
        <v>3.5274151000304839</v>
      </c>
      <c r="Q3268" s="361">
        <f t="shared" si="3357"/>
        <v>4.9367938032475625</v>
      </c>
      <c r="R3268" s="361">
        <f t="shared" si="3357"/>
        <v>6.9092897673349842</v>
      </c>
      <c r="S3268" s="361">
        <f t="shared" si="3357"/>
        <v>9.6698964938734786</v>
      </c>
      <c r="T3268" s="361">
        <f t="shared" si="3357"/>
        <v>13.533503638000349</v>
      </c>
      <c r="U3268" s="361">
        <f t="shared" si="3357"/>
        <v>18.940815016563</v>
      </c>
      <c r="V3268" s="362">
        <f t="shared" si="3357"/>
        <v>26.508617656430204</v>
      </c>
      <c r="X3268" s="351"/>
    </row>
    <row r="3269" spans="3:24" ht="24.75" customHeight="1" x14ac:dyDescent="0.3">
      <c r="C3269" s="353">
        <f>ABS(E3269-Dashboard!$F$14)</f>
        <v>62.076052162683787</v>
      </c>
      <c r="D3269" s="350">
        <f t="shared" si="3303"/>
        <v>0.39964999999997125</v>
      </c>
      <c r="E3269" s="359" cm="1">
        <f t="array" ref="E3269">1000*SUM('DRE + DCF'!$L$36/M3269,'DRE + DCF'!$N$36:$V$36/N3269:V3269,F3269/V3269)/Dashboard!$F$11</f>
        <v>34.913947837316208</v>
      </c>
      <c r="F3269" s="359">
        <f t="shared" si="3301"/>
        <v>6371484.8954419699</v>
      </c>
      <c r="G3269" s="359">
        <f>'DRE + DCF'!$W$31</f>
        <v>2791623.3540418856</v>
      </c>
      <c r="H3269" s="359">
        <f>'DRE + DCF'!$W$32</f>
        <v>81081.931703745853</v>
      </c>
      <c r="I3269" s="359">
        <f>-H3269*('DRE + DCF'!$V$33+K3269)/'DRE + DCF'!$V$33</f>
        <v>-90858.801614444121</v>
      </c>
      <c r="J3269" s="359">
        <f>-'DRE + DCF'!$V$56*L3269</f>
        <v>-1188924.4255577971</v>
      </c>
      <c r="K3269" s="360">
        <f>(1+L3269)/(1+Ke!$O$12)-1</f>
        <v>2.0000000000000018E-2</v>
      </c>
      <c r="L3269" s="360">
        <f>'DRE + DCF'!$Y$31</f>
        <v>7.3550000000000004E-2</v>
      </c>
      <c r="M3269" s="361">
        <f>(1+D3269)^((5-Dashboard!$F$9)*3/12)</f>
        <v>1.2868104715600146</v>
      </c>
      <c r="N3269" s="361">
        <f t="shared" ref="N3269:V3269" si="3358">M3269*(1+$D3269)</f>
        <v>1.8010842765189374</v>
      </c>
      <c r="O3269" s="361">
        <f t="shared" si="3358"/>
        <v>2.5208876076296791</v>
      </c>
      <c r="P3269" s="361">
        <f t="shared" si="3358"/>
        <v>3.5283603400188079</v>
      </c>
      <c r="Q3269" s="361">
        <f t="shared" si="3358"/>
        <v>4.9384695499072233</v>
      </c>
      <c r="R3269" s="361">
        <f t="shared" si="3358"/>
        <v>6.9121289055275028</v>
      </c>
      <c r="S3269" s="361">
        <f t="shared" si="3358"/>
        <v>9.6745612226213709</v>
      </c>
      <c r="T3269" s="361">
        <f t="shared" si="3358"/>
        <v>13.540999615241724</v>
      </c>
      <c r="U3269" s="361">
        <f t="shared" si="3358"/>
        <v>18.952660111472689</v>
      </c>
      <c r="V3269" s="362">
        <f t="shared" si="3358"/>
        <v>26.527090725022202</v>
      </c>
      <c r="X3269" s="351"/>
    </row>
    <row r="3270" spans="3:24" ht="24.75" customHeight="1" x14ac:dyDescent="0.3">
      <c r="C3270" s="353">
        <f>ABS(E3270-Dashboard!$F$14)</f>
        <v>62.088717080951646</v>
      </c>
      <c r="D3270" s="350">
        <f t="shared" si="3303"/>
        <v>0.39974999999997124</v>
      </c>
      <c r="E3270" s="359" cm="1">
        <f t="array" ref="E3270">1000*SUM('DRE + DCF'!$L$36/M3270,'DRE + DCF'!$N$36:$V$36/N3270:V3270,F3270/V3270)/Dashboard!$F$11</f>
        <v>34.901282919048349</v>
      </c>
      <c r="F3270" s="359">
        <f t="shared" si="3301"/>
        <v>6369743.1355149923</v>
      </c>
      <c r="G3270" s="359">
        <f>'DRE + DCF'!$W$31</f>
        <v>2791623.3540418856</v>
      </c>
      <c r="H3270" s="359">
        <f>'DRE + DCF'!$W$32</f>
        <v>81081.931703745853</v>
      </c>
      <c r="I3270" s="359">
        <f>-H3270*('DRE + DCF'!$V$33+K3270)/'DRE + DCF'!$V$33</f>
        <v>-90858.801614444121</v>
      </c>
      <c r="J3270" s="359">
        <f>-'DRE + DCF'!$V$56*L3270</f>
        <v>-1188924.4255577971</v>
      </c>
      <c r="K3270" s="360">
        <f>(1+L3270)/(1+Ke!$O$12)-1</f>
        <v>2.0000000000000018E-2</v>
      </c>
      <c r="L3270" s="360">
        <f>'DRE + DCF'!$Y$31</f>
        <v>7.3550000000000004E-2</v>
      </c>
      <c r="M3270" s="361">
        <f>(1+D3270)^((5-Dashboard!$F$9)*3/12)</f>
        <v>1.2868794244578632</v>
      </c>
      <c r="N3270" s="361">
        <f t="shared" ref="N3270:V3270" si="3359">M3270*(1+$D3270)</f>
        <v>1.801309474384857</v>
      </c>
      <c r="O3270" s="361">
        <f t="shared" si="3359"/>
        <v>2.5213829367701517</v>
      </c>
      <c r="P3270" s="361">
        <f t="shared" si="3359"/>
        <v>3.5293057657439473</v>
      </c>
      <c r="Q3270" s="361">
        <f t="shared" si="3359"/>
        <v>4.9401457455999882</v>
      </c>
      <c r="R3270" s="361">
        <f t="shared" si="3359"/>
        <v>6.9149690074034416</v>
      </c>
      <c r="S3270" s="361">
        <f t="shared" si="3359"/>
        <v>9.6792278681127684</v>
      </c>
      <c r="T3270" s="361">
        <f t="shared" si="3359"/>
        <v>13.548499208390568</v>
      </c>
      <c r="U3270" s="361">
        <f t="shared" si="3359"/>
        <v>18.964511766944309</v>
      </c>
      <c r="V3270" s="362">
        <f t="shared" si="3359"/>
        <v>26.545575345779749</v>
      </c>
      <c r="X3270" s="351"/>
    </row>
    <row r="3271" spans="3:24" ht="24.75" customHeight="1" x14ac:dyDescent="0.3">
      <c r="C3271" s="353">
        <f>ABS(E3271-Dashboard!$F$14)</f>
        <v>62.101373451230572</v>
      </c>
      <c r="D3271" s="350">
        <f t="shared" si="3303"/>
        <v>0.39984999999997123</v>
      </c>
      <c r="E3271" s="359" cm="1">
        <f t="array" ref="E3271">1000*SUM('DRE + DCF'!$L$36/M3271,'DRE + DCF'!$N$36:$V$36/N3271:V3271,F3271/V3271)/Dashboard!$F$11</f>
        <v>34.888626548769423</v>
      </c>
      <c r="F3271" s="359">
        <f t="shared" si="3301"/>
        <v>6368002.3374202093</v>
      </c>
      <c r="G3271" s="359">
        <f>'DRE + DCF'!$W$31</f>
        <v>2791623.3540418856</v>
      </c>
      <c r="H3271" s="359">
        <f>'DRE + DCF'!$W$32</f>
        <v>81081.931703745853</v>
      </c>
      <c r="I3271" s="359">
        <f>-H3271*('DRE + DCF'!$V$33+K3271)/'DRE + DCF'!$V$33</f>
        <v>-90858.801614444121</v>
      </c>
      <c r="J3271" s="359">
        <f>-'DRE + DCF'!$V$56*L3271</f>
        <v>-1188924.4255577971</v>
      </c>
      <c r="K3271" s="360">
        <f>(1+L3271)/(1+Ke!$O$12)-1</f>
        <v>2.0000000000000018E-2</v>
      </c>
      <c r="L3271" s="360">
        <f>'DRE + DCF'!$Y$31</f>
        <v>7.3550000000000004E-2</v>
      </c>
      <c r="M3271" s="361">
        <f>(1+D3271)^((5-Dashboard!$F$9)*3/12)</f>
        <v>1.2869483761242011</v>
      </c>
      <c r="N3271" s="361">
        <f t="shared" ref="N3271:V3271" si="3360">M3271*(1+$D3271)</f>
        <v>1.8015346843174258</v>
      </c>
      <c r="O3271" s="361">
        <f t="shared" si="3360"/>
        <v>2.5218783278416965</v>
      </c>
      <c r="P3271" s="361">
        <f t="shared" si="3360"/>
        <v>3.530251377229126</v>
      </c>
      <c r="Q3271" s="361">
        <f t="shared" si="3360"/>
        <v>4.9418223904140905</v>
      </c>
      <c r="R3271" s="361">
        <f t="shared" si="3360"/>
        <v>6.9178100732210224</v>
      </c>
      <c r="S3271" s="361">
        <f t="shared" si="3360"/>
        <v>9.6838964309982494</v>
      </c>
      <c r="T3271" s="361">
        <f t="shared" si="3360"/>
        <v>13.55600241893262</v>
      </c>
      <c r="U3271" s="361">
        <f t="shared" si="3360"/>
        <v>18.976369986142437</v>
      </c>
      <c r="V3271" s="362">
        <f t="shared" si="3360"/>
        <v>26.564071525100942</v>
      </c>
      <c r="X3271" s="351"/>
    </row>
    <row r="3272" spans="3:24" ht="24.75" customHeight="1" x14ac:dyDescent="0.3">
      <c r="C3272" s="353">
        <f>ABS(E3272-Dashboard!$F$14)</f>
        <v>62.114021281622598</v>
      </c>
      <c r="D3272" s="350">
        <f t="shared" si="3303"/>
        <v>0.39994999999997122</v>
      </c>
      <c r="E3272" s="359" cm="1">
        <f t="array" ref="E3272">1000*SUM('DRE + DCF'!$L$36/M3272,'DRE + DCF'!$N$36:$V$36/N3272:V3272,F3272/V3272)/Dashboard!$F$11</f>
        <v>34.875978718377397</v>
      </c>
      <c r="F3272" s="359">
        <f t="shared" si="3301"/>
        <v>6366262.50035288</v>
      </c>
      <c r="G3272" s="359">
        <f>'DRE + DCF'!$W$31</f>
        <v>2791623.3540418856</v>
      </c>
      <c r="H3272" s="359">
        <f>'DRE + DCF'!$W$32</f>
        <v>81081.931703745853</v>
      </c>
      <c r="I3272" s="359">
        <f>-H3272*('DRE + DCF'!$V$33+K3272)/'DRE + DCF'!$V$33</f>
        <v>-90858.801614444121</v>
      </c>
      <c r="J3272" s="359">
        <f>-'DRE + DCF'!$V$56*L3272</f>
        <v>-1188924.4255577971</v>
      </c>
      <c r="K3272" s="360">
        <f>(1+L3272)/(1+Ke!$O$12)-1</f>
        <v>2.0000000000000018E-2</v>
      </c>
      <c r="L3272" s="360">
        <f>'DRE + DCF'!$Y$31</f>
        <v>7.3550000000000004E-2</v>
      </c>
      <c r="M3272" s="361">
        <f>(1+D3272)^((5-Dashboard!$F$9)*3/12)</f>
        <v>1.2870173265591383</v>
      </c>
      <c r="N3272" s="361">
        <f t="shared" ref="N3272:V3272" si="3361">M3272*(1+$D3272)</f>
        <v>1.8017599063164285</v>
      </c>
      <c r="O3272" s="361">
        <f t="shared" si="3361"/>
        <v>2.5223737808476319</v>
      </c>
      <c r="P3272" s="361">
        <f t="shared" si="3361"/>
        <v>3.5311971744975694</v>
      </c>
      <c r="Q3272" s="361">
        <f t="shared" si="3361"/>
        <v>4.9434994844377709</v>
      </c>
      <c r="R3272" s="361">
        <f t="shared" si="3361"/>
        <v>6.9206521032385151</v>
      </c>
      <c r="S3272" s="361">
        <f t="shared" si="3361"/>
        <v>9.6885669119285591</v>
      </c>
      <c r="T3272" s="361">
        <f t="shared" si="3361"/>
        <v>13.563509248354107</v>
      </c>
      <c r="U3272" s="361">
        <f t="shared" si="3361"/>
        <v>18.988234772232939</v>
      </c>
      <c r="V3272" s="362">
        <f t="shared" si="3361"/>
        <v>26.582579269386954</v>
      </c>
      <c r="X3272" s="351"/>
    </row>
    <row r="3273" spans="3:24" ht="24.75" customHeight="1" x14ac:dyDescent="0.3">
      <c r="C3273" s="353">
        <f>ABS(E3273-Dashboard!$F$14)</f>
        <v>62.126660580220012</v>
      </c>
      <c r="D3273" s="350">
        <f t="shared" si="3303"/>
        <v>0.40004999999997121</v>
      </c>
      <c r="E3273" s="359" cm="1">
        <f t="array" ref="E3273">1000*SUM('DRE + DCF'!$L$36/M3273,'DRE + DCF'!$N$36:$V$36/N3273:V3273,F3273/V3273)/Dashboard!$F$11</f>
        <v>34.863339419779983</v>
      </c>
      <c r="F3273" s="359">
        <f t="shared" si="3301"/>
        <v>6364523.6235091742</v>
      </c>
      <c r="G3273" s="359">
        <f>'DRE + DCF'!$W$31</f>
        <v>2791623.3540418856</v>
      </c>
      <c r="H3273" s="359">
        <f>'DRE + DCF'!$W$32</f>
        <v>81081.931703745853</v>
      </c>
      <c r="I3273" s="359">
        <f>-H3273*('DRE + DCF'!$V$33+K3273)/'DRE + DCF'!$V$33</f>
        <v>-90858.801614444121</v>
      </c>
      <c r="J3273" s="359">
        <f>-'DRE + DCF'!$V$56*L3273</f>
        <v>-1188924.4255577971</v>
      </c>
      <c r="K3273" s="360">
        <f>(1+L3273)/(1+Ke!$O$12)-1</f>
        <v>2.0000000000000018E-2</v>
      </c>
      <c r="L3273" s="360">
        <f>'DRE + DCF'!$Y$31</f>
        <v>7.3550000000000004E-2</v>
      </c>
      <c r="M3273" s="361">
        <f>(1+D3273)^((5-Dashboard!$F$9)*3/12)</f>
        <v>1.2870862757627848</v>
      </c>
      <c r="N3273" s="361">
        <f t="shared" ref="N3273:V3273" si="3362">M3273*(1+$D3273)</f>
        <v>1.8019851403816498</v>
      </c>
      <c r="O3273" s="361">
        <f t="shared" si="3362"/>
        <v>2.5228692957912768</v>
      </c>
      <c r="P3273" s="361">
        <f t="shared" si="3362"/>
        <v>3.5321431575725044</v>
      </c>
      <c r="Q3273" s="361">
        <f t="shared" si="3362"/>
        <v>4.945177027759283</v>
      </c>
      <c r="R3273" s="361">
        <f t="shared" si="3362"/>
        <v>6.9234950977142411</v>
      </c>
      <c r="S3273" s="361">
        <f t="shared" si="3362"/>
        <v>9.693239311554624</v>
      </c>
      <c r="T3273" s="361">
        <f t="shared" si="3362"/>
        <v>13.571019698141772</v>
      </c>
      <c r="U3273" s="361">
        <f t="shared" si="3362"/>
        <v>19.000106128382996</v>
      </c>
      <c r="V3273" s="362">
        <f t="shared" si="3362"/>
        <v>26.601098585042063</v>
      </c>
      <c r="X3273" s="351"/>
    </row>
    <row r="3274" spans="3:24" ht="24.75" customHeight="1" x14ac:dyDescent="0.3">
      <c r="C3274" s="353">
        <f>ABS(E3274-Dashboard!$F$14)</f>
        <v>62.139291355105328</v>
      </c>
      <c r="D3274" s="350">
        <f t="shared" si="3303"/>
        <v>0.4001499999999712</v>
      </c>
      <c r="E3274" s="359" cm="1">
        <f t="array" ref="E3274">1000*SUM('DRE + DCF'!$L$36/M3274,'DRE + DCF'!$N$36:$V$36/N3274:V3274,F3274/V3274)/Dashboard!$F$11</f>
        <v>34.850708644894667</v>
      </c>
      <c r="F3274" s="359">
        <f t="shared" si="3301"/>
        <v>6362785.7060861643</v>
      </c>
      <c r="G3274" s="359">
        <f>'DRE + DCF'!$W$31</f>
        <v>2791623.3540418856</v>
      </c>
      <c r="H3274" s="359">
        <f>'DRE + DCF'!$W$32</f>
        <v>81081.931703745853</v>
      </c>
      <c r="I3274" s="359">
        <f>-H3274*('DRE + DCF'!$V$33+K3274)/'DRE + DCF'!$V$33</f>
        <v>-90858.801614444121</v>
      </c>
      <c r="J3274" s="359">
        <f>-'DRE + DCF'!$V$56*L3274</f>
        <v>-1188924.4255577971</v>
      </c>
      <c r="K3274" s="360">
        <f>(1+L3274)/(1+Ke!$O$12)-1</f>
        <v>2.0000000000000018E-2</v>
      </c>
      <c r="L3274" s="360">
        <f>'DRE + DCF'!$Y$31</f>
        <v>7.3550000000000004E-2</v>
      </c>
      <c r="M3274" s="361">
        <f>(1+D3274)^((5-Dashboard!$F$9)*3/12)</f>
        <v>1.2871552237352504</v>
      </c>
      <c r="N3274" s="361">
        <f t="shared" ref="N3274:V3274" si="3363">M3274*(1+$D3274)</f>
        <v>1.8022103865128736</v>
      </c>
      <c r="O3274" s="361">
        <f t="shared" si="3363"/>
        <v>2.5233648726759479</v>
      </c>
      <c r="P3274" s="361">
        <f t="shared" si="3363"/>
        <v>3.5330893264771555</v>
      </c>
      <c r="Q3274" s="361">
        <f t="shared" si="3363"/>
        <v>4.9468550204668871</v>
      </c>
      <c r="R3274" s="361">
        <f t="shared" si="3363"/>
        <v>6.9263390569065688</v>
      </c>
      <c r="S3274" s="361">
        <f t="shared" si="3363"/>
        <v>9.6979136305275322</v>
      </c>
      <c r="T3274" s="361">
        <f t="shared" si="3363"/>
        <v>13.578533769782844</v>
      </c>
      <c r="U3274" s="361">
        <f t="shared" si="3363"/>
        <v>19.011984057761058</v>
      </c>
      <c r="V3274" s="362">
        <f t="shared" si="3363"/>
        <v>26.619629478473598</v>
      </c>
      <c r="X3274" s="351"/>
    </row>
    <row r="3275" spans="3:24" ht="24.75" customHeight="1" x14ac:dyDescent="0.3">
      <c r="C3275" s="353">
        <f>ABS(E3275-Dashboard!$F$14)</f>
        <v>62.151913614351336</v>
      </c>
      <c r="D3275" s="350">
        <f t="shared" si="3303"/>
        <v>0.40024999999997118</v>
      </c>
      <c r="E3275" s="359" cm="1">
        <f t="array" ref="E3275">1000*SUM('DRE + DCF'!$L$36/M3275,'DRE + DCF'!$N$36:$V$36/N3275:V3275,F3275/V3275)/Dashboard!$F$11</f>
        <v>34.838086385648658</v>
      </c>
      <c r="F3275" s="359">
        <f t="shared" si="3301"/>
        <v>6361048.747281827</v>
      </c>
      <c r="G3275" s="359">
        <f>'DRE + DCF'!$W$31</f>
        <v>2791623.3540418856</v>
      </c>
      <c r="H3275" s="359">
        <f>'DRE + DCF'!$W$32</f>
        <v>81081.931703745853</v>
      </c>
      <c r="I3275" s="359">
        <f>-H3275*('DRE + DCF'!$V$33+K3275)/'DRE + DCF'!$V$33</f>
        <v>-90858.801614444121</v>
      </c>
      <c r="J3275" s="359">
        <f>-'DRE + DCF'!$V$56*L3275</f>
        <v>-1188924.4255577971</v>
      </c>
      <c r="K3275" s="360">
        <f>(1+L3275)/(1+Ke!$O$12)-1</f>
        <v>2.0000000000000018E-2</v>
      </c>
      <c r="L3275" s="360">
        <f>'DRE + DCF'!$Y$31</f>
        <v>7.3550000000000004E-2</v>
      </c>
      <c r="M3275" s="361">
        <f>(1+D3275)^((5-Dashboard!$F$9)*3/12)</f>
        <v>1.2872241704766452</v>
      </c>
      <c r="N3275" s="361">
        <f t="shared" ref="N3275:V3275" si="3364">M3275*(1+$D3275)</f>
        <v>1.8024356447098853</v>
      </c>
      <c r="O3275" s="361">
        <f t="shared" si="3364"/>
        <v>2.5238605115049646</v>
      </c>
      <c r="P3275" s="361">
        <f t="shared" si="3364"/>
        <v>3.5340356812347538</v>
      </c>
      <c r="Q3275" s="361">
        <f t="shared" si="3364"/>
        <v>4.9485334626488617</v>
      </c>
      <c r="R3275" s="361">
        <f t="shared" si="3364"/>
        <v>6.9291839810739262</v>
      </c>
      <c r="S3275" s="361">
        <f t="shared" si="3364"/>
        <v>9.7025898694985653</v>
      </c>
      <c r="T3275" s="361">
        <f t="shared" si="3364"/>
        <v>13.586051464765086</v>
      </c>
      <c r="U3275" s="361">
        <f t="shared" si="3364"/>
        <v>19.023868563536919</v>
      </c>
      <c r="V3275" s="362">
        <f t="shared" si="3364"/>
        <v>26.63817195609202</v>
      </c>
      <c r="X3275" s="351"/>
    </row>
    <row r="3276" spans="3:24" ht="24.75" customHeight="1" x14ac:dyDescent="0.3">
      <c r="C3276" s="353">
        <f>ABS(E3276-Dashboard!$F$14)</f>
        <v>62.164527366021062</v>
      </c>
      <c r="D3276" s="350">
        <f t="shared" si="3303"/>
        <v>0.40034999999997117</v>
      </c>
      <c r="E3276" s="359" cm="1">
        <f t="array" ref="E3276">1000*SUM('DRE + DCF'!$L$36/M3276,'DRE + DCF'!$N$36:$V$36/N3276:V3276,F3276/V3276)/Dashboard!$F$11</f>
        <v>34.825472633978933</v>
      </c>
      <c r="F3276" s="359">
        <f t="shared" si="3301"/>
        <v>6359312.7462950423</v>
      </c>
      <c r="G3276" s="359">
        <f>'DRE + DCF'!$W$31</f>
        <v>2791623.3540418856</v>
      </c>
      <c r="H3276" s="359">
        <f>'DRE + DCF'!$W$32</f>
        <v>81081.931703745853</v>
      </c>
      <c r="I3276" s="359">
        <f>-H3276*('DRE + DCF'!$V$33+K3276)/'DRE + DCF'!$V$33</f>
        <v>-90858.801614444121</v>
      </c>
      <c r="J3276" s="359">
        <f>-'DRE + DCF'!$V$56*L3276</f>
        <v>-1188924.4255577971</v>
      </c>
      <c r="K3276" s="360">
        <f>(1+L3276)/(1+Ke!$O$12)-1</f>
        <v>2.0000000000000018E-2</v>
      </c>
      <c r="L3276" s="360">
        <f>'DRE + DCF'!$Y$31</f>
        <v>7.3550000000000004E-2</v>
      </c>
      <c r="M3276" s="361">
        <f>(1+D3276)^((5-Dashboard!$F$9)*3/12)</f>
        <v>1.2872931159870789</v>
      </c>
      <c r="N3276" s="361">
        <f t="shared" ref="N3276:V3276" si="3365">M3276*(1+$D3276)</f>
        <v>1.8026609149724686</v>
      </c>
      <c r="O3276" s="361">
        <f t="shared" si="3365"/>
        <v>2.5243562122816443</v>
      </c>
      <c r="P3276" s="361">
        <f t="shared" si="3365"/>
        <v>3.5349822218685278</v>
      </c>
      <c r="Q3276" s="361">
        <f t="shared" si="3365"/>
        <v>4.9502123543934911</v>
      </c>
      <c r="R3276" s="361">
        <f t="shared" si="3365"/>
        <v>6.932029870474782</v>
      </c>
      <c r="S3276" s="361">
        <f t="shared" si="3365"/>
        <v>9.7072680291191613</v>
      </c>
      <c r="T3276" s="361">
        <f t="shared" si="3365"/>
        <v>13.593572784576738</v>
      </c>
      <c r="U3276" s="361">
        <f t="shared" si="3365"/>
        <v>19.035759648881641</v>
      </c>
      <c r="V3276" s="362">
        <f t="shared" si="3365"/>
        <v>26.656726024310856</v>
      </c>
      <c r="X3276" s="351"/>
    </row>
    <row r="3277" spans="3:24" ht="24.75" customHeight="1" x14ac:dyDescent="0.3">
      <c r="C3277" s="353">
        <f>ABS(E3277-Dashboard!$F$14)</f>
        <v>62.177132618167839</v>
      </c>
      <c r="D3277" s="350">
        <f t="shared" si="3303"/>
        <v>0.40044999999997116</v>
      </c>
      <c r="E3277" s="359" cm="1">
        <f t="array" ref="E3277">1000*SUM('DRE + DCF'!$L$36/M3277,'DRE + DCF'!$N$36:$V$36/N3277:V3277,F3277/V3277)/Dashboard!$F$11</f>
        <v>34.812867381832156</v>
      </c>
      <c r="F3277" s="359">
        <f t="shared" si="3301"/>
        <v>6357577.70232559</v>
      </c>
      <c r="G3277" s="359">
        <f>'DRE + DCF'!$W$31</f>
        <v>2791623.3540418856</v>
      </c>
      <c r="H3277" s="359">
        <f>'DRE + DCF'!$W$32</f>
        <v>81081.931703745853</v>
      </c>
      <c r="I3277" s="359">
        <f>-H3277*('DRE + DCF'!$V$33+K3277)/'DRE + DCF'!$V$33</f>
        <v>-90858.801614444121</v>
      </c>
      <c r="J3277" s="359">
        <f>-'DRE + DCF'!$V$56*L3277</f>
        <v>-1188924.4255577971</v>
      </c>
      <c r="K3277" s="360">
        <f>(1+L3277)/(1+Ke!$O$12)-1</f>
        <v>2.0000000000000018E-2</v>
      </c>
      <c r="L3277" s="360">
        <f>'DRE + DCF'!$Y$31</f>
        <v>7.3550000000000004E-2</v>
      </c>
      <c r="M3277" s="361">
        <f>(1+D3277)^((5-Dashboard!$F$9)*3/12)</f>
        <v>1.2873620602666613</v>
      </c>
      <c r="N3277" s="361">
        <f t="shared" ref="N3277:V3277" si="3366">M3277*(1+$D3277)</f>
        <v>1.8028861973004087</v>
      </c>
      <c r="O3277" s="361">
        <f t="shared" si="3366"/>
        <v>2.5248519750093052</v>
      </c>
      <c r="P3277" s="361">
        <f t="shared" si="3366"/>
        <v>3.5359289484017085</v>
      </c>
      <c r="Q3277" s="361">
        <f t="shared" si="3366"/>
        <v>4.9518916957890706</v>
      </c>
      <c r="R3277" s="361">
        <f t="shared" si="3366"/>
        <v>6.9348767253676611</v>
      </c>
      <c r="S3277" s="361">
        <f t="shared" si="3366"/>
        <v>9.7119481100409413</v>
      </c>
      <c r="T3277" s="361">
        <f t="shared" si="3366"/>
        <v>13.601097730706556</v>
      </c>
      <c r="U3277" s="361">
        <f t="shared" si="3366"/>
        <v>19.047657316967602</v>
      </c>
      <c r="V3277" s="362">
        <f t="shared" si="3366"/>
        <v>26.675291689546729</v>
      </c>
      <c r="X3277" s="351"/>
    </row>
    <row r="3278" spans="3:24" ht="24.75" customHeight="1" x14ac:dyDescent="0.3">
      <c r="C3278" s="353">
        <f>ABS(E3278-Dashboard!$F$14)</f>
        <v>62.189729378835281</v>
      </c>
      <c r="D3278" s="350">
        <f t="shared" si="3303"/>
        <v>0.40054999999997115</v>
      </c>
      <c r="E3278" s="359" cm="1">
        <f t="array" ref="E3278">1000*SUM('DRE + DCF'!$L$36/M3278,'DRE + DCF'!$N$36:$V$36/N3278:V3278,F3278/V3278)/Dashboard!$F$11</f>
        <v>34.800270621164714</v>
      </c>
      <c r="F3278" s="359">
        <f t="shared" ref="F3278:F3341" si="3367">AVERAGE(SUM(G3278:J3278)*(1+L3278)/(D3278-L3278),G3278*(1+L3278)*(1-L3278/D3278)/(D3278-L3278))</f>
        <v>6355843.614574153</v>
      </c>
      <c r="G3278" s="359">
        <f>'DRE + DCF'!$W$31</f>
        <v>2791623.3540418856</v>
      </c>
      <c r="H3278" s="359">
        <f>'DRE + DCF'!$W$32</f>
        <v>81081.931703745853</v>
      </c>
      <c r="I3278" s="359">
        <f>-H3278*('DRE + DCF'!$V$33+K3278)/'DRE + DCF'!$V$33</f>
        <v>-90858.801614444121</v>
      </c>
      <c r="J3278" s="359">
        <f>-'DRE + DCF'!$V$56*L3278</f>
        <v>-1188924.4255577971</v>
      </c>
      <c r="K3278" s="360">
        <f>(1+L3278)/(1+Ke!$O$12)-1</f>
        <v>2.0000000000000018E-2</v>
      </c>
      <c r="L3278" s="360">
        <f>'DRE + DCF'!$Y$31</f>
        <v>7.3550000000000004E-2</v>
      </c>
      <c r="M3278" s="361">
        <f>(1+D3278)^((5-Dashboard!$F$9)*3/12)</f>
        <v>1.2874310033155028</v>
      </c>
      <c r="N3278" s="361">
        <f t="shared" ref="N3278:V3278" si="3368">M3278*(1+$D3278)</f>
        <v>1.8031114916934903</v>
      </c>
      <c r="O3278" s="361">
        <f t="shared" si="3368"/>
        <v>2.5253477996912657</v>
      </c>
      <c r="P3278" s="361">
        <f t="shared" si="3368"/>
        <v>3.536875860857529</v>
      </c>
      <c r="Q3278" s="361">
        <f t="shared" si="3368"/>
        <v>4.9535714869239102</v>
      </c>
      <c r="R3278" s="361">
        <f t="shared" si="3368"/>
        <v>6.9377245460111396</v>
      </c>
      <c r="S3278" s="361">
        <f t="shared" si="3368"/>
        <v>9.7166301129157002</v>
      </c>
      <c r="T3278" s="361">
        <f t="shared" si="3368"/>
        <v>13.608626304643803</v>
      </c>
      <c r="U3278" s="361">
        <f t="shared" si="3368"/>
        <v>19.059561570968484</v>
      </c>
      <c r="V3278" s="362">
        <f t="shared" si="3368"/>
        <v>26.693868958219358</v>
      </c>
      <c r="X3278" s="351"/>
    </row>
    <row r="3279" spans="3:24" ht="24.75" customHeight="1" x14ac:dyDescent="0.3">
      <c r="C3279" s="353">
        <f>ABS(E3279-Dashboard!$F$14)</f>
        <v>62.202317656057325</v>
      </c>
      <c r="D3279" s="350">
        <f t="shared" ref="D3279:D3342" si="3369">D3278+0.0001</f>
        <v>0.40064999999997114</v>
      </c>
      <c r="E3279" s="359" cm="1">
        <f t="array" ref="E3279">1000*SUM('DRE + DCF'!$L$36/M3279,'DRE + DCF'!$N$36:$V$36/N3279:V3279,F3279/V3279)/Dashboard!$F$11</f>
        <v>34.78768234394267</v>
      </c>
      <c r="F3279" s="359">
        <f t="shared" si="3367"/>
        <v>6354110.4822423123</v>
      </c>
      <c r="G3279" s="359">
        <f>'DRE + DCF'!$W$31</f>
        <v>2791623.3540418856</v>
      </c>
      <c r="H3279" s="359">
        <f>'DRE + DCF'!$W$32</f>
        <v>81081.931703745853</v>
      </c>
      <c r="I3279" s="359">
        <f>-H3279*('DRE + DCF'!$V$33+K3279)/'DRE + DCF'!$V$33</f>
        <v>-90858.801614444121</v>
      </c>
      <c r="J3279" s="359">
        <f>-'DRE + DCF'!$V$56*L3279</f>
        <v>-1188924.4255577971</v>
      </c>
      <c r="K3279" s="360">
        <f>(1+L3279)/(1+Ke!$O$12)-1</f>
        <v>2.0000000000000018E-2</v>
      </c>
      <c r="L3279" s="360">
        <f>'DRE + DCF'!$Y$31</f>
        <v>7.3550000000000004E-2</v>
      </c>
      <c r="M3279" s="361">
        <f>(1+D3279)^((5-Dashboard!$F$9)*3/12)</f>
        <v>1.2874999451337126</v>
      </c>
      <c r="N3279" s="361">
        <f t="shared" ref="N3279:V3279" si="3370">M3279*(1+$D3279)</f>
        <v>1.8033367981514974</v>
      </c>
      <c r="O3279" s="361">
        <f t="shared" si="3370"/>
        <v>2.5258436863308429</v>
      </c>
      <c r="P3279" s="361">
        <f t="shared" si="3370"/>
        <v>3.5378229592592221</v>
      </c>
      <c r="Q3279" s="361">
        <f t="shared" si="3370"/>
        <v>4.9552517278863268</v>
      </c>
      <c r="R3279" s="361">
        <f t="shared" si="3370"/>
        <v>6.9405733326638401</v>
      </c>
      <c r="S3279" s="361">
        <f t="shared" si="3370"/>
        <v>9.7213140383954073</v>
      </c>
      <c r="T3279" s="361">
        <f t="shared" si="3370"/>
        <v>13.616158507878247</v>
      </c>
      <c r="U3279" s="361">
        <f t="shared" si="3370"/>
        <v>19.071472414059272</v>
      </c>
      <c r="V3279" s="362">
        <f t="shared" si="3370"/>
        <v>26.712457836751568</v>
      </c>
      <c r="X3279" s="351"/>
    </row>
    <row r="3280" spans="3:24" ht="24.75" customHeight="1" x14ac:dyDescent="0.3">
      <c r="C3280" s="353">
        <f>ABS(E3280-Dashboard!$F$14)</f>
        <v>62.214897457858214</v>
      </c>
      <c r="D3280" s="350">
        <f t="shared" si="3369"/>
        <v>0.40074999999997113</v>
      </c>
      <c r="E3280" s="359" cm="1">
        <f t="array" ref="E3280">1000*SUM('DRE + DCF'!$L$36/M3280,'DRE + DCF'!$N$36:$V$36/N3280:V3280,F3280/V3280)/Dashboard!$F$11</f>
        <v>34.775102542141781</v>
      </c>
      <c r="F3280" s="359">
        <f t="shared" si="3367"/>
        <v>6352378.3045325447</v>
      </c>
      <c r="G3280" s="359">
        <f>'DRE + DCF'!$W$31</f>
        <v>2791623.3540418856</v>
      </c>
      <c r="H3280" s="359">
        <f>'DRE + DCF'!$W$32</f>
        <v>81081.931703745853</v>
      </c>
      <c r="I3280" s="359">
        <f>-H3280*('DRE + DCF'!$V$33+K3280)/'DRE + DCF'!$V$33</f>
        <v>-90858.801614444121</v>
      </c>
      <c r="J3280" s="359">
        <f>-'DRE + DCF'!$V$56*L3280</f>
        <v>-1188924.4255577971</v>
      </c>
      <c r="K3280" s="360">
        <f>(1+L3280)/(1+Ke!$O$12)-1</f>
        <v>2.0000000000000018E-2</v>
      </c>
      <c r="L3280" s="360">
        <f>'DRE + DCF'!$Y$31</f>
        <v>7.3550000000000004E-2</v>
      </c>
      <c r="M3280" s="361">
        <f>(1+D3280)^((5-Dashboard!$F$9)*3/12)</f>
        <v>1.2875688857214009</v>
      </c>
      <c r="N3280" s="361">
        <f t="shared" ref="N3280:V3280" si="3371">M3280*(1+$D3280)</f>
        <v>1.8035621166742151</v>
      </c>
      <c r="O3280" s="361">
        <f t="shared" si="3371"/>
        <v>2.5263396349313547</v>
      </c>
      <c r="P3280" s="361">
        <f t="shared" si="3371"/>
        <v>3.5387702436300219</v>
      </c>
      <c r="Q3280" s="361">
        <f t="shared" si="3371"/>
        <v>4.9569324187646506</v>
      </c>
      <c r="R3280" s="361">
        <f t="shared" si="3371"/>
        <v>6.943423085584441</v>
      </c>
      <c r="S3280" s="361">
        <f t="shared" si="3371"/>
        <v>9.7259998871322058</v>
      </c>
      <c r="T3280" s="361">
        <f t="shared" si="3371"/>
        <v>13.623694341900157</v>
      </c>
      <c r="U3280" s="361">
        <f t="shared" si="3371"/>
        <v>19.08338984941625</v>
      </c>
      <c r="V3280" s="362">
        <f t="shared" si="3371"/>
        <v>26.731058331569258</v>
      </c>
      <c r="X3280" s="351"/>
    </row>
    <row r="3281" spans="3:24" ht="24.75" customHeight="1" x14ac:dyDescent="0.3">
      <c r="C3281" s="353">
        <f>ABS(E3281-Dashboard!$F$14)</f>
        <v>62.227468792252552</v>
      </c>
      <c r="D3281" s="350">
        <f t="shared" si="3369"/>
        <v>0.40084999999997112</v>
      </c>
      <c r="E3281" s="359" cm="1">
        <f t="array" ref="E3281">1000*SUM('DRE + DCF'!$L$36/M3281,'DRE + DCF'!$N$36:$V$36/N3281:V3281,F3281/V3281)/Dashboard!$F$11</f>
        <v>34.762531207747443</v>
      </c>
      <c r="F3281" s="359">
        <f t="shared" si="3367"/>
        <v>6350647.0806482257</v>
      </c>
      <c r="G3281" s="359">
        <f>'DRE + DCF'!$W$31</f>
        <v>2791623.3540418856</v>
      </c>
      <c r="H3281" s="359">
        <f>'DRE + DCF'!$W$32</f>
        <v>81081.931703745853</v>
      </c>
      <c r="I3281" s="359">
        <f>-H3281*('DRE + DCF'!$V$33+K3281)/'DRE + DCF'!$V$33</f>
        <v>-90858.801614444121</v>
      </c>
      <c r="J3281" s="359">
        <f>-'DRE + DCF'!$V$56*L3281</f>
        <v>-1188924.4255577971</v>
      </c>
      <c r="K3281" s="360">
        <f>(1+L3281)/(1+Ke!$O$12)-1</f>
        <v>2.0000000000000018E-2</v>
      </c>
      <c r="L3281" s="360">
        <f>'DRE + DCF'!$Y$31</f>
        <v>7.3550000000000004E-2</v>
      </c>
      <c r="M3281" s="361">
        <f>(1+D3281)^((5-Dashboard!$F$9)*3/12)</f>
        <v>1.2876378250786773</v>
      </c>
      <c r="N3281" s="361">
        <f t="shared" ref="N3281:V3281" si="3372">M3281*(1+$D3281)</f>
        <v>1.8037874472614279</v>
      </c>
      <c r="O3281" s="361">
        <f t="shared" si="3372"/>
        <v>2.5268356454961189</v>
      </c>
      <c r="P3281" s="361">
        <f t="shared" si="3372"/>
        <v>3.539717713993165</v>
      </c>
      <c r="Q3281" s="361">
        <f t="shared" si="3372"/>
        <v>4.9586135596472225</v>
      </c>
      <c r="R3281" s="361">
        <f t="shared" si="3372"/>
        <v>6.9462738050316686</v>
      </c>
      <c r="S3281" s="361">
        <f t="shared" si="3372"/>
        <v>9.7306876597784111</v>
      </c>
      <c r="T3281" s="361">
        <f t="shared" si="3372"/>
        <v>13.631233808200305</v>
      </c>
      <c r="U3281" s="361">
        <f t="shared" si="3372"/>
        <v>19.095313880217002</v>
      </c>
      <c r="V3281" s="362">
        <f t="shared" si="3372"/>
        <v>26.749670449101437</v>
      </c>
      <c r="X3281" s="351"/>
    </row>
    <row r="3282" spans="3:24" ht="24.75" customHeight="1" x14ac:dyDescent="0.3">
      <c r="C3282" s="353">
        <f>ABS(E3282-Dashboard!$F$14)</f>
        <v>62.240031667245283</v>
      </c>
      <c r="D3282" s="350">
        <f t="shared" si="3369"/>
        <v>0.40094999999997111</v>
      </c>
      <c r="E3282" s="359" cm="1">
        <f t="array" ref="E3282">1000*SUM('DRE + DCF'!$L$36/M3282,'DRE + DCF'!$N$36:$V$36/N3282:V3282,F3282/V3282)/Dashboard!$F$11</f>
        <v>34.749968332754712</v>
      </c>
      <c r="F3282" s="359">
        <f t="shared" si="3367"/>
        <v>6348916.809793625</v>
      </c>
      <c r="G3282" s="359">
        <f>'DRE + DCF'!$W$31</f>
        <v>2791623.3540418856</v>
      </c>
      <c r="H3282" s="359">
        <f>'DRE + DCF'!$W$32</f>
        <v>81081.931703745853</v>
      </c>
      <c r="I3282" s="359">
        <f>-H3282*('DRE + DCF'!$V$33+K3282)/'DRE + DCF'!$V$33</f>
        <v>-90858.801614444121</v>
      </c>
      <c r="J3282" s="359">
        <f>-'DRE + DCF'!$V$56*L3282</f>
        <v>-1188924.4255577971</v>
      </c>
      <c r="K3282" s="360">
        <f>(1+L3282)/(1+Ke!$O$12)-1</f>
        <v>2.0000000000000018E-2</v>
      </c>
      <c r="L3282" s="360">
        <f>'DRE + DCF'!$Y$31</f>
        <v>7.3550000000000004E-2</v>
      </c>
      <c r="M3282" s="361">
        <f>(1+D3282)^((5-Dashboard!$F$9)*3/12)</f>
        <v>1.287706763205652</v>
      </c>
      <c r="N3282" s="361">
        <f t="shared" ref="N3282:V3282" si="3373">M3282*(1+$D3282)</f>
        <v>1.804012789912921</v>
      </c>
      <c r="O3282" s="361">
        <f t="shared" si="3373"/>
        <v>2.5273317180284547</v>
      </c>
      <c r="P3282" s="361">
        <f t="shared" si="3373"/>
        <v>3.5406653703718902</v>
      </c>
      <c r="Q3282" s="361">
        <f t="shared" si="3373"/>
        <v>4.9602951506223967</v>
      </c>
      <c r="R3282" s="361">
        <f t="shared" si="3373"/>
        <v>6.9491254912643035</v>
      </c>
      <c r="S3282" s="361">
        <f t="shared" si="3373"/>
        <v>9.7353773569865254</v>
      </c>
      <c r="T3282" s="361">
        <f t="shared" si="3373"/>
        <v>13.638776908269991</v>
      </c>
      <c r="U3282" s="361">
        <f t="shared" si="3373"/>
        <v>19.107244509640449</v>
      </c>
      <c r="V3282" s="362">
        <f t="shared" si="3373"/>
        <v>26.768294195780232</v>
      </c>
      <c r="X3282" s="351"/>
    </row>
    <row r="3283" spans="3:24" ht="24.75" customHeight="1" x14ac:dyDescent="0.3">
      <c r="C3283" s="353">
        <f>ABS(E3283-Dashboard!$F$14)</f>
        <v>62.252586090831713</v>
      </c>
      <c r="D3283" s="350">
        <f t="shared" si="3369"/>
        <v>0.4010499999999711</v>
      </c>
      <c r="E3283" s="359" cm="1">
        <f t="array" ref="E3283">1000*SUM('DRE + DCF'!$L$36/M3283,'DRE + DCF'!$N$36:$V$36/N3283:V3283,F3283/V3283)/Dashboard!$F$11</f>
        <v>34.737413909168282</v>
      </c>
      <c r="F3283" s="359">
        <f t="shared" si="3367"/>
        <v>6347187.4911739044</v>
      </c>
      <c r="G3283" s="359">
        <f>'DRE + DCF'!$W$31</f>
        <v>2791623.3540418856</v>
      </c>
      <c r="H3283" s="359">
        <f>'DRE + DCF'!$W$32</f>
        <v>81081.931703745853</v>
      </c>
      <c r="I3283" s="359">
        <f>-H3283*('DRE + DCF'!$V$33+K3283)/'DRE + DCF'!$V$33</f>
        <v>-90858.801614444121</v>
      </c>
      <c r="J3283" s="359">
        <f>-'DRE + DCF'!$V$56*L3283</f>
        <v>-1188924.4255577971</v>
      </c>
      <c r="K3283" s="360">
        <f>(1+L3283)/(1+Ke!$O$12)-1</f>
        <v>2.0000000000000018E-2</v>
      </c>
      <c r="L3283" s="360">
        <f>'DRE + DCF'!$Y$31</f>
        <v>7.3550000000000004E-2</v>
      </c>
      <c r="M3283" s="361">
        <f>(1+D3283)^((5-Dashboard!$F$9)*3/12)</f>
        <v>1.2877757001024344</v>
      </c>
      <c r="N3283" s="361">
        <f t="shared" ref="N3283:V3283" si="3374">M3283*(1+$D3283)</f>
        <v>1.8042381446284783</v>
      </c>
      <c r="O3283" s="361">
        <f t="shared" si="3374"/>
        <v>2.5278278525316771</v>
      </c>
      <c r="P3283" s="361">
        <f t="shared" si="3374"/>
        <v>3.5416132127894331</v>
      </c>
      <c r="Q3283" s="361">
        <f t="shared" si="3374"/>
        <v>4.9619771917785327</v>
      </c>
      <c r="R3283" s="361">
        <f t="shared" si="3374"/>
        <v>6.9519781445411697</v>
      </c>
      <c r="S3283" s="361">
        <f t="shared" si="3374"/>
        <v>9.7400689794092052</v>
      </c>
      <c r="T3283" s="361">
        <f t="shared" si="3374"/>
        <v>13.646323643600985</v>
      </c>
      <c r="U3283" s="361">
        <f t="shared" si="3374"/>
        <v>19.119181740866765</v>
      </c>
      <c r="V3283" s="362">
        <f t="shared" si="3374"/>
        <v>26.786929578040827</v>
      </c>
      <c r="X3283" s="351"/>
    </row>
    <row r="3284" spans="3:24" ht="24.75" customHeight="1" x14ac:dyDescent="0.3">
      <c r="C3284" s="353">
        <f>ABS(E3284-Dashboard!$F$14)</f>
        <v>62.265132070997545</v>
      </c>
      <c r="D3284" s="350">
        <f t="shared" si="3369"/>
        <v>0.40114999999997109</v>
      </c>
      <c r="E3284" s="359" cm="1">
        <f t="array" ref="E3284">1000*SUM('DRE + DCF'!$L$36/M3284,'DRE + DCF'!$N$36:$V$36/N3284:V3284,F3284/V3284)/Dashboard!$F$11</f>
        <v>34.72486792900245</v>
      </c>
      <c r="F3284" s="359">
        <f t="shared" si="3367"/>
        <v>6345459.1239951206</v>
      </c>
      <c r="G3284" s="359">
        <f>'DRE + DCF'!$W$31</f>
        <v>2791623.3540418856</v>
      </c>
      <c r="H3284" s="359">
        <f>'DRE + DCF'!$W$32</f>
        <v>81081.931703745853</v>
      </c>
      <c r="I3284" s="359">
        <f>-H3284*('DRE + DCF'!$V$33+K3284)/'DRE + DCF'!$V$33</f>
        <v>-90858.801614444121</v>
      </c>
      <c r="J3284" s="359">
        <f>-'DRE + DCF'!$V$56*L3284</f>
        <v>-1188924.4255577971</v>
      </c>
      <c r="K3284" s="360">
        <f>(1+L3284)/(1+Ke!$O$12)-1</f>
        <v>2.0000000000000018E-2</v>
      </c>
      <c r="L3284" s="360">
        <f>'DRE + DCF'!$Y$31</f>
        <v>7.3550000000000004E-2</v>
      </c>
      <c r="M3284" s="361">
        <f>(1+D3284)^((5-Dashboard!$F$9)*3/12)</f>
        <v>1.287844635769134</v>
      </c>
      <c r="N3284" s="361">
        <f t="shared" ref="N3284:V3284" si="3375">M3284*(1+$D3284)</f>
        <v>1.8044635114078849</v>
      </c>
      <c r="O3284" s="361">
        <f t="shared" si="3375"/>
        <v>2.5283240490091057</v>
      </c>
      <c r="P3284" s="361">
        <f t="shared" si="3375"/>
        <v>3.542561241269035</v>
      </c>
      <c r="Q3284" s="361">
        <f t="shared" si="3375"/>
        <v>4.9636596832040061</v>
      </c>
      <c r="R3284" s="361">
        <f t="shared" si="3375"/>
        <v>6.9548317651211491</v>
      </c>
      <c r="S3284" s="361">
        <f t="shared" si="3375"/>
        <v>9.7447625276992973</v>
      </c>
      <c r="T3284" s="361">
        <f t="shared" si="3375"/>
        <v>13.653874015685588</v>
      </c>
      <c r="U3284" s="361">
        <f t="shared" si="3375"/>
        <v>19.131125577077466</v>
      </c>
      <c r="V3284" s="362">
        <f t="shared" si="3375"/>
        <v>26.805576602321537</v>
      </c>
      <c r="X3284" s="351"/>
    </row>
    <row r="3285" spans="3:24" ht="24.75" customHeight="1" x14ac:dyDescent="0.3">
      <c r="C3285" s="353">
        <f>ABS(E3285-Dashboard!$F$14)</f>
        <v>62.277669615718878</v>
      </c>
      <c r="D3285" s="350">
        <f t="shared" si="3369"/>
        <v>0.40124999999997107</v>
      </c>
      <c r="E3285" s="359" cm="1">
        <f t="array" ref="E3285">1000*SUM('DRE + DCF'!$L$36/M3285,'DRE + DCF'!$N$36:$V$36/N3285:V3285,F3285/V3285)/Dashboard!$F$11</f>
        <v>34.712330384281117</v>
      </c>
      <c r="F3285" s="359">
        <f t="shared" si="3367"/>
        <v>6343731.7074642219</v>
      </c>
      <c r="G3285" s="359">
        <f>'DRE + DCF'!$W$31</f>
        <v>2791623.3540418856</v>
      </c>
      <c r="H3285" s="359">
        <f>'DRE + DCF'!$W$32</f>
        <v>81081.931703745853</v>
      </c>
      <c r="I3285" s="359">
        <f>-H3285*('DRE + DCF'!$V$33+K3285)/'DRE + DCF'!$V$33</f>
        <v>-90858.801614444121</v>
      </c>
      <c r="J3285" s="359">
        <f>-'DRE + DCF'!$V$56*L3285</f>
        <v>-1188924.4255577971</v>
      </c>
      <c r="K3285" s="360">
        <f>(1+L3285)/(1+Ke!$O$12)-1</f>
        <v>2.0000000000000018E-2</v>
      </c>
      <c r="L3285" s="360">
        <f>'DRE + DCF'!$Y$31</f>
        <v>7.3550000000000004E-2</v>
      </c>
      <c r="M3285" s="361">
        <f>(1+D3285)^((5-Dashboard!$F$9)*3/12)</f>
        <v>1.2879135702058611</v>
      </c>
      <c r="N3285" s="361">
        <f t="shared" ref="N3285:V3285" si="3376">M3285*(1+$D3285)</f>
        <v>1.8046888902509255</v>
      </c>
      <c r="O3285" s="361">
        <f t="shared" si="3376"/>
        <v>2.5288203074640569</v>
      </c>
      <c r="P3285" s="361">
        <f t="shared" si="3376"/>
        <v>3.5435094558339366</v>
      </c>
      <c r="Q3285" s="361">
        <f t="shared" si="3376"/>
        <v>4.9653426249872012</v>
      </c>
      <c r="R3285" s="361">
        <f t="shared" si="3376"/>
        <v>6.9576863532631714</v>
      </c>
      <c r="S3285" s="361">
        <f t="shared" si="3376"/>
        <v>9.749458002509817</v>
      </c>
      <c r="T3285" s="361">
        <f t="shared" si="3376"/>
        <v>13.661428026016598</v>
      </c>
      <c r="U3285" s="361">
        <f t="shared" si="3376"/>
        <v>19.143076021455361</v>
      </c>
      <c r="V3285" s="362">
        <f t="shared" si="3376"/>
        <v>26.824235275063771</v>
      </c>
      <c r="X3285" s="351"/>
    </row>
    <row r="3286" spans="3:24" ht="24.75" customHeight="1" x14ac:dyDescent="0.3">
      <c r="C3286" s="353">
        <f>ABS(E3286-Dashboard!$F$14)</f>
        <v>62.290198732962189</v>
      </c>
      <c r="D3286" s="350">
        <f t="shared" si="3369"/>
        <v>0.40134999999997106</v>
      </c>
      <c r="E3286" s="359" cm="1">
        <f t="array" ref="E3286">1000*SUM('DRE + DCF'!$L$36/M3286,'DRE + DCF'!$N$36:$V$36/N3286:V3286,F3286/V3286)/Dashboard!$F$11</f>
        <v>34.699801267037806</v>
      </c>
      <c r="F3286" s="359">
        <f t="shared" si="3367"/>
        <v>6342005.2407890446</v>
      </c>
      <c r="G3286" s="359">
        <f>'DRE + DCF'!$W$31</f>
        <v>2791623.3540418856</v>
      </c>
      <c r="H3286" s="359">
        <f>'DRE + DCF'!$W$32</f>
        <v>81081.931703745853</v>
      </c>
      <c r="I3286" s="359">
        <f>-H3286*('DRE + DCF'!$V$33+K3286)/'DRE + DCF'!$V$33</f>
        <v>-90858.801614444121</v>
      </c>
      <c r="J3286" s="359">
        <f>-'DRE + DCF'!$V$56*L3286</f>
        <v>-1188924.4255577971</v>
      </c>
      <c r="K3286" s="360">
        <f>(1+L3286)/(1+Ke!$O$12)-1</f>
        <v>2.0000000000000018E-2</v>
      </c>
      <c r="L3286" s="360">
        <f>'DRE + DCF'!$Y$31</f>
        <v>7.3550000000000004E-2</v>
      </c>
      <c r="M3286" s="361">
        <f>(1+D3286)^((5-Dashboard!$F$9)*3/12)</f>
        <v>1.2879825034127252</v>
      </c>
      <c r="N3286" s="361">
        <f t="shared" ref="N3286:V3286" si="3377">M3286*(1+$D3286)</f>
        <v>1.8049142811573853</v>
      </c>
      <c r="O3286" s="361">
        <f t="shared" si="3377"/>
        <v>2.5293166278998496</v>
      </c>
      <c r="P3286" s="361">
        <f t="shared" si="3377"/>
        <v>3.544457856507381</v>
      </c>
      <c r="Q3286" s="361">
        <f t="shared" si="3377"/>
        <v>4.9670260172165159</v>
      </c>
      <c r="R3286" s="361">
        <f t="shared" si="3377"/>
        <v>6.9605419092262206</v>
      </c>
      <c r="S3286" s="361">
        <f t="shared" si="3377"/>
        <v>9.7541554044939627</v>
      </c>
      <c r="T3286" s="361">
        <f t="shared" si="3377"/>
        <v>13.668985676087331</v>
      </c>
      <c r="U3286" s="361">
        <f t="shared" si="3377"/>
        <v>19.155033077184584</v>
      </c>
      <c r="V3286" s="362">
        <f t="shared" si="3377"/>
        <v>26.842905602712062</v>
      </c>
      <c r="X3286" s="351"/>
    </row>
    <row r="3287" spans="3:24" ht="24.75" customHeight="1" x14ac:dyDescent="0.3">
      <c r="C3287" s="353">
        <f>ABS(E3287-Dashboard!$F$14)</f>
        <v>62.302719430684405</v>
      </c>
      <c r="D3287" s="350">
        <f t="shared" si="3369"/>
        <v>0.40144999999997105</v>
      </c>
      <c r="E3287" s="359" cm="1">
        <f t="array" ref="E3287">1000*SUM('DRE + DCF'!$L$36/M3287,'DRE + DCF'!$N$36:$V$36/N3287:V3287,F3287/V3287)/Dashboard!$F$11</f>
        <v>34.68728056931559</v>
      </c>
      <c r="F3287" s="359">
        <f t="shared" si="3367"/>
        <v>6340279.7231783159</v>
      </c>
      <c r="G3287" s="359">
        <f>'DRE + DCF'!$W$31</f>
        <v>2791623.3540418856</v>
      </c>
      <c r="H3287" s="359">
        <f>'DRE + DCF'!$W$32</f>
        <v>81081.931703745853</v>
      </c>
      <c r="I3287" s="359">
        <f>-H3287*('DRE + DCF'!$V$33+K3287)/'DRE + DCF'!$V$33</f>
        <v>-90858.801614444121</v>
      </c>
      <c r="J3287" s="359">
        <f>-'DRE + DCF'!$V$56*L3287</f>
        <v>-1188924.4255577971</v>
      </c>
      <c r="K3287" s="360">
        <f>(1+L3287)/(1+Ke!$O$12)-1</f>
        <v>2.0000000000000018E-2</v>
      </c>
      <c r="L3287" s="360">
        <f>'DRE + DCF'!$Y$31</f>
        <v>7.3550000000000004E-2</v>
      </c>
      <c r="M3287" s="361">
        <f>(1+D3287)^((5-Dashboard!$F$9)*3/12)</f>
        <v>1.288051435389836</v>
      </c>
      <c r="N3287" s="361">
        <f t="shared" ref="N3287:V3287" si="3378">M3287*(1+$D3287)</f>
        <v>1.8051396841270484</v>
      </c>
      <c r="O3287" s="361">
        <f t="shared" si="3378"/>
        <v>2.5298130103197995</v>
      </c>
      <c r="P3287" s="361">
        <f t="shared" si="3378"/>
        <v>3.5454064433126096</v>
      </c>
      <c r="Q3287" s="361">
        <f t="shared" si="3378"/>
        <v>4.9687098599803541</v>
      </c>
      <c r="R3287" s="361">
        <f t="shared" si="3378"/>
        <v>6.9633984332693233</v>
      </c>
      <c r="S3287" s="361">
        <f t="shared" si="3378"/>
        <v>9.7588547343050909</v>
      </c>
      <c r="T3287" s="361">
        <f t="shared" si="3378"/>
        <v>13.676546967391587</v>
      </c>
      <c r="U3287" s="361">
        <f t="shared" si="3378"/>
        <v>19.166996747450543</v>
      </c>
      <c r="V3287" s="362">
        <f t="shared" si="3378"/>
        <v>26.861587591714009</v>
      </c>
      <c r="X3287" s="351"/>
    </row>
    <row r="3288" spans="3:24" ht="24.75" customHeight="1" x14ac:dyDescent="0.3">
      <c r="C3288" s="353">
        <f>ABS(E3288-Dashboard!$F$14)</f>
        <v>62.315231716832891</v>
      </c>
      <c r="D3288" s="350">
        <f t="shared" si="3369"/>
        <v>0.40154999999997104</v>
      </c>
      <c r="E3288" s="359" cm="1">
        <f t="array" ref="E3288">1000*SUM('DRE + DCF'!$L$36/M3288,'DRE + DCF'!$N$36:$V$36/N3288:V3288,F3288/V3288)/Dashboard!$F$11</f>
        <v>34.674768283167104</v>
      </c>
      <c r="F3288" s="359">
        <f t="shared" si="3367"/>
        <v>6338555.1538416483</v>
      </c>
      <c r="G3288" s="359">
        <f>'DRE + DCF'!$W$31</f>
        <v>2791623.3540418856</v>
      </c>
      <c r="H3288" s="359">
        <f>'DRE + DCF'!$W$32</f>
        <v>81081.931703745853</v>
      </c>
      <c r="I3288" s="359">
        <f>-H3288*('DRE + DCF'!$V$33+K3288)/'DRE + DCF'!$V$33</f>
        <v>-90858.801614444121</v>
      </c>
      <c r="J3288" s="359">
        <f>-'DRE + DCF'!$V$56*L3288</f>
        <v>-1188924.4255577971</v>
      </c>
      <c r="K3288" s="360">
        <f>(1+L3288)/(1+Ke!$O$12)-1</f>
        <v>2.0000000000000018E-2</v>
      </c>
      <c r="L3288" s="360">
        <f>'DRE + DCF'!$Y$31</f>
        <v>7.3550000000000004E-2</v>
      </c>
      <c r="M3288" s="361">
        <f>(1+D3288)^((5-Dashboard!$F$9)*3/12)</f>
        <v>1.2881203661373031</v>
      </c>
      <c r="N3288" s="361">
        <f t="shared" ref="N3288:V3288" si="3379">M3288*(1+$D3288)</f>
        <v>1.8053650991596997</v>
      </c>
      <c r="O3288" s="361">
        <f t="shared" si="3379"/>
        <v>2.5303094547272247</v>
      </c>
      <c r="P3288" s="361">
        <f t="shared" si="3379"/>
        <v>3.5463552162728682</v>
      </c>
      <c r="Q3288" s="361">
        <f t="shared" si="3379"/>
        <v>4.9703941533671356</v>
      </c>
      <c r="R3288" s="361">
        <f t="shared" si="3379"/>
        <v>6.9662559256515646</v>
      </c>
      <c r="S3288" s="361">
        <f t="shared" si="3379"/>
        <v>9.7635559925967481</v>
      </c>
      <c r="T3288" s="361">
        <f t="shared" si="3379"/>
        <v>13.684111901423689</v>
      </c>
      <c r="U3288" s="361">
        <f t="shared" si="3379"/>
        <v>19.178967035439975</v>
      </c>
      <c r="V3288" s="362">
        <f t="shared" si="3379"/>
        <v>26.88028124852034</v>
      </c>
      <c r="X3288" s="351"/>
    </row>
    <row r="3289" spans="3:24" ht="24.75" customHeight="1" x14ac:dyDescent="0.3">
      <c r="C3289" s="353">
        <f>ABS(E3289-Dashboard!$F$14)</f>
        <v>62.327735599345452</v>
      </c>
      <c r="D3289" s="350">
        <f t="shared" si="3369"/>
        <v>0.40164999999997103</v>
      </c>
      <c r="E3289" s="359" cm="1">
        <f t="array" ref="E3289">1000*SUM('DRE + DCF'!$L$36/M3289,'DRE + DCF'!$N$36:$V$36/N3289:V3289,F3289/V3289)/Dashboard!$F$11</f>
        <v>34.662264400654543</v>
      </c>
      <c r="F3289" s="359">
        <f t="shared" si="3367"/>
        <v>6336831.5319895409</v>
      </c>
      <c r="G3289" s="359">
        <f>'DRE + DCF'!$W$31</f>
        <v>2791623.3540418856</v>
      </c>
      <c r="H3289" s="359">
        <f>'DRE + DCF'!$W$32</f>
        <v>81081.931703745853</v>
      </c>
      <c r="I3289" s="359">
        <f>-H3289*('DRE + DCF'!$V$33+K3289)/'DRE + DCF'!$V$33</f>
        <v>-90858.801614444121</v>
      </c>
      <c r="J3289" s="359">
        <f>-'DRE + DCF'!$V$56*L3289</f>
        <v>-1188924.4255577971</v>
      </c>
      <c r="K3289" s="360">
        <f>(1+L3289)/(1+Ke!$O$12)-1</f>
        <v>2.0000000000000018E-2</v>
      </c>
      <c r="L3289" s="360">
        <f>'DRE + DCF'!$Y$31</f>
        <v>7.3550000000000004E-2</v>
      </c>
      <c r="M3289" s="361">
        <f>(1+D3289)^((5-Dashboard!$F$9)*3/12)</f>
        <v>1.2881892956552363</v>
      </c>
      <c r="N3289" s="361">
        <f t="shared" ref="N3289:V3289" si="3380">M3289*(1+$D3289)</f>
        <v>1.8055905262551246</v>
      </c>
      <c r="O3289" s="361">
        <f t="shared" si="3380"/>
        <v>2.5308059611254432</v>
      </c>
      <c r="P3289" s="361">
        <f t="shared" si="3380"/>
        <v>3.5473041754114041</v>
      </c>
      <c r="Q3289" s="361">
        <f t="shared" si="3380"/>
        <v>4.9720788974652912</v>
      </c>
      <c r="R3289" s="361">
        <f t="shared" si="3380"/>
        <v>6.9691143866320813</v>
      </c>
      <c r="S3289" s="361">
        <f t="shared" si="3380"/>
        <v>9.768259180022655</v>
      </c>
      <c r="T3289" s="361">
        <f t="shared" si="3380"/>
        <v>13.691680479678471</v>
      </c>
      <c r="U3289" s="361">
        <f t="shared" si="3380"/>
        <v>19.19094394434093</v>
      </c>
      <c r="V3289" s="362">
        <f t="shared" si="3380"/>
        <v>26.898986579584907</v>
      </c>
      <c r="X3289" s="351"/>
    </row>
    <row r="3290" spans="3:24" ht="24.75" customHeight="1" x14ac:dyDescent="0.3">
      <c r="C3290" s="353">
        <f>ABS(E3290-Dashboard!$F$14)</f>
        <v>62.340231086150368</v>
      </c>
      <c r="D3290" s="350">
        <f t="shared" si="3369"/>
        <v>0.40174999999997102</v>
      </c>
      <c r="E3290" s="359" cm="1">
        <f t="array" ref="E3290">1000*SUM('DRE + DCF'!$L$36/M3290,'DRE + DCF'!$N$36:$V$36/N3290:V3290,F3290/V3290)/Dashboard!$F$11</f>
        <v>34.649768913849627</v>
      </c>
      <c r="F3290" s="359">
        <f t="shared" si="3367"/>
        <v>6335108.8568333816</v>
      </c>
      <c r="G3290" s="359">
        <f>'DRE + DCF'!$W$31</f>
        <v>2791623.3540418856</v>
      </c>
      <c r="H3290" s="359">
        <f>'DRE + DCF'!$W$32</f>
        <v>81081.931703745853</v>
      </c>
      <c r="I3290" s="359">
        <f>-H3290*('DRE + DCF'!$V$33+K3290)/'DRE + DCF'!$V$33</f>
        <v>-90858.801614444121</v>
      </c>
      <c r="J3290" s="359">
        <f>-'DRE + DCF'!$V$56*L3290</f>
        <v>-1188924.4255577971</v>
      </c>
      <c r="K3290" s="360">
        <f>(1+L3290)/(1+Ke!$O$12)-1</f>
        <v>2.0000000000000018E-2</v>
      </c>
      <c r="L3290" s="360">
        <f>'DRE + DCF'!$Y$31</f>
        <v>7.3550000000000004E-2</v>
      </c>
      <c r="M3290" s="361">
        <f>(1+D3290)^((5-Dashboard!$F$9)*3/12)</f>
        <v>1.288258223943745</v>
      </c>
      <c r="N3290" s="361">
        <f t="shared" ref="N3290:V3290" si="3381">M3290*(1+$D3290)</f>
        <v>1.8058159654131072</v>
      </c>
      <c r="O3290" s="361">
        <f t="shared" si="3381"/>
        <v>2.5313025295177707</v>
      </c>
      <c r="P3290" s="361">
        <f t="shared" si="3381"/>
        <v>3.5482533207514617</v>
      </c>
      <c r="Q3290" s="361">
        <f t="shared" si="3381"/>
        <v>4.9737640923632584</v>
      </c>
      <c r="R3290" s="361">
        <f t="shared" si="3381"/>
        <v>6.9719738164700535</v>
      </c>
      <c r="S3290" s="361">
        <f t="shared" si="3381"/>
        <v>9.7729642972366957</v>
      </c>
      <c r="T3290" s="361">
        <f t="shared" si="3381"/>
        <v>13.699252703651254</v>
      </c>
      <c r="U3290" s="361">
        <f t="shared" si="3381"/>
        <v>19.202927477342747</v>
      </c>
      <c r="V3290" s="362">
        <f t="shared" si="3381"/>
        <v>26.917703591364639</v>
      </c>
      <c r="X3290" s="351"/>
    </row>
    <row r="3291" spans="3:24" ht="24.75" customHeight="1" x14ac:dyDescent="0.3">
      <c r="C3291" s="353">
        <f>ABS(E3291-Dashboard!$F$14)</f>
        <v>62.352718185166388</v>
      </c>
      <c r="D3291" s="350">
        <f t="shared" si="3369"/>
        <v>0.40184999999997101</v>
      </c>
      <c r="E3291" s="359" cm="1">
        <f t="array" ref="E3291">1000*SUM('DRE + DCF'!$L$36/M3291,'DRE + DCF'!$N$36:$V$36/N3291:V3291,F3291/V3291)/Dashboard!$F$11</f>
        <v>34.637281814833607</v>
      </c>
      <c r="F3291" s="359">
        <f t="shared" si="3367"/>
        <v>6333387.1275854371</v>
      </c>
      <c r="G3291" s="359">
        <f>'DRE + DCF'!$W$31</f>
        <v>2791623.3540418856</v>
      </c>
      <c r="H3291" s="359">
        <f>'DRE + DCF'!$W$32</f>
        <v>81081.931703745853</v>
      </c>
      <c r="I3291" s="359">
        <f>-H3291*('DRE + DCF'!$V$33+K3291)/'DRE + DCF'!$V$33</f>
        <v>-90858.801614444121</v>
      </c>
      <c r="J3291" s="359">
        <f>-'DRE + DCF'!$V$56*L3291</f>
        <v>-1188924.4255577971</v>
      </c>
      <c r="K3291" s="360">
        <f>(1+L3291)/(1+Ke!$O$12)-1</f>
        <v>2.0000000000000018E-2</v>
      </c>
      <c r="L3291" s="360">
        <f>'DRE + DCF'!$Y$31</f>
        <v>7.3550000000000004E-2</v>
      </c>
      <c r="M3291" s="361">
        <f>(1+D3291)^((5-Dashboard!$F$9)*3/12)</f>
        <v>1.2883271510029393</v>
      </c>
      <c r="N3291" s="361">
        <f t="shared" ref="N3291:V3291" si="3382">M3291*(1+$D3291)</f>
        <v>1.8060414166334331</v>
      </c>
      <c r="O3291" s="361">
        <f t="shared" si="3382"/>
        <v>2.5317991599075258</v>
      </c>
      <c r="P3291" s="361">
        <f t="shared" si="3382"/>
        <v>3.5492026523162914</v>
      </c>
      <c r="Q3291" s="361">
        <f t="shared" si="3382"/>
        <v>4.9754497381494902</v>
      </c>
      <c r="R3291" s="361">
        <f t="shared" si="3382"/>
        <v>6.9748342154247185</v>
      </c>
      <c r="S3291" s="361">
        <f t="shared" si="3382"/>
        <v>9.7776713448929389</v>
      </c>
      <c r="T3291" s="361">
        <f t="shared" si="3382"/>
        <v>13.706828574837882</v>
      </c>
      <c r="U3291" s="361">
        <f t="shared" si="3382"/>
        <v>19.214917637636088</v>
      </c>
      <c r="V3291" s="362">
        <f t="shared" si="3382"/>
        <v>26.936432290319591</v>
      </c>
      <c r="X3291" s="351"/>
    </row>
    <row r="3292" spans="3:24" ht="24.75" customHeight="1" x14ac:dyDescent="0.3">
      <c r="C3292" s="353">
        <f>ABS(E3292-Dashboard!$F$14)</f>
        <v>62.365196904302749</v>
      </c>
      <c r="D3292" s="350">
        <f t="shared" si="3369"/>
        <v>0.401949999999971</v>
      </c>
      <c r="E3292" s="359" cm="1">
        <f t="array" ref="E3292">1000*SUM('DRE + DCF'!$L$36/M3292,'DRE + DCF'!$N$36:$V$36/N3292:V3292,F3292/V3292)/Dashboard!$F$11</f>
        <v>34.624803095697246</v>
      </c>
      <c r="F3292" s="359">
        <f t="shared" si="3367"/>
        <v>6331666.3434588592</v>
      </c>
      <c r="G3292" s="359">
        <f>'DRE + DCF'!$W$31</f>
        <v>2791623.3540418856</v>
      </c>
      <c r="H3292" s="359">
        <f>'DRE + DCF'!$W$32</f>
        <v>81081.931703745853</v>
      </c>
      <c r="I3292" s="359">
        <f>-H3292*('DRE + DCF'!$V$33+K3292)/'DRE + DCF'!$V$33</f>
        <v>-90858.801614444121</v>
      </c>
      <c r="J3292" s="359">
        <f>-'DRE + DCF'!$V$56*L3292</f>
        <v>-1188924.4255577971</v>
      </c>
      <c r="K3292" s="360">
        <f>(1+L3292)/(1+Ke!$O$12)-1</f>
        <v>2.0000000000000018E-2</v>
      </c>
      <c r="L3292" s="360">
        <f>'DRE + DCF'!$Y$31</f>
        <v>7.3550000000000004E-2</v>
      </c>
      <c r="M3292" s="361">
        <f>(1+D3292)^((5-Dashboard!$F$9)*3/12)</f>
        <v>1.2883960768329286</v>
      </c>
      <c r="N3292" s="361">
        <f t="shared" ref="N3292:V3292" si="3383">M3292*(1+$D3292)</f>
        <v>1.8062668799158867</v>
      </c>
      <c r="O3292" s="361">
        <f t="shared" si="3383"/>
        <v>2.532295852298025</v>
      </c>
      <c r="P3292" s="361">
        <f t="shared" si="3383"/>
        <v>3.5501521701291425</v>
      </c>
      <c r="Q3292" s="361">
        <f t="shared" si="3383"/>
        <v>4.9771358349124482</v>
      </c>
      <c r="R3292" s="361">
        <f t="shared" si="3383"/>
        <v>6.977695583755362</v>
      </c>
      <c r="S3292" s="361">
        <f t="shared" si="3383"/>
        <v>9.7823803236456275</v>
      </c>
      <c r="T3292" s="361">
        <f t="shared" si="3383"/>
        <v>13.714408094734702</v>
      </c>
      <c r="U3292" s="361">
        <f t="shared" si="3383"/>
        <v>19.226914428412918</v>
      </c>
      <c r="V3292" s="362">
        <f t="shared" si="3383"/>
        <v>26.955172682912931</v>
      </c>
      <c r="X3292" s="351"/>
    </row>
    <row r="3293" spans="3:24" ht="24.75" customHeight="1" x14ac:dyDescent="0.3">
      <c r="C3293" s="353">
        <f>ABS(E3293-Dashboard!$F$14)</f>
        <v>62.377667251459201</v>
      </c>
      <c r="D3293" s="350">
        <f t="shared" si="3369"/>
        <v>0.40204999999997099</v>
      </c>
      <c r="E3293" s="359" cm="1">
        <f t="array" ref="E3293">1000*SUM('DRE + DCF'!$L$36/M3293,'DRE + DCF'!$N$36:$V$36/N3293:V3293,F3293/V3293)/Dashboard!$F$11</f>
        <v>34.612332748540794</v>
      </c>
      <c r="F3293" s="359">
        <f t="shared" si="3367"/>
        <v>6329946.5036676805</v>
      </c>
      <c r="G3293" s="359">
        <f>'DRE + DCF'!$W$31</f>
        <v>2791623.3540418856</v>
      </c>
      <c r="H3293" s="359">
        <f>'DRE + DCF'!$W$32</f>
        <v>81081.931703745853</v>
      </c>
      <c r="I3293" s="359">
        <f>-H3293*('DRE + DCF'!$V$33+K3293)/'DRE + DCF'!$V$33</f>
        <v>-90858.801614444121</v>
      </c>
      <c r="J3293" s="359">
        <f>-'DRE + DCF'!$V$56*L3293</f>
        <v>-1188924.4255577971</v>
      </c>
      <c r="K3293" s="360">
        <f>(1+L3293)/(1+Ke!$O$12)-1</f>
        <v>2.0000000000000018E-2</v>
      </c>
      <c r="L3293" s="360">
        <f>'DRE + DCF'!$Y$31</f>
        <v>7.3550000000000004E-2</v>
      </c>
      <c r="M3293" s="361">
        <f>(1+D3293)^((5-Dashboard!$F$9)*3/12)</f>
        <v>1.2884650014338221</v>
      </c>
      <c r="N3293" s="361">
        <f t="shared" ref="N3293:V3293" si="3384">M3293*(1+$D3293)</f>
        <v>1.806492355260253</v>
      </c>
      <c r="O3293" s="361">
        <f t="shared" si="3384"/>
        <v>2.5327926066925852</v>
      </c>
      <c r="P3293" s="361">
        <f t="shared" si="3384"/>
        <v>3.5511018742132654</v>
      </c>
      <c r="Q3293" s="361">
        <f t="shared" si="3384"/>
        <v>4.9788223827406055</v>
      </c>
      <c r="R3293" s="361">
        <f t="shared" si="3384"/>
        <v>6.9805579217213216</v>
      </c>
      <c r="S3293" s="361">
        <f t="shared" si="3384"/>
        <v>9.7870912341491767</v>
      </c>
      <c r="T3293" s="361">
        <f t="shared" si="3384"/>
        <v>13.721991264838568</v>
      </c>
      <c r="U3293" s="361">
        <f t="shared" si="3384"/>
        <v>19.238917852866514</v>
      </c>
      <c r="V3293" s="362">
        <f t="shared" si="3384"/>
        <v>26.973924775610936</v>
      </c>
      <c r="X3293" s="351"/>
    </row>
    <row r="3294" spans="3:24" ht="24.75" customHeight="1" x14ac:dyDescent="0.3">
      <c r="C3294" s="353">
        <f>ABS(E3294-Dashboard!$F$14)</f>
        <v>62.390129234526029</v>
      </c>
      <c r="D3294" s="350">
        <f t="shared" si="3369"/>
        <v>0.40214999999997098</v>
      </c>
      <c r="E3294" s="359" cm="1">
        <f t="array" ref="E3294">1000*SUM('DRE + DCF'!$L$36/M3294,'DRE + DCF'!$N$36:$V$36/N3294:V3294,F3294/V3294)/Dashboard!$F$11</f>
        <v>34.599870765473966</v>
      </c>
      <c r="F3294" s="359">
        <f t="shared" si="3367"/>
        <v>6328227.6074268138</v>
      </c>
      <c r="G3294" s="359">
        <f>'DRE + DCF'!$W$31</f>
        <v>2791623.3540418856</v>
      </c>
      <c r="H3294" s="359">
        <f>'DRE + DCF'!$W$32</f>
        <v>81081.931703745853</v>
      </c>
      <c r="I3294" s="359">
        <f>-H3294*('DRE + DCF'!$V$33+K3294)/'DRE + DCF'!$V$33</f>
        <v>-90858.801614444121</v>
      </c>
      <c r="J3294" s="359">
        <f>-'DRE + DCF'!$V$56*L3294</f>
        <v>-1188924.4255577971</v>
      </c>
      <c r="K3294" s="360">
        <f>(1+L3294)/(1+Ke!$O$12)-1</f>
        <v>2.0000000000000018E-2</v>
      </c>
      <c r="L3294" s="360">
        <f>'DRE + DCF'!$Y$31</f>
        <v>7.3550000000000004E-2</v>
      </c>
      <c r="M3294" s="361">
        <f>(1+D3294)^((5-Dashboard!$F$9)*3/12)</f>
        <v>1.2885339248057299</v>
      </c>
      <c r="N3294" s="361">
        <f t="shared" ref="N3294:V3294" si="3385">M3294*(1+$D3294)</f>
        <v>1.8067178426663169</v>
      </c>
      <c r="O3294" s="361">
        <f t="shared" si="3385"/>
        <v>2.5332894230945238</v>
      </c>
      <c r="P3294" s="361">
        <f t="shared" si="3385"/>
        <v>3.552051764591913</v>
      </c>
      <c r="Q3294" s="361">
        <f t="shared" si="3385"/>
        <v>4.9805093817224471</v>
      </c>
      <c r="R3294" s="361">
        <f t="shared" si="3385"/>
        <v>6.9834212295819844</v>
      </c>
      <c r="S3294" s="361">
        <f t="shared" si="3385"/>
        <v>9.7918040770581758</v>
      </c>
      <c r="T3294" s="361">
        <f t="shared" si="3385"/>
        <v>13.729578086646837</v>
      </c>
      <c r="U3294" s="361">
        <f t="shared" si="3385"/>
        <v>19.250927914191465</v>
      </c>
      <c r="V3294" s="362">
        <f t="shared" si="3385"/>
        <v>26.992688574883001</v>
      </c>
      <c r="X3294" s="351"/>
    </row>
    <row r="3295" spans="3:24" ht="24.75" customHeight="1" x14ac:dyDescent="0.3">
      <c r="C3295" s="353">
        <f>ABS(E3295-Dashboard!$F$14)</f>
        <v>62.402582861384026</v>
      </c>
      <c r="D3295" s="350">
        <f t="shared" si="3369"/>
        <v>0.40224999999997096</v>
      </c>
      <c r="E3295" s="359" cm="1">
        <f t="array" ref="E3295">1000*SUM('DRE + DCF'!$L$36/M3295,'DRE + DCF'!$N$36:$V$36/N3295:V3295,F3295/V3295)/Dashboard!$F$11</f>
        <v>34.587417138615969</v>
      </c>
      <c r="F3295" s="359">
        <f t="shared" si="3367"/>
        <v>6326509.6539520491</v>
      </c>
      <c r="G3295" s="359">
        <f>'DRE + DCF'!$W$31</f>
        <v>2791623.3540418856</v>
      </c>
      <c r="H3295" s="359">
        <f>'DRE + DCF'!$W$32</f>
        <v>81081.931703745853</v>
      </c>
      <c r="I3295" s="359">
        <f>-H3295*('DRE + DCF'!$V$33+K3295)/'DRE + DCF'!$V$33</f>
        <v>-90858.801614444121</v>
      </c>
      <c r="J3295" s="359">
        <f>-'DRE + DCF'!$V$56*L3295</f>
        <v>-1188924.4255577971</v>
      </c>
      <c r="K3295" s="360">
        <f>(1+L3295)/(1+Ke!$O$12)-1</f>
        <v>2.0000000000000018E-2</v>
      </c>
      <c r="L3295" s="360">
        <f>'DRE + DCF'!$Y$31</f>
        <v>7.3550000000000004E-2</v>
      </c>
      <c r="M3295" s="361">
        <f>(1+D3295)^((5-Dashboard!$F$9)*3/12)</f>
        <v>1.2886028469487614</v>
      </c>
      <c r="N3295" s="361">
        <f t="shared" ref="N3295:V3295" si="3386">M3295*(1+$D3295)</f>
        <v>1.8069433421338632</v>
      </c>
      <c r="O3295" s="361">
        <f t="shared" si="3386"/>
        <v>2.5337863015071571</v>
      </c>
      <c r="P3295" s="361">
        <f t="shared" si="3386"/>
        <v>3.5530018412883373</v>
      </c>
      <c r="Q3295" s="361">
        <f t="shared" si="3386"/>
        <v>4.9821968319464673</v>
      </c>
      <c r="R3295" s="361">
        <f t="shared" si="3386"/>
        <v>6.9862855075967891</v>
      </c>
      <c r="S3295" s="361">
        <f t="shared" si="3386"/>
        <v>9.7965188530273934</v>
      </c>
      <c r="T3295" s="361">
        <f t="shared" si="3386"/>
        <v>13.737168561657377</v>
      </c>
      <c r="U3295" s="361">
        <f t="shared" si="3386"/>
        <v>19.262944615583656</v>
      </c>
      <c r="V3295" s="362">
        <f t="shared" si="3386"/>
        <v>27.01146408720162</v>
      </c>
      <c r="X3295" s="351"/>
    </row>
    <row r="3296" spans="3:24" ht="24.75" customHeight="1" x14ac:dyDescent="0.3">
      <c r="C3296" s="353">
        <f>ABS(E3296-Dashboard!$F$14)</f>
        <v>62.415028139904564</v>
      </c>
      <c r="D3296" s="350">
        <f t="shared" si="3369"/>
        <v>0.40234999999997095</v>
      </c>
      <c r="E3296" s="359" cm="1">
        <f t="array" ref="E3296">1000*SUM('DRE + DCF'!$L$36/M3296,'DRE + DCF'!$N$36:$V$36/N3296:V3296,F3296/V3296)/Dashboard!$F$11</f>
        <v>34.574971860095431</v>
      </c>
      <c r="F3296" s="359">
        <f t="shared" si="3367"/>
        <v>6324792.6424600566</v>
      </c>
      <c r="G3296" s="359">
        <f>'DRE + DCF'!$W$31</f>
        <v>2791623.3540418856</v>
      </c>
      <c r="H3296" s="359">
        <f>'DRE + DCF'!$W$32</f>
        <v>81081.931703745853</v>
      </c>
      <c r="I3296" s="359">
        <f>-H3296*('DRE + DCF'!$V$33+K3296)/'DRE + DCF'!$V$33</f>
        <v>-90858.801614444121</v>
      </c>
      <c r="J3296" s="359">
        <f>-'DRE + DCF'!$V$56*L3296</f>
        <v>-1188924.4255577971</v>
      </c>
      <c r="K3296" s="360">
        <f>(1+L3296)/(1+Ke!$O$12)-1</f>
        <v>2.0000000000000018E-2</v>
      </c>
      <c r="L3296" s="360">
        <f>'DRE + DCF'!$Y$31</f>
        <v>7.3550000000000004E-2</v>
      </c>
      <c r="M3296" s="361">
        <f>(1+D3296)^((5-Dashboard!$F$9)*3/12)</f>
        <v>1.288671767863026</v>
      </c>
      <c r="N3296" s="361">
        <f t="shared" ref="N3296:V3296" si="3387">M3296*(1+$D3296)</f>
        <v>1.8071688536626769</v>
      </c>
      <c r="O3296" s="361">
        <f t="shared" si="3387"/>
        <v>2.5342832419338022</v>
      </c>
      <c r="P3296" s="361">
        <f t="shared" si="3387"/>
        <v>3.5539521043257936</v>
      </c>
      <c r="Q3296" s="361">
        <f t="shared" si="3387"/>
        <v>4.9838847335011733</v>
      </c>
      <c r="R3296" s="361">
        <f t="shared" si="3387"/>
        <v>6.9891507560252251</v>
      </c>
      <c r="S3296" s="361">
        <f t="shared" si="3387"/>
        <v>9.8012355627117707</v>
      </c>
      <c r="T3296" s="361">
        <f t="shared" si="3387"/>
        <v>13.744762691368566</v>
      </c>
      <c r="U3296" s="361">
        <f t="shared" si="3387"/>
        <v>19.274967960240307</v>
      </c>
      <c r="V3296" s="362">
        <f t="shared" si="3387"/>
        <v>27.030251319042435</v>
      </c>
      <c r="X3296" s="351"/>
    </row>
    <row r="3297" spans="3:24" ht="24.75" customHeight="1" x14ac:dyDescent="0.3">
      <c r="C3297" s="353">
        <f>ABS(E3297-Dashboard!$F$14)</f>
        <v>62.427465077949542</v>
      </c>
      <c r="D3297" s="350">
        <f t="shared" si="3369"/>
        <v>0.40244999999997094</v>
      </c>
      <c r="E3297" s="359" cm="1">
        <f t="array" ref="E3297">1000*SUM('DRE + DCF'!$L$36/M3297,'DRE + DCF'!$N$36:$V$36/N3297:V3297,F3297/V3297)/Dashboard!$F$11</f>
        <v>34.562534922050453</v>
      </c>
      <c r="F3297" s="359">
        <f t="shared" si="3367"/>
        <v>6323076.572168381</v>
      </c>
      <c r="G3297" s="359">
        <f>'DRE + DCF'!$W$31</f>
        <v>2791623.3540418856</v>
      </c>
      <c r="H3297" s="359">
        <f>'DRE + DCF'!$W$32</f>
        <v>81081.931703745853</v>
      </c>
      <c r="I3297" s="359">
        <f>-H3297*('DRE + DCF'!$V$33+K3297)/'DRE + DCF'!$V$33</f>
        <v>-90858.801614444121</v>
      </c>
      <c r="J3297" s="359">
        <f>-'DRE + DCF'!$V$56*L3297</f>
        <v>-1188924.4255577971</v>
      </c>
      <c r="K3297" s="360">
        <f>(1+L3297)/(1+Ke!$O$12)-1</f>
        <v>2.0000000000000018E-2</v>
      </c>
      <c r="L3297" s="360">
        <f>'DRE + DCF'!$Y$31</f>
        <v>7.3550000000000004E-2</v>
      </c>
      <c r="M3297" s="361">
        <f>(1+D3297)^((5-Dashboard!$F$9)*3/12)</f>
        <v>1.2887406875486334</v>
      </c>
      <c r="N3297" s="361">
        <f t="shared" ref="N3297:V3297" si="3388">M3297*(1+$D3297)</f>
        <v>1.8073943772525434</v>
      </c>
      <c r="O3297" s="361">
        <f t="shared" si="3388"/>
        <v>2.5347802443777767</v>
      </c>
      <c r="P3297" s="361">
        <f t="shared" si="3388"/>
        <v>3.5549025537275392</v>
      </c>
      <c r="Q3297" s="361">
        <f t="shared" si="3388"/>
        <v>4.9855730864750836</v>
      </c>
      <c r="R3297" s="361">
        <f t="shared" si="3388"/>
        <v>6.9920169751268357</v>
      </c>
      <c r="S3297" s="361">
        <f t="shared" si="3388"/>
        <v>9.8059542067664278</v>
      </c>
      <c r="T3297" s="361">
        <f t="shared" si="3388"/>
        <v>13.752360477279291</v>
      </c>
      <c r="U3297" s="361">
        <f t="shared" si="3388"/>
        <v>19.286997951359943</v>
      </c>
      <c r="V3297" s="362">
        <f t="shared" si="3388"/>
        <v>27.049050276884191</v>
      </c>
      <c r="X3297" s="351"/>
    </row>
    <row r="3298" spans="3:24" ht="24.75" customHeight="1" x14ac:dyDescent="0.3">
      <c r="C3298" s="353">
        <f>ABS(E3298-Dashboard!$F$14)</f>
        <v>62.439893683371459</v>
      </c>
      <c r="D3298" s="350">
        <f t="shared" si="3369"/>
        <v>0.40254999999997093</v>
      </c>
      <c r="E3298" s="359" cm="1">
        <f t="array" ref="E3298">1000*SUM('DRE + DCF'!$L$36/M3298,'DRE + DCF'!$N$36:$V$36/N3298:V3298,F3298/V3298)/Dashboard!$F$11</f>
        <v>34.550106316628536</v>
      </c>
      <c r="F3298" s="359">
        <f t="shared" si="3367"/>
        <v>6321361.4422954433</v>
      </c>
      <c r="G3298" s="359">
        <f>'DRE + DCF'!$W$31</f>
        <v>2791623.3540418856</v>
      </c>
      <c r="H3298" s="359">
        <f>'DRE + DCF'!$W$32</f>
        <v>81081.931703745853</v>
      </c>
      <c r="I3298" s="359">
        <f>-H3298*('DRE + DCF'!$V$33+K3298)/'DRE + DCF'!$V$33</f>
        <v>-90858.801614444121</v>
      </c>
      <c r="J3298" s="359">
        <f>-'DRE + DCF'!$V$56*L3298</f>
        <v>-1188924.4255577971</v>
      </c>
      <c r="K3298" s="360">
        <f>(1+L3298)/(1+Ke!$O$12)-1</f>
        <v>2.0000000000000018E-2</v>
      </c>
      <c r="L3298" s="360">
        <f>'DRE + DCF'!$Y$31</f>
        <v>7.3550000000000004E-2</v>
      </c>
      <c r="M3298" s="361">
        <f>(1+D3298)^((5-Dashboard!$F$9)*3/12)</f>
        <v>1.2888096060056931</v>
      </c>
      <c r="N3298" s="361">
        <f t="shared" ref="N3298:V3298" si="3389">M3298*(1+$D3298)</f>
        <v>1.8076199129032473</v>
      </c>
      <c r="O3298" s="361">
        <f t="shared" si="3389"/>
        <v>2.5352773088423968</v>
      </c>
      <c r="P3298" s="361">
        <f t="shared" si="3389"/>
        <v>3.5558531895168297</v>
      </c>
      <c r="Q3298" s="361">
        <f t="shared" si="3389"/>
        <v>4.9872618909567263</v>
      </c>
      <c r="R3298" s="361">
        <f t="shared" si="3389"/>
        <v>6.9948841651612117</v>
      </c>
      <c r="S3298" s="361">
        <f t="shared" si="3389"/>
        <v>9.8106747858466541</v>
      </c>
      <c r="T3298" s="361">
        <f t="shared" si="3389"/>
        <v>13.759961920888939</v>
      </c>
      <c r="U3298" s="361">
        <f t="shared" si="3389"/>
        <v>19.29903459214238</v>
      </c>
      <c r="V3298" s="362">
        <f t="shared" si="3389"/>
        <v>27.067860967208734</v>
      </c>
      <c r="X3298" s="351"/>
    </row>
    <row r="3299" spans="3:24" ht="24.75" customHeight="1" x14ac:dyDescent="0.3">
      <c r="C3299" s="353">
        <f>ABS(E3299-Dashboard!$F$14)</f>
        <v>62.452313964013392</v>
      </c>
      <c r="D3299" s="350">
        <f t="shared" si="3369"/>
        <v>0.40264999999997092</v>
      </c>
      <c r="E3299" s="359" cm="1">
        <f t="array" ref="E3299">1000*SUM('DRE + DCF'!$L$36/M3299,'DRE + DCF'!$N$36:$V$36/N3299:V3299,F3299/V3299)/Dashboard!$F$11</f>
        <v>34.537686035986603</v>
      </c>
      <c r="F3299" s="359">
        <f t="shared" si="3367"/>
        <v>6319647.2520605363</v>
      </c>
      <c r="G3299" s="359">
        <f>'DRE + DCF'!$W$31</f>
        <v>2791623.3540418856</v>
      </c>
      <c r="H3299" s="359">
        <f>'DRE + DCF'!$W$32</f>
        <v>81081.931703745853</v>
      </c>
      <c r="I3299" s="359">
        <f>-H3299*('DRE + DCF'!$V$33+K3299)/'DRE + DCF'!$V$33</f>
        <v>-90858.801614444121</v>
      </c>
      <c r="J3299" s="359">
        <f>-'DRE + DCF'!$V$56*L3299</f>
        <v>-1188924.4255577971</v>
      </c>
      <c r="K3299" s="360">
        <f>(1+L3299)/(1+Ke!$O$12)-1</f>
        <v>2.0000000000000018E-2</v>
      </c>
      <c r="L3299" s="360">
        <f>'DRE + DCF'!$Y$31</f>
        <v>7.3550000000000004E-2</v>
      </c>
      <c r="M3299" s="361">
        <f>(1+D3299)^((5-Dashboard!$F$9)*3/12)</f>
        <v>1.2888785232343145</v>
      </c>
      <c r="N3299" s="361">
        <f t="shared" ref="N3299:V3299" si="3390">M3299*(1+$D3299)</f>
        <v>1.8078454606145737</v>
      </c>
      <c r="O3299" s="361">
        <f t="shared" si="3390"/>
        <v>2.5357744353309792</v>
      </c>
      <c r="P3299" s="361">
        <f t="shared" si="3390"/>
        <v>3.556804011716924</v>
      </c>
      <c r="Q3299" s="361">
        <f t="shared" si="3390"/>
        <v>4.9889511470346397</v>
      </c>
      <c r="R3299" s="361">
        <f t="shared" si="3390"/>
        <v>6.9977523263879924</v>
      </c>
      <c r="S3299" s="361">
        <f t="shared" si="3390"/>
        <v>9.8153973006079145</v>
      </c>
      <c r="T3299" s="361">
        <f t="shared" si="3390"/>
        <v>13.767567023697405</v>
      </c>
      <c r="U3299" s="361">
        <f t="shared" si="3390"/>
        <v>19.311077885788762</v>
      </c>
      <c r="V3299" s="362">
        <f t="shared" si="3390"/>
        <v>27.086683396501044</v>
      </c>
      <c r="X3299" s="351"/>
    </row>
    <row r="3300" spans="3:24" ht="24.75" customHeight="1" x14ac:dyDescent="0.3">
      <c r="C3300" s="353">
        <f>ABS(E3300-Dashboard!$F$14)</f>
        <v>62.464725927709011</v>
      </c>
      <c r="D3300" s="350">
        <f t="shared" si="3369"/>
        <v>0.40274999999997091</v>
      </c>
      <c r="E3300" s="359" cm="1">
        <f t="array" ref="E3300">1000*SUM('DRE + DCF'!$L$36/M3300,'DRE + DCF'!$N$36:$V$36/N3300:V3300,F3300/V3300)/Dashboard!$F$11</f>
        <v>34.525274072290983</v>
      </c>
      <c r="F3300" s="359">
        <f t="shared" si="3367"/>
        <v>6317934.0006838273</v>
      </c>
      <c r="G3300" s="359">
        <f>'DRE + DCF'!$W$31</f>
        <v>2791623.3540418856</v>
      </c>
      <c r="H3300" s="359">
        <f>'DRE + DCF'!$W$32</f>
        <v>81081.931703745853</v>
      </c>
      <c r="I3300" s="359">
        <f>-H3300*('DRE + DCF'!$V$33+K3300)/'DRE + DCF'!$V$33</f>
        <v>-90858.801614444121</v>
      </c>
      <c r="J3300" s="359">
        <f>-'DRE + DCF'!$V$56*L3300</f>
        <v>-1188924.4255577971</v>
      </c>
      <c r="K3300" s="360">
        <f>(1+L3300)/(1+Ke!$O$12)-1</f>
        <v>2.0000000000000018E-2</v>
      </c>
      <c r="L3300" s="360">
        <f>'DRE + DCF'!$Y$31</f>
        <v>7.3550000000000004E-2</v>
      </c>
      <c r="M3300" s="361">
        <f>(1+D3300)^((5-Dashboard!$F$9)*3/12)</f>
        <v>1.2889474392346072</v>
      </c>
      <c r="N3300" s="361">
        <f t="shared" ref="N3300:V3300" si="3391">M3300*(1+$D3300)</f>
        <v>1.8080710203863077</v>
      </c>
      <c r="O3300" s="361">
        <f t="shared" si="3391"/>
        <v>2.5362716238468406</v>
      </c>
      <c r="P3300" s="361">
        <f t="shared" si="3391"/>
        <v>3.5577550203510815</v>
      </c>
      <c r="Q3300" s="361">
        <f t="shared" si="3391"/>
        <v>4.990640854797376</v>
      </c>
      <c r="R3300" s="361">
        <f t="shared" si="3391"/>
        <v>7.0006214590668741</v>
      </c>
      <c r="S3300" s="361">
        <f t="shared" si="3391"/>
        <v>9.8201217517058534</v>
      </c>
      <c r="T3300" s="361">
        <f t="shared" si="3391"/>
        <v>13.7751757872051</v>
      </c>
      <c r="U3300" s="361">
        <f t="shared" si="3391"/>
        <v>19.323127835501552</v>
      </c>
      <c r="V3300" s="362">
        <f t="shared" si="3391"/>
        <v>27.105517571249237</v>
      </c>
      <c r="X3300" s="351"/>
    </row>
    <row r="3301" spans="3:24" ht="24.75" customHeight="1" x14ac:dyDescent="0.3">
      <c r="C3301" s="353">
        <f>ABS(E3301-Dashboard!$F$14)</f>
        <v>62.477129582282636</v>
      </c>
      <c r="D3301" s="350">
        <f t="shared" si="3369"/>
        <v>0.4028499999999709</v>
      </c>
      <c r="E3301" s="359" cm="1">
        <f t="array" ref="E3301">1000*SUM('DRE + DCF'!$L$36/M3301,'DRE + DCF'!$N$36:$V$36/N3301:V3301,F3301/V3301)/Dashboard!$F$11</f>
        <v>34.512870417717359</v>
      </c>
      <c r="F3301" s="359">
        <f t="shared" si="3367"/>
        <v>6316221.6873863544</v>
      </c>
      <c r="G3301" s="359">
        <f>'DRE + DCF'!$W$31</f>
        <v>2791623.3540418856</v>
      </c>
      <c r="H3301" s="359">
        <f>'DRE + DCF'!$W$32</f>
        <v>81081.931703745853</v>
      </c>
      <c r="I3301" s="359">
        <f>-H3301*('DRE + DCF'!$V$33+K3301)/'DRE + DCF'!$V$33</f>
        <v>-90858.801614444121</v>
      </c>
      <c r="J3301" s="359">
        <f>-'DRE + DCF'!$V$56*L3301</f>
        <v>-1188924.4255577971</v>
      </c>
      <c r="K3301" s="360">
        <f>(1+L3301)/(1+Ke!$O$12)-1</f>
        <v>2.0000000000000018E-2</v>
      </c>
      <c r="L3301" s="360">
        <f>'DRE + DCF'!$Y$31</f>
        <v>7.3550000000000004E-2</v>
      </c>
      <c r="M3301" s="361">
        <f>(1+D3301)^((5-Dashboard!$F$9)*3/12)</f>
        <v>1.2890163540066806</v>
      </c>
      <c r="N3301" s="361">
        <f t="shared" ref="N3301:V3301" si="3392">M3301*(1+$D3301)</f>
        <v>1.8082965922182344</v>
      </c>
      <c r="O3301" s="361">
        <f t="shared" si="3392"/>
        <v>2.5367688743932972</v>
      </c>
      <c r="P3301" s="361">
        <f t="shared" si="3392"/>
        <v>3.5587062154425633</v>
      </c>
      <c r="Q3301" s="361">
        <f t="shared" si="3392"/>
        <v>4.9923310143334962</v>
      </c>
      <c r="R3301" s="361">
        <f t="shared" si="3392"/>
        <v>7.0034915634576</v>
      </c>
      <c r="S3301" s="361">
        <f t="shared" si="3392"/>
        <v>9.8248481397962895</v>
      </c>
      <c r="T3301" s="361">
        <f t="shared" si="3392"/>
        <v>13.782788212912939</v>
      </c>
      <c r="U3301" s="361">
        <f t="shared" si="3392"/>
        <v>19.335184444484515</v>
      </c>
      <c r="V3301" s="362">
        <f t="shared" si="3392"/>
        <v>27.12436349794454</v>
      </c>
      <c r="X3301" s="351"/>
    </row>
    <row r="3302" spans="3:24" ht="24.75" customHeight="1" x14ac:dyDescent="0.3">
      <c r="C3302" s="353">
        <f>ABS(E3302-Dashboard!$F$14)</f>
        <v>62.48952493554917</v>
      </c>
      <c r="D3302" s="350">
        <f t="shared" si="3369"/>
        <v>0.40294999999997089</v>
      </c>
      <c r="E3302" s="359" cm="1">
        <f t="array" ref="E3302">1000*SUM('DRE + DCF'!$L$36/M3302,'DRE + DCF'!$N$36:$V$36/N3302:V3302,F3302/V3302)/Dashboard!$F$11</f>
        <v>34.500475064450825</v>
      </c>
      <c r="F3302" s="359">
        <f t="shared" si="3367"/>
        <v>6314510.3113900255</v>
      </c>
      <c r="G3302" s="359">
        <f>'DRE + DCF'!$W$31</f>
        <v>2791623.3540418856</v>
      </c>
      <c r="H3302" s="359">
        <f>'DRE + DCF'!$W$32</f>
        <v>81081.931703745853</v>
      </c>
      <c r="I3302" s="359">
        <f>-H3302*('DRE + DCF'!$V$33+K3302)/'DRE + DCF'!$V$33</f>
        <v>-90858.801614444121</v>
      </c>
      <c r="J3302" s="359">
        <f>-'DRE + DCF'!$V$56*L3302</f>
        <v>-1188924.4255577971</v>
      </c>
      <c r="K3302" s="360">
        <f>(1+L3302)/(1+Ke!$O$12)-1</f>
        <v>2.0000000000000018E-2</v>
      </c>
      <c r="L3302" s="360">
        <f>'DRE + DCF'!$Y$31</f>
        <v>7.3550000000000004E-2</v>
      </c>
      <c r="M3302" s="361">
        <f>(1+D3302)^((5-Dashboard!$F$9)*3/12)</f>
        <v>1.2890852675506439</v>
      </c>
      <c r="N3302" s="361">
        <f t="shared" ref="N3302:V3302" si="3393">M3302*(1+$D3302)</f>
        <v>1.8085221761101382</v>
      </c>
      <c r="O3302" s="361">
        <f t="shared" si="3393"/>
        <v>2.5372661869736657</v>
      </c>
      <c r="P3302" s="361">
        <f t="shared" si="3393"/>
        <v>3.5596575970146302</v>
      </c>
      <c r="Q3302" s="361">
        <f t="shared" si="3393"/>
        <v>4.9940216257315715</v>
      </c>
      <c r="R3302" s="361">
        <f t="shared" si="3393"/>
        <v>7.0063626398199625</v>
      </c>
      <c r="S3302" s="361">
        <f t="shared" si="3393"/>
        <v>9.8295764655352116</v>
      </c>
      <c r="T3302" s="361">
        <f t="shared" si="3393"/>
        <v>13.790404302322338</v>
      </c>
      <c r="U3302" s="361">
        <f t="shared" si="3393"/>
        <v>19.347247715942721</v>
      </c>
      <c r="V3302" s="362">
        <f t="shared" si="3393"/>
        <v>27.143221183081277</v>
      </c>
      <c r="X3302" s="351"/>
    </row>
    <row r="3303" spans="3:24" ht="24.75" customHeight="1" x14ac:dyDescent="0.3">
      <c r="C3303" s="353">
        <f>ABS(E3303-Dashboard!$F$14)</f>
        <v>62.501911995314195</v>
      </c>
      <c r="D3303" s="350">
        <f t="shared" si="3369"/>
        <v>0.40304999999997088</v>
      </c>
      <c r="E3303" s="359" cm="1">
        <f t="array" ref="E3303">1000*SUM('DRE + DCF'!$L$36/M3303,'DRE + DCF'!$N$36:$V$36/N3303:V3303,F3303/V3303)/Dashboard!$F$11</f>
        <v>34.4880880046858</v>
      </c>
      <c r="F3303" s="359">
        <f t="shared" si="3367"/>
        <v>6312799.8719176184</v>
      </c>
      <c r="G3303" s="359">
        <f>'DRE + DCF'!$W$31</f>
        <v>2791623.3540418856</v>
      </c>
      <c r="H3303" s="359">
        <f>'DRE + DCF'!$W$32</f>
        <v>81081.931703745853</v>
      </c>
      <c r="I3303" s="359">
        <f>-H3303*('DRE + DCF'!$V$33+K3303)/'DRE + DCF'!$V$33</f>
        <v>-90858.801614444121</v>
      </c>
      <c r="J3303" s="359">
        <f>-'DRE + DCF'!$V$56*L3303</f>
        <v>-1188924.4255577971</v>
      </c>
      <c r="K3303" s="360">
        <f>(1+L3303)/(1+Ke!$O$12)-1</f>
        <v>2.0000000000000018E-2</v>
      </c>
      <c r="L3303" s="360">
        <f>'DRE + DCF'!$Y$31</f>
        <v>7.3550000000000004E-2</v>
      </c>
      <c r="M3303" s="361">
        <f>(1+D3303)^((5-Dashboard!$F$9)*3/12)</f>
        <v>1.2891541798666069</v>
      </c>
      <c r="N3303" s="361">
        <f t="shared" ref="N3303:V3303" si="3394">M3303*(1+$D3303)</f>
        <v>1.808747772061805</v>
      </c>
      <c r="O3303" s="361">
        <f t="shared" si="3394"/>
        <v>2.5377635615912628</v>
      </c>
      <c r="P3303" s="361">
        <f t="shared" si="3394"/>
        <v>3.5606091650905474</v>
      </c>
      <c r="Q3303" s="361">
        <f t="shared" si="3394"/>
        <v>4.9957126890801886</v>
      </c>
      <c r="R3303" s="361">
        <f t="shared" si="3394"/>
        <v>7.0092346884138133</v>
      </c>
      <c r="S3303" s="361">
        <f t="shared" si="3394"/>
        <v>9.8343067295787954</v>
      </c>
      <c r="T3303" s="361">
        <f t="shared" si="3394"/>
        <v>13.798024056935242</v>
      </c>
      <c r="U3303" s="361">
        <f t="shared" si="3394"/>
        <v>19.359317653082588</v>
      </c>
      <c r="V3303" s="362">
        <f t="shared" si="3394"/>
        <v>27.162090633156961</v>
      </c>
      <c r="X3303" s="351"/>
    </row>
    <row r="3304" spans="3:24" ht="24.75" customHeight="1" x14ac:dyDescent="0.3">
      <c r="C3304" s="353">
        <f>ABS(E3304-Dashboard!$F$14)</f>
        <v>62.514290769373957</v>
      </c>
      <c r="D3304" s="350">
        <f t="shared" si="3369"/>
        <v>0.40314999999997086</v>
      </c>
      <c r="E3304" s="359" cm="1">
        <f t="array" ref="E3304">1000*SUM('DRE + DCF'!$L$36/M3304,'DRE + DCF'!$N$36:$V$36/N3304:V3304,F3304/V3304)/Dashboard!$F$11</f>
        <v>34.475709230626038</v>
      </c>
      <c r="F3304" s="359">
        <f t="shared" si="3367"/>
        <v>6311090.368192777</v>
      </c>
      <c r="G3304" s="359">
        <f>'DRE + DCF'!$W$31</f>
        <v>2791623.3540418856</v>
      </c>
      <c r="H3304" s="359">
        <f>'DRE + DCF'!$W$32</f>
        <v>81081.931703745853</v>
      </c>
      <c r="I3304" s="359">
        <f>-H3304*('DRE + DCF'!$V$33+K3304)/'DRE + DCF'!$V$33</f>
        <v>-90858.801614444121</v>
      </c>
      <c r="J3304" s="359">
        <f>-'DRE + DCF'!$V$56*L3304</f>
        <v>-1188924.4255577971</v>
      </c>
      <c r="K3304" s="360">
        <f>(1+L3304)/(1+Ke!$O$12)-1</f>
        <v>2.0000000000000018E-2</v>
      </c>
      <c r="L3304" s="360">
        <f>'DRE + DCF'!$Y$31</f>
        <v>7.3550000000000004E-2</v>
      </c>
      <c r="M3304" s="361">
        <f>(1+D3304)^((5-Dashboard!$F$9)*3/12)</f>
        <v>1.2892230909546789</v>
      </c>
      <c r="N3304" s="361">
        <f t="shared" ref="N3304:V3304" si="3395">M3304*(1+$D3304)</f>
        <v>1.8089733800730201</v>
      </c>
      <c r="O3304" s="361">
        <f t="shared" si="3395"/>
        <v>2.5382609982494055</v>
      </c>
      <c r="P3304" s="361">
        <f t="shared" si="3395"/>
        <v>3.5615609196935791</v>
      </c>
      <c r="Q3304" s="361">
        <f t="shared" si="3395"/>
        <v>4.9974042044679416</v>
      </c>
      <c r="R3304" s="361">
        <f t="shared" si="3395"/>
        <v>7.0121077094990465</v>
      </c>
      <c r="S3304" s="361">
        <f t="shared" si="3395"/>
        <v>9.8390389325833816</v>
      </c>
      <c r="T3304" s="361">
        <f t="shared" si="3395"/>
        <v>13.805647478254084</v>
      </c>
      <c r="U3304" s="361">
        <f t="shared" si="3395"/>
        <v>19.371394259111813</v>
      </c>
      <c r="V3304" s="362">
        <f t="shared" si="3395"/>
        <v>27.180971854672176</v>
      </c>
      <c r="X3304" s="351"/>
    </row>
    <row r="3305" spans="3:24" ht="24.75" customHeight="1" x14ac:dyDescent="0.3">
      <c r="C3305" s="353">
        <f>ABS(E3305-Dashboard!$F$14)</f>
        <v>62.526661265515337</v>
      </c>
      <c r="D3305" s="350">
        <f t="shared" si="3369"/>
        <v>0.40324999999997085</v>
      </c>
      <c r="E3305" s="359" cm="1">
        <f t="array" ref="E3305">1000*SUM('DRE + DCF'!$L$36/M3305,'DRE + DCF'!$N$36:$V$36/N3305:V3305,F3305/V3305)/Dashboard!$F$11</f>
        <v>34.463338734484658</v>
      </c>
      <c r="F3305" s="359">
        <f t="shared" si="3367"/>
        <v>6309381.7994400132</v>
      </c>
      <c r="G3305" s="359">
        <f>'DRE + DCF'!$W$31</f>
        <v>2791623.3540418856</v>
      </c>
      <c r="H3305" s="359">
        <f>'DRE + DCF'!$W$32</f>
        <v>81081.931703745853</v>
      </c>
      <c r="I3305" s="359">
        <f>-H3305*('DRE + DCF'!$V$33+K3305)/'DRE + DCF'!$V$33</f>
        <v>-90858.801614444121</v>
      </c>
      <c r="J3305" s="359">
        <f>-'DRE + DCF'!$V$56*L3305</f>
        <v>-1188924.4255577971</v>
      </c>
      <c r="K3305" s="360">
        <f>(1+L3305)/(1+Ke!$O$12)-1</f>
        <v>2.0000000000000018E-2</v>
      </c>
      <c r="L3305" s="360">
        <f>'DRE + DCF'!$Y$31</f>
        <v>7.3550000000000004E-2</v>
      </c>
      <c r="M3305" s="361">
        <f>(1+D3305)^((5-Dashboard!$F$9)*3/12)</f>
        <v>1.2892920008149691</v>
      </c>
      <c r="N3305" s="361">
        <f t="shared" ref="N3305:V3305" si="3396">M3305*(1+$D3305)</f>
        <v>1.8091990001435678</v>
      </c>
      <c r="O3305" s="361">
        <f t="shared" si="3396"/>
        <v>2.5387584969514085</v>
      </c>
      <c r="P3305" s="361">
        <f t="shared" si="3396"/>
        <v>3.56251286084699</v>
      </c>
      <c r="Q3305" s="361">
        <f t="shared" si="3396"/>
        <v>4.9990961719834344</v>
      </c>
      <c r="R3305" s="361">
        <f t="shared" si="3396"/>
        <v>7.0149817033356081</v>
      </c>
      <c r="S3305" s="361">
        <f t="shared" si="3396"/>
        <v>9.8437730752054868</v>
      </c>
      <c r="T3305" s="361">
        <f t="shared" si="3396"/>
        <v>13.813274567781813</v>
      </c>
      <c r="U3305" s="361">
        <f t="shared" si="3396"/>
        <v>19.383477537239425</v>
      </c>
      <c r="V3305" s="362">
        <f t="shared" si="3396"/>
        <v>27.199864854130659</v>
      </c>
      <c r="X3305" s="351"/>
    </row>
    <row r="3306" spans="3:24" ht="24.75" customHeight="1" x14ac:dyDescent="0.3">
      <c r="C3306" s="353">
        <f>ABS(E3306-Dashboard!$F$14)</f>
        <v>62.53902349151592</v>
      </c>
      <c r="D3306" s="350">
        <f t="shared" si="3369"/>
        <v>0.40334999999997084</v>
      </c>
      <c r="E3306" s="359" cm="1">
        <f t="array" ref="E3306">1000*SUM('DRE + DCF'!$L$36/M3306,'DRE + DCF'!$N$36:$V$36/N3306:V3306,F3306/V3306)/Dashboard!$F$11</f>
        <v>34.450976508484075</v>
      </c>
      <c r="F3306" s="359">
        <f t="shared" si="3367"/>
        <v>6307674.1648847032</v>
      </c>
      <c r="G3306" s="359">
        <f>'DRE + DCF'!$W$31</f>
        <v>2791623.3540418856</v>
      </c>
      <c r="H3306" s="359">
        <f>'DRE + DCF'!$W$32</f>
        <v>81081.931703745853</v>
      </c>
      <c r="I3306" s="359">
        <f>-H3306*('DRE + DCF'!$V$33+K3306)/'DRE + DCF'!$V$33</f>
        <v>-90858.801614444121</v>
      </c>
      <c r="J3306" s="359">
        <f>-'DRE + DCF'!$V$56*L3306</f>
        <v>-1188924.4255577971</v>
      </c>
      <c r="K3306" s="360">
        <f>(1+L3306)/(1+Ke!$O$12)-1</f>
        <v>2.0000000000000018E-2</v>
      </c>
      <c r="L3306" s="360">
        <f>'DRE + DCF'!$Y$31</f>
        <v>7.3550000000000004E-2</v>
      </c>
      <c r="M3306" s="361">
        <f>(1+D3306)^((5-Dashboard!$F$9)*3/12)</f>
        <v>1.2893609094475871</v>
      </c>
      <c r="N3306" s="361">
        <f t="shared" ref="N3306:V3306" si="3397">M3306*(1+$D3306)</f>
        <v>1.8094246322732337</v>
      </c>
      <c r="O3306" s="361">
        <f t="shared" si="3397"/>
        <v>2.5392560577005896</v>
      </c>
      <c r="P3306" s="361">
        <f t="shared" si="3397"/>
        <v>3.5634649885740481</v>
      </c>
      <c r="Q3306" s="361">
        <f t="shared" si="3397"/>
        <v>5.0007885917152866</v>
      </c>
      <c r="R3306" s="361">
        <f t="shared" si="3397"/>
        <v>7.0178566701835017</v>
      </c>
      <c r="S3306" s="361">
        <f t="shared" si="3397"/>
        <v>9.8485091581018125</v>
      </c>
      <c r="T3306" s="361">
        <f t="shared" si="3397"/>
        <v>13.82090532702189</v>
      </c>
      <c r="U3306" s="361">
        <f t="shared" si="3397"/>
        <v>19.395567490675766</v>
      </c>
      <c r="V3306" s="362">
        <f t="shared" si="3397"/>
        <v>27.218769638039269</v>
      </c>
      <c r="X3306" s="351"/>
    </row>
    <row r="3307" spans="3:24" ht="24.75" customHeight="1" x14ac:dyDescent="0.3">
      <c r="C3307" s="353">
        <f>ABS(E3307-Dashboard!$F$14)</f>
        <v>62.551377455143985</v>
      </c>
      <c r="D3307" s="350">
        <f t="shared" si="3369"/>
        <v>0.40344999999997083</v>
      </c>
      <c r="E3307" s="359" cm="1">
        <f t="array" ref="E3307">1000*SUM('DRE + DCF'!$L$36/M3307,'DRE + DCF'!$N$36:$V$36/N3307:V3307,F3307/V3307)/Dashboard!$F$11</f>
        <v>34.43862254485601</v>
      </c>
      <c r="F3307" s="359">
        <f t="shared" si="3367"/>
        <v>6305967.4637530874</v>
      </c>
      <c r="G3307" s="359">
        <f>'DRE + DCF'!$W$31</f>
        <v>2791623.3540418856</v>
      </c>
      <c r="H3307" s="359">
        <f>'DRE + DCF'!$W$32</f>
        <v>81081.931703745853</v>
      </c>
      <c r="I3307" s="359">
        <f>-H3307*('DRE + DCF'!$V$33+K3307)/'DRE + DCF'!$V$33</f>
        <v>-90858.801614444121</v>
      </c>
      <c r="J3307" s="359">
        <f>-'DRE + DCF'!$V$56*L3307</f>
        <v>-1188924.4255577971</v>
      </c>
      <c r="K3307" s="360">
        <f>(1+L3307)/(1+Ke!$O$12)-1</f>
        <v>2.0000000000000018E-2</v>
      </c>
      <c r="L3307" s="360">
        <f>'DRE + DCF'!$Y$31</f>
        <v>7.3550000000000004E-2</v>
      </c>
      <c r="M3307" s="361">
        <f>(1+D3307)^((5-Dashboard!$F$9)*3/12)</f>
        <v>1.2894298168526419</v>
      </c>
      <c r="N3307" s="361">
        <f t="shared" ref="N3307:V3307" si="3398">M3307*(1+$D3307)</f>
        <v>1.8096502764618025</v>
      </c>
      <c r="O3307" s="361">
        <f t="shared" si="3398"/>
        <v>2.5397536805002638</v>
      </c>
      <c r="P3307" s="361">
        <f t="shared" si="3398"/>
        <v>3.5644173028980211</v>
      </c>
      <c r="Q3307" s="361">
        <f t="shared" si="3398"/>
        <v>5.0024814637521233</v>
      </c>
      <c r="R3307" s="361">
        <f t="shared" si="3398"/>
        <v>7.0207326103027716</v>
      </c>
      <c r="S3307" s="361">
        <f t="shared" si="3398"/>
        <v>9.8532471819292198</v>
      </c>
      <c r="T3307" s="361">
        <f t="shared" si="3398"/>
        <v>13.828539757478275</v>
      </c>
      <c r="U3307" s="361">
        <f t="shared" si="3398"/>
        <v>19.407664122632482</v>
      </c>
      <c r="V3307" s="362">
        <f t="shared" si="3398"/>
        <v>27.237686212907992</v>
      </c>
      <c r="X3307" s="351"/>
    </row>
    <row r="3308" spans="3:24" ht="24.75" customHeight="1" x14ac:dyDescent="0.3">
      <c r="C3308" s="353">
        <f>ABS(E3308-Dashboard!$F$14)</f>
        <v>62.563723164158539</v>
      </c>
      <c r="D3308" s="350">
        <f t="shared" si="3369"/>
        <v>0.40354999999997082</v>
      </c>
      <c r="E3308" s="359" cm="1">
        <f t="array" ref="E3308">1000*SUM('DRE + DCF'!$L$36/M3308,'DRE + DCF'!$N$36:$V$36/N3308:V3308,F3308/V3308)/Dashboard!$F$11</f>
        <v>34.426276835841456</v>
      </c>
      <c r="F3308" s="359">
        <f t="shared" si="3367"/>
        <v>6304261.6952722687</v>
      </c>
      <c r="G3308" s="359">
        <f>'DRE + DCF'!$W$31</f>
        <v>2791623.3540418856</v>
      </c>
      <c r="H3308" s="359">
        <f>'DRE + DCF'!$W$32</f>
        <v>81081.931703745853</v>
      </c>
      <c r="I3308" s="359">
        <f>-H3308*('DRE + DCF'!$V$33+K3308)/'DRE + DCF'!$V$33</f>
        <v>-90858.801614444121</v>
      </c>
      <c r="J3308" s="359">
        <f>-'DRE + DCF'!$V$56*L3308</f>
        <v>-1188924.4255577971</v>
      </c>
      <c r="K3308" s="360">
        <f>(1+L3308)/(1+Ke!$O$12)-1</f>
        <v>2.0000000000000018E-2</v>
      </c>
      <c r="L3308" s="360">
        <f>'DRE + DCF'!$Y$31</f>
        <v>7.3550000000000004E-2</v>
      </c>
      <c r="M3308" s="361">
        <f>(1+D3308)^((5-Dashboard!$F$9)*3/12)</f>
        <v>1.2894987230302433</v>
      </c>
      <c r="N3308" s="361">
        <f t="shared" ref="N3308:V3308" si="3399">M3308*(1+$D3308)</f>
        <v>1.8098759327090603</v>
      </c>
      <c r="O3308" s="361">
        <f t="shared" si="3399"/>
        <v>2.5402513653537486</v>
      </c>
      <c r="P3308" s="361">
        <f t="shared" si="3399"/>
        <v>3.5653698038421795</v>
      </c>
      <c r="Q3308" s="361">
        <f t="shared" si="3399"/>
        <v>5.0041747881825867</v>
      </c>
      <c r="R3308" s="361">
        <f t="shared" si="3399"/>
        <v>7.0236095239535228</v>
      </c>
      <c r="S3308" s="361">
        <f t="shared" si="3399"/>
        <v>9.8579871473447618</v>
      </c>
      <c r="T3308" s="361">
        <f t="shared" si="3399"/>
        <v>13.836177860655452</v>
      </c>
      <c r="U3308" s="361">
        <f t="shared" si="3399"/>
        <v>19.419767436322555</v>
      </c>
      <c r="V3308" s="362">
        <f t="shared" si="3399"/>
        <v>27.256614585249956</v>
      </c>
      <c r="X3308" s="351"/>
    </row>
    <row r="3309" spans="3:24" ht="24.75" customHeight="1" x14ac:dyDescent="0.3">
      <c r="C3309" s="353">
        <f>ABS(E3309-Dashboard!$F$14)</f>
        <v>62.576060626309292</v>
      </c>
      <c r="D3309" s="350">
        <f t="shared" si="3369"/>
        <v>0.40364999999997081</v>
      </c>
      <c r="E3309" s="359" cm="1">
        <f t="array" ref="E3309">1000*SUM('DRE + DCF'!$L$36/M3309,'DRE + DCF'!$N$36:$V$36/N3309:V3309,F3309/V3309)/Dashboard!$F$11</f>
        <v>34.413939373690702</v>
      </c>
      <c r="F3309" s="359">
        <f t="shared" si="3367"/>
        <v>6302556.8586702123</v>
      </c>
      <c r="G3309" s="359">
        <f>'DRE + DCF'!$W$31</f>
        <v>2791623.3540418856</v>
      </c>
      <c r="H3309" s="359">
        <f>'DRE + DCF'!$W$32</f>
        <v>81081.931703745853</v>
      </c>
      <c r="I3309" s="359">
        <f>-H3309*('DRE + DCF'!$V$33+K3309)/'DRE + DCF'!$V$33</f>
        <v>-90858.801614444121</v>
      </c>
      <c r="J3309" s="359">
        <f>-'DRE + DCF'!$V$56*L3309</f>
        <v>-1188924.4255577971</v>
      </c>
      <c r="K3309" s="360">
        <f>(1+L3309)/(1+Ke!$O$12)-1</f>
        <v>2.0000000000000018E-2</v>
      </c>
      <c r="L3309" s="360">
        <f>'DRE + DCF'!$Y$31</f>
        <v>7.3550000000000004E-2</v>
      </c>
      <c r="M3309" s="361">
        <f>(1+D3309)^((5-Dashboard!$F$9)*3/12)</f>
        <v>1.2895676279805004</v>
      </c>
      <c r="N3309" s="361">
        <f t="shared" ref="N3309:V3309" si="3400">M3309*(1+$D3309)</f>
        <v>1.8101016010147917</v>
      </c>
      <c r="O3309" s="361">
        <f t="shared" si="3400"/>
        <v>2.5407491122643595</v>
      </c>
      <c r="P3309" s="361">
        <f t="shared" si="3400"/>
        <v>3.5663224914297937</v>
      </c>
      <c r="Q3309" s="361">
        <f t="shared" si="3400"/>
        <v>5.0058685650953256</v>
      </c>
      <c r="R3309" s="361">
        <f t="shared" si="3400"/>
        <v>7.026487411395907</v>
      </c>
      <c r="S3309" s="361">
        <f t="shared" si="3400"/>
        <v>9.8627290550056586</v>
      </c>
      <c r="T3309" s="361">
        <f t="shared" si="3400"/>
        <v>13.843819638058404</v>
      </c>
      <c r="U3309" s="361">
        <f t="shared" si="3400"/>
        <v>19.431877434960274</v>
      </c>
      <c r="V3309" s="362">
        <f t="shared" si="3400"/>
        <v>27.275554761581422</v>
      </c>
      <c r="X3309" s="351"/>
    </row>
    <row r="3310" spans="3:24" ht="24.75" customHeight="1" x14ac:dyDescent="0.3">
      <c r="C3310" s="353">
        <f>ABS(E3310-Dashboard!$F$14)</f>
        <v>62.5883898493367</v>
      </c>
      <c r="D3310" s="350">
        <f t="shared" si="3369"/>
        <v>0.4037499999999708</v>
      </c>
      <c r="E3310" s="359" cm="1">
        <f t="array" ref="E3310">1000*SUM('DRE + DCF'!$L$36/M3310,'DRE + DCF'!$N$36:$V$36/N3310:V3310,F3310/V3310)/Dashboard!$F$11</f>
        <v>34.401610150663295</v>
      </c>
      <c r="F3310" s="359">
        <f t="shared" si="3367"/>
        <v>6300852.953175744</v>
      </c>
      <c r="G3310" s="359">
        <f>'DRE + DCF'!$W$31</f>
        <v>2791623.3540418856</v>
      </c>
      <c r="H3310" s="359">
        <f>'DRE + DCF'!$W$32</f>
        <v>81081.931703745853</v>
      </c>
      <c r="I3310" s="359">
        <f>-H3310*('DRE + DCF'!$V$33+K3310)/'DRE + DCF'!$V$33</f>
        <v>-90858.801614444121</v>
      </c>
      <c r="J3310" s="359">
        <f>-'DRE + DCF'!$V$56*L3310</f>
        <v>-1188924.4255577971</v>
      </c>
      <c r="K3310" s="360">
        <f>(1+L3310)/(1+Ke!$O$12)-1</f>
        <v>2.0000000000000018E-2</v>
      </c>
      <c r="L3310" s="360">
        <f>'DRE + DCF'!$Y$31</f>
        <v>7.3550000000000004E-2</v>
      </c>
      <c r="M3310" s="361">
        <f>(1+D3310)^((5-Dashboard!$F$9)*3/12)</f>
        <v>1.2896365317035225</v>
      </c>
      <c r="N3310" s="361">
        <f t="shared" ref="N3310:V3310" si="3401">M3310*(1+$D3310)</f>
        <v>1.8103272813787821</v>
      </c>
      <c r="O3310" s="361">
        <f t="shared" si="3401"/>
        <v>2.5412469212354125</v>
      </c>
      <c r="P3310" s="361">
        <f t="shared" si="3401"/>
        <v>3.5672753656841358</v>
      </c>
      <c r="Q3310" s="361">
        <f t="shared" si="3401"/>
        <v>5.0075627945790009</v>
      </c>
      <c r="R3310" s="361">
        <f t="shared" si="3401"/>
        <v>7.0293662728901261</v>
      </c>
      <c r="S3310" s="361">
        <f t="shared" si="3401"/>
        <v>9.8674729055693096</v>
      </c>
      <c r="T3310" s="361">
        <f t="shared" si="3401"/>
        <v>13.85146509119263</v>
      </c>
      <c r="U3310" s="361">
        <f t="shared" si="3401"/>
        <v>19.44399412176125</v>
      </c>
      <c r="V3310" s="362">
        <f t="shared" si="3401"/>
        <v>27.294506748421785</v>
      </c>
      <c r="X3310" s="351"/>
    </row>
    <row r="3311" spans="3:24" ht="24.75" customHeight="1" x14ac:dyDescent="0.3">
      <c r="C3311" s="353">
        <f>ABS(E3311-Dashboard!$F$14)</f>
        <v>62.600710840971956</v>
      </c>
      <c r="D3311" s="350">
        <f t="shared" si="3369"/>
        <v>0.40384999999997079</v>
      </c>
      <c r="E3311" s="359" cm="1">
        <f t="array" ref="E3311">1000*SUM('DRE + DCF'!$L$36/M3311,'DRE + DCF'!$N$36:$V$36/N3311:V3311,F3311/V3311)/Dashboard!$F$11</f>
        <v>34.389289159028039</v>
      </c>
      <c r="F3311" s="359">
        <f t="shared" si="3367"/>
        <v>6299149.9780185502</v>
      </c>
      <c r="G3311" s="359">
        <f>'DRE + DCF'!$W$31</f>
        <v>2791623.3540418856</v>
      </c>
      <c r="H3311" s="359">
        <f>'DRE + DCF'!$W$32</f>
        <v>81081.931703745853</v>
      </c>
      <c r="I3311" s="359">
        <f>-H3311*('DRE + DCF'!$V$33+K3311)/'DRE + DCF'!$V$33</f>
        <v>-90858.801614444121</v>
      </c>
      <c r="J3311" s="359">
        <f>-'DRE + DCF'!$V$56*L3311</f>
        <v>-1188924.4255577971</v>
      </c>
      <c r="K3311" s="360">
        <f>(1+L3311)/(1+Ke!$O$12)-1</f>
        <v>2.0000000000000018E-2</v>
      </c>
      <c r="L3311" s="360">
        <f>'DRE + DCF'!$Y$31</f>
        <v>7.3550000000000004E-2</v>
      </c>
      <c r="M3311" s="361">
        <f>(1+D3311)^((5-Dashboard!$F$9)*3/12)</f>
        <v>1.2897054341994187</v>
      </c>
      <c r="N3311" s="361">
        <f t="shared" ref="N3311:V3311" si="3402">M3311*(1+$D3311)</f>
        <v>1.8105529738008161</v>
      </c>
      <c r="O3311" s="361">
        <f t="shared" si="3402"/>
        <v>2.5417447922702228</v>
      </c>
      <c r="P3311" s="361">
        <f t="shared" si="3402"/>
        <v>3.5682284266284778</v>
      </c>
      <c r="Q3311" s="361">
        <f t="shared" si="3402"/>
        <v>5.0092574767222846</v>
      </c>
      <c r="R3311" s="361">
        <f t="shared" si="3402"/>
        <v>7.032246108696433</v>
      </c>
      <c r="S3311" s="361">
        <f t="shared" si="3402"/>
        <v>9.8722186996932813</v>
      </c>
      <c r="T3311" s="361">
        <f t="shared" si="3402"/>
        <v>13.859114221564123</v>
      </c>
      <c r="U3311" s="361">
        <f t="shared" si="3402"/>
        <v>19.45611749994239</v>
      </c>
      <c r="V3311" s="362">
        <f t="shared" si="3402"/>
        <v>27.313470552293555</v>
      </c>
      <c r="X3311" s="351"/>
    </row>
    <row r="3312" spans="3:24" ht="24.75" customHeight="1" x14ac:dyDescent="0.3">
      <c r="C3312" s="353">
        <f>ABS(E3312-Dashboard!$F$14)</f>
        <v>62.613023608937056</v>
      </c>
      <c r="D3312" s="350">
        <f t="shared" si="3369"/>
        <v>0.40394999999997078</v>
      </c>
      <c r="E3312" s="359" cm="1">
        <f t="array" ref="E3312">1000*SUM('DRE + DCF'!$L$36/M3312,'DRE + DCF'!$N$36:$V$36/N3312:V3312,F3312/V3312)/Dashboard!$F$11</f>
        <v>34.376976391062939</v>
      </c>
      <c r="F3312" s="359">
        <f t="shared" si="3367"/>
        <v>6297447.9324291684</v>
      </c>
      <c r="G3312" s="359">
        <f>'DRE + DCF'!$W$31</f>
        <v>2791623.3540418856</v>
      </c>
      <c r="H3312" s="359">
        <f>'DRE + DCF'!$W$32</f>
        <v>81081.931703745853</v>
      </c>
      <c r="I3312" s="359">
        <f>-H3312*('DRE + DCF'!$V$33+K3312)/'DRE + DCF'!$V$33</f>
        <v>-90858.801614444121</v>
      </c>
      <c r="J3312" s="359">
        <f>-'DRE + DCF'!$V$56*L3312</f>
        <v>-1188924.4255577971</v>
      </c>
      <c r="K3312" s="360">
        <f>(1+L3312)/(1+Ke!$O$12)-1</f>
        <v>2.0000000000000018E-2</v>
      </c>
      <c r="L3312" s="360">
        <f>'DRE + DCF'!$Y$31</f>
        <v>7.3550000000000004E-2</v>
      </c>
      <c r="M3312" s="361">
        <f>(1+D3312)^((5-Dashboard!$F$9)*3/12)</f>
        <v>1.2897743354682987</v>
      </c>
      <c r="N3312" s="361">
        <f t="shared" ref="N3312:V3312" si="3403">M3312*(1+$D3312)</f>
        <v>1.8107786782806801</v>
      </c>
      <c r="O3312" s="361">
        <f t="shared" si="3403"/>
        <v>2.5422427253721076</v>
      </c>
      <c r="P3312" s="361">
        <f t="shared" si="3403"/>
        <v>3.5691816742860962</v>
      </c>
      <c r="Q3312" s="361">
        <f t="shared" si="3403"/>
        <v>5.0109526116138605</v>
      </c>
      <c r="R3312" s="361">
        <f t="shared" si="3403"/>
        <v>7.0351269190751324</v>
      </c>
      <c r="S3312" s="361">
        <f t="shared" si="3403"/>
        <v>9.8769664380353266</v>
      </c>
      <c r="T3312" s="361">
        <f t="shared" si="3403"/>
        <v>13.866767030679407</v>
      </c>
      <c r="U3312" s="361">
        <f t="shared" si="3403"/>
        <v>19.468247572721946</v>
      </c>
      <c r="V3312" s="362">
        <f t="shared" si="3403"/>
        <v>27.332446179722407</v>
      </c>
      <c r="X3312" s="351"/>
    </row>
    <row r="3313" spans="3:24" ht="24.75" customHeight="1" x14ac:dyDescent="0.3">
      <c r="C3313" s="353">
        <f>ABS(E3313-Dashboard!$F$14)</f>
        <v>62.625328160944733</v>
      </c>
      <c r="D3313" s="350">
        <f t="shared" si="3369"/>
        <v>0.40404999999997077</v>
      </c>
      <c r="E3313" s="359" cm="1">
        <f t="array" ref="E3313">1000*SUM('DRE + DCF'!$L$36/M3313,'DRE + DCF'!$N$36:$V$36/N3313:V3313,F3313/V3313)/Dashboard!$F$11</f>
        <v>34.364671839055262</v>
      </c>
      <c r="F3313" s="359">
        <f t="shared" si="3367"/>
        <v>6295746.8156390022</v>
      </c>
      <c r="G3313" s="359">
        <f>'DRE + DCF'!$W$31</f>
        <v>2791623.3540418856</v>
      </c>
      <c r="H3313" s="359">
        <f>'DRE + DCF'!$W$32</f>
        <v>81081.931703745853</v>
      </c>
      <c r="I3313" s="359">
        <f>-H3313*('DRE + DCF'!$V$33+K3313)/'DRE + DCF'!$V$33</f>
        <v>-90858.801614444121</v>
      </c>
      <c r="J3313" s="359">
        <f>-'DRE + DCF'!$V$56*L3313</f>
        <v>-1188924.4255577971</v>
      </c>
      <c r="K3313" s="360">
        <f>(1+L3313)/(1+Ke!$O$12)-1</f>
        <v>2.0000000000000018E-2</v>
      </c>
      <c r="L3313" s="360">
        <f>'DRE + DCF'!$Y$31</f>
        <v>7.3550000000000004E-2</v>
      </c>
      <c r="M3313" s="361">
        <f>(1+D3313)^((5-Dashboard!$F$9)*3/12)</f>
        <v>1.2898432355102711</v>
      </c>
      <c r="N3313" s="361">
        <f t="shared" ref="N3313:V3313" si="3404">M3313*(1+$D3313)</f>
        <v>1.8110043948181584</v>
      </c>
      <c r="O3313" s="361">
        <f t="shared" si="3404"/>
        <v>2.5427407205443822</v>
      </c>
      <c r="P3313" s="361">
        <f t="shared" si="3404"/>
        <v>3.5701351086802653</v>
      </c>
      <c r="Q3313" s="361">
        <f t="shared" si="3404"/>
        <v>5.0126481993424221</v>
      </c>
      <c r="R3313" s="361">
        <f t="shared" si="3404"/>
        <v>7.0380087042865807</v>
      </c>
      <c r="S3313" s="361">
        <f t="shared" si="3404"/>
        <v>9.8817161212533673</v>
      </c>
      <c r="T3313" s="361">
        <f t="shared" si="3404"/>
        <v>13.8744235200455</v>
      </c>
      <c r="U3313" s="361">
        <f t="shared" si="3404"/>
        <v>19.480384343319479</v>
      </c>
      <c r="V3313" s="362">
        <f t="shared" si="3404"/>
        <v>27.351433637237143</v>
      </c>
      <c r="X3313" s="351"/>
    </row>
    <row r="3314" spans="3:24" ht="24.75" customHeight="1" x14ac:dyDescent="0.3">
      <c r="C3314" s="353">
        <f>ABS(E3314-Dashboard!$F$14)</f>
        <v>62.637624504698543</v>
      </c>
      <c r="D3314" s="350">
        <f t="shared" si="3369"/>
        <v>0.40414999999997075</v>
      </c>
      <c r="E3314" s="359" cm="1">
        <f t="array" ref="E3314">1000*SUM('DRE + DCF'!$L$36/M3314,'DRE + DCF'!$N$36:$V$36/N3314:V3314,F3314/V3314)/Dashboard!$F$11</f>
        <v>34.352375495301452</v>
      </c>
      <c r="F3314" s="359">
        <f t="shared" si="3367"/>
        <v>6294046.6268803049</v>
      </c>
      <c r="G3314" s="359">
        <f>'DRE + DCF'!$W$31</f>
        <v>2791623.3540418856</v>
      </c>
      <c r="H3314" s="359">
        <f>'DRE + DCF'!$W$32</f>
        <v>81081.931703745853</v>
      </c>
      <c r="I3314" s="359">
        <f>-H3314*('DRE + DCF'!$V$33+K3314)/'DRE + DCF'!$V$33</f>
        <v>-90858.801614444121</v>
      </c>
      <c r="J3314" s="359">
        <f>-'DRE + DCF'!$V$56*L3314</f>
        <v>-1188924.4255577971</v>
      </c>
      <c r="K3314" s="360">
        <f>(1+L3314)/(1+Ke!$O$12)-1</f>
        <v>2.0000000000000018E-2</v>
      </c>
      <c r="L3314" s="360">
        <f>'DRE + DCF'!$Y$31</f>
        <v>7.3550000000000004E-2</v>
      </c>
      <c r="M3314" s="361">
        <f>(1+D3314)^((5-Dashboard!$F$9)*3/12)</f>
        <v>1.2899121343254458</v>
      </c>
      <c r="N3314" s="361">
        <f t="shared" ref="N3314:V3314" si="3405">M3314*(1+$D3314)</f>
        <v>1.811230123413037</v>
      </c>
      <c r="O3314" s="361">
        <f t="shared" si="3405"/>
        <v>2.5432387777903629</v>
      </c>
      <c r="P3314" s="361">
        <f t="shared" si="3405"/>
        <v>3.5710887298342637</v>
      </c>
      <c r="Q3314" s="361">
        <f t="shared" si="3405"/>
        <v>5.0143442399966771</v>
      </c>
      <c r="R3314" s="361">
        <f t="shared" si="3405"/>
        <v>7.0408914645911871</v>
      </c>
      <c r="S3314" s="361">
        <f t="shared" si="3405"/>
        <v>9.8864677500055098</v>
      </c>
      <c r="T3314" s="361">
        <f t="shared" si="3405"/>
        <v>13.882083691169948</v>
      </c>
      <c r="U3314" s="361">
        <f t="shared" si="3405"/>
        <v>19.492527814955874</v>
      </c>
      <c r="V3314" s="362">
        <f t="shared" si="3405"/>
        <v>27.37043293136972</v>
      </c>
      <c r="X3314" s="351"/>
    </row>
    <row r="3315" spans="3:24" ht="24.75" customHeight="1" x14ac:dyDescent="0.3">
      <c r="C3315" s="353">
        <f>ABS(E3315-Dashboard!$F$14)</f>
        <v>62.649912647892819</v>
      </c>
      <c r="D3315" s="350">
        <f t="shared" si="3369"/>
        <v>0.40424999999997074</v>
      </c>
      <c r="E3315" s="359" cm="1">
        <f t="array" ref="E3315">1000*SUM('DRE + DCF'!$L$36/M3315,'DRE + DCF'!$N$36:$V$36/N3315:V3315,F3315/V3315)/Dashboard!$F$11</f>
        <v>34.340087352107176</v>
      </c>
      <c r="F3315" s="359">
        <f t="shared" si="3367"/>
        <v>6292347.3653861843</v>
      </c>
      <c r="G3315" s="359">
        <f>'DRE + DCF'!$W$31</f>
        <v>2791623.3540418856</v>
      </c>
      <c r="H3315" s="359">
        <f>'DRE + DCF'!$W$32</f>
        <v>81081.931703745853</v>
      </c>
      <c r="I3315" s="359">
        <f>-H3315*('DRE + DCF'!$V$33+K3315)/'DRE + DCF'!$V$33</f>
        <v>-90858.801614444121</v>
      </c>
      <c r="J3315" s="359">
        <f>-'DRE + DCF'!$V$56*L3315</f>
        <v>-1188924.4255577971</v>
      </c>
      <c r="K3315" s="360">
        <f>(1+L3315)/(1+Ke!$O$12)-1</f>
        <v>2.0000000000000018E-2</v>
      </c>
      <c r="L3315" s="360">
        <f>'DRE + DCF'!$Y$31</f>
        <v>7.3550000000000004E-2</v>
      </c>
      <c r="M3315" s="361">
        <f>(1+D3315)^((5-Dashboard!$F$9)*3/12)</f>
        <v>1.2899810319139318</v>
      </c>
      <c r="N3315" s="361">
        <f t="shared" ref="N3315:V3315" si="3406">M3315*(1+$D3315)</f>
        <v>1.8114558640651008</v>
      </c>
      <c r="O3315" s="361">
        <f t="shared" si="3406"/>
        <v>2.5437368971133649</v>
      </c>
      <c r="P3315" s="361">
        <f t="shared" si="3406"/>
        <v>3.572042537771368</v>
      </c>
      <c r="Q3315" s="361">
        <f t="shared" si="3406"/>
        <v>5.0160407336653385</v>
      </c>
      <c r="R3315" s="361">
        <f t="shared" si="3406"/>
        <v>7.0437752002494047</v>
      </c>
      <c r="S3315" s="361">
        <f t="shared" si="3406"/>
        <v>9.8912213249500205</v>
      </c>
      <c r="T3315" s="361">
        <f t="shared" si="3406"/>
        <v>13.889747545560777</v>
      </c>
      <c r="U3315" s="361">
        <f t="shared" si="3406"/>
        <v>19.504677990853313</v>
      </c>
      <c r="V3315" s="362">
        <f t="shared" si="3406"/>
        <v>27.389444068655195</v>
      </c>
      <c r="X3315" s="351"/>
    </row>
    <row r="3316" spans="3:24" ht="24.75" customHeight="1" x14ac:dyDescent="0.3">
      <c r="C3316" s="353">
        <f>ABS(E3316-Dashboard!$F$14)</f>
        <v>62.662192598212727</v>
      </c>
      <c r="D3316" s="350">
        <f t="shared" si="3369"/>
        <v>0.40434999999997073</v>
      </c>
      <c r="E3316" s="359" cm="1">
        <f t="array" ref="E3316">1000*SUM('DRE + DCF'!$L$36/M3316,'DRE + DCF'!$N$36:$V$36/N3316:V3316,F3316/V3316)/Dashboard!$F$11</f>
        <v>34.327807401787268</v>
      </c>
      <c r="F3316" s="359">
        <f t="shared" si="3367"/>
        <v>6290649.0303906053</v>
      </c>
      <c r="G3316" s="359">
        <f>'DRE + DCF'!$W$31</f>
        <v>2791623.3540418856</v>
      </c>
      <c r="H3316" s="359">
        <f>'DRE + DCF'!$W$32</f>
        <v>81081.931703745853</v>
      </c>
      <c r="I3316" s="359">
        <f>-H3316*('DRE + DCF'!$V$33+K3316)/'DRE + DCF'!$V$33</f>
        <v>-90858.801614444121</v>
      </c>
      <c r="J3316" s="359">
        <f>-'DRE + DCF'!$V$56*L3316</f>
        <v>-1188924.4255577971</v>
      </c>
      <c r="K3316" s="360">
        <f>(1+L3316)/(1+Ke!$O$12)-1</f>
        <v>2.0000000000000018E-2</v>
      </c>
      <c r="L3316" s="360">
        <f>'DRE + DCF'!$Y$31</f>
        <v>7.3550000000000004E-2</v>
      </c>
      <c r="M3316" s="361">
        <f>(1+D3316)^((5-Dashboard!$F$9)*3/12)</f>
        <v>1.290049928275838</v>
      </c>
      <c r="N3316" s="361">
        <f t="shared" ref="N3316:V3316" si="3407">M3316*(1+$D3316)</f>
        <v>1.8116816167741352</v>
      </c>
      <c r="O3316" s="361">
        <f t="shared" si="3407"/>
        <v>2.5442350785167038</v>
      </c>
      <c r="P3316" s="361">
        <f t="shared" si="3407"/>
        <v>3.5729965325148583</v>
      </c>
      <c r="Q3316" s="361">
        <f t="shared" si="3407"/>
        <v>5.0177376804371363</v>
      </c>
      <c r="R3316" s="361">
        <f t="shared" si="3407"/>
        <v>7.0466599115217452</v>
      </c>
      <c r="S3316" s="361">
        <f t="shared" si="3407"/>
        <v>9.8959768467453557</v>
      </c>
      <c r="T3316" s="361">
        <f t="shared" si="3407"/>
        <v>13.89741508472655</v>
      </c>
      <c r="U3316" s="361">
        <f t="shared" si="3407"/>
        <v>19.516834874235322</v>
      </c>
      <c r="V3316" s="362">
        <f t="shared" si="3407"/>
        <v>27.408467055631803</v>
      </c>
      <c r="X3316" s="351"/>
    </row>
    <row r="3317" spans="3:24" ht="24.75" customHeight="1" x14ac:dyDescent="0.3">
      <c r="C3317" s="353">
        <f>ABS(E3317-Dashboard!$F$14)</f>
        <v>62.67446436333428</v>
      </c>
      <c r="D3317" s="350">
        <f t="shared" si="3369"/>
        <v>0.40444999999997072</v>
      </c>
      <c r="E3317" s="359" cm="1">
        <f t="array" ref="E3317">1000*SUM('DRE + DCF'!$L$36/M3317,'DRE + DCF'!$N$36:$V$36/N3317:V3317,F3317/V3317)/Dashboard!$F$11</f>
        <v>34.315535636665714</v>
      </c>
      <c r="F3317" s="359">
        <f t="shared" si="3367"/>
        <v>6288951.6211283803</v>
      </c>
      <c r="G3317" s="359">
        <f>'DRE + DCF'!$W$31</f>
        <v>2791623.3540418856</v>
      </c>
      <c r="H3317" s="359">
        <f>'DRE + DCF'!$W$32</f>
        <v>81081.931703745853</v>
      </c>
      <c r="I3317" s="359">
        <f>-H3317*('DRE + DCF'!$V$33+K3317)/'DRE + DCF'!$V$33</f>
        <v>-90858.801614444121</v>
      </c>
      <c r="J3317" s="359">
        <f>-'DRE + DCF'!$V$56*L3317</f>
        <v>-1188924.4255577971</v>
      </c>
      <c r="K3317" s="360">
        <f>(1+L3317)/(1+Ke!$O$12)-1</f>
        <v>2.0000000000000018E-2</v>
      </c>
      <c r="L3317" s="360">
        <f>'DRE + DCF'!$Y$31</f>
        <v>7.3550000000000004E-2</v>
      </c>
      <c r="M3317" s="361">
        <f>(1+D3317)^((5-Dashboard!$F$9)*3/12)</f>
        <v>1.2901188234112739</v>
      </c>
      <c r="N3317" s="361">
        <f t="shared" ref="N3317:V3317" si="3408">M3317*(1+$D3317)</f>
        <v>1.8119073815399258</v>
      </c>
      <c r="O3317" s="361">
        <f t="shared" si="3408"/>
        <v>2.5447333220036956</v>
      </c>
      <c r="P3317" s="361">
        <f t="shared" si="3408"/>
        <v>3.5739507140880158</v>
      </c>
      <c r="Q3317" s="361">
        <f t="shared" si="3408"/>
        <v>5.0194350804008092</v>
      </c>
      <c r="R3317" s="361">
        <f t="shared" si="3408"/>
        <v>7.049545598668769</v>
      </c>
      <c r="S3317" s="361">
        <f t="shared" si="3408"/>
        <v>9.900734316050146</v>
      </c>
      <c r="T3317" s="361">
        <f t="shared" si="3408"/>
        <v>13.905086310176337</v>
      </c>
      <c r="U3317" s="361">
        <f t="shared" si="3408"/>
        <v>19.528998468326748</v>
      </c>
      <c r="V3317" s="362">
        <f t="shared" si="3408"/>
        <v>27.427501898840926</v>
      </c>
      <c r="X3317" s="351"/>
    </row>
    <row r="3318" spans="3:24" ht="24.75" customHeight="1" x14ac:dyDescent="0.3">
      <c r="C3318" s="353">
        <f>ABS(E3318-Dashboard!$F$14)</f>
        <v>62.686727950924308</v>
      </c>
      <c r="D3318" s="350">
        <f t="shared" si="3369"/>
        <v>0.40454999999997071</v>
      </c>
      <c r="E3318" s="359" cm="1">
        <f t="array" ref="E3318">1000*SUM('DRE + DCF'!$L$36/M3318,'DRE + DCF'!$N$36:$V$36/N3318:V3318,F3318/V3318)/Dashboard!$F$11</f>
        <v>34.303272049075687</v>
      </c>
      <c r="F3318" s="359">
        <f t="shared" si="3367"/>
        <v>6287255.1368351746</v>
      </c>
      <c r="G3318" s="359">
        <f>'DRE + DCF'!$W$31</f>
        <v>2791623.3540418856</v>
      </c>
      <c r="H3318" s="359">
        <f>'DRE + DCF'!$W$32</f>
        <v>81081.931703745853</v>
      </c>
      <c r="I3318" s="359">
        <f>-H3318*('DRE + DCF'!$V$33+K3318)/'DRE + DCF'!$V$33</f>
        <v>-90858.801614444121</v>
      </c>
      <c r="J3318" s="359">
        <f>-'DRE + DCF'!$V$56*L3318</f>
        <v>-1188924.4255577971</v>
      </c>
      <c r="K3318" s="360">
        <f>(1+L3318)/(1+Ke!$O$12)-1</f>
        <v>2.0000000000000018E-2</v>
      </c>
      <c r="L3318" s="360">
        <f>'DRE + DCF'!$Y$31</f>
        <v>7.3550000000000004E-2</v>
      </c>
      <c r="M3318" s="361">
        <f>(1+D3318)^((5-Dashboard!$F$9)*3/12)</f>
        <v>1.2901877173203484</v>
      </c>
      <c r="N3318" s="361">
        <f t="shared" ref="N3318:V3318" si="3409">M3318*(1+$D3318)</f>
        <v>1.8121331583622575</v>
      </c>
      <c r="O3318" s="361">
        <f t="shared" si="3409"/>
        <v>2.5452316275776554</v>
      </c>
      <c r="P3318" s="361">
        <f t="shared" si="3409"/>
        <v>3.5749050825141211</v>
      </c>
      <c r="Q3318" s="361">
        <f t="shared" si="3409"/>
        <v>5.021132933645104</v>
      </c>
      <c r="R3318" s="361">
        <f t="shared" si="3409"/>
        <v>7.0524322619510835</v>
      </c>
      <c r="S3318" s="361">
        <f t="shared" si="3409"/>
        <v>9.905493733523187</v>
      </c>
      <c r="T3318" s="361">
        <f t="shared" si="3409"/>
        <v>13.912761223419702</v>
      </c>
      <c r="U3318" s="361">
        <f t="shared" si="3409"/>
        <v>19.541168776353736</v>
      </c>
      <c r="V3318" s="362">
        <f t="shared" si="3409"/>
        <v>27.446548604827065</v>
      </c>
      <c r="X3318" s="351"/>
    </row>
    <row r="3319" spans="3:24" ht="24.75" customHeight="1" x14ac:dyDescent="0.3">
      <c r="C3319" s="353">
        <f>ABS(E3319-Dashboard!$F$14)</f>
        <v>62.698983368640512</v>
      </c>
      <c r="D3319" s="350">
        <f t="shared" si="3369"/>
        <v>0.4046499999999707</v>
      </c>
      <c r="E3319" s="359" cm="1">
        <f t="array" ref="E3319">1000*SUM('DRE + DCF'!$L$36/M3319,'DRE + DCF'!$N$36:$V$36/N3319:V3319,F3319/V3319)/Dashboard!$F$11</f>
        <v>34.291016631359483</v>
      </c>
      <c r="F3319" s="359">
        <f t="shared" si="3367"/>
        <v>6285559.5767475031</v>
      </c>
      <c r="G3319" s="359">
        <f>'DRE + DCF'!$W$31</f>
        <v>2791623.3540418856</v>
      </c>
      <c r="H3319" s="359">
        <f>'DRE + DCF'!$W$32</f>
        <v>81081.931703745853</v>
      </c>
      <c r="I3319" s="359">
        <f>-H3319*('DRE + DCF'!$V$33+K3319)/'DRE + DCF'!$V$33</f>
        <v>-90858.801614444121</v>
      </c>
      <c r="J3319" s="359">
        <f>-'DRE + DCF'!$V$56*L3319</f>
        <v>-1188924.4255577971</v>
      </c>
      <c r="K3319" s="360">
        <f>(1+L3319)/(1+Ke!$O$12)-1</f>
        <v>2.0000000000000018E-2</v>
      </c>
      <c r="L3319" s="360">
        <f>'DRE + DCF'!$Y$31</f>
        <v>7.3550000000000004E-2</v>
      </c>
      <c r="M3319" s="361">
        <f>(1+D3319)^((5-Dashboard!$F$9)*3/12)</f>
        <v>1.2902566100031709</v>
      </c>
      <c r="N3319" s="361">
        <f t="shared" ref="N3319:V3319" si="3410">M3319*(1+$D3319)</f>
        <v>1.8123589472409163</v>
      </c>
      <c r="O3319" s="361">
        <f t="shared" si="3410"/>
        <v>2.5457299952418997</v>
      </c>
      <c r="P3319" s="361">
        <f t="shared" si="3410"/>
        <v>3.5758596378164595</v>
      </c>
      <c r="Q3319" s="361">
        <f t="shared" si="3410"/>
        <v>5.0228312402587854</v>
      </c>
      <c r="R3319" s="361">
        <f t="shared" si="3410"/>
        <v>7.0553199016293551</v>
      </c>
      <c r="S3319" s="361">
        <f t="shared" si="3410"/>
        <v>9.9102550998234662</v>
      </c>
      <c r="T3319" s="361">
        <f t="shared" si="3410"/>
        <v>13.92043982596674</v>
      </c>
      <c r="U3319" s="361">
        <f t="shared" si="3410"/>
        <v>19.553345801543774</v>
      </c>
      <c r="V3319" s="362">
        <f t="shared" si="3410"/>
        <v>27.465607180137887</v>
      </c>
      <c r="X3319" s="351"/>
    </row>
    <row r="3320" spans="3:24" ht="24.75" customHeight="1" x14ac:dyDescent="0.3">
      <c r="C3320" s="353">
        <f>ABS(E3320-Dashboard!$F$14)</f>
        <v>62.711230624131474</v>
      </c>
      <c r="D3320" s="350">
        <f t="shared" si="3369"/>
        <v>0.40474999999997069</v>
      </c>
      <c r="E3320" s="359" cm="1">
        <f t="array" ref="E3320">1000*SUM('DRE + DCF'!$L$36/M3320,'DRE + DCF'!$N$36:$V$36/N3320:V3320,F3320/V3320)/Dashboard!$F$11</f>
        <v>34.278769375868521</v>
      </c>
      <c r="F3320" s="359">
        <f t="shared" si="3367"/>
        <v>6283864.9401027281</v>
      </c>
      <c r="G3320" s="359">
        <f>'DRE + DCF'!$W$31</f>
        <v>2791623.3540418856</v>
      </c>
      <c r="H3320" s="359">
        <f>'DRE + DCF'!$W$32</f>
        <v>81081.931703745853</v>
      </c>
      <c r="I3320" s="359">
        <f>-H3320*('DRE + DCF'!$V$33+K3320)/'DRE + DCF'!$V$33</f>
        <v>-90858.801614444121</v>
      </c>
      <c r="J3320" s="359">
        <f>-'DRE + DCF'!$V$56*L3320</f>
        <v>-1188924.4255577971</v>
      </c>
      <c r="K3320" s="360">
        <f>(1+L3320)/(1+Ke!$O$12)-1</f>
        <v>2.0000000000000018E-2</v>
      </c>
      <c r="L3320" s="360">
        <f>'DRE + DCF'!$Y$31</f>
        <v>7.3550000000000004E-2</v>
      </c>
      <c r="M3320" s="361">
        <f>(1+D3320)^((5-Dashboard!$F$9)*3/12)</f>
        <v>1.2903255014598507</v>
      </c>
      <c r="N3320" s="361">
        <f t="shared" ref="N3320:V3320" si="3411">M3320*(1+$D3320)</f>
        <v>1.8125847481756874</v>
      </c>
      <c r="O3320" s="361">
        <f t="shared" si="3411"/>
        <v>2.5462284249997436</v>
      </c>
      <c r="P3320" s="361">
        <f t="shared" si="3411"/>
        <v>3.5768143800183152</v>
      </c>
      <c r="Q3320" s="361">
        <f t="shared" si="3411"/>
        <v>5.024530000330623</v>
      </c>
      <c r="R3320" s="361">
        <f t="shared" si="3411"/>
        <v>7.058208517964295</v>
      </c>
      <c r="S3320" s="361">
        <f t="shared" si="3411"/>
        <v>9.9150184156101364</v>
      </c>
      <c r="T3320" s="361">
        <f t="shared" si="3411"/>
        <v>13.928122119328048</v>
      </c>
      <c r="U3320" s="361">
        <f t="shared" si="3411"/>
        <v>19.565529547125667</v>
      </c>
      <c r="V3320" s="362">
        <f t="shared" si="3411"/>
        <v>27.484677631324207</v>
      </c>
      <c r="X3320" s="351"/>
    </row>
    <row r="3321" spans="3:24" ht="24.75" customHeight="1" x14ac:dyDescent="0.3">
      <c r="C3321" s="353">
        <f>ABS(E3321-Dashboard!$F$14)</f>
        <v>62.72346972503663</v>
      </c>
      <c r="D3321" s="350">
        <f t="shared" si="3369"/>
        <v>0.40484999999997068</v>
      </c>
      <c r="E3321" s="359" cm="1">
        <f t="array" ref="E3321">1000*SUM('DRE + DCF'!$L$36/M3321,'DRE + DCF'!$N$36:$V$36/N3321:V3321,F3321/V3321)/Dashboard!$F$11</f>
        <v>34.266530274963365</v>
      </c>
      <c r="F3321" s="359">
        <f t="shared" si="3367"/>
        <v>6282171.2261390612</v>
      </c>
      <c r="G3321" s="359">
        <f>'DRE + DCF'!$W$31</f>
        <v>2791623.3540418856</v>
      </c>
      <c r="H3321" s="359">
        <f>'DRE + DCF'!$W$32</f>
        <v>81081.931703745853</v>
      </c>
      <c r="I3321" s="359">
        <f>-H3321*('DRE + DCF'!$V$33+K3321)/'DRE + DCF'!$V$33</f>
        <v>-90858.801614444121</v>
      </c>
      <c r="J3321" s="359">
        <f>-'DRE + DCF'!$V$56*L3321</f>
        <v>-1188924.4255577971</v>
      </c>
      <c r="K3321" s="360">
        <f>(1+L3321)/(1+Ke!$O$12)-1</f>
        <v>2.0000000000000018E-2</v>
      </c>
      <c r="L3321" s="360">
        <f>'DRE + DCF'!$Y$31</f>
        <v>7.3550000000000004E-2</v>
      </c>
      <c r="M3321" s="361">
        <f>(1+D3321)^((5-Dashboard!$F$9)*3/12)</f>
        <v>1.2903943916904961</v>
      </c>
      <c r="N3321" s="361">
        <f t="shared" ref="N3321:V3321" si="3412">M3321*(1+$D3321)</f>
        <v>1.8128105611663554</v>
      </c>
      <c r="O3321" s="361">
        <f t="shared" si="3412"/>
        <v>2.5467269168545013</v>
      </c>
      <c r="P3321" s="361">
        <f t="shared" si="3412"/>
        <v>3.5777693091429712</v>
      </c>
      <c r="Q3321" s="361">
        <f t="shared" si="3412"/>
        <v>5.0262292139493976</v>
      </c>
      <c r="R3321" s="361">
        <f t="shared" si="3412"/>
        <v>7.0610981112166638</v>
      </c>
      <c r="S3321" s="361">
        <f t="shared" si="3412"/>
        <v>9.9197836815425227</v>
      </c>
      <c r="T3321" s="361">
        <f t="shared" si="3412"/>
        <v>13.935808105014722</v>
      </c>
      <c r="U3321" s="361">
        <f t="shared" si="3412"/>
        <v>19.577720016329522</v>
      </c>
      <c r="V3321" s="362">
        <f t="shared" si="3412"/>
        <v>27.503759964939952</v>
      </c>
      <c r="X3321" s="351"/>
    </row>
    <row r="3322" spans="3:24" ht="24.75" customHeight="1" x14ac:dyDescent="0.3">
      <c r="C3322" s="353">
        <f>ABS(E3322-Dashboard!$F$14)</f>
        <v>62.735700678986362</v>
      </c>
      <c r="D3322" s="350">
        <f t="shared" si="3369"/>
        <v>0.40494999999997067</v>
      </c>
      <c r="E3322" s="359" cm="1">
        <f t="array" ref="E3322">1000*SUM('DRE + DCF'!$L$36/M3322,'DRE + DCF'!$N$36:$V$36/N3322:V3322,F3322/V3322)/Dashboard!$F$11</f>
        <v>34.254299321013633</v>
      </c>
      <c r="F3322" s="359">
        <f t="shared" si="3367"/>
        <v>6280478.4340955578</v>
      </c>
      <c r="G3322" s="359">
        <f>'DRE + DCF'!$W$31</f>
        <v>2791623.3540418856</v>
      </c>
      <c r="H3322" s="359">
        <f>'DRE + DCF'!$W$32</f>
        <v>81081.931703745853</v>
      </c>
      <c r="I3322" s="359">
        <f>-H3322*('DRE + DCF'!$V$33+K3322)/'DRE + DCF'!$V$33</f>
        <v>-90858.801614444121</v>
      </c>
      <c r="J3322" s="359">
        <f>-'DRE + DCF'!$V$56*L3322</f>
        <v>-1188924.4255577971</v>
      </c>
      <c r="K3322" s="360">
        <f>(1+L3322)/(1+Ke!$O$12)-1</f>
        <v>2.0000000000000018E-2</v>
      </c>
      <c r="L3322" s="360">
        <f>'DRE + DCF'!$Y$31</f>
        <v>7.3550000000000004E-2</v>
      </c>
      <c r="M3322" s="361">
        <f>(1+D3322)^((5-Dashboard!$F$9)*3/12)</f>
        <v>1.2904632806952172</v>
      </c>
      <c r="N3322" s="361">
        <f t="shared" ref="N3322:V3322" si="3413">M3322*(1+$D3322)</f>
        <v>1.8130363862127075</v>
      </c>
      <c r="O3322" s="361">
        <f t="shared" si="3413"/>
        <v>2.5472254708094901</v>
      </c>
      <c r="P3322" s="361">
        <f t="shared" si="3413"/>
        <v>3.5787244252137183</v>
      </c>
      <c r="Q3322" s="361">
        <f t="shared" si="3413"/>
        <v>5.0279288812039082</v>
      </c>
      <c r="R3322" s="361">
        <f t="shared" si="3413"/>
        <v>7.0639886816472828</v>
      </c>
      <c r="S3322" s="361">
        <f t="shared" si="3413"/>
        <v>9.9245508982801418</v>
      </c>
      <c r="T3322" s="361">
        <f t="shared" si="3413"/>
        <v>13.943497784538394</v>
      </c>
      <c r="U3322" s="361">
        <f t="shared" si="3413"/>
        <v>19.589917212386808</v>
      </c>
      <c r="V3322" s="362">
        <f t="shared" si="3413"/>
        <v>27.522854187542272</v>
      </c>
      <c r="X3322" s="351"/>
    </row>
    <row r="3323" spans="3:24" ht="24.75" customHeight="1" x14ac:dyDescent="0.3">
      <c r="C3323" s="353">
        <f>ABS(E3323-Dashboard!$F$14)</f>
        <v>62.747923493601888</v>
      </c>
      <c r="D3323" s="350">
        <f t="shared" si="3369"/>
        <v>0.40504999999997066</v>
      </c>
      <c r="E3323" s="359" cm="1">
        <f t="array" ref="E3323">1000*SUM('DRE + DCF'!$L$36/M3323,'DRE + DCF'!$N$36:$V$36/N3323:V3323,F3323/V3323)/Dashboard!$F$11</f>
        <v>34.242076506398107</v>
      </c>
      <c r="F3323" s="359">
        <f t="shared" si="3367"/>
        <v>6278786.5632121181</v>
      </c>
      <c r="G3323" s="359">
        <f>'DRE + DCF'!$W$31</f>
        <v>2791623.3540418856</v>
      </c>
      <c r="H3323" s="359">
        <f>'DRE + DCF'!$W$32</f>
        <v>81081.931703745853</v>
      </c>
      <c r="I3323" s="359">
        <f>-H3323*('DRE + DCF'!$V$33+K3323)/'DRE + DCF'!$V$33</f>
        <v>-90858.801614444121</v>
      </c>
      <c r="J3323" s="359">
        <f>-'DRE + DCF'!$V$56*L3323</f>
        <v>-1188924.4255577971</v>
      </c>
      <c r="K3323" s="360">
        <f>(1+L3323)/(1+Ke!$O$12)-1</f>
        <v>2.0000000000000018E-2</v>
      </c>
      <c r="L3323" s="360">
        <f>'DRE + DCF'!$Y$31</f>
        <v>7.3550000000000004E-2</v>
      </c>
      <c r="M3323" s="361">
        <f>(1+D3323)^((5-Dashboard!$F$9)*3/12)</f>
        <v>1.2905321684741222</v>
      </c>
      <c r="N3323" s="361">
        <f t="shared" ref="N3323:V3323" si="3414">M3323*(1+$D3323)</f>
        <v>1.8132622233145275</v>
      </c>
      <c r="O3323" s="361">
        <f t="shared" si="3414"/>
        <v>2.5477240868680235</v>
      </c>
      <c r="P3323" s="361">
        <f t="shared" si="3414"/>
        <v>3.5796797282538417</v>
      </c>
      <c r="Q3323" s="361">
        <f t="shared" si="3414"/>
        <v>5.0296290021829551</v>
      </c>
      <c r="R3323" s="361">
        <f t="shared" si="3414"/>
        <v>7.0668802295170128</v>
      </c>
      <c r="S3323" s="361">
        <f t="shared" si="3414"/>
        <v>9.9293200664826706</v>
      </c>
      <c r="T3323" s="361">
        <f t="shared" si="3414"/>
        <v>13.951191159411184</v>
      </c>
      <c r="U3323" s="361">
        <f t="shared" si="3414"/>
        <v>19.602121138530276</v>
      </c>
      <c r="V3323" s="362">
        <f t="shared" si="3414"/>
        <v>27.541960305691386</v>
      </c>
      <c r="X3323" s="351"/>
    </row>
    <row r="3324" spans="3:24" ht="24.75" customHeight="1" x14ac:dyDescent="0.3">
      <c r="C3324" s="353">
        <f>ABS(E3324-Dashboard!$F$14)</f>
        <v>62.76013817649546</v>
      </c>
      <c r="D3324" s="350">
        <f t="shared" si="3369"/>
        <v>0.40514999999997064</v>
      </c>
      <c r="E3324" s="359" cm="1">
        <f t="array" ref="E3324">1000*SUM('DRE + DCF'!$L$36/M3324,'DRE + DCF'!$N$36:$V$36/N3324:V3324,F3324/V3324)/Dashboard!$F$11</f>
        <v>34.229861823504535</v>
      </c>
      <c r="F3324" s="359">
        <f t="shared" si="3367"/>
        <v>6277095.612729487</v>
      </c>
      <c r="G3324" s="359">
        <f>'DRE + DCF'!$W$31</f>
        <v>2791623.3540418856</v>
      </c>
      <c r="H3324" s="359">
        <f>'DRE + DCF'!$W$32</f>
        <v>81081.931703745853</v>
      </c>
      <c r="I3324" s="359">
        <f>-H3324*('DRE + DCF'!$V$33+K3324)/'DRE + DCF'!$V$33</f>
        <v>-90858.801614444121</v>
      </c>
      <c r="J3324" s="359">
        <f>-'DRE + DCF'!$V$56*L3324</f>
        <v>-1188924.4255577971</v>
      </c>
      <c r="K3324" s="360">
        <f>(1+L3324)/(1+Ke!$O$12)-1</f>
        <v>2.0000000000000018E-2</v>
      </c>
      <c r="L3324" s="360">
        <f>'DRE + DCF'!$Y$31</f>
        <v>7.3550000000000004E-2</v>
      </c>
      <c r="M3324" s="361">
        <f>(1+D3324)^((5-Dashboard!$F$9)*3/12)</f>
        <v>1.2906010550273206</v>
      </c>
      <c r="N3324" s="361">
        <f t="shared" ref="N3324:V3324" si="3415">M3324*(1+$D3324)</f>
        <v>1.8134880724716016</v>
      </c>
      <c r="O3324" s="361">
        <f t="shared" si="3415"/>
        <v>2.5482227650334175</v>
      </c>
      <c r="P3324" s="361">
        <f t="shared" si="3415"/>
        <v>3.5806352182866314</v>
      </c>
      <c r="Q3324" s="361">
        <f t="shared" si="3415"/>
        <v>5.031329576975355</v>
      </c>
      <c r="R3324" s="361">
        <f t="shared" si="3415"/>
        <v>7.0697727550867722</v>
      </c>
      <c r="S3324" s="361">
        <f t="shared" si="3415"/>
        <v>9.9340911868099706</v>
      </c>
      <c r="T3324" s="361">
        <f t="shared" si="3415"/>
        <v>13.958888231145737</v>
      </c>
      <c r="U3324" s="361">
        <f t="shared" si="3415"/>
        <v>19.614331797994023</v>
      </c>
      <c r="V3324" s="362">
        <f t="shared" si="3415"/>
        <v>27.561078325950724</v>
      </c>
      <c r="X3324" s="351"/>
    </row>
    <row r="3325" spans="3:24" ht="24.75" customHeight="1" x14ac:dyDescent="0.3">
      <c r="C3325" s="353">
        <f>ABS(E3325-Dashboard!$F$14)</f>
        <v>62.772344735270153</v>
      </c>
      <c r="D3325" s="350">
        <f t="shared" si="3369"/>
        <v>0.40524999999997063</v>
      </c>
      <c r="E3325" s="359" cm="1">
        <f t="array" ref="E3325">1000*SUM('DRE + DCF'!$L$36/M3325,'DRE + DCF'!$N$36:$V$36/N3325:V3325,F3325/V3325)/Dashboard!$F$11</f>
        <v>34.217655264729842</v>
      </c>
      <c r="F3325" s="359">
        <f t="shared" si="3367"/>
        <v>6275405.5818892522</v>
      </c>
      <c r="G3325" s="359">
        <f>'DRE + DCF'!$W$31</f>
        <v>2791623.3540418856</v>
      </c>
      <c r="H3325" s="359">
        <f>'DRE + DCF'!$W$32</f>
        <v>81081.931703745853</v>
      </c>
      <c r="I3325" s="359">
        <f>-H3325*('DRE + DCF'!$V$33+K3325)/'DRE + DCF'!$V$33</f>
        <v>-90858.801614444121</v>
      </c>
      <c r="J3325" s="359">
        <f>-'DRE + DCF'!$V$56*L3325</f>
        <v>-1188924.4255577971</v>
      </c>
      <c r="K3325" s="360">
        <f>(1+L3325)/(1+Ke!$O$12)-1</f>
        <v>2.0000000000000018E-2</v>
      </c>
      <c r="L3325" s="360">
        <f>'DRE + DCF'!$Y$31</f>
        <v>7.3550000000000004E-2</v>
      </c>
      <c r="M3325" s="361">
        <f>(1+D3325)^((5-Dashboard!$F$9)*3/12)</f>
        <v>1.2906699403549216</v>
      </c>
      <c r="N3325" s="361">
        <f t="shared" ref="N3325:V3325" si="3416">M3325*(1+$D3325)</f>
        <v>1.8137139336837156</v>
      </c>
      <c r="O3325" s="361">
        <f t="shared" si="3416"/>
        <v>2.548721505308988</v>
      </c>
      <c r="P3325" s="361">
        <f t="shared" si="3416"/>
        <v>3.5815908953353803</v>
      </c>
      <c r="Q3325" s="361">
        <f t="shared" si="3416"/>
        <v>5.0330306056699374</v>
      </c>
      <c r="R3325" s="361">
        <f t="shared" si="3416"/>
        <v>7.0726662586175317</v>
      </c>
      <c r="S3325" s="361">
        <f t="shared" si="3416"/>
        <v>9.9388642599220791</v>
      </c>
      <c r="T3325" s="361">
        <f t="shared" si="3416"/>
        <v>13.96658900125521</v>
      </c>
      <c r="U3325" s="361">
        <f t="shared" si="3416"/>
        <v>19.626549194013474</v>
      </c>
      <c r="V3325" s="362">
        <f t="shared" si="3416"/>
        <v>27.580208254886859</v>
      </c>
      <c r="X3325" s="351"/>
    </row>
    <row r="3326" spans="3:24" ht="24.75" customHeight="1" x14ac:dyDescent="0.3">
      <c r="C3326" s="353">
        <f>ABS(E3326-Dashboard!$F$14)</f>
        <v>62.784543177520064</v>
      </c>
      <c r="D3326" s="350">
        <f t="shared" si="3369"/>
        <v>0.40534999999997062</v>
      </c>
      <c r="E3326" s="359" cm="1">
        <f t="array" ref="E3326">1000*SUM('DRE + DCF'!$L$36/M3326,'DRE + DCF'!$N$36:$V$36/N3326:V3326,F3326/V3326)/Dashboard!$F$11</f>
        <v>34.205456822479931</v>
      </c>
      <c r="F3326" s="359">
        <f t="shared" si="3367"/>
        <v>6273716.4699338414</v>
      </c>
      <c r="G3326" s="359">
        <f>'DRE + DCF'!$W$31</f>
        <v>2791623.3540418856</v>
      </c>
      <c r="H3326" s="359">
        <f>'DRE + DCF'!$W$32</f>
        <v>81081.931703745853</v>
      </c>
      <c r="I3326" s="359">
        <f>-H3326*('DRE + DCF'!$V$33+K3326)/'DRE + DCF'!$V$33</f>
        <v>-90858.801614444121</v>
      </c>
      <c r="J3326" s="359">
        <f>-'DRE + DCF'!$V$56*L3326</f>
        <v>-1188924.4255577971</v>
      </c>
      <c r="K3326" s="360">
        <f>(1+L3326)/(1+Ke!$O$12)-1</f>
        <v>2.0000000000000018E-2</v>
      </c>
      <c r="L3326" s="360">
        <f>'DRE + DCF'!$Y$31</f>
        <v>7.3550000000000004E-2</v>
      </c>
      <c r="M3326" s="361">
        <f>(1+D3326)^((5-Dashboard!$F$9)*3/12)</f>
        <v>1.2907388244570337</v>
      </c>
      <c r="N3326" s="361">
        <f t="shared" ref="N3326:V3326" si="3417">M3326*(1+$D3326)</f>
        <v>1.8139398069506543</v>
      </c>
      <c r="O3326" s="361">
        <f t="shared" si="3417"/>
        <v>2.5492203076980484</v>
      </c>
      <c r="P3326" s="361">
        <f t="shared" si="3417"/>
        <v>3.5825467594233773</v>
      </c>
      <c r="Q3326" s="361">
        <f t="shared" si="3417"/>
        <v>5.034732088355538</v>
      </c>
      <c r="R3326" s="361">
        <f t="shared" si="3417"/>
        <v>7.0755607403703067</v>
      </c>
      <c r="S3326" s="361">
        <f t="shared" si="3417"/>
        <v>9.9436392864792023</v>
      </c>
      <c r="T3326" s="361">
        <f t="shared" si="3417"/>
        <v>13.974293471253254</v>
      </c>
      <c r="U3326" s="361">
        <f t="shared" si="3417"/>
        <v>19.638773329825352</v>
      </c>
      <c r="V3326" s="362">
        <f t="shared" si="3417"/>
        <v>27.599350099069479</v>
      </c>
      <c r="X3326" s="351"/>
    </row>
    <row r="3327" spans="3:24" ht="24.75" customHeight="1" x14ac:dyDescent="0.3">
      <c r="C3327" s="353">
        <f>ABS(E3327-Dashboard!$F$14)</f>
        <v>62.796733510830236</v>
      </c>
      <c r="D3327" s="350">
        <f t="shared" si="3369"/>
        <v>0.40544999999997061</v>
      </c>
      <c r="E3327" s="359" cm="1">
        <f t="array" ref="E3327">1000*SUM('DRE + DCF'!$L$36/M3327,'DRE + DCF'!$N$36:$V$36/N3327:V3327,F3327/V3327)/Dashboard!$F$11</f>
        <v>34.193266489169758</v>
      </c>
      <c r="F3327" s="359">
        <f t="shared" si="3367"/>
        <v>6272028.2761065243</v>
      </c>
      <c r="G3327" s="359">
        <f>'DRE + DCF'!$W$31</f>
        <v>2791623.3540418856</v>
      </c>
      <c r="H3327" s="359">
        <f>'DRE + DCF'!$W$32</f>
        <v>81081.931703745853</v>
      </c>
      <c r="I3327" s="359">
        <f>-H3327*('DRE + DCF'!$V$33+K3327)/'DRE + DCF'!$V$33</f>
        <v>-90858.801614444121</v>
      </c>
      <c r="J3327" s="359">
        <f>-'DRE + DCF'!$V$56*L3327</f>
        <v>-1188924.4255577971</v>
      </c>
      <c r="K3327" s="360">
        <f>(1+L3327)/(1+Ke!$O$12)-1</f>
        <v>2.0000000000000018E-2</v>
      </c>
      <c r="L3327" s="360">
        <f>'DRE + DCF'!$Y$31</f>
        <v>7.3550000000000004E-2</v>
      </c>
      <c r="M3327" s="361">
        <f>(1+D3327)^((5-Dashboard!$F$9)*3/12)</f>
        <v>1.2908077073337663</v>
      </c>
      <c r="N3327" s="361">
        <f t="shared" ref="N3327:V3327" si="3418">M3327*(1+$D3327)</f>
        <v>1.8141656922722038</v>
      </c>
      <c r="O3327" s="361">
        <f t="shared" si="3418"/>
        <v>2.5497191722039156</v>
      </c>
      <c r="P3327" s="361">
        <f t="shared" si="3418"/>
        <v>3.583502810573918</v>
      </c>
      <c r="Q3327" s="361">
        <f t="shared" si="3418"/>
        <v>5.0364340251210074</v>
      </c>
      <c r="R3327" s="361">
        <f t="shared" si="3418"/>
        <v>7.0784562006061718</v>
      </c>
      <c r="S3327" s="361">
        <f t="shared" si="3418"/>
        <v>9.9484162671417362</v>
      </c>
      <c r="T3327" s="361">
        <f t="shared" si="3418"/>
        <v>13.98200164265406</v>
      </c>
      <c r="U3327" s="361">
        <f t="shared" si="3418"/>
        <v>19.651004208667736</v>
      </c>
      <c r="V3327" s="362">
        <f t="shared" si="3418"/>
        <v>27.618503865071492</v>
      </c>
      <c r="X3327" s="351"/>
    </row>
    <row r="3328" spans="3:24" ht="24.75" customHeight="1" x14ac:dyDescent="0.3">
      <c r="C3328" s="353">
        <f>ABS(E3328-Dashboard!$F$14)</f>
        <v>62.808915742776676</v>
      </c>
      <c r="D3328" s="350">
        <f t="shared" si="3369"/>
        <v>0.4055499999999706</v>
      </c>
      <c r="E3328" s="359" cm="1">
        <f t="array" ref="E3328">1000*SUM('DRE + DCF'!$L$36/M3328,'DRE + DCF'!$N$36:$V$36/N3328:V3328,F3328/V3328)/Dashboard!$F$11</f>
        <v>34.181084257223318</v>
      </c>
      <c r="F3328" s="359">
        <f t="shared" si="3367"/>
        <v>6270340.9996514069</v>
      </c>
      <c r="G3328" s="359">
        <f>'DRE + DCF'!$W$31</f>
        <v>2791623.3540418856</v>
      </c>
      <c r="H3328" s="359">
        <f>'DRE + DCF'!$W$32</f>
        <v>81081.931703745853</v>
      </c>
      <c r="I3328" s="359">
        <f>-H3328*('DRE + DCF'!$V$33+K3328)/'DRE + DCF'!$V$33</f>
        <v>-90858.801614444121</v>
      </c>
      <c r="J3328" s="359">
        <f>-'DRE + DCF'!$V$56*L3328</f>
        <v>-1188924.4255577971</v>
      </c>
      <c r="K3328" s="360">
        <f>(1+L3328)/(1+Ke!$O$12)-1</f>
        <v>2.0000000000000018E-2</v>
      </c>
      <c r="L3328" s="360">
        <f>'DRE + DCF'!$Y$31</f>
        <v>7.3550000000000004E-2</v>
      </c>
      <c r="M3328" s="361">
        <f>(1+D3328)^((5-Dashboard!$F$9)*3/12)</f>
        <v>1.2908765889852283</v>
      </c>
      <c r="N3328" s="361">
        <f t="shared" ref="N3328:V3328" si="3419">M3328*(1+$D3328)</f>
        <v>1.8143915896481495</v>
      </c>
      <c r="O3328" s="361">
        <f t="shared" si="3419"/>
        <v>2.550218098829903</v>
      </c>
      <c r="P3328" s="361">
        <f t="shared" si="3419"/>
        <v>3.5844590488102952</v>
      </c>
      <c r="Q3328" s="361">
        <f t="shared" si="3419"/>
        <v>5.0381364160552051</v>
      </c>
      <c r="R3328" s="361">
        <f t="shared" si="3419"/>
        <v>7.0813526395862452</v>
      </c>
      <c r="S3328" s="361">
        <f t="shared" si="3419"/>
        <v>9.9531952025702388</v>
      </c>
      <c r="T3328" s="361">
        <f t="shared" si="3419"/>
        <v>13.989713516972307</v>
      </c>
      <c r="U3328" s="361">
        <f t="shared" si="3419"/>
        <v>19.663241833780013</v>
      </c>
      <c r="V3328" s="362">
        <f t="shared" si="3419"/>
        <v>27.637669559468918</v>
      </c>
      <c r="X3328" s="351"/>
    </row>
    <row r="3329" spans="3:24" ht="24.75" customHeight="1" x14ac:dyDescent="0.3">
      <c r="C3329" s="353">
        <f>ABS(E3329-Dashboard!$F$14)</f>
        <v>62.821089880926387</v>
      </c>
      <c r="D3329" s="350">
        <f t="shared" si="3369"/>
        <v>0.40564999999997059</v>
      </c>
      <c r="E3329" s="359" cm="1">
        <f t="array" ref="E3329">1000*SUM('DRE + DCF'!$L$36/M3329,'DRE + DCF'!$N$36:$V$36/N3329:V3329,F3329/V3329)/Dashboard!$F$11</f>
        <v>34.168910119073608</v>
      </c>
      <c r="F3329" s="359">
        <f t="shared" si="3367"/>
        <v>6268654.6398134343</v>
      </c>
      <c r="G3329" s="359">
        <f>'DRE + DCF'!$W$31</f>
        <v>2791623.3540418856</v>
      </c>
      <c r="H3329" s="359">
        <f>'DRE + DCF'!$W$32</f>
        <v>81081.931703745853</v>
      </c>
      <c r="I3329" s="359">
        <f>-H3329*('DRE + DCF'!$V$33+K3329)/'DRE + DCF'!$V$33</f>
        <v>-90858.801614444121</v>
      </c>
      <c r="J3329" s="359">
        <f>-'DRE + DCF'!$V$56*L3329</f>
        <v>-1188924.4255577971</v>
      </c>
      <c r="K3329" s="360">
        <f>(1+L3329)/(1+Ke!$O$12)-1</f>
        <v>2.0000000000000018E-2</v>
      </c>
      <c r="L3329" s="360">
        <f>'DRE + DCF'!$Y$31</f>
        <v>7.3550000000000004E-2</v>
      </c>
      <c r="M3329" s="361">
        <f>(1+D3329)^((5-Dashboard!$F$9)*3/12)</f>
        <v>1.2909454694115285</v>
      </c>
      <c r="N3329" s="361">
        <f t="shared" ref="N3329:V3329" si="3420">M3329*(1+$D3329)</f>
        <v>1.8146174990782771</v>
      </c>
      <c r="O3329" s="361">
        <f t="shared" si="3420"/>
        <v>2.5507170875793266</v>
      </c>
      <c r="P3329" s="361">
        <f t="shared" si="3420"/>
        <v>3.5854154741558051</v>
      </c>
      <c r="Q3329" s="361">
        <f t="shared" si="3420"/>
        <v>5.0398392612470015</v>
      </c>
      <c r="R3329" s="361">
        <f t="shared" si="3420"/>
        <v>7.0842500575716993</v>
      </c>
      <c r="S3329" s="361">
        <f t="shared" si="3420"/>
        <v>9.9579760934254509</v>
      </c>
      <c r="T3329" s="361">
        <f t="shared" si="3420"/>
        <v>13.997429095723191</v>
      </c>
      <c r="U3329" s="361">
        <f t="shared" si="3420"/>
        <v>19.675486208402891</v>
      </c>
      <c r="V3329" s="362">
        <f t="shared" si="3420"/>
        <v>27.656847188840942</v>
      </c>
      <c r="X3329" s="351"/>
    </row>
    <row r="3330" spans="3:24" ht="24.75" customHeight="1" x14ac:dyDescent="0.3">
      <c r="C3330" s="353">
        <f>ABS(E3330-Dashboard!$F$14)</f>
        <v>62.833255932837389</v>
      </c>
      <c r="D3330" s="350">
        <f t="shared" si="3369"/>
        <v>0.40574999999997058</v>
      </c>
      <c r="E3330" s="359" cm="1">
        <f t="array" ref="E3330">1000*SUM('DRE + DCF'!$L$36/M3330,'DRE + DCF'!$N$36:$V$36/N3330:V3330,F3330/V3330)/Dashboard!$F$11</f>
        <v>34.156744067162606</v>
      </c>
      <c r="F3330" s="359">
        <f t="shared" si="3367"/>
        <v>6266969.1958383899</v>
      </c>
      <c r="G3330" s="359">
        <f>'DRE + DCF'!$W$31</f>
        <v>2791623.3540418856</v>
      </c>
      <c r="H3330" s="359">
        <f>'DRE + DCF'!$W$32</f>
        <v>81081.931703745853</v>
      </c>
      <c r="I3330" s="359">
        <f>-H3330*('DRE + DCF'!$V$33+K3330)/'DRE + DCF'!$V$33</f>
        <v>-90858.801614444121</v>
      </c>
      <c r="J3330" s="359">
        <f>-'DRE + DCF'!$V$56*L3330</f>
        <v>-1188924.4255577971</v>
      </c>
      <c r="K3330" s="360">
        <f>(1+L3330)/(1+Ke!$O$12)-1</f>
        <v>2.0000000000000018E-2</v>
      </c>
      <c r="L3330" s="360">
        <f>'DRE + DCF'!$Y$31</f>
        <v>7.3550000000000004E-2</v>
      </c>
      <c r="M3330" s="361">
        <f>(1+D3330)^((5-Dashboard!$F$9)*3/12)</f>
        <v>1.2910143486127763</v>
      </c>
      <c r="N3330" s="361">
        <f t="shared" ref="N3330:V3330" si="3421">M3330*(1+$D3330)</f>
        <v>1.8148434205623722</v>
      </c>
      <c r="O3330" s="361">
        <f t="shared" si="3421"/>
        <v>2.5512161384555014</v>
      </c>
      <c r="P3330" s="361">
        <f t="shared" si="3421"/>
        <v>3.5863720866337458</v>
      </c>
      <c r="Q3330" s="361">
        <f t="shared" si="3421"/>
        <v>5.0415425607852828</v>
      </c>
      <c r="R3330" s="361">
        <f t="shared" si="3421"/>
        <v>7.0871484548237627</v>
      </c>
      <c r="S3330" s="361">
        <f t="shared" si="3421"/>
        <v>9.9627589403682961</v>
      </c>
      <c r="T3330" s="361">
        <f t="shared" si="3421"/>
        <v>14.005148380422439</v>
      </c>
      <c r="U3330" s="361">
        <f t="shared" si="3421"/>
        <v>19.687737335778429</v>
      </c>
      <c r="V3330" s="362">
        <f t="shared" si="3421"/>
        <v>27.676036759769946</v>
      </c>
      <c r="X3330" s="351"/>
    </row>
    <row r="3331" spans="3:24" ht="24.75" customHeight="1" x14ac:dyDescent="0.3">
      <c r="C3331" s="353">
        <f>ABS(E3331-Dashboard!$F$14)</f>
        <v>62.845413906058681</v>
      </c>
      <c r="D3331" s="350">
        <f t="shared" si="3369"/>
        <v>0.40584999999997057</v>
      </c>
      <c r="E3331" s="359" cm="1">
        <f t="array" ref="E3331">1000*SUM('DRE + DCF'!$L$36/M3331,'DRE + DCF'!$N$36:$V$36/N3331:V3331,F3331/V3331)/Dashboard!$F$11</f>
        <v>34.144586093941314</v>
      </c>
      <c r="F3331" s="359">
        <f t="shared" si="3367"/>
        <v>6265284.6669728886</v>
      </c>
      <c r="G3331" s="359">
        <f>'DRE + DCF'!$W$31</f>
        <v>2791623.3540418856</v>
      </c>
      <c r="H3331" s="359">
        <f>'DRE + DCF'!$W$32</f>
        <v>81081.931703745853</v>
      </c>
      <c r="I3331" s="359">
        <f>-H3331*('DRE + DCF'!$V$33+K3331)/'DRE + DCF'!$V$33</f>
        <v>-90858.801614444121</v>
      </c>
      <c r="J3331" s="359">
        <f>-'DRE + DCF'!$V$56*L3331</f>
        <v>-1188924.4255577971</v>
      </c>
      <c r="K3331" s="360">
        <f>(1+L3331)/(1+Ke!$O$12)-1</f>
        <v>2.0000000000000018E-2</v>
      </c>
      <c r="L3331" s="360">
        <f>'DRE + DCF'!$Y$31</f>
        <v>7.3550000000000004E-2</v>
      </c>
      <c r="M3331" s="361">
        <f>(1+D3331)^((5-Dashboard!$F$9)*3/12)</f>
        <v>1.2910832265890801</v>
      </c>
      <c r="N3331" s="361">
        <f t="shared" ref="N3331:V3331" si="3422">M3331*(1+$D3331)</f>
        <v>1.8150693541002203</v>
      </c>
      <c r="O3331" s="361">
        <f t="shared" si="3422"/>
        <v>2.5517152514617414</v>
      </c>
      <c r="P3331" s="361">
        <f t="shared" si="3422"/>
        <v>3.587328886267414</v>
      </c>
      <c r="Q3331" s="361">
        <f t="shared" si="3422"/>
        <v>5.0432463147589379</v>
      </c>
      <c r="R3331" s="361">
        <f t="shared" si="3422"/>
        <v>7.0900478316037043</v>
      </c>
      <c r="S3331" s="361">
        <f t="shared" si="3422"/>
        <v>9.9675437440598582</v>
      </c>
      <c r="T3331" s="361">
        <f t="shared" si="3422"/>
        <v>14.012871372586257</v>
      </c>
      <c r="U3331" s="361">
        <f t="shared" si="3422"/>
        <v>19.699995219149976</v>
      </c>
      <c r="V3331" s="362">
        <f t="shared" si="3422"/>
        <v>27.695238278841412</v>
      </c>
      <c r="X3331" s="351"/>
    </row>
    <row r="3332" spans="3:24" ht="24.75" customHeight="1" x14ac:dyDescent="0.3">
      <c r="C3332" s="353">
        <f>ABS(E3332-Dashboard!$F$14)</f>
        <v>62.857563808130337</v>
      </c>
      <c r="D3332" s="350">
        <f t="shared" si="3369"/>
        <v>0.40594999999997056</v>
      </c>
      <c r="E3332" s="359" cm="1">
        <f t="array" ref="E3332">1000*SUM('DRE + DCF'!$L$36/M3332,'DRE + DCF'!$N$36:$V$36/N3332:V3332,F3332/V3332)/Dashboard!$F$11</f>
        <v>34.132436191869658</v>
      </c>
      <c r="F3332" s="359">
        <f t="shared" si="3367"/>
        <v>6263601.0524643827</v>
      </c>
      <c r="G3332" s="359">
        <f>'DRE + DCF'!$W$31</f>
        <v>2791623.3540418856</v>
      </c>
      <c r="H3332" s="359">
        <f>'DRE + DCF'!$W$32</f>
        <v>81081.931703745853</v>
      </c>
      <c r="I3332" s="359">
        <f>-H3332*('DRE + DCF'!$V$33+K3332)/'DRE + DCF'!$V$33</f>
        <v>-90858.801614444121</v>
      </c>
      <c r="J3332" s="359">
        <f>-'DRE + DCF'!$V$56*L3332</f>
        <v>-1188924.4255577971</v>
      </c>
      <c r="K3332" s="360">
        <f>(1+L3332)/(1+Ke!$O$12)-1</f>
        <v>2.0000000000000018E-2</v>
      </c>
      <c r="L3332" s="360">
        <f>'DRE + DCF'!$Y$31</f>
        <v>7.3550000000000004E-2</v>
      </c>
      <c r="M3332" s="361">
        <f>(1+D3332)^((5-Dashboard!$F$9)*3/12)</f>
        <v>1.2911521033405491</v>
      </c>
      <c r="N3332" s="361">
        <f t="shared" ref="N3332:V3332" si="3423">M3332*(1+$D3332)</f>
        <v>1.815295299691607</v>
      </c>
      <c r="O3332" s="361">
        <f t="shared" si="3423"/>
        <v>2.5522144266013611</v>
      </c>
      <c r="P3332" s="361">
        <f t="shared" si="3423"/>
        <v>3.5882858730801082</v>
      </c>
      <c r="Q3332" s="361">
        <f t="shared" si="3423"/>
        <v>5.0449505232568725</v>
      </c>
      <c r="R3332" s="361">
        <f t="shared" si="3423"/>
        <v>7.0929481881728513</v>
      </c>
      <c r="S3332" s="361">
        <f t="shared" si="3423"/>
        <v>9.9723305051614108</v>
      </c>
      <c r="T3332" s="361">
        <f t="shared" si="3423"/>
        <v>14.020598073731392</v>
      </c>
      <c r="U3332" s="361">
        <f t="shared" si="3423"/>
        <v>19.712259861762238</v>
      </c>
      <c r="V3332" s="362">
        <f t="shared" si="3423"/>
        <v>27.714451752644038</v>
      </c>
      <c r="X3332" s="351"/>
    </row>
    <row r="3333" spans="3:24" ht="24.75" customHeight="1" x14ac:dyDescent="0.3">
      <c r="C3333" s="353">
        <f>ABS(E3333-Dashboard!$F$14)</f>
        <v>62.869705646583434</v>
      </c>
      <c r="D3333" s="350">
        <f t="shared" si="3369"/>
        <v>0.40604999999997055</v>
      </c>
      <c r="E3333" s="359" cm="1">
        <f t="array" ref="E3333">1000*SUM('DRE + DCF'!$L$36/M3333,'DRE + DCF'!$N$36:$V$36/N3333:V3333,F3333/V3333)/Dashboard!$F$11</f>
        <v>34.120294353416561</v>
      </c>
      <c r="F3333" s="359">
        <f t="shared" si="3367"/>
        <v>6261918.3515611561</v>
      </c>
      <c r="G3333" s="359">
        <f>'DRE + DCF'!$W$31</f>
        <v>2791623.3540418856</v>
      </c>
      <c r="H3333" s="359">
        <f>'DRE + DCF'!$W$32</f>
        <v>81081.931703745853</v>
      </c>
      <c r="I3333" s="359">
        <f>-H3333*('DRE + DCF'!$V$33+K3333)/'DRE + DCF'!$V$33</f>
        <v>-90858.801614444121</v>
      </c>
      <c r="J3333" s="359">
        <f>-'DRE + DCF'!$V$56*L3333</f>
        <v>-1188924.4255577971</v>
      </c>
      <c r="K3333" s="360">
        <f>(1+L3333)/(1+Ke!$O$12)-1</f>
        <v>2.0000000000000018E-2</v>
      </c>
      <c r="L3333" s="360">
        <f>'DRE + DCF'!$Y$31</f>
        <v>7.3550000000000004E-2</v>
      </c>
      <c r="M3333" s="361">
        <f>(1+D3333)^((5-Dashboard!$F$9)*3/12)</f>
        <v>1.2912209788672921</v>
      </c>
      <c r="N3333" s="361">
        <f t="shared" ref="N3333:V3333" si="3424">M3333*(1+$D3333)</f>
        <v>1.815521257336318</v>
      </c>
      <c r="O3333" s="361">
        <f t="shared" si="3424"/>
        <v>2.5527136638776762</v>
      </c>
      <c r="P3333" s="361">
        <f t="shared" si="3424"/>
        <v>3.5892430470951311</v>
      </c>
      <c r="Q3333" s="361">
        <f t="shared" si="3424"/>
        <v>5.0466551863680031</v>
      </c>
      <c r="R3333" s="361">
        <f t="shared" si="3424"/>
        <v>7.0958495247925821</v>
      </c>
      <c r="S3333" s="361">
        <f t="shared" si="3424"/>
        <v>9.9771192243344</v>
      </c>
      <c r="T3333" s="361">
        <f t="shared" si="3424"/>
        <v>14.02832848537509</v>
      </c>
      <c r="U3333" s="361">
        <f t="shared" si="3424"/>
        <v>19.724531266861231</v>
      </c>
      <c r="V3333" s="362">
        <f t="shared" si="3424"/>
        <v>27.733677187769651</v>
      </c>
      <c r="X3333" s="351"/>
    </row>
    <row r="3334" spans="3:24" ht="24.75" customHeight="1" x14ac:dyDescent="0.3">
      <c r="C3334" s="353">
        <f>ABS(E3334-Dashboard!$F$14)</f>
        <v>62.88183942894014</v>
      </c>
      <c r="D3334" s="350">
        <f t="shared" si="3369"/>
        <v>0.40614999999997053</v>
      </c>
      <c r="E3334" s="359" cm="1">
        <f t="array" ref="E3334">1000*SUM('DRE + DCF'!$L$36/M3334,'DRE + DCF'!$N$36:$V$36/N3334:V3334,F3334/V3334)/Dashboard!$F$11</f>
        <v>34.108160571059855</v>
      </c>
      <c r="F3334" s="359">
        <f t="shared" si="3367"/>
        <v>6260236.5635123253</v>
      </c>
      <c r="G3334" s="359">
        <f>'DRE + DCF'!$W$31</f>
        <v>2791623.3540418856</v>
      </c>
      <c r="H3334" s="359">
        <f>'DRE + DCF'!$W$32</f>
        <v>81081.931703745853</v>
      </c>
      <c r="I3334" s="359">
        <f>-H3334*('DRE + DCF'!$V$33+K3334)/'DRE + DCF'!$V$33</f>
        <v>-90858.801614444121</v>
      </c>
      <c r="J3334" s="359">
        <f>-'DRE + DCF'!$V$56*L3334</f>
        <v>-1188924.4255577971</v>
      </c>
      <c r="K3334" s="360">
        <f>(1+L3334)/(1+Ke!$O$12)-1</f>
        <v>2.0000000000000018E-2</v>
      </c>
      <c r="L3334" s="360">
        <f>'DRE + DCF'!$Y$31</f>
        <v>7.3550000000000004E-2</v>
      </c>
      <c r="M3334" s="361">
        <f>(1+D3334)^((5-Dashboard!$F$9)*3/12)</f>
        <v>1.2912898531694179</v>
      </c>
      <c r="N3334" s="361">
        <f t="shared" ref="N3334:V3334" si="3425">M3334*(1+$D3334)</f>
        <v>1.8157472270341388</v>
      </c>
      <c r="O3334" s="361">
        <f t="shared" si="3425"/>
        <v>2.5532129632940008</v>
      </c>
      <c r="P3334" s="361">
        <f t="shared" si="3425"/>
        <v>3.5902004083357837</v>
      </c>
      <c r="Q3334" s="361">
        <f t="shared" si="3425"/>
        <v>5.0483603041812559</v>
      </c>
      <c r="R3334" s="361">
        <f t="shared" si="3425"/>
        <v>7.0987518417243241</v>
      </c>
      <c r="S3334" s="361">
        <f t="shared" si="3425"/>
        <v>9.9819099022404494</v>
      </c>
      <c r="T3334" s="361">
        <f t="shared" si="3425"/>
        <v>14.036062609035113</v>
      </c>
      <c r="U3334" s="361">
        <f t="shared" si="3425"/>
        <v>19.736809437694308</v>
      </c>
      <c r="V3334" s="362">
        <f t="shared" si="3425"/>
        <v>27.752914590813269</v>
      </c>
      <c r="X3334" s="351"/>
    </row>
    <row r="3335" spans="3:24" ht="24.75" customHeight="1" x14ac:dyDescent="0.3">
      <c r="C3335" s="353">
        <f>ABS(E3335-Dashboard!$F$14)</f>
        <v>62.893965162713648</v>
      </c>
      <c r="D3335" s="350">
        <f t="shared" si="3369"/>
        <v>0.40624999999997052</v>
      </c>
      <c r="E3335" s="359" cm="1">
        <f t="array" ref="E3335">1000*SUM('DRE + DCF'!$L$36/M3335,'DRE + DCF'!$N$36:$V$36/N3335:V3335,F3335/V3335)/Dashboard!$F$11</f>
        <v>34.096034837286346</v>
      </c>
      <c r="F3335" s="359">
        <f t="shared" si="3367"/>
        <v>6258555.6875678385</v>
      </c>
      <c r="G3335" s="359">
        <f>'DRE + DCF'!$W$31</f>
        <v>2791623.3540418856</v>
      </c>
      <c r="H3335" s="359">
        <f>'DRE + DCF'!$W$32</f>
        <v>81081.931703745853</v>
      </c>
      <c r="I3335" s="359">
        <f>-H3335*('DRE + DCF'!$V$33+K3335)/'DRE + DCF'!$V$33</f>
        <v>-90858.801614444121</v>
      </c>
      <c r="J3335" s="359">
        <f>-'DRE + DCF'!$V$56*L3335</f>
        <v>-1188924.4255577971</v>
      </c>
      <c r="K3335" s="360">
        <f>(1+L3335)/(1+Ke!$O$12)-1</f>
        <v>2.0000000000000018E-2</v>
      </c>
      <c r="L3335" s="360">
        <f>'DRE + DCF'!$Y$31</f>
        <v>7.3550000000000004E-2</v>
      </c>
      <c r="M3335" s="361">
        <f>(1+D3335)^((5-Dashboard!$F$9)*3/12)</f>
        <v>1.2913587262470356</v>
      </c>
      <c r="N3335" s="361">
        <f t="shared" ref="N3335:V3335" si="3426">M3335*(1+$D3335)</f>
        <v>1.8159732087848557</v>
      </c>
      <c r="O3335" s="361">
        <f t="shared" si="3426"/>
        <v>2.5537123248536497</v>
      </c>
      <c r="P3335" s="361">
        <f t="shared" si="3426"/>
        <v>3.5911579568253695</v>
      </c>
      <c r="Q3335" s="361">
        <f t="shared" si="3426"/>
        <v>5.0500658767855695</v>
      </c>
      <c r="R3335" s="361">
        <f t="shared" si="3426"/>
        <v>7.1016551392295577</v>
      </c>
      <c r="S3335" s="361">
        <f t="shared" si="3426"/>
        <v>9.9867025395413567</v>
      </c>
      <c r="T3335" s="361">
        <f t="shared" si="3426"/>
        <v>14.043800446229739</v>
      </c>
      <c r="U3335" s="361">
        <f t="shared" si="3426"/>
        <v>19.749094377510154</v>
      </c>
      <c r="V3335" s="362">
        <f t="shared" si="3426"/>
        <v>27.772163968373071</v>
      </c>
      <c r="X3335" s="351"/>
    </row>
    <row r="3336" spans="3:24" ht="24.75" customHeight="1" x14ac:dyDescent="0.3">
      <c r="C3336" s="353">
        <f>ABS(E3336-Dashboard!$F$14)</f>
        <v>62.906082855408243</v>
      </c>
      <c r="D3336" s="350">
        <f t="shared" si="3369"/>
        <v>0.40634999999997051</v>
      </c>
      <c r="E3336" s="359" cm="1">
        <f t="array" ref="E3336">1000*SUM('DRE + DCF'!$L$36/M3336,'DRE + DCF'!$N$36:$V$36/N3336:V3336,F3336/V3336)/Dashboard!$F$11</f>
        <v>34.083917144591751</v>
      </c>
      <c r="F3336" s="359">
        <f t="shared" si="3367"/>
        <v>6256875.7229784708</v>
      </c>
      <c r="G3336" s="359">
        <f>'DRE + DCF'!$W$31</f>
        <v>2791623.3540418856</v>
      </c>
      <c r="H3336" s="359">
        <f>'DRE + DCF'!$W$32</f>
        <v>81081.931703745853</v>
      </c>
      <c r="I3336" s="359">
        <f>-H3336*('DRE + DCF'!$V$33+K3336)/'DRE + DCF'!$V$33</f>
        <v>-90858.801614444121</v>
      </c>
      <c r="J3336" s="359">
        <f>-'DRE + DCF'!$V$56*L3336</f>
        <v>-1188924.4255577971</v>
      </c>
      <c r="K3336" s="360">
        <f>(1+L3336)/(1+Ke!$O$12)-1</f>
        <v>2.0000000000000018E-2</v>
      </c>
      <c r="L3336" s="360">
        <f>'DRE + DCF'!$Y$31</f>
        <v>7.3550000000000004E-2</v>
      </c>
      <c r="M3336" s="361">
        <f>(1+D3336)^((5-Dashboard!$F$9)*3/12)</f>
        <v>1.2914275981002539</v>
      </c>
      <c r="N3336" s="361">
        <f t="shared" ref="N3336:V3336" si="3427">M3336*(1+$D3336)</f>
        <v>1.8161992025882538</v>
      </c>
      <c r="O3336" s="361">
        <f t="shared" si="3427"/>
        <v>2.5542117485599372</v>
      </c>
      <c r="P3336" s="361">
        <f t="shared" si="3427"/>
        <v>3.5921156925871922</v>
      </c>
      <c r="Q3336" s="361">
        <f t="shared" si="3427"/>
        <v>5.0517719042698914</v>
      </c>
      <c r="R3336" s="361">
        <f t="shared" si="3427"/>
        <v>7.1045594175698126</v>
      </c>
      <c r="S3336" s="361">
        <f t="shared" si="3427"/>
        <v>9.9914971368990955</v>
      </c>
      <c r="T3336" s="361">
        <f t="shared" si="3427"/>
        <v>14.051541998477747</v>
      </c>
      <c r="U3336" s="361">
        <f t="shared" si="3427"/>
        <v>19.761386089558766</v>
      </c>
      <c r="V3336" s="362">
        <f t="shared" si="3427"/>
        <v>27.791425327050387</v>
      </c>
      <c r="X3336" s="351"/>
    </row>
    <row r="3337" spans="3:24" ht="24.75" customHeight="1" x14ac:dyDescent="0.3">
      <c r="C3337" s="353">
        <f>ABS(E3337-Dashboard!$F$14)</f>
        <v>62.918192514519347</v>
      </c>
      <c r="D3337" s="350">
        <f t="shared" si="3369"/>
        <v>0.4064499999999705</v>
      </c>
      <c r="E3337" s="359" cm="1">
        <f t="array" ref="E3337">1000*SUM('DRE + DCF'!$L$36/M3337,'DRE + DCF'!$N$36:$V$36/N3337:V3337,F3337/V3337)/Dashboard!$F$11</f>
        <v>34.071807485480647</v>
      </c>
      <c r="F3337" s="359">
        <f t="shared" si="3367"/>
        <v>6255196.6689958274</v>
      </c>
      <c r="G3337" s="359">
        <f>'DRE + DCF'!$W$31</f>
        <v>2791623.3540418856</v>
      </c>
      <c r="H3337" s="359">
        <f>'DRE + DCF'!$W$32</f>
        <v>81081.931703745853</v>
      </c>
      <c r="I3337" s="359">
        <f>-H3337*('DRE + DCF'!$V$33+K3337)/'DRE + DCF'!$V$33</f>
        <v>-90858.801614444121</v>
      </c>
      <c r="J3337" s="359">
        <f>-'DRE + DCF'!$V$56*L3337</f>
        <v>-1188924.4255577971</v>
      </c>
      <c r="K3337" s="360">
        <f>(1+L3337)/(1+Ke!$O$12)-1</f>
        <v>2.0000000000000018E-2</v>
      </c>
      <c r="L3337" s="360">
        <f>'DRE + DCF'!$Y$31</f>
        <v>7.3550000000000004E-2</v>
      </c>
      <c r="M3337" s="361">
        <f>(1+D3337)^((5-Dashboard!$F$9)*3/12)</f>
        <v>1.2914964687291817</v>
      </c>
      <c r="N3337" s="361">
        <f t="shared" ref="N3337:V3337" si="3428">M3337*(1+$D3337)</f>
        <v>1.8164252084441195</v>
      </c>
      <c r="O3337" s="361">
        <f t="shared" si="3428"/>
        <v>2.5547112344161782</v>
      </c>
      <c r="P3337" s="361">
        <f t="shared" si="3428"/>
        <v>3.5930736156445584</v>
      </c>
      <c r="Q3337" s="361">
        <f t="shared" si="3428"/>
        <v>5.0534783867231834</v>
      </c>
      <c r="R3337" s="361">
        <f t="shared" si="3428"/>
        <v>7.1074646770066723</v>
      </c>
      <c r="S3337" s="361">
        <f t="shared" si="3428"/>
        <v>9.9962936949758241</v>
      </c>
      <c r="T3337" s="361">
        <f t="shared" si="3428"/>
        <v>14.059287267298453</v>
      </c>
      <c r="U3337" s="361">
        <f t="shared" si="3428"/>
        <v>19.773684577091494</v>
      </c>
      <c r="V3337" s="362">
        <f t="shared" si="3428"/>
        <v>27.810698673449746</v>
      </c>
      <c r="X3337" s="351"/>
    </row>
    <row r="3338" spans="3:24" ht="24.75" customHeight="1" x14ac:dyDescent="0.3">
      <c r="C3338" s="353">
        <f>ABS(E3338-Dashboard!$F$14)</f>
        <v>62.930294147533409</v>
      </c>
      <c r="D3338" s="350">
        <f t="shared" si="3369"/>
        <v>0.40654999999997049</v>
      </c>
      <c r="E3338" s="359" cm="1">
        <f t="array" ref="E3338">1000*SUM('DRE + DCF'!$L$36/M3338,'DRE + DCF'!$N$36:$V$36/N3338:V3338,F3338/V3338)/Dashboard!$F$11</f>
        <v>34.059705852466585</v>
      </c>
      <c r="F3338" s="359">
        <f t="shared" si="3367"/>
        <v>6253518.5248723421</v>
      </c>
      <c r="G3338" s="359">
        <f>'DRE + DCF'!$W$31</f>
        <v>2791623.3540418856</v>
      </c>
      <c r="H3338" s="359">
        <f>'DRE + DCF'!$W$32</f>
        <v>81081.931703745853</v>
      </c>
      <c r="I3338" s="359">
        <f>-H3338*('DRE + DCF'!$V$33+K3338)/'DRE + DCF'!$V$33</f>
        <v>-90858.801614444121</v>
      </c>
      <c r="J3338" s="359">
        <f>-'DRE + DCF'!$V$56*L3338</f>
        <v>-1188924.4255577971</v>
      </c>
      <c r="K3338" s="360">
        <f>(1+L3338)/(1+Ke!$O$12)-1</f>
        <v>2.0000000000000018E-2</v>
      </c>
      <c r="L3338" s="360">
        <f>'DRE + DCF'!$Y$31</f>
        <v>7.3550000000000004E-2</v>
      </c>
      <c r="M3338" s="361">
        <f>(1+D3338)^((5-Dashboard!$F$9)*3/12)</f>
        <v>1.2915653381339276</v>
      </c>
      <c r="N3338" s="361">
        <f t="shared" ref="N3338:V3338" si="3429">M3338*(1+$D3338)</f>
        <v>1.8166512263522376</v>
      </c>
      <c r="O3338" s="361">
        <f t="shared" si="3429"/>
        <v>2.5552107824256862</v>
      </c>
      <c r="P3338" s="361">
        <f t="shared" si="3429"/>
        <v>3.5940317260207735</v>
      </c>
      <c r="Q3338" s="361">
        <f t="shared" si="3429"/>
        <v>5.0551853242344125</v>
      </c>
      <c r="R3338" s="361">
        <f t="shared" si="3429"/>
        <v>7.1103709178017631</v>
      </c>
      <c r="S3338" s="361">
        <f t="shared" si="3429"/>
        <v>10.001092214433859</v>
      </c>
      <c r="T3338" s="361">
        <f t="shared" si="3429"/>
        <v>14.067036254211649</v>
      </c>
      <c r="U3338" s="361">
        <f t="shared" si="3429"/>
        <v>19.78598984336098</v>
      </c>
      <c r="V3338" s="362">
        <f t="shared" si="3429"/>
        <v>27.829984014178802</v>
      </c>
      <c r="X3338" s="351"/>
    </row>
    <row r="3339" spans="3:24" ht="24.75" customHeight="1" x14ac:dyDescent="0.3">
      <c r="C3339" s="353">
        <f>ABS(E3339-Dashboard!$F$14)</f>
        <v>62.942387761928053</v>
      </c>
      <c r="D3339" s="350">
        <f t="shared" si="3369"/>
        <v>0.40664999999997048</v>
      </c>
      <c r="E3339" s="359" cm="1">
        <f t="array" ref="E3339">1000*SUM('DRE + DCF'!$L$36/M3339,'DRE + DCF'!$N$36:$V$36/N3339:V3339,F3339/V3339)/Dashboard!$F$11</f>
        <v>34.047612238071942</v>
      </c>
      <c r="F3339" s="359">
        <f t="shared" si="3367"/>
        <v>6251841.289861273</v>
      </c>
      <c r="G3339" s="359">
        <f>'DRE + DCF'!$W$31</f>
        <v>2791623.3540418856</v>
      </c>
      <c r="H3339" s="359">
        <f>'DRE + DCF'!$W$32</f>
        <v>81081.931703745853</v>
      </c>
      <c r="I3339" s="359">
        <f>-H3339*('DRE + DCF'!$V$33+K3339)/'DRE + DCF'!$V$33</f>
        <v>-90858.801614444121</v>
      </c>
      <c r="J3339" s="359">
        <f>-'DRE + DCF'!$V$56*L3339</f>
        <v>-1188924.4255577971</v>
      </c>
      <c r="K3339" s="360">
        <f>(1+L3339)/(1+Ke!$O$12)-1</f>
        <v>2.0000000000000018E-2</v>
      </c>
      <c r="L3339" s="360">
        <f>'DRE + DCF'!$Y$31</f>
        <v>7.3550000000000004E-2</v>
      </c>
      <c r="M3339" s="361">
        <f>(1+D3339)^((5-Dashboard!$F$9)*3/12)</f>
        <v>1.2916342063146005</v>
      </c>
      <c r="N3339" s="361">
        <f t="shared" ref="N3339:V3339" si="3430">M3339*(1+$D3339)</f>
        <v>1.8168772563123945</v>
      </c>
      <c r="O3339" s="361">
        <f t="shared" si="3430"/>
        <v>2.5557103925917759</v>
      </c>
      <c r="P3339" s="361">
        <f t="shared" si="3430"/>
        <v>3.5949900237391459</v>
      </c>
      <c r="Q3339" s="361">
        <f t="shared" si="3430"/>
        <v>5.0568927168925635</v>
      </c>
      <c r="R3339" s="361">
        <f t="shared" si="3430"/>
        <v>7.1132781402167753</v>
      </c>
      <c r="S3339" s="361">
        <f t="shared" si="3430"/>
        <v>10.005892695935717</v>
      </c>
      <c r="T3339" s="361">
        <f t="shared" si="3430"/>
        <v>14.074788960737681</v>
      </c>
      <c r="U3339" s="361">
        <f t="shared" si="3430"/>
        <v>19.798301891621243</v>
      </c>
      <c r="V3339" s="362">
        <f t="shared" si="3430"/>
        <v>27.849281355848436</v>
      </c>
      <c r="X3339" s="351"/>
    </row>
    <row r="3340" spans="3:24" ht="24.75" customHeight="1" x14ac:dyDescent="0.3">
      <c r="C3340" s="353">
        <f>ABS(E3340-Dashboard!$F$14)</f>
        <v>62.954473365172035</v>
      </c>
      <c r="D3340" s="350">
        <f t="shared" si="3369"/>
        <v>0.40674999999997047</v>
      </c>
      <c r="E3340" s="359" cm="1">
        <f t="array" ref="E3340">1000*SUM('DRE + DCF'!$L$36/M3340,'DRE + DCF'!$N$36:$V$36/N3340:V3340,F3340/V3340)/Dashboard!$F$11</f>
        <v>34.03552663482796</v>
      </c>
      <c r="F3340" s="359">
        <f t="shared" si="3367"/>
        <v>6250164.9632167015</v>
      </c>
      <c r="G3340" s="359">
        <f>'DRE + DCF'!$W$31</f>
        <v>2791623.3540418856</v>
      </c>
      <c r="H3340" s="359">
        <f>'DRE + DCF'!$W$32</f>
        <v>81081.931703745853</v>
      </c>
      <c r="I3340" s="359">
        <f>-H3340*('DRE + DCF'!$V$33+K3340)/'DRE + DCF'!$V$33</f>
        <v>-90858.801614444121</v>
      </c>
      <c r="J3340" s="359">
        <f>-'DRE + DCF'!$V$56*L3340</f>
        <v>-1188924.4255577971</v>
      </c>
      <c r="K3340" s="360">
        <f>(1+L3340)/(1+Ke!$O$12)-1</f>
        <v>2.0000000000000018E-2</v>
      </c>
      <c r="L3340" s="360">
        <f>'DRE + DCF'!$Y$31</f>
        <v>7.3550000000000004E-2</v>
      </c>
      <c r="M3340" s="361">
        <f>(1+D3340)^((5-Dashboard!$F$9)*3/12)</f>
        <v>1.2917030732713095</v>
      </c>
      <c r="N3340" s="361">
        <f t="shared" ref="N3340:V3340" si="3431">M3340*(1+$D3340)</f>
        <v>1.8171032983243764</v>
      </c>
      <c r="O3340" s="361">
        <f t="shared" si="3431"/>
        <v>2.5562100649177628</v>
      </c>
      <c r="P3340" s="361">
        <f t="shared" si="3431"/>
        <v>3.5959485088229872</v>
      </c>
      <c r="Q3340" s="361">
        <f t="shared" si="3431"/>
        <v>5.058600564786631</v>
      </c>
      <c r="R3340" s="361">
        <f t="shared" si="3431"/>
        <v>7.1161863445134435</v>
      </c>
      <c r="S3340" s="361">
        <f t="shared" si="3431"/>
        <v>10.010695140144076</v>
      </c>
      <c r="T3340" s="361">
        <f t="shared" si="3431"/>
        <v>14.082545388397383</v>
      </c>
      <c r="U3340" s="361">
        <f t="shared" si="3431"/>
        <v>19.810620725127603</v>
      </c>
      <c r="V3340" s="362">
        <f t="shared" si="3431"/>
        <v>27.86859070507267</v>
      </c>
      <c r="X3340" s="351"/>
    </row>
    <row r="3341" spans="3:24" ht="24.75" customHeight="1" x14ac:dyDescent="0.3">
      <c r="C3341" s="353">
        <f>ABS(E3341-Dashboard!$F$14)</f>
        <v>62.966550964725222</v>
      </c>
      <c r="D3341" s="350">
        <f t="shared" si="3369"/>
        <v>0.40684999999997046</v>
      </c>
      <c r="E3341" s="359" cm="1">
        <f t="array" ref="E3341">1000*SUM('DRE + DCF'!$L$36/M3341,'DRE + DCF'!$N$36:$V$36/N3341:V3341,F3341/V3341)/Dashboard!$F$11</f>
        <v>34.023449035274773</v>
      </c>
      <c r="F3341" s="359">
        <f t="shared" si="3367"/>
        <v>6248489.544193537</v>
      </c>
      <c r="G3341" s="359">
        <f>'DRE + DCF'!$W$31</f>
        <v>2791623.3540418856</v>
      </c>
      <c r="H3341" s="359">
        <f>'DRE + DCF'!$W$32</f>
        <v>81081.931703745853</v>
      </c>
      <c r="I3341" s="359">
        <f>-H3341*('DRE + DCF'!$V$33+K3341)/'DRE + DCF'!$V$33</f>
        <v>-90858.801614444121</v>
      </c>
      <c r="J3341" s="359">
        <f>-'DRE + DCF'!$V$56*L3341</f>
        <v>-1188924.4255577971</v>
      </c>
      <c r="K3341" s="360">
        <f>(1+L3341)/(1+Ke!$O$12)-1</f>
        <v>2.0000000000000018E-2</v>
      </c>
      <c r="L3341" s="360">
        <f>'DRE + DCF'!$Y$31</f>
        <v>7.3550000000000004E-2</v>
      </c>
      <c r="M3341" s="361">
        <f>(1+D3341)^((5-Dashboard!$F$9)*3/12)</f>
        <v>1.2917719390041629</v>
      </c>
      <c r="N3341" s="361">
        <f t="shared" ref="N3341:V3341" si="3432">M3341*(1+$D3341)</f>
        <v>1.8173293523879683</v>
      </c>
      <c r="O3341" s="361">
        <f t="shared" si="3432"/>
        <v>2.5567097994069594</v>
      </c>
      <c r="P3341" s="361">
        <f t="shared" si="3432"/>
        <v>3.596907181295605</v>
      </c>
      <c r="Q3341" s="361">
        <f t="shared" si="3432"/>
        <v>5.0603088680056159</v>
      </c>
      <c r="R3341" s="361">
        <f t="shared" si="3432"/>
        <v>7.1190955309535511</v>
      </c>
      <c r="S3341" s="361">
        <f t="shared" si="3432"/>
        <v>10.015499547721793</v>
      </c>
      <c r="T3341" s="361">
        <f t="shared" si="3432"/>
        <v>14.090305538712109</v>
      </c>
      <c r="U3341" s="361">
        <f t="shared" si="3432"/>
        <v>19.822946347136714</v>
      </c>
      <c r="V3341" s="362">
        <f t="shared" si="3432"/>
        <v>27.887912068468701</v>
      </c>
      <c r="X3341" s="351"/>
    </row>
    <row r="3342" spans="3:24" ht="24.75" customHeight="1" x14ac:dyDescent="0.3">
      <c r="C3342" s="353">
        <f>ABS(E3342-Dashboard!$F$14)</f>
        <v>62.97862056803865</v>
      </c>
      <c r="D3342" s="350">
        <f t="shared" si="3369"/>
        <v>0.40694999999997045</v>
      </c>
      <c r="E3342" s="359" cm="1">
        <f t="array" ref="E3342">1000*SUM('DRE + DCF'!$L$36/M3342,'DRE + DCF'!$N$36:$V$36/N3342:V3342,F3342/V3342)/Dashboard!$F$11</f>
        <v>34.011379431961345</v>
      </c>
      <c r="F3342" s="359">
        <f t="shared" ref="F3342:F3382" si="3433">AVERAGE(SUM(G3342:J3342)*(1+L3342)/(D3342-L3342),G3342*(1+L3342)*(1-L3342/D3342)/(D3342-L3342))</f>
        <v>6246815.0320475092</v>
      </c>
      <c r="G3342" s="359">
        <f>'DRE + DCF'!$W$31</f>
        <v>2791623.3540418856</v>
      </c>
      <c r="H3342" s="359">
        <f>'DRE + DCF'!$W$32</f>
        <v>81081.931703745853</v>
      </c>
      <c r="I3342" s="359">
        <f>-H3342*('DRE + DCF'!$V$33+K3342)/'DRE + DCF'!$V$33</f>
        <v>-90858.801614444121</v>
      </c>
      <c r="J3342" s="359">
        <f>-'DRE + DCF'!$V$56*L3342</f>
        <v>-1188924.4255577971</v>
      </c>
      <c r="K3342" s="360">
        <f>(1+L3342)/(1+Ke!$O$12)-1</f>
        <v>2.0000000000000018E-2</v>
      </c>
      <c r="L3342" s="360">
        <f>'DRE + DCF'!$Y$31</f>
        <v>7.3550000000000004E-2</v>
      </c>
      <c r="M3342" s="361">
        <f>(1+D3342)^((5-Dashboard!$F$9)*3/12)</f>
        <v>1.2918408035132696</v>
      </c>
      <c r="N3342" s="361">
        <f t="shared" ref="N3342:V3342" si="3434">M3342*(1+$D3342)</f>
        <v>1.8175554185029563</v>
      </c>
      <c r="O3342" s="361">
        <f t="shared" si="3434"/>
        <v>2.5572095960626804</v>
      </c>
      <c r="P3342" s="361">
        <f t="shared" si="3434"/>
        <v>3.5978660411803123</v>
      </c>
      <c r="Q3342" s="361">
        <f t="shared" si="3434"/>
        <v>5.0620176266385339</v>
      </c>
      <c r="R3342" s="361">
        <f t="shared" si="3434"/>
        <v>7.1220056997989358</v>
      </c>
      <c r="S3342" s="361">
        <f t="shared" si="3434"/>
        <v>10.020305919331902</v>
      </c>
      <c r="T3342" s="361">
        <f t="shared" si="3434"/>
        <v>14.098069413203723</v>
      </c>
      <c r="U3342" s="361">
        <f t="shared" si="3434"/>
        <v>19.835278760906562</v>
      </c>
      <c r="V3342" s="362">
        <f t="shared" si="3434"/>
        <v>27.907245452656898</v>
      </c>
      <c r="X3342" s="351"/>
    </row>
    <row r="3343" spans="3:24" ht="24.75" customHeight="1" x14ac:dyDescent="0.3">
      <c r="C3343" s="353">
        <f>ABS(E3343-Dashboard!$F$14)</f>
        <v>62.990682182554551</v>
      </c>
      <c r="D3343" s="350">
        <f t="shared" ref="D3343:D3382" si="3435">D3342+0.0001</f>
        <v>0.40704999999997044</v>
      </c>
      <c r="E3343" s="359" cm="1">
        <f t="array" ref="E3343">1000*SUM('DRE + DCF'!$L$36/M3343,'DRE + DCF'!$N$36:$V$36/N3343:V3343,F3343/V3343)/Dashboard!$F$11</f>
        <v>33.999317817445444</v>
      </c>
      <c r="F3343" s="359">
        <f t="shared" si="3433"/>
        <v>6245141.4260351686</v>
      </c>
      <c r="G3343" s="359">
        <f>'DRE + DCF'!$W$31</f>
        <v>2791623.3540418856</v>
      </c>
      <c r="H3343" s="359">
        <f>'DRE + DCF'!$W$32</f>
        <v>81081.931703745853</v>
      </c>
      <c r="I3343" s="359">
        <f>-H3343*('DRE + DCF'!$V$33+K3343)/'DRE + DCF'!$V$33</f>
        <v>-90858.801614444121</v>
      </c>
      <c r="J3343" s="359">
        <f>-'DRE + DCF'!$V$56*L3343</f>
        <v>-1188924.4255577971</v>
      </c>
      <c r="K3343" s="360">
        <f>(1+L3343)/(1+Ke!$O$12)-1</f>
        <v>2.0000000000000018E-2</v>
      </c>
      <c r="L3343" s="360">
        <f>'DRE + DCF'!$Y$31</f>
        <v>7.3550000000000004E-2</v>
      </c>
      <c r="M3343" s="361">
        <f>(1+D3343)^((5-Dashboard!$F$9)*3/12)</f>
        <v>1.2919096667987384</v>
      </c>
      <c r="N3343" s="361">
        <f t="shared" ref="N3343:V3343" si="3436">M3343*(1+$D3343)</f>
        <v>1.8177814966691266</v>
      </c>
      <c r="O3343" s="361">
        <f t="shared" si="3436"/>
        <v>2.5577094548882409</v>
      </c>
      <c r="P3343" s="361">
        <f t="shared" si="3436"/>
        <v>3.5988250885004236</v>
      </c>
      <c r="Q3343" s="361">
        <f t="shared" si="3436"/>
        <v>5.0637268407744145</v>
      </c>
      <c r="R3343" s="361">
        <f t="shared" si="3436"/>
        <v>7.1249168513114896</v>
      </c>
      <c r="S3343" s="361">
        <f t="shared" si="3436"/>
        <v>10.02511425563762</v>
      </c>
      <c r="T3343" s="361">
        <f t="shared" si="3436"/>
        <v>14.105837013394616</v>
      </c>
      <c r="U3343" s="361">
        <f t="shared" si="3436"/>
        <v>19.847617969696476</v>
      </c>
      <c r="V3343" s="362">
        <f t="shared" si="3436"/>
        <v>27.926590864260838</v>
      </c>
      <c r="X3343" s="351"/>
    </row>
    <row r="3344" spans="3:24" ht="24.75" customHeight="1" x14ac:dyDescent="0.3">
      <c r="C3344" s="353">
        <f>ABS(E3344-Dashboard!$F$14)</f>
        <v>63.002735815706295</v>
      </c>
      <c r="D3344" s="350">
        <f t="shared" si="3435"/>
        <v>0.40714999999997042</v>
      </c>
      <c r="E3344" s="359" cm="1">
        <f t="array" ref="E3344">1000*SUM('DRE + DCF'!$L$36/M3344,'DRE + DCF'!$N$36:$V$36/N3344:V3344,F3344/V3344)/Dashboard!$F$11</f>
        <v>33.9872641842937</v>
      </c>
      <c r="F3344" s="359">
        <f t="shared" si="3433"/>
        <v>6243468.7254138878</v>
      </c>
      <c r="G3344" s="359">
        <f>'DRE + DCF'!$W$31</f>
        <v>2791623.3540418856</v>
      </c>
      <c r="H3344" s="359">
        <f>'DRE + DCF'!$W$32</f>
        <v>81081.931703745853</v>
      </c>
      <c r="I3344" s="359">
        <f>-H3344*('DRE + DCF'!$V$33+K3344)/'DRE + DCF'!$V$33</f>
        <v>-90858.801614444121</v>
      </c>
      <c r="J3344" s="359">
        <f>-'DRE + DCF'!$V$56*L3344</f>
        <v>-1188924.4255577971</v>
      </c>
      <c r="K3344" s="360">
        <f>(1+L3344)/(1+Ke!$O$12)-1</f>
        <v>2.0000000000000018E-2</v>
      </c>
      <c r="L3344" s="360">
        <f>'DRE + DCF'!$Y$31</f>
        <v>7.3550000000000004E-2</v>
      </c>
      <c r="M3344" s="361">
        <f>(1+D3344)^((5-Dashboard!$F$9)*3/12)</f>
        <v>1.2919785288606778</v>
      </c>
      <c r="N3344" s="361">
        <f t="shared" ref="N3344:V3344" si="3437">M3344*(1+$D3344)</f>
        <v>1.8180075868862644</v>
      </c>
      <c r="O3344" s="361">
        <f t="shared" si="3437"/>
        <v>2.5582093758869533</v>
      </c>
      <c r="P3344" s="361">
        <f t="shared" si="3437"/>
        <v>3.5997843232792506</v>
      </c>
      <c r="Q3344" s="361">
        <f t="shared" si="3437"/>
        <v>5.0654365105022912</v>
      </c>
      <c r="R3344" s="361">
        <f t="shared" si="3437"/>
        <v>7.1278289857531485</v>
      </c>
      <c r="S3344" s="361">
        <f t="shared" si="3437"/>
        <v>10.029924557302332</v>
      </c>
      <c r="T3344" s="361">
        <f t="shared" si="3437"/>
        <v>14.113608340807678</v>
      </c>
      <c r="U3344" s="361">
        <f t="shared" si="3437"/>
        <v>19.859963976767105</v>
      </c>
      <c r="V3344" s="362">
        <f t="shared" si="3437"/>
        <v>27.945948309907244</v>
      </c>
      <c r="X3344" s="351"/>
    </row>
    <row r="3345" spans="3:24" ht="24.75" customHeight="1" x14ac:dyDescent="0.3">
      <c r="C3345" s="353">
        <f>ABS(E3345-Dashboard!$F$14)</f>
        <v>63.014781474918486</v>
      </c>
      <c r="D3345" s="350">
        <f t="shared" si="3435"/>
        <v>0.40724999999997041</v>
      </c>
      <c r="E3345" s="359" cm="1">
        <f t="array" ref="E3345">1000*SUM('DRE + DCF'!$L$36/M3345,'DRE + DCF'!$N$36:$V$36/N3345:V3345,F3345/V3345)/Dashboard!$F$11</f>
        <v>33.975218525081509</v>
      </c>
      <c r="F3345" s="359">
        <f t="shared" si="3433"/>
        <v>6241796.9294418581</v>
      </c>
      <c r="G3345" s="359">
        <f>'DRE + DCF'!$W$31</f>
        <v>2791623.3540418856</v>
      </c>
      <c r="H3345" s="359">
        <f>'DRE + DCF'!$W$32</f>
        <v>81081.931703745853</v>
      </c>
      <c r="I3345" s="359">
        <f>-H3345*('DRE + DCF'!$V$33+K3345)/'DRE + DCF'!$V$33</f>
        <v>-90858.801614444121</v>
      </c>
      <c r="J3345" s="359">
        <f>-'DRE + DCF'!$V$56*L3345</f>
        <v>-1188924.4255577971</v>
      </c>
      <c r="K3345" s="360">
        <f>(1+L3345)/(1+Ke!$O$12)-1</f>
        <v>2.0000000000000018E-2</v>
      </c>
      <c r="L3345" s="360">
        <f>'DRE + DCF'!$Y$31</f>
        <v>7.3550000000000004E-2</v>
      </c>
      <c r="M3345" s="361">
        <f>(1+D3345)^((5-Dashboard!$F$9)*3/12)</f>
        <v>1.2920473896991966</v>
      </c>
      <c r="N3345" s="361">
        <f t="shared" ref="N3345:V3345" si="3438">M3345*(1+$D3345)</f>
        <v>1.8182336891541562</v>
      </c>
      <c r="O3345" s="361">
        <f t="shared" si="3438"/>
        <v>2.5587093590621324</v>
      </c>
      <c r="P3345" s="361">
        <f t="shared" si="3438"/>
        <v>3.6007437455401101</v>
      </c>
      <c r="Q3345" s="361">
        <f t="shared" si="3438"/>
        <v>5.0671466359112136</v>
      </c>
      <c r="R3345" s="361">
        <f t="shared" si="3438"/>
        <v>7.1307421033859049</v>
      </c>
      <c r="S3345" s="361">
        <f t="shared" si="3438"/>
        <v>10.034736824989603</v>
      </c>
      <c r="T3345" s="361">
        <f t="shared" si="3438"/>
        <v>14.121383396966321</v>
      </c>
      <c r="U3345" s="361">
        <f t="shared" si="3438"/>
        <v>19.872316785380438</v>
      </c>
      <c r="V3345" s="362">
        <f t="shared" si="3438"/>
        <v>27.965317796226032</v>
      </c>
      <c r="X3345" s="351"/>
    </row>
    <row r="3346" spans="3:24" ht="24.75" customHeight="1" x14ac:dyDescent="0.3">
      <c r="C3346" s="353">
        <f>ABS(E3346-Dashboard!$F$14)</f>
        <v>63.026819167606902</v>
      </c>
      <c r="D3346" s="350">
        <f t="shared" si="3435"/>
        <v>0.4073499999999704</v>
      </c>
      <c r="E3346" s="359" cm="1">
        <f t="array" ref="E3346">1000*SUM('DRE + DCF'!$L$36/M3346,'DRE + DCF'!$N$36:$V$36/N3346:V3346,F3346/V3346)/Dashboard!$F$11</f>
        <v>33.963180832393093</v>
      </c>
      <c r="F3346" s="359">
        <f t="shared" si="3433"/>
        <v>6240126.0373780876</v>
      </c>
      <c r="G3346" s="359">
        <f>'DRE + DCF'!$W$31</f>
        <v>2791623.3540418856</v>
      </c>
      <c r="H3346" s="359">
        <f>'DRE + DCF'!$W$32</f>
        <v>81081.931703745853</v>
      </c>
      <c r="I3346" s="359">
        <f>-H3346*('DRE + DCF'!$V$33+K3346)/'DRE + DCF'!$V$33</f>
        <v>-90858.801614444121</v>
      </c>
      <c r="J3346" s="359">
        <f>-'DRE + DCF'!$V$56*L3346</f>
        <v>-1188924.4255577971</v>
      </c>
      <c r="K3346" s="360">
        <f>(1+L3346)/(1+Ke!$O$12)-1</f>
        <v>2.0000000000000018E-2</v>
      </c>
      <c r="L3346" s="360">
        <f>'DRE + DCF'!$Y$31</f>
        <v>7.3550000000000004E-2</v>
      </c>
      <c r="M3346" s="361">
        <f>(1+D3346)^((5-Dashboard!$F$9)*3/12)</f>
        <v>1.2921162493144038</v>
      </c>
      <c r="N3346" s="361">
        <f t="shared" ref="N3346:V3346" si="3439">M3346*(1+$D3346)</f>
        <v>1.8184598034725878</v>
      </c>
      <c r="O3346" s="361">
        <f t="shared" si="3439"/>
        <v>2.5592094044170928</v>
      </c>
      <c r="P3346" s="361">
        <f t="shared" si="3439"/>
        <v>3.6017033553063196</v>
      </c>
      <c r="Q3346" s="361">
        <f t="shared" si="3439"/>
        <v>5.0688572170902422</v>
      </c>
      <c r="R3346" s="361">
        <f t="shared" si="3439"/>
        <v>7.1336562044718024</v>
      </c>
      <c r="S3346" s="361">
        <f t="shared" si="3439"/>
        <v>10.039551059363179</v>
      </c>
      <c r="T3346" s="361">
        <f t="shared" si="3439"/>
        <v>14.129162183394472</v>
      </c>
      <c r="U3346" s="361">
        <f t="shared" si="3439"/>
        <v>19.88467639879979</v>
      </c>
      <c r="V3346" s="362">
        <f t="shared" si="3439"/>
        <v>27.984699329850294</v>
      </c>
      <c r="X3346" s="351"/>
    </row>
    <row r="3347" spans="3:24" ht="24.75" customHeight="1" x14ac:dyDescent="0.3">
      <c r="C3347" s="353">
        <f>ABS(E3347-Dashboard!$F$14)</f>
        <v>63.038848901178561</v>
      </c>
      <c r="D3347" s="350">
        <f t="shared" si="3435"/>
        <v>0.40744999999997039</v>
      </c>
      <c r="E3347" s="359" cm="1">
        <f t="array" ref="E3347">1000*SUM('DRE + DCF'!$L$36/M3347,'DRE + DCF'!$N$36:$V$36/N3347:V3347,F3347/V3347)/Dashboard!$F$11</f>
        <v>33.951151098821434</v>
      </c>
      <c r="F3347" s="359">
        <f t="shared" si="3433"/>
        <v>6238456.0484824032</v>
      </c>
      <c r="G3347" s="359">
        <f>'DRE + DCF'!$W$31</f>
        <v>2791623.3540418856</v>
      </c>
      <c r="H3347" s="359">
        <f>'DRE + DCF'!$W$32</f>
        <v>81081.931703745853</v>
      </c>
      <c r="I3347" s="359">
        <f>-H3347*('DRE + DCF'!$V$33+K3347)/'DRE + DCF'!$V$33</f>
        <v>-90858.801614444121</v>
      </c>
      <c r="J3347" s="359">
        <f>-'DRE + DCF'!$V$56*L3347</f>
        <v>-1188924.4255577971</v>
      </c>
      <c r="K3347" s="360">
        <f>(1+L3347)/(1+Ke!$O$12)-1</f>
        <v>2.0000000000000018E-2</v>
      </c>
      <c r="L3347" s="360">
        <f>'DRE + DCF'!$Y$31</f>
        <v>7.3550000000000004E-2</v>
      </c>
      <c r="M3347" s="361">
        <f>(1+D3347)^((5-Dashboard!$F$9)*3/12)</f>
        <v>1.2921851077064075</v>
      </c>
      <c r="N3347" s="361">
        <f t="shared" ref="N3347:V3347" si="3440">M3347*(1+$D3347)</f>
        <v>1.8186859298413449</v>
      </c>
      <c r="O3347" s="361">
        <f t="shared" si="3440"/>
        <v>2.559709511955147</v>
      </c>
      <c r="P3347" s="361">
        <f t="shared" si="3440"/>
        <v>3.6026631526011959</v>
      </c>
      <c r="Q3347" s="361">
        <f t="shared" si="3440"/>
        <v>5.070568254128446</v>
      </c>
      <c r="R3347" s="361">
        <f t="shared" si="3440"/>
        <v>7.1365712892729309</v>
      </c>
      <c r="S3347" s="361">
        <f t="shared" si="3440"/>
        <v>10.044367261086975</v>
      </c>
      <c r="T3347" s="361">
        <f t="shared" si="3440"/>
        <v>14.136944701616565</v>
      </c>
      <c r="U3347" s="361">
        <f t="shared" si="3440"/>
        <v>19.897042820289816</v>
      </c>
      <c r="V3347" s="362">
        <f t="shared" si="3440"/>
        <v>28.004092917416312</v>
      </c>
      <c r="X3347" s="351"/>
    </row>
    <row r="3348" spans="3:24" ht="24.75" customHeight="1" x14ac:dyDescent="0.3">
      <c r="C3348" s="353">
        <f>ABS(E3348-Dashboard!$F$14)</f>
        <v>63.050870683031718</v>
      </c>
      <c r="D3348" s="350">
        <f t="shared" si="3435"/>
        <v>0.40754999999997038</v>
      </c>
      <c r="E3348" s="359" cm="1">
        <f t="array" ref="E3348">1000*SUM('DRE + DCF'!$L$36/M3348,'DRE + DCF'!$N$36:$V$36/N3348:V3348,F3348/V3348)/Dashboard!$F$11</f>
        <v>33.939129316968277</v>
      </c>
      <c r="F3348" s="359">
        <f t="shared" si="3433"/>
        <v>6236786.9620154481</v>
      </c>
      <c r="G3348" s="359">
        <f>'DRE + DCF'!$W$31</f>
        <v>2791623.3540418856</v>
      </c>
      <c r="H3348" s="359">
        <f>'DRE + DCF'!$W$32</f>
        <v>81081.931703745853</v>
      </c>
      <c r="I3348" s="359">
        <f>-H3348*('DRE + DCF'!$V$33+K3348)/'DRE + DCF'!$V$33</f>
        <v>-90858.801614444121</v>
      </c>
      <c r="J3348" s="359">
        <f>-'DRE + DCF'!$V$56*L3348</f>
        <v>-1188924.4255577971</v>
      </c>
      <c r="K3348" s="360">
        <f>(1+L3348)/(1+Ke!$O$12)-1</f>
        <v>2.0000000000000018E-2</v>
      </c>
      <c r="L3348" s="360">
        <f>'DRE + DCF'!$Y$31</f>
        <v>7.3550000000000004E-2</v>
      </c>
      <c r="M3348" s="361">
        <f>(1+D3348)^((5-Dashboard!$F$9)*3/12)</f>
        <v>1.2922539648753166</v>
      </c>
      <c r="N3348" s="361">
        <f t="shared" ref="N3348:V3348" si="3441">M3348*(1+$D3348)</f>
        <v>1.8189120682602136</v>
      </c>
      <c r="O3348" s="361">
        <f t="shared" si="3441"/>
        <v>2.5602096816796096</v>
      </c>
      <c r="P3348" s="361">
        <f t="shared" si="3441"/>
        <v>3.6036231374480585</v>
      </c>
      <c r="Q3348" s="361">
        <f t="shared" si="3441"/>
        <v>5.0722797471149077</v>
      </c>
      <c r="R3348" s="361">
        <f t="shared" si="3441"/>
        <v>7.1394873580514382</v>
      </c>
      <c r="S3348" s="361">
        <f t="shared" si="3441"/>
        <v>10.049185430825091</v>
      </c>
      <c r="T3348" s="361">
        <f t="shared" si="3441"/>
        <v>14.144730953157559</v>
      </c>
      <c r="U3348" s="361">
        <f t="shared" si="3441"/>
        <v>19.909416053116502</v>
      </c>
      <c r="V3348" s="362">
        <f t="shared" si="3441"/>
        <v>28.023498565563543</v>
      </c>
      <c r="X3348" s="351"/>
    </row>
    <row r="3349" spans="3:24" ht="24.75" customHeight="1" x14ac:dyDescent="0.3">
      <c r="C3349" s="353">
        <f>ABS(E3349-Dashboard!$F$14)</f>
        <v>63.062884520555848</v>
      </c>
      <c r="D3349" s="350">
        <f t="shared" si="3435"/>
        <v>0.40764999999997037</v>
      </c>
      <c r="E3349" s="359" cm="1">
        <f t="array" ref="E3349">1000*SUM('DRE + DCF'!$L$36/M3349,'DRE + DCF'!$N$36:$V$36/N3349:V3349,F3349/V3349)/Dashboard!$F$11</f>
        <v>33.927115479444147</v>
      </c>
      <c r="F3349" s="359">
        <f t="shared" si="3433"/>
        <v>6235118.7772386763</v>
      </c>
      <c r="G3349" s="359">
        <f>'DRE + DCF'!$W$31</f>
        <v>2791623.3540418856</v>
      </c>
      <c r="H3349" s="359">
        <f>'DRE + DCF'!$W$32</f>
        <v>81081.931703745853</v>
      </c>
      <c r="I3349" s="359">
        <f>-H3349*('DRE + DCF'!$V$33+K3349)/'DRE + DCF'!$V$33</f>
        <v>-90858.801614444121</v>
      </c>
      <c r="J3349" s="359">
        <f>-'DRE + DCF'!$V$56*L3349</f>
        <v>-1188924.4255577971</v>
      </c>
      <c r="K3349" s="360">
        <f>(1+L3349)/(1+Ke!$O$12)-1</f>
        <v>2.0000000000000018E-2</v>
      </c>
      <c r="L3349" s="360">
        <f>'DRE + DCF'!$Y$31</f>
        <v>7.3550000000000004E-2</v>
      </c>
      <c r="M3349" s="361">
        <f>(1+D3349)^((5-Dashboard!$F$9)*3/12)</f>
        <v>1.2923228208212398</v>
      </c>
      <c r="N3349" s="361">
        <f t="shared" ref="N3349:V3349" si="3442">M3349*(1+$D3349)</f>
        <v>1.81913821872898</v>
      </c>
      <c r="O3349" s="361">
        <f t="shared" si="3442"/>
        <v>2.5607099135937945</v>
      </c>
      <c r="P3349" s="361">
        <f t="shared" si="3442"/>
        <v>3.6045833098702289</v>
      </c>
      <c r="Q3349" s="361">
        <f t="shared" si="3442"/>
        <v>5.0739916961387204</v>
      </c>
      <c r="R3349" s="361">
        <f t="shared" si="3442"/>
        <v>7.1424044110695188</v>
      </c>
      <c r="S3349" s="361">
        <f t="shared" si="3442"/>
        <v>10.054005569241797</v>
      </c>
      <c r="T3349" s="361">
        <f t="shared" si="3442"/>
        <v>14.152520939542917</v>
      </c>
      <c r="U3349" s="361">
        <f t="shared" si="3442"/>
        <v>19.921796100547166</v>
      </c>
      <c r="V3349" s="362">
        <f t="shared" si="3442"/>
        <v>28.042916280934627</v>
      </c>
      <c r="X3349" s="351"/>
    </row>
    <row r="3350" spans="3:24" ht="24.75" customHeight="1" x14ac:dyDescent="0.3">
      <c r="C3350" s="353">
        <f>ABS(E3350-Dashboard!$F$14)</f>
        <v>63.074890421131713</v>
      </c>
      <c r="D3350" s="350">
        <f t="shared" si="3435"/>
        <v>0.40774999999997036</v>
      </c>
      <c r="E3350" s="359" cm="1">
        <f t="array" ref="E3350">1000*SUM('DRE + DCF'!$L$36/M3350,'DRE + DCF'!$N$36:$V$36/N3350:V3350,F3350/V3350)/Dashboard!$F$11</f>
        <v>33.915109578868282</v>
      </c>
      <c r="F3350" s="359">
        <f t="shared" si="3433"/>
        <v>6233451.4934143601</v>
      </c>
      <c r="G3350" s="359">
        <f>'DRE + DCF'!$W$31</f>
        <v>2791623.3540418856</v>
      </c>
      <c r="H3350" s="359">
        <f>'DRE + DCF'!$W$32</f>
        <v>81081.931703745853</v>
      </c>
      <c r="I3350" s="359">
        <f>-H3350*('DRE + DCF'!$V$33+K3350)/'DRE + DCF'!$V$33</f>
        <v>-90858.801614444121</v>
      </c>
      <c r="J3350" s="359">
        <f>-'DRE + DCF'!$V$56*L3350</f>
        <v>-1188924.4255577971</v>
      </c>
      <c r="K3350" s="360">
        <f>(1+L3350)/(1+Ke!$O$12)-1</f>
        <v>2.0000000000000018E-2</v>
      </c>
      <c r="L3350" s="360">
        <f>'DRE + DCF'!$Y$31</f>
        <v>7.3550000000000004E-2</v>
      </c>
      <c r="M3350" s="361">
        <f>(1+D3350)^((5-Dashboard!$F$9)*3/12)</f>
        <v>1.2923916755442857</v>
      </c>
      <c r="N3350" s="361">
        <f t="shared" ref="N3350:V3350" si="3443">M3350*(1+$D3350)</f>
        <v>1.8193643812474298</v>
      </c>
      <c r="O3350" s="361">
        <f t="shared" si="3443"/>
        <v>2.5612102077010155</v>
      </c>
      <c r="P3350" s="361">
        <f t="shared" si="3443"/>
        <v>3.6055436698910284</v>
      </c>
      <c r="Q3350" s="361">
        <f t="shared" si="3443"/>
        <v>5.0757041012889879</v>
      </c>
      <c r="R3350" s="361">
        <f t="shared" si="3443"/>
        <v>7.1453224485894218</v>
      </c>
      <c r="S3350" s="361">
        <f t="shared" si="3443"/>
        <v>10.058827677001545</v>
      </c>
      <c r="T3350" s="361">
        <f t="shared" si="3443"/>
        <v>14.160314662298626</v>
      </c>
      <c r="U3350" s="361">
        <f t="shared" si="3443"/>
        <v>19.934182965850471</v>
      </c>
      <c r="V3350" s="362">
        <f t="shared" si="3443"/>
        <v>28.062346070175408</v>
      </c>
      <c r="X3350" s="351"/>
    </row>
    <row r="3351" spans="3:24" ht="24.75" customHeight="1" x14ac:dyDescent="0.3">
      <c r="C3351" s="353">
        <f>ABS(E3351-Dashboard!$F$14)</f>
        <v>63.086888392131328</v>
      </c>
      <c r="D3351" s="350">
        <f t="shared" si="3435"/>
        <v>0.40784999999997035</v>
      </c>
      <c r="E3351" s="359" cm="1">
        <f t="array" ref="E3351">1000*SUM('DRE + DCF'!$L$36/M3351,'DRE + DCF'!$N$36:$V$36/N3351:V3351,F3351/V3351)/Dashboard!$F$11</f>
        <v>33.903111607868667</v>
      </c>
      <c r="F3351" s="359">
        <f t="shared" si="3433"/>
        <v>6231785.1098055821</v>
      </c>
      <c r="G3351" s="359">
        <f>'DRE + DCF'!$W$31</f>
        <v>2791623.3540418856</v>
      </c>
      <c r="H3351" s="359">
        <f>'DRE + DCF'!$W$32</f>
        <v>81081.931703745853</v>
      </c>
      <c r="I3351" s="359">
        <f>-H3351*('DRE + DCF'!$V$33+K3351)/'DRE + DCF'!$V$33</f>
        <v>-90858.801614444121</v>
      </c>
      <c r="J3351" s="359">
        <f>-'DRE + DCF'!$V$56*L3351</f>
        <v>-1188924.4255577971</v>
      </c>
      <c r="K3351" s="360">
        <f>(1+L3351)/(1+Ke!$O$12)-1</f>
        <v>2.0000000000000018E-2</v>
      </c>
      <c r="L3351" s="360">
        <f>'DRE + DCF'!$Y$31</f>
        <v>7.3550000000000004E-2</v>
      </c>
      <c r="M3351" s="361">
        <f>(1+D3351)^((5-Dashboard!$F$9)*3/12)</f>
        <v>1.2924605290445625</v>
      </c>
      <c r="N3351" s="361">
        <f t="shared" ref="N3351:V3351" si="3444">M3351*(1+$D3351)</f>
        <v>1.8195905558153489</v>
      </c>
      <c r="O3351" s="361">
        <f t="shared" si="3444"/>
        <v>2.561710564004585</v>
      </c>
      <c r="P3351" s="361">
        <f t="shared" si="3444"/>
        <v>3.6065042175337787</v>
      </c>
      <c r="Q3351" s="361">
        <f t="shared" si="3444"/>
        <v>5.0774169626548229</v>
      </c>
      <c r="R3351" s="361">
        <f t="shared" si="3444"/>
        <v>7.1482414708734412</v>
      </c>
      <c r="S3351" s="361">
        <f t="shared" si="3444"/>
        <v>10.063651754768962</v>
      </c>
      <c r="T3351" s="361">
        <f t="shared" si="3444"/>
        <v>14.168112122951184</v>
      </c>
      <c r="U3351" s="361">
        <f t="shared" si="3444"/>
        <v>19.946576652296404</v>
      </c>
      <c r="V3351" s="362">
        <f t="shared" si="3444"/>
        <v>28.081787939934898</v>
      </c>
      <c r="X3351" s="351"/>
    </row>
    <row r="3352" spans="3:24" ht="24.75" customHeight="1" x14ac:dyDescent="0.3">
      <c r="C3352" s="353">
        <f>ABS(E3352-Dashboard!$F$14)</f>
        <v>63.098878440917986</v>
      </c>
      <c r="D3352" s="350">
        <f t="shared" si="3435"/>
        <v>0.40794999999997034</v>
      </c>
      <c r="E3352" s="359" cm="1">
        <f t="array" ref="E3352">1000*SUM('DRE + DCF'!$L$36/M3352,'DRE + DCF'!$N$36:$V$36/N3352:V3352,F3352/V3352)/Dashboard!$F$11</f>
        <v>33.891121559082009</v>
      </c>
      <c r="F3352" s="359">
        <f t="shared" si="3433"/>
        <v>6230119.6256762352</v>
      </c>
      <c r="G3352" s="359">
        <f>'DRE + DCF'!$W$31</f>
        <v>2791623.3540418856</v>
      </c>
      <c r="H3352" s="359">
        <f>'DRE + DCF'!$W$32</f>
        <v>81081.931703745853</v>
      </c>
      <c r="I3352" s="359">
        <f>-H3352*('DRE + DCF'!$V$33+K3352)/'DRE + DCF'!$V$33</f>
        <v>-90858.801614444121</v>
      </c>
      <c r="J3352" s="359">
        <f>-'DRE + DCF'!$V$56*L3352</f>
        <v>-1188924.4255577971</v>
      </c>
      <c r="K3352" s="360">
        <f>(1+L3352)/(1+Ke!$O$12)-1</f>
        <v>2.0000000000000018E-2</v>
      </c>
      <c r="L3352" s="360">
        <f>'DRE + DCF'!$Y$31</f>
        <v>7.3550000000000004E-2</v>
      </c>
      <c r="M3352" s="361">
        <f>(1+D3352)^((5-Dashboard!$F$9)*3/12)</f>
        <v>1.2925293813221792</v>
      </c>
      <c r="N3352" s="361">
        <f t="shared" ref="N3352:V3352" si="3445">M3352*(1+$D3352)</f>
        <v>1.8198167424325238</v>
      </c>
      <c r="O3352" s="361">
        <f t="shared" si="3445"/>
        <v>2.5622109825078176</v>
      </c>
      <c r="P3352" s="361">
        <f t="shared" si="3445"/>
        <v>3.6074649528218057</v>
      </c>
      <c r="Q3352" s="361">
        <f t="shared" si="3445"/>
        <v>5.0791302803253542</v>
      </c>
      <c r="R3352" s="361">
        <f t="shared" si="3445"/>
        <v>7.1511614781839317</v>
      </c>
      <c r="S3352" s="361">
        <f t="shared" si="3445"/>
        <v>10.068477803208854</v>
      </c>
      <c r="T3352" s="361">
        <f t="shared" si="3445"/>
        <v>14.175913323027606</v>
      </c>
      <c r="U3352" s="361">
        <f t="shared" si="3445"/>
        <v>19.958977163156298</v>
      </c>
      <c r="V3352" s="362">
        <f t="shared" si="3445"/>
        <v>28.101241896865318</v>
      </c>
      <c r="X3352" s="351"/>
    </row>
    <row r="3353" spans="3:24" ht="24.75" customHeight="1" x14ac:dyDescent="0.3">
      <c r="C3353" s="353">
        <f>ABS(E3353-Dashboard!$F$14)</f>
        <v>63.110860574846313</v>
      </c>
      <c r="D3353" s="350">
        <f t="shared" si="3435"/>
        <v>0.40804999999997033</v>
      </c>
      <c r="E3353" s="359" cm="1">
        <f t="array" ref="E3353">1000*SUM('DRE + DCF'!$L$36/M3353,'DRE + DCF'!$N$36:$V$36/N3353:V3353,F3353/V3353)/Dashboard!$F$11</f>
        <v>33.879139425153681</v>
      </c>
      <c r="F3353" s="359">
        <f t="shared" si="3433"/>
        <v>6228455.0402910225</v>
      </c>
      <c r="G3353" s="359">
        <f>'DRE + DCF'!$W$31</f>
        <v>2791623.3540418856</v>
      </c>
      <c r="H3353" s="359">
        <f>'DRE + DCF'!$W$32</f>
        <v>81081.931703745853</v>
      </c>
      <c r="I3353" s="359">
        <f>-H3353*('DRE + DCF'!$V$33+K3353)/'DRE + DCF'!$V$33</f>
        <v>-90858.801614444121</v>
      </c>
      <c r="J3353" s="359">
        <f>-'DRE + DCF'!$V$56*L3353</f>
        <v>-1188924.4255577971</v>
      </c>
      <c r="K3353" s="360">
        <f>(1+L3353)/(1+Ke!$O$12)-1</f>
        <v>2.0000000000000018E-2</v>
      </c>
      <c r="L3353" s="360">
        <f>'DRE + DCF'!$Y$31</f>
        <v>7.3550000000000004E-2</v>
      </c>
      <c r="M3353" s="361">
        <f>(1+D3353)^((5-Dashboard!$F$9)*3/12)</f>
        <v>1.2925982323772442</v>
      </c>
      <c r="N3353" s="361">
        <f t="shared" ref="N3353:V3353" si="3446">M3353*(1+$D3353)</f>
        <v>1.8200429410987404</v>
      </c>
      <c r="O3353" s="361">
        <f t="shared" si="3446"/>
        <v>2.5627114632140273</v>
      </c>
      <c r="P3353" s="361">
        <f t="shared" si="3446"/>
        <v>3.6084258757784351</v>
      </c>
      <c r="Q3353" s="361">
        <f t="shared" si="3446"/>
        <v>5.0808440543897184</v>
      </c>
      <c r="R3353" s="361">
        <f t="shared" si="3446"/>
        <v>7.1540824707832922</v>
      </c>
      <c r="S3353" s="361">
        <f t="shared" si="3446"/>
        <v>10.073305822986201</v>
      </c>
      <c r="T3353" s="361">
        <f t="shared" si="3446"/>
        <v>14.183718264055422</v>
      </c>
      <c r="U3353" s="361">
        <f t="shared" si="3446"/>
        <v>19.971384501702815</v>
      </c>
      <c r="V3353" s="362">
        <f t="shared" si="3446"/>
        <v>28.120707947622055</v>
      </c>
      <c r="X3353" s="351"/>
    </row>
    <row r="3354" spans="3:24" ht="24.75" customHeight="1" x14ac:dyDescent="0.3">
      <c r="C3354" s="353">
        <f>ABS(E3354-Dashboard!$F$14)</f>
        <v>63.122834801262186</v>
      </c>
      <c r="D3354" s="350">
        <f t="shared" si="3435"/>
        <v>0.40814999999997031</v>
      </c>
      <c r="E3354" s="359" cm="1">
        <f t="array" ref="E3354">1000*SUM('DRE + DCF'!$L$36/M3354,'DRE + DCF'!$N$36:$V$36/N3354:V3354,F3354/V3354)/Dashboard!$F$11</f>
        <v>33.867165198737808</v>
      </c>
      <c r="F3354" s="359">
        <f t="shared" si="3433"/>
        <v>6226791.3529154612</v>
      </c>
      <c r="G3354" s="359">
        <f>'DRE + DCF'!$W$31</f>
        <v>2791623.3540418856</v>
      </c>
      <c r="H3354" s="359">
        <f>'DRE + DCF'!$W$32</f>
        <v>81081.931703745853</v>
      </c>
      <c r="I3354" s="359">
        <f>-H3354*('DRE + DCF'!$V$33+K3354)/'DRE + DCF'!$V$33</f>
        <v>-90858.801614444121</v>
      </c>
      <c r="J3354" s="359">
        <f>-'DRE + DCF'!$V$56*L3354</f>
        <v>-1188924.4255577971</v>
      </c>
      <c r="K3354" s="360">
        <f>(1+L3354)/(1+Ke!$O$12)-1</f>
        <v>2.0000000000000018E-2</v>
      </c>
      <c r="L3354" s="360">
        <f>'DRE + DCF'!$Y$31</f>
        <v>7.3550000000000004E-2</v>
      </c>
      <c r="M3354" s="361">
        <f>(1+D3354)^((5-Dashboard!$F$9)*3/12)</f>
        <v>1.2926670822098663</v>
      </c>
      <c r="N3354" s="361">
        <f t="shared" ref="N3354:V3354" si="3447">M3354*(1+$D3354)</f>
        <v>1.8202691518137848</v>
      </c>
      <c r="O3354" s="361">
        <f t="shared" si="3447"/>
        <v>2.5632120061265269</v>
      </c>
      <c r="P3354" s="361">
        <f t="shared" si="3447"/>
        <v>3.6093869864269927</v>
      </c>
      <c r="Q3354" s="361">
        <f t="shared" si="3447"/>
        <v>5.0825582849370621</v>
      </c>
      <c r="R3354" s="361">
        <f t="shared" si="3447"/>
        <v>7.1570044489339724</v>
      </c>
      <c r="S3354" s="361">
        <f t="shared" si="3447"/>
        <v>10.07813581476616</v>
      </c>
      <c r="T3354" s="361">
        <f t="shared" si="3447"/>
        <v>14.191526947562668</v>
      </c>
      <c r="U3354" s="361">
        <f t="shared" si="3447"/>
        <v>19.98379867120995</v>
      </c>
      <c r="V3354" s="362">
        <f t="shared" si="3447"/>
        <v>28.140186098863698</v>
      </c>
      <c r="X3354" s="351"/>
    </row>
    <row r="3355" spans="3:24" ht="24.75" customHeight="1" x14ac:dyDescent="0.3">
      <c r="C3355" s="353">
        <f>ABS(E3355-Dashboard!$F$14)</f>
        <v>63.134801127502818</v>
      </c>
      <c r="D3355" s="350">
        <f t="shared" si="3435"/>
        <v>0.4082499999999703</v>
      </c>
      <c r="E3355" s="359" cm="1">
        <f t="array" ref="E3355">1000*SUM('DRE + DCF'!$L$36/M3355,'DRE + DCF'!$N$36:$V$36/N3355:V3355,F3355/V3355)/Dashboard!$F$11</f>
        <v>33.855198872497176</v>
      </c>
      <c r="F3355" s="359">
        <f t="shared" si="3433"/>
        <v>6225128.5628158692</v>
      </c>
      <c r="G3355" s="359">
        <f>'DRE + DCF'!$W$31</f>
        <v>2791623.3540418856</v>
      </c>
      <c r="H3355" s="359">
        <f>'DRE + DCF'!$W$32</f>
        <v>81081.931703745853</v>
      </c>
      <c r="I3355" s="359">
        <f>-H3355*('DRE + DCF'!$V$33+K3355)/'DRE + DCF'!$V$33</f>
        <v>-90858.801614444121</v>
      </c>
      <c r="J3355" s="359">
        <f>-'DRE + DCF'!$V$56*L3355</f>
        <v>-1188924.4255577971</v>
      </c>
      <c r="K3355" s="360">
        <f>(1+L3355)/(1+Ke!$O$12)-1</f>
        <v>2.0000000000000018E-2</v>
      </c>
      <c r="L3355" s="360">
        <f>'DRE + DCF'!$Y$31</f>
        <v>7.3550000000000004E-2</v>
      </c>
      <c r="M3355" s="361">
        <f>(1+D3355)^((5-Dashboard!$F$9)*3/12)</f>
        <v>1.2927359308201534</v>
      </c>
      <c r="N3355" s="361">
        <f t="shared" ref="N3355:V3355" si="3448">M3355*(1+$D3355)</f>
        <v>1.8204953745774426</v>
      </c>
      <c r="O3355" s="361">
        <f t="shared" si="3448"/>
        <v>2.5637126112486293</v>
      </c>
      <c r="P3355" s="361">
        <f t="shared" si="3448"/>
        <v>3.6103482847908057</v>
      </c>
      <c r="Q3355" s="361">
        <f t="shared" si="3448"/>
        <v>5.0842729720565449</v>
      </c>
      <c r="R3355" s="361">
        <f t="shared" si="3448"/>
        <v>7.1599274128984778</v>
      </c>
      <c r="S3355" s="361">
        <f t="shared" si="3448"/>
        <v>10.082967779214068</v>
      </c>
      <c r="T3355" s="361">
        <f t="shared" si="3448"/>
        <v>14.19933937507791</v>
      </c>
      <c r="U3355" s="361">
        <f t="shared" si="3448"/>
        <v>19.996219674953046</v>
      </c>
      <c r="V3355" s="362">
        <f t="shared" si="3448"/>
        <v>28.159676357252032</v>
      </c>
      <c r="X3355" s="351"/>
    </row>
    <row r="3356" spans="3:24" ht="24.75" customHeight="1" x14ac:dyDescent="0.3">
      <c r="C3356" s="353">
        <f>ABS(E3356-Dashboard!$F$14)</f>
        <v>63.146759560896804</v>
      </c>
      <c r="D3356" s="350">
        <f t="shared" si="3435"/>
        <v>0.40834999999997029</v>
      </c>
      <c r="E3356" s="359" cm="1">
        <f t="array" ref="E3356">1000*SUM('DRE + DCF'!$L$36/M3356,'DRE + DCF'!$N$36:$V$36/N3356:V3356,F3356/V3356)/Dashboard!$F$11</f>
        <v>33.843240439103191</v>
      </c>
      <c r="F3356" s="359">
        <f t="shared" si="3433"/>
        <v>6223466.669259375</v>
      </c>
      <c r="G3356" s="359">
        <f>'DRE + DCF'!$W$31</f>
        <v>2791623.3540418856</v>
      </c>
      <c r="H3356" s="359">
        <f>'DRE + DCF'!$W$32</f>
        <v>81081.931703745853</v>
      </c>
      <c r="I3356" s="359">
        <f>-H3356*('DRE + DCF'!$V$33+K3356)/'DRE + DCF'!$V$33</f>
        <v>-90858.801614444121</v>
      </c>
      <c r="J3356" s="359">
        <f>-'DRE + DCF'!$V$56*L3356</f>
        <v>-1188924.4255577971</v>
      </c>
      <c r="K3356" s="360">
        <f>(1+L3356)/(1+Ke!$O$12)-1</f>
        <v>2.0000000000000018E-2</v>
      </c>
      <c r="L3356" s="360">
        <f>'DRE + DCF'!$Y$31</f>
        <v>7.3550000000000004E-2</v>
      </c>
      <c r="M3356" s="361">
        <f>(1+D3356)^((5-Dashboard!$F$9)*3/12)</f>
        <v>1.2928047782082144</v>
      </c>
      <c r="N3356" s="361">
        <f t="shared" ref="N3356:V3356" si="3449">M3356*(1+$D3356)</f>
        <v>1.8207216093895002</v>
      </c>
      <c r="O3356" s="361">
        <f t="shared" si="3449"/>
        <v>2.5642132785836487</v>
      </c>
      <c r="P3356" s="361">
        <f t="shared" si="3449"/>
        <v>3.6113097708932052</v>
      </c>
      <c r="Q3356" s="361">
        <f t="shared" si="3449"/>
        <v>5.0859881158373383</v>
      </c>
      <c r="R3356" s="361">
        <f t="shared" si="3449"/>
        <v>7.1628513629393638</v>
      </c>
      <c r="S3356" s="361">
        <f t="shared" si="3449"/>
        <v>10.08780171699544</v>
      </c>
      <c r="T3356" s="361">
        <f t="shared" si="3449"/>
        <v>14.207155548130228</v>
      </c>
      <c r="U3356" s="361">
        <f t="shared" si="3449"/>
        <v>20.008647516208782</v>
      </c>
      <c r="V3356" s="362">
        <f t="shared" si="3449"/>
        <v>28.179178729452044</v>
      </c>
      <c r="X3356" s="351"/>
    </row>
    <row r="3357" spans="3:24" ht="24.75" customHeight="1" x14ac:dyDescent="0.3">
      <c r="C3357" s="353">
        <f>ABS(E3357-Dashboard!$F$14)</f>
        <v>63.158710108764019</v>
      </c>
      <c r="D3357" s="350">
        <f t="shared" si="3435"/>
        <v>0.40844999999997028</v>
      </c>
      <c r="E3357" s="359" cm="1">
        <f t="array" ref="E3357">1000*SUM('DRE + DCF'!$L$36/M3357,'DRE + DCF'!$N$36:$V$36/N3357:V3357,F3357/V3357)/Dashboard!$F$11</f>
        <v>33.831289891235976</v>
      </c>
      <c r="F3357" s="359">
        <f t="shared" si="3433"/>
        <v>6221805.6715139132</v>
      </c>
      <c r="G3357" s="359">
        <f>'DRE + DCF'!$W$31</f>
        <v>2791623.3540418856</v>
      </c>
      <c r="H3357" s="359">
        <f>'DRE + DCF'!$W$32</f>
        <v>81081.931703745853</v>
      </c>
      <c r="I3357" s="359">
        <f>-H3357*('DRE + DCF'!$V$33+K3357)/'DRE + DCF'!$V$33</f>
        <v>-90858.801614444121</v>
      </c>
      <c r="J3357" s="359">
        <f>-'DRE + DCF'!$V$56*L3357</f>
        <v>-1188924.4255577971</v>
      </c>
      <c r="K3357" s="360">
        <f>(1+L3357)/(1+Ke!$O$12)-1</f>
        <v>2.0000000000000018E-2</v>
      </c>
      <c r="L3357" s="360">
        <f>'DRE + DCF'!$Y$31</f>
        <v>7.3550000000000004E-2</v>
      </c>
      <c r="M3357" s="361">
        <f>(1+D3357)^((5-Dashboard!$F$9)*3/12)</f>
        <v>1.2928736243741579</v>
      </c>
      <c r="N3357" s="361">
        <f t="shared" ref="N3357:V3357" si="3450">M3357*(1+$D3357)</f>
        <v>1.8209478562497441</v>
      </c>
      <c r="O3357" s="361">
        <f t="shared" si="3450"/>
        <v>2.564714008134898</v>
      </c>
      <c r="P3357" s="361">
        <f t="shared" si="3450"/>
        <v>3.6122714447575208</v>
      </c>
      <c r="Q3357" s="361">
        <f t="shared" si="3450"/>
        <v>5.0877037163686225</v>
      </c>
      <c r="R3357" s="361">
        <f t="shared" si="3450"/>
        <v>7.1657762993192353</v>
      </c>
      <c r="S3357" s="361">
        <f t="shared" si="3450"/>
        <v>10.092637628775964</v>
      </c>
      <c r="T3357" s="361">
        <f t="shared" si="3450"/>
        <v>14.214975468249207</v>
      </c>
      <c r="U3357" s="361">
        <f t="shared" si="3450"/>
        <v>20.021082198255172</v>
      </c>
      <c r="V3357" s="362">
        <f t="shared" si="3450"/>
        <v>28.198693222131901</v>
      </c>
      <c r="X3357" s="351"/>
    </row>
    <row r="3358" spans="3:24" ht="24.75" customHeight="1" x14ac:dyDescent="0.3">
      <c r="C3358" s="353">
        <f>ABS(E3358-Dashboard!$F$14)</f>
        <v>63.170652778415722</v>
      </c>
      <c r="D3358" s="350">
        <f t="shared" si="3435"/>
        <v>0.40854999999997027</v>
      </c>
      <c r="E3358" s="359" cm="1">
        <f t="array" ref="E3358">1000*SUM('DRE + DCF'!$L$36/M3358,'DRE + DCF'!$N$36:$V$36/N3358:V3358,F3358/V3358)/Dashboard!$F$11</f>
        <v>33.819347221584273</v>
      </c>
      <c r="F3358" s="359">
        <f t="shared" si="3433"/>
        <v>6220145.5688482206</v>
      </c>
      <c r="G3358" s="359">
        <f>'DRE + DCF'!$W$31</f>
        <v>2791623.3540418856</v>
      </c>
      <c r="H3358" s="359">
        <f>'DRE + DCF'!$W$32</f>
        <v>81081.931703745853</v>
      </c>
      <c r="I3358" s="359">
        <f>-H3358*('DRE + DCF'!$V$33+K3358)/'DRE + DCF'!$V$33</f>
        <v>-90858.801614444121</v>
      </c>
      <c r="J3358" s="359">
        <f>-'DRE + DCF'!$V$56*L3358</f>
        <v>-1188924.4255577971</v>
      </c>
      <c r="K3358" s="360">
        <f>(1+L3358)/(1+Ke!$O$12)-1</f>
        <v>2.0000000000000018E-2</v>
      </c>
      <c r="L3358" s="360">
        <f>'DRE + DCF'!$Y$31</f>
        <v>7.3550000000000004E-2</v>
      </c>
      <c r="M3358" s="361">
        <f>(1+D3358)^((5-Dashboard!$F$9)*3/12)</f>
        <v>1.292942469318092</v>
      </c>
      <c r="N3358" s="361">
        <f t="shared" ref="N3358:V3358" si="3451">M3358*(1+$D3358)</f>
        <v>1.8211741151579599</v>
      </c>
      <c r="O3358" s="361">
        <f t="shared" si="3451"/>
        <v>2.5652147999056902</v>
      </c>
      <c r="P3358" s="361">
        <f t="shared" si="3451"/>
        <v>3.6132333064070834</v>
      </c>
      <c r="Q3358" s="361">
        <f t="shared" si="3451"/>
        <v>5.0894197737395901</v>
      </c>
      <c r="R3358" s="361">
        <f t="shared" si="3451"/>
        <v>7.1687022223007482</v>
      </c>
      <c r="S3358" s="361">
        <f t="shared" si="3451"/>
        <v>10.097475515221506</v>
      </c>
      <c r="T3358" s="361">
        <f t="shared" si="3451"/>
        <v>14.222799136964952</v>
      </c>
      <c r="U3358" s="361">
        <f t="shared" si="3451"/>
        <v>20.033523724371559</v>
      </c>
      <c r="V3358" s="362">
        <f t="shared" si="3451"/>
        <v>28.218219841962963</v>
      </c>
      <c r="X3358" s="351"/>
    </row>
    <row r="3359" spans="3:24" ht="24.75" customHeight="1" x14ac:dyDescent="0.3">
      <c r="C3359" s="353">
        <f>ABS(E3359-Dashboard!$F$14)</f>
        <v>63.18258757715455</v>
      </c>
      <c r="D3359" s="350">
        <f t="shared" si="3435"/>
        <v>0.40864999999997026</v>
      </c>
      <c r="E3359" s="359" cm="1">
        <f t="array" ref="E3359">1000*SUM('DRE + DCF'!$L$36/M3359,'DRE + DCF'!$N$36:$V$36/N3359:V3359,F3359/V3359)/Dashboard!$F$11</f>
        <v>33.807412422845445</v>
      </c>
      <c r="F3359" s="359">
        <f t="shared" si="3433"/>
        <v>6218486.3605318395</v>
      </c>
      <c r="G3359" s="359">
        <f>'DRE + DCF'!$W$31</f>
        <v>2791623.3540418856</v>
      </c>
      <c r="H3359" s="359">
        <f>'DRE + DCF'!$W$32</f>
        <v>81081.931703745853</v>
      </c>
      <c r="I3359" s="359">
        <f>-H3359*('DRE + DCF'!$V$33+K3359)/'DRE + DCF'!$V$33</f>
        <v>-90858.801614444121</v>
      </c>
      <c r="J3359" s="359">
        <f>-'DRE + DCF'!$V$56*L3359</f>
        <v>-1188924.4255577971</v>
      </c>
      <c r="K3359" s="360">
        <f>(1+L3359)/(1+Ke!$O$12)-1</f>
        <v>2.0000000000000018E-2</v>
      </c>
      <c r="L3359" s="360">
        <f>'DRE + DCF'!$Y$31</f>
        <v>7.3550000000000004E-2</v>
      </c>
      <c r="M3359" s="361">
        <f>(1+D3359)^((5-Dashboard!$F$9)*3/12)</f>
        <v>1.2930113130401253</v>
      </c>
      <c r="N3359" s="361">
        <f t="shared" ref="N3359:V3359" si="3452">M3359*(1+$D3359)</f>
        <v>1.8214003861139341</v>
      </c>
      <c r="O3359" s="361">
        <f t="shared" si="3452"/>
        <v>2.5657156538993391</v>
      </c>
      <c r="P3359" s="361">
        <f t="shared" si="3452"/>
        <v>3.6141953558652276</v>
      </c>
      <c r="Q3359" s="361">
        <f t="shared" si="3452"/>
        <v>5.0911362880394453</v>
      </c>
      <c r="R3359" s="361">
        <f t="shared" si="3452"/>
        <v>7.171629132146613</v>
      </c>
      <c r="S3359" s="361">
        <f t="shared" si="3452"/>
        <v>10.102315376998114</v>
      </c>
      <c r="T3359" s="361">
        <f t="shared" si="3452"/>
        <v>14.230626555808092</v>
      </c>
      <c r="U3359" s="361">
        <f t="shared" si="3452"/>
        <v>20.045972097838646</v>
      </c>
      <c r="V3359" s="362">
        <f t="shared" si="3452"/>
        <v>28.237758595619812</v>
      </c>
      <c r="X3359" s="351"/>
    </row>
    <row r="3360" spans="3:24" ht="24.75" customHeight="1" x14ac:dyDescent="0.3">
      <c r="C3360" s="353">
        <f>ABS(E3360-Dashboard!$F$14)</f>
        <v>63.194514512274516</v>
      </c>
      <c r="D3360" s="350">
        <f t="shared" si="3435"/>
        <v>0.40874999999997025</v>
      </c>
      <c r="E3360" s="359" cm="1">
        <f t="array" ref="E3360">1000*SUM('DRE + DCF'!$L$36/M3360,'DRE + DCF'!$N$36:$V$36/N3360:V3360,F3360/V3360)/Dashboard!$F$11</f>
        <v>33.795485487725479</v>
      </c>
      <c r="F3360" s="359">
        <f t="shared" si="3433"/>
        <v>6216828.0458351132</v>
      </c>
      <c r="G3360" s="359">
        <f>'DRE + DCF'!$W$31</f>
        <v>2791623.3540418856</v>
      </c>
      <c r="H3360" s="359">
        <f>'DRE + DCF'!$W$32</f>
        <v>81081.931703745853</v>
      </c>
      <c r="I3360" s="359">
        <f>-H3360*('DRE + DCF'!$V$33+K3360)/'DRE + DCF'!$V$33</f>
        <v>-90858.801614444121</v>
      </c>
      <c r="J3360" s="359">
        <f>-'DRE + DCF'!$V$56*L3360</f>
        <v>-1188924.4255577971</v>
      </c>
      <c r="K3360" s="360">
        <f>(1+L3360)/(1+Ke!$O$12)-1</f>
        <v>2.0000000000000018E-2</v>
      </c>
      <c r="L3360" s="360">
        <f>'DRE + DCF'!$Y$31</f>
        <v>7.3550000000000004E-2</v>
      </c>
      <c r="M3360" s="361">
        <f>(1+D3360)^((5-Dashboard!$F$9)*3/12)</f>
        <v>1.2930801555403664</v>
      </c>
      <c r="N3360" s="361">
        <f t="shared" ref="N3360:V3360" si="3453">M3360*(1+$D3360)</f>
        <v>1.8216266691174525</v>
      </c>
      <c r="O3360" s="361">
        <f t="shared" si="3453"/>
        <v>2.566216570119157</v>
      </c>
      <c r="P3360" s="361">
        <f t="shared" si="3453"/>
        <v>3.6151575931552862</v>
      </c>
      <c r="Q3360" s="361">
        <f t="shared" si="3453"/>
        <v>5.0928532593574021</v>
      </c>
      <c r="R3360" s="361">
        <f t="shared" si="3453"/>
        <v>7.1745570291195886</v>
      </c>
      <c r="S3360" s="361">
        <f t="shared" si="3453"/>
        <v>10.107157214772007</v>
      </c>
      <c r="T3360" s="361">
        <f t="shared" si="3453"/>
        <v>14.238457726309765</v>
      </c>
      <c r="U3360" s="361">
        <f t="shared" si="3453"/>
        <v>20.058427321938456</v>
      </c>
      <c r="V3360" s="362">
        <f t="shared" si="3453"/>
        <v>28.257309489780202</v>
      </c>
      <c r="X3360" s="351"/>
    </row>
    <row r="3361" spans="3:24" ht="24.75" customHeight="1" x14ac:dyDescent="0.3">
      <c r="C3361" s="353">
        <f>ABS(E3361-Dashboard!$F$14)</f>
        <v>63.206433591061021</v>
      </c>
      <c r="D3361" s="350">
        <f t="shared" si="3435"/>
        <v>0.40884999999997024</v>
      </c>
      <c r="E3361" s="359" cm="1">
        <f t="array" ref="E3361">1000*SUM('DRE + DCF'!$L$36/M3361,'DRE + DCF'!$N$36:$V$36/N3361:V3361,F3361/V3361)/Dashboard!$F$11</f>
        <v>33.783566408938974</v>
      </c>
      <c r="F3361" s="359">
        <f t="shared" si="3433"/>
        <v>6215170.6240291884</v>
      </c>
      <c r="G3361" s="359">
        <f>'DRE + DCF'!$W$31</f>
        <v>2791623.3540418856</v>
      </c>
      <c r="H3361" s="359">
        <f>'DRE + DCF'!$W$32</f>
        <v>81081.931703745853</v>
      </c>
      <c r="I3361" s="359">
        <f>-H3361*('DRE + DCF'!$V$33+K3361)/'DRE + DCF'!$V$33</f>
        <v>-90858.801614444121</v>
      </c>
      <c r="J3361" s="359">
        <f>-'DRE + DCF'!$V$56*L3361</f>
        <v>-1188924.4255577971</v>
      </c>
      <c r="K3361" s="360">
        <f>(1+L3361)/(1+Ke!$O$12)-1</f>
        <v>2.0000000000000018E-2</v>
      </c>
      <c r="L3361" s="360">
        <f>'DRE + DCF'!$Y$31</f>
        <v>7.3550000000000004E-2</v>
      </c>
      <c r="M3361" s="361">
        <f>(1+D3361)^((5-Dashboard!$F$9)*3/12)</f>
        <v>1.2931489968189236</v>
      </c>
      <c r="N3361" s="361">
        <f t="shared" ref="N3361:V3361" si="3454">M3361*(1+$D3361)</f>
        <v>1.8218529641683019</v>
      </c>
      <c r="O3361" s="361">
        <f t="shared" si="3454"/>
        <v>2.5667175485684579</v>
      </c>
      <c r="P3361" s="361">
        <f t="shared" si="3454"/>
        <v>3.6161200183005953</v>
      </c>
      <c r="Q3361" s="361">
        <f t="shared" si="3454"/>
        <v>5.094570687782686</v>
      </c>
      <c r="R3361" s="361">
        <f t="shared" si="3454"/>
        <v>7.1774859134824851</v>
      </c>
      <c r="S3361" s="361">
        <f t="shared" si="3454"/>
        <v>10.112001029209585</v>
      </c>
      <c r="T3361" s="361">
        <f t="shared" si="3454"/>
        <v>14.246292650001623</v>
      </c>
      <c r="U3361" s="361">
        <f t="shared" si="3454"/>
        <v>20.07088939995436</v>
      </c>
      <c r="V3361" s="362">
        <f t="shared" si="3454"/>
        <v>28.276872531125104</v>
      </c>
      <c r="X3361" s="351"/>
    </row>
    <row r="3362" spans="3:24" ht="24.75" customHeight="1" x14ac:dyDescent="0.3">
      <c r="C3362" s="353">
        <f>ABS(E3362-Dashboard!$F$14)</f>
        <v>63.218344820790875</v>
      </c>
      <c r="D3362" s="350">
        <f t="shared" si="3435"/>
        <v>0.40894999999997023</v>
      </c>
      <c r="E3362" s="359" cm="1">
        <f t="array" ref="E3362">1000*SUM('DRE + DCF'!$L$36/M3362,'DRE + DCF'!$N$36:$V$36/N3362:V3362,F3362/V3362)/Dashboard!$F$11</f>
        <v>33.77165517920912</v>
      </c>
      <c r="F3362" s="359">
        <f t="shared" si="3433"/>
        <v>6213514.0943860086</v>
      </c>
      <c r="G3362" s="359">
        <f>'DRE + DCF'!$W$31</f>
        <v>2791623.3540418856</v>
      </c>
      <c r="H3362" s="359">
        <f>'DRE + DCF'!$W$32</f>
        <v>81081.931703745853</v>
      </c>
      <c r="I3362" s="359">
        <f>-H3362*('DRE + DCF'!$V$33+K3362)/'DRE + DCF'!$V$33</f>
        <v>-90858.801614444121</v>
      </c>
      <c r="J3362" s="359">
        <f>-'DRE + DCF'!$V$56*L3362</f>
        <v>-1188924.4255577971</v>
      </c>
      <c r="K3362" s="360">
        <f>(1+L3362)/(1+Ke!$O$12)-1</f>
        <v>2.0000000000000018E-2</v>
      </c>
      <c r="L3362" s="360">
        <f>'DRE + DCF'!$Y$31</f>
        <v>7.3550000000000004E-2</v>
      </c>
      <c r="M3362" s="361">
        <f>(1+D3362)^((5-Dashboard!$F$9)*3/12)</f>
        <v>1.2932178368759051</v>
      </c>
      <c r="N3362" s="361">
        <f t="shared" ref="N3362:V3362" si="3455">M3362*(1+$D3362)</f>
        <v>1.8220792712662679</v>
      </c>
      <c r="O3362" s="361">
        <f t="shared" si="3455"/>
        <v>2.5672185892505537</v>
      </c>
      <c r="P3362" s="361">
        <f t="shared" si="3455"/>
        <v>3.6170826313244908</v>
      </c>
      <c r="Q3362" s="361">
        <f t="shared" si="3455"/>
        <v>5.0962885734045331</v>
      </c>
      <c r="R3362" s="361">
        <f t="shared" si="3455"/>
        <v>7.1804157854981652</v>
      </c>
      <c r="S3362" s="361">
        <f t="shared" si="3455"/>
        <v>10.116846820977425</v>
      </c>
      <c r="T3362" s="361">
        <f t="shared" si="3455"/>
        <v>14.254131328415841</v>
      </c>
      <c r="U3362" s="361">
        <f t="shared" si="3455"/>
        <v>20.083358335171074</v>
      </c>
      <c r="V3362" s="362">
        <f t="shared" si="3455"/>
        <v>28.296447726338684</v>
      </c>
      <c r="X3362" s="351"/>
    </row>
    <row r="3363" spans="3:24" ht="24.75" customHeight="1" x14ac:dyDescent="0.3">
      <c r="C3363" s="353">
        <f>ABS(E3363-Dashboard!$F$14)</f>
        <v>63.23024820873232</v>
      </c>
      <c r="D3363" s="350">
        <f t="shared" si="3435"/>
        <v>0.40904999999997022</v>
      </c>
      <c r="E3363" s="359" cm="1">
        <f t="array" ref="E3363">1000*SUM('DRE + DCF'!$L$36/M3363,'DRE + DCF'!$N$36:$V$36/N3363:V3363,F3363/V3363)/Dashboard!$F$11</f>
        <v>33.759751791267675</v>
      </c>
      <c r="F3363" s="359">
        <f t="shared" si="3433"/>
        <v>6211858.4561783196</v>
      </c>
      <c r="G3363" s="359">
        <f>'DRE + DCF'!$W$31</f>
        <v>2791623.3540418856</v>
      </c>
      <c r="H3363" s="359">
        <f>'DRE + DCF'!$W$32</f>
        <v>81081.931703745853</v>
      </c>
      <c r="I3363" s="359">
        <f>-H3363*('DRE + DCF'!$V$33+K3363)/'DRE + DCF'!$V$33</f>
        <v>-90858.801614444121</v>
      </c>
      <c r="J3363" s="359">
        <f>-'DRE + DCF'!$V$56*L3363</f>
        <v>-1188924.4255577971</v>
      </c>
      <c r="K3363" s="360">
        <f>(1+L3363)/(1+Ke!$O$12)-1</f>
        <v>2.0000000000000018E-2</v>
      </c>
      <c r="L3363" s="360">
        <f>'DRE + DCF'!$Y$31</f>
        <v>7.3550000000000004E-2</v>
      </c>
      <c r="M3363" s="361">
        <f>(1+D3363)^((5-Dashboard!$F$9)*3/12)</f>
        <v>1.2932866757114196</v>
      </c>
      <c r="N3363" s="361">
        <f t="shared" ref="N3363:V3363" si="3456">M3363*(1+$D3363)</f>
        <v>1.8223055904111372</v>
      </c>
      <c r="O3363" s="361">
        <f t="shared" si="3456"/>
        <v>2.5677196921687586</v>
      </c>
      <c r="P3363" s="361">
        <f t="shared" si="3456"/>
        <v>3.6180454322503128</v>
      </c>
      <c r="Q3363" s="361">
        <f t="shared" si="3456"/>
        <v>5.0980069163121957</v>
      </c>
      <c r="R3363" s="361">
        <f t="shared" si="3456"/>
        <v>7.1833466454295474</v>
      </c>
      <c r="S3363" s="361">
        <f t="shared" si="3456"/>
        <v>10.121694590742289</v>
      </c>
      <c r="T3363" s="361">
        <f t="shared" si="3456"/>
        <v>14.26197376308512</v>
      </c>
      <c r="U3363" s="361">
        <f t="shared" si="3456"/>
        <v>20.095834130874664</v>
      </c>
      <c r="V3363" s="362">
        <f t="shared" si="3456"/>
        <v>28.316035082108346</v>
      </c>
      <c r="X3363" s="351"/>
    </row>
    <row r="3364" spans="3:24" ht="24.75" customHeight="1" x14ac:dyDescent="0.3">
      <c r="C3364" s="353">
        <f>ABS(E3364-Dashboard!$F$14)</f>
        <v>63.242143762145005</v>
      </c>
      <c r="D3364" s="350">
        <f t="shared" si="3435"/>
        <v>0.4091499999999702</v>
      </c>
      <c r="E3364" s="359" cm="1">
        <f t="array" ref="E3364">1000*SUM('DRE + DCF'!$L$36/M3364,'DRE + DCF'!$N$36:$V$36/N3364:V3364,F3364/V3364)/Dashboard!$F$11</f>
        <v>33.74785623785499</v>
      </c>
      <c r="F3364" s="359">
        <f t="shared" si="3433"/>
        <v>6210203.7086796639</v>
      </c>
      <c r="G3364" s="359">
        <f>'DRE + DCF'!$W$31</f>
        <v>2791623.3540418856</v>
      </c>
      <c r="H3364" s="359">
        <f>'DRE + DCF'!$W$32</f>
        <v>81081.931703745853</v>
      </c>
      <c r="I3364" s="359">
        <f>-H3364*('DRE + DCF'!$V$33+K3364)/'DRE + DCF'!$V$33</f>
        <v>-90858.801614444121</v>
      </c>
      <c r="J3364" s="359">
        <f>-'DRE + DCF'!$V$56*L3364</f>
        <v>-1188924.4255577971</v>
      </c>
      <c r="K3364" s="360">
        <f>(1+L3364)/(1+Ke!$O$12)-1</f>
        <v>2.0000000000000018E-2</v>
      </c>
      <c r="L3364" s="360">
        <f>'DRE + DCF'!$Y$31</f>
        <v>7.3550000000000004E-2</v>
      </c>
      <c r="M3364" s="361">
        <f>(1+D3364)^((5-Dashboard!$F$9)*3/12)</f>
        <v>1.2933555133255752</v>
      </c>
      <c r="N3364" s="361">
        <f t="shared" ref="N3364:V3364" si="3457">M3364*(1+$D3364)</f>
        <v>1.8225319216026956</v>
      </c>
      <c r="O3364" s="361">
        <f t="shared" si="3457"/>
        <v>2.5682208573263843</v>
      </c>
      <c r="P3364" s="361">
        <f t="shared" si="3457"/>
        <v>3.6190084211013978</v>
      </c>
      <c r="Q3364" s="361">
        <f t="shared" si="3457"/>
        <v>5.0997257165949268</v>
      </c>
      <c r="R3364" s="361">
        <f t="shared" si="3457"/>
        <v>7.1862784935395885</v>
      </c>
      <c r="S3364" s="361">
        <f t="shared" si="3457"/>
        <v>10.126544339171097</v>
      </c>
      <c r="T3364" s="361">
        <f t="shared" si="3457"/>
        <v>14.269819955542649</v>
      </c>
      <c r="U3364" s="361">
        <f t="shared" si="3457"/>
        <v>20.1083167903525</v>
      </c>
      <c r="V3364" s="362">
        <f t="shared" si="3457"/>
        <v>28.335634605124625</v>
      </c>
      <c r="X3364" s="351"/>
    </row>
    <row r="3365" spans="3:24" ht="24.75" customHeight="1" x14ac:dyDescent="0.3">
      <c r="C3365" s="353">
        <f>ABS(E3365-Dashboard!$F$14)</f>
        <v>63.254031488280042</v>
      </c>
      <c r="D3365" s="350">
        <f t="shared" si="3435"/>
        <v>0.40924999999997019</v>
      </c>
      <c r="E3365" s="359" cm="1">
        <f t="array" ref="E3365">1000*SUM('DRE + DCF'!$L$36/M3365,'DRE + DCF'!$N$36:$V$36/N3365:V3365,F3365/V3365)/Dashboard!$F$11</f>
        <v>33.735968511719953</v>
      </c>
      <c r="F3365" s="359">
        <f t="shared" si="3433"/>
        <v>6208549.8511643801</v>
      </c>
      <c r="G3365" s="359">
        <f>'DRE + DCF'!$W$31</f>
        <v>2791623.3540418856</v>
      </c>
      <c r="H3365" s="359">
        <f>'DRE + DCF'!$W$32</f>
        <v>81081.931703745853</v>
      </c>
      <c r="I3365" s="359">
        <f>-H3365*('DRE + DCF'!$V$33+K3365)/'DRE + DCF'!$V$33</f>
        <v>-90858.801614444121</v>
      </c>
      <c r="J3365" s="359">
        <f>-'DRE + DCF'!$V$56*L3365</f>
        <v>-1188924.4255577971</v>
      </c>
      <c r="K3365" s="360">
        <f>(1+L3365)/(1+Ke!$O$12)-1</f>
        <v>2.0000000000000018E-2</v>
      </c>
      <c r="L3365" s="360">
        <f>'DRE + DCF'!$Y$31</f>
        <v>7.3550000000000004E-2</v>
      </c>
      <c r="M3365" s="361">
        <f>(1+D3365)^((5-Dashboard!$F$9)*3/12)</f>
        <v>1.2934243497184803</v>
      </c>
      <c r="N3365" s="361">
        <f t="shared" ref="N3365:V3365" si="3458">M3365*(1+$D3365)</f>
        <v>1.8227582648407297</v>
      </c>
      <c r="O3365" s="361">
        <f t="shared" si="3458"/>
        <v>2.568722084726744</v>
      </c>
      <c r="P3365" s="361">
        <f t="shared" si="3458"/>
        <v>3.6199715979010874</v>
      </c>
      <c r="Q3365" s="361">
        <f t="shared" si="3458"/>
        <v>5.101444974341999</v>
      </c>
      <c r="R3365" s="361">
        <f t="shared" si="3458"/>
        <v>7.1892113300913101</v>
      </c>
      <c r="S3365" s="361">
        <f t="shared" si="3458"/>
        <v>10.131396066930964</v>
      </c>
      <c r="T3365" s="361">
        <f t="shared" si="3458"/>
        <v>14.277669907322158</v>
      </c>
      <c r="U3365" s="361">
        <f t="shared" si="3458"/>
        <v>20.120806316893326</v>
      </c>
      <c r="V3365" s="362">
        <f t="shared" si="3458"/>
        <v>28.355246302081319</v>
      </c>
      <c r="X3365" s="351"/>
    </row>
    <row r="3366" spans="3:24" ht="24.75" customHeight="1" x14ac:dyDescent="0.3">
      <c r="C3366" s="353">
        <f>ABS(E3366-Dashboard!$F$14)</f>
        <v>63.265911394379998</v>
      </c>
      <c r="D3366" s="350">
        <f t="shared" si="3435"/>
        <v>0.40934999999997018</v>
      </c>
      <c r="E3366" s="359" cm="1">
        <f t="array" ref="E3366">1000*SUM('DRE + DCF'!$L$36/M3366,'DRE + DCF'!$N$36:$V$36/N3366:V3366,F3366/V3366)/Dashboard!$F$11</f>
        <v>33.724088605619997</v>
      </c>
      <c r="F3366" s="359">
        <f t="shared" si="3433"/>
        <v>6206896.8829076011</v>
      </c>
      <c r="G3366" s="359">
        <f>'DRE + DCF'!$W$31</f>
        <v>2791623.3540418856</v>
      </c>
      <c r="H3366" s="359">
        <f>'DRE + DCF'!$W$32</f>
        <v>81081.931703745853</v>
      </c>
      <c r="I3366" s="359">
        <f>-H3366*('DRE + DCF'!$V$33+K3366)/'DRE + DCF'!$V$33</f>
        <v>-90858.801614444121</v>
      </c>
      <c r="J3366" s="359">
        <f>-'DRE + DCF'!$V$56*L3366</f>
        <v>-1188924.4255577971</v>
      </c>
      <c r="K3366" s="360">
        <f>(1+L3366)/(1+Ke!$O$12)-1</f>
        <v>2.0000000000000018E-2</v>
      </c>
      <c r="L3366" s="360">
        <f>'DRE + DCF'!$Y$31</f>
        <v>7.3550000000000004E-2</v>
      </c>
      <c r="M3366" s="361">
        <f>(1+D3366)^((5-Dashboard!$F$9)*3/12)</f>
        <v>1.2934931848902433</v>
      </c>
      <c r="N3366" s="361">
        <f t="shared" ref="N3366:V3366" si="3459">M3366*(1+$D3366)</f>
        <v>1.8229846201250257</v>
      </c>
      <c r="O3366" s="361">
        <f t="shared" si="3459"/>
        <v>2.5692233743731507</v>
      </c>
      <c r="P3366" s="361">
        <f t="shared" si="3459"/>
        <v>3.6209349626727234</v>
      </c>
      <c r="Q3366" s="361">
        <f t="shared" si="3459"/>
        <v>5.1031646896426945</v>
      </c>
      <c r="R3366" s="361">
        <f t="shared" si="3459"/>
        <v>7.1921451553477791</v>
      </c>
      <c r="S3366" s="361">
        <f t="shared" si="3459"/>
        <v>10.136249774689178</v>
      </c>
      <c r="T3366" s="361">
        <f t="shared" si="3459"/>
        <v>14.285523619957891</v>
      </c>
      <c r="U3366" s="361">
        <f t="shared" si="3459"/>
        <v>20.133302713787227</v>
      </c>
      <c r="V3366" s="362">
        <f t="shared" si="3459"/>
        <v>28.374870179675426</v>
      </c>
      <c r="X3366" s="351"/>
    </row>
    <row r="3367" spans="3:24" ht="24.75" customHeight="1" x14ac:dyDescent="0.3">
      <c r="C3367" s="353">
        <f>ABS(E3367-Dashboard!$F$14)</f>
        <v>63.277783487678882</v>
      </c>
      <c r="D3367" s="350">
        <f t="shared" si="3435"/>
        <v>0.40944999999997017</v>
      </c>
      <c r="E3367" s="359" cm="1">
        <f t="array" ref="E3367">1000*SUM('DRE + DCF'!$L$36/M3367,'DRE + DCF'!$N$36:$V$36/N3367:V3367,F3367/V3367)/Dashboard!$F$11</f>
        <v>33.712216512321113</v>
      </c>
      <c r="F3367" s="359">
        <f t="shared" si="3433"/>
        <v>6205244.8031852581</v>
      </c>
      <c r="G3367" s="359">
        <f>'DRE + DCF'!$W$31</f>
        <v>2791623.3540418856</v>
      </c>
      <c r="H3367" s="359">
        <f>'DRE + DCF'!$W$32</f>
        <v>81081.931703745853</v>
      </c>
      <c r="I3367" s="359">
        <f>-H3367*('DRE + DCF'!$V$33+K3367)/'DRE + DCF'!$V$33</f>
        <v>-90858.801614444121</v>
      </c>
      <c r="J3367" s="359">
        <f>-'DRE + DCF'!$V$56*L3367</f>
        <v>-1188924.4255577971</v>
      </c>
      <c r="K3367" s="360">
        <f>(1+L3367)/(1+Ke!$O$12)-1</f>
        <v>2.0000000000000018E-2</v>
      </c>
      <c r="L3367" s="360">
        <f>'DRE + DCF'!$Y$31</f>
        <v>7.3550000000000004E-2</v>
      </c>
      <c r="M3367" s="361">
        <f>(1+D3367)^((5-Dashboard!$F$9)*3/12)</f>
        <v>1.2935620188409724</v>
      </c>
      <c r="N3367" s="361">
        <f t="shared" ref="N3367:V3367" si="3460">M3367*(1+$D3367)</f>
        <v>1.8232109874553699</v>
      </c>
      <c r="O3367" s="361">
        <f t="shared" si="3460"/>
        <v>2.5697247262689165</v>
      </c>
      <c r="P3367" s="361">
        <f t="shared" si="3460"/>
        <v>3.6218985154396477</v>
      </c>
      <c r="Q3367" s="361">
        <f t="shared" si="3460"/>
        <v>5.104884862586303</v>
      </c>
      <c r="R3367" s="361">
        <f t="shared" si="3460"/>
        <v>7.1950799695721122</v>
      </c>
      <c r="S3367" s="361">
        <f t="shared" si="3460"/>
        <v>10.141105463113199</v>
      </c>
      <c r="T3367" s="361">
        <f t="shared" si="3460"/>
        <v>14.293381094984595</v>
      </c>
      <c r="U3367" s="361">
        <f t="shared" si="3460"/>
        <v>20.145805984325609</v>
      </c>
      <c r="V3367" s="362">
        <f t="shared" si="3460"/>
        <v>28.394506244607125</v>
      </c>
      <c r="X3367" s="351"/>
    </row>
    <row r="3368" spans="3:24" ht="24.75" customHeight="1" x14ac:dyDescent="0.3">
      <c r="C3368" s="353">
        <f>ABS(E3368-Dashboard!$F$14)</f>
        <v>63.289647775402237</v>
      </c>
      <c r="D3368" s="350">
        <f t="shared" si="3435"/>
        <v>0.40954999999997016</v>
      </c>
      <c r="E3368" s="359" cm="1">
        <f t="array" ref="E3368">1000*SUM('DRE + DCF'!$L$36/M3368,'DRE + DCF'!$N$36:$V$36/N3368:V3368,F3368/V3368)/Dashboard!$F$11</f>
        <v>33.700352224597758</v>
      </c>
      <c r="F3368" s="359">
        <f t="shared" si="3433"/>
        <v>6203593.6112740748</v>
      </c>
      <c r="G3368" s="359">
        <f>'DRE + DCF'!$W$31</f>
        <v>2791623.3540418856</v>
      </c>
      <c r="H3368" s="359">
        <f>'DRE + DCF'!$W$32</f>
        <v>81081.931703745853</v>
      </c>
      <c r="I3368" s="359">
        <f>-H3368*('DRE + DCF'!$V$33+K3368)/'DRE + DCF'!$V$33</f>
        <v>-90858.801614444121</v>
      </c>
      <c r="J3368" s="359">
        <f>-'DRE + DCF'!$V$56*L3368</f>
        <v>-1188924.4255577971</v>
      </c>
      <c r="K3368" s="360">
        <f>(1+L3368)/(1+Ke!$O$12)-1</f>
        <v>2.0000000000000018E-2</v>
      </c>
      <c r="L3368" s="360">
        <f>'DRE + DCF'!$Y$31</f>
        <v>7.3550000000000004E-2</v>
      </c>
      <c r="M3368" s="361">
        <f>(1+D3368)^((5-Dashboard!$F$9)*3/12)</f>
        <v>1.2936308515707762</v>
      </c>
      <c r="N3368" s="361">
        <f t="shared" ref="N3368:V3368" si="3461">M3368*(1+$D3368)</f>
        <v>1.8234373668315489</v>
      </c>
      <c r="O3368" s="361">
        <f t="shared" si="3461"/>
        <v>2.5702261404173554</v>
      </c>
      <c r="P3368" s="361">
        <f t="shared" si="3461"/>
        <v>3.6228622562252064</v>
      </c>
      <c r="Q3368" s="361">
        <f t="shared" si="3461"/>
        <v>5.1066054932621316</v>
      </c>
      <c r="R3368" s="361">
        <f t="shared" si="3461"/>
        <v>7.1980157730274854</v>
      </c>
      <c r="S3368" s="361">
        <f t="shared" si="3461"/>
        <v>10.145963132870676</v>
      </c>
      <c r="T3368" s="361">
        <f t="shared" si="3461"/>
        <v>14.301242333937559</v>
      </c>
      <c r="U3368" s="361">
        <f t="shared" si="3461"/>
        <v>20.158316131801257</v>
      </c>
      <c r="V3368" s="362">
        <f t="shared" si="3461"/>
        <v>28.414154503579859</v>
      </c>
      <c r="X3368" s="351"/>
    </row>
    <row r="3369" spans="3:24" ht="24.75" customHeight="1" x14ac:dyDescent="0.3">
      <c r="C3369" s="353">
        <f>ABS(E3369-Dashboard!$F$14)</f>
        <v>63.301504264767047</v>
      </c>
      <c r="D3369" s="350">
        <f t="shared" si="3435"/>
        <v>0.40964999999997015</v>
      </c>
      <c r="E3369" s="359" cm="1">
        <f t="array" ref="E3369">1000*SUM('DRE + DCF'!$L$36/M3369,'DRE + DCF'!$N$36:$V$36/N3369:V3369,F3369/V3369)/Dashboard!$F$11</f>
        <v>33.688495735232948</v>
      </c>
      <c r="F3369" s="359">
        <f t="shared" si="3433"/>
        <v>6201943.3064515637</v>
      </c>
      <c r="G3369" s="359">
        <f>'DRE + DCF'!$W$31</f>
        <v>2791623.3540418856</v>
      </c>
      <c r="H3369" s="359">
        <f>'DRE + DCF'!$W$32</f>
        <v>81081.931703745853</v>
      </c>
      <c r="I3369" s="359">
        <f>-H3369*('DRE + DCF'!$V$33+K3369)/'DRE + DCF'!$V$33</f>
        <v>-90858.801614444121</v>
      </c>
      <c r="J3369" s="359">
        <f>-'DRE + DCF'!$V$56*L3369</f>
        <v>-1188924.4255577971</v>
      </c>
      <c r="K3369" s="360">
        <f>(1+L3369)/(1+Ke!$O$12)-1</f>
        <v>2.0000000000000018E-2</v>
      </c>
      <c r="L3369" s="360">
        <f>'DRE + DCF'!$Y$31</f>
        <v>7.3550000000000004E-2</v>
      </c>
      <c r="M3369" s="361">
        <f>(1+D3369)^((5-Dashboard!$F$9)*3/12)</f>
        <v>1.2936996830797625</v>
      </c>
      <c r="N3369" s="361">
        <f t="shared" ref="N3369:V3369" si="3462">M3369*(1+$D3369)</f>
        <v>1.8236637582533484</v>
      </c>
      <c r="O3369" s="361">
        <f t="shared" si="3462"/>
        <v>2.5707276168217779</v>
      </c>
      <c r="P3369" s="361">
        <f t="shared" si="3462"/>
        <v>3.6238261850527422</v>
      </c>
      <c r="Q3369" s="361">
        <f t="shared" si="3462"/>
        <v>5.1083265817594894</v>
      </c>
      <c r="R3369" s="361">
        <f t="shared" si="3462"/>
        <v>7.2009525659771114</v>
      </c>
      <c r="S3369" s="361">
        <f t="shared" si="3462"/>
        <v>10.150822784629419</v>
      </c>
      <c r="T3369" s="361">
        <f t="shared" si="3462"/>
        <v>14.309107338352558</v>
      </c>
      <c r="U3369" s="361">
        <f t="shared" si="3462"/>
        <v>20.170833159508256</v>
      </c>
      <c r="V3369" s="362">
        <f t="shared" si="3462"/>
        <v>28.433814963300208</v>
      </c>
      <c r="X3369" s="351"/>
    </row>
    <row r="3370" spans="3:24" ht="24.75" customHeight="1" x14ac:dyDescent="0.3">
      <c r="C3370" s="353">
        <f>ABS(E3370-Dashboard!$F$14)</f>
        <v>63.313352962981817</v>
      </c>
      <c r="D3370" s="350">
        <f t="shared" si="3435"/>
        <v>0.40974999999997014</v>
      </c>
      <c r="E3370" s="359" cm="1">
        <f t="array" ref="E3370">1000*SUM('DRE + DCF'!$L$36/M3370,'DRE + DCF'!$N$36:$V$36/N3370:V3370,F3370/V3370)/Dashboard!$F$11</f>
        <v>33.676647037018178</v>
      </c>
      <c r="F3370" s="359">
        <f t="shared" si="3433"/>
        <v>6200293.8879960338</v>
      </c>
      <c r="G3370" s="359">
        <f>'DRE + DCF'!$W$31</f>
        <v>2791623.3540418856</v>
      </c>
      <c r="H3370" s="359">
        <f>'DRE + DCF'!$W$32</f>
        <v>81081.931703745853</v>
      </c>
      <c r="I3370" s="359">
        <f>-H3370*('DRE + DCF'!$V$33+K3370)/'DRE + DCF'!$V$33</f>
        <v>-90858.801614444121</v>
      </c>
      <c r="J3370" s="359">
        <f>-'DRE + DCF'!$V$56*L3370</f>
        <v>-1188924.4255577971</v>
      </c>
      <c r="K3370" s="360">
        <f>(1+L3370)/(1+Ke!$O$12)-1</f>
        <v>2.0000000000000018E-2</v>
      </c>
      <c r="L3370" s="360">
        <f>'DRE + DCF'!$Y$31</f>
        <v>7.3550000000000004E-2</v>
      </c>
      <c r="M3370" s="361">
        <f>(1+D3370)^((5-Dashboard!$F$9)*3/12)</f>
        <v>1.2937685133680399</v>
      </c>
      <c r="N3370" s="361">
        <f t="shared" ref="N3370:V3370" si="3463">M3370*(1+$D3370)</f>
        <v>1.8238901617205556</v>
      </c>
      <c r="O3370" s="361">
        <f t="shared" si="3463"/>
        <v>2.5712291554854989</v>
      </c>
      <c r="P3370" s="361">
        <f t="shared" si="3463"/>
        <v>3.6247903019456054</v>
      </c>
      <c r="Q3370" s="361">
        <f t="shared" si="3463"/>
        <v>5.1100481281677084</v>
      </c>
      <c r="R3370" s="361">
        <f t="shared" si="3463"/>
        <v>7.2038903486842738</v>
      </c>
      <c r="S3370" s="361">
        <f t="shared" si="3463"/>
        <v>10.15568441905744</v>
      </c>
      <c r="T3370" s="361">
        <f t="shared" si="3463"/>
        <v>14.316976109765923</v>
      </c>
      <c r="U3370" s="361">
        <f t="shared" si="3463"/>
        <v>20.183357070742083</v>
      </c>
      <c r="V3370" s="362">
        <f t="shared" si="3463"/>
        <v>28.453487630478048</v>
      </c>
      <c r="X3370" s="351"/>
    </row>
    <row r="3371" spans="3:24" ht="24.75" customHeight="1" x14ac:dyDescent="0.3">
      <c r="C3371" s="353">
        <f>ABS(E3371-Dashboard!$F$14)</f>
        <v>63.325193877246548</v>
      </c>
      <c r="D3371" s="350">
        <f t="shared" si="3435"/>
        <v>0.40984999999997013</v>
      </c>
      <c r="E3371" s="359" cm="1">
        <f t="array" ref="E3371">1000*SUM('DRE + DCF'!$L$36/M3371,'DRE + DCF'!$N$36:$V$36/N3371:V3371,F3371/V3371)/Dashboard!$F$11</f>
        <v>33.664806122753447</v>
      </c>
      <c r="F3371" s="359">
        <f t="shared" si="3433"/>
        <v>6198645.3551865807</v>
      </c>
      <c r="G3371" s="359">
        <f>'DRE + DCF'!$W$31</f>
        <v>2791623.3540418856</v>
      </c>
      <c r="H3371" s="359">
        <f>'DRE + DCF'!$W$32</f>
        <v>81081.931703745853</v>
      </c>
      <c r="I3371" s="359">
        <f>-H3371*('DRE + DCF'!$V$33+K3371)/'DRE + DCF'!$V$33</f>
        <v>-90858.801614444121</v>
      </c>
      <c r="J3371" s="359">
        <f>-'DRE + DCF'!$V$56*L3371</f>
        <v>-1188924.4255577971</v>
      </c>
      <c r="K3371" s="360">
        <f>(1+L3371)/(1+Ke!$O$12)-1</f>
        <v>2.0000000000000018E-2</v>
      </c>
      <c r="L3371" s="360">
        <f>'DRE + DCF'!$Y$31</f>
        <v>7.3550000000000004E-2</v>
      </c>
      <c r="M3371" s="361">
        <f>(1+D3371)^((5-Dashboard!$F$9)*3/12)</f>
        <v>1.2938373424357164</v>
      </c>
      <c r="N3371" s="361">
        <f t="shared" ref="N3371:V3371" si="3464">M3371*(1+$D3371)</f>
        <v>1.8241165772329559</v>
      </c>
      <c r="O3371" s="361">
        <f t="shared" si="3464"/>
        <v>2.5717307564118284</v>
      </c>
      <c r="P3371" s="361">
        <f t="shared" si="3464"/>
        <v>3.6257546069271394</v>
      </c>
      <c r="Q3371" s="361">
        <f t="shared" si="3464"/>
        <v>5.1117701325761189</v>
      </c>
      <c r="R3371" s="361">
        <f t="shared" si="3464"/>
        <v>7.2068291214122882</v>
      </c>
      <c r="S3371" s="361">
        <f t="shared" si="3464"/>
        <v>10.160548036822899</v>
      </c>
      <c r="T3371" s="361">
        <f t="shared" si="3464"/>
        <v>14.324848649714459</v>
      </c>
      <c r="U3371" s="361">
        <f t="shared" si="3464"/>
        <v>20.195887868799502</v>
      </c>
      <c r="V3371" s="362">
        <f t="shared" si="3464"/>
        <v>28.473172511826373</v>
      </c>
      <c r="X3371" s="351"/>
    </row>
    <row r="3372" spans="3:24" ht="24.75" customHeight="1" x14ac:dyDescent="0.3">
      <c r="C3372" s="353">
        <f>ABS(E3372-Dashboard!$F$14)</f>
        <v>63.337027014752842</v>
      </c>
      <c r="D3372" s="350">
        <f t="shared" si="3435"/>
        <v>0.40994999999997012</v>
      </c>
      <c r="E3372" s="359" cm="1">
        <f t="array" ref="E3372">1000*SUM('DRE + DCF'!$L$36/M3372,'DRE + DCF'!$N$36:$V$36/N3372:V3372,F3372/V3372)/Dashboard!$F$11</f>
        <v>33.652972985247153</v>
      </c>
      <c r="F3372" s="359">
        <f t="shared" si="3433"/>
        <v>6196997.70730309</v>
      </c>
      <c r="G3372" s="359">
        <f>'DRE + DCF'!$W$31</f>
        <v>2791623.3540418856</v>
      </c>
      <c r="H3372" s="359">
        <f>'DRE + DCF'!$W$32</f>
        <v>81081.931703745853</v>
      </c>
      <c r="I3372" s="359">
        <f>-H3372*('DRE + DCF'!$V$33+K3372)/'DRE + DCF'!$V$33</f>
        <v>-90858.801614444121</v>
      </c>
      <c r="J3372" s="359">
        <f>-'DRE + DCF'!$V$56*L3372</f>
        <v>-1188924.4255577971</v>
      </c>
      <c r="K3372" s="360">
        <f>(1+L3372)/(1+Ke!$O$12)-1</f>
        <v>2.0000000000000018E-2</v>
      </c>
      <c r="L3372" s="360">
        <f>'DRE + DCF'!$Y$31</f>
        <v>7.3550000000000004E-2</v>
      </c>
      <c r="M3372" s="361">
        <f>(1+D3372)^((5-Dashboard!$F$9)*3/12)</f>
        <v>1.2939061702829004</v>
      </c>
      <c r="N3372" s="361">
        <f t="shared" ref="N3372:V3372" si="3465">M3372*(1+$D3372)</f>
        <v>1.8243430047903368</v>
      </c>
      <c r="O3372" s="361">
        <f t="shared" si="3465"/>
        <v>2.5722324196040809</v>
      </c>
      <c r="P3372" s="361">
        <f t="shared" si="3465"/>
        <v>3.6267191000206966</v>
      </c>
      <c r="Q3372" s="361">
        <f t="shared" si="3465"/>
        <v>5.1134925950740726</v>
      </c>
      <c r="R3372" s="361">
        <f t="shared" si="3465"/>
        <v>7.2097688844245358</v>
      </c>
      <c r="S3372" s="361">
        <f t="shared" si="3465"/>
        <v>10.165413638594158</v>
      </c>
      <c r="T3372" s="361">
        <f t="shared" si="3465"/>
        <v>14.332724959735529</v>
      </c>
      <c r="U3372" s="361">
        <f t="shared" si="3465"/>
        <v>20.208425556978678</v>
      </c>
      <c r="V3372" s="362">
        <f t="shared" si="3465"/>
        <v>28.492869614061483</v>
      </c>
      <c r="X3372" s="351"/>
    </row>
    <row r="3373" spans="3:24" ht="24.75" customHeight="1" x14ac:dyDescent="0.3">
      <c r="C3373" s="353">
        <f>ABS(E3373-Dashboard!$F$14)</f>
        <v>63.348852382683766</v>
      </c>
      <c r="D3373" s="350">
        <f t="shared" si="3435"/>
        <v>0.41004999999997011</v>
      </c>
      <c r="E3373" s="359" cm="1">
        <f t="array" ref="E3373">1000*SUM('DRE + DCF'!$L$36/M3373,'DRE + DCF'!$N$36:$V$36/N3373:V3373,F3373/V3373)/Dashboard!$F$11</f>
        <v>33.641147617316228</v>
      </c>
      <c r="F3373" s="359">
        <f t="shared" si="3433"/>
        <v>6195350.9436262362</v>
      </c>
      <c r="G3373" s="359">
        <f>'DRE + DCF'!$W$31</f>
        <v>2791623.3540418856</v>
      </c>
      <c r="H3373" s="359">
        <f>'DRE + DCF'!$W$32</f>
        <v>81081.931703745853</v>
      </c>
      <c r="I3373" s="359">
        <f>-H3373*('DRE + DCF'!$V$33+K3373)/'DRE + DCF'!$V$33</f>
        <v>-90858.801614444121</v>
      </c>
      <c r="J3373" s="359">
        <f>-'DRE + DCF'!$V$56*L3373</f>
        <v>-1188924.4255577971</v>
      </c>
      <c r="K3373" s="360">
        <f>(1+L3373)/(1+Ke!$O$12)-1</f>
        <v>2.0000000000000018E-2</v>
      </c>
      <c r="L3373" s="360">
        <f>'DRE + DCF'!$Y$31</f>
        <v>7.3550000000000004E-2</v>
      </c>
      <c r="M3373" s="361">
        <f>(1+D3373)^((5-Dashboard!$F$9)*3/12)</f>
        <v>1.2939749969097001</v>
      </c>
      <c r="N3373" s="361">
        <f t="shared" ref="N3373:V3373" si="3466">M3373*(1+$D3373)</f>
        <v>1.8245694443924838</v>
      </c>
      <c r="O3373" s="361">
        <f t="shared" si="3466"/>
        <v>2.5727341450655672</v>
      </c>
      <c r="P3373" s="361">
        <f t="shared" si="3466"/>
        <v>3.6276837812496261</v>
      </c>
      <c r="Q3373" s="361">
        <f t="shared" si="3466"/>
        <v>5.1152155157509265</v>
      </c>
      <c r="R3373" s="361">
        <f t="shared" si="3466"/>
        <v>7.2127096379844406</v>
      </c>
      <c r="S3373" s="361">
        <f t="shared" si="3466"/>
        <v>10.170281225039744</v>
      </c>
      <c r="T3373" s="361">
        <f t="shared" si="3466"/>
        <v>14.340605041366986</v>
      </c>
      <c r="U3373" s="361">
        <f t="shared" si="3466"/>
        <v>20.220970138579091</v>
      </c>
      <c r="V3373" s="362">
        <f t="shared" si="3466"/>
        <v>28.512578943902842</v>
      </c>
      <c r="X3373" s="351"/>
    </row>
    <row r="3374" spans="3:24" ht="24.75" customHeight="1" x14ac:dyDescent="0.3">
      <c r="C3374" s="353">
        <f>ABS(E3374-Dashboard!$F$14)</f>
        <v>63.360669988213949</v>
      </c>
      <c r="D3374" s="350">
        <f t="shared" si="3435"/>
        <v>0.41014999999997009</v>
      </c>
      <c r="E3374" s="359" cm="1">
        <f t="array" ref="E3374">1000*SUM('DRE + DCF'!$L$36/M3374,'DRE + DCF'!$N$36:$V$36/N3374:V3374,F3374/V3374)/Dashboard!$F$11</f>
        <v>33.629330011786045</v>
      </c>
      <c r="F3374" s="359">
        <f t="shared" si="3433"/>
        <v>6193705.0634374805</v>
      </c>
      <c r="G3374" s="359">
        <f>'DRE + DCF'!$W$31</f>
        <v>2791623.3540418856</v>
      </c>
      <c r="H3374" s="359">
        <f>'DRE + DCF'!$W$32</f>
        <v>81081.931703745853</v>
      </c>
      <c r="I3374" s="359">
        <f>-H3374*('DRE + DCF'!$V$33+K3374)/'DRE + DCF'!$V$33</f>
        <v>-90858.801614444121</v>
      </c>
      <c r="J3374" s="359">
        <f>-'DRE + DCF'!$V$56*L3374</f>
        <v>-1188924.4255577971</v>
      </c>
      <c r="K3374" s="360">
        <f>(1+L3374)/(1+Ke!$O$12)-1</f>
        <v>2.0000000000000018E-2</v>
      </c>
      <c r="L3374" s="360">
        <f>'DRE + DCF'!$Y$31</f>
        <v>7.3550000000000004E-2</v>
      </c>
      <c r="M3374" s="361">
        <f>(1+D3374)^((5-Dashboard!$F$9)*3/12)</f>
        <v>1.2940438223162236</v>
      </c>
      <c r="N3374" s="361">
        <f t="shared" ref="N3374:V3374" si="3467">M3374*(1+$D3374)</f>
        <v>1.8247958960391839</v>
      </c>
      <c r="O3374" s="361">
        <f t="shared" si="3467"/>
        <v>2.5732359327996006</v>
      </c>
      <c r="P3374" s="361">
        <f t="shared" si="3467"/>
        <v>3.6286486506372797</v>
      </c>
      <c r="Q3374" s="361">
        <f t="shared" si="3467"/>
        <v>5.1169388946960517</v>
      </c>
      <c r="R3374" s="361">
        <f t="shared" si="3467"/>
        <v>7.2156513823554835</v>
      </c>
      <c r="S3374" s="361">
        <f t="shared" si="3467"/>
        <v>10.175150796828369</v>
      </c>
      <c r="T3374" s="361">
        <f t="shared" si="3467"/>
        <v>14.34848889614722</v>
      </c>
      <c r="U3374" s="361">
        <f t="shared" si="3467"/>
        <v>20.233521616901573</v>
      </c>
      <c r="V3374" s="362">
        <f t="shared" si="3467"/>
        <v>28.532300508073146</v>
      </c>
      <c r="X3374" s="351"/>
    </row>
    <row r="3375" spans="3:24" ht="24.75" customHeight="1" x14ac:dyDescent="0.3">
      <c r="C3375" s="353">
        <f>ABS(E3375-Dashboard!$F$14)</f>
        <v>63.372479838509626</v>
      </c>
      <c r="D3375" s="350">
        <f t="shared" si="3435"/>
        <v>0.41024999999997008</v>
      </c>
      <c r="E3375" s="359" cm="1">
        <f t="array" ref="E3375">1000*SUM('DRE + DCF'!$L$36/M3375,'DRE + DCF'!$N$36:$V$36/N3375:V3375,F3375/V3375)/Dashboard!$F$11</f>
        <v>33.617520161490368</v>
      </c>
      <c r="F3375" s="359">
        <f t="shared" si="3433"/>
        <v>6192060.0660190694</v>
      </c>
      <c r="G3375" s="359">
        <f>'DRE + DCF'!$W$31</f>
        <v>2791623.3540418856</v>
      </c>
      <c r="H3375" s="359">
        <f>'DRE + DCF'!$W$32</f>
        <v>81081.931703745853</v>
      </c>
      <c r="I3375" s="359">
        <f>-H3375*('DRE + DCF'!$V$33+K3375)/'DRE + DCF'!$V$33</f>
        <v>-90858.801614444121</v>
      </c>
      <c r="J3375" s="359">
        <f>-'DRE + DCF'!$V$56*L3375</f>
        <v>-1188924.4255577971</v>
      </c>
      <c r="K3375" s="360">
        <f>(1+L3375)/(1+Ke!$O$12)-1</f>
        <v>2.0000000000000018E-2</v>
      </c>
      <c r="L3375" s="360">
        <f>'DRE + DCF'!$Y$31</f>
        <v>7.3550000000000004E-2</v>
      </c>
      <c r="M3375" s="361">
        <f>(1+D3375)^((5-Dashboard!$F$9)*3/12)</f>
        <v>1.2941126465025792</v>
      </c>
      <c r="N3375" s="361">
        <f t="shared" ref="N3375:V3375" si="3468">M3375*(1+$D3375)</f>
        <v>1.8250223597302235</v>
      </c>
      <c r="O3375" s="361">
        <f t="shared" si="3468"/>
        <v>2.5737377828094932</v>
      </c>
      <c r="P3375" s="361">
        <f t="shared" si="3468"/>
        <v>3.6296137082070108</v>
      </c>
      <c r="Q3375" s="361">
        <f t="shared" si="3468"/>
        <v>5.1186627319988283</v>
      </c>
      <c r="R3375" s="361">
        <f t="shared" si="3468"/>
        <v>7.2185941178011941</v>
      </c>
      <c r="S3375" s="361">
        <f t="shared" si="3468"/>
        <v>10.180022354628917</v>
      </c>
      <c r="T3375" s="361">
        <f t="shared" si="3468"/>
        <v>14.356376525615126</v>
      </c>
      <c r="U3375" s="361">
        <f t="shared" si="3468"/>
        <v>20.246079995248301</v>
      </c>
      <c r="V3375" s="362">
        <f t="shared" si="3468"/>
        <v>28.552034313298311</v>
      </c>
      <c r="X3375" s="351"/>
    </row>
    <row r="3376" spans="3:24" ht="24.75" customHeight="1" x14ac:dyDescent="0.3">
      <c r="C3376" s="353">
        <f>ABS(E3376-Dashboard!$F$14)</f>
        <v>63.384281940728556</v>
      </c>
      <c r="D3376" s="350">
        <f t="shared" si="3435"/>
        <v>0.41034999999997007</v>
      </c>
      <c r="E3376" s="359" cm="1">
        <f t="array" ref="E3376">1000*SUM('DRE + DCF'!$L$36/M3376,'DRE + DCF'!$N$36:$V$36/N3376:V3376,F3376/V3376)/Dashboard!$F$11</f>
        <v>33.605718059271439</v>
      </c>
      <c r="F3376" s="359">
        <f t="shared" si="3433"/>
        <v>6190415.9506540336</v>
      </c>
      <c r="G3376" s="359">
        <f>'DRE + DCF'!$W$31</f>
        <v>2791623.3540418856</v>
      </c>
      <c r="H3376" s="359">
        <f>'DRE + DCF'!$W$32</f>
        <v>81081.931703745853</v>
      </c>
      <c r="I3376" s="359">
        <f>-H3376*('DRE + DCF'!$V$33+K3376)/'DRE + DCF'!$V$33</f>
        <v>-90858.801614444121</v>
      </c>
      <c r="J3376" s="359">
        <f>-'DRE + DCF'!$V$56*L3376</f>
        <v>-1188924.4255577971</v>
      </c>
      <c r="K3376" s="360">
        <f>(1+L3376)/(1+Ke!$O$12)-1</f>
        <v>2.0000000000000018E-2</v>
      </c>
      <c r="L3376" s="360">
        <f>'DRE + DCF'!$Y$31</f>
        <v>7.3550000000000004E-2</v>
      </c>
      <c r="M3376" s="361">
        <f>(1+D3376)^((5-Dashboard!$F$9)*3/12)</f>
        <v>1.2941814694688747</v>
      </c>
      <c r="N3376" s="361">
        <f t="shared" ref="N3376:V3376" si="3469">M3376*(1+$D3376)</f>
        <v>1.8252488354653886</v>
      </c>
      <c r="O3376" s="361">
        <f t="shared" si="3469"/>
        <v>2.574239695098556</v>
      </c>
      <c r="P3376" s="361">
        <f t="shared" si="3469"/>
        <v>3.6305789539821713</v>
      </c>
      <c r="Q3376" s="361">
        <f t="shared" si="3469"/>
        <v>5.1203870277486461</v>
      </c>
      <c r="R3376" s="361">
        <f t="shared" si="3469"/>
        <v>7.221537844585149</v>
      </c>
      <c r="S3376" s="361">
        <f t="shared" si="3469"/>
        <v>10.184895899110449</v>
      </c>
      <c r="T3376" s="361">
        <f t="shared" si="3469"/>
        <v>14.364267931310117</v>
      </c>
      <c r="U3376" s="361">
        <f t="shared" si="3469"/>
        <v>20.258645276922792</v>
      </c>
      <c r="V3376" s="362">
        <f t="shared" si="3469"/>
        <v>28.571780366307451</v>
      </c>
      <c r="X3376" s="351"/>
    </row>
    <row r="3377" spans="3:24" ht="24.75" customHeight="1" x14ac:dyDescent="0.3">
      <c r="C3377" s="353">
        <f>ABS(E3377-Dashboard!$F$14)</f>
        <v>63.396076302020148</v>
      </c>
      <c r="D3377" s="350">
        <f t="shared" si="3435"/>
        <v>0.41044999999997006</v>
      </c>
      <c r="E3377" s="359" cm="1">
        <f t="array" ref="E3377">1000*SUM('DRE + DCF'!$L$36/M3377,'DRE + DCF'!$N$36:$V$36/N3377:V3377,F3377/V3377)/Dashboard!$F$11</f>
        <v>33.593923697979847</v>
      </c>
      <c r="F3377" s="359">
        <f t="shared" si="3433"/>
        <v>6188772.7166261878</v>
      </c>
      <c r="G3377" s="359">
        <f>'DRE + DCF'!$W$31</f>
        <v>2791623.3540418856</v>
      </c>
      <c r="H3377" s="359">
        <f>'DRE + DCF'!$W$32</f>
        <v>81081.931703745853</v>
      </c>
      <c r="I3377" s="359">
        <f>-H3377*('DRE + DCF'!$V$33+K3377)/'DRE + DCF'!$V$33</f>
        <v>-90858.801614444121</v>
      </c>
      <c r="J3377" s="359">
        <f>-'DRE + DCF'!$V$56*L3377</f>
        <v>-1188924.4255577971</v>
      </c>
      <c r="K3377" s="360">
        <f>(1+L3377)/(1+Ke!$O$12)-1</f>
        <v>2.0000000000000018E-2</v>
      </c>
      <c r="L3377" s="360">
        <f>'DRE + DCF'!$Y$31</f>
        <v>7.3550000000000004E-2</v>
      </c>
      <c r="M3377" s="361">
        <f>(1+D3377)^((5-Dashboard!$F$9)*3/12)</f>
        <v>1.2942502912152185</v>
      </c>
      <c r="N3377" s="361">
        <f t="shared" ref="N3377:V3377" si="3470">M3377*(1+$D3377)</f>
        <v>1.825475323244466</v>
      </c>
      <c r="O3377" s="361">
        <f t="shared" si="3470"/>
        <v>2.5747416696701024</v>
      </c>
      <c r="P3377" s="361">
        <f t="shared" si="3470"/>
        <v>3.6315443879861187</v>
      </c>
      <c r="Q3377" s="361">
        <f t="shared" si="3470"/>
        <v>5.1221117820349118</v>
      </c>
      <c r="R3377" s="361">
        <f t="shared" si="3470"/>
        <v>7.2244825629709881</v>
      </c>
      <c r="S3377" s="361">
        <f t="shared" si="3470"/>
        <v>10.189771430942214</v>
      </c>
      <c r="T3377" s="361">
        <f t="shared" si="3470"/>
        <v>14.372163114772141</v>
      </c>
      <c r="U3377" s="361">
        <f t="shared" si="3470"/>
        <v>20.271217465229935</v>
      </c>
      <c r="V3377" s="362">
        <f t="shared" si="3470"/>
        <v>28.591538673832954</v>
      </c>
      <c r="X3377" s="351"/>
    </row>
    <row r="3378" spans="3:24" ht="24.75" customHeight="1" x14ac:dyDescent="0.3">
      <c r="C3378" s="353">
        <f>ABS(E3378-Dashboard!$F$14)</f>
        <v>63.407862929525372</v>
      </c>
      <c r="D3378" s="350">
        <f t="shared" si="3435"/>
        <v>0.41054999999997005</v>
      </c>
      <c r="E3378" s="359" cm="1">
        <f t="array" ref="E3378">1000*SUM('DRE + DCF'!$L$36/M3378,'DRE + DCF'!$N$36:$V$36/N3378:V3378,F3378/V3378)/Dashboard!$F$11</f>
        <v>33.582137070474623</v>
      </c>
      <c r="F3378" s="359">
        <f t="shared" si="3433"/>
        <v>6187130.3632201329</v>
      </c>
      <c r="G3378" s="359">
        <f>'DRE + DCF'!$W$31</f>
        <v>2791623.3540418856</v>
      </c>
      <c r="H3378" s="359">
        <f>'DRE + DCF'!$W$32</f>
        <v>81081.931703745853</v>
      </c>
      <c r="I3378" s="359">
        <f>-H3378*('DRE + DCF'!$V$33+K3378)/'DRE + DCF'!$V$33</f>
        <v>-90858.801614444121</v>
      </c>
      <c r="J3378" s="359">
        <f>-'DRE + DCF'!$V$56*L3378</f>
        <v>-1188924.4255577971</v>
      </c>
      <c r="K3378" s="360">
        <f>(1+L3378)/(1+Ke!$O$12)-1</f>
        <v>2.0000000000000018E-2</v>
      </c>
      <c r="L3378" s="360">
        <f>'DRE + DCF'!$Y$31</f>
        <v>7.3550000000000004E-2</v>
      </c>
      <c r="M3378" s="361">
        <f>(1+D3378)^((5-Dashboard!$F$9)*3/12)</f>
        <v>1.294319111741719</v>
      </c>
      <c r="N3378" s="361">
        <f t="shared" ref="N3378:V3378" si="3471">M3378*(1+$D3378)</f>
        <v>1.8257018230672428</v>
      </c>
      <c r="O3378" s="361">
        <f t="shared" si="3471"/>
        <v>2.5752437065274445</v>
      </c>
      <c r="P3378" s="361">
        <f t="shared" si="3471"/>
        <v>3.6325100102422097</v>
      </c>
      <c r="Q3378" s="361">
        <f t="shared" si="3471"/>
        <v>5.1238369949470401</v>
      </c>
      <c r="R3378" s="361">
        <f t="shared" si="3471"/>
        <v>7.2274282732223938</v>
      </c>
      <c r="S3378" s="361">
        <f t="shared" si="3471"/>
        <v>10.194648950793631</v>
      </c>
      <c r="T3378" s="361">
        <f t="shared" si="3471"/>
        <v>14.38006207754165</v>
      </c>
      <c r="U3378" s="361">
        <f t="shared" si="3471"/>
        <v>20.283796563475942</v>
      </c>
      <c r="V3378" s="362">
        <f t="shared" si="3471"/>
        <v>28.611309242610382</v>
      </c>
      <c r="X3378" s="351"/>
    </row>
    <row r="3379" spans="3:24" ht="24.75" customHeight="1" x14ac:dyDescent="0.3">
      <c r="C3379" s="353">
        <f>ABS(E3379-Dashboard!$F$14)</f>
        <v>63.419641830376797</v>
      </c>
      <c r="D3379" s="350">
        <f t="shared" si="3435"/>
        <v>0.41064999999997004</v>
      </c>
      <c r="E3379" s="359" cm="1">
        <f t="array" ref="E3379">1000*SUM('DRE + DCF'!$L$36/M3379,'DRE + DCF'!$N$36:$V$36/N3379:V3379,F3379/V3379)/Dashboard!$F$11</f>
        <v>33.570358169623198</v>
      </c>
      <c r="F3379" s="359">
        <f t="shared" si="3433"/>
        <v>6185488.8897212446</v>
      </c>
      <c r="G3379" s="359">
        <f>'DRE + DCF'!$W$31</f>
        <v>2791623.3540418856</v>
      </c>
      <c r="H3379" s="359">
        <f>'DRE + DCF'!$W$32</f>
        <v>81081.931703745853</v>
      </c>
      <c r="I3379" s="359">
        <f>-H3379*('DRE + DCF'!$V$33+K3379)/'DRE + DCF'!$V$33</f>
        <v>-90858.801614444121</v>
      </c>
      <c r="J3379" s="359">
        <f>-'DRE + DCF'!$V$56*L3379</f>
        <v>-1188924.4255577971</v>
      </c>
      <c r="K3379" s="360">
        <f>(1+L3379)/(1+Ke!$O$12)-1</f>
        <v>2.0000000000000018E-2</v>
      </c>
      <c r="L3379" s="360">
        <f>'DRE + DCF'!$Y$31</f>
        <v>7.3550000000000004E-2</v>
      </c>
      <c r="M3379" s="361">
        <f>(1+D3379)^((5-Dashboard!$F$9)*3/12)</f>
        <v>1.2943879310484836</v>
      </c>
      <c r="N3379" s="361">
        <f t="shared" ref="N3379:V3379" si="3472">M3379*(1+$D3379)</f>
        <v>1.8259283349335045</v>
      </c>
      <c r="O3379" s="361">
        <f t="shared" si="3472"/>
        <v>2.5757458056738933</v>
      </c>
      <c r="P3379" s="361">
        <f t="shared" si="3472"/>
        <v>3.6334758207738003</v>
      </c>
      <c r="Q3379" s="361">
        <f t="shared" si="3472"/>
        <v>5.125562666574452</v>
      </c>
      <c r="R3379" s="361">
        <f t="shared" si="3472"/>
        <v>7.2303749756030973</v>
      </c>
      <c r="S3379" s="361">
        <f t="shared" si="3472"/>
        <v>10.199528459334292</v>
      </c>
      <c r="T3379" s="361">
        <f t="shared" si="3472"/>
        <v>14.387964821159613</v>
      </c>
      <c r="U3379" s="361">
        <f t="shared" si="3472"/>
        <v>20.296382574968376</v>
      </c>
      <c r="V3379" s="362">
        <f t="shared" si="3472"/>
        <v>28.631092079378529</v>
      </c>
      <c r="X3379" s="351"/>
    </row>
    <row r="3380" spans="3:24" ht="24.75" customHeight="1" x14ac:dyDescent="0.3">
      <c r="C3380" s="353">
        <f>ABS(E3380-Dashboard!$F$14)</f>
        <v>63.431413011698659</v>
      </c>
      <c r="D3380" s="350">
        <f t="shared" si="3435"/>
        <v>0.41074999999997003</v>
      </c>
      <c r="E3380" s="359" cm="1">
        <f t="array" ref="E3380">1000*SUM('DRE + DCF'!$L$36/M3380,'DRE + DCF'!$N$36:$V$36/N3380:V3380,F3380/V3380)/Dashboard!$F$11</f>
        <v>33.558586988301336</v>
      </c>
      <c r="F3380" s="359">
        <f t="shared" si="3433"/>
        <v>6183848.2954156855</v>
      </c>
      <c r="G3380" s="359">
        <f>'DRE + DCF'!$W$31</f>
        <v>2791623.3540418856</v>
      </c>
      <c r="H3380" s="359">
        <f>'DRE + DCF'!$W$32</f>
        <v>81081.931703745853</v>
      </c>
      <c r="I3380" s="359">
        <f>-H3380*('DRE + DCF'!$V$33+K3380)/'DRE + DCF'!$V$33</f>
        <v>-90858.801614444121</v>
      </c>
      <c r="J3380" s="359">
        <f>-'DRE + DCF'!$V$56*L3380</f>
        <v>-1188924.4255577971</v>
      </c>
      <c r="K3380" s="360">
        <f>(1+L3380)/(1+Ke!$O$12)-1</f>
        <v>2.0000000000000018E-2</v>
      </c>
      <c r="L3380" s="360">
        <f>'DRE + DCF'!$Y$31</f>
        <v>7.3550000000000004E-2</v>
      </c>
      <c r="M3380" s="361">
        <f>(1+D3380)^((5-Dashboard!$F$9)*3/12)</f>
        <v>1.2944567491356211</v>
      </c>
      <c r="N3380" s="361">
        <f t="shared" ref="N3380:V3380" si="3473">M3380*(1+$D3380)</f>
        <v>1.8261548588430387</v>
      </c>
      <c r="O3380" s="361">
        <f t="shared" si="3473"/>
        <v>2.5762479671127623</v>
      </c>
      <c r="P3380" s="361">
        <f t="shared" si="3473"/>
        <v>3.6344418196042518</v>
      </c>
      <c r="Q3380" s="361">
        <f t="shared" si="3473"/>
        <v>5.1272887970065888</v>
      </c>
      <c r="R3380" s="361">
        <f t="shared" si="3473"/>
        <v>7.2333226703768911</v>
      </c>
      <c r="S3380" s="361">
        <f t="shared" si="3473"/>
        <v>10.204409957233983</v>
      </c>
      <c r="T3380" s="361">
        <f t="shared" si="3473"/>
        <v>14.395871347167535</v>
      </c>
      <c r="U3380" s="361">
        <f t="shared" si="3473"/>
        <v>20.308975503016168</v>
      </c>
      <c r="V3380" s="362">
        <f t="shared" si="3473"/>
        <v>28.650887190879448</v>
      </c>
      <c r="X3380" s="351"/>
    </row>
    <row r="3381" spans="3:24" ht="24.75" customHeight="1" x14ac:dyDescent="0.3">
      <c r="C3381" s="353">
        <f>ABS(E3381-Dashboard!$F$14)</f>
        <v>63.44317648060678</v>
      </c>
      <c r="D3381" s="350">
        <f t="shared" si="3435"/>
        <v>0.41084999999997002</v>
      </c>
      <c r="E3381" s="359" cm="1">
        <f t="array" ref="E3381">1000*SUM('DRE + DCF'!$L$36/M3381,'DRE + DCF'!$N$36:$V$36/N3381:V3381,F3381/V3381)/Dashboard!$F$11</f>
        <v>33.546823519393214</v>
      </c>
      <c r="F3381" s="359">
        <f t="shared" si="3433"/>
        <v>6182208.5795903932</v>
      </c>
      <c r="G3381" s="359">
        <f>'DRE + DCF'!$W$31</f>
        <v>2791623.3540418856</v>
      </c>
      <c r="H3381" s="359">
        <f>'DRE + DCF'!$W$32</f>
        <v>81081.931703745853</v>
      </c>
      <c r="I3381" s="359">
        <f>-H3381*('DRE + DCF'!$V$33+K3381)/'DRE + DCF'!$V$33</f>
        <v>-90858.801614444121</v>
      </c>
      <c r="J3381" s="359">
        <f>-'DRE + DCF'!$V$56*L3381</f>
        <v>-1188924.4255577971</v>
      </c>
      <c r="K3381" s="360">
        <f>(1+L3381)/(1+Ke!$O$12)-1</f>
        <v>2.0000000000000018E-2</v>
      </c>
      <c r="L3381" s="360">
        <f>'DRE + DCF'!$Y$31</f>
        <v>7.3550000000000004E-2</v>
      </c>
      <c r="M3381" s="361">
        <f>(1+D3381)^((5-Dashboard!$F$9)*3/12)</f>
        <v>1.2945255660032391</v>
      </c>
      <c r="N3381" s="361">
        <f t="shared" ref="N3381:V3381" si="3474">M3381*(1+$D3381)</f>
        <v>1.8263813947956309</v>
      </c>
      <c r="O3381" s="361">
        <f t="shared" si="3474"/>
        <v>2.5767501908473611</v>
      </c>
      <c r="P3381" s="361">
        <f t="shared" si="3474"/>
        <v>3.6354080067569221</v>
      </c>
      <c r="Q3381" s="361">
        <f t="shared" si="3474"/>
        <v>5.1290153863328944</v>
      </c>
      <c r="R3381" s="361">
        <f t="shared" si="3474"/>
        <v>7.2362713578076097</v>
      </c>
      <c r="S3381" s="361">
        <f t="shared" si="3474"/>
        <v>10.209293445162649</v>
      </c>
      <c r="T3381" s="361">
        <f t="shared" si="3474"/>
        <v>14.403781657107416</v>
      </c>
      <c r="U3381" s="361">
        <f t="shared" si="3474"/>
        <v>20.321575350929564</v>
      </c>
      <c r="V3381" s="362">
        <f t="shared" si="3474"/>
        <v>28.670694583858364</v>
      </c>
      <c r="X3381" s="351"/>
    </row>
    <row r="3382" spans="3:24" ht="24.75" customHeight="1" x14ac:dyDescent="0.3">
      <c r="C3382" s="353">
        <f>ABS(E3382-Dashboard!$F$14)</f>
        <v>63.454932244208699</v>
      </c>
      <c r="D3382" s="350">
        <f t="shared" si="3435"/>
        <v>0.41094999999997001</v>
      </c>
      <c r="E3382" s="359" cm="1">
        <f t="array" ref="E3382">1000*SUM('DRE + DCF'!$L$36/M3382,'DRE + DCF'!$N$36:$V$36/N3382:V3382,F3382/V3382)/Dashboard!$F$11</f>
        <v>33.535067755791296</v>
      </c>
      <c r="F3382" s="359">
        <f t="shared" si="3433"/>
        <v>6180569.7415330848</v>
      </c>
      <c r="G3382" s="359">
        <f>'DRE + DCF'!$W$31</f>
        <v>2791623.3540418856</v>
      </c>
      <c r="H3382" s="359">
        <f>'DRE + DCF'!$W$32</f>
        <v>81081.931703745853</v>
      </c>
      <c r="I3382" s="359">
        <f>-H3382*('DRE + DCF'!$V$33+K3382)/'DRE + DCF'!$V$33</f>
        <v>-90858.801614444121</v>
      </c>
      <c r="J3382" s="359">
        <f>-'DRE + DCF'!$V$56*L3382</f>
        <v>-1188924.4255577971</v>
      </c>
      <c r="K3382" s="360">
        <f>(1+L3382)/(1+Ke!$O$12)-1</f>
        <v>2.0000000000000018E-2</v>
      </c>
      <c r="L3382" s="360">
        <f>'DRE + DCF'!$Y$31</f>
        <v>7.3550000000000004E-2</v>
      </c>
      <c r="M3382" s="361">
        <f>(1+D3382)^((5-Dashboard!$F$9)*3/12)</f>
        <v>1.2945943816514458</v>
      </c>
      <c r="N3382" s="361">
        <f t="shared" ref="N3382:V3382" si="3475">M3382*(1+$D3382)</f>
        <v>1.8266079427910686</v>
      </c>
      <c r="O3382" s="361">
        <f t="shared" si="3475"/>
        <v>2.5772524768810032</v>
      </c>
      <c r="P3382" s="361">
        <f t="shared" si="3475"/>
        <v>3.6363743822551742</v>
      </c>
      <c r="Q3382" s="361">
        <f t="shared" si="3475"/>
        <v>5.130742434642829</v>
      </c>
      <c r="R3382" s="361">
        <f t="shared" si="3475"/>
        <v>7.2392210381591457</v>
      </c>
      <c r="S3382" s="361">
        <f t="shared" si="3475"/>
        <v>10.214178923790429</v>
      </c>
      <c r="T3382" s="361">
        <f t="shared" si="3475"/>
        <v>14.411695752521799</v>
      </c>
      <c r="U3382" s="361">
        <f t="shared" si="3475"/>
        <v>20.334182122020199</v>
      </c>
      <c r="V3382" s="362">
        <f t="shared" si="3475"/>
        <v>28.69051426506379</v>
      </c>
      <c r="X3382" s="351"/>
    </row>
    <row r="3383" spans="3:24" ht="14.4" x14ac:dyDescent="0.3">
      <c r="D3383" s="352"/>
    </row>
    <row r="3384" spans="3:24" ht="14.4" x14ac:dyDescent="0.3">
      <c r="D3384" s="352"/>
    </row>
    <row r="3385" spans="3:24" ht="14.4" x14ac:dyDescent="0.3">
      <c r="D3385" s="352"/>
    </row>
    <row r="3386" spans="3:24" ht="14.4" x14ac:dyDescent="0.3">
      <c r="D3386" s="352"/>
    </row>
    <row r="3387" spans="3:24" ht="14.4" x14ac:dyDescent="0.3">
      <c r="D3387" s="352"/>
    </row>
    <row r="3388" spans="3:24" ht="14.4" x14ac:dyDescent="0.3">
      <c r="D3388" s="352"/>
    </row>
    <row r="3389" spans="3:24" ht="14.4" x14ac:dyDescent="0.3">
      <c r="D3389" s="352"/>
    </row>
    <row r="3390" spans="3:24" ht="14.4" x14ac:dyDescent="0.3">
      <c r="D3390" s="352"/>
    </row>
    <row r="3391" spans="3:24" ht="14.4" x14ac:dyDescent="0.3">
      <c r="D3391" s="352"/>
    </row>
    <row r="3392" spans="3:24" ht="14.4" x14ac:dyDescent="0.3">
      <c r="D3392" s="352"/>
    </row>
    <row r="3393" spans="4:4" ht="14.4" x14ac:dyDescent="0.3">
      <c r="D3393" s="352"/>
    </row>
    <row r="3394" spans="4:4" ht="14.4" x14ac:dyDescent="0.3">
      <c r="D3394" s="352"/>
    </row>
    <row r="3395" spans="4:4" ht="14.4" x14ac:dyDescent="0.3">
      <c r="D3395" s="352"/>
    </row>
    <row r="3396" spans="4:4" ht="14.4" x14ac:dyDescent="0.3">
      <c r="D3396" s="352"/>
    </row>
    <row r="3397" spans="4:4" ht="14.4" x14ac:dyDescent="0.3">
      <c r="D3397" s="352"/>
    </row>
    <row r="3398" spans="4:4" ht="14.4" x14ac:dyDescent="0.3">
      <c r="D3398" s="352"/>
    </row>
    <row r="3399" spans="4:4" ht="14.4" x14ac:dyDescent="0.3">
      <c r="D3399" s="352"/>
    </row>
    <row r="3400" spans="4:4" ht="14.4" x14ac:dyDescent="0.3">
      <c r="D3400" s="352"/>
    </row>
    <row r="3401" spans="4:4" ht="14.4" x14ac:dyDescent="0.3">
      <c r="D3401" s="352"/>
    </row>
    <row r="3402" spans="4:4" ht="14.4" x14ac:dyDescent="0.3">
      <c r="D3402" s="352"/>
    </row>
    <row r="3403" spans="4:4" ht="14.4" x14ac:dyDescent="0.3">
      <c r="D3403" s="352"/>
    </row>
    <row r="3404" spans="4:4" ht="14.4" x14ac:dyDescent="0.3">
      <c r="D3404" s="352"/>
    </row>
    <row r="3405" spans="4:4" ht="14.4" x14ac:dyDescent="0.3">
      <c r="D3405" s="352"/>
    </row>
    <row r="3406" spans="4:4" ht="14.4" x14ac:dyDescent="0.3">
      <c r="D3406" s="352"/>
    </row>
    <row r="3407" spans="4:4" ht="14.4" x14ac:dyDescent="0.3">
      <c r="D3407" s="352"/>
    </row>
    <row r="3408" spans="4:4" ht="14.4" x14ac:dyDescent="0.3">
      <c r="D3408" s="352"/>
    </row>
    <row r="3409" spans="4:4" ht="14.4" x14ac:dyDescent="0.3">
      <c r="D3409" s="352"/>
    </row>
    <row r="3410" spans="4:4" ht="14.4" x14ac:dyDescent="0.3">
      <c r="D3410" s="352"/>
    </row>
    <row r="3411" spans="4:4" ht="14.4" x14ac:dyDescent="0.3">
      <c r="D3411" s="352"/>
    </row>
    <row r="3412" spans="4:4" ht="14.4" x14ac:dyDescent="0.3">
      <c r="D3412" s="352"/>
    </row>
    <row r="3413" spans="4:4" ht="14.4" x14ac:dyDescent="0.3">
      <c r="D3413" s="352"/>
    </row>
    <row r="3414" spans="4:4" ht="14.4" x14ac:dyDescent="0.3">
      <c r="D3414" s="352"/>
    </row>
    <row r="3415" spans="4:4" ht="14.4" x14ac:dyDescent="0.3">
      <c r="D3415" s="352"/>
    </row>
    <row r="3416" spans="4:4" ht="14.4" x14ac:dyDescent="0.3">
      <c r="D3416" s="352"/>
    </row>
  </sheetData>
  <mergeCells count="13">
    <mergeCell ref="K10:K11"/>
    <mergeCell ref="L10:L11"/>
    <mergeCell ref="M10:V10"/>
    <mergeCell ref="I4:K5"/>
    <mergeCell ref="C9:V9"/>
    <mergeCell ref="C10:C11"/>
    <mergeCell ref="D10:D11"/>
    <mergeCell ref="E10:E11"/>
    <mergeCell ref="F10:F11"/>
    <mergeCell ref="G10:G11"/>
    <mergeCell ref="H10:H11"/>
    <mergeCell ref="I10:I11"/>
    <mergeCell ref="J10:J11"/>
  </mergeCells>
  <hyperlinks>
    <hyperlink ref="A13" location="'Projeções - NIM'!A1" display="Projeções - NIM" xr:uid="{49E25B52-5DBB-4A47-BB27-3D7B5AD652BA}"/>
    <hyperlink ref="A12" location="'Balanço Patrimonial - Contábil'!A1" display="Balanço Patrimonial" xr:uid="{6C0C1D7C-060A-43D9-BFDE-B452FF03FBC1}"/>
    <hyperlink ref="A11" location="'DRE - Cosif'!A1" display="DRE - Cosif" xr:uid="{091BB342-68D9-41E1-B816-3E26BD2C276C}"/>
    <hyperlink ref="A10" location="'DRE + DCF'!A1" display="DRE + DCF" xr:uid="{2DB4F8FC-623D-4B25-AD13-A663BCEE2BE5}"/>
    <hyperlink ref="A9" location="Ke!A1" display="Ke" xr:uid="{CA15AC65-9E76-4C08-BFC9-DFAF3856D026}"/>
    <hyperlink ref="A8" location="Dashboard!A1" display="Dashboard" xr:uid="{886A0E7B-499F-4329-8900-313DF15C775A}"/>
    <hyperlink ref="A15" location="'Painel de Índices'!A1" display="Painel de Índices" xr:uid="{E6B56186-87F6-49A0-A43D-C1D3D2E20801}"/>
    <hyperlink ref="A14" location="'Projeções Trimestrais'!A1" display="Projeções Trimestrais" xr:uid="{9C55B09A-E772-4D94-8409-660CB7AD7C72}"/>
  </hyperlink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833E-9029-4336-AF94-FCF4F180D424}">
  <dimension ref="A1:AB93"/>
  <sheetViews>
    <sheetView zoomScaleNormal="100" workbookViewId="0">
      <selection activeCell="A8" sqref="A8"/>
    </sheetView>
  </sheetViews>
  <sheetFormatPr defaultColWidth="0" defaultRowHeight="0" customHeight="1" zeroHeight="1" x14ac:dyDescent="0.3"/>
  <cols>
    <col min="1" max="1" width="35.6640625" style="1" customWidth="1"/>
    <col min="2" max="4" width="9.109375" style="33" customWidth="1"/>
    <col min="5" max="5" width="84.44140625" style="33" bestFit="1" customWidth="1"/>
    <col min="6" max="6" width="16.88671875" style="33" customWidth="1"/>
    <col min="7" max="7" width="16.88671875" style="33" bestFit="1" customWidth="1"/>
    <col min="8" max="8" width="17.33203125" style="33" bestFit="1" customWidth="1"/>
    <col min="9" max="12" width="17.33203125" style="33" customWidth="1"/>
    <col min="13" max="13" width="16.44140625" style="33" bestFit="1" customWidth="1"/>
    <col min="14" max="14" width="18.109375" style="33" bestFit="1" customWidth="1"/>
    <col min="15" max="15" width="17.33203125" style="33" bestFit="1" customWidth="1"/>
    <col min="16" max="16" width="16.88671875" style="33" bestFit="1" customWidth="1"/>
    <col min="17" max="17" width="18.109375" style="33" bestFit="1" customWidth="1"/>
    <col min="18" max="18" width="17.6640625" style="33" bestFit="1" customWidth="1"/>
    <col min="19" max="19" width="17.33203125" style="33" bestFit="1" customWidth="1"/>
    <col min="20" max="20" width="17.6640625" style="33" bestFit="1" customWidth="1"/>
    <col min="21" max="22" width="18.109375" style="33" bestFit="1" customWidth="1"/>
    <col min="23" max="23" width="15.109375" style="33" customWidth="1"/>
    <col min="24" max="24" width="12.44140625" style="33" customWidth="1"/>
    <col min="25" max="25" width="13" style="33" customWidth="1"/>
    <col min="26" max="28" width="9.109375" style="33" customWidth="1"/>
    <col min="29" max="46" width="9.109375" style="32" hidden="1" customWidth="1"/>
    <col min="47" max="16384" width="9.109375" style="32" hidden="1"/>
  </cols>
  <sheetData>
    <row r="1" spans="1:28" ht="15" customHeight="1" x14ac:dyDescent="0.3">
      <c r="B1" s="32"/>
      <c r="C1" s="32"/>
      <c r="D1" s="32"/>
      <c r="E1" s="32"/>
      <c r="F1" s="32"/>
      <c r="G1" s="32"/>
      <c r="H1" s="32"/>
      <c r="I1" s="32"/>
      <c r="J1" s="32"/>
      <c r="K1" s="32"/>
      <c r="L1" s="32"/>
      <c r="M1" s="38"/>
      <c r="N1" s="38"/>
      <c r="O1" s="38"/>
      <c r="P1" s="38"/>
      <c r="Q1" s="38"/>
      <c r="R1" s="38"/>
      <c r="S1" s="38"/>
      <c r="T1" s="32"/>
      <c r="U1" s="32"/>
      <c r="V1" s="32"/>
      <c r="W1" s="32"/>
      <c r="X1" s="32"/>
      <c r="Y1" s="32"/>
      <c r="Z1" s="32"/>
      <c r="AA1" s="32"/>
      <c r="AB1" s="32"/>
    </row>
    <row r="2" spans="1:28" ht="15" customHeight="1" x14ac:dyDescent="0.3">
      <c r="B2" s="32"/>
      <c r="C2" s="32"/>
      <c r="D2" s="32"/>
      <c r="E2" s="32"/>
      <c r="F2" s="32"/>
      <c r="G2" s="32"/>
      <c r="H2" s="32"/>
      <c r="I2" s="32"/>
      <c r="J2" s="32"/>
      <c r="K2" s="32"/>
      <c r="L2" s="32"/>
      <c r="M2" s="32"/>
      <c r="N2" s="32"/>
      <c r="O2" s="32"/>
      <c r="P2" s="32"/>
      <c r="Q2" s="32"/>
      <c r="R2" s="32"/>
      <c r="S2" s="32"/>
      <c r="T2" s="32"/>
      <c r="U2" s="32"/>
      <c r="V2" s="32"/>
      <c r="W2" s="32"/>
      <c r="X2" s="32"/>
      <c r="Y2" s="32"/>
      <c r="Z2" s="32"/>
      <c r="AA2" s="32"/>
      <c r="AB2" s="32"/>
    </row>
    <row r="3" spans="1:28" ht="15" customHeight="1" x14ac:dyDescent="0.3">
      <c r="B3" s="32"/>
      <c r="C3" s="32"/>
      <c r="D3" s="32"/>
      <c r="E3" s="32"/>
      <c r="F3" s="279"/>
      <c r="G3" s="279"/>
      <c r="H3" s="280"/>
      <c r="I3" s="279"/>
      <c r="J3" s="279"/>
      <c r="K3" s="279"/>
      <c r="L3" s="279"/>
      <c r="M3" s="32"/>
      <c r="N3" s="32"/>
      <c r="O3" s="32"/>
      <c r="P3" s="32"/>
      <c r="Q3" s="32"/>
      <c r="R3" s="32"/>
      <c r="S3" s="32"/>
      <c r="T3" s="32"/>
      <c r="U3" s="32"/>
      <c r="V3" s="32"/>
      <c r="W3" s="32"/>
      <c r="X3" s="32"/>
      <c r="Y3" s="32"/>
      <c r="Z3" s="32"/>
      <c r="AA3" s="32"/>
      <c r="AB3" s="32"/>
    </row>
    <row r="4" spans="1:28" ht="15" customHeight="1" x14ac:dyDescent="0.3">
      <c r="B4" s="32"/>
      <c r="C4" s="32"/>
      <c r="D4" s="32"/>
      <c r="E4" s="32"/>
      <c r="F4" s="279"/>
      <c r="G4" s="279"/>
      <c r="H4" s="36"/>
      <c r="I4" s="279"/>
      <c r="J4" s="458" t="str">
        <f>Dashboard!J4</f>
        <v>Banco da Amazônia ($BAZA3)</v>
      </c>
      <c r="K4" s="458"/>
      <c r="L4" s="458"/>
      <c r="M4" s="458"/>
      <c r="N4" s="36"/>
      <c r="O4" s="279"/>
      <c r="P4" s="279"/>
      <c r="Q4" s="279"/>
      <c r="R4" s="32"/>
      <c r="S4" s="32"/>
      <c r="T4" s="32"/>
      <c r="U4" s="32"/>
      <c r="V4" s="32"/>
      <c r="W4" s="32"/>
      <c r="X4" s="32"/>
      <c r="Y4" s="32"/>
      <c r="Z4" s="32"/>
      <c r="AA4" s="32"/>
      <c r="AB4" s="32"/>
    </row>
    <row r="5" spans="1:28" ht="15" customHeight="1" x14ac:dyDescent="0.3">
      <c r="B5" s="32"/>
      <c r="C5" s="32"/>
      <c r="D5" s="32"/>
      <c r="E5" s="32"/>
      <c r="F5" s="279"/>
      <c r="G5" s="279"/>
      <c r="H5" s="36"/>
      <c r="I5" s="36"/>
      <c r="J5" s="459"/>
      <c r="K5" s="459"/>
      <c r="L5" s="459"/>
      <c r="M5" s="459"/>
      <c r="N5" s="36"/>
      <c r="O5" s="279"/>
      <c r="P5" s="279"/>
      <c r="Q5" s="279"/>
      <c r="R5" s="32"/>
      <c r="S5" s="32"/>
      <c r="T5" s="32"/>
      <c r="U5" s="32"/>
      <c r="V5" s="32"/>
      <c r="W5" s="32"/>
      <c r="X5" s="32"/>
      <c r="Y5" s="32"/>
      <c r="Z5" s="32"/>
      <c r="AA5" s="32"/>
      <c r="AB5" s="32"/>
    </row>
    <row r="6" spans="1:28" ht="15" customHeight="1" x14ac:dyDescent="0.3">
      <c r="B6" s="32"/>
      <c r="C6" s="32"/>
      <c r="D6" s="32"/>
      <c r="E6" s="32"/>
      <c r="F6" s="279"/>
      <c r="G6" s="279"/>
      <c r="H6" s="279"/>
      <c r="I6" s="279"/>
      <c r="J6" s="279"/>
      <c r="K6" s="279"/>
      <c r="L6" s="279"/>
      <c r="M6" s="32"/>
      <c r="N6" s="279"/>
      <c r="O6" s="279"/>
      <c r="P6" s="279"/>
      <c r="Q6" s="279"/>
      <c r="R6" s="32"/>
      <c r="S6" s="32"/>
      <c r="T6" s="32"/>
      <c r="U6" s="32"/>
      <c r="V6" s="32"/>
      <c r="W6" s="32"/>
      <c r="X6" s="32"/>
      <c r="Y6" s="32"/>
      <c r="Z6" s="32"/>
      <c r="AA6" s="32"/>
      <c r="AB6" s="32"/>
    </row>
    <row r="7" spans="1:28" ht="30" customHeight="1" thickBot="1" x14ac:dyDescent="0.35">
      <c r="A7" s="3" t="s">
        <v>0</v>
      </c>
      <c r="B7" s="32"/>
      <c r="C7" s="32"/>
      <c r="D7" s="38"/>
      <c r="E7" s="38"/>
      <c r="F7" s="32"/>
      <c r="G7" s="32"/>
      <c r="H7" s="32"/>
      <c r="I7" s="38"/>
      <c r="J7" s="38"/>
      <c r="K7" s="38"/>
      <c r="L7" s="38"/>
      <c r="M7" s="38"/>
      <c r="N7" s="279"/>
      <c r="O7" s="279"/>
      <c r="P7" s="279"/>
      <c r="Q7" s="279"/>
      <c r="R7" s="38"/>
      <c r="S7" s="38"/>
      <c r="T7" s="38"/>
      <c r="U7" s="38"/>
      <c r="V7" s="38"/>
      <c r="W7" s="32"/>
      <c r="X7" s="32"/>
      <c r="Y7" s="32"/>
      <c r="Z7" s="32"/>
      <c r="AA7" s="32"/>
      <c r="AB7" s="32"/>
    </row>
    <row r="8" spans="1:28" ht="30" customHeight="1" thickBot="1" x14ac:dyDescent="0.35">
      <c r="A8" s="4" t="s">
        <v>1</v>
      </c>
      <c r="B8" s="32"/>
      <c r="C8" s="32"/>
      <c r="D8" s="32"/>
      <c r="E8" s="171"/>
      <c r="F8" s="172"/>
      <c r="G8" s="172"/>
      <c r="H8" s="172"/>
      <c r="I8" s="335"/>
      <c r="J8" s="335"/>
      <c r="K8" s="335"/>
      <c r="L8" s="335"/>
      <c r="M8" s="335"/>
      <c r="N8" s="335"/>
      <c r="O8" s="335"/>
      <c r="P8" s="335"/>
      <c r="Q8" s="335"/>
      <c r="R8" s="335"/>
      <c r="S8" s="335"/>
      <c r="T8" s="335"/>
      <c r="U8" s="335"/>
      <c r="V8" s="336"/>
      <c r="W8" s="32"/>
      <c r="X8" s="32"/>
      <c r="Y8" s="32"/>
      <c r="Z8" s="32"/>
      <c r="AA8" s="32"/>
      <c r="AB8" s="32"/>
    </row>
    <row r="9" spans="1:28" ht="30" customHeight="1" x14ac:dyDescent="0.3">
      <c r="A9" s="4" t="s">
        <v>2</v>
      </c>
      <c r="B9" s="32"/>
      <c r="C9" s="32"/>
      <c r="D9" s="32"/>
      <c r="E9" s="337"/>
      <c r="F9" s="87">
        <v>2020</v>
      </c>
      <c r="G9" s="87">
        <v>2021</v>
      </c>
      <c r="H9" s="87">
        <v>2022</v>
      </c>
      <c r="I9" s="88">
        <v>2023</v>
      </c>
      <c r="J9" s="88" t="s">
        <v>410</v>
      </c>
      <c r="K9" s="88" t="s">
        <v>411</v>
      </c>
      <c r="L9" s="89" t="s">
        <v>412</v>
      </c>
      <c r="M9" s="135">
        <v>2024</v>
      </c>
      <c r="N9" s="135">
        <v>2025</v>
      </c>
      <c r="O9" s="135">
        <v>2026</v>
      </c>
      <c r="P9" s="135">
        <v>2027</v>
      </c>
      <c r="Q9" s="135">
        <v>2028</v>
      </c>
      <c r="R9" s="135">
        <v>2029</v>
      </c>
      <c r="S9" s="135">
        <v>2030</v>
      </c>
      <c r="T9" s="135">
        <v>2031</v>
      </c>
      <c r="U9" s="135">
        <v>2032</v>
      </c>
      <c r="V9" s="136">
        <v>2033</v>
      </c>
      <c r="W9" s="32"/>
      <c r="X9" s="32"/>
      <c r="Y9" s="32"/>
      <c r="Z9" s="32"/>
      <c r="AA9" s="32"/>
      <c r="AB9" s="32"/>
    </row>
    <row r="10" spans="1:28" ht="30" customHeight="1" x14ac:dyDescent="0.3">
      <c r="A10" s="5" t="s">
        <v>4</v>
      </c>
      <c r="B10" s="32"/>
      <c r="C10" s="32"/>
      <c r="D10" s="32"/>
      <c r="E10" s="98" t="s">
        <v>141</v>
      </c>
      <c r="F10" s="283">
        <f>'Projeções - NIM'!F30</f>
        <v>360543</v>
      </c>
      <c r="G10" s="283">
        <f>'Projeções - NIM'!G30</f>
        <v>517628</v>
      </c>
      <c r="H10" s="283">
        <f>'Projeções - NIM'!H30</f>
        <v>1061209</v>
      </c>
      <c r="I10" s="283">
        <f>'Projeções - NIM'!I30</f>
        <v>1068160</v>
      </c>
      <c r="J10" s="283">
        <f>'Projeções - NIM'!J30</f>
        <v>90674.551939999859</v>
      </c>
      <c r="K10" s="283">
        <f>'Projeções - NIM'!K30</f>
        <v>90674.551939999859</v>
      </c>
      <c r="L10" s="117">
        <f>'Projeções - NIM'!L30</f>
        <v>1087904.1930556961</v>
      </c>
      <c r="M10" s="117">
        <f>'Projeções - NIM'!M30</f>
        <v>1178578.744995696</v>
      </c>
      <c r="N10" s="117">
        <f>'Projeções - NIM'!N30</f>
        <v>1626399.6438483205</v>
      </c>
      <c r="O10" s="117">
        <f>'Projeções - NIM'!O30</f>
        <v>1782732.638073737</v>
      </c>
      <c r="P10" s="117">
        <f>'Projeções - NIM'!P30</f>
        <v>1942386.9139675261</v>
      </c>
      <c r="Q10" s="117">
        <f>'Projeções - NIM'!Q30</f>
        <v>2100953.4827335533</v>
      </c>
      <c r="R10" s="117">
        <f>'Projeções - NIM'!R30</f>
        <v>2258791.2916548867</v>
      </c>
      <c r="S10" s="117">
        <f>'Projeções - NIM'!S30</f>
        <v>2416050.6703922311</v>
      </c>
      <c r="T10" s="117">
        <f>'Projeções - NIM'!T30</f>
        <v>2575362.442082203</v>
      </c>
      <c r="U10" s="117">
        <f>'Projeções - NIM'!U30</f>
        <v>2735913.2465448482</v>
      </c>
      <c r="V10" s="284">
        <f>'Projeções - NIM'!V30</f>
        <v>2898419.410743488</v>
      </c>
      <c r="W10" s="32"/>
      <c r="X10" s="32"/>
      <c r="Y10" s="32"/>
      <c r="Z10" s="32"/>
      <c r="AA10" s="32"/>
      <c r="AB10" s="32"/>
    </row>
    <row r="11" spans="1:28" ht="30" customHeight="1" x14ac:dyDescent="0.3">
      <c r="A11" s="4" t="s">
        <v>413</v>
      </c>
      <c r="B11" s="32"/>
      <c r="C11" s="32"/>
      <c r="D11" s="32"/>
      <c r="E11" s="383" t="s">
        <v>291</v>
      </c>
      <c r="F11" s="285" t="s">
        <v>21</v>
      </c>
      <c r="G11" s="285">
        <f t="shared" ref="G11:V11" si="0">G10/F10-1</f>
        <v>0.43569005638717151</v>
      </c>
      <c r="H11" s="285">
        <f t="shared" si="0"/>
        <v>1.0501383232746297</v>
      </c>
      <c r="I11" s="286">
        <f>I10/H10-1</f>
        <v>6.5500763751531466E-3</v>
      </c>
      <c r="J11" s="286"/>
      <c r="K11" s="286"/>
      <c r="L11" s="287"/>
      <c r="M11" s="287">
        <f>M10/I10-1</f>
        <v>0.10337285144144692</v>
      </c>
      <c r="N11" s="287">
        <f t="shared" si="0"/>
        <v>0.37996688872431661</v>
      </c>
      <c r="O11" s="287">
        <f t="shared" si="0"/>
        <v>9.6122127680443814E-2</v>
      </c>
      <c r="P11" s="287">
        <f t="shared" si="0"/>
        <v>8.9555928064624091E-2</v>
      </c>
      <c r="Q11" s="287">
        <f t="shared" si="0"/>
        <v>8.1634903749499887E-2</v>
      </c>
      <c r="R11" s="287">
        <f t="shared" si="0"/>
        <v>7.512675088644527E-2</v>
      </c>
      <c r="S11" s="287">
        <f t="shared" si="0"/>
        <v>6.962103108788309E-2</v>
      </c>
      <c r="T11" s="287">
        <f t="shared" si="0"/>
        <v>6.5938919925097705E-2</v>
      </c>
      <c r="U11" s="287">
        <f t="shared" si="0"/>
        <v>6.2341052210437065E-2</v>
      </c>
      <c r="V11" s="288">
        <f t="shared" si="0"/>
        <v>5.9397411231466135E-2</v>
      </c>
      <c r="W11" s="32"/>
      <c r="X11" s="32"/>
      <c r="Y11" s="32"/>
      <c r="Z11" s="32"/>
      <c r="AA11" s="32"/>
      <c r="AB11" s="32"/>
    </row>
    <row r="12" spans="1:28" ht="30" customHeight="1" x14ac:dyDescent="0.3">
      <c r="A12" s="4" t="s">
        <v>8</v>
      </c>
      <c r="B12" s="32"/>
      <c r="C12" s="32"/>
      <c r="D12" s="32"/>
      <c r="E12" s="98" t="s">
        <v>292</v>
      </c>
      <c r="F12" s="283">
        <f>'DRE - Cosif'!F19</f>
        <v>1760424</v>
      </c>
      <c r="G12" s="283">
        <f>'DRE - Cosif'!G19</f>
        <v>2197525</v>
      </c>
      <c r="H12" s="283">
        <f>'DRE - Cosif'!H19</f>
        <v>2950511</v>
      </c>
      <c r="I12" s="283">
        <f>'DRE - Cosif'!I19</f>
        <v>2853777</v>
      </c>
      <c r="J12" s="283">
        <f>'DRE - Cosif'!J19</f>
        <v>708102.46036000003</v>
      </c>
      <c r="K12" s="283">
        <f>'DRE - Cosif'!K19</f>
        <v>708102.46036000003</v>
      </c>
      <c r="L12" s="117">
        <f>'DRE - Cosif'!L19</f>
        <v>2301613.5747816423</v>
      </c>
      <c r="M12" s="117">
        <f>'DRE - Cosif'!M19</f>
        <v>3009716.0351416431</v>
      </c>
      <c r="N12" s="117">
        <f>'DRE - Cosif'!N19</f>
        <v>3379640.8732147138</v>
      </c>
      <c r="O12" s="117">
        <f>'DRE - Cosif'!O19</f>
        <v>3749963.4570478359</v>
      </c>
      <c r="P12" s="117">
        <f>'DRE - Cosif'!P19</f>
        <v>4140650.0616164608</v>
      </c>
      <c r="Q12" s="117">
        <f>'DRE - Cosif'!Q19</f>
        <v>4546574.0865886826</v>
      </c>
      <c r="R12" s="117">
        <f>'DRE - Cosif'!R19</f>
        <v>4968967.7146171266</v>
      </c>
      <c r="S12" s="117">
        <f>'DRE - Cosif'!S19</f>
        <v>5407993.8096318636</v>
      </c>
      <c r="T12" s="117">
        <f>'DRE - Cosif'!T19</f>
        <v>5869595.2154493527</v>
      </c>
      <c r="U12" s="117">
        <f>'DRE - Cosif'!U19</f>
        <v>6351891.3638109323</v>
      </c>
      <c r="V12" s="284">
        <f>'DRE - Cosif'!V19</f>
        <v>6856155.7724507088</v>
      </c>
      <c r="W12" s="32"/>
      <c r="X12" s="32"/>
      <c r="Y12" s="32"/>
      <c r="Z12" s="32"/>
      <c r="AA12" s="32"/>
      <c r="AB12" s="32"/>
    </row>
    <row r="13" spans="1:28" ht="30" customHeight="1" x14ac:dyDescent="0.3">
      <c r="A13" s="4" t="s">
        <v>10</v>
      </c>
      <c r="B13" s="32"/>
      <c r="C13" s="32"/>
      <c r="D13" s="32"/>
      <c r="E13" s="383" t="s">
        <v>293</v>
      </c>
      <c r="F13" s="285" t="s">
        <v>21</v>
      </c>
      <c r="G13" s="285">
        <f t="shared" ref="G13:H13" si="1">G12/F12-1</f>
        <v>0.24829302486219218</v>
      </c>
      <c r="H13" s="285">
        <f t="shared" si="1"/>
        <v>0.34265184696419837</v>
      </c>
      <c r="I13" s="286">
        <f>I12/H12-1</f>
        <v>-3.2785507323985552E-2</v>
      </c>
      <c r="J13" s="286"/>
      <c r="K13" s="286"/>
      <c r="L13" s="287"/>
      <c r="M13" s="287">
        <f>M12/I12-1</f>
        <v>5.4643034526398848E-2</v>
      </c>
      <c r="N13" s="287">
        <f t="shared" ref="N13:V13" si="2">N12/M12-1</f>
        <v>0.1229102127090409</v>
      </c>
      <c r="O13" s="287">
        <f t="shared" si="2"/>
        <v>0.10957453697761421</v>
      </c>
      <c r="P13" s="287">
        <f t="shared" si="2"/>
        <v>0.10418410980361759</v>
      </c>
      <c r="Q13" s="287">
        <f t="shared" si="2"/>
        <v>9.8033888141166425E-2</v>
      </c>
      <c r="R13" s="287">
        <f t="shared" si="2"/>
        <v>9.2903716069293818E-2</v>
      </c>
      <c r="S13" s="287">
        <f t="shared" si="2"/>
        <v>8.8353581715425733E-2</v>
      </c>
      <c r="T13" s="287">
        <f t="shared" si="2"/>
        <v>8.5355387240894753E-2</v>
      </c>
      <c r="U13" s="287">
        <f t="shared" si="2"/>
        <v>8.2168553479144313E-2</v>
      </c>
      <c r="V13" s="288">
        <f t="shared" si="2"/>
        <v>7.938807195487585E-2</v>
      </c>
      <c r="W13" s="32"/>
      <c r="X13" s="32"/>
      <c r="Y13" s="32"/>
      <c r="Z13" s="32"/>
      <c r="AA13" s="32"/>
      <c r="AB13" s="32"/>
    </row>
    <row r="14" spans="1:28" ht="30" customHeight="1" x14ac:dyDescent="0.3">
      <c r="A14" s="4" t="s">
        <v>419</v>
      </c>
      <c r="B14" s="32"/>
      <c r="C14" s="32"/>
      <c r="D14" s="32"/>
      <c r="E14" s="98" t="s">
        <v>161</v>
      </c>
      <c r="F14" s="283">
        <f>'DRE - Cosif'!F47</f>
        <v>-1037069</v>
      </c>
      <c r="G14" s="283">
        <f>'DRE - Cosif'!G47</f>
        <v>-1092748</v>
      </c>
      <c r="H14" s="283">
        <f>'DRE - Cosif'!H47</f>
        <v>-1292488</v>
      </c>
      <c r="I14" s="283">
        <f>'DRE - Cosif'!I47</f>
        <v>-1649120</v>
      </c>
      <c r="J14" s="283">
        <f>'DRE - Cosif'!J47</f>
        <v>-356691.8934</v>
      </c>
      <c r="K14" s="283">
        <f>'DRE - Cosif'!K47</f>
        <v>-356691.8934</v>
      </c>
      <c r="L14" s="117">
        <f>'DRE - Cosif'!L47</f>
        <v>-1210324.513115753</v>
      </c>
      <c r="M14" s="117">
        <f>'DRE - Cosif'!M47</f>
        <v>-1567016.4065157527</v>
      </c>
      <c r="N14" s="117">
        <f>'DRE - Cosif'!N47</f>
        <v>-1700361.5472300227</v>
      </c>
      <c r="O14" s="117">
        <f>'DRE - Cosif'!O47</f>
        <v>-1831844.0757557412</v>
      </c>
      <c r="P14" s="117">
        <f>'DRE - Cosif'!P47</f>
        <v>-1975468.5809405015</v>
      </c>
      <c r="Q14" s="117">
        <f>'DRE - Cosif'!Q47</f>
        <v>-2130967.6066346709</v>
      </c>
      <c r="R14" s="117">
        <f>'DRE - Cosif'!R47</f>
        <v>-2298465.5064907698</v>
      </c>
      <c r="S14" s="117">
        <f>'DRE - Cosif'!S47</f>
        <v>-2479298.0304440567</v>
      </c>
      <c r="T14" s="117">
        <f>'DRE - Cosif'!T47</f>
        <v>-2673672.6385382684</v>
      </c>
      <c r="U14" s="117">
        <f>'DRE - Cosif'!U47</f>
        <v>-2881644.7664059908</v>
      </c>
      <c r="V14" s="284">
        <f>'DRE - Cosif'!V47</f>
        <v>-3104342.5333052734</v>
      </c>
      <c r="W14" s="32"/>
      <c r="X14" s="32"/>
      <c r="Y14" s="32"/>
      <c r="Z14" s="32"/>
      <c r="AA14" s="32"/>
      <c r="AB14" s="32"/>
    </row>
    <row r="15" spans="1:28" ht="30" customHeight="1" x14ac:dyDescent="0.3">
      <c r="A15" s="4" t="s">
        <v>12</v>
      </c>
      <c r="B15" s="32"/>
      <c r="C15" s="32"/>
      <c r="D15" s="32"/>
      <c r="E15" s="383" t="s">
        <v>326</v>
      </c>
      <c r="F15" s="285" t="s">
        <v>21</v>
      </c>
      <c r="G15" s="285">
        <f t="shared" ref="G15:H15" si="3">G14/F14-1</f>
        <v>5.3688809519906622E-2</v>
      </c>
      <c r="H15" s="285">
        <f t="shared" si="3"/>
        <v>0.18278688224549478</v>
      </c>
      <c r="I15" s="286">
        <f>I14/H14-1</f>
        <v>0.27592673974535931</v>
      </c>
      <c r="J15" s="286"/>
      <c r="K15" s="286"/>
      <c r="L15" s="287"/>
      <c r="M15" s="287">
        <f>M14/I14-1</f>
        <v>-4.9786306323522433E-2</v>
      </c>
      <c r="N15" s="287">
        <f t="shared" ref="N15:V15" si="4">N14/M14-1</f>
        <v>8.5094923167244874E-2</v>
      </c>
      <c r="O15" s="287">
        <f t="shared" si="4"/>
        <v>7.7326218497419275E-2</v>
      </c>
      <c r="P15" s="287">
        <f t="shared" si="4"/>
        <v>7.8404328777549992E-2</v>
      </c>
      <c r="Q15" s="287">
        <f t="shared" si="4"/>
        <v>7.8715008274207854E-2</v>
      </c>
      <c r="R15" s="287">
        <f t="shared" si="4"/>
        <v>7.860180480200718E-2</v>
      </c>
      <c r="S15" s="287">
        <f t="shared" si="4"/>
        <v>7.8675326404779033E-2</v>
      </c>
      <c r="T15" s="287">
        <f t="shared" si="4"/>
        <v>7.8399049128998088E-2</v>
      </c>
      <c r="U15" s="287">
        <f t="shared" si="4"/>
        <v>7.7785187636667308E-2</v>
      </c>
      <c r="V15" s="288">
        <f t="shared" si="4"/>
        <v>7.7281478097327438E-2</v>
      </c>
      <c r="W15" s="32"/>
      <c r="X15" s="32"/>
      <c r="Y15" s="32"/>
      <c r="Z15" s="32"/>
      <c r="AA15" s="32"/>
      <c r="AB15" s="32"/>
    </row>
    <row r="16" spans="1:28" ht="30" customHeight="1" x14ac:dyDescent="0.3">
      <c r="B16" s="32"/>
      <c r="C16" s="32"/>
      <c r="D16" s="32"/>
      <c r="E16" s="98" t="s">
        <v>164</v>
      </c>
      <c r="F16" s="283">
        <f>'DRE - Cosif'!F57</f>
        <v>-679835</v>
      </c>
      <c r="G16" s="283">
        <f>'DRE - Cosif'!G57</f>
        <v>-495926</v>
      </c>
      <c r="H16" s="283">
        <f>'DRE - Cosif'!H57</f>
        <v>-768605</v>
      </c>
      <c r="I16" s="283">
        <f>'DRE - Cosif'!I57</f>
        <v>-631744</v>
      </c>
      <c r="J16" s="283">
        <f>'DRE - Cosif'!J57</f>
        <v>-180181.92332</v>
      </c>
      <c r="K16" s="283">
        <f>'DRE - Cosif'!K57</f>
        <v>-180181.92332</v>
      </c>
      <c r="L16" s="117">
        <f>'DRE - Cosif'!L57</f>
        <v>-522197.52932873677</v>
      </c>
      <c r="M16" s="117">
        <f>'DRE - Cosif'!M57</f>
        <v>-702379.45264873677</v>
      </c>
      <c r="N16" s="117">
        <f>'DRE - Cosif'!N57</f>
        <v>-789023.60567111499</v>
      </c>
      <c r="O16" s="117">
        <f>'DRE - Cosif'!O57</f>
        <v>-880330.81939142721</v>
      </c>
      <c r="P16" s="117">
        <f>'DRE - Cosif'!P57</f>
        <v>-981688.77187917719</v>
      </c>
      <c r="Q16" s="117">
        <f>'DRE - Cosif'!Q57</f>
        <v>-1092552.2899291129</v>
      </c>
      <c r="R16" s="117">
        <f>'DRE - Cosif'!R57</f>
        <v>-1213124.5231666642</v>
      </c>
      <c r="S16" s="117">
        <f>'DRE - Cosif'!S57</f>
        <v>-1343932.2281092945</v>
      </c>
      <c r="T16" s="117">
        <f>'DRE - Cosif'!T57</f>
        <v>-1485875.0830415215</v>
      </c>
      <c r="U16" s="117">
        <f>'DRE - Cosif'!U57</f>
        <v>-1638824.2760201376</v>
      </c>
      <c r="V16" s="284">
        <f>'DRE - Cosif'!V57</f>
        <v>-1803437.0180633799</v>
      </c>
      <c r="W16" s="32"/>
      <c r="X16" s="32"/>
      <c r="Y16" s="32"/>
      <c r="Z16" s="32"/>
      <c r="AA16" s="32"/>
      <c r="AB16" s="32"/>
    </row>
    <row r="17" spans="1:28" ht="30" customHeight="1" x14ac:dyDescent="0.3">
      <c r="A17" s="20"/>
      <c r="B17" s="32"/>
      <c r="C17" s="32"/>
      <c r="D17" s="32"/>
      <c r="E17" s="383" t="s">
        <v>327</v>
      </c>
      <c r="F17" s="285" t="s">
        <v>21</v>
      </c>
      <c r="G17" s="285">
        <f t="shared" ref="G17:H17" si="5">G16/F16-1</f>
        <v>-0.27052005265983659</v>
      </c>
      <c r="H17" s="285">
        <f t="shared" si="5"/>
        <v>0.54983808068139206</v>
      </c>
      <c r="I17" s="286">
        <f>I16/H16-1</f>
        <v>-0.17806415519024732</v>
      </c>
      <c r="J17" s="286"/>
      <c r="K17" s="286"/>
      <c r="L17" s="287"/>
      <c r="M17" s="287">
        <f>M16/I16-1</f>
        <v>0.1118102469492972</v>
      </c>
      <c r="N17" s="287">
        <f t="shared" ref="N17:V17" si="6">N16/M16-1</f>
        <v>0.12335804057996747</v>
      </c>
      <c r="O17" s="287">
        <f t="shared" si="6"/>
        <v>0.11572177697098129</v>
      </c>
      <c r="P17" s="287">
        <f t="shared" si="6"/>
        <v>0.11513620817889669</v>
      </c>
      <c r="Q17" s="287">
        <f t="shared" si="6"/>
        <v>0.11293143124955729</v>
      </c>
      <c r="R17" s="287">
        <f t="shared" si="6"/>
        <v>0.11035831817749808</v>
      </c>
      <c r="S17" s="287">
        <f t="shared" si="6"/>
        <v>0.10782710467444678</v>
      </c>
      <c r="T17" s="287">
        <f t="shared" si="6"/>
        <v>0.1056175690733443</v>
      </c>
      <c r="U17" s="287">
        <f t="shared" si="6"/>
        <v>0.10293543160138041</v>
      </c>
      <c r="V17" s="288">
        <f t="shared" si="6"/>
        <v>0.10044563316025679</v>
      </c>
      <c r="W17" s="32"/>
      <c r="X17" s="32"/>
      <c r="Y17" s="32"/>
      <c r="Z17" s="32"/>
      <c r="AA17" s="32"/>
      <c r="AB17" s="32"/>
    </row>
    <row r="18" spans="1:28" ht="30" customHeight="1" x14ac:dyDescent="0.3">
      <c r="A18" s="20"/>
      <c r="B18" s="32"/>
      <c r="C18" s="32"/>
      <c r="D18" s="32"/>
      <c r="E18" s="98" t="s">
        <v>134</v>
      </c>
      <c r="F18" s="283">
        <f>SUM(F10,F12,F14,F16)</f>
        <v>404063</v>
      </c>
      <c r="G18" s="283">
        <f t="shared" ref="G18:V18" si="7">SUM(G10,G12,G14,G16)</f>
        <v>1126479</v>
      </c>
      <c r="H18" s="283">
        <f t="shared" si="7"/>
        <v>1950627</v>
      </c>
      <c r="I18" s="283">
        <f t="shared" si="7"/>
        <v>1641073</v>
      </c>
      <c r="J18" s="283">
        <f t="shared" si="7"/>
        <v>261903.19557999982</v>
      </c>
      <c r="K18" s="283">
        <f t="shared" si="7"/>
        <v>261903.19557999982</v>
      </c>
      <c r="L18" s="117">
        <f t="shared" si="7"/>
        <v>1656995.7253928485</v>
      </c>
      <c r="M18" s="117">
        <f t="shared" si="7"/>
        <v>1918898.9209728499</v>
      </c>
      <c r="N18" s="117">
        <f t="shared" si="7"/>
        <v>2516655.3641618965</v>
      </c>
      <c r="O18" s="117">
        <f t="shared" si="7"/>
        <v>2820521.1999744042</v>
      </c>
      <c r="P18" s="117">
        <f t="shared" si="7"/>
        <v>3125879.6227643085</v>
      </c>
      <c r="Q18" s="117">
        <f t="shared" si="7"/>
        <v>3424007.6727584521</v>
      </c>
      <c r="R18" s="117">
        <f t="shared" si="7"/>
        <v>3716168.9766145796</v>
      </c>
      <c r="S18" s="117">
        <f t="shared" si="7"/>
        <v>4000814.2214707434</v>
      </c>
      <c r="T18" s="117">
        <f t="shared" si="7"/>
        <v>4285409.9359517656</v>
      </c>
      <c r="U18" s="117">
        <f t="shared" si="7"/>
        <v>4567335.5679296516</v>
      </c>
      <c r="V18" s="284">
        <f t="shared" si="7"/>
        <v>4846795.6318255439</v>
      </c>
      <c r="W18" s="32"/>
      <c r="X18" s="32"/>
      <c r="Y18" s="32"/>
      <c r="Z18" s="32"/>
      <c r="AA18" s="32"/>
      <c r="AB18" s="32"/>
    </row>
    <row r="19" spans="1:28" ht="30" customHeight="1" x14ac:dyDescent="0.3">
      <c r="A19" s="20"/>
      <c r="B19" s="32"/>
      <c r="C19" s="32"/>
      <c r="D19" s="32"/>
      <c r="E19" s="383" t="s">
        <v>294</v>
      </c>
      <c r="F19" s="285" t="s">
        <v>21</v>
      </c>
      <c r="G19" s="285">
        <f t="shared" ref="G19:H19" si="8">G18/F18-1</f>
        <v>1.7878796128326524</v>
      </c>
      <c r="H19" s="285">
        <f t="shared" si="8"/>
        <v>0.73161417123621475</v>
      </c>
      <c r="I19" s="286">
        <f>I18/H18-1</f>
        <v>-0.15869461460340706</v>
      </c>
      <c r="J19" s="286"/>
      <c r="K19" s="286"/>
      <c r="L19" s="287"/>
      <c r="M19" s="287">
        <f>M18/I18-1</f>
        <v>0.16929528483671952</v>
      </c>
      <c r="N19" s="287">
        <f t="shared" ref="N19:V19" si="9">N18/M18-1</f>
        <v>0.31151012523681754</v>
      </c>
      <c r="O19" s="287">
        <f t="shared" si="9"/>
        <v>0.12074193397303001</v>
      </c>
      <c r="P19" s="287">
        <f t="shared" si="9"/>
        <v>0.10826311916842712</v>
      </c>
      <c r="Q19" s="287">
        <f t="shared" si="9"/>
        <v>9.537413015620233E-2</v>
      </c>
      <c r="R19" s="287">
        <f t="shared" si="9"/>
        <v>8.5327292394983489E-2</v>
      </c>
      <c r="S19" s="287">
        <f t="shared" si="9"/>
        <v>7.6596421381106117E-2</v>
      </c>
      <c r="T19" s="287">
        <f t="shared" si="9"/>
        <v>7.1134448821370544E-2</v>
      </c>
      <c r="U19" s="287">
        <f t="shared" si="9"/>
        <v>6.5787319344344564E-2</v>
      </c>
      <c r="V19" s="288">
        <f t="shared" si="9"/>
        <v>6.1186672128531683E-2</v>
      </c>
      <c r="W19" s="32"/>
      <c r="X19" s="32"/>
      <c r="Y19" s="32"/>
      <c r="Z19" s="32"/>
      <c r="AA19" s="32"/>
      <c r="AB19" s="32"/>
    </row>
    <row r="20" spans="1:28" ht="30" customHeight="1" x14ac:dyDescent="0.3">
      <c r="B20" s="32"/>
      <c r="C20" s="32"/>
      <c r="D20" s="32"/>
      <c r="E20" s="107" t="s">
        <v>135</v>
      </c>
      <c r="F20" s="91">
        <f>'DRE - Cosif'!F68</f>
        <v>1175</v>
      </c>
      <c r="G20" s="91">
        <f>'DRE - Cosif'!G68</f>
        <v>234689</v>
      </c>
      <c r="H20" s="91">
        <f>'DRE - Cosif'!H68</f>
        <v>27610</v>
      </c>
      <c r="I20" s="91">
        <f>'DRE - Cosif'!I68</f>
        <v>7326</v>
      </c>
      <c r="J20" s="91">
        <f>'DRE - Cosif'!J68</f>
        <v>177.08661999999998</v>
      </c>
      <c r="K20" s="91">
        <f>'DRE - Cosif'!K68</f>
        <v>177.08661999999998</v>
      </c>
      <c r="L20" s="119">
        <f>'DRE - Cosif'!L68</f>
        <v>0</v>
      </c>
      <c r="M20" s="119">
        <f>'DRE - Cosif'!M68</f>
        <v>177.08661999999998</v>
      </c>
      <c r="N20" s="119">
        <f>'DRE - Cosif'!N68</f>
        <v>0</v>
      </c>
      <c r="O20" s="119">
        <f>'DRE - Cosif'!O68</f>
        <v>0</v>
      </c>
      <c r="P20" s="119">
        <f>'DRE - Cosif'!P68</f>
        <v>0</v>
      </c>
      <c r="Q20" s="119">
        <f>'DRE - Cosif'!Q68</f>
        <v>0</v>
      </c>
      <c r="R20" s="119">
        <f>'DRE - Cosif'!R68</f>
        <v>0</v>
      </c>
      <c r="S20" s="119">
        <f>'DRE - Cosif'!S68</f>
        <v>0</v>
      </c>
      <c r="T20" s="119">
        <f>'DRE - Cosif'!T68</f>
        <v>0</v>
      </c>
      <c r="U20" s="119">
        <f>'DRE - Cosif'!U68</f>
        <v>0</v>
      </c>
      <c r="V20" s="137">
        <f>'DRE - Cosif'!V68</f>
        <v>0</v>
      </c>
      <c r="W20" s="32"/>
      <c r="X20" s="32"/>
      <c r="Y20" s="32"/>
      <c r="Z20" s="32"/>
      <c r="AA20" s="32"/>
      <c r="AB20" s="32"/>
    </row>
    <row r="21" spans="1:28" ht="30" customHeight="1" x14ac:dyDescent="0.3">
      <c r="B21" s="32"/>
      <c r="C21" s="32"/>
      <c r="D21" s="38"/>
      <c r="E21" s="98" t="s">
        <v>295</v>
      </c>
      <c r="F21" s="283">
        <f>SUM(F18,F20)</f>
        <v>405238</v>
      </c>
      <c r="G21" s="283">
        <f t="shared" ref="G21:H21" si="10">SUM(G18,G20)</f>
        <v>1361168</v>
      </c>
      <c r="H21" s="283">
        <f t="shared" si="10"/>
        <v>1978237</v>
      </c>
      <c r="I21" s="283">
        <f>SUM(I18,I20)</f>
        <v>1648399</v>
      </c>
      <c r="J21" s="283">
        <f t="shared" ref="J21:L21" si="11">SUM(J18,J20)</f>
        <v>262080.28219999981</v>
      </c>
      <c r="K21" s="283">
        <f t="shared" si="11"/>
        <v>262080.28219999981</v>
      </c>
      <c r="L21" s="117">
        <f t="shared" si="11"/>
        <v>1656995.7253928485</v>
      </c>
      <c r="M21" s="117">
        <f>SUM(M18,M20)</f>
        <v>1919076.0075928499</v>
      </c>
      <c r="N21" s="117">
        <f t="shared" ref="N21:V21" si="12">SUM(N18,N20)</f>
        <v>2516655.3641618965</v>
      </c>
      <c r="O21" s="117">
        <f t="shared" si="12"/>
        <v>2820521.1999744042</v>
      </c>
      <c r="P21" s="117">
        <f t="shared" si="12"/>
        <v>3125879.6227643085</v>
      </c>
      <c r="Q21" s="117">
        <f t="shared" si="12"/>
        <v>3424007.6727584521</v>
      </c>
      <c r="R21" s="117">
        <f t="shared" si="12"/>
        <v>3716168.9766145796</v>
      </c>
      <c r="S21" s="117">
        <f t="shared" si="12"/>
        <v>4000814.2214707434</v>
      </c>
      <c r="T21" s="117">
        <f t="shared" si="12"/>
        <v>4285409.9359517656</v>
      </c>
      <c r="U21" s="117">
        <f t="shared" si="12"/>
        <v>4567335.5679296516</v>
      </c>
      <c r="V21" s="284">
        <f t="shared" si="12"/>
        <v>4846795.6318255439</v>
      </c>
      <c r="W21" s="32"/>
      <c r="X21" s="32"/>
      <c r="Y21" s="32"/>
      <c r="Z21" s="32"/>
      <c r="AA21" s="32"/>
      <c r="AB21" s="32"/>
    </row>
    <row r="22" spans="1:28" ht="30" customHeight="1" x14ac:dyDescent="0.3">
      <c r="B22" s="32"/>
      <c r="C22" s="32"/>
      <c r="D22" s="38"/>
      <c r="E22" s="123" t="s">
        <v>137</v>
      </c>
      <c r="F22" s="91">
        <f>SUM('DRE - Cosif'!F70,'DRE - Cosif'!F72,'DRE - Cosif'!F74)</f>
        <v>-119622</v>
      </c>
      <c r="G22" s="91">
        <f>SUM('DRE - Cosif'!G70,'DRE - Cosif'!G72,'DRE - Cosif'!G74)</f>
        <v>-573074</v>
      </c>
      <c r="H22" s="91">
        <f>SUM('DRE - Cosif'!H70,'DRE - Cosif'!H72,'DRE - Cosif'!H74)</f>
        <v>-780323</v>
      </c>
      <c r="I22" s="91">
        <f>SUM('DRE - Cosif'!I70,'DRE - Cosif'!I72,'DRE - Cosif'!I74)</f>
        <v>-212986</v>
      </c>
      <c r="J22" s="91">
        <f>SUM('DRE - Cosif'!J70,'DRE - Cosif'!J72,'DRE - Cosif'!J74)</f>
        <v>-55308</v>
      </c>
      <c r="K22" s="91">
        <f>SUM('DRE - Cosif'!K70,'DRE - Cosif'!K72,'DRE - Cosif'!K74)</f>
        <v>-55308</v>
      </c>
      <c r="L22" s="119">
        <f>SUM('DRE - Cosif'!L70,'DRE - Cosif'!L72,'DRE - Cosif'!L74)</f>
        <v>-609527.56927799527</v>
      </c>
      <c r="M22" s="119">
        <f>SUM('DRE - Cosif'!M70,'DRE - Cosif'!M72,'DRE - Cosif'!M74)</f>
        <v>-664835.56927799527</v>
      </c>
      <c r="N22" s="119">
        <f>SUM('DRE - Cosif'!N70,'DRE - Cosif'!N72,'DRE - Cosif'!N74)</f>
        <v>-962248.06929866853</v>
      </c>
      <c r="O22" s="119">
        <f>SUM('DRE - Cosif'!O70,'DRE - Cosif'!O72,'DRE - Cosif'!O74)</f>
        <v>-1076111.9071321487</v>
      </c>
      <c r="P22" s="119">
        <f>SUM('DRE - Cosif'!P70,'DRE - Cosif'!P72,'DRE - Cosif'!P74)</f>
        <v>-1191649.2628640342</v>
      </c>
      <c r="Q22" s="119">
        <f>SUM('DRE - Cosif'!Q70,'DRE - Cosif'!Q72,'DRE - Cosif'!Q74)</f>
        <v>-1303549.7883251889</v>
      </c>
      <c r="R22" s="119">
        <f>SUM('DRE - Cosif'!R70,'DRE - Cosif'!R72,'DRE - Cosif'!R74)</f>
        <v>-1412566.8579069152</v>
      </c>
      <c r="S22" s="119">
        <f>SUM('DRE - Cosif'!S70,'DRE - Cosif'!S72,'DRE - Cosif'!S74)</f>
        <v>-1517966.9936641199</v>
      </c>
      <c r="T22" s="119">
        <f>SUM('DRE - Cosif'!T70,'DRE - Cosif'!T72,'DRE - Cosif'!T74)</f>
        <v>-1622919.6432271642</v>
      </c>
      <c r="U22" s="119">
        <f>SUM('DRE - Cosif'!U70,'DRE - Cosif'!U72,'DRE - Cosif'!U74)</f>
        <v>-1726030.4752420837</v>
      </c>
      <c r="V22" s="137">
        <f>SUM('DRE - Cosif'!V70,'DRE - Cosif'!V72,'DRE - Cosif'!V74)</f>
        <v>-1827388.5458359756</v>
      </c>
      <c r="W22" s="32"/>
      <c r="X22" s="32"/>
      <c r="Y22" s="32"/>
      <c r="Z22" s="32"/>
      <c r="AA22" s="32"/>
      <c r="AB22" s="32"/>
    </row>
    <row r="23" spans="1:28" ht="30" customHeight="1" x14ac:dyDescent="0.3">
      <c r="B23" s="32"/>
      <c r="C23" s="32"/>
      <c r="D23" s="32"/>
      <c r="E23" s="383" t="s">
        <v>296</v>
      </c>
      <c r="F23" s="104">
        <f t="shared" ref="F23:V23" si="13">F22/F18</f>
        <v>-0.29604789352155481</v>
      </c>
      <c r="G23" s="104">
        <f t="shared" si="13"/>
        <v>-0.50873030034292699</v>
      </c>
      <c r="H23" s="104">
        <f t="shared" si="13"/>
        <v>-0.40003701373968475</v>
      </c>
      <c r="I23" s="104">
        <f t="shared" si="13"/>
        <v>-0.12978459824760996</v>
      </c>
      <c r="J23" s="104">
        <f t="shared" si="13"/>
        <v>-0.21117726294830891</v>
      </c>
      <c r="K23" s="104">
        <f t="shared" si="13"/>
        <v>-0.21117726294830891</v>
      </c>
      <c r="L23" s="105">
        <f t="shared" si="13"/>
        <v>-0.36785102093940863</v>
      </c>
      <c r="M23" s="105">
        <f t="shared" si="13"/>
        <v>-0.34646721722107937</v>
      </c>
      <c r="N23" s="105">
        <f t="shared" si="13"/>
        <v>-0.38235194337748307</v>
      </c>
      <c r="O23" s="105">
        <f t="shared" si="13"/>
        <v>-0.38152945177008929</v>
      </c>
      <c r="P23" s="105">
        <f t="shared" si="13"/>
        <v>-0.38122045845457836</v>
      </c>
      <c r="Q23" s="105">
        <f t="shared" si="13"/>
        <v>-0.38070878131970481</v>
      </c>
      <c r="R23" s="105">
        <f t="shared" si="13"/>
        <v>-0.38011373185558428</v>
      </c>
      <c r="S23" s="105">
        <f t="shared" si="13"/>
        <v>-0.37941451655460734</v>
      </c>
      <c r="T23" s="105">
        <f t="shared" si="13"/>
        <v>-0.37870814402420122</v>
      </c>
      <c r="U23" s="105">
        <f t="shared" si="13"/>
        <v>-0.37790752388804311</v>
      </c>
      <c r="V23" s="338">
        <f t="shared" si="13"/>
        <v>-0.37703024526901502</v>
      </c>
      <c r="W23" s="32"/>
      <c r="X23" s="32"/>
      <c r="Y23" s="32"/>
      <c r="Z23" s="32"/>
      <c r="AA23" s="32"/>
      <c r="AB23" s="32"/>
    </row>
    <row r="24" spans="1:28" ht="30" customHeight="1" x14ac:dyDescent="0.3">
      <c r="B24" s="32"/>
      <c r="C24" s="32"/>
      <c r="D24" s="32"/>
      <c r="E24" s="98" t="s">
        <v>328</v>
      </c>
      <c r="F24" s="283">
        <f>SUM(F21:F22)</f>
        <v>285616</v>
      </c>
      <c r="G24" s="283">
        <f t="shared" ref="G24:V24" si="14">SUM(G21:G22)</f>
        <v>788094</v>
      </c>
      <c r="H24" s="283">
        <f t="shared" si="14"/>
        <v>1197914</v>
      </c>
      <c r="I24" s="283">
        <f t="shared" si="14"/>
        <v>1435413</v>
      </c>
      <c r="J24" s="283">
        <f t="shared" si="14"/>
        <v>206772.28219999981</v>
      </c>
      <c r="K24" s="283">
        <f t="shared" si="14"/>
        <v>206772.28219999981</v>
      </c>
      <c r="L24" s="117">
        <f t="shared" si="14"/>
        <v>1047468.1561148532</v>
      </c>
      <c r="M24" s="117">
        <f t="shared" si="14"/>
        <v>1254240.4383148546</v>
      </c>
      <c r="N24" s="117">
        <f t="shared" si="14"/>
        <v>1554407.294863228</v>
      </c>
      <c r="O24" s="117">
        <f t="shared" si="14"/>
        <v>1744409.2928422554</v>
      </c>
      <c r="P24" s="117">
        <f t="shared" si="14"/>
        <v>1934230.3599002743</v>
      </c>
      <c r="Q24" s="117">
        <f t="shared" si="14"/>
        <v>2120457.884433263</v>
      </c>
      <c r="R24" s="117">
        <f t="shared" si="14"/>
        <v>2303602.1187076643</v>
      </c>
      <c r="S24" s="117">
        <f t="shared" si="14"/>
        <v>2482847.2278066236</v>
      </c>
      <c r="T24" s="117">
        <f t="shared" si="14"/>
        <v>2662490.2927246015</v>
      </c>
      <c r="U24" s="117">
        <f t="shared" si="14"/>
        <v>2841305.0926875677</v>
      </c>
      <c r="V24" s="284">
        <f t="shared" si="14"/>
        <v>3019407.0859895684</v>
      </c>
      <c r="W24" s="32"/>
      <c r="X24" s="32"/>
      <c r="Y24" s="32"/>
      <c r="Z24" s="32"/>
      <c r="AA24" s="32"/>
      <c r="AB24" s="32"/>
    </row>
    <row r="25" spans="1:28" ht="30" customHeight="1" x14ac:dyDescent="0.3">
      <c r="B25" s="32"/>
      <c r="C25" s="32"/>
      <c r="D25" s="32"/>
      <c r="E25" s="107" t="s">
        <v>297</v>
      </c>
      <c r="F25" s="91">
        <f>'DRE - Cosif'!F77</f>
        <v>-20048</v>
      </c>
      <c r="G25" s="91">
        <f>'DRE - Cosif'!G77</f>
        <v>-50255</v>
      </c>
      <c r="H25" s="91">
        <f>'DRE - Cosif'!H77</f>
        <v>-75600</v>
      </c>
      <c r="I25" s="91">
        <f>'DRE - Cosif'!I77</f>
        <v>-90262</v>
      </c>
      <c r="J25" s="91">
        <f>'DRE - Cosif'!J77</f>
        <v>0</v>
      </c>
      <c r="K25" s="91">
        <f>'DRE - Cosif'!K77</f>
        <v>0</v>
      </c>
      <c r="L25" s="119">
        <f>'DRE - Cosif'!L77</f>
        <v>-104006.84272333766</v>
      </c>
      <c r="M25" s="119">
        <f>'DRE - Cosif'!M77</f>
        <v>-104006.84272333766</v>
      </c>
      <c r="N25" s="119">
        <f>'DRE - Cosif'!N77</f>
        <v>-134391.43199755953</v>
      </c>
      <c r="O25" s="119">
        <f>'DRE - Cosif'!O77</f>
        <v>-148360.27194226172</v>
      </c>
      <c r="P25" s="119">
        <f>'DRE - Cosif'!P77</f>
        <v>-161919.93531982898</v>
      </c>
      <c r="Q25" s="119">
        <f>'DRE - Cosif'!Q77</f>
        <v>-174621.9728727742</v>
      </c>
      <c r="R25" s="119">
        <f>'DRE - Cosif'!R77</f>
        <v>-186547.18097840765</v>
      </c>
      <c r="S25" s="119">
        <f>'DRE - Cosif'!S77</f>
        <v>-197633.35547186318</v>
      </c>
      <c r="T25" s="119">
        <f>'DRE - Cosif'!T77</f>
        <v>-208261.4029872102</v>
      </c>
      <c r="U25" s="119">
        <f>'DRE - Cosif'!U77</f>
        <v>-218306.18722565865</v>
      </c>
      <c r="V25" s="137">
        <f>'DRE - Cosif'!V77</f>
        <v>-227783.73194768268</v>
      </c>
      <c r="W25" s="32"/>
      <c r="X25" s="32"/>
      <c r="Y25" s="32"/>
      <c r="Z25" s="32"/>
      <c r="AA25" s="32"/>
      <c r="AB25" s="32"/>
    </row>
    <row r="26" spans="1:28" ht="30" customHeight="1" x14ac:dyDescent="0.3">
      <c r="B26" s="32"/>
      <c r="C26" s="32"/>
      <c r="D26" s="32"/>
      <c r="E26" s="98" t="s">
        <v>329</v>
      </c>
      <c r="F26" s="283">
        <f>SUM(F24:F25)</f>
        <v>265568</v>
      </c>
      <c r="G26" s="283">
        <f t="shared" ref="G26:H26" si="15">SUM(G24:G25)</f>
        <v>737839</v>
      </c>
      <c r="H26" s="283">
        <f t="shared" si="15"/>
        <v>1122314</v>
      </c>
      <c r="I26" s="283">
        <f>SUM(I24:I25)</f>
        <v>1345151</v>
      </c>
      <c r="J26" s="283">
        <f t="shared" ref="J26:L26" si="16">SUM(J24:J25)</f>
        <v>206772.28219999981</v>
      </c>
      <c r="K26" s="283">
        <f t="shared" si="16"/>
        <v>206772.28219999981</v>
      </c>
      <c r="L26" s="117">
        <f t="shared" si="16"/>
        <v>943461.31339151552</v>
      </c>
      <c r="M26" s="117">
        <f t="shared" ref="M26:V26" si="17">SUM(M24:M25)</f>
        <v>1150233.5955915169</v>
      </c>
      <c r="N26" s="117">
        <f t="shared" si="17"/>
        <v>1420015.8628656685</v>
      </c>
      <c r="O26" s="117">
        <f t="shared" si="17"/>
        <v>1596049.0208999938</v>
      </c>
      <c r="P26" s="117">
        <f t="shared" si="17"/>
        <v>1772310.4245804453</v>
      </c>
      <c r="Q26" s="117">
        <f t="shared" si="17"/>
        <v>1945835.9115604889</v>
      </c>
      <c r="R26" s="117">
        <f t="shared" si="17"/>
        <v>2117054.9377292567</v>
      </c>
      <c r="S26" s="117">
        <f t="shared" si="17"/>
        <v>2285213.8723347606</v>
      </c>
      <c r="T26" s="117">
        <f t="shared" si="17"/>
        <v>2454228.8897373914</v>
      </c>
      <c r="U26" s="117">
        <f t="shared" si="17"/>
        <v>2622998.9054619092</v>
      </c>
      <c r="V26" s="284">
        <f t="shared" si="17"/>
        <v>2791623.3540418856</v>
      </c>
      <c r="W26" s="32"/>
      <c r="X26" s="32"/>
      <c r="Y26" s="32"/>
      <c r="Z26" s="32"/>
      <c r="AA26" s="32"/>
      <c r="AB26" s="32"/>
    </row>
    <row r="27" spans="1:28" ht="30" customHeight="1" thickBot="1" x14ac:dyDescent="0.35">
      <c r="B27" s="32"/>
      <c r="C27" s="32"/>
      <c r="D27" s="32"/>
      <c r="E27" s="278" t="s">
        <v>298</v>
      </c>
      <c r="F27" s="302" t="s">
        <v>21</v>
      </c>
      <c r="G27" s="302">
        <f>G26/F26-1</f>
        <v>1.7783430232558142</v>
      </c>
      <c r="H27" s="302">
        <f t="shared" ref="H27:I27" si="18">H26/G26-1</f>
        <v>0.52108251258065774</v>
      </c>
      <c r="I27" s="302">
        <f t="shared" si="18"/>
        <v>0.1985513857975576</v>
      </c>
      <c r="J27" s="302"/>
      <c r="K27" s="302"/>
      <c r="L27" s="303"/>
      <c r="M27" s="303">
        <f t="shared" ref="M27" si="19">M26/I26-1</f>
        <v>-0.14490373527468892</v>
      </c>
      <c r="N27" s="303">
        <f>N26/M26-1</f>
        <v>0.23454563343319301</v>
      </c>
      <c r="O27" s="303">
        <f t="shared" ref="O27" si="20">O26/N26-1</f>
        <v>0.12396562787621335</v>
      </c>
      <c r="P27" s="303">
        <f t="shared" ref="P27" si="21">P26/O26-1</f>
        <v>0.11043608396254623</v>
      </c>
      <c r="Q27" s="303">
        <f t="shared" ref="Q27" si="22">Q26/P26-1</f>
        <v>9.7909195010869476E-2</v>
      </c>
      <c r="R27" s="303">
        <f t="shared" ref="R27" si="23">R26/Q26-1</f>
        <v>8.7992530691581416E-2</v>
      </c>
      <c r="S27" s="303">
        <f t="shared" ref="S27" si="24">S26/R26-1</f>
        <v>7.943059559232335E-2</v>
      </c>
      <c r="T27" s="303">
        <f t="shared" ref="T27" si="25">T26/S26-1</f>
        <v>7.396026229700392E-2</v>
      </c>
      <c r="U27" s="303">
        <f t="shared" ref="U27" si="26">U26/T26-1</f>
        <v>6.8767023495749369E-2</v>
      </c>
      <c r="V27" s="339">
        <f t="shared" ref="V27" si="27">V26/U26-1</f>
        <v>6.4286892468329748E-2</v>
      </c>
      <c r="W27" s="32"/>
      <c r="X27" s="32"/>
      <c r="Y27" s="32"/>
      <c r="Z27" s="32"/>
      <c r="AA27" s="32"/>
      <c r="AB27" s="32"/>
    </row>
    <row r="28" spans="1:28" ht="30" customHeight="1" x14ac:dyDescent="0.3">
      <c r="B28" s="32"/>
      <c r="C28" s="32"/>
      <c r="D28" s="32"/>
      <c r="E28" s="132" t="s">
        <v>299</v>
      </c>
      <c r="F28" s="289"/>
      <c r="G28" s="289"/>
      <c r="H28" s="289"/>
      <c r="I28" s="32"/>
      <c r="J28" s="32"/>
      <c r="K28" s="32"/>
      <c r="L28" s="32"/>
      <c r="M28" s="32"/>
      <c r="N28" s="32"/>
      <c r="O28" s="32"/>
      <c r="P28" s="32"/>
      <c r="Q28" s="32"/>
      <c r="R28" s="32"/>
      <c r="S28" s="32"/>
      <c r="T28" s="32"/>
      <c r="U28" s="32"/>
      <c r="V28" s="32"/>
      <c r="W28" s="32"/>
      <c r="X28" s="32"/>
      <c r="Y28" s="32"/>
      <c r="Z28" s="32"/>
      <c r="AA28" s="32"/>
      <c r="AB28" s="32"/>
    </row>
    <row r="29" spans="1:28" ht="30" customHeight="1" x14ac:dyDescent="0.3">
      <c r="B29" s="32"/>
      <c r="C29" s="32"/>
      <c r="D29" s="32"/>
      <c r="E29" s="132"/>
      <c r="F29" s="289"/>
      <c r="G29" s="289"/>
      <c r="H29" s="289"/>
      <c r="I29" s="32"/>
      <c r="J29" s="32"/>
      <c r="K29" s="32"/>
      <c r="L29" s="32"/>
      <c r="M29" s="32"/>
      <c r="N29" s="32"/>
      <c r="O29" s="32"/>
      <c r="P29" s="32"/>
      <c r="Q29" s="32"/>
      <c r="R29" s="32"/>
      <c r="S29" s="32"/>
      <c r="T29" s="32"/>
      <c r="U29" s="32"/>
      <c r="V29" s="32"/>
      <c r="W29" s="32"/>
      <c r="X29" s="32"/>
      <c r="Y29" s="32"/>
      <c r="Z29" s="32"/>
      <c r="AA29" s="32"/>
      <c r="AB29" s="32"/>
    </row>
    <row r="30" spans="1:28" ht="30" customHeight="1" x14ac:dyDescent="0.3">
      <c r="B30" s="32"/>
      <c r="C30" s="32"/>
      <c r="D30" s="32"/>
      <c r="E30" s="73"/>
      <c r="F30" s="163">
        <f t="shared" ref="F30:V30" si="28">F9</f>
        <v>2020</v>
      </c>
      <c r="G30" s="163">
        <f t="shared" si="28"/>
        <v>2021</v>
      </c>
      <c r="H30" s="163">
        <f t="shared" si="28"/>
        <v>2022</v>
      </c>
      <c r="I30" s="163">
        <f>I$9</f>
        <v>2023</v>
      </c>
      <c r="J30" s="163" t="str">
        <f t="shared" ref="J30:L30" si="29">J$9</f>
        <v>1T24</v>
      </c>
      <c r="K30" s="163" t="str">
        <f t="shared" si="29"/>
        <v>YTD24</v>
      </c>
      <c r="L30" s="75" t="str">
        <f t="shared" si="29"/>
        <v>YTG24</v>
      </c>
      <c r="M30" s="281">
        <f t="shared" si="28"/>
        <v>2024</v>
      </c>
      <c r="N30" s="281">
        <f t="shared" si="28"/>
        <v>2025</v>
      </c>
      <c r="O30" s="281">
        <f t="shared" si="28"/>
        <v>2026</v>
      </c>
      <c r="P30" s="281">
        <f t="shared" si="28"/>
        <v>2027</v>
      </c>
      <c r="Q30" s="281">
        <f t="shared" si="28"/>
        <v>2028</v>
      </c>
      <c r="R30" s="281">
        <f t="shared" si="28"/>
        <v>2029</v>
      </c>
      <c r="S30" s="281">
        <f t="shared" si="28"/>
        <v>2030</v>
      </c>
      <c r="T30" s="281">
        <f t="shared" si="28"/>
        <v>2031</v>
      </c>
      <c r="U30" s="281">
        <f t="shared" si="28"/>
        <v>2032</v>
      </c>
      <c r="V30" s="282">
        <f t="shared" si="28"/>
        <v>2033</v>
      </c>
      <c r="W30" s="281" t="s">
        <v>300</v>
      </c>
      <c r="X30" s="281" t="s">
        <v>301</v>
      </c>
      <c r="Y30" s="282" t="s">
        <v>30</v>
      </c>
      <c r="Z30" s="32"/>
      <c r="AA30" s="32"/>
      <c r="AB30" s="32"/>
    </row>
    <row r="31" spans="1:28" ht="30" customHeight="1" thickBot="1" x14ac:dyDescent="0.35">
      <c r="B31" s="32"/>
      <c r="C31" s="32"/>
      <c r="D31" s="32"/>
      <c r="E31" s="98" t="s">
        <v>302</v>
      </c>
      <c r="F31" s="99">
        <f t="shared" ref="F31:V31" si="30">F26</f>
        <v>265568</v>
      </c>
      <c r="G31" s="99">
        <f t="shared" si="30"/>
        <v>737839</v>
      </c>
      <c r="H31" s="99">
        <f t="shared" si="30"/>
        <v>1122314</v>
      </c>
      <c r="I31" s="99">
        <f t="shared" si="30"/>
        <v>1345151</v>
      </c>
      <c r="J31" s="99">
        <f t="shared" ref="J31:L31" si="31">J26</f>
        <v>206772.28219999981</v>
      </c>
      <c r="K31" s="99">
        <f t="shared" si="31"/>
        <v>206772.28219999981</v>
      </c>
      <c r="L31" s="117">
        <f t="shared" si="31"/>
        <v>943461.31339151552</v>
      </c>
      <c r="M31" s="117">
        <f>M26</f>
        <v>1150233.5955915169</v>
      </c>
      <c r="N31" s="117">
        <f t="shared" si="30"/>
        <v>1420015.8628656685</v>
      </c>
      <c r="O31" s="117">
        <f t="shared" si="30"/>
        <v>1596049.0208999938</v>
      </c>
      <c r="P31" s="117">
        <f t="shared" si="30"/>
        <v>1772310.4245804453</v>
      </c>
      <c r="Q31" s="117">
        <f t="shared" si="30"/>
        <v>1945835.9115604889</v>
      </c>
      <c r="R31" s="117">
        <f t="shared" si="30"/>
        <v>2117054.9377292567</v>
      </c>
      <c r="S31" s="117">
        <f t="shared" si="30"/>
        <v>2285213.8723347606</v>
      </c>
      <c r="T31" s="117">
        <f t="shared" si="30"/>
        <v>2454228.8897373914</v>
      </c>
      <c r="U31" s="117">
        <f t="shared" si="30"/>
        <v>2622998.9054619092</v>
      </c>
      <c r="V31" s="117">
        <f t="shared" si="30"/>
        <v>2791623.3540418856</v>
      </c>
      <c r="W31" s="290">
        <f>V31+'DRE - Cosif'!V229+'DRE - Cosif'!V230</f>
        <v>2791623.3540418856</v>
      </c>
      <c r="X31" s="291">
        <f>Ke!O16</f>
        <v>0.154966415</v>
      </c>
      <c r="Y31" s="292">
        <f>'Projeções - NIM'!K198</f>
        <v>7.3550000000000004E-2</v>
      </c>
      <c r="Z31" s="32"/>
      <c r="AA31" s="32"/>
      <c r="AB31" s="32"/>
    </row>
    <row r="32" spans="1:28" ht="30" customHeight="1" x14ac:dyDescent="0.3">
      <c r="B32" s="32"/>
      <c r="C32" s="32"/>
      <c r="D32" s="32"/>
      <c r="E32" s="98" t="s">
        <v>303</v>
      </c>
      <c r="F32" s="99" t="s">
        <v>21</v>
      </c>
      <c r="G32" s="99">
        <f>'Balanço Patrimonial - Contábil'!F61-'Balanço Patrimonial - Contábil'!G61</f>
        <v>50715</v>
      </c>
      <c r="H32" s="99">
        <f>'Balanço Patrimonial - Contábil'!G61-'Balanço Patrimonial - Contábil'!H61</f>
        <v>49752</v>
      </c>
      <c r="I32" s="99">
        <f>'Balanço Patrimonial - Contábil'!H61-'Balanço Patrimonial - Contábil'!I61</f>
        <v>43830</v>
      </c>
      <c r="J32" s="99">
        <f>'Balanço Patrimonial - Contábil'!I61-'Balanço Patrimonial - Contábil'!J61</f>
        <v>10263.743729999987</v>
      </c>
      <c r="K32" s="99">
        <f>J32</f>
        <v>10263.743729999987</v>
      </c>
      <c r="L32" s="117">
        <f>'Balanço Patrimonial - Contábil'!K61-'Balanço Patrimonial - Contábil'!L61</f>
        <v>113280.77519511117</v>
      </c>
      <c r="M32" s="117">
        <f>'Balanço Patrimonial - Contábil'!I61-'Balanço Patrimonial - Contábil'!M61</f>
        <v>123544.51892511116</v>
      </c>
      <c r="N32" s="117">
        <f>'Balanço Patrimonial - Contábil'!M61-'Balanço Patrimonial - Contábil'!N61</f>
        <v>80415.384026381071</v>
      </c>
      <c r="O32" s="117">
        <f>'Balanço Patrimonial - Contábil'!N61-'Balanço Patrimonial - Contábil'!O61</f>
        <v>71073.56866449595</v>
      </c>
      <c r="P32" s="117">
        <f>'Balanço Patrimonial - Contábil'!O61-'Balanço Patrimonial - Contábil'!P61</f>
        <v>73068.734996779356</v>
      </c>
      <c r="Q32" s="117">
        <f>'Balanço Patrimonial - Contábil'!P61-'Balanço Patrimonial - Contábil'!Q61</f>
        <v>73834.335043139989</v>
      </c>
      <c r="R32" s="117">
        <f>'Balanço Patrimonial - Contábil'!Q61-'Balanço Patrimonial - Contábil'!R61</f>
        <v>74799.216342663742</v>
      </c>
      <c r="S32" s="117">
        <f>'Balanço Patrimonial - Contábil'!R61-'Balanço Patrimonial - Contábil'!S61</f>
        <v>75722.313493688358</v>
      </c>
      <c r="T32" s="117">
        <f>'Balanço Patrimonial - Contábil'!S61-'Balanço Patrimonial - Contábil'!T61</f>
        <v>77798.700036663096</v>
      </c>
      <c r="U32" s="117">
        <f>'Balanço Patrimonial - Contábil'!T61-'Balanço Patrimonial - Contábil'!U61</f>
        <v>79366.02604989009</v>
      </c>
      <c r="V32" s="117">
        <f>'Balanço Patrimonial - Contábil'!U61-'Balanço Patrimonial - Contábil'!V61</f>
        <v>81081.931703745853</v>
      </c>
      <c r="W32" s="293">
        <f>V32</f>
        <v>81081.931703745853</v>
      </c>
      <c r="X32" s="32"/>
      <c r="Y32" s="32"/>
      <c r="Z32" s="32"/>
      <c r="AA32" s="32"/>
      <c r="AB32" s="32"/>
    </row>
    <row r="33" spans="1:28" ht="30" customHeight="1" x14ac:dyDescent="0.3">
      <c r="B33" s="32"/>
      <c r="C33" s="32"/>
      <c r="D33" s="32"/>
      <c r="E33" s="115" t="s">
        <v>304</v>
      </c>
      <c r="F33" s="104" t="s">
        <v>21</v>
      </c>
      <c r="G33" s="104">
        <f>G32/'Balanço Patrimonial - Contábil'!G56</f>
        <v>0.22697774754292058</v>
      </c>
      <c r="H33" s="104">
        <f>H32/'Balanço Patrimonial - Contábil'!H56</f>
        <v>0.23353141634043992</v>
      </c>
      <c r="I33" s="104">
        <f>I32/'Balanço Patrimonial - Contábil'!I56</f>
        <v>0.21293858157544429</v>
      </c>
      <c r="J33" s="104">
        <f>J32/'Balanço Patrimonial - Contábil'!J56</f>
        <v>5.0672582184422436E-2</v>
      </c>
      <c r="K33" s="104">
        <f>K32/'Balanço Patrimonial - Contábil'!K56</f>
        <v>5.0672582184422436E-2</v>
      </c>
      <c r="L33" s="105">
        <f>L32/'Balanço Patrimonial - Contábil'!L56</f>
        <v>0.46604693864185637</v>
      </c>
      <c r="M33" s="105">
        <f>M32/'Balanço Patrimonial - Contábil'!M56</f>
        <v>0.50827287094265761</v>
      </c>
      <c r="N33" s="105">
        <f>N32/'Balanço Patrimonial - Contábil'!N56</f>
        <v>0.29583030612355699</v>
      </c>
      <c r="O33" s="105">
        <f>O32/'Balanço Patrimonial - Contábil'!O56</f>
        <v>0.23910345956195006</v>
      </c>
      <c r="P33" s="105">
        <f>P32/'Balanço Patrimonial - Contábil'!P56</f>
        <v>0.225949865514908</v>
      </c>
      <c r="Q33" s="105">
        <f>Q32/'Balanço Patrimonial - Contábil'!Q56</f>
        <v>0.21108007727463995</v>
      </c>
      <c r="R33" s="105">
        <f>R32/'Balanço Patrimonial - Contábil'!R56</f>
        <v>0.19864541672282979</v>
      </c>
      <c r="S33" s="105">
        <f>S32/'Balanço Patrimonial - Contábil'!S56</f>
        <v>0.18760330524837329</v>
      </c>
      <c r="T33" s="105">
        <f>T32/'Balanço Patrimonial - Contábil'!T56</f>
        <v>0.18031657809926771</v>
      </c>
      <c r="U33" s="105">
        <f>U32/'Balanço Patrimonial - Contábil'!U56</f>
        <v>0.17259375790580153</v>
      </c>
      <c r="V33" s="105">
        <f>V32/'Balanço Patrimonial - Contábil'!V56</f>
        <v>0.16586480631193151</v>
      </c>
      <c r="W33" s="294"/>
      <c r="X33" s="295"/>
      <c r="Y33" s="295"/>
      <c r="Z33" s="32"/>
      <c r="AA33" s="32"/>
      <c r="AB33" s="32"/>
    </row>
    <row r="34" spans="1:28" ht="30" customHeight="1" x14ac:dyDescent="0.3">
      <c r="B34" s="32"/>
      <c r="C34" s="32"/>
      <c r="D34" s="32"/>
      <c r="E34" s="98" t="s">
        <v>305</v>
      </c>
      <c r="F34" s="296"/>
      <c r="G34" s="99"/>
      <c r="H34" s="99"/>
      <c r="I34" s="99"/>
      <c r="J34" s="99"/>
      <c r="K34" s="99"/>
      <c r="L34" s="117">
        <f>SUM('Balanço Patrimonial - Contábil'!K57,'Balanço Patrimonial - Contábil'!K59)-SUM('Balanço Patrimonial - Contábil'!L57,'Balanço Patrimonial - Contábil'!L59)</f>
        <v>-155402.75976323604</v>
      </c>
      <c r="M34" s="117"/>
      <c r="N34" s="117">
        <f>SUM('Balanço Patrimonial - Contábil'!M57,'Balanço Patrimonial - Contábil'!M59)-SUM('Balanço Patrimonial - Contábil'!N57,'Balanço Patrimonial - Contábil'!N59)</f>
        <v>-110316.79985942913</v>
      </c>
      <c r="O34" s="117">
        <f>SUM('Balanço Patrimonial - Contábil'!N57,'Balanço Patrimonial - Contábil'!N59)-SUM('Balanço Patrimonial - Contábil'!O57,'Balanço Patrimonial - Contábil'!O59)</f>
        <v>-97501.351819502655</v>
      </c>
      <c r="P34" s="117">
        <f>SUM('Balanço Patrimonial - Contábil'!O57,'Balanço Patrimonial - Contábil'!O59)-SUM('Balanço Patrimonial - Contábil'!P57,'Balanço Patrimonial - Contábil'!P59)</f>
        <v>-100238.39483222459</v>
      </c>
      <c r="Q34" s="117">
        <f>SUM('Balanço Patrimonial - Contábil'!P57,'Balanço Patrimonial - Contábil'!P59)-SUM('Balanço Patrimonial - Contábil'!Q57,'Balanço Patrimonial - Contábil'!Q59)</f>
        <v>-101288.67330952501</v>
      </c>
      <c r="R34" s="117">
        <f>SUM('Balanço Patrimonial - Contábil'!Q57,'Balanço Patrimonial - Contábil'!Q59)-SUM('Balanço Patrimonial - Contábil'!R57,'Balanço Patrimonial - Contábil'!R59)</f>
        <v>-102612.33318501292</v>
      </c>
      <c r="S34" s="117">
        <f>SUM('Balanço Patrimonial - Contábil'!R57,'Balanço Patrimonial - Contábil'!R59)-SUM('Balanço Patrimonial - Contábil'!S57,'Balanço Patrimonial - Contábil'!S59)</f>
        <v>-103878.67201922135</v>
      </c>
      <c r="T34" s="117">
        <f>SUM('Balanço Patrimonial - Contábil'!S57,'Balanço Patrimonial - Contábil'!S59)-SUM('Balanço Patrimonial - Contábil'!T57,'Balanço Patrimonial - Contábil'!T59)</f>
        <v>-106727.13592280727</v>
      </c>
      <c r="U34" s="117">
        <f>SUM('Balanço Patrimonial - Contábil'!T57,'Balanço Patrimonial - Contábil'!T59)-SUM('Balanço Patrimonial - Contábil'!U57,'Balanço Patrimonial - Contábil'!U59)</f>
        <v>-108877.25175212324</v>
      </c>
      <c r="V34" s="117">
        <f>SUM('Balanço Patrimonial - Contábil'!U57,'Balanço Patrimonial - Contábil'!U59)-SUM('Balanço Patrimonial - Contábil'!V57,'Balanço Patrimonial - Contábil'!V59)</f>
        <v>-111231.1946311621</v>
      </c>
      <c r="W34" s="297">
        <f>-W32*(V33+((1+Y31)/(1+Ke!O12)-1))/V33</f>
        <v>-90858.801614444121</v>
      </c>
      <c r="X34" s="32"/>
      <c r="Y34" s="32"/>
      <c r="Z34" s="32"/>
      <c r="AA34" s="32"/>
      <c r="AB34" s="32"/>
    </row>
    <row r="35" spans="1:28" ht="30" customHeight="1" x14ac:dyDescent="0.3">
      <c r="B35" s="32"/>
      <c r="C35" s="32"/>
      <c r="D35" s="32"/>
      <c r="E35" s="98" t="s">
        <v>306</v>
      </c>
      <c r="F35" s="296"/>
      <c r="G35" s="296"/>
      <c r="H35" s="296"/>
      <c r="I35" s="296"/>
      <c r="J35" s="296"/>
      <c r="K35" s="296"/>
      <c r="L35" s="117">
        <f>-L56+K56</f>
        <v>-510245.89601460751</v>
      </c>
      <c r="M35" s="117"/>
      <c r="N35" s="117">
        <f>-N56+M56</f>
        <v>-949259.07527444419</v>
      </c>
      <c r="O35" s="117">
        <f>-O56+N56</f>
        <v>-895485.30788276903</v>
      </c>
      <c r="P35" s="117">
        <f t="shared" ref="P35:V35" si="32">-P56+O56</f>
        <v>-952795.5080994498</v>
      </c>
      <c r="Q35" s="117">
        <f t="shared" si="32"/>
        <v>-999352.16578781419</v>
      </c>
      <c r="R35" s="117">
        <f t="shared" si="32"/>
        <v>-1049428.9455585089</v>
      </c>
      <c r="S35" s="117">
        <f t="shared" si="32"/>
        <v>-1100583.7956351396</v>
      </c>
      <c r="T35" s="117">
        <f t="shared" si="32"/>
        <v>-1166316.6029051952</v>
      </c>
      <c r="U35" s="117">
        <f t="shared" si="32"/>
        <v>-1228615.7199515309</v>
      </c>
      <c r="V35" s="117">
        <f t="shared" si="32"/>
        <v>-1294780.0135879833</v>
      </c>
      <c r="W35" s="298">
        <f>-Y31*V56</f>
        <v>-1188924.4255577971</v>
      </c>
      <c r="X35" s="32"/>
      <c r="Y35" s="32"/>
      <c r="Z35" s="32"/>
      <c r="AA35" s="32"/>
      <c r="AB35" s="32"/>
    </row>
    <row r="36" spans="1:28" ht="30" customHeight="1" x14ac:dyDescent="0.3">
      <c r="B36" s="32"/>
      <c r="C36" s="32"/>
      <c r="D36" s="32"/>
      <c r="E36" s="98" t="s">
        <v>307</v>
      </c>
      <c r="F36" s="99"/>
      <c r="G36" s="99"/>
      <c r="H36" s="99"/>
      <c r="I36" s="99"/>
      <c r="J36" s="99"/>
      <c r="K36" s="99"/>
      <c r="L36" s="117">
        <f>SUM(L31:L32,L34:L35)</f>
        <v>391093.43280878302</v>
      </c>
      <c r="M36" s="117"/>
      <c r="N36" s="117">
        <f t="shared" ref="N36:U36" si="33">SUM(N31:N32,N34:N35)</f>
        <v>440855.37175817601</v>
      </c>
      <c r="O36" s="117">
        <f t="shared" si="33"/>
        <v>674135.92986221798</v>
      </c>
      <c r="P36" s="117">
        <f t="shared" si="33"/>
        <v>792345.25664555025</v>
      </c>
      <c r="Q36" s="117">
        <f t="shared" si="33"/>
        <v>919029.40750628966</v>
      </c>
      <c r="R36" s="117">
        <f t="shared" si="33"/>
        <v>1039812.8753283988</v>
      </c>
      <c r="S36" s="117">
        <f t="shared" si="33"/>
        <v>1156473.7181740883</v>
      </c>
      <c r="T36" s="117">
        <f t="shared" si="33"/>
        <v>1258983.850946052</v>
      </c>
      <c r="U36" s="117">
        <f t="shared" si="33"/>
        <v>1364871.9598081452</v>
      </c>
      <c r="V36" s="117">
        <f>SUM(V31:V32,V34:V35)</f>
        <v>1466694.077526486</v>
      </c>
      <c r="W36" s="298">
        <f>AVERAGE(SUM(W31:W32,W34:W35)*(1+Y31)/(Ke!O16-'DRE + DCF'!Y31),W31*(1+Y31)*(1-Y31/W39)/(Ke!O16-Y31))</f>
        <v>20171735.117605805</v>
      </c>
      <c r="X36" s="32"/>
      <c r="Y36" s="32"/>
      <c r="Z36" s="32"/>
      <c r="AA36" s="32"/>
      <c r="AB36" s="32"/>
    </row>
    <row r="37" spans="1:28" ht="30" customHeight="1" x14ac:dyDescent="0.3">
      <c r="B37" s="32"/>
      <c r="C37" s="32"/>
      <c r="D37" s="32"/>
      <c r="E37" s="123" t="s">
        <v>308</v>
      </c>
      <c r="F37" s="139"/>
      <c r="G37" s="139"/>
      <c r="H37" s="139"/>
      <c r="I37" s="139"/>
      <c r="J37" s="139"/>
      <c r="K37" s="139"/>
      <c r="L37" s="299">
        <f>Ke!F17</f>
        <v>1.1210355242477776</v>
      </c>
      <c r="M37" s="299"/>
      <c r="N37" s="299">
        <f>Ke!G17</f>
        <v>1.3047073376304112</v>
      </c>
      <c r="O37" s="299">
        <f>Ke!H17</f>
        <v>1.5183220742962427</v>
      </c>
      <c r="P37" s="299">
        <f>Ke!I17</f>
        <v>1.7653519415976517</v>
      </c>
      <c r="Q37" s="299">
        <f>Ke!J17</f>
        <v>2.0488566100344978</v>
      </c>
      <c r="R37" s="299">
        <f>Ke!K17</f>
        <v>2.3733946140067634</v>
      </c>
      <c r="S37" s="299">
        <f>Ke!L17</f>
        <v>2.7448198632946021</v>
      </c>
      <c r="T37" s="299">
        <f>Ke!M17</f>
        <v>3.1706115624735616</v>
      </c>
      <c r="U37" s="299">
        <f>Ke!N17</f>
        <v>3.6605803208326155</v>
      </c>
      <c r="V37" s="299">
        <f>Ke!O17</f>
        <v>4.2278473299715964</v>
      </c>
      <c r="W37" s="300">
        <f>V37</f>
        <v>4.2278473299715964</v>
      </c>
      <c r="X37" s="32"/>
      <c r="Y37" s="32"/>
      <c r="Z37" s="32"/>
      <c r="AA37" s="32"/>
      <c r="AB37" s="32"/>
    </row>
    <row r="38" spans="1:28" ht="30" customHeight="1" x14ac:dyDescent="0.3">
      <c r="B38" s="32"/>
      <c r="C38" s="32"/>
      <c r="D38" s="32"/>
      <c r="E38" s="98" t="s">
        <v>309</v>
      </c>
      <c r="F38" s="99"/>
      <c r="G38" s="99"/>
      <c r="H38" s="99"/>
      <c r="I38" s="99"/>
      <c r="J38" s="99"/>
      <c r="K38" s="99"/>
      <c r="L38" s="117">
        <f>L36/L37</f>
        <v>348868.01029004797</v>
      </c>
      <c r="M38" s="117"/>
      <c r="N38" s="117">
        <f t="shared" ref="N38:S38" si="34">N36/N37</f>
        <v>337895.98559233255</v>
      </c>
      <c r="O38" s="117">
        <f t="shared" si="34"/>
        <v>444000.61177710706</v>
      </c>
      <c r="P38" s="117">
        <f t="shared" si="34"/>
        <v>448831.32817611092</v>
      </c>
      <c r="Q38" s="117">
        <f t="shared" si="34"/>
        <v>448557.21137596614</v>
      </c>
      <c r="R38" s="117">
        <f t="shared" si="34"/>
        <v>438112.09024907462</v>
      </c>
      <c r="S38" s="117">
        <f t="shared" si="34"/>
        <v>421329.55012427486</v>
      </c>
      <c r="T38" s="117">
        <f>T36/T37</f>
        <v>397079.18366507569</v>
      </c>
      <c r="U38" s="117">
        <f t="shared" ref="U38" si="35">U36/U37</f>
        <v>372856.7167453107</v>
      </c>
      <c r="V38" s="117">
        <f t="shared" ref="V38" si="36">V36/V37</f>
        <v>346912.73431965191</v>
      </c>
      <c r="W38" s="298">
        <f>W36/W37</f>
        <v>4771159.7754740408</v>
      </c>
      <c r="X38" s="32"/>
      <c r="Y38" s="32"/>
      <c r="Z38" s="32"/>
      <c r="AA38" s="32"/>
      <c r="AB38" s="32"/>
    </row>
    <row r="39" spans="1:28" ht="30" customHeight="1" thickBot="1" x14ac:dyDescent="0.35">
      <c r="B39" s="32"/>
      <c r="C39" s="32"/>
      <c r="D39" s="32"/>
      <c r="E39" s="301" t="s">
        <v>310</v>
      </c>
      <c r="F39" s="302">
        <f>F31/F52</f>
        <v>0.1098842807236189</v>
      </c>
      <c r="G39" s="302">
        <f t="shared" ref="G39:V39" si="37">G31/G52</f>
        <v>0.25054355706186143</v>
      </c>
      <c r="H39" s="302">
        <f t="shared" si="37"/>
        <v>0.23181696127963514</v>
      </c>
      <c r="I39" s="302">
        <f t="shared" si="37"/>
        <v>0.22863788758907591</v>
      </c>
      <c r="J39" s="302"/>
      <c r="K39" s="302"/>
      <c r="L39" s="303"/>
      <c r="M39" s="303">
        <f t="shared" si="37"/>
        <v>0.17499757786812345</v>
      </c>
      <c r="N39" s="303">
        <f>N31/N52</f>
        <v>0.1860542862371912</v>
      </c>
      <c r="O39" s="303">
        <f t="shared" si="37"/>
        <v>0.18504373429183085</v>
      </c>
      <c r="P39" s="303">
        <f t="shared" si="37"/>
        <v>0.18312232792352734</v>
      </c>
      <c r="Q39" s="303">
        <f t="shared" si="37"/>
        <v>0.18052221533328264</v>
      </c>
      <c r="R39" s="303">
        <f t="shared" si="37"/>
        <v>0.17744199463884097</v>
      </c>
      <c r="S39" s="303">
        <f t="shared" si="37"/>
        <v>0.17397326289392787</v>
      </c>
      <c r="T39" s="303">
        <f t="shared" si="37"/>
        <v>0.17033231165598883</v>
      </c>
      <c r="U39" s="303">
        <f t="shared" si="37"/>
        <v>0.16658225619462588</v>
      </c>
      <c r="V39" s="303">
        <f t="shared" si="37"/>
        <v>0.16275808702826275</v>
      </c>
      <c r="W39" s="304">
        <f>X31</f>
        <v>0.154966415</v>
      </c>
      <c r="X39" s="32"/>
      <c r="Y39" s="32"/>
      <c r="Z39" s="32"/>
      <c r="AA39" s="32"/>
      <c r="AB39" s="32"/>
    </row>
    <row r="40" spans="1:28" ht="30" customHeight="1" thickBot="1" x14ac:dyDescent="0.35">
      <c r="B40" s="32"/>
      <c r="C40" s="32"/>
      <c r="D40" s="32"/>
      <c r="E40" s="132"/>
      <c r="F40" s="289"/>
      <c r="G40" s="289"/>
      <c r="H40" s="289"/>
      <c r="I40" s="32"/>
      <c r="J40" s="32"/>
      <c r="K40" s="32"/>
      <c r="L40" s="32"/>
      <c r="M40" s="32"/>
      <c r="N40" s="32"/>
      <c r="O40" s="32"/>
      <c r="P40" s="32"/>
      <c r="Q40" s="32"/>
      <c r="R40" s="32"/>
      <c r="S40" s="32"/>
      <c r="T40" s="32"/>
      <c r="U40" s="32"/>
      <c r="V40" s="32"/>
      <c r="W40" s="195"/>
      <c r="X40" s="32"/>
      <c r="Y40" s="32"/>
      <c r="Z40" s="32"/>
      <c r="AA40" s="32"/>
      <c r="AB40" s="32"/>
    </row>
    <row r="41" spans="1:28" ht="30" customHeight="1" thickBot="1" x14ac:dyDescent="0.35">
      <c r="B41" s="32"/>
      <c r="C41" s="32"/>
      <c r="D41" s="32"/>
      <c r="E41" s="305"/>
      <c r="F41" s="306"/>
      <c r="G41" s="306"/>
      <c r="H41" s="306"/>
      <c r="I41" s="307"/>
      <c r="J41" s="307"/>
      <c r="K41" s="307"/>
      <c r="L41" s="307"/>
      <c r="M41" s="308"/>
      <c r="N41" s="308"/>
      <c r="O41" s="308"/>
      <c r="P41" s="308"/>
      <c r="Q41" s="308"/>
      <c r="R41" s="308"/>
      <c r="S41" s="308"/>
      <c r="T41" s="308"/>
      <c r="U41" s="308"/>
      <c r="V41" s="308"/>
      <c r="W41" s="32"/>
      <c r="X41" s="32"/>
      <c r="Y41" s="32"/>
      <c r="Z41" s="32"/>
      <c r="AA41" s="32"/>
      <c r="AB41" s="32"/>
    </row>
    <row r="42" spans="1:28" ht="30" customHeight="1" x14ac:dyDescent="0.3">
      <c r="B42" s="32"/>
      <c r="C42" s="32"/>
      <c r="D42" s="32"/>
      <c r="E42" s="309"/>
      <c r="F42" s="87">
        <v>2020</v>
      </c>
      <c r="G42" s="87">
        <v>2021</v>
      </c>
      <c r="H42" s="87">
        <v>2022</v>
      </c>
      <c r="I42" s="88">
        <v>2023</v>
      </c>
      <c r="J42" s="88" t="str">
        <f t="shared" ref="J42:L42" si="38">J$9</f>
        <v>1T24</v>
      </c>
      <c r="K42" s="88" t="str">
        <f t="shared" si="38"/>
        <v>YTD24</v>
      </c>
      <c r="L42" s="89" t="str">
        <f t="shared" si="38"/>
        <v>YTG24</v>
      </c>
      <c r="M42" s="135">
        <v>2024</v>
      </c>
      <c r="N42" s="135">
        <v>2025</v>
      </c>
      <c r="O42" s="135">
        <v>2026</v>
      </c>
      <c r="P42" s="135">
        <v>2027</v>
      </c>
      <c r="Q42" s="135">
        <v>2028</v>
      </c>
      <c r="R42" s="135">
        <v>2029</v>
      </c>
      <c r="S42" s="135">
        <v>2030</v>
      </c>
      <c r="T42" s="135">
        <v>2031</v>
      </c>
      <c r="U42" s="135">
        <v>2032</v>
      </c>
      <c r="V42" s="136">
        <v>2033</v>
      </c>
      <c r="W42" s="32"/>
      <c r="X42" s="32"/>
      <c r="Y42" s="32"/>
      <c r="Z42" s="32"/>
      <c r="AA42" s="32"/>
      <c r="AB42" s="32"/>
    </row>
    <row r="43" spans="1:28" ht="30" customHeight="1" x14ac:dyDescent="0.3">
      <c r="B43" s="32"/>
      <c r="C43" s="32"/>
      <c r="D43" s="32"/>
      <c r="E43" s="98" t="s">
        <v>311</v>
      </c>
      <c r="F43" s="296">
        <v>8.9579799999999992</v>
      </c>
      <c r="G43" s="296">
        <v>24.888833000000002</v>
      </c>
      <c r="H43" s="296">
        <v>29.959430000000001</v>
      </c>
      <c r="I43" s="310">
        <v>23.9956</v>
      </c>
      <c r="J43" s="310">
        <v>3.6885085361556089</v>
      </c>
      <c r="K43" s="310">
        <f>J43</f>
        <v>3.6885085361556089</v>
      </c>
      <c r="L43" s="311">
        <f>1000*L26/Dashboard!$F$11</f>
        <v>16.829997715620163</v>
      </c>
      <c r="M43" s="311">
        <f>K43+L43</f>
        <v>20.518506251775772</v>
      </c>
      <c r="N43" s="311">
        <f>1000*N26/Dashboard!$F$11</f>
        <v>25.331047907267077</v>
      </c>
      <c r="O43" s="311">
        <f>1000*O26/Dashboard!$F$11</f>
        <v>28.471227165853879</v>
      </c>
      <c r="P43" s="311">
        <f>1000*P26/Dashboard!$F$11</f>
        <v>31.615477999658843</v>
      </c>
      <c r="Q43" s="311">
        <f>1000*Q26/Dashboard!$F$11</f>
        <v>34.710924000489292</v>
      </c>
      <c r="R43" s="311">
        <f>1000*R26/Dashboard!$F$11</f>
        <v>37.765226045935499</v>
      </c>
      <c r="S43" s="311">
        <f>1000*S26/Dashboard!$F$11</f>
        <v>40.764940443442882</v>
      </c>
      <c r="T43" s="311">
        <f>1000*T26/Dashboard!$F$11</f>
        <v>43.779926131161659</v>
      </c>
      <c r="U43" s="311">
        <f>1000*U26/Dashboard!$F$11</f>
        <v>46.790541340065417</v>
      </c>
      <c r="V43" s="312">
        <f>1000*V26/Dashboard!$F$11</f>
        <v>49.798559839729137</v>
      </c>
      <c r="W43" s="32"/>
      <c r="X43" s="32"/>
      <c r="Y43" s="32"/>
      <c r="Z43" s="32"/>
      <c r="AA43" s="32"/>
      <c r="AB43" s="32"/>
    </row>
    <row r="44" spans="1:28" ht="30" customHeight="1" x14ac:dyDescent="0.3">
      <c r="B44" s="32"/>
      <c r="C44" s="32"/>
      <c r="D44" s="313"/>
      <c r="E44" s="314" t="s">
        <v>312</v>
      </c>
      <c r="F44" s="315">
        <f t="shared" ref="F44:I44" si="39">F46/F43</f>
        <v>0.28798456794947075</v>
      </c>
      <c r="G44" s="315">
        <f t="shared" si="39"/>
        <v>0.26629010689251681</v>
      </c>
      <c r="H44" s="315">
        <f t="shared" si="39"/>
        <v>0.17790191602443703</v>
      </c>
      <c r="I44" s="315">
        <f t="shared" si="39"/>
        <v>0.26613587491040025</v>
      </c>
      <c r="J44" s="315">
        <f t="shared" ref="J44:K44" si="40">J46/J43</f>
        <v>0</v>
      </c>
      <c r="K44" s="315">
        <f t="shared" si="40"/>
        <v>0</v>
      </c>
      <c r="L44" s="316">
        <f>L46/L43</f>
        <v>0.41453043941239792</v>
      </c>
      <c r="M44" s="316">
        <f t="shared" ref="M44" si="41">M46/M43</f>
        <v>0.34001238992540672</v>
      </c>
      <c r="N44" s="316">
        <f t="shared" ref="N44:V44" si="42">N46/N43</f>
        <v>0.31045806127017916</v>
      </c>
      <c r="O44" s="316">
        <f t="shared" si="42"/>
        <v>0.42237796022209917</v>
      </c>
      <c r="P44" s="316">
        <f t="shared" si="42"/>
        <v>0.44706911704427865</v>
      </c>
      <c r="Q44" s="316">
        <f t="shared" si="42"/>
        <v>0.47230570781750136</v>
      </c>
      <c r="R44" s="316">
        <f t="shared" si="42"/>
        <v>0.49116008129845568</v>
      </c>
      <c r="S44" s="316">
        <f t="shared" si="42"/>
        <v>0.50606804561033947</v>
      </c>
      <c r="T44" s="316">
        <f t="shared" si="42"/>
        <v>0.51298550685741717</v>
      </c>
      <c r="U44" s="316">
        <f t="shared" si="42"/>
        <v>0.52034789529116932</v>
      </c>
      <c r="V44" s="317">
        <f t="shared" si="42"/>
        <v>0.52539110457107874</v>
      </c>
      <c r="W44" s="32"/>
      <c r="X44" s="318"/>
      <c r="Y44" s="32"/>
      <c r="Z44" s="32"/>
      <c r="AA44" s="32"/>
      <c r="AB44" s="32"/>
    </row>
    <row r="45" spans="1:28" ht="30" customHeight="1" x14ac:dyDescent="0.3">
      <c r="B45" s="32"/>
      <c r="C45" s="32"/>
      <c r="D45" s="313"/>
      <c r="E45" s="314" t="s">
        <v>313</v>
      </c>
      <c r="F45" s="315">
        <f t="shared" ref="F45:I45" si="43">1-F44</f>
        <v>0.7120154320505292</v>
      </c>
      <c r="G45" s="315">
        <f t="shared" si="43"/>
        <v>0.73370989310748325</v>
      </c>
      <c r="H45" s="315">
        <f t="shared" si="43"/>
        <v>0.82209808397556294</v>
      </c>
      <c r="I45" s="315">
        <f t="shared" si="43"/>
        <v>0.73386412508959975</v>
      </c>
      <c r="J45" s="315">
        <f t="shared" ref="J45:K45" si="44">1-J44</f>
        <v>1</v>
      </c>
      <c r="K45" s="315">
        <f t="shared" si="44"/>
        <v>1</v>
      </c>
      <c r="L45" s="316">
        <f>1-L44</f>
        <v>0.58546956058760213</v>
      </c>
      <c r="M45" s="316">
        <f t="shared" ref="M45" si="45">1-M44</f>
        <v>0.65998761007459328</v>
      </c>
      <c r="N45" s="316">
        <f t="shared" ref="N45:V45" si="46">1-N44</f>
        <v>0.68954193872982084</v>
      </c>
      <c r="O45" s="316">
        <f t="shared" si="46"/>
        <v>0.57762203977790083</v>
      </c>
      <c r="P45" s="316">
        <f t="shared" si="46"/>
        <v>0.55293088295572135</v>
      </c>
      <c r="Q45" s="316">
        <f t="shared" si="46"/>
        <v>0.52769429218249864</v>
      </c>
      <c r="R45" s="316">
        <f t="shared" si="46"/>
        <v>0.50883991870154432</v>
      </c>
      <c r="S45" s="316">
        <f t="shared" si="46"/>
        <v>0.49393195438966053</v>
      </c>
      <c r="T45" s="316">
        <f t="shared" si="46"/>
        <v>0.48701449314258283</v>
      </c>
      <c r="U45" s="316">
        <f t="shared" si="46"/>
        <v>0.47965210470883068</v>
      </c>
      <c r="V45" s="317">
        <f t="shared" si="46"/>
        <v>0.47460889542892126</v>
      </c>
      <c r="W45" s="32"/>
      <c r="X45" s="32"/>
      <c r="Y45" s="32"/>
      <c r="Z45" s="32"/>
      <c r="AA45" s="32"/>
      <c r="AB45" s="32"/>
    </row>
    <row r="46" spans="1:28" ht="30" customHeight="1" x14ac:dyDescent="0.3">
      <c r="B46" s="32"/>
      <c r="C46" s="32"/>
      <c r="D46" s="32"/>
      <c r="E46" s="98" t="s">
        <v>314</v>
      </c>
      <c r="F46" s="310">
        <f>SUM(F47:F48)</f>
        <v>2.5797599999999998</v>
      </c>
      <c r="G46" s="310">
        <f t="shared" ref="G46:M46" si="47">SUM(G47:G48)</f>
        <v>6.62765</v>
      </c>
      <c r="H46" s="310">
        <f t="shared" si="47"/>
        <v>5.3298399999999999</v>
      </c>
      <c r="I46" s="310">
        <f t="shared" si="47"/>
        <v>6.3860900000000003</v>
      </c>
      <c r="J46" s="310">
        <f t="shared" si="47"/>
        <v>0</v>
      </c>
      <c r="K46" s="310">
        <f t="shared" si="47"/>
        <v>0</v>
      </c>
      <c r="L46" s="311">
        <f>1000*L36/Dashboard!$F$11</f>
        <v>6.9765463483656793</v>
      </c>
      <c r="M46" s="311">
        <f t="shared" si="47"/>
        <v>6.9765463483656793</v>
      </c>
      <c r="N46" s="311">
        <f>1000*N36/Dashboard!$F$11</f>
        <v>7.8642280232321653</v>
      </c>
      <c r="O46" s="311">
        <f>1000*O36/Dashboard!$F$11</f>
        <v>12.025618855333379</v>
      </c>
      <c r="P46" s="311">
        <f>1000*P36/Dashboard!$F$11</f>
        <v>14.134303834240296</v>
      </c>
      <c r="Q46" s="311">
        <f>1000*Q36/Dashboard!$F$11</f>
        <v>16.394167529050591</v>
      </c>
      <c r="R46" s="311">
        <f>1000*R36/Dashboard!$F$11</f>
        <v>18.548771494976236</v>
      </c>
      <c r="S46" s="311">
        <f>1000*S36/Dashboard!$F$11</f>
        <v>20.629833739635025</v>
      </c>
      <c r="T46" s="311">
        <f>1000*T36/Dashboard!$F$11</f>
        <v>22.458467596574248</v>
      </c>
      <c r="U46" s="311">
        <f>1000*U36/Dashboard!$F$11</f>
        <v>24.347359705837487</v>
      </c>
      <c r="V46" s="312">
        <f>1000*V36/Dashboard!$F$11</f>
        <v>26.163720360244255</v>
      </c>
      <c r="W46" s="32"/>
      <c r="X46" s="32"/>
      <c r="Y46" s="32"/>
      <c r="Z46" s="32"/>
      <c r="AA46" s="32"/>
      <c r="AB46" s="32"/>
    </row>
    <row r="47" spans="1:28" ht="30" customHeight="1" x14ac:dyDescent="0.3">
      <c r="B47" s="32"/>
      <c r="C47" s="32"/>
      <c r="D47" s="32"/>
      <c r="E47" s="73" t="s">
        <v>315</v>
      </c>
      <c r="F47" s="139">
        <v>2.5797599999999998</v>
      </c>
      <c r="G47" s="139">
        <v>4.7894600000000001</v>
      </c>
      <c r="H47" s="139">
        <v>4.2036899999999999</v>
      </c>
      <c r="I47" s="139">
        <v>6.3860900000000003</v>
      </c>
      <c r="J47" s="139">
        <v>0</v>
      </c>
      <c r="K47" s="139">
        <f>J47</f>
        <v>0</v>
      </c>
      <c r="L47" s="299">
        <f>1000*('DRE - Cosif'!L238/0.45)/Dashboard!$F$11</f>
        <v>6.0724518338036395</v>
      </c>
      <c r="M47" s="299">
        <f>K47+L47</f>
        <v>6.0724518338036395</v>
      </c>
      <c r="N47" s="299">
        <f>1000*('DRE - Cosif'!N238/0.45)/Dashboard!$F$11</f>
        <v>7.5208064823512029</v>
      </c>
      <c r="O47" s="299">
        <f>1000*('DRE - Cosif'!O238/0.45)/Dashboard!$F$11</f>
        <v>8.8360884392469234</v>
      </c>
      <c r="P47" s="299">
        <f>1000*('DRE - Cosif'!P238/0.45)/Dashboard!$F$11</f>
        <v>10.086539153227438</v>
      </c>
      <c r="Q47" s="299">
        <f>1000*('DRE - Cosif'!Q238/0.45)/Dashboard!$F$11</f>
        <v>11.397965587756438</v>
      </c>
      <c r="R47" s="299">
        <f>1000*('DRE - Cosif'!R238/0.45)/Dashboard!$F$11</f>
        <v>12.752838317143144</v>
      </c>
      <c r="S47" s="299">
        <f>1000*('DRE - Cosif'!S238/0.45)/Dashboard!$F$11</f>
        <v>14.156253544939778</v>
      </c>
      <c r="T47" s="299">
        <f>1000*('DRE - Cosif'!T238/0.45)/Dashboard!$F$11</f>
        <v>15.60972416122841</v>
      </c>
      <c r="U47" s="299">
        <f>1000*('DRE - Cosif'!U238/0.45)/Dashboard!$F$11</f>
        <v>17.13476698436931</v>
      </c>
      <c r="V47" s="319">
        <f>1000*('DRE - Cosif'!V238/0.45)/Dashboard!$F$11</f>
        <v>18.731046226745878</v>
      </c>
      <c r="W47" s="32"/>
      <c r="X47" s="32"/>
      <c r="Y47" s="32"/>
      <c r="Z47" s="32"/>
      <c r="AA47" s="32"/>
      <c r="AB47" s="32"/>
    </row>
    <row r="48" spans="1:28" s="313" customFormat="1" ht="30" customHeight="1" thickBot="1" x14ac:dyDescent="0.35">
      <c r="A48" s="1"/>
      <c r="D48" s="32"/>
      <c r="E48" s="436" t="s">
        <v>316</v>
      </c>
      <c r="F48" s="437">
        <v>0</v>
      </c>
      <c r="G48" s="437">
        <v>1.83819</v>
      </c>
      <c r="H48" s="437">
        <v>1.12615</v>
      </c>
      <c r="I48" s="438">
        <v>0</v>
      </c>
      <c r="J48" s="438">
        <v>0</v>
      </c>
      <c r="K48" s="438">
        <f>J48</f>
        <v>0</v>
      </c>
      <c r="L48" s="146">
        <f>L46-L47</f>
        <v>0.90409451456203982</v>
      </c>
      <c r="M48" s="146">
        <f>K48+L48</f>
        <v>0.90409451456203982</v>
      </c>
      <c r="N48" s="146">
        <f t="shared" ref="N48:V48" si="48">N46-N47</f>
        <v>0.34342154088096244</v>
      </c>
      <c r="O48" s="146">
        <f t="shared" si="48"/>
        <v>3.1895304160864555</v>
      </c>
      <c r="P48" s="146">
        <f t="shared" si="48"/>
        <v>4.0477646810128576</v>
      </c>
      <c r="Q48" s="146">
        <f t="shared" si="48"/>
        <v>4.996201941294153</v>
      </c>
      <c r="R48" s="146">
        <f t="shared" si="48"/>
        <v>5.795933177833092</v>
      </c>
      <c r="S48" s="146">
        <f t="shared" si="48"/>
        <v>6.4735801946952467</v>
      </c>
      <c r="T48" s="146">
        <f t="shared" si="48"/>
        <v>6.8487434353458383</v>
      </c>
      <c r="U48" s="146">
        <f t="shared" si="48"/>
        <v>7.2125927214681766</v>
      </c>
      <c r="V48" s="147">
        <f t="shared" si="48"/>
        <v>7.4326741334983772</v>
      </c>
      <c r="W48" s="32"/>
      <c r="X48" s="32"/>
      <c r="Y48" s="320"/>
    </row>
    <row r="49" spans="2:28" ht="30" customHeight="1" x14ac:dyDescent="0.3">
      <c r="B49" s="32"/>
      <c r="C49" s="32"/>
      <c r="D49" s="32"/>
      <c r="E49" s="321"/>
      <c r="F49" s="322"/>
      <c r="G49" s="322"/>
      <c r="H49" s="322"/>
      <c r="I49" s="195"/>
      <c r="J49" s="195"/>
      <c r="K49" s="195"/>
      <c r="L49" s="195"/>
      <c r="M49" s="323"/>
      <c r="N49" s="323"/>
      <c r="O49" s="323"/>
      <c r="P49" s="323"/>
      <c r="Q49" s="323"/>
      <c r="R49" s="32"/>
      <c r="S49" s="32"/>
      <c r="T49" s="32"/>
      <c r="U49" s="32"/>
      <c r="V49" s="32"/>
      <c r="W49" s="32"/>
      <c r="X49" s="32"/>
      <c r="Y49" s="32"/>
      <c r="Z49" s="32"/>
      <c r="AA49" s="32"/>
      <c r="AB49" s="32"/>
    </row>
    <row r="50" spans="2:28" ht="30" customHeight="1" thickBot="1" x14ac:dyDescent="0.35">
      <c r="B50" s="32"/>
      <c r="C50" s="32"/>
      <c r="D50" s="32"/>
      <c r="E50" s="321"/>
      <c r="F50" s="322"/>
      <c r="G50" s="322"/>
      <c r="H50" s="322"/>
      <c r="I50" s="195"/>
      <c r="J50" s="195"/>
      <c r="K50" s="195"/>
      <c r="L50" s="195"/>
      <c r="M50" s="323"/>
      <c r="N50" s="323"/>
      <c r="O50" s="323"/>
      <c r="P50" s="323"/>
      <c r="Q50" s="323"/>
      <c r="R50" s="32"/>
      <c r="S50" s="32"/>
      <c r="T50" s="32"/>
      <c r="U50" s="32"/>
      <c r="V50" s="32"/>
      <c r="W50" s="32"/>
      <c r="X50" s="32"/>
      <c r="Y50" s="32"/>
      <c r="Z50" s="32"/>
      <c r="AA50" s="32"/>
      <c r="AB50" s="32"/>
    </row>
    <row r="51" spans="2:28" ht="30" customHeight="1" x14ac:dyDescent="0.3">
      <c r="B51" s="32"/>
      <c r="C51" s="32"/>
      <c r="D51" s="32"/>
      <c r="E51" s="309"/>
      <c r="F51" s="87">
        <f t="shared" ref="F51:V51" si="49">F42</f>
        <v>2020</v>
      </c>
      <c r="G51" s="87">
        <f t="shared" si="49"/>
        <v>2021</v>
      </c>
      <c r="H51" s="87">
        <f t="shared" si="49"/>
        <v>2022</v>
      </c>
      <c r="I51" s="87">
        <f t="shared" si="49"/>
        <v>2023</v>
      </c>
      <c r="J51" s="87" t="str">
        <f t="shared" ref="J51:L51" si="50">J$9</f>
        <v>1T24</v>
      </c>
      <c r="K51" s="87" t="str">
        <f t="shared" si="50"/>
        <v>YTD24</v>
      </c>
      <c r="L51" s="89" t="str">
        <f t="shared" si="50"/>
        <v>YTG24</v>
      </c>
      <c r="M51" s="135">
        <f t="shared" si="49"/>
        <v>2024</v>
      </c>
      <c r="N51" s="135">
        <f t="shared" si="49"/>
        <v>2025</v>
      </c>
      <c r="O51" s="135">
        <f t="shared" si="49"/>
        <v>2026</v>
      </c>
      <c r="P51" s="135">
        <f t="shared" si="49"/>
        <v>2027</v>
      </c>
      <c r="Q51" s="135">
        <f t="shared" si="49"/>
        <v>2028</v>
      </c>
      <c r="R51" s="135">
        <f t="shared" si="49"/>
        <v>2029</v>
      </c>
      <c r="S51" s="135">
        <f t="shared" si="49"/>
        <v>2030</v>
      </c>
      <c r="T51" s="135">
        <f t="shared" si="49"/>
        <v>2031</v>
      </c>
      <c r="U51" s="135">
        <f t="shared" si="49"/>
        <v>2032</v>
      </c>
      <c r="V51" s="89">
        <f t="shared" si="49"/>
        <v>2033</v>
      </c>
      <c r="W51" s="481" t="s">
        <v>317</v>
      </c>
      <c r="X51" s="482"/>
      <c r="Y51" s="32"/>
      <c r="Z51" s="32"/>
      <c r="AA51" s="32"/>
      <c r="AB51" s="32"/>
    </row>
    <row r="52" spans="2:28" ht="30" customHeight="1" x14ac:dyDescent="0.3">
      <c r="B52" s="32"/>
      <c r="C52" s="32"/>
      <c r="D52" s="32"/>
      <c r="E52" s="98" t="s">
        <v>60</v>
      </c>
      <c r="F52" s="99">
        <f>'Balanço Patrimonial - Contábil'!F125</f>
        <v>2416797</v>
      </c>
      <c r="G52" s="99">
        <f>'Balanço Patrimonial - Contábil'!G125</f>
        <v>2944953</v>
      </c>
      <c r="H52" s="99">
        <f>'Balanço Patrimonial - Contábil'!H125</f>
        <v>4841380</v>
      </c>
      <c r="I52" s="99">
        <f>'Balanço Patrimonial - Contábil'!I125</f>
        <v>5883325</v>
      </c>
      <c r="J52" s="99">
        <f>'Balanço Patrimonial - Contábil'!J125</f>
        <v>5907205.7208599998</v>
      </c>
      <c r="K52" s="99">
        <f>'Balanço Patrimonial - Contábil'!K125</f>
        <v>5907205.7208599998</v>
      </c>
      <c r="L52" s="117">
        <f>'Balanço Patrimonial - Contábil'!L125</f>
        <v>6572854.3766378434</v>
      </c>
      <c r="M52" s="117">
        <f>'Balanço Patrimonial - Contábil'!M125</f>
        <v>6572854.3766378434</v>
      </c>
      <c r="N52" s="117">
        <f>'Balanço Patrimonial - Contábil'!N125</f>
        <v>7632266.3217517175</v>
      </c>
      <c r="O52" s="117">
        <f>'Balanço Patrimonial - Contábil'!O125</f>
        <v>8625252.9814539887</v>
      </c>
      <c r="P52" s="117">
        <f>'Balanço Patrimonial - Contábil'!P125</f>
        <v>9678286.884385664</v>
      </c>
      <c r="Q52" s="117">
        <f>'Balanço Patrimonial - Contábil'!Q125</f>
        <v>10778927.723483004</v>
      </c>
      <c r="R52" s="117">
        <f>'Balanço Patrimonial - Contábil'!R125</f>
        <v>11930969.002226524</v>
      </c>
      <c r="S52" s="117">
        <f>'Balanço Patrimonial - Contábil'!S125</f>
        <v>13135431.469880886</v>
      </c>
      <c r="T52" s="117">
        <f>'Balanço Patrimonial - Contábil'!T125</f>
        <v>14408475.20870889</v>
      </c>
      <c r="U52" s="117">
        <f>'Balanço Patrimonial - Contábil'!U125</f>
        <v>15745968.180412542</v>
      </c>
      <c r="V52" s="117">
        <f>'Balanço Patrimonial - Contábil'!V125</f>
        <v>17151979.38863169</v>
      </c>
      <c r="W52" s="477" t="s">
        <v>318</v>
      </c>
      <c r="X52" s="478"/>
      <c r="Y52" s="32"/>
      <c r="Z52" s="32"/>
      <c r="AA52" s="32"/>
      <c r="AB52" s="32"/>
    </row>
    <row r="53" spans="2:28" ht="30" customHeight="1" x14ac:dyDescent="0.3">
      <c r="B53" s="32"/>
      <c r="C53" s="32"/>
      <c r="D53" s="32"/>
      <c r="E53" s="98" t="s">
        <v>228</v>
      </c>
      <c r="F53" s="99">
        <f>'Projeções - NIM'!F104</f>
        <v>14500000</v>
      </c>
      <c r="G53" s="99">
        <f>'Projeções - NIM'!G104</f>
        <v>24500000</v>
      </c>
      <c r="H53" s="99">
        <f>'Projeções - NIM'!H104</f>
        <v>32600000</v>
      </c>
      <c r="I53" s="99">
        <f>'Projeções - NIM'!I104</f>
        <v>37500000</v>
      </c>
      <c r="J53" s="99">
        <f>'Projeções - NIM'!J104</f>
        <v>37500000</v>
      </c>
      <c r="K53" s="99">
        <f>'Projeções - NIM'!K104</f>
        <v>37500000</v>
      </c>
      <c r="L53" s="117">
        <f>'Projeções - NIM'!L104</f>
        <v>47001290.494597338</v>
      </c>
      <c r="M53" s="117">
        <f>'Projeções - NIM'!M104</f>
        <v>47001290.494597338</v>
      </c>
      <c r="N53" s="117">
        <f>'Projeções - NIM'!N104</f>
        <v>53041496.981124073</v>
      </c>
      <c r="O53" s="117">
        <f>'Projeções - NIM'!O104</f>
        <v>58525114.27578412</v>
      </c>
      <c r="P53" s="117">
        <f>'Projeções - NIM'!P104</f>
        <v>64239995.04889214</v>
      </c>
      <c r="Q53" s="117">
        <f>'Projeções - NIM'!Q104</f>
        <v>70101772.534169152</v>
      </c>
      <c r="R53" s="117">
        <f>'Projeções - NIM'!R104</f>
        <v>76126302.972998276</v>
      </c>
      <c r="S53" s="117">
        <f>'Projeções - NIM'!S104</f>
        <v>82312361.314259484</v>
      </c>
      <c r="T53" s="117">
        <f>'Projeções - NIM'!T104</f>
        <v>88746537.971787199</v>
      </c>
      <c r="U53" s="117">
        <f>'Projeções - NIM'!U104</f>
        <v>95394983.497655287</v>
      </c>
      <c r="V53" s="117">
        <f>'Projeções - NIM'!V104</f>
        <v>102271776.59342983</v>
      </c>
      <c r="W53" s="483"/>
      <c r="X53" s="484"/>
      <c r="Y53" s="32"/>
      <c r="Z53" s="32"/>
      <c r="AA53" s="32"/>
      <c r="AB53" s="32"/>
    </row>
    <row r="54" spans="2:28" ht="30" customHeight="1" x14ac:dyDescent="0.3">
      <c r="B54" s="32"/>
      <c r="C54" s="32"/>
      <c r="D54" s="32"/>
      <c r="E54" s="98" t="s">
        <v>319</v>
      </c>
      <c r="F54" s="99">
        <v>25044849.166000001</v>
      </c>
      <c r="G54" s="99">
        <v>29349575.044</v>
      </c>
      <c r="H54" s="99">
        <v>37294000</v>
      </c>
      <c r="I54" s="99">
        <v>44365000</v>
      </c>
      <c r="J54" s="99">
        <v>45327956</v>
      </c>
      <c r="K54" s="99">
        <f>J54</f>
        <v>45327956</v>
      </c>
      <c r="L54" s="117">
        <f>'Projeções Trimestrais'!J40*1000</f>
        <v>51001788.250114121</v>
      </c>
      <c r="M54" s="117">
        <f>L54</f>
        <v>51001788.250114121</v>
      </c>
      <c r="N54" s="117">
        <f t="shared" ref="N54:V54" si="51">N55*N53</f>
        <v>58177218.383253068</v>
      </c>
      <c r="O54" s="117">
        <f t="shared" si="51"/>
        <v>64877111.287004121</v>
      </c>
      <c r="P54" s="117">
        <f t="shared" si="51"/>
        <v>71964501.68173565</v>
      </c>
      <c r="Q54" s="117">
        <f t="shared" si="51"/>
        <v>79352014.485990226</v>
      </c>
      <c r="R54" s="117">
        <f t="shared" si="51"/>
        <v>87062944.381624222</v>
      </c>
      <c r="S54" s="117">
        <f t="shared" si="51"/>
        <v>95101593.466389909</v>
      </c>
      <c r="T54" s="117">
        <f t="shared" si="51"/>
        <v>103574694.51062873</v>
      </c>
      <c r="U54" s="117">
        <f t="shared" si="51"/>
        <v>112451062.34292723</v>
      </c>
      <c r="V54" s="117">
        <f t="shared" si="51"/>
        <v>121754984.95529622</v>
      </c>
      <c r="W54" s="485"/>
      <c r="X54" s="486"/>
      <c r="Y54" s="32"/>
      <c r="Z54" s="32"/>
      <c r="AA54" s="32"/>
      <c r="AB54" s="32"/>
    </row>
    <row r="55" spans="2:28" ht="30" customHeight="1" x14ac:dyDescent="0.3">
      <c r="B55" s="32"/>
      <c r="C55" s="32"/>
      <c r="D55" s="32"/>
      <c r="E55" s="115" t="s">
        <v>362</v>
      </c>
      <c r="F55" s="270">
        <f>F54/F53</f>
        <v>1.7272309769655174</v>
      </c>
      <c r="G55" s="270">
        <f t="shared" ref="G55:K55" si="52">G54/G53</f>
        <v>1.1979418385306122</v>
      </c>
      <c r="H55" s="270">
        <f t="shared" si="52"/>
        <v>1.1439877300613497</v>
      </c>
      <c r="I55" s="270">
        <f t="shared" si="52"/>
        <v>1.1830666666666667</v>
      </c>
      <c r="J55" s="270">
        <f t="shared" si="52"/>
        <v>1.2087454933333333</v>
      </c>
      <c r="K55" s="270">
        <f t="shared" si="52"/>
        <v>1.2087454933333333</v>
      </c>
      <c r="L55" s="82">
        <f>L54/L53</f>
        <v>1.0851146365008133</v>
      </c>
      <c r="M55" s="274">
        <f>M54/M53</f>
        <v>1.0851146365008133</v>
      </c>
      <c r="N55" s="274">
        <f>M55+(($V$55-$M$55)/9)</f>
        <v>1.0968245938450163</v>
      </c>
      <c r="O55" s="274">
        <f t="shared" ref="O55:U55" si="53">N55+(($V$55-$M$55)/9)</f>
        <v>1.1085345511892193</v>
      </c>
      <c r="P55" s="274">
        <f t="shared" si="53"/>
        <v>1.1202445085334223</v>
      </c>
      <c r="Q55" s="274">
        <f t="shared" si="53"/>
        <v>1.1319544658776253</v>
      </c>
      <c r="R55" s="274">
        <f t="shared" si="53"/>
        <v>1.1436644232218283</v>
      </c>
      <c r="S55" s="274">
        <f t="shared" si="53"/>
        <v>1.1553743805660313</v>
      </c>
      <c r="T55" s="274">
        <f t="shared" si="53"/>
        <v>1.1670843379102342</v>
      </c>
      <c r="U55" s="274">
        <f t="shared" si="53"/>
        <v>1.1787942952544372</v>
      </c>
      <c r="V55" s="274">
        <f>MEDIAN(F55:I55)</f>
        <v>1.1905042525986396</v>
      </c>
      <c r="W55" s="477" t="s">
        <v>433</v>
      </c>
      <c r="X55" s="478"/>
      <c r="Y55" s="32"/>
      <c r="Z55" s="32"/>
      <c r="AA55" s="32"/>
      <c r="AB55" s="32"/>
    </row>
    <row r="56" spans="2:28" ht="30" customHeight="1" x14ac:dyDescent="0.3">
      <c r="B56" s="32"/>
      <c r="C56" s="32"/>
      <c r="D56" s="32"/>
      <c r="E56" s="98" t="s">
        <v>320</v>
      </c>
      <c r="F56" s="99">
        <v>2901780.6159999999</v>
      </c>
      <c r="G56" s="99">
        <v>3556562.33</v>
      </c>
      <c r="H56" s="99">
        <v>4585000</v>
      </c>
      <c r="I56" s="99">
        <v>5782000</v>
      </c>
      <c r="J56" s="99">
        <v>6017983</v>
      </c>
      <c r="K56" s="99">
        <f>J56</f>
        <v>6017983</v>
      </c>
      <c r="L56" s="117">
        <f>L58*L54</f>
        <v>6528228.8960146075</v>
      </c>
      <c r="M56" s="117">
        <f>L56</f>
        <v>6528228.8960146075</v>
      </c>
      <c r="N56" s="117">
        <f t="shared" ref="N56:V56" si="54">N58*N54</f>
        <v>7477487.9712890517</v>
      </c>
      <c r="O56" s="117">
        <f t="shared" si="54"/>
        <v>8372973.2791718207</v>
      </c>
      <c r="P56" s="117">
        <f t="shared" si="54"/>
        <v>9325768.7872712705</v>
      </c>
      <c r="Q56" s="117">
        <f t="shared" si="54"/>
        <v>10325120.953059085</v>
      </c>
      <c r="R56" s="117">
        <f t="shared" si="54"/>
        <v>11374549.898617594</v>
      </c>
      <c r="S56" s="117">
        <f t="shared" si="54"/>
        <v>12475133.694252733</v>
      </c>
      <c r="T56" s="117">
        <f t="shared" si="54"/>
        <v>13641450.297157928</v>
      </c>
      <c r="U56" s="117">
        <f t="shared" si="54"/>
        <v>14870066.017109459</v>
      </c>
      <c r="V56" s="117">
        <f t="shared" si="54"/>
        <v>16164846.030697443</v>
      </c>
      <c r="W56" s="475"/>
      <c r="X56" s="476"/>
      <c r="Y56" s="32"/>
      <c r="Z56" s="32"/>
      <c r="AA56" s="32"/>
      <c r="AB56" s="32"/>
    </row>
    <row r="57" spans="2:28" ht="30" customHeight="1" x14ac:dyDescent="0.3">
      <c r="B57" s="32"/>
      <c r="C57" s="32"/>
      <c r="D57" s="32"/>
      <c r="E57" s="115" t="s">
        <v>321</v>
      </c>
      <c r="F57" s="269">
        <f t="shared" ref="F57:V57" si="55">F56/F52</f>
        <v>1.2006720531347894</v>
      </c>
      <c r="G57" s="269">
        <f t="shared" si="55"/>
        <v>1.2076805062763312</v>
      </c>
      <c r="H57" s="269">
        <f t="shared" si="55"/>
        <v>0.94704402463760329</v>
      </c>
      <c r="I57" s="269">
        <f t="shared" si="55"/>
        <v>0.98277759600226067</v>
      </c>
      <c r="J57" s="269">
        <f t="shared" si="55"/>
        <v>1.0187529069368304</v>
      </c>
      <c r="K57" s="269">
        <f t="shared" si="55"/>
        <v>1.0187529069368304</v>
      </c>
      <c r="L57" s="274">
        <f t="shared" si="55"/>
        <v>0.99321063908218477</v>
      </c>
      <c r="M57" s="274">
        <f t="shared" si="55"/>
        <v>0.99321063908218477</v>
      </c>
      <c r="N57" s="274">
        <f>N56/N52</f>
        <v>0.97972052547202759</v>
      </c>
      <c r="O57" s="274">
        <f t="shared" si="55"/>
        <v>0.97075103735222379</v>
      </c>
      <c r="P57" s="274">
        <f t="shared" si="55"/>
        <v>0.96357639514869886</v>
      </c>
      <c r="Q57" s="274">
        <f t="shared" si="55"/>
        <v>0.95789870921620024</v>
      </c>
      <c r="R57" s="274">
        <f t="shared" si="55"/>
        <v>0.95336346079642875</v>
      </c>
      <c r="S57" s="274">
        <f t="shared" si="55"/>
        <v>0.94973155033832013</v>
      </c>
      <c r="T57" s="274">
        <f t="shared" si="55"/>
        <v>0.94676571251013775</v>
      </c>
      <c r="U57" s="274">
        <f t="shared" si="55"/>
        <v>0.94437292434055109</v>
      </c>
      <c r="V57" s="274">
        <f t="shared" si="55"/>
        <v>0.94244784607259269</v>
      </c>
      <c r="W57" s="477"/>
      <c r="X57" s="478"/>
      <c r="Y57" s="32"/>
      <c r="Z57" s="32"/>
      <c r="AA57" s="32"/>
      <c r="AB57" s="32"/>
    </row>
    <row r="58" spans="2:28" ht="30" customHeight="1" thickBot="1" x14ac:dyDescent="0.35">
      <c r="B58" s="32"/>
      <c r="C58" s="32"/>
      <c r="D58" s="32"/>
      <c r="E58" s="301" t="s">
        <v>322</v>
      </c>
      <c r="F58" s="302">
        <f t="shared" ref="F58:M58" si="56">F56/F54</f>
        <v>0.11586336962010353</v>
      </c>
      <c r="G58" s="302">
        <f t="shared" si="56"/>
        <v>0.12117934670836319</v>
      </c>
      <c r="H58" s="302">
        <f t="shared" si="56"/>
        <v>0.12294202820829088</v>
      </c>
      <c r="I58" s="302">
        <f t="shared" si="56"/>
        <v>0.13032796123069987</v>
      </c>
      <c r="J58" s="302">
        <f t="shared" si="56"/>
        <v>0.13276537331619365</v>
      </c>
      <c r="K58" s="302">
        <f t="shared" si="56"/>
        <v>0.13276537331619365</v>
      </c>
      <c r="L58" s="303">
        <v>0.128</v>
      </c>
      <c r="M58" s="303">
        <f t="shared" si="56"/>
        <v>0.128</v>
      </c>
      <c r="N58" s="303">
        <f>M58+(($V$58-$M$58)/9)</f>
        <v>0.12852948592402152</v>
      </c>
      <c r="O58" s="303">
        <f t="shared" ref="O58:U58" si="57">N58+(($V$58-$M$58)/9)</f>
        <v>0.12905897184804305</v>
      </c>
      <c r="P58" s="303">
        <f t="shared" si="57"/>
        <v>0.12958845777206457</v>
      </c>
      <c r="Q58" s="303">
        <f t="shared" si="57"/>
        <v>0.13011794369608609</v>
      </c>
      <c r="R58" s="303">
        <f t="shared" si="57"/>
        <v>0.13064742962010761</v>
      </c>
      <c r="S58" s="303">
        <f t="shared" si="57"/>
        <v>0.13117691554412914</v>
      </c>
      <c r="T58" s="303">
        <f>S58+(($V$58-$M$58)/9)</f>
        <v>0.13170640146815066</v>
      </c>
      <c r="U58" s="303">
        <f t="shared" si="57"/>
        <v>0.13223588739217218</v>
      </c>
      <c r="V58" s="303">
        <f>MAX(F58:J58)</f>
        <v>0.13276537331619365</v>
      </c>
      <c r="W58" s="479" t="s">
        <v>432</v>
      </c>
      <c r="X58" s="480"/>
      <c r="Y58" s="32"/>
      <c r="Z58" s="32"/>
      <c r="AA58" s="32"/>
      <c r="AB58" s="32"/>
    </row>
    <row r="59" spans="2:28" ht="30" customHeight="1" x14ac:dyDescent="0.3">
      <c r="B59" s="32"/>
      <c r="C59" s="32"/>
      <c r="D59" s="32"/>
      <c r="E59" s="324"/>
      <c r="F59" s="325"/>
      <c r="G59" s="325"/>
      <c r="H59" s="325"/>
      <c r="I59" s="326"/>
      <c r="J59" s="326"/>
      <c r="K59" s="326"/>
      <c r="L59" s="435"/>
      <c r="M59" s="323"/>
      <c r="N59" s="323"/>
      <c r="O59" s="323"/>
      <c r="P59" s="323"/>
      <c r="Q59" s="323"/>
      <c r="R59" s="32"/>
      <c r="S59" s="32"/>
      <c r="T59" s="32"/>
      <c r="U59" s="32"/>
      <c r="V59" s="32"/>
      <c r="W59" s="32"/>
      <c r="X59" s="32"/>
      <c r="Y59" s="32"/>
      <c r="Z59" s="32"/>
      <c r="AA59" s="32"/>
      <c r="AB59" s="32"/>
    </row>
    <row r="60" spans="2:28" ht="30" customHeight="1" x14ac:dyDescent="0.3">
      <c r="B60" s="32"/>
      <c r="C60" s="32"/>
      <c r="D60" s="32"/>
      <c r="E60" s="324"/>
      <c r="F60" s="325"/>
      <c r="G60" s="325"/>
      <c r="H60" s="325"/>
      <c r="I60" s="326"/>
      <c r="J60" s="326"/>
      <c r="K60" s="326"/>
      <c r="L60" s="326"/>
      <c r="M60" s="323"/>
      <c r="N60" s="323"/>
      <c r="O60" s="323"/>
      <c r="P60" s="323"/>
      <c r="Q60" s="323"/>
      <c r="R60" s="32"/>
      <c r="S60" s="32"/>
      <c r="T60" s="32"/>
      <c r="U60" s="32"/>
      <c r="V60" s="32"/>
      <c r="W60" s="32"/>
      <c r="X60" s="32"/>
      <c r="Y60" s="32"/>
      <c r="Z60" s="32"/>
      <c r="AA60" s="32"/>
      <c r="AB60" s="32"/>
    </row>
    <row r="61" spans="2:28" ht="30" customHeight="1" thickBot="1" x14ac:dyDescent="0.35">
      <c r="B61" s="32"/>
      <c r="C61" s="32"/>
      <c r="D61" s="32"/>
      <c r="E61" s="324"/>
      <c r="F61" s="325"/>
      <c r="G61" s="325"/>
      <c r="H61" s="325"/>
      <c r="I61" s="326"/>
      <c r="J61" s="326"/>
      <c r="K61" s="326"/>
      <c r="L61" s="326"/>
      <c r="M61" s="323"/>
      <c r="N61" s="323"/>
      <c r="O61" s="323"/>
      <c r="P61" s="323"/>
      <c r="Q61" s="323"/>
      <c r="R61" s="32"/>
      <c r="S61" s="32"/>
      <c r="T61" s="32"/>
      <c r="U61" s="32"/>
      <c r="V61" s="32"/>
      <c r="W61" s="32"/>
      <c r="X61" s="32"/>
      <c r="Y61" s="32"/>
      <c r="Z61" s="32"/>
      <c r="AA61" s="32"/>
      <c r="AB61" s="32"/>
    </row>
    <row r="62" spans="2:28" ht="30" customHeight="1" x14ac:dyDescent="0.3">
      <c r="B62" s="32"/>
      <c r="C62" s="32"/>
      <c r="D62" s="32"/>
      <c r="E62" s="327"/>
      <c r="F62" s="87">
        <v>2018</v>
      </c>
      <c r="G62" s="87">
        <v>2019</v>
      </c>
      <c r="H62" s="87">
        <v>2020</v>
      </c>
      <c r="I62" s="87">
        <v>2021</v>
      </c>
      <c r="J62" s="87" t="str">
        <f t="shared" ref="J62:L62" si="58">J$9</f>
        <v>1T24</v>
      </c>
      <c r="K62" s="87" t="str">
        <f t="shared" si="58"/>
        <v>YTD24</v>
      </c>
      <c r="L62" s="89" t="str">
        <f t="shared" si="58"/>
        <v>YTG24</v>
      </c>
      <c r="M62" s="135">
        <v>2024</v>
      </c>
      <c r="N62" s="135">
        <v>2025</v>
      </c>
      <c r="O62" s="135">
        <v>2026</v>
      </c>
      <c r="P62" s="135">
        <v>2027</v>
      </c>
      <c r="Q62" s="135">
        <v>2028</v>
      </c>
      <c r="R62" s="135">
        <v>2029</v>
      </c>
      <c r="S62" s="135">
        <v>2030</v>
      </c>
      <c r="T62" s="135">
        <v>2031</v>
      </c>
      <c r="U62" s="135">
        <v>2032</v>
      </c>
      <c r="V62" s="136">
        <v>2033</v>
      </c>
      <c r="W62" s="32"/>
      <c r="X62" s="32"/>
      <c r="Y62" s="32"/>
      <c r="Z62" s="32"/>
      <c r="AA62" s="32"/>
      <c r="AB62" s="32"/>
    </row>
    <row r="63" spans="2:28" ht="30" customHeight="1" x14ac:dyDescent="0.3">
      <c r="B63" s="32"/>
      <c r="C63" s="32"/>
      <c r="D63" s="32"/>
      <c r="E63" s="98" t="s">
        <v>323</v>
      </c>
      <c r="F63" s="328">
        <v>0</v>
      </c>
      <c r="G63" s="328">
        <v>0</v>
      </c>
      <c r="H63" s="328">
        <v>0</v>
      </c>
      <c r="I63" s="328">
        <v>0</v>
      </c>
      <c r="J63" s="328"/>
      <c r="K63" s="328"/>
      <c r="L63" s="398"/>
      <c r="M63" s="329">
        <f>M18/I18-1</f>
        <v>0.16929528483671952</v>
      </c>
      <c r="N63" s="329">
        <f t="shared" ref="N63:V63" si="59">N18/M18-1</f>
        <v>0.31151012523681754</v>
      </c>
      <c r="O63" s="329">
        <f t="shared" si="59"/>
        <v>0.12074193397303001</v>
      </c>
      <c r="P63" s="329">
        <f t="shared" si="59"/>
        <v>0.10826311916842712</v>
      </c>
      <c r="Q63" s="329">
        <f t="shared" si="59"/>
        <v>9.537413015620233E-2</v>
      </c>
      <c r="R63" s="329">
        <f t="shared" si="59"/>
        <v>8.5327292394983489E-2</v>
      </c>
      <c r="S63" s="329">
        <f t="shared" si="59"/>
        <v>7.6596421381106117E-2</v>
      </c>
      <c r="T63" s="329">
        <f t="shared" si="59"/>
        <v>7.1134448821370544E-2</v>
      </c>
      <c r="U63" s="329">
        <f t="shared" si="59"/>
        <v>6.5787319344344564E-2</v>
      </c>
      <c r="V63" s="330">
        <f t="shared" si="59"/>
        <v>6.1186672128531683E-2</v>
      </c>
      <c r="W63" s="32"/>
      <c r="X63" s="32"/>
      <c r="Y63" s="32"/>
      <c r="Z63" s="32"/>
      <c r="AA63" s="32"/>
      <c r="AB63" s="32"/>
    </row>
    <row r="64" spans="2:28" ht="30" customHeight="1" x14ac:dyDescent="0.3">
      <c r="B64" s="32"/>
      <c r="C64" s="32"/>
      <c r="D64" s="32"/>
      <c r="E64" s="98" t="s">
        <v>324</v>
      </c>
      <c r="F64" s="328">
        <v>0</v>
      </c>
      <c r="G64" s="328">
        <v>0</v>
      </c>
      <c r="H64" s="328">
        <v>0</v>
      </c>
      <c r="I64" s="328">
        <v>0</v>
      </c>
      <c r="J64" s="328"/>
      <c r="K64" s="328"/>
      <c r="L64" s="398"/>
      <c r="M64" s="331">
        <f>M45</f>
        <v>0.65998761007459328</v>
      </c>
      <c r="N64" s="331">
        <f t="shared" ref="N64:V64" si="60">N45</f>
        <v>0.68954193872982084</v>
      </c>
      <c r="O64" s="331">
        <f t="shared" si="60"/>
        <v>0.57762203977790083</v>
      </c>
      <c r="P64" s="331">
        <f t="shared" si="60"/>
        <v>0.55293088295572135</v>
      </c>
      <c r="Q64" s="331">
        <f t="shared" si="60"/>
        <v>0.52769429218249864</v>
      </c>
      <c r="R64" s="331">
        <f t="shared" si="60"/>
        <v>0.50883991870154432</v>
      </c>
      <c r="S64" s="331">
        <f t="shared" si="60"/>
        <v>0.49393195438966053</v>
      </c>
      <c r="T64" s="331">
        <f t="shared" si="60"/>
        <v>0.48701449314258283</v>
      </c>
      <c r="U64" s="331">
        <f t="shared" si="60"/>
        <v>0.47965210470883068</v>
      </c>
      <c r="V64" s="332">
        <f t="shared" si="60"/>
        <v>0.47460889542892126</v>
      </c>
      <c r="W64" s="32"/>
      <c r="X64" s="32"/>
      <c r="Y64" s="32"/>
      <c r="Z64" s="32"/>
      <c r="AA64" s="32"/>
      <c r="AB64" s="32"/>
    </row>
    <row r="65" spans="2:28" ht="30" customHeight="1" thickBot="1" x14ac:dyDescent="0.35">
      <c r="B65" s="32"/>
      <c r="C65" s="32"/>
      <c r="D65" s="32"/>
      <c r="E65" s="93" t="s">
        <v>325</v>
      </c>
      <c r="F65" s="192">
        <v>0</v>
      </c>
      <c r="G65" s="192">
        <v>0</v>
      </c>
      <c r="H65" s="192">
        <v>0</v>
      </c>
      <c r="I65" s="192">
        <v>0</v>
      </c>
      <c r="J65" s="192"/>
      <c r="K65" s="192"/>
      <c r="L65" s="193"/>
      <c r="M65" s="333">
        <f>Ke!F12+(M63-Ke!F12)/M64</f>
        <v>0.23563773080431774</v>
      </c>
      <c r="N65" s="333">
        <f>Ke!G12+(N63-Ke!G12)/N64</f>
        <v>0.43437566025686286</v>
      </c>
      <c r="O65" s="333">
        <f>Ke!H12+(O63-Ke!H12)/O64</f>
        <v>0.17707776031304673</v>
      </c>
      <c r="P65" s="333">
        <f>Ke!I12+(P63-Ke!I12)/P64</f>
        <v>0.15808005584906187</v>
      </c>
      <c r="Q65" s="333">
        <f>Ke!J12+(Q63-Ke!J12)/Q64</f>
        <v>0.13706863186379056</v>
      </c>
      <c r="R65" s="333">
        <f>Ke!K12+(R63-Ke!K12)/R64</f>
        <v>0.11934025160152897</v>
      </c>
      <c r="S65" s="333">
        <f>Ke!L12+(S63-Ke!L12)/S64</f>
        <v>0.10212504847210123</v>
      </c>
      <c r="T65" s="333">
        <f>Ke!M12+(T63-Ke!M12)/T64</f>
        <v>9.1015415058756141E-2</v>
      </c>
      <c r="U65" s="333">
        <f>Ke!N12+(U63-Ke!N12)/U64</f>
        <v>8.0386416749205616E-2</v>
      </c>
      <c r="V65" s="334">
        <f>Ke!O12+(V63-Ke!O12)/V64</f>
        <v>7.0802800921338033E-2</v>
      </c>
      <c r="W65" s="32"/>
      <c r="X65" s="32"/>
      <c r="Y65" s="32"/>
      <c r="Z65" s="32"/>
      <c r="AA65" s="32"/>
      <c r="AB65" s="32"/>
    </row>
    <row r="66" spans="2:28" ht="30" customHeight="1" x14ac:dyDescent="0.3">
      <c r="B66" s="32"/>
      <c r="C66" s="32"/>
      <c r="D66" s="32"/>
      <c r="E66" s="324"/>
      <c r="F66" s="325"/>
      <c r="G66" s="325"/>
      <c r="H66" s="325"/>
      <c r="I66" s="326"/>
      <c r="J66" s="326"/>
      <c r="K66" s="326"/>
      <c r="L66" s="326"/>
      <c r="M66" s="323"/>
      <c r="N66" s="323"/>
      <c r="O66" s="323"/>
      <c r="P66" s="323"/>
      <c r="Q66" s="323"/>
      <c r="R66" s="32"/>
      <c r="S66" s="32"/>
      <c r="T66" s="32"/>
      <c r="U66" s="32"/>
      <c r="V66" s="32"/>
      <c r="W66" s="32"/>
      <c r="X66" s="32"/>
      <c r="Y66" s="32"/>
      <c r="Z66" s="32"/>
      <c r="AA66" s="32"/>
      <c r="AB66" s="32"/>
    </row>
    <row r="67" spans="2:28" ht="30" customHeight="1" x14ac:dyDescent="0.3">
      <c r="B67" s="32"/>
      <c r="C67" s="32"/>
      <c r="D67" s="32"/>
      <c r="E67" s="324"/>
      <c r="F67" s="325"/>
      <c r="G67" s="325"/>
      <c r="H67" s="325"/>
      <c r="I67" s="326"/>
      <c r="J67" s="326"/>
      <c r="K67" s="326"/>
      <c r="L67" s="326"/>
      <c r="M67" s="323"/>
      <c r="N67" s="323"/>
      <c r="O67" s="323"/>
      <c r="P67" s="323"/>
      <c r="Q67" s="323"/>
      <c r="R67" s="32"/>
      <c r="S67" s="32"/>
      <c r="T67" s="32"/>
      <c r="U67" s="32"/>
      <c r="V67" s="32"/>
      <c r="W67" s="32"/>
      <c r="X67" s="32"/>
      <c r="Y67" s="32"/>
      <c r="Z67" s="32"/>
      <c r="AA67" s="32"/>
      <c r="AB67" s="32"/>
    </row>
    <row r="68" spans="2:28" ht="30" customHeight="1" x14ac:dyDescent="0.3">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row>
    <row r="69" spans="2:28" ht="14.4" hidden="1" x14ac:dyDescent="0.3">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row>
    <row r="70" spans="2:28" ht="14.4" hidden="1" x14ac:dyDescent="0.3">
      <c r="B70" s="32"/>
      <c r="C70" s="32"/>
      <c r="D70" s="32"/>
      <c r="E70" s="32"/>
      <c r="F70" s="318"/>
      <c r="G70" s="318"/>
      <c r="H70" s="318"/>
      <c r="I70" s="32"/>
      <c r="J70" s="32"/>
      <c r="K70" s="32"/>
      <c r="L70" s="32"/>
      <c r="M70" s="32"/>
      <c r="N70" s="32"/>
      <c r="O70" s="32"/>
      <c r="P70" s="32"/>
      <c r="Q70" s="32"/>
      <c r="R70" s="32"/>
      <c r="S70" s="32"/>
      <c r="T70" s="32"/>
      <c r="U70" s="32"/>
      <c r="V70" s="32"/>
      <c r="W70" s="32"/>
      <c r="X70" s="32"/>
      <c r="Y70" s="32"/>
      <c r="Z70" s="32"/>
      <c r="AA70" s="32"/>
      <c r="AB70" s="32"/>
    </row>
    <row r="71" spans="2:28" ht="14.4" hidden="1" x14ac:dyDescent="0.3">
      <c r="B71" s="32"/>
      <c r="C71" s="32"/>
      <c r="D71" s="32"/>
      <c r="E71" s="32"/>
      <c r="F71" s="170"/>
      <c r="G71" s="170"/>
      <c r="H71" s="170"/>
      <c r="I71" s="32"/>
      <c r="J71" s="32"/>
      <c r="K71" s="32"/>
      <c r="L71" s="32"/>
      <c r="M71" s="32"/>
      <c r="N71" s="32"/>
      <c r="O71" s="32"/>
      <c r="P71" s="32"/>
      <c r="Q71" s="32"/>
      <c r="R71" s="32"/>
      <c r="S71" s="32"/>
      <c r="T71" s="32"/>
      <c r="U71" s="32"/>
      <c r="V71" s="32"/>
      <c r="W71" s="32"/>
      <c r="X71" s="32"/>
      <c r="Y71" s="32"/>
      <c r="Z71" s="32"/>
      <c r="AA71" s="32"/>
      <c r="AB71" s="32"/>
    </row>
    <row r="72" spans="2:28" ht="14.4" hidden="1" x14ac:dyDescent="0.3">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row>
    <row r="73" spans="2:28" ht="14.4" hidden="1" x14ac:dyDescent="0.3">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row>
    <row r="74" spans="2:28" ht="14.4" hidden="1" x14ac:dyDescent="0.3">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row>
    <row r="75" spans="2:28" ht="14.4" hidden="1" x14ac:dyDescent="0.3">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row>
    <row r="76" spans="2:28" ht="14.4" hidden="1" x14ac:dyDescent="0.3">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row>
    <row r="77" spans="2:28" ht="14.4" hidden="1" x14ac:dyDescent="0.3">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row>
    <row r="78" spans="2:28" ht="14.4" hidden="1" x14ac:dyDescent="0.3">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row>
    <row r="79" spans="2:28" ht="14.4" hidden="1" x14ac:dyDescent="0.3">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row>
    <row r="80" spans="2:28" ht="14.4" hidden="1" x14ac:dyDescent="0.3">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row>
    <row r="81" spans="2:28" ht="14.4" hidden="1" x14ac:dyDescent="0.3">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row>
    <row r="82" spans="2:28" ht="14.4" hidden="1" x14ac:dyDescent="0.3">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row>
    <row r="83" spans="2:28" ht="14.4" hidden="1" x14ac:dyDescent="0.3">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row>
    <row r="84" spans="2:28" ht="14.4" hidden="1" x14ac:dyDescent="0.3">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row>
    <row r="85" spans="2:28" ht="14.4" hidden="1" x14ac:dyDescent="0.3">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row>
    <row r="86" spans="2:28" ht="14.4" hidden="1" x14ac:dyDescent="0.3">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row>
    <row r="87" spans="2:28" ht="14.4" hidden="1" x14ac:dyDescent="0.3">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row>
    <row r="88" spans="2:28" ht="14.4" hidden="1" x14ac:dyDescent="0.3">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row>
    <row r="89" spans="2:28" ht="14.4" hidden="1" x14ac:dyDescent="0.3">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row>
    <row r="90" spans="2:28" ht="14.4" hidden="1" x14ac:dyDescent="0.3">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row>
    <row r="91" spans="2:28" ht="14.4" hidden="1" x14ac:dyDescent="0.3">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row>
    <row r="92" spans="2:28" ht="14.4" hidden="1" x14ac:dyDescent="0.3">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row>
    <row r="93" spans="2:28" ht="14.4" hidden="1" x14ac:dyDescent="0.3">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row>
  </sheetData>
  <mergeCells count="9">
    <mergeCell ref="J4:M5"/>
    <mergeCell ref="W56:X56"/>
    <mergeCell ref="W57:X57"/>
    <mergeCell ref="W58:X58"/>
    <mergeCell ref="W51:X51"/>
    <mergeCell ref="W52:X52"/>
    <mergeCell ref="W53:X53"/>
    <mergeCell ref="W54:X54"/>
    <mergeCell ref="W55:X55"/>
  </mergeCells>
  <conditionalFormatting sqref="E62 E64:E65">
    <cfRule type="cellIs" dxfId="15" priority="2" operator="equal">
      <formula>0</formula>
    </cfRule>
  </conditionalFormatting>
  <conditionalFormatting sqref="F10:V10 F12:V12 F14:V14 F16:V16 F18:V18 F21:V21 F24:V24 F26:V26 F31:W32 X44:Y45 F43:V48 F52:V57">
    <cfRule type="cellIs" dxfId="14" priority="24" operator="equal">
      <formula>0</formula>
    </cfRule>
  </conditionalFormatting>
  <conditionalFormatting sqref="F11:V11">
    <cfRule type="colorScale" priority="45">
      <colorScale>
        <cfvo type="min"/>
        <cfvo type="max"/>
        <color rgb="FFCEF6CE"/>
        <color rgb="FF59BF59"/>
      </colorScale>
    </cfRule>
  </conditionalFormatting>
  <conditionalFormatting sqref="F13:V13">
    <cfRule type="colorScale" priority="46">
      <colorScale>
        <cfvo type="min"/>
        <cfvo type="max"/>
        <color rgb="FFCEF6CE"/>
        <color rgb="FF59BF59"/>
      </colorScale>
    </cfRule>
  </conditionalFormatting>
  <conditionalFormatting sqref="F15:V15">
    <cfRule type="colorScale" priority="47">
      <colorScale>
        <cfvo type="min"/>
        <cfvo type="max"/>
        <color rgb="FFCEF6CE"/>
        <color rgb="FF59BF59"/>
      </colorScale>
    </cfRule>
  </conditionalFormatting>
  <conditionalFormatting sqref="F17:V17">
    <cfRule type="colorScale" priority="48">
      <colorScale>
        <cfvo type="min"/>
        <cfvo type="max"/>
        <color rgb="FFCEF6CE"/>
        <color rgb="FF59BF59"/>
      </colorScale>
    </cfRule>
  </conditionalFormatting>
  <conditionalFormatting sqref="F19:V19">
    <cfRule type="colorScale" priority="49">
      <colorScale>
        <cfvo type="min"/>
        <cfvo type="max"/>
        <color rgb="FFCEF6CE"/>
        <color rgb="FF59BF59"/>
      </colorScale>
    </cfRule>
  </conditionalFormatting>
  <conditionalFormatting sqref="F27:V27">
    <cfRule type="colorScale" priority="50">
      <colorScale>
        <cfvo type="min"/>
        <cfvo type="max"/>
        <color rgb="FFCEF6CE"/>
        <color rgb="FF59BF59"/>
      </colorScale>
    </cfRule>
  </conditionalFormatting>
  <conditionalFormatting sqref="F39:V39">
    <cfRule type="colorScale" priority="61">
      <colorScale>
        <cfvo type="min"/>
        <cfvo type="max"/>
        <color rgb="FFCDF6CE"/>
        <color rgb="FF59BF59"/>
      </colorScale>
    </cfRule>
  </conditionalFormatting>
  <conditionalFormatting sqref="F63:V65">
    <cfRule type="cellIs" dxfId="13" priority="1" operator="equal">
      <formula>0</formula>
    </cfRule>
  </conditionalFormatting>
  <conditionalFormatting sqref="F34:W38">
    <cfRule type="cellIs" dxfId="12" priority="3" operator="equal">
      <formula>0</formula>
    </cfRule>
  </conditionalFormatting>
  <conditionalFormatting sqref="F39:W39">
    <cfRule type="colorScale" priority="62">
      <colorScale>
        <cfvo type="min"/>
        <cfvo type="max"/>
        <color rgb="FFCEF6CE"/>
        <color rgb="FF59BF59"/>
      </colorScale>
    </cfRule>
  </conditionalFormatting>
  <conditionalFormatting sqref="F58:W58">
    <cfRule type="colorScale" priority="63">
      <colorScale>
        <cfvo type="min"/>
        <cfvo type="max"/>
        <color rgb="FFCDF6CE"/>
        <color rgb="FF59BF59"/>
      </colorScale>
    </cfRule>
    <cfRule type="colorScale" priority="64">
      <colorScale>
        <cfvo type="min"/>
        <cfvo type="max"/>
        <color rgb="FFCEF6CE"/>
        <color rgb="FF59BF59"/>
      </colorScale>
    </cfRule>
  </conditionalFormatting>
  <conditionalFormatting sqref="I8:V8">
    <cfRule type="cellIs" dxfId="11" priority="26" operator="equal">
      <formula>0</formula>
    </cfRule>
  </conditionalFormatting>
  <conditionalFormatting sqref="L20:V20">
    <cfRule type="cellIs" dxfId="10" priority="7" operator="equal">
      <formula>0</formula>
    </cfRule>
  </conditionalFormatting>
  <conditionalFormatting sqref="M22:V23">
    <cfRule type="cellIs" dxfId="9" priority="22" operator="equal">
      <formula>0</formula>
    </cfRule>
  </conditionalFormatting>
  <conditionalFormatting sqref="M25:V25">
    <cfRule type="cellIs" dxfId="8" priority="23" operator="equal">
      <formula>0</formula>
    </cfRule>
  </conditionalFormatting>
  <conditionalFormatting sqref="W21">
    <cfRule type="colorScale" priority="25">
      <colorScale>
        <cfvo type="min"/>
        <cfvo type="max"/>
        <color rgb="FFFCFCFF"/>
        <color rgb="FF63BE7B"/>
      </colorScale>
    </cfRule>
  </conditionalFormatting>
  <conditionalFormatting sqref="W52:W54 W56">
    <cfRule type="cellIs" dxfId="7" priority="5" operator="equal">
      <formula>0</formula>
    </cfRule>
  </conditionalFormatting>
  <conditionalFormatting sqref="X31:Y31">
    <cfRule type="cellIs" dxfId="6" priority="6" operator="equal">
      <formula>0</formula>
    </cfRule>
  </conditionalFormatting>
  <hyperlinks>
    <hyperlink ref="A13" location="'Projeções - NIM'!A1" display="Projeções - NIM" xr:uid="{CDAA3570-218A-440A-A398-4D1B650899C7}"/>
    <hyperlink ref="A12" location="'Balanço Patrimonial - Contábil'!A1" display="Balanço Patrimonial" xr:uid="{D704B982-8E6E-415B-A0F7-7BA7EFF4B6EC}"/>
    <hyperlink ref="A11" location="'DRE - Cosif'!A1" display="DRE - Cosif" xr:uid="{46A90042-9167-47DE-B32F-386F22DE63CD}"/>
    <hyperlink ref="A10" location="'DRE + DCF'!A1" display="DRE + DCF" xr:uid="{EE9264AC-E3AA-49A0-9775-90187EAB12EA}"/>
    <hyperlink ref="A9" location="Ke!A1" display="Ke" xr:uid="{41059139-8EE1-4BE6-BA8C-48BFDD6EA811}"/>
    <hyperlink ref="A8" location="Dashboard!A1" display="Dashboard" xr:uid="{697C26B1-8582-4051-B72B-35D02AD4BC29}"/>
    <hyperlink ref="A15" location="'Painel de Índices'!A1" display="Painel de Índices" xr:uid="{9EBEC003-3369-435E-8294-30E5CFF2DA15}"/>
    <hyperlink ref="A14" location="'Projeções Trimestrais'!A1" display="Projeções Trimestrais" xr:uid="{6B297CC3-4BD6-40DA-B87A-07380CE5DCCF}"/>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B8A3-EDBE-4D90-9788-764CB7D0A02A}">
  <dimension ref="A1:AA263"/>
  <sheetViews>
    <sheetView zoomScaleNormal="100" workbookViewId="0">
      <selection activeCell="A12" sqref="A12"/>
    </sheetView>
  </sheetViews>
  <sheetFormatPr defaultColWidth="0" defaultRowHeight="14.4" zeroHeight="1" x14ac:dyDescent="0.3"/>
  <cols>
    <col min="1" max="1" width="35.6640625" style="1" customWidth="1"/>
    <col min="2" max="4" width="8.88671875" style="2" customWidth="1"/>
    <col min="5" max="5" width="65.6640625" style="2" customWidth="1"/>
    <col min="6" max="22" width="15.88671875" style="2" customWidth="1"/>
    <col min="23" max="23" width="19.109375" style="2" bestFit="1" customWidth="1"/>
    <col min="24" max="24" width="44.88671875" style="2" customWidth="1"/>
    <col min="25" max="27" width="15.88671875" style="2" customWidth="1"/>
    <col min="28" max="16384" width="8.88671875" hidden="1"/>
  </cols>
  <sheetData>
    <row r="1" spans="1:24" x14ac:dyDescent="0.3"/>
    <row r="2" spans="1:24" x14ac:dyDescent="0.3"/>
    <row r="3" spans="1:24" x14ac:dyDescent="0.3"/>
    <row r="4" spans="1:24" ht="14.4" customHeight="1" x14ac:dyDescent="0.3">
      <c r="L4" s="458" t="str">
        <f>Dashboard!J4</f>
        <v>Banco da Amazônia ($BAZA3)</v>
      </c>
      <c r="M4" s="458"/>
      <c r="N4" s="458"/>
      <c r="O4" s="458"/>
      <c r="P4" s="36"/>
    </row>
    <row r="5" spans="1:24" ht="25.8" x14ac:dyDescent="0.3">
      <c r="L5" s="459"/>
      <c r="M5" s="459"/>
      <c r="N5" s="459"/>
      <c r="O5" s="459"/>
      <c r="P5" s="36"/>
    </row>
    <row r="6" spans="1:24" x14ac:dyDescent="0.3"/>
    <row r="7" spans="1:24" ht="30" customHeight="1" x14ac:dyDescent="0.3">
      <c r="A7" s="3" t="s">
        <v>0</v>
      </c>
    </row>
    <row r="8" spans="1:24" ht="30" customHeight="1" x14ac:dyDescent="0.3">
      <c r="A8" s="4" t="s">
        <v>1</v>
      </c>
    </row>
    <row r="9" spans="1:24" ht="30" customHeight="1" thickBot="1" x14ac:dyDescent="0.35">
      <c r="A9" s="4" t="s">
        <v>2</v>
      </c>
      <c r="E9"/>
      <c r="F9"/>
      <c r="G9"/>
      <c r="H9"/>
      <c r="I9"/>
      <c r="J9"/>
      <c r="K9"/>
      <c r="L9"/>
      <c r="M9"/>
      <c r="N9"/>
      <c r="O9"/>
      <c r="P9"/>
      <c r="Q9"/>
      <c r="R9"/>
      <c r="S9"/>
      <c r="T9"/>
      <c r="U9"/>
      <c r="V9"/>
      <c r="W9"/>
      <c r="X9"/>
    </row>
    <row r="10" spans="1:24" ht="30" customHeight="1" x14ac:dyDescent="0.3">
      <c r="A10" s="4" t="s">
        <v>4</v>
      </c>
      <c r="E10" s="86"/>
      <c r="F10" s="87">
        <v>2020</v>
      </c>
      <c r="G10" s="87">
        <v>2021</v>
      </c>
      <c r="H10" s="87">
        <v>2022</v>
      </c>
      <c r="I10" s="88">
        <v>2023</v>
      </c>
      <c r="J10" s="88" t="s">
        <v>410</v>
      </c>
      <c r="K10" s="88" t="s">
        <v>411</v>
      </c>
      <c r="L10" s="89" t="s">
        <v>412</v>
      </c>
      <c r="M10" s="89">
        <v>2024</v>
      </c>
      <c r="N10" s="89">
        <v>2025</v>
      </c>
      <c r="O10" s="89">
        <v>2026</v>
      </c>
      <c r="P10" s="89">
        <v>2027</v>
      </c>
      <c r="Q10" s="89">
        <v>2028</v>
      </c>
      <c r="R10" s="89">
        <v>2029</v>
      </c>
      <c r="S10" s="89">
        <v>2030</v>
      </c>
      <c r="T10" s="89">
        <v>2031</v>
      </c>
      <c r="U10" s="89">
        <v>2032</v>
      </c>
      <c r="V10" s="89">
        <v>2033</v>
      </c>
      <c r="W10" s="489" t="s">
        <v>125</v>
      </c>
      <c r="X10" s="490"/>
    </row>
    <row r="11" spans="1:24" ht="30" customHeight="1" x14ac:dyDescent="0.3">
      <c r="A11" s="5" t="s">
        <v>413</v>
      </c>
      <c r="E11" s="90" t="s">
        <v>126</v>
      </c>
      <c r="F11" s="91">
        <f>'Projeções - NIM'!F18</f>
        <v>479196</v>
      </c>
      <c r="G11" s="91">
        <f>'Projeções - NIM'!G18</f>
        <v>699559</v>
      </c>
      <c r="H11" s="91">
        <f>'Projeções - NIM'!H18</f>
        <v>1448757</v>
      </c>
      <c r="I11" s="91">
        <f>'Projeções - NIM'!I18</f>
        <v>1579027</v>
      </c>
      <c r="J11" s="91">
        <f>'Projeções - NIM'!J18</f>
        <v>384800.96628999989</v>
      </c>
      <c r="K11" s="91">
        <f>'Projeções - NIM'!K18</f>
        <v>384800.96628999989</v>
      </c>
      <c r="L11" s="119">
        <f>'Projeções - NIM'!L18</f>
        <v>1489355.2175656511</v>
      </c>
      <c r="M11" s="92">
        <f>'Projeções - NIM'!M18</f>
        <v>1874156.1838556509</v>
      </c>
      <c r="N11" s="92">
        <f>'Projeções - NIM'!N18</f>
        <v>2239651.9786343728</v>
      </c>
      <c r="O11" s="92">
        <f>'Projeções - NIM'!O18</f>
        <v>2469854.3648685813</v>
      </c>
      <c r="P11" s="92">
        <f>'Projeções - NIM'!P18</f>
        <v>2706552.808283356</v>
      </c>
      <c r="Q11" s="92">
        <f>'Projeções - NIM'!Q18</f>
        <v>2942521.8415424274</v>
      </c>
      <c r="R11" s="92">
        <f>'Projeções - NIM'!R18</f>
        <v>3178171.6019555228</v>
      </c>
      <c r="S11" s="92">
        <f>'Projeções - NIM'!S18</f>
        <v>3413832.323969977</v>
      </c>
      <c r="T11" s="92">
        <f>'Projeções - NIM'!T18</f>
        <v>3653318.393403328</v>
      </c>
      <c r="U11" s="92">
        <f>'Projeções - NIM'!U18</f>
        <v>3895693.974129416</v>
      </c>
      <c r="V11" s="92">
        <f>'Projeções - NIM'!V18</f>
        <v>4142297.4206927121</v>
      </c>
      <c r="W11" s="511" t="s">
        <v>127</v>
      </c>
      <c r="X11" s="512"/>
    </row>
    <row r="12" spans="1:24" ht="30" customHeight="1" x14ac:dyDescent="0.3">
      <c r="A12" s="4" t="s">
        <v>8</v>
      </c>
      <c r="E12" s="90" t="s">
        <v>242</v>
      </c>
      <c r="F12" s="91">
        <f>'Projeções - NIM'!F24</f>
        <v>-118653</v>
      </c>
      <c r="G12" s="91">
        <f>'Projeções - NIM'!G24</f>
        <v>-181931</v>
      </c>
      <c r="H12" s="91">
        <f>'Projeções - NIM'!H24</f>
        <v>-387548</v>
      </c>
      <c r="I12" s="91">
        <f>'Projeções - NIM'!I24</f>
        <v>-510867</v>
      </c>
      <c r="J12" s="91">
        <f>'Projeções - NIM'!J24</f>
        <v>-294126.41435000004</v>
      </c>
      <c r="K12" s="91">
        <f>'Projeções - NIM'!K24</f>
        <v>-294126.41435000004</v>
      </c>
      <c r="L12" s="119">
        <f>'Projeções - NIM'!L24</f>
        <v>-401451.02450995496</v>
      </c>
      <c r="M12" s="92">
        <f>'Projeções - NIM'!M24</f>
        <v>-695577.43885995494</v>
      </c>
      <c r="N12" s="92">
        <f>'Projeções - NIM'!N24</f>
        <v>-613252.33478605235</v>
      </c>
      <c r="O12" s="92">
        <f>'Projeções - NIM'!O24</f>
        <v>-687121.72679484426</v>
      </c>
      <c r="P12" s="92">
        <f>'Projeções - NIM'!P24</f>
        <v>-764165.89431583008</v>
      </c>
      <c r="Q12" s="92">
        <f>'Projeções - NIM'!Q24</f>
        <v>-841568.35880887439</v>
      </c>
      <c r="R12" s="92">
        <f>'Projeções - NIM'!R24</f>
        <v>-919380.31030063634</v>
      </c>
      <c r="S12" s="92">
        <f>'Projeções - NIM'!S24</f>
        <v>-997781.65357774566</v>
      </c>
      <c r="T12" s="92">
        <f>'Projeções - NIM'!T24</f>
        <v>-1077955.9513211248</v>
      </c>
      <c r="U12" s="92">
        <f>'Projeções - NIM'!U24</f>
        <v>-1159780.7275845676</v>
      </c>
      <c r="V12" s="92">
        <f>'Projeções - NIM'!V24</f>
        <v>-1243878.0099492241</v>
      </c>
      <c r="W12" s="511" t="s">
        <v>127</v>
      </c>
      <c r="X12" s="512"/>
    </row>
    <row r="13" spans="1:24" ht="30" customHeight="1" thickBot="1" x14ac:dyDescent="0.35">
      <c r="A13" s="4" t="s">
        <v>10</v>
      </c>
      <c r="E13" s="93" t="s">
        <v>128</v>
      </c>
      <c r="F13" s="94">
        <f t="shared" ref="F13:V13" si="0">F11+F12</f>
        <v>360543</v>
      </c>
      <c r="G13" s="94">
        <f t="shared" si="0"/>
        <v>517628</v>
      </c>
      <c r="H13" s="94">
        <f t="shared" si="0"/>
        <v>1061209</v>
      </c>
      <c r="I13" s="94">
        <f t="shared" si="0"/>
        <v>1068160</v>
      </c>
      <c r="J13" s="94">
        <f t="shared" ref="J13:K13" si="1">J11+J12</f>
        <v>90674.551939999859</v>
      </c>
      <c r="K13" s="94">
        <f t="shared" si="1"/>
        <v>90674.551939999859</v>
      </c>
      <c r="L13" s="95">
        <f>L11+L12</f>
        <v>1087904.1930556961</v>
      </c>
      <c r="M13" s="95">
        <f t="shared" si="0"/>
        <v>1178578.744995696</v>
      </c>
      <c r="N13" s="95">
        <f t="shared" si="0"/>
        <v>1626399.6438483205</v>
      </c>
      <c r="O13" s="95">
        <f t="shared" si="0"/>
        <v>1782732.638073737</v>
      </c>
      <c r="P13" s="95">
        <f t="shared" si="0"/>
        <v>1942386.9139675261</v>
      </c>
      <c r="Q13" s="95">
        <f t="shared" si="0"/>
        <v>2100953.4827335533</v>
      </c>
      <c r="R13" s="95">
        <f t="shared" si="0"/>
        <v>2258791.2916548867</v>
      </c>
      <c r="S13" s="95">
        <f t="shared" si="0"/>
        <v>2416050.6703922311</v>
      </c>
      <c r="T13" s="95">
        <f t="shared" si="0"/>
        <v>2575362.442082203</v>
      </c>
      <c r="U13" s="95">
        <f t="shared" si="0"/>
        <v>2735913.2465448482</v>
      </c>
      <c r="V13" s="95">
        <f t="shared" si="0"/>
        <v>2898419.410743488</v>
      </c>
      <c r="W13" s="513"/>
      <c r="X13" s="514"/>
    </row>
    <row r="14" spans="1:24" ht="30" customHeight="1" x14ac:dyDescent="0.3">
      <c r="A14" s="4" t="s">
        <v>419</v>
      </c>
      <c r="F14" s="96"/>
      <c r="G14" s="96"/>
      <c r="H14" s="96"/>
      <c r="I14" s="96"/>
      <c r="J14" s="96"/>
      <c r="K14" s="96"/>
      <c r="L14" s="96"/>
      <c r="M14" s="96"/>
      <c r="N14" s="96"/>
      <c r="O14" s="96"/>
      <c r="P14" s="96"/>
      <c r="Q14" s="96"/>
      <c r="R14" s="96"/>
      <c r="S14" s="96"/>
      <c r="T14" s="96"/>
      <c r="U14" s="96"/>
      <c r="V14" s="96"/>
    </row>
    <row r="15" spans="1:24" ht="30" customHeight="1" x14ac:dyDescent="0.3">
      <c r="A15" s="4" t="s">
        <v>12</v>
      </c>
    </row>
    <row r="16" spans="1:24" ht="30" customHeight="1" thickBot="1" x14ac:dyDescent="0.35">
      <c r="E16"/>
      <c r="F16"/>
      <c r="G16"/>
      <c r="H16"/>
      <c r="I16"/>
      <c r="J16"/>
      <c r="K16"/>
      <c r="L16"/>
      <c r="M16"/>
      <c r="N16"/>
      <c r="O16"/>
      <c r="P16"/>
      <c r="Q16"/>
      <c r="R16"/>
      <c r="S16"/>
      <c r="T16"/>
      <c r="U16"/>
      <c r="V16"/>
      <c r="W16"/>
      <c r="X16"/>
    </row>
    <row r="17" spans="1:24" ht="30" customHeight="1" x14ac:dyDescent="0.3">
      <c r="A17" s="20"/>
      <c r="E17" s="86"/>
      <c r="F17" s="87">
        <f t="shared" ref="F17:V17" si="2">F$10</f>
        <v>2020</v>
      </c>
      <c r="G17" s="87">
        <f t="shared" si="2"/>
        <v>2021</v>
      </c>
      <c r="H17" s="87">
        <f t="shared" si="2"/>
        <v>2022</v>
      </c>
      <c r="I17" s="88">
        <f t="shared" si="2"/>
        <v>2023</v>
      </c>
      <c r="J17" s="88" t="str">
        <f t="shared" si="2"/>
        <v>1T24</v>
      </c>
      <c r="K17" s="88" t="str">
        <f t="shared" si="2"/>
        <v>YTD24</v>
      </c>
      <c r="L17" s="89" t="str">
        <f t="shared" si="2"/>
        <v>YTG24</v>
      </c>
      <c r="M17" s="89">
        <f t="shared" si="2"/>
        <v>2024</v>
      </c>
      <c r="N17" s="89">
        <f t="shared" si="2"/>
        <v>2025</v>
      </c>
      <c r="O17" s="89">
        <f t="shared" si="2"/>
        <v>2026</v>
      </c>
      <c r="P17" s="89">
        <f t="shared" si="2"/>
        <v>2027</v>
      </c>
      <c r="Q17" s="89">
        <f t="shared" si="2"/>
        <v>2028</v>
      </c>
      <c r="R17" s="89">
        <f t="shared" si="2"/>
        <v>2029</v>
      </c>
      <c r="S17" s="89">
        <f t="shared" si="2"/>
        <v>2030</v>
      </c>
      <c r="T17" s="89">
        <f t="shared" si="2"/>
        <v>2031</v>
      </c>
      <c r="U17" s="89">
        <f t="shared" si="2"/>
        <v>2032</v>
      </c>
      <c r="V17" s="89">
        <f t="shared" si="2"/>
        <v>2033</v>
      </c>
      <c r="W17" s="88" t="s">
        <v>223</v>
      </c>
      <c r="X17" s="97" t="s">
        <v>125</v>
      </c>
    </row>
    <row r="18" spans="1:24" ht="30" customHeight="1" x14ac:dyDescent="0.3">
      <c r="A18" s="20"/>
      <c r="E18" s="98" t="s">
        <v>129</v>
      </c>
      <c r="F18" s="99">
        <f t="shared" ref="F18:V18" si="3">F13</f>
        <v>360543</v>
      </c>
      <c r="G18" s="99">
        <f t="shared" si="3"/>
        <v>517628</v>
      </c>
      <c r="H18" s="99">
        <f t="shared" si="3"/>
        <v>1061209</v>
      </c>
      <c r="I18" s="99">
        <f>I13</f>
        <v>1068160</v>
      </c>
      <c r="J18" s="99">
        <f t="shared" ref="J18:K18" si="4">J13</f>
        <v>90674.551939999859</v>
      </c>
      <c r="K18" s="99">
        <f t="shared" si="4"/>
        <v>90674.551939999859</v>
      </c>
      <c r="L18" s="117">
        <f>L13</f>
        <v>1087904.1930556961</v>
      </c>
      <c r="M18" s="100">
        <f t="shared" si="3"/>
        <v>1178578.744995696</v>
      </c>
      <c r="N18" s="100">
        <f t="shared" si="3"/>
        <v>1626399.6438483205</v>
      </c>
      <c r="O18" s="100">
        <f t="shared" si="3"/>
        <v>1782732.638073737</v>
      </c>
      <c r="P18" s="100">
        <f t="shared" si="3"/>
        <v>1942386.9139675261</v>
      </c>
      <c r="Q18" s="100">
        <f t="shared" si="3"/>
        <v>2100953.4827335533</v>
      </c>
      <c r="R18" s="100">
        <f t="shared" si="3"/>
        <v>2258791.2916548867</v>
      </c>
      <c r="S18" s="100">
        <f t="shared" si="3"/>
        <v>2416050.6703922311</v>
      </c>
      <c r="T18" s="100">
        <f t="shared" si="3"/>
        <v>2575362.442082203</v>
      </c>
      <c r="U18" s="100">
        <f t="shared" si="3"/>
        <v>2735913.2465448482</v>
      </c>
      <c r="V18" s="100">
        <f t="shared" si="3"/>
        <v>2898419.410743488</v>
      </c>
      <c r="W18" s="128">
        <f>(I18/F18)^(1/3)-1</f>
        <v>0.43623800358028508</v>
      </c>
      <c r="X18" s="102"/>
    </row>
    <row r="19" spans="1:24" ht="30" customHeight="1" x14ac:dyDescent="0.3">
      <c r="A19" s="20"/>
      <c r="E19" s="98" t="s">
        <v>130</v>
      </c>
      <c r="F19" s="99">
        <f>SUM(F21,F31,F33,F39,F41,F43,F45)</f>
        <v>1760424</v>
      </c>
      <c r="G19" s="99">
        <f t="shared" ref="G19:V19" si="5">SUM(G21,G31,G33,G39,G41,G43,G45)</f>
        <v>2197525</v>
      </c>
      <c r="H19" s="99">
        <f t="shared" si="5"/>
        <v>2950511</v>
      </c>
      <c r="I19" s="99">
        <f>SUM(I21,I31,I33,I39,I41,I43,I45)</f>
        <v>2853777</v>
      </c>
      <c r="J19" s="99">
        <f t="shared" ref="J19:M19" si="6">SUM(J21,J31,J33,J39,J41,J43,J45)</f>
        <v>708102.46036000003</v>
      </c>
      <c r="K19" s="99">
        <f t="shared" si="6"/>
        <v>708102.46036000003</v>
      </c>
      <c r="L19" s="117">
        <f>SUM(L21,L31,L33,L39,L41,L43,L45)</f>
        <v>2301613.5747816423</v>
      </c>
      <c r="M19" s="100">
        <f t="shared" si="6"/>
        <v>3009716.0351416431</v>
      </c>
      <c r="N19" s="100">
        <f t="shared" si="5"/>
        <v>3379640.8732147138</v>
      </c>
      <c r="O19" s="100">
        <f t="shared" si="5"/>
        <v>3749963.4570478359</v>
      </c>
      <c r="P19" s="100">
        <f t="shared" si="5"/>
        <v>4140650.0616164608</v>
      </c>
      <c r="Q19" s="100">
        <f t="shared" si="5"/>
        <v>4546574.0865886826</v>
      </c>
      <c r="R19" s="100">
        <f t="shared" si="5"/>
        <v>4968967.7146171266</v>
      </c>
      <c r="S19" s="100">
        <f t="shared" si="5"/>
        <v>5407993.8096318636</v>
      </c>
      <c r="T19" s="100">
        <f t="shared" si="5"/>
        <v>5869595.2154493527</v>
      </c>
      <c r="U19" s="100">
        <f t="shared" si="5"/>
        <v>6351891.3638109323</v>
      </c>
      <c r="V19" s="100">
        <f t="shared" si="5"/>
        <v>6856155.7724507088</v>
      </c>
      <c r="W19" s="128">
        <f>(I19/F19)^(1/3)-1</f>
        <v>0.17471969729282355</v>
      </c>
      <c r="X19" s="102"/>
    </row>
    <row r="20" spans="1:24" ht="30" customHeight="1" x14ac:dyDescent="0.3">
      <c r="E20" s="103" t="s">
        <v>131</v>
      </c>
      <c r="F20" s="104" t="s">
        <v>21</v>
      </c>
      <c r="G20" s="104">
        <f>G19/F19-1</f>
        <v>0.24829302486219218</v>
      </c>
      <c r="H20" s="104">
        <f t="shared" ref="H20:I20" si="7">H19/G19-1</f>
        <v>0.34265184696419837</v>
      </c>
      <c r="I20" s="104">
        <f t="shared" si="7"/>
        <v>-3.2785507323985552E-2</v>
      </c>
      <c r="J20" s="104"/>
      <c r="K20" s="104"/>
      <c r="L20" s="105"/>
      <c r="M20" s="105">
        <f>M19/I19-1</f>
        <v>5.4643034526398848E-2</v>
      </c>
      <c r="N20" s="105">
        <f t="shared" ref="N20:V20" si="8">N19/M19-1</f>
        <v>0.1229102127090409</v>
      </c>
      <c r="O20" s="105">
        <f t="shared" si="8"/>
        <v>0.10957453697761421</v>
      </c>
      <c r="P20" s="105">
        <f t="shared" si="8"/>
        <v>0.10418410980361759</v>
      </c>
      <c r="Q20" s="105">
        <f t="shared" si="8"/>
        <v>9.8033888141166425E-2</v>
      </c>
      <c r="R20" s="105">
        <f t="shared" si="8"/>
        <v>9.2903716069293818E-2</v>
      </c>
      <c r="S20" s="105">
        <f t="shared" si="8"/>
        <v>8.8353581715425733E-2</v>
      </c>
      <c r="T20" s="105">
        <f t="shared" si="8"/>
        <v>8.5355387240894753E-2</v>
      </c>
      <c r="U20" s="105">
        <f t="shared" si="8"/>
        <v>8.2168553479144313E-2</v>
      </c>
      <c r="V20" s="105">
        <f t="shared" si="8"/>
        <v>7.938807195487585E-2</v>
      </c>
      <c r="W20" s="101"/>
      <c r="X20" s="106"/>
    </row>
    <row r="21" spans="1:24" ht="30" customHeight="1" x14ac:dyDescent="0.3">
      <c r="E21" s="380" t="s">
        <v>149</v>
      </c>
      <c r="F21" s="99">
        <f>SUM(F23,F25,F27,F29)</f>
        <v>626682</v>
      </c>
      <c r="G21" s="99">
        <f t="shared" ref="G21:V21" si="9">SUM(G23,G25,G27,G29)</f>
        <v>670208</v>
      </c>
      <c r="H21" s="99">
        <f t="shared" si="9"/>
        <v>773225</v>
      </c>
      <c r="I21" s="381">
        <f>SUM(I23,I25,I27,I29)</f>
        <v>497536</v>
      </c>
      <c r="J21" s="381">
        <f t="shared" ref="J21:M21" si="10">SUM(J23,J25,J27,J29)</f>
        <v>121774</v>
      </c>
      <c r="K21" s="381">
        <f t="shared" si="10"/>
        <v>121774</v>
      </c>
      <c r="L21" s="100">
        <f t="shared" si="10"/>
        <v>325921.27560857486</v>
      </c>
      <c r="M21" s="100">
        <f t="shared" si="10"/>
        <v>447695.27560857486</v>
      </c>
      <c r="N21" s="100">
        <f t="shared" si="9"/>
        <v>474851.27757358016</v>
      </c>
      <c r="O21" s="100">
        <f t="shared" si="9"/>
        <v>502214.34486851905</v>
      </c>
      <c r="P21" s="100">
        <f t="shared" si="9"/>
        <v>533463.47736649041</v>
      </c>
      <c r="Q21" s="100">
        <f t="shared" si="9"/>
        <v>568013.65034161916</v>
      </c>
      <c r="R21" s="100">
        <f t="shared" si="9"/>
        <v>605850.03319385799</v>
      </c>
      <c r="S21" s="100">
        <f t="shared" si="9"/>
        <v>646870.58103018499</v>
      </c>
      <c r="T21" s="100">
        <f t="shared" si="9"/>
        <v>691624.13330746081</v>
      </c>
      <c r="U21" s="100">
        <f t="shared" si="9"/>
        <v>739829.79419472616</v>
      </c>
      <c r="V21" s="100">
        <f t="shared" si="9"/>
        <v>791558.71772887965</v>
      </c>
      <c r="W21" s="128">
        <f>(I21/F21)^(1/3)-1</f>
        <v>-7.4039565944498009E-2</v>
      </c>
      <c r="X21" s="109"/>
    </row>
    <row r="22" spans="1:24" ht="30" customHeight="1" x14ac:dyDescent="0.3">
      <c r="E22" s="110" t="s">
        <v>131</v>
      </c>
      <c r="F22" s="104" t="s">
        <v>21</v>
      </c>
      <c r="G22" s="104">
        <f>G21/F21-1</f>
        <v>6.9454683555615127E-2</v>
      </c>
      <c r="H22" s="104">
        <f t="shared" ref="H22:I22" si="11">H21/G21-1</f>
        <v>0.15370899780366698</v>
      </c>
      <c r="I22" s="104">
        <f t="shared" si="11"/>
        <v>-0.35654434349639497</v>
      </c>
      <c r="J22" s="104"/>
      <c r="K22" s="104"/>
      <c r="L22" s="105"/>
      <c r="M22" s="105">
        <f>M21/I21-1</f>
        <v>-0.10017511173347282</v>
      </c>
      <c r="N22" s="105">
        <f t="shared" ref="N22:Q22" si="12">N21/M21-1</f>
        <v>6.0657334228266802E-2</v>
      </c>
      <c r="O22" s="105">
        <f t="shared" si="12"/>
        <v>5.76244996849542E-2</v>
      </c>
      <c r="P22" s="105">
        <f t="shared" si="12"/>
        <v>6.2222699963204953E-2</v>
      </c>
      <c r="Q22" s="105">
        <f t="shared" si="12"/>
        <v>6.4765770181100413E-2</v>
      </c>
      <c r="R22" s="105">
        <f>R21/Q21-1</f>
        <v>6.6611749258988828E-2</v>
      </c>
      <c r="S22" s="105">
        <f t="shared" ref="S22:T22" si="13">S21/R21-1</f>
        <v>6.7707428553035021E-2</v>
      </c>
      <c r="T22" s="105">
        <f t="shared" si="13"/>
        <v>6.9184708023052766E-2</v>
      </c>
      <c r="U22" s="105">
        <f>U21/T21-1</f>
        <v>6.9699217487882992E-2</v>
      </c>
      <c r="V22" s="105">
        <f t="shared" ref="V22" si="14">V21/U21-1</f>
        <v>6.9920032877911042E-2</v>
      </c>
      <c r="W22" s="101"/>
      <c r="X22" s="111"/>
    </row>
    <row r="23" spans="1:24" ht="30" customHeight="1" x14ac:dyDescent="0.3">
      <c r="E23" s="131" t="s">
        <v>150</v>
      </c>
      <c r="F23" s="91">
        <v>611945</v>
      </c>
      <c r="G23" s="91">
        <v>656285</v>
      </c>
      <c r="H23" s="91">
        <v>756947</v>
      </c>
      <c r="I23" s="108">
        <v>479979</v>
      </c>
      <c r="J23" s="108">
        <v>117224</v>
      </c>
      <c r="K23" s="108">
        <f>J23</f>
        <v>117224</v>
      </c>
      <c r="L23" s="92">
        <f>'Projeções Trimestrais'!J83</f>
        <v>311334.36761795467</v>
      </c>
      <c r="M23" s="92">
        <f>SUM(K23,L23)</f>
        <v>428558.36761795467</v>
      </c>
      <c r="N23" s="92">
        <f t="shared" ref="N23:V23" si="15">N84</f>
        <v>454842.02372731082</v>
      </c>
      <c r="O23" s="92">
        <f t="shared" si="15"/>
        <v>481856.18313733285</v>
      </c>
      <c r="P23" s="92">
        <f>P84</f>
        <v>512971.56430724298</v>
      </c>
      <c r="Q23" s="92">
        <f t="shared" si="15"/>
        <v>547639.72153781948</v>
      </c>
      <c r="R23" s="92">
        <f t="shared" si="15"/>
        <v>585846.24482268258</v>
      </c>
      <c r="S23" s="92">
        <f t="shared" si="15"/>
        <v>627495.10889036779</v>
      </c>
      <c r="T23" s="92">
        <f t="shared" si="15"/>
        <v>673122.53724017832</v>
      </c>
      <c r="U23" s="92">
        <f t="shared" si="15"/>
        <v>722465.91945707717</v>
      </c>
      <c r="V23" s="92">
        <f t="shared" si="15"/>
        <v>775603.28783314535</v>
      </c>
      <c r="W23" s="128">
        <f>(I23/F23)^(1/3)-1</f>
        <v>-7.777558554440922E-2</v>
      </c>
      <c r="X23" s="112" t="s">
        <v>337</v>
      </c>
    </row>
    <row r="24" spans="1:24" ht="30" customHeight="1" x14ac:dyDescent="0.3">
      <c r="E24" s="151" t="s">
        <v>131</v>
      </c>
      <c r="F24" s="104" t="s">
        <v>21</v>
      </c>
      <c r="G24" s="104">
        <f>G23/F23-1</f>
        <v>7.2457492094877729E-2</v>
      </c>
      <c r="H24" s="104">
        <f t="shared" ref="H24:I24" si="16">H23/G23-1</f>
        <v>0.15338153393723752</v>
      </c>
      <c r="I24" s="104">
        <f t="shared" si="16"/>
        <v>-0.36590144356209875</v>
      </c>
      <c r="J24" s="104"/>
      <c r="K24" s="104"/>
      <c r="L24" s="105"/>
      <c r="M24" s="105">
        <f>M23/I23-1</f>
        <v>-0.10713100444403889</v>
      </c>
      <c r="N24" s="105">
        <f t="shared" ref="N24:R24" si="17">N23/M23-1</f>
        <v>6.1330399999999896E-2</v>
      </c>
      <c r="O24" s="105">
        <f t="shared" si="17"/>
        <v>5.9392400000000123E-2</v>
      </c>
      <c r="P24" s="105">
        <f t="shared" si="17"/>
        <v>6.4573999999999909E-2</v>
      </c>
      <c r="Q24" s="105">
        <f t="shared" si="17"/>
        <v>6.7583000000000171E-2</v>
      </c>
      <c r="R24" s="105">
        <f t="shared" si="17"/>
        <v>6.9765799999999878E-2</v>
      </c>
      <c r="S24" s="105">
        <f>S23/R23-1</f>
        <v>7.1091800000000038E-2</v>
      </c>
      <c r="T24" s="105">
        <f t="shared" ref="T24:V24" si="18">T23/S23-1</f>
        <v>7.2713599999999712E-2</v>
      </c>
      <c r="U24" s="105">
        <f t="shared" si="18"/>
        <v>7.330520000000007E-2</v>
      </c>
      <c r="V24" s="105">
        <f t="shared" si="18"/>
        <v>7.3550000000000226E-2</v>
      </c>
      <c r="W24" s="101"/>
      <c r="X24" s="111"/>
    </row>
    <row r="25" spans="1:24" ht="30" customHeight="1" x14ac:dyDescent="0.3">
      <c r="E25" s="131" t="s">
        <v>151</v>
      </c>
      <c r="F25" s="91">
        <v>1674</v>
      </c>
      <c r="G25" s="91">
        <v>140</v>
      </c>
      <c r="H25" s="91">
        <v>830</v>
      </c>
      <c r="I25" s="108">
        <v>743</v>
      </c>
      <c r="J25" s="108">
        <v>4</v>
      </c>
      <c r="K25" s="108">
        <f>J25</f>
        <v>4</v>
      </c>
      <c r="L25" s="92">
        <f>'Projeções Trimestrais'!J94</f>
        <v>11.95750323510703</v>
      </c>
      <c r="M25" s="92">
        <f>SUM(K25,L25)</f>
        <v>15.95750323510703</v>
      </c>
      <c r="N25" s="92">
        <f t="shared" ref="N25:V25" si="19">N85</f>
        <v>17.84575250877274</v>
      </c>
      <c r="O25" s="92">
        <f>O85</f>
        <v>19.514644798879036</v>
      </c>
      <c r="P25" s="92">
        <f t="shared" si="19"/>
        <v>21.230385977707179</v>
      </c>
      <c r="Q25" s="92">
        <f t="shared" si="19"/>
        <v>22.964104360138364</v>
      </c>
      <c r="R25" s="92">
        <f t="shared" si="19"/>
        <v>24.720479308039675</v>
      </c>
      <c r="S25" s="92">
        <f t="shared" si="19"/>
        <v>26.498529679692911</v>
      </c>
      <c r="T25" s="92">
        <f t="shared" si="19"/>
        <v>28.325336087633119</v>
      </c>
      <c r="U25" s="92">
        <f t="shared" si="19"/>
        <v>30.188945182545538</v>
      </c>
      <c r="V25" s="92">
        <f t="shared" si="19"/>
        <v>32.092845791871532</v>
      </c>
      <c r="W25" s="128">
        <f>(I25/F25)^(1/3)-1</f>
        <v>-0.23719923480036664</v>
      </c>
      <c r="X25" s="112" t="s">
        <v>337</v>
      </c>
    </row>
    <row r="26" spans="1:24" ht="30" customHeight="1" x14ac:dyDescent="0.3">
      <c r="E26" s="151" t="s">
        <v>131</v>
      </c>
      <c r="F26" s="104" t="s">
        <v>21</v>
      </c>
      <c r="G26" s="104">
        <f>G25/F25-1</f>
        <v>-0.91636798088410987</v>
      </c>
      <c r="H26" s="104">
        <f t="shared" ref="H26:I26" si="20">H25/G25-1</f>
        <v>4.9285714285714288</v>
      </c>
      <c r="I26" s="104">
        <f t="shared" si="20"/>
        <v>-0.10481927710843375</v>
      </c>
      <c r="J26" s="104"/>
      <c r="K26" s="104"/>
      <c r="L26" s="105"/>
      <c r="M26" s="105">
        <f>M25/I25-1</f>
        <v>-0.97852287586122877</v>
      </c>
      <c r="N26" s="105">
        <f t="shared" ref="N26:V26" si="21">N25/M25-1</f>
        <v>0.11832986939407286</v>
      </c>
      <c r="O26" s="105">
        <f t="shared" si="21"/>
        <v>9.351761934868752E-2</v>
      </c>
      <c r="P26" s="105">
        <f t="shared" si="21"/>
        <v>8.7920697328126574E-2</v>
      </c>
      <c r="Q26" s="105">
        <f t="shared" si="21"/>
        <v>8.1662122594081232E-2</v>
      </c>
      <c r="R26" s="105">
        <f t="shared" si="21"/>
        <v>7.6483494429247845E-2</v>
      </c>
      <c r="S26" s="105">
        <f t="shared" si="21"/>
        <v>7.1926209419207021E-2</v>
      </c>
      <c r="T26" s="105">
        <f t="shared" si="21"/>
        <v>6.8939915913152516E-2</v>
      </c>
      <c r="U26" s="105">
        <f t="shared" si="21"/>
        <v>6.5793009097818711E-2</v>
      </c>
      <c r="V26" s="105">
        <f t="shared" si="21"/>
        <v>6.3066152123353314E-2</v>
      </c>
      <c r="W26" s="101"/>
      <c r="X26" s="106"/>
    </row>
    <row r="27" spans="1:24" ht="30" customHeight="1" x14ac:dyDescent="0.3">
      <c r="E27" s="131" t="s">
        <v>98</v>
      </c>
      <c r="F27" s="91">
        <v>11828</v>
      </c>
      <c r="G27" s="91">
        <v>12829</v>
      </c>
      <c r="H27" s="91">
        <v>14719</v>
      </c>
      <c r="I27" s="108">
        <v>16324</v>
      </c>
      <c r="J27" s="108">
        <v>4451</v>
      </c>
      <c r="K27" s="108">
        <f>J27</f>
        <v>4451</v>
      </c>
      <c r="L27" s="92">
        <f>'Projeções Trimestrais'!J105</f>
        <v>14254.503681067556</v>
      </c>
      <c r="M27" s="92">
        <f>SUM(K27,L27)</f>
        <v>18705.503681067556</v>
      </c>
      <c r="N27" s="92">
        <f t="shared" ref="N27:V27" si="22">N86</f>
        <v>19578.424473627874</v>
      </c>
      <c r="O27" s="92">
        <f t="shared" si="22"/>
        <v>19943.492829409544</v>
      </c>
      <c r="P27" s="92">
        <f t="shared" si="22"/>
        <v>20102.199963438128</v>
      </c>
      <c r="Q27" s="92">
        <f t="shared" si="22"/>
        <v>20018.819874393306</v>
      </c>
      <c r="R27" s="92">
        <f t="shared" si="22"/>
        <v>19693.029154329288</v>
      </c>
      <c r="S27" s="92">
        <f t="shared" si="22"/>
        <v>19119.014295380333</v>
      </c>
      <c r="T27" s="92">
        <f t="shared" si="22"/>
        <v>18309.395604141671</v>
      </c>
      <c r="U27" s="92">
        <f t="shared" si="22"/>
        <v>17246.357310077146</v>
      </c>
      <c r="V27" s="92">
        <f t="shared" si="22"/>
        <v>15923.337049942502</v>
      </c>
      <c r="W27" s="128">
        <f>(I27/F27)^(1/3)-1</f>
        <v>0.11336720166810621</v>
      </c>
      <c r="X27" s="112" t="s">
        <v>337</v>
      </c>
    </row>
    <row r="28" spans="1:24" ht="30" customHeight="1" x14ac:dyDescent="0.3">
      <c r="E28" s="151" t="s">
        <v>131</v>
      </c>
      <c r="F28" s="104" t="s">
        <v>21</v>
      </c>
      <c r="G28" s="104">
        <f>G27/F27-1</f>
        <v>8.4629692255664635E-2</v>
      </c>
      <c r="H28" s="104">
        <f t="shared" ref="H28:I28" si="23">H27/G27-1</f>
        <v>0.14732247252318964</v>
      </c>
      <c r="I28" s="104">
        <f t="shared" si="23"/>
        <v>0.10904273388137775</v>
      </c>
      <c r="J28" s="104"/>
      <c r="K28" s="104"/>
      <c r="L28" s="105"/>
      <c r="M28" s="105">
        <f>M27/I27-1</f>
        <v>0.14588971337096024</v>
      </c>
      <c r="N28" s="105">
        <f t="shared" ref="N28:V28" si="24">N27/M27-1</f>
        <v>4.6666521652866777E-2</v>
      </c>
      <c r="O28" s="105">
        <f t="shared" si="24"/>
        <v>1.8646462399128039E-2</v>
      </c>
      <c r="P28" s="105">
        <f t="shared" si="24"/>
        <v>7.9578404538320768E-3</v>
      </c>
      <c r="Q28" s="105">
        <f t="shared" si="24"/>
        <v>-4.1478091550414264E-3</v>
      </c>
      <c r="R28" s="105">
        <f t="shared" si="24"/>
        <v>-1.6274222062447663E-2</v>
      </c>
      <c r="S28" s="105">
        <f t="shared" si="24"/>
        <v>-2.9148124163659417E-2</v>
      </c>
      <c r="T28" s="105">
        <f t="shared" si="24"/>
        <v>-4.2346256911073521E-2</v>
      </c>
      <c r="U28" s="105">
        <f t="shared" si="24"/>
        <v>-5.8059715189291206E-2</v>
      </c>
      <c r="V28" s="105">
        <f t="shared" si="24"/>
        <v>-7.6713026197224643E-2</v>
      </c>
      <c r="W28" s="101"/>
      <c r="X28" s="111"/>
    </row>
    <row r="29" spans="1:24" ht="30" customHeight="1" x14ac:dyDescent="0.3">
      <c r="E29" s="131" t="s">
        <v>152</v>
      </c>
      <c r="F29" s="91">
        <v>1235</v>
      </c>
      <c r="G29" s="91">
        <v>954</v>
      </c>
      <c r="H29" s="91">
        <v>729</v>
      </c>
      <c r="I29" s="108">
        <v>490</v>
      </c>
      <c r="J29" s="108">
        <v>95</v>
      </c>
      <c r="K29" s="108">
        <f>J29</f>
        <v>95</v>
      </c>
      <c r="L29" s="92">
        <f>'Projeções Trimestrais'!J116</f>
        <v>320.44680631753016</v>
      </c>
      <c r="M29" s="92">
        <f>SUM(K29,L29)</f>
        <v>415.44680631753016</v>
      </c>
      <c r="N29" s="92">
        <f t="shared" ref="N29:V29" si="25">N87</f>
        <v>412.98362013268292</v>
      </c>
      <c r="O29" s="92">
        <f t="shared" si="25"/>
        <v>395.15425697780728</v>
      </c>
      <c r="P29" s="92">
        <f t="shared" si="25"/>
        <v>368.48270983154902</v>
      </c>
      <c r="Q29" s="92">
        <f t="shared" si="25"/>
        <v>332.14482504634344</v>
      </c>
      <c r="R29" s="92">
        <f t="shared" si="25"/>
        <v>286.0387375379832</v>
      </c>
      <c r="S29" s="92">
        <f t="shared" si="25"/>
        <v>229.95931475710927</v>
      </c>
      <c r="T29" s="92">
        <f t="shared" si="25"/>
        <v>163.87512705327367</v>
      </c>
      <c r="U29" s="92">
        <f t="shared" si="25"/>
        <v>87.328482389197902</v>
      </c>
      <c r="V29" s="92">
        <f t="shared" si="25"/>
        <v>0</v>
      </c>
      <c r="W29" s="128">
        <f>(I29/F29)^(1/3)-1</f>
        <v>-0.26518777307951236</v>
      </c>
      <c r="X29" s="112" t="s">
        <v>337</v>
      </c>
    </row>
    <row r="30" spans="1:24" ht="30" customHeight="1" x14ac:dyDescent="0.3">
      <c r="E30" s="151" t="s">
        <v>131</v>
      </c>
      <c r="F30" s="104" t="s">
        <v>21</v>
      </c>
      <c r="G30" s="104">
        <f>G29/F29-1</f>
        <v>-0.22753036437246965</v>
      </c>
      <c r="H30" s="104">
        <f t="shared" ref="H30:I30" si="26">H29/G29-1</f>
        <v>-0.23584905660377353</v>
      </c>
      <c r="I30" s="104">
        <f t="shared" si="26"/>
        <v>-0.32784636488340191</v>
      </c>
      <c r="J30" s="104"/>
      <c r="K30" s="104"/>
      <c r="L30" s="105"/>
      <c r="M30" s="105">
        <f>M29/I29-1</f>
        <v>-0.15214937486218338</v>
      </c>
      <c r="N30" s="105">
        <f t="shared" ref="N30:V30" si="27">N29/M29-1</f>
        <v>-5.92900498304616E-3</v>
      </c>
      <c r="O30" s="105">
        <f t="shared" si="27"/>
        <v>-4.3172083069898615E-2</v>
      </c>
      <c r="P30" s="105">
        <f t="shared" si="27"/>
        <v>-6.7496545147320064E-2</v>
      </c>
      <c r="Q30" s="105">
        <f t="shared" si="27"/>
        <v>-9.8614897838265825E-2</v>
      </c>
      <c r="R30" s="105">
        <f t="shared" si="27"/>
        <v>-0.13881320445660161</v>
      </c>
      <c r="S30" s="105">
        <f t="shared" si="27"/>
        <v>-0.1960553429355949</v>
      </c>
      <c r="T30" s="105">
        <f t="shared" si="27"/>
        <v>-0.2873733893912318</v>
      </c>
      <c r="U30" s="105">
        <f t="shared" si="27"/>
        <v>-0.46710349545109098</v>
      </c>
      <c r="V30" s="105">
        <f t="shared" si="27"/>
        <v>-1</v>
      </c>
      <c r="W30" s="101"/>
      <c r="X30" s="111"/>
    </row>
    <row r="31" spans="1:24" ht="30" customHeight="1" x14ac:dyDescent="0.3">
      <c r="E31" s="380" t="s">
        <v>153</v>
      </c>
      <c r="F31" s="99">
        <v>25005</v>
      </c>
      <c r="G31" s="99">
        <v>24756</v>
      </c>
      <c r="H31" s="99">
        <v>30202</v>
      </c>
      <c r="I31" s="381">
        <v>36955</v>
      </c>
      <c r="J31" s="381">
        <v>16090</v>
      </c>
      <c r="K31" s="381">
        <f>J31</f>
        <v>16090</v>
      </c>
      <c r="L31" s="100">
        <f>'Projeções Trimestrais'!J127</f>
        <v>46457.9874554696</v>
      </c>
      <c r="M31" s="100">
        <f>SUM(K31,L31)</f>
        <v>62547.9874554696</v>
      </c>
      <c r="N31" s="100">
        <f t="shared" ref="N31:V31" si="28">N127</f>
        <v>42925.839113706308</v>
      </c>
      <c r="O31" s="100">
        <f t="shared" si="28"/>
        <v>47529.553498584937</v>
      </c>
      <c r="P31" s="100">
        <f t="shared" si="28"/>
        <v>52371.57029225822</v>
      </c>
      <c r="Q31" s="100">
        <f t="shared" si="28"/>
        <v>57385.690176333694</v>
      </c>
      <c r="R31" s="100">
        <f t="shared" si="28"/>
        <v>62586.357260614212</v>
      </c>
      <c r="S31" s="100">
        <f t="shared" si="28"/>
        <v>67974.454982570431</v>
      </c>
      <c r="T31" s="100">
        <f t="shared" si="28"/>
        <v>73623.358745340054</v>
      </c>
      <c r="U31" s="100">
        <f t="shared" si="28"/>
        <v>79507.908981589746</v>
      </c>
      <c r="V31" s="100">
        <f t="shared" si="28"/>
        <v>85642.552831328561</v>
      </c>
      <c r="W31" s="128">
        <f>(I31/F31)^(1/3)-1</f>
        <v>0.13906572142562124</v>
      </c>
      <c r="X31" s="112" t="s">
        <v>338</v>
      </c>
    </row>
    <row r="32" spans="1:24" ht="30" customHeight="1" x14ac:dyDescent="0.3">
      <c r="E32" s="110" t="s">
        <v>131</v>
      </c>
      <c r="F32" s="104" t="s">
        <v>21</v>
      </c>
      <c r="G32" s="104">
        <f>G31/F31-1</f>
        <v>-9.9580083983202838E-3</v>
      </c>
      <c r="H32" s="104">
        <f t="shared" ref="H32:I32" si="29">H31/G31-1</f>
        <v>0.21998707384068505</v>
      </c>
      <c r="I32" s="104">
        <f t="shared" si="29"/>
        <v>0.22359446394278515</v>
      </c>
      <c r="J32" s="104"/>
      <c r="K32" s="104"/>
      <c r="L32" s="105"/>
      <c r="M32" s="105">
        <f>M31/I31-1</f>
        <v>0.69254464769231761</v>
      </c>
      <c r="N32" s="105">
        <f t="shared" ref="N32:V32" si="30">N31/M31-1</f>
        <v>-0.31371350446300261</v>
      </c>
      <c r="O32" s="105">
        <f t="shared" si="30"/>
        <v>0.10724809298855731</v>
      </c>
      <c r="P32" s="105">
        <f t="shared" si="30"/>
        <v>0.10187381191825073</v>
      </c>
      <c r="Q32" s="105">
        <f t="shared" si="30"/>
        <v>9.574125534320066E-2</v>
      </c>
      <c r="R32" s="105">
        <f t="shared" si="30"/>
        <v>9.0626549376682686E-2</v>
      </c>
      <c r="S32" s="105">
        <f t="shared" si="30"/>
        <v>8.6090610762338926E-2</v>
      </c>
      <c r="T32" s="105">
        <f t="shared" si="30"/>
        <v>8.3103332924376883E-2</v>
      </c>
      <c r="U32" s="105">
        <f t="shared" si="30"/>
        <v>7.992776119606404E-2</v>
      </c>
      <c r="V32" s="105">
        <f t="shared" si="30"/>
        <v>7.7157655487573029E-2</v>
      </c>
      <c r="W32" s="101"/>
      <c r="X32" s="111"/>
    </row>
    <row r="33" spans="5:24" ht="30" customHeight="1" x14ac:dyDescent="0.3">
      <c r="E33" s="380" t="s">
        <v>154</v>
      </c>
      <c r="F33" s="99">
        <f>SUM(F35,F37)</f>
        <v>167777</v>
      </c>
      <c r="G33" s="99">
        <f t="shared" ref="G33:V33" si="31">SUM(G35,G37)</f>
        <v>193528</v>
      </c>
      <c r="H33" s="99">
        <f t="shared" si="31"/>
        <v>206610</v>
      </c>
      <c r="I33" s="381">
        <f t="shared" si="31"/>
        <v>248535</v>
      </c>
      <c r="J33" s="381">
        <f t="shared" si="31"/>
        <v>51694</v>
      </c>
      <c r="K33" s="381">
        <f t="shared" si="31"/>
        <v>51694</v>
      </c>
      <c r="L33" s="100">
        <f t="shared" si="31"/>
        <v>213125.33765904867</v>
      </c>
      <c r="M33" s="100">
        <f t="shared" si="31"/>
        <v>264819.33765904867</v>
      </c>
      <c r="N33" s="100">
        <f t="shared" si="31"/>
        <v>286114.74616663955</v>
      </c>
      <c r="O33" s="100">
        <f t="shared" si="31"/>
        <v>301891.91122500901</v>
      </c>
      <c r="P33" s="100">
        <f t="shared" si="31"/>
        <v>316489.51919794112</v>
      </c>
      <c r="Q33" s="100">
        <f t="shared" si="31"/>
        <v>329414.33663073042</v>
      </c>
      <c r="R33" s="100">
        <f t="shared" si="31"/>
        <v>340700.51126703003</v>
      </c>
      <c r="S33" s="100">
        <f t="shared" si="31"/>
        <v>350296.83085191285</v>
      </c>
      <c r="T33" s="100">
        <f t="shared" si="31"/>
        <v>358509.46457509603</v>
      </c>
      <c r="U33" s="100">
        <f t="shared" si="31"/>
        <v>365111.55064936238</v>
      </c>
      <c r="V33" s="100">
        <f t="shared" si="31"/>
        <v>370081.20142417948</v>
      </c>
      <c r="W33" s="128">
        <f>(I33/F33)^(1/3)-1</f>
        <v>0.13994800835812171</v>
      </c>
      <c r="X33" s="109"/>
    </row>
    <row r="34" spans="5:24" ht="30" customHeight="1" x14ac:dyDescent="0.3">
      <c r="E34" s="110" t="s">
        <v>131</v>
      </c>
      <c r="F34" s="104" t="s">
        <v>21</v>
      </c>
      <c r="G34" s="104">
        <f>G33/F33-1</f>
        <v>0.15348349296983499</v>
      </c>
      <c r="H34" s="104">
        <f t="shared" ref="H34:I34" si="32">H33/G33-1</f>
        <v>6.75974535984456E-2</v>
      </c>
      <c r="I34" s="104">
        <f t="shared" si="32"/>
        <v>0.20291854218092054</v>
      </c>
      <c r="J34" s="104"/>
      <c r="K34" s="104"/>
      <c r="L34" s="105"/>
      <c r="M34" s="105">
        <f>M33/I33-1</f>
        <v>6.5521305486344605E-2</v>
      </c>
      <c r="N34" s="105">
        <f t="shared" ref="N34:V34" si="33">N33/M33-1</f>
        <v>8.0414854503595423E-2</v>
      </c>
      <c r="O34" s="105">
        <f t="shared" si="33"/>
        <v>5.5142788932593056E-2</v>
      </c>
      <c r="P34" s="105">
        <f t="shared" si="33"/>
        <v>4.8353756527289349E-2</v>
      </c>
      <c r="Q34" s="105">
        <f t="shared" si="33"/>
        <v>4.0838058288766854E-2</v>
      </c>
      <c r="R34" s="105">
        <f t="shared" si="33"/>
        <v>3.4261334074695338E-2</v>
      </c>
      <c r="S34" s="105">
        <f t="shared" si="33"/>
        <v>2.8166437288852597E-2</v>
      </c>
      <c r="T34" s="105">
        <f t="shared" si="33"/>
        <v>2.3444784536617913E-2</v>
      </c>
      <c r="U34" s="105">
        <f t="shared" si="33"/>
        <v>1.8415374562261944E-2</v>
      </c>
      <c r="V34" s="105">
        <f t="shared" si="33"/>
        <v>1.3611321706964441E-2</v>
      </c>
      <c r="W34" s="101"/>
      <c r="X34" s="111"/>
    </row>
    <row r="35" spans="5:24" ht="30" customHeight="1" x14ac:dyDescent="0.3">
      <c r="E35" s="131" t="s">
        <v>155</v>
      </c>
      <c r="F35" s="91">
        <v>92508</v>
      </c>
      <c r="G35" s="91">
        <v>120628</v>
      </c>
      <c r="H35" s="91">
        <v>130587</v>
      </c>
      <c r="I35" s="108">
        <v>159629</v>
      </c>
      <c r="J35" s="108">
        <v>27379</v>
      </c>
      <c r="K35" s="108">
        <f>J35</f>
        <v>27379</v>
      </c>
      <c r="L35" s="92">
        <f>'Projeções Trimestrais'!J138</f>
        <v>114334.28111438404</v>
      </c>
      <c r="M35" s="92">
        <f>SUM(K35,L35)</f>
        <v>141713.28111438404</v>
      </c>
      <c r="N35" s="92">
        <f t="shared" ref="N35:V35" si="34">N98</f>
        <v>153512.76053889829</v>
      </c>
      <c r="O35" s="92">
        <f t="shared" si="34"/>
        <v>162434.74412770543</v>
      </c>
      <c r="P35" s="92">
        <f t="shared" si="34"/>
        <v>170804.18026919663</v>
      </c>
      <c r="Q35" s="92">
        <f t="shared" si="34"/>
        <v>178357.69079001574</v>
      </c>
      <c r="R35" s="92">
        <f t="shared" si="34"/>
        <v>185115.2982144134</v>
      </c>
      <c r="S35" s="92">
        <f t="shared" si="34"/>
        <v>191051.00138957574</v>
      </c>
      <c r="T35" s="92">
        <f t="shared" si="34"/>
        <v>196334.39942774121</v>
      </c>
      <c r="U35" s="92">
        <f t="shared" si="34"/>
        <v>200845.23672530774</v>
      </c>
      <c r="V35" s="92">
        <f t="shared" si="34"/>
        <v>204575.0078349582</v>
      </c>
      <c r="W35" s="128">
        <f>(I35/F35)^(1/3)-1</f>
        <v>0.19943716208493067</v>
      </c>
      <c r="X35" s="112" t="s">
        <v>339</v>
      </c>
    </row>
    <row r="36" spans="5:24" ht="30" customHeight="1" x14ac:dyDescent="0.3">
      <c r="E36" s="151" t="s">
        <v>131</v>
      </c>
      <c r="F36" s="104" t="s">
        <v>21</v>
      </c>
      <c r="G36" s="104">
        <f>G35/F35-1</f>
        <v>0.30397371038180476</v>
      </c>
      <c r="H36" s="104">
        <f t="shared" ref="H36:I36" si="35">H35/G35-1</f>
        <v>8.2559604735219061E-2</v>
      </c>
      <c r="I36" s="104">
        <f t="shared" si="35"/>
        <v>0.22239579743772353</v>
      </c>
      <c r="J36" s="104"/>
      <c r="K36" s="104"/>
      <c r="L36" s="105"/>
      <c r="M36" s="105">
        <f>M35/I35-1</f>
        <v>-0.11223348442711512</v>
      </c>
      <c r="N36" s="105">
        <f t="shared" ref="N36:V36" si="36">N35/M35-1</f>
        <v>8.3263045860820117E-2</v>
      </c>
      <c r="O36" s="105">
        <f t="shared" si="36"/>
        <v>5.8118840137373562E-2</v>
      </c>
      <c r="P36" s="105">
        <f t="shared" si="36"/>
        <v>5.1524913505642589E-2</v>
      </c>
      <c r="Q36" s="105">
        <f t="shared" si="36"/>
        <v>4.4223218125659214E-2</v>
      </c>
      <c r="R36" s="105">
        <f t="shared" si="36"/>
        <v>3.7887950861359432E-2</v>
      </c>
      <c r="S36" s="105">
        <f t="shared" si="36"/>
        <v>3.20648981062992E-2</v>
      </c>
      <c r="T36" s="105">
        <f t="shared" si="36"/>
        <v>2.7654385476849619E-2</v>
      </c>
      <c r="U36" s="105">
        <f t="shared" si="36"/>
        <v>2.2975277438463726E-2</v>
      </c>
      <c r="V36" s="105">
        <f t="shared" si="36"/>
        <v>1.8570373738818535E-2</v>
      </c>
      <c r="W36" s="101"/>
      <c r="X36" s="111"/>
    </row>
    <row r="37" spans="5:24" ht="30" customHeight="1" x14ac:dyDescent="0.3">
      <c r="E37" s="131" t="s">
        <v>156</v>
      </c>
      <c r="F37" s="91">
        <v>75269</v>
      </c>
      <c r="G37" s="91">
        <v>72900</v>
      </c>
      <c r="H37" s="91">
        <v>76023</v>
      </c>
      <c r="I37" s="108">
        <v>88906</v>
      </c>
      <c r="J37" s="108">
        <v>24315</v>
      </c>
      <c r="K37" s="108">
        <f>J37</f>
        <v>24315</v>
      </c>
      <c r="L37" s="92">
        <f>'Projeções Trimestrais'!J149</f>
        <v>98791.056544664636</v>
      </c>
      <c r="M37" s="92">
        <f>SUM(K37,L37)</f>
        <v>123106.05654466464</v>
      </c>
      <c r="N37" s="92">
        <f t="shared" ref="N37:V37" si="37">N99</f>
        <v>132601.98562774126</v>
      </c>
      <c r="O37" s="92">
        <f t="shared" si="37"/>
        <v>139457.16709730358</v>
      </c>
      <c r="P37" s="92">
        <f t="shared" si="37"/>
        <v>145685.33892874449</v>
      </c>
      <c r="Q37" s="92">
        <f t="shared" si="37"/>
        <v>151056.64584071466</v>
      </c>
      <c r="R37" s="92">
        <f t="shared" si="37"/>
        <v>155585.21305261666</v>
      </c>
      <c r="S37" s="92">
        <f t="shared" si="37"/>
        <v>159245.82946233707</v>
      </c>
      <c r="T37" s="92">
        <f t="shared" si="37"/>
        <v>162175.06514735482</v>
      </c>
      <c r="U37" s="92">
        <f t="shared" si="37"/>
        <v>164266.31392405467</v>
      </c>
      <c r="V37" s="92">
        <f t="shared" si="37"/>
        <v>165506.19358922125</v>
      </c>
      <c r="W37" s="128">
        <f>(I37/F37)^(1/3)-1</f>
        <v>5.7072987555590426E-2</v>
      </c>
      <c r="X37" s="112" t="s">
        <v>339</v>
      </c>
    </row>
    <row r="38" spans="5:24" ht="30" customHeight="1" x14ac:dyDescent="0.3">
      <c r="E38" s="151" t="s">
        <v>131</v>
      </c>
      <c r="F38" s="104" t="s">
        <v>21</v>
      </c>
      <c r="G38" s="104">
        <f>G37/F37-1</f>
        <v>-3.1473780706532617E-2</v>
      </c>
      <c r="H38" s="104">
        <f t="shared" ref="H38:I38" si="38">H37/G37-1</f>
        <v>4.2839506172839492E-2</v>
      </c>
      <c r="I38" s="104">
        <f t="shared" si="38"/>
        <v>0.16946187338042429</v>
      </c>
      <c r="J38" s="104"/>
      <c r="K38" s="104"/>
      <c r="L38" s="105"/>
      <c r="M38" s="105">
        <f>M37/I37-1</f>
        <v>0.38467658588469433</v>
      </c>
      <c r="N38" s="105">
        <f t="shared" ref="N38:V38" si="39">N37/M37-1</f>
        <v>7.7136164942716468E-2</v>
      </c>
      <c r="O38" s="105">
        <f t="shared" si="39"/>
        <v>5.1697426981275552E-2</v>
      </c>
      <c r="P38" s="105">
        <f t="shared" si="39"/>
        <v>4.4660105759177782E-2</v>
      </c>
      <c r="Q38" s="105">
        <f t="shared" si="39"/>
        <v>3.6869234416218921E-2</v>
      </c>
      <c r="R38" s="105">
        <f t="shared" si="39"/>
        <v>2.9979264975056097E-2</v>
      </c>
      <c r="S38" s="105">
        <f t="shared" si="39"/>
        <v>2.3528048314478633E-2</v>
      </c>
      <c r="T38" s="105">
        <f t="shared" si="39"/>
        <v>1.8394426371527217E-2</v>
      </c>
      <c r="U38" s="105">
        <f t="shared" si="39"/>
        <v>1.2895008087708826E-2</v>
      </c>
      <c r="V38" s="105">
        <f t="shared" si="39"/>
        <v>7.5479849492441353E-3</v>
      </c>
      <c r="W38" s="101"/>
      <c r="X38" s="111"/>
    </row>
    <row r="39" spans="5:24" ht="30" customHeight="1" x14ac:dyDescent="0.3">
      <c r="E39" s="380" t="s">
        <v>157</v>
      </c>
      <c r="F39" s="99">
        <v>766966</v>
      </c>
      <c r="G39" s="99">
        <v>988248</v>
      </c>
      <c r="H39" s="99">
        <v>1326661</v>
      </c>
      <c r="I39" s="381">
        <v>1570602</v>
      </c>
      <c r="J39" s="381">
        <v>436914.27482000005</v>
      </c>
      <c r="K39" s="381">
        <f>J39</f>
        <v>436914.27482000005</v>
      </c>
      <c r="L39" s="100">
        <f>'Projeções Trimestrais'!J156</f>
        <v>1492176.3808859026</v>
      </c>
      <c r="M39" s="100">
        <f>SUM(K39,L39)</f>
        <v>1929090.6557059027</v>
      </c>
      <c r="N39" s="100">
        <f t="shared" ref="N39:V39" si="40">N109</f>
        <v>2222835.8601958742</v>
      </c>
      <c r="O39" s="100">
        <f t="shared" si="40"/>
        <v>2494115.6624776945</v>
      </c>
      <c r="P39" s="100">
        <f t="shared" si="40"/>
        <v>2778568.8832394038</v>
      </c>
      <c r="Q39" s="100">
        <f t="shared" si="40"/>
        <v>3072650.0521518108</v>
      </c>
      <c r="R39" s="100">
        <f t="shared" si="40"/>
        <v>3377309.6371667166</v>
      </c>
      <c r="S39" s="100">
        <f t="shared" si="40"/>
        <v>3692722.590352478</v>
      </c>
      <c r="T39" s="100">
        <f t="shared" si="40"/>
        <v>4023074.5442201532</v>
      </c>
      <c r="U39" s="100">
        <f t="shared" si="40"/>
        <v>4367094.488525968</v>
      </c>
      <c r="V39" s="100">
        <f t="shared" si="40"/>
        <v>4725687.0724722082</v>
      </c>
      <c r="W39" s="128">
        <f>(I39/F39)^(1/3)-1</f>
        <v>0.26988193405201533</v>
      </c>
      <c r="X39" s="109" t="s">
        <v>340</v>
      </c>
    </row>
    <row r="40" spans="5:24" ht="30" customHeight="1" x14ac:dyDescent="0.3">
      <c r="E40" s="110" t="s">
        <v>131</v>
      </c>
      <c r="F40" s="104" t="s">
        <v>21</v>
      </c>
      <c r="G40" s="104">
        <f>G39/F39-1</f>
        <v>0.28851604895132255</v>
      </c>
      <c r="H40" s="104">
        <f t="shared" ref="H40:I40" si="41">H39/G39-1</f>
        <v>0.3424373234248892</v>
      </c>
      <c r="I40" s="104">
        <f t="shared" si="41"/>
        <v>0.18387591102776057</v>
      </c>
      <c r="J40" s="104"/>
      <c r="K40" s="104"/>
      <c r="L40" s="105"/>
      <c r="M40" s="105">
        <f>M39/I39-1</f>
        <v>0.22824920362122469</v>
      </c>
      <c r="N40" s="105">
        <f t="shared" ref="N40:Q40" si="42">N39/M39-1</f>
        <v>0.15227133241308599</v>
      </c>
      <c r="O40" s="105">
        <f t="shared" si="42"/>
        <v>0.12204221064614074</v>
      </c>
      <c r="P40" s="105">
        <f t="shared" si="42"/>
        <v>0.11404973114964889</v>
      </c>
      <c r="Q40" s="105">
        <f t="shared" si="42"/>
        <v>0.10583907805429371</v>
      </c>
      <c r="R40" s="105">
        <f>R39/Q39-1</f>
        <v>9.9152060873821002E-2</v>
      </c>
      <c r="S40" s="105">
        <f>S39/R39-1</f>
        <v>9.3391778389134261E-2</v>
      </c>
      <c r="T40" s="105">
        <f t="shared" ref="T40" si="43">T39/S39-1</f>
        <v>8.9460268348005689E-2</v>
      </c>
      <c r="U40" s="105">
        <f>U39/T39-1</f>
        <v>8.5511700199554896E-2</v>
      </c>
      <c r="V40" s="105">
        <f t="shared" ref="V40" si="44">V39/U39-1</f>
        <v>8.2112394153229351E-2</v>
      </c>
      <c r="W40" s="101"/>
      <c r="X40" s="111"/>
    </row>
    <row r="41" spans="5:24" ht="30" customHeight="1" x14ac:dyDescent="0.3">
      <c r="E41" s="380" t="s">
        <v>158</v>
      </c>
      <c r="F41" s="99">
        <v>64244</v>
      </c>
      <c r="G41" s="99">
        <v>98024</v>
      </c>
      <c r="H41" s="99">
        <v>338002</v>
      </c>
      <c r="I41" s="381">
        <v>195726</v>
      </c>
      <c r="J41" s="381">
        <v>62739.664600000011</v>
      </c>
      <c r="K41" s="381">
        <f>J41</f>
        <v>62739.664600000011</v>
      </c>
      <c r="L41" s="100">
        <f>'Projeções Trimestrais'!J163</f>
        <v>119353.00846522534</v>
      </c>
      <c r="M41" s="100">
        <f>SUM(K41,L41)</f>
        <v>182092.67306522536</v>
      </c>
      <c r="N41" s="100">
        <f t="shared" ref="N41:V41" si="45">N110</f>
        <v>212437.92878236304</v>
      </c>
      <c r="O41" s="100">
        <f t="shared" si="45"/>
        <v>241242.06066230164</v>
      </c>
      <c r="P41" s="100">
        <f t="shared" si="45"/>
        <v>271897.30156019022</v>
      </c>
      <c r="Q41" s="100">
        <f t="shared" si="45"/>
        <v>304079.83810255333</v>
      </c>
      <c r="R41" s="100">
        <f t="shared" si="45"/>
        <v>337899.20308482944</v>
      </c>
      <c r="S41" s="100">
        <f t="shared" si="45"/>
        <v>373390.00079378788</v>
      </c>
      <c r="T41" s="100">
        <f t="shared" si="45"/>
        <v>410996.64485529956</v>
      </c>
      <c r="U41" s="100">
        <f t="shared" si="45"/>
        <v>450617.02277282684</v>
      </c>
      <c r="V41" s="100">
        <f t="shared" si="45"/>
        <v>492369.49403319519</v>
      </c>
      <c r="W41" s="128">
        <f>(I41/F41)^(1/3)-1</f>
        <v>0.44967944937507442</v>
      </c>
      <c r="X41" s="109" t="s">
        <v>340</v>
      </c>
    </row>
    <row r="42" spans="5:24" ht="30" customHeight="1" x14ac:dyDescent="0.3">
      <c r="E42" s="110" t="s">
        <v>131</v>
      </c>
      <c r="F42" s="104" t="s">
        <v>21</v>
      </c>
      <c r="G42" s="104">
        <f>G41/F41-1</f>
        <v>0.52580785754311687</v>
      </c>
      <c r="H42" s="104">
        <f t="shared" ref="H42:I42" si="46">H41/G41-1</f>
        <v>2.4481555537419406</v>
      </c>
      <c r="I42" s="104">
        <f t="shared" si="46"/>
        <v>-0.42093242051822177</v>
      </c>
      <c r="J42" s="104"/>
      <c r="K42" s="104"/>
      <c r="L42" s="105"/>
      <c r="M42" s="105">
        <f>M41/I41-1</f>
        <v>-6.9655165561931631E-2</v>
      </c>
      <c r="N42" s="105">
        <f t="shared" ref="N42:V42" si="47">N41/M41-1</f>
        <v>0.16664731867749594</v>
      </c>
      <c r="O42" s="105">
        <f t="shared" si="47"/>
        <v>0.13558846127448199</v>
      </c>
      <c r="P42" s="105">
        <f t="shared" si="47"/>
        <v>0.12707253790540607</v>
      </c>
      <c r="Q42" s="105">
        <f t="shared" si="47"/>
        <v>0.11836283904876788</v>
      </c>
      <c r="R42" s="105">
        <f t="shared" si="47"/>
        <v>0.1112187022767035</v>
      </c>
      <c r="S42" s="105">
        <f t="shared" si="47"/>
        <v>0.10503368278157343</v>
      </c>
      <c r="T42" s="105">
        <f t="shared" si="47"/>
        <v>0.10071679472284711</v>
      </c>
      <c r="U42" s="105">
        <f t="shared" si="47"/>
        <v>9.6400733226122748E-2</v>
      </c>
      <c r="V42" s="105">
        <f t="shared" si="47"/>
        <v>9.2656222801901E-2</v>
      </c>
      <c r="W42" s="101"/>
      <c r="X42" s="111"/>
    </row>
    <row r="43" spans="5:24" ht="30" customHeight="1" x14ac:dyDescent="0.3">
      <c r="E43" s="380" t="s">
        <v>159</v>
      </c>
      <c r="F43" s="99">
        <v>14581</v>
      </c>
      <c r="G43" s="99">
        <v>32367</v>
      </c>
      <c r="H43" s="99">
        <v>64660</v>
      </c>
      <c r="I43" s="381">
        <v>9731</v>
      </c>
      <c r="J43" s="381">
        <v>700.28359999999998</v>
      </c>
      <c r="K43" s="381">
        <f>J43</f>
        <v>700.28359999999998</v>
      </c>
      <c r="L43" s="100">
        <f>'Projeções Trimestrais'!J170</f>
        <v>14615.433384724893</v>
      </c>
      <c r="M43" s="100">
        <f>SUM(K43,L43)</f>
        <v>15315.716984724893</v>
      </c>
      <c r="N43" s="100">
        <f t="shared" ref="N43:V43" si="48">N120</f>
        <v>11184.952150337856</v>
      </c>
      <c r="O43" s="100">
        <f t="shared" si="48"/>
        <v>11950.975071721239</v>
      </c>
      <c r="P43" s="100">
        <f t="shared" si="48"/>
        <v>12791.952039775781</v>
      </c>
      <c r="Q43" s="100">
        <f t="shared" si="48"/>
        <v>13709.002512156334</v>
      </c>
      <c r="R43" s="100">
        <f t="shared" si="48"/>
        <v>14702.074523733132</v>
      </c>
      <c r="S43" s="100">
        <f t="shared" si="48"/>
        <v>15780.879439983368</v>
      </c>
      <c r="T43" s="100">
        <f t="shared" si="48"/>
        <v>16942.982969284098</v>
      </c>
      <c r="U43" s="100">
        <f t="shared" si="48"/>
        <v>18189.339043419659</v>
      </c>
      <c r="V43" s="100">
        <f t="shared" si="48"/>
        <v>19527.164930063173</v>
      </c>
      <c r="W43" s="128">
        <f>(I43/F43)^(1/3)-1</f>
        <v>-0.12611009827806807</v>
      </c>
      <c r="X43" s="112" t="s">
        <v>341</v>
      </c>
    </row>
    <row r="44" spans="5:24" ht="30" customHeight="1" x14ac:dyDescent="0.3">
      <c r="E44" s="110" t="s">
        <v>131</v>
      </c>
      <c r="F44" s="104" t="s">
        <v>21</v>
      </c>
      <c r="G44" s="104">
        <f>G43/F43-1</f>
        <v>1.2198065976270489</v>
      </c>
      <c r="H44" s="104">
        <f t="shared" ref="H44:I44" si="49">H43/G43-1</f>
        <v>0.99771372076497666</v>
      </c>
      <c r="I44" s="104">
        <f t="shared" si="49"/>
        <v>-0.84950510361892984</v>
      </c>
      <c r="J44" s="104"/>
      <c r="K44" s="104"/>
      <c r="L44" s="105"/>
      <c r="M44" s="105">
        <f>M43/I43-1</f>
        <v>0.5739098740853863</v>
      </c>
      <c r="N44" s="105">
        <f t="shared" ref="N44:V44" si="50">N43/M43-1</f>
        <v>-0.26970757154280456</v>
      </c>
      <c r="O44" s="105">
        <f t="shared" si="50"/>
        <v>6.8486919844377159E-2</v>
      </c>
      <c r="P44" s="105">
        <f t="shared" si="50"/>
        <v>7.0368899860270506E-2</v>
      </c>
      <c r="Q44" s="105">
        <f t="shared" si="50"/>
        <v>7.1689642794863673E-2</v>
      </c>
      <c r="R44" s="105">
        <f t="shared" si="50"/>
        <v>7.2439406929585282E-2</v>
      </c>
      <c r="S44" s="105">
        <f t="shared" si="50"/>
        <v>7.3377734176816478E-2</v>
      </c>
      <c r="T44" s="105">
        <f t="shared" si="50"/>
        <v>7.3639972583299462E-2</v>
      </c>
      <c r="U44" s="105">
        <f t="shared" si="50"/>
        <v>7.3561785217814313E-2</v>
      </c>
      <c r="V44" s="105">
        <f t="shared" si="50"/>
        <v>7.3549999999999782E-2</v>
      </c>
      <c r="W44" s="101"/>
      <c r="X44" s="111"/>
    </row>
    <row r="45" spans="5:24" ht="30" customHeight="1" x14ac:dyDescent="0.3">
      <c r="E45" s="380" t="s">
        <v>160</v>
      </c>
      <c r="F45" s="99">
        <v>95169</v>
      </c>
      <c r="G45" s="99">
        <v>190394</v>
      </c>
      <c r="H45" s="99">
        <v>211151</v>
      </c>
      <c r="I45" s="381">
        <v>294692</v>
      </c>
      <c r="J45" s="381">
        <v>18190.237340000003</v>
      </c>
      <c r="K45" s="381">
        <f>J45</f>
        <v>18190.237340000003</v>
      </c>
      <c r="L45" s="100">
        <f>'Projeções Trimestrais'!J177</f>
        <v>89964.151322696503</v>
      </c>
      <c r="M45" s="100">
        <f>SUM(K45,L45)</f>
        <v>108154.38866269651</v>
      </c>
      <c r="N45" s="100">
        <f t="shared" ref="N45:V45" si="51">N128</f>
        <v>129290.26923221268</v>
      </c>
      <c r="O45" s="100">
        <f t="shared" si="51"/>
        <v>151018.9492440054</v>
      </c>
      <c r="P45" s="100">
        <f t="shared" si="51"/>
        <v>175067.35792040144</v>
      </c>
      <c r="Q45" s="100">
        <f t="shared" si="51"/>
        <v>201321.51667347946</v>
      </c>
      <c r="R45" s="100">
        <f t="shared" si="51"/>
        <v>229919.89812034581</v>
      </c>
      <c r="S45" s="100">
        <f t="shared" si="51"/>
        <v>260958.47218094685</v>
      </c>
      <c r="T45" s="100">
        <f t="shared" si="51"/>
        <v>294824.08677671867</v>
      </c>
      <c r="U45" s="100">
        <f t="shared" si="51"/>
        <v>331541.25964303844</v>
      </c>
      <c r="V45" s="100">
        <f t="shared" si="51"/>
        <v>371289.56903085468</v>
      </c>
      <c r="W45" s="128">
        <f>(I45/F45)^(1/3)-1</f>
        <v>0.45755274636412313</v>
      </c>
      <c r="X45" s="112" t="s">
        <v>338</v>
      </c>
    </row>
    <row r="46" spans="5:24" ht="30" customHeight="1" x14ac:dyDescent="0.3">
      <c r="E46" s="110" t="s">
        <v>131</v>
      </c>
      <c r="F46" s="104" t="s">
        <v>21</v>
      </c>
      <c r="G46" s="104">
        <f>G45/F45-1</f>
        <v>1.0005884269037186</v>
      </c>
      <c r="H46" s="104">
        <f t="shared" ref="H46:I46" si="52">H45/G45-1</f>
        <v>0.1090212926877947</v>
      </c>
      <c r="I46" s="104">
        <f t="shared" si="52"/>
        <v>0.39564577008870438</v>
      </c>
      <c r="J46" s="104"/>
      <c r="K46" s="104"/>
      <c r="L46" s="105"/>
      <c r="M46" s="105">
        <f>M45/I45-1</f>
        <v>-0.63299177221405234</v>
      </c>
      <c r="N46" s="105">
        <f t="shared" ref="N46:V46" si="53">N45/M45-1</f>
        <v>0.19542323553261554</v>
      </c>
      <c r="O46" s="105">
        <f t="shared" si="53"/>
        <v>0.16806121714207878</v>
      </c>
      <c r="P46" s="105">
        <f t="shared" si="53"/>
        <v>0.15924100119078677</v>
      </c>
      <c r="Q46" s="105">
        <f t="shared" si="53"/>
        <v>0.14996604201346941</v>
      </c>
      <c r="R46" s="105">
        <f t="shared" si="53"/>
        <v>0.14205327835498904</v>
      </c>
      <c r="S46" s="105">
        <f t="shared" si="53"/>
        <v>0.13499733739597719</v>
      </c>
      <c r="T46" s="105">
        <f t="shared" si="53"/>
        <v>0.12977396101663885</v>
      </c>
      <c r="U46" s="105">
        <f t="shared" si="53"/>
        <v>0.12453925752045847</v>
      </c>
      <c r="V46" s="105">
        <f t="shared" si="53"/>
        <v>0.11988948051476966</v>
      </c>
      <c r="W46" s="101"/>
      <c r="X46" s="109"/>
    </row>
    <row r="47" spans="5:24" ht="30" customHeight="1" x14ac:dyDescent="0.3">
      <c r="E47" s="98" t="s">
        <v>161</v>
      </c>
      <c r="F47" s="99">
        <f>SUM(F49,F51,F53,F55)</f>
        <v>-1037069</v>
      </c>
      <c r="G47" s="99">
        <f t="shared" ref="G47:V47" si="54">SUM(G49,G51,G53,G55)</f>
        <v>-1092748</v>
      </c>
      <c r="H47" s="99">
        <f t="shared" si="54"/>
        <v>-1292488</v>
      </c>
      <c r="I47" s="99">
        <f t="shared" si="54"/>
        <v>-1649120</v>
      </c>
      <c r="J47" s="99">
        <f t="shared" si="54"/>
        <v>-356691.8934</v>
      </c>
      <c r="K47" s="99">
        <f t="shared" si="54"/>
        <v>-356691.8934</v>
      </c>
      <c r="L47" s="117">
        <f t="shared" si="54"/>
        <v>-1210324.513115753</v>
      </c>
      <c r="M47" s="100">
        <f t="shared" si="54"/>
        <v>-1567016.4065157527</v>
      </c>
      <c r="N47" s="100">
        <f t="shared" si="54"/>
        <v>-1700361.5472300227</v>
      </c>
      <c r="O47" s="100">
        <f t="shared" si="54"/>
        <v>-1831844.0757557412</v>
      </c>
      <c r="P47" s="100">
        <f t="shared" si="54"/>
        <v>-1975468.5809405015</v>
      </c>
      <c r="Q47" s="100">
        <f t="shared" si="54"/>
        <v>-2130967.6066346709</v>
      </c>
      <c r="R47" s="100">
        <f t="shared" si="54"/>
        <v>-2298465.5064907698</v>
      </c>
      <c r="S47" s="100">
        <f t="shared" si="54"/>
        <v>-2479298.0304440567</v>
      </c>
      <c r="T47" s="100">
        <f t="shared" si="54"/>
        <v>-2673672.6385382684</v>
      </c>
      <c r="U47" s="100">
        <f t="shared" si="54"/>
        <v>-2881644.7664059908</v>
      </c>
      <c r="V47" s="100">
        <f t="shared" si="54"/>
        <v>-3104342.5333052734</v>
      </c>
      <c r="W47" s="114"/>
      <c r="X47" s="102"/>
    </row>
    <row r="48" spans="5:24" ht="30" customHeight="1" x14ac:dyDescent="0.3">
      <c r="E48" s="115" t="s">
        <v>131</v>
      </c>
      <c r="F48" s="104" t="s">
        <v>21</v>
      </c>
      <c r="G48" s="104">
        <f>G47/F47-1</f>
        <v>5.3688809519906622E-2</v>
      </c>
      <c r="H48" s="104">
        <f t="shared" ref="H48:I48" si="55">H47/G47-1</f>
        <v>0.18278688224549478</v>
      </c>
      <c r="I48" s="104">
        <f t="shared" si="55"/>
        <v>0.27592673974535931</v>
      </c>
      <c r="J48" s="104"/>
      <c r="K48" s="104"/>
      <c r="L48" s="105"/>
      <c r="M48" s="105">
        <f>M47/I47-1</f>
        <v>-4.9786306323522433E-2</v>
      </c>
      <c r="N48" s="105">
        <f t="shared" ref="N48:V48" si="56">N47/M47-1</f>
        <v>8.5094923167244874E-2</v>
      </c>
      <c r="O48" s="105">
        <f t="shared" si="56"/>
        <v>7.7326218497419275E-2</v>
      </c>
      <c r="P48" s="105">
        <f t="shared" si="56"/>
        <v>7.8404328777549992E-2</v>
      </c>
      <c r="Q48" s="105">
        <f t="shared" si="56"/>
        <v>7.8715008274207854E-2</v>
      </c>
      <c r="R48" s="105">
        <f t="shared" si="56"/>
        <v>7.860180480200718E-2</v>
      </c>
      <c r="S48" s="105">
        <f t="shared" si="56"/>
        <v>7.8675326404779033E-2</v>
      </c>
      <c r="T48" s="105">
        <f t="shared" si="56"/>
        <v>7.8399049128998088E-2</v>
      </c>
      <c r="U48" s="105">
        <f t="shared" si="56"/>
        <v>7.7785187636667308E-2</v>
      </c>
      <c r="V48" s="105">
        <f t="shared" si="56"/>
        <v>7.7281478097327438E-2</v>
      </c>
      <c r="W48" s="101"/>
      <c r="X48" s="102"/>
    </row>
    <row r="49" spans="5:24" ht="30" customHeight="1" x14ac:dyDescent="0.3">
      <c r="E49" s="107" t="s">
        <v>132</v>
      </c>
      <c r="F49" s="91">
        <v>-577278</v>
      </c>
      <c r="G49" s="91">
        <v>-585373</v>
      </c>
      <c r="H49" s="91">
        <v>-663047</v>
      </c>
      <c r="I49" s="108">
        <v>-712282</v>
      </c>
      <c r="J49" s="108">
        <v>-182230.47981999998</v>
      </c>
      <c r="K49" s="108">
        <f>J49</f>
        <v>-182230.47981999998</v>
      </c>
      <c r="L49" s="92">
        <f>'Projeções Trimestrais'!J184</f>
        <v>-587263.11164076615</v>
      </c>
      <c r="M49" s="92">
        <f>SUM(K49,L49)</f>
        <v>-769493.59146076615</v>
      </c>
      <c r="N49" s="92">
        <f t="shared" ref="N49:U49" si="57">M49*(1+N50)</f>
        <v>-815195.66264224064</v>
      </c>
      <c r="O49" s="92">
        <f t="shared" si="57"/>
        <v>-867836.10736170085</v>
      </c>
      <c r="P49" s="92">
        <f t="shared" si="57"/>
        <v>-926487.07500552677</v>
      </c>
      <c r="Q49" s="92">
        <f t="shared" si="57"/>
        <v>-991124.18698294729</v>
      </c>
      <c r="R49" s="92">
        <f t="shared" si="57"/>
        <v>-1061584.9894591016</v>
      </c>
      <c r="S49" s="92">
        <f t="shared" si="57"/>
        <v>-1138776.6557486348</v>
      </c>
      <c r="T49" s="92">
        <f t="shared" si="57"/>
        <v>-1222254.9062536198</v>
      </c>
      <c r="U49" s="92">
        <f t="shared" si="57"/>
        <v>-1311939.8156078293</v>
      </c>
      <c r="V49" s="92">
        <f>U49*(1+V50)</f>
        <v>-1408432.989045785</v>
      </c>
      <c r="W49" s="128">
        <f>(I49/F49)^(1/3)-1</f>
        <v>7.2561789237247876E-2</v>
      </c>
      <c r="X49" s="109" t="s">
        <v>342</v>
      </c>
    </row>
    <row r="50" spans="5:24" ht="30" customHeight="1" x14ac:dyDescent="0.3">
      <c r="E50" s="110" t="s">
        <v>131</v>
      </c>
      <c r="F50" s="104" t="s">
        <v>21</v>
      </c>
      <c r="G50" s="104">
        <f>G49/F49-1</f>
        <v>1.4022706564255083E-2</v>
      </c>
      <c r="H50" s="104">
        <f t="shared" ref="H50:I50" si="58">H49/G49-1</f>
        <v>0.13269146339171778</v>
      </c>
      <c r="I50" s="104">
        <f t="shared" si="58"/>
        <v>7.4255671166599146E-2</v>
      </c>
      <c r="J50" s="104"/>
      <c r="K50" s="104"/>
      <c r="L50" s="105"/>
      <c r="M50" s="105">
        <f>M49/I49-1</f>
        <v>8.0321546046040915E-2</v>
      </c>
      <c r="N50" s="105">
        <f>(1+2%)*(1+Ke!G$12)-1</f>
        <v>5.9392400000000123E-2</v>
      </c>
      <c r="O50" s="105">
        <f>(1+2%)*(1+Ke!H$12)-1</f>
        <v>6.4574000000000131E-2</v>
      </c>
      <c r="P50" s="105">
        <f>(1+2%)*(1+Ke!I$12)-1</f>
        <v>6.7583000000000171E-2</v>
      </c>
      <c r="Q50" s="105">
        <f>(1+2%)*(1+Ke!J$12)-1</f>
        <v>6.9765799999999878E-2</v>
      </c>
      <c r="R50" s="105">
        <f>(1+2%)*(1+Ke!K$12)-1</f>
        <v>7.1091800000000038E-2</v>
      </c>
      <c r="S50" s="105">
        <f>(1+2%)*(1+Ke!L$12)-1</f>
        <v>7.2713599999999934E-2</v>
      </c>
      <c r="T50" s="105">
        <f>(1+2%)*(1+Ke!M$12)-1</f>
        <v>7.330520000000007E-2</v>
      </c>
      <c r="U50" s="105">
        <f>(1+2%)*(1+Ke!N$12)-1</f>
        <v>7.3376600000000014E-2</v>
      </c>
      <c r="V50" s="105">
        <f>(1+2%)*(1+Ke!O$12)-1</f>
        <v>7.3550000000000004E-2</v>
      </c>
      <c r="W50" s="101"/>
      <c r="X50" s="111"/>
    </row>
    <row r="51" spans="5:24" ht="30" customHeight="1" x14ac:dyDescent="0.3">
      <c r="E51" s="107" t="s">
        <v>162</v>
      </c>
      <c r="F51" s="91">
        <v>-293647</v>
      </c>
      <c r="G51" s="91">
        <v>-295304</v>
      </c>
      <c r="H51" s="108">
        <v>-313554</v>
      </c>
      <c r="I51" s="108">
        <v>-362855</v>
      </c>
      <c r="J51" s="108">
        <v>-88439.207550000006</v>
      </c>
      <c r="K51" s="108">
        <f>J51</f>
        <v>-88439.207550000006</v>
      </c>
      <c r="L51" s="92">
        <f>'Projeções Trimestrais'!J191</f>
        <v>-302279.96651193232</v>
      </c>
      <c r="M51" s="92">
        <f>SUM(K51,L51)</f>
        <v>-390719.17406193231</v>
      </c>
      <c r="N51" s="92">
        <f t="shared" ref="N51:V51" si="59">M51*(1+N52)</f>
        <v>-420582.35606681212</v>
      </c>
      <c r="O51" s="92">
        <f t="shared" si="59"/>
        <v>-452576.54146012204</v>
      </c>
      <c r="P51" s="92">
        <f t="shared" si="59"/>
        <v>-486841.55927547353</v>
      </c>
      <c r="Q51" s="92">
        <f t="shared" si="59"/>
        <v>-523525.47224141035</v>
      </c>
      <c r="R51" s="92">
        <f t="shared" si="59"/>
        <v>-562784.99278556707</v>
      </c>
      <c r="S51" s="92">
        <f t="shared" si="59"/>
        <v>-604785.91525798303</v>
      </c>
      <c r="T51" s="92">
        <f t="shared" si="59"/>
        <v>-649703.5646791925</v>
      </c>
      <c r="U51" s="92">
        <f t="shared" si="59"/>
        <v>-697723.26230041077</v>
      </c>
      <c r="V51" s="92">
        <f t="shared" si="59"/>
        <v>-749040.808242606</v>
      </c>
      <c r="W51" s="128">
        <f>(I51/F51)^(1/3)-1</f>
        <v>7.3089259003340956E-2</v>
      </c>
      <c r="X51" s="109" t="s">
        <v>343</v>
      </c>
    </row>
    <row r="52" spans="5:24" ht="30" customHeight="1" x14ac:dyDescent="0.3">
      <c r="E52" s="110" t="s">
        <v>131</v>
      </c>
      <c r="F52" s="104" t="s">
        <v>21</v>
      </c>
      <c r="G52" s="104">
        <f>G51/F51-1</f>
        <v>5.6428296560155911E-3</v>
      </c>
      <c r="H52" s="104">
        <f t="shared" ref="H52:I52" si="60">H51/G51-1</f>
        <v>6.180072061333397E-2</v>
      </c>
      <c r="I52" s="104">
        <f t="shared" si="60"/>
        <v>0.15723288492572252</v>
      </c>
      <c r="J52" s="104"/>
      <c r="K52" s="104"/>
      <c r="L52" s="105"/>
      <c r="M52" s="105">
        <f>M51/I51-1</f>
        <v>7.6791484372358942E-2</v>
      </c>
      <c r="N52" s="105">
        <f>M52+(($V52-$M52)/9)</f>
        <v>7.6431319442096843E-2</v>
      </c>
      <c r="O52" s="105">
        <f t="shared" ref="O52:U52" si="61">N52+(($V52-$M52)/9)</f>
        <v>7.6071154511834743E-2</v>
      </c>
      <c r="P52" s="105">
        <f t="shared" si="61"/>
        <v>7.5710989581572644E-2</v>
      </c>
      <c r="Q52" s="105">
        <f t="shared" si="61"/>
        <v>7.5350824651310544E-2</v>
      </c>
      <c r="R52" s="105">
        <f t="shared" si="61"/>
        <v>7.4990659721048444E-2</v>
      </c>
      <c r="S52" s="105">
        <f t="shared" si="61"/>
        <v>7.4630494790786345E-2</v>
      </c>
      <c r="T52" s="105">
        <f t="shared" si="61"/>
        <v>7.4270329860524245E-2</v>
      </c>
      <c r="U52" s="105">
        <f t="shared" si="61"/>
        <v>7.3910164930262146E-2</v>
      </c>
      <c r="V52" s="105">
        <f>'Projeções - NIM'!$K$198</f>
        <v>7.3550000000000004E-2</v>
      </c>
      <c r="W52" s="101"/>
      <c r="X52" s="111"/>
    </row>
    <row r="53" spans="5:24" ht="30" customHeight="1" x14ac:dyDescent="0.3">
      <c r="E53" s="107" t="s">
        <v>133</v>
      </c>
      <c r="F53" s="91">
        <v>-115418</v>
      </c>
      <c r="G53" s="91">
        <v>-139467</v>
      </c>
      <c r="H53" s="91">
        <v>-178719</v>
      </c>
      <c r="I53" s="108">
        <v>-170696</v>
      </c>
      <c r="J53" s="108">
        <v>-41511.576139999997</v>
      </c>
      <c r="K53" s="108">
        <f>J53</f>
        <v>-41511.576139999997</v>
      </c>
      <c r="L53" s="92">
        <f>'Projeções Trimestrais'!J198</f>
        <v>-125963.78428328771</v>
      </c>
      <c r="M53" s="92">
        <f>SUM(K53,L53)</f>
        <v>-167475.3604232877</v>
      </c>
      <c r="N53" s="92">
        <f t="shared" ref="N53:V53" si="62">N136</f>
        <v>-204889.62630437021</v>
      </c>
      <c r="O53" s="92">
        <f t="shared" si="62"/>
        <v>-231656.37729207022</v>
      </c>
      <c r="P53" s="92">
        <f t="shared" si="62"/>
        <v>-260429.32204177827</v>
      </c>
      <c r="Q53" s="92">
        <f t="shared" si="62"/>
        <v>-290858.16847938992</v>
      </c>
      <c r="R53" s="92">
        <f t="shared" si="62"/>
        <v>-323054.01930074493</v>
      </c>
      <c r="S53" s="92">
        <f t="shared" si="62"/>
        <v>-357075.64950888202</v>
      </c>
      <c r="T53" s="92">
        <f t="shared" si="62"/>
        <v>-393367.78863513295</v>
      </c>
      <c r="U53" s="92">
        <f t="shared" si="62"/>
        <v>-431872.00981846766</v>
      </c>
      <c r="V53" s="92">
        <f t="shared" si="62"/>
        <v>-472746.73084432457</v>
      </c>
      <c r="W53" s="128">
        <f>(I53/F53)^(1/3)-1</f>
        <v>0.13933104988885647</v>
      </c>
      <c r="X53" s="112" t="s">
        <v>346</v>
      </c>
    </row>
    <row r="54" spans="5:24" ht="30" customHeight="1" x14ac:dyDescent="0.3">
      <c r="E54" s="110" t="s">
        <v>131</v>
      </c>
      <c r="F54" s="104" t="s">
        <v>21</v>
      </c>
      <c r="G54" s="104">
        <f>G53/F53-1</f>
        <v>0.20836437990608059</v>
      </c>
      <c r="H54" s="104">
        <f t="shared" ref="H54:I54" si="63">H53/G53-1</f>
        <v>0.28144292198154397</v>
      </c>
      <c r="I54" s="104">
        <f t="shared" si="63"/>
        <v>-4.489170149788213E-2</v>
      </c>
      <c r="J54" s="104"/>
      <c r="K54" s="104"/>
      <c r="L54" s="105"/>
      <c r="M54" s="105">
        <f>M53/I53-1</f>
        <v>-1.8867692135212888E-2</v>
      </c>
      <c r="N54" s="105">
        <f t="shared" ref="N54:Q54" si="64">N53/M53-1</f>
        <v>0.22340161434207007</v>
      </c>
      <c r="O54" s="105">
        <f t="shared" si="64"/>
        <v>0.13063985459145266</v>
      </c>
      <c r="P54" s="105">
        <f t="shared" si="64"/>
        <v>0.12420527803312487</v>
      </c>
      <c r="Q54" s="105">
        <f t="shared" si="64"/>
        <v>0.11684109223588202</v>
      </c>
      <c r="R54" s="105">
        <f>R53/Q53-1</f>
        <v>0.11069261348125559</v>
      </c>
      <c r="S54" s="105">
        <f t="shared" ref="S54:V54" si="65">S53/R53-1</f>
        <v>0.10531251176437118</v>
      </c>
      <c r="T54" s="105">
        <f t="shared" si="65"/>
        <v>0.10163711576571166</v>
      </c>
      <c r="U54" s="105">
        <f t="shared" si="65"/>
        <v>9.7883513332224448E-2</v>
      </c>
      <c r="V54" s="105">
        <f t="shared" si="65"/>
        <v>9.4645450727492531E-2</v>
      </c>
      <c r="W54" s="101"/>
      <c r="X54" s="109"/>
    </row>
    <row r="55" spans="5:24" ht="30" customHeight="1" x14ac:dyDescent="0.3">
      <c r="E55" s="107" t="s">
        <v>163</v>
      </c>
      <c r="F55" s="91">
        <v>-50726</v>
      </c>
      <c r="G55" s="91">
        <v>-72604</v>
      </c>
      <c r="H55" s="91">
        <v>-137168</v>
      </c>
      <c r="I55" s="108">
        <v>-403287</v>
      </c>
      <c r="J55" s="108">
        <v>-44510.629890000004</v>
      </c>
      <c r="K55" s="108">
        <f>J55</f>
        <v>-44510.629890000004</v>
      </c>
      <c r="L55" s="92">
        <f>'Projeções Trimestrais'!J205</f>
        <v>-194817.65067976672</v>
      </c>
      <c r="M55" s="92">
        <f>SUM(K55,L55)</f>
        <v>-239328.28056976674</v>
      </c>
      <c r="N55" s="92">
        <f t="shared" ref="N55:U55" si="66">N143</f>
        <v>-259693.90221659985</v>
      </c>
      <c r="O55" s="92">
        <f t="shared" si="66"/>
        <v>-279775.04964184802</v>
      </c>
      <c r="P55" s="92">
        <f t="shared" si="66"/>
        <v>-301710.62461772287</v>
      </c>
      <c r="Q55" s="92">
        <f t="shared" si="66"/>
        <v>-325459.77893092338</v>
      </c>
      <c r="R55" s="92">
        <f t="shared" si="66"/>
        <v>-351041.50494535617</v>
      </c>
      <c r="S55" s="92">
        <f t="shared" si="66"/>
        <v>-378659.80992855696</v>
      </c>
      <c r="T55" s="92">
        <f t="shared" si="66"/>
        <v>-408346.3789703229</v>
      </c>
      <c r="U55" s="92">
        <f t="shared" si="66"/>
        <v>-440109.67867928313</v>
      </c>
      <c r="V55" s="92">
        <f>V143</f>
        <v>-474122.0051725579</v>
      </c>
      <c r="W55" s="128">
        <f>(I55/F55)^(1/3)-1</f>
        <v>0.9958498625086718</v>
      </c>
      <c r="X55" s="112" t="s">
        <v>345</v>
      </c>
    </row>
    <row r="56" spans="5:24" ht="30" customHeight="1" x14ac:dyDescent="0.3">
      <c r="E56" s="110" t="s">
        <v>131</v>
      </c>
      <c r="F56" s="104" t="s">
        <v>21</v>
      </c>
      <c r="G56" s="104">
        <f>G55/F55-1</f>
        <v>0.43129755943697523</v>
      </c>
      <c r="H56" s="104">
        <f t="shared" ref="H56:I56" si="67">H55/G55-1</f>
        <v>0.88926229959781833</v>
      </c>
      <c r="I56" s="104">
        <f t="shared" si="67"/>
        <v>1.9400953575177886</v>
      </c>
      <c r="J56" s="104"/>
      <c r="K56" s="104"/>
      <c r="L56" s="105"/>
      <c r="M56" s="105">
        <f>M55/I55-1</f>
        <v>-0.40655592525976103</v>
      </c>
      <c r="N56" s="105">
        <f t="shared" ref="N56:R56" si="68">N55/M55-1</f>
        <v>8.5094923167244874E-2</v>
      </c>
      <c r="O56" s="105">
        <f t="shared" si="68"/>
        <v>7.7326218497419053E-2</v>
      </c>
      <c r="P56" s="105">
        <f t="shared" si="68"/>
        <v>7.8404328777550214E-2</v>
      </c>
      <c r="Q56" s="105">
        <f t="shared" si="68"/>
        <v>7.8715008274207854E-2</v>
      </c>
      <c r="R56" s="105">
        <f t="shared" si="68"/>
        <v>7.8601804802006958E-2</v>
      </c>
      <c r="S56" s="105">
        <f>S55/R55-1</f>
        <v>7.8675326404779256E-2</v>
      </c>
      <c r="T56" s="105">
        <f t="shared" ref="T56:U56" si="69">T55/S55-1</f>
        <v>7.8399049128997866E-2</v>
      </c>
      <c r="U56" s="105">
        <f t="shared" si="69"/>
        <v>7.7785187636667308E-2</v>
      </c>
      <c r="V56" s="105">
        <f>V55/U55-1</f>
        <v>7.7281478097327216E-2</v>
      </c>
      <c r="W56" s="101"/>
      <c r="X56" s="109"/>
    </row>
    <row r="57" spans="5:24" ht="30" customHeight="1" x14ac:dyDescent="0.3">
      <c r="E57" s="98" t="s">
        <v>164</v>
      </c>
      <c r="F57" s="99">
        <f>SUM(F59,F61,F63,F65)</f>
        <v>-679835</v>
      </c>
      <c r="G57" s="99">
        <f t="shared" ref="G57:V57" si="70">SUM(G59,G61,G63,G65)</f>
        <v>-495926</v>
      </c>
      <c r="H57" s="99">
        <f t="shared" si="70"/>
        <v>-768605</v>
      </c>
      <c r="I57" s="99">
        <f t="shared" si="70"/>
        <v>-631744</v>
      </c>
      <c r="J57" s="99">
        <f t="shared" si="70"/>
        <v>-180181.92332</v>
      </c>
      <c r="K57" s="99">
        <f t="shared" si="70"/>
        <v>-180181.92332</v>
      </c>
      <c r="L57" s="117">
        <f t="shared" si="70"/>
        <v>-522197.52932873677</v>
      </c>
      <c r="M57" s="100">
        <f t="shared" si="70"/>
        <v>-702379.45264873677</v>
      </c>
      <c r="N57" s="100">
        <f t="shared" si="70"/>
        <v>-789023.60567111499</v>
      </c>
      <c r="O57" s="100">
        <f t="shared" si="70"/>
        <v>-880330.81939142721</v>
      </c>
      <c r="P57" s="100">
        <f t="shared" si="70"/>
        <v>-981688.77187917719</v>
      </c>
      <c r="Q57" s="100">
        <f t="shared" si="70"/>
        <v>-1092552.2899291129</v>
      </c>
      <c r="R57" s="100">
        <f t="shared" si="70"/>
        <v>-1213124.5231666642</v>
      </c>
      <c r="S57" s="100">
        <f t="shared" si="70"/>
        <v>-1343932.2281092945</v>
      </c>
      <c r="T57" s="100">
        <f t="shared" si="70"/>
        <v>-1485875.0830415215</v>
      </c>
      <c r="U57" s="100">
        <f t="shared" si="70"/>
        <v>-1638824.2760201376</v>
      </c>
      <c r="V57" s="100">
        <f t="shared" si="70"/>
        <v>-1803437.0180633799</v>
      </c>
      <c r="W57" s="128">
        <f>(I57/F57)^(1/3)-1</f>
        <v>-2.4158683125922398E-2</v>
      </c>
      <c r="X57" s="102"/>
    </row>
    <row r="58" spans="5:24" ht="30" customHeight="1" x14ac:dyDescent="0.3">
      <c r="E58" s="115" t="s">
        <v>131</v>
      </c>
      <c r="F58" s="104" t="s">
        <v>21</v>
      </c>
      <c r="G58" s="104">
        <f>G57/F57-1</f>
        <v>-0.27052005265983659</v>
      </c>
      <c r="H58" s="104">
        <f t="shared" ref="H58:I58" si="71">H57/G57-1</f>
        <v>0.54983808068139206</v>
      </c>
      <c r="I58" s="104">
        <f t="shared" si="71"/>
        <v>-0.17806415519024732</v>
      </c>
      <c r="J58" s="104"/>
      <c r="K58" s="104"/>
      <c r="L58" s="105"/>
      <c r="M58" s="105">
        <f>M57/I57-1</f>
        <v>0.1118102469492972</v>
      </c>
      <c r="N58" s="105">
        <f t="shared" ref="N58:V58" si="72">N57/M57-1</f>
        <v>0.12335804057996747</v>
      </c>
      <c r="O58" s="105">
        <f t="shared" si="72"/>
        <v>0.11572177697098129</v>
      </c>
      <c r="P58" s="105">
        <f t="shared" si="72"/>
        <v>0.11513620817889669</v>
      </c>
      <c r="Q58" s="105">
        <f t="shared" si="72"/>
        <v>0.11293143124955729</v>
      </c>
      <c r="R58" s="105">
        <f t="shared" si="72"/>
        <v>0.11035831817749808</v>
      </c>
      <c r="S58" s="105">
        <f t="shared" si="72"/>
        <v>0.10782710467444678</v>
      </c>
      <c r="T58" s="105">
        <f t="shared" si="72"/>
        <v>0.1056175690733443</v>
      </c>
      <c r="U58" s="105">
        <f t="shared" si="72"/>
        <v>0.10293543160138041</v>
      </c>
      <c r="V58" s="105">
        <f t="shared" si="72"/>
        <v>0.10044563316025679</v>
      </c>
      <c r="W58" s="101"/>
      <c r="X58" s="102"/>
    </row>
    <row r="59" spans="5:24" ht="30" customHeight="1" x14ac:dyDescent="0.3">
      <c r="E59" s="107" t="s">
        <v>165</v>
      </c>
      <c r="F59" s="91">
        <v>-375000</v>
      </c>
      <c r="G59" s="91">
        <v>-152705</v>
      </c>
      <c r="H59" s="91">
        <v>-309744</v>
      </c>
      <c r="I59" s="108">
        <v>-256106</v>
      </c>
      <c r="J59" s="108">
        <v>-98635.402260000003</v>
      </c>
      <c r="K59" s="108">
        <f>J59</f>
        <v>-98635.402260000003</v>
      </c>
      <c r="L59" s="92">
        <f>'Projeções Trimestrais'!J212</f>
        <v>-234646.29506437431</v>
      </c>
      <c r="M59" s="92">
        <f>SUM(K59,L59)</f>
        <v>-333281.69732437434</v>
      </c>
      <c r="N59" s="92">
        <f t="shared" ref="N59:U59" si="73">N150</f>
        <v>-405671.29503612552</v>
      </c>
      <c r="O59" s="92">
        <f t="shared" si="73"/>
        <v>-480226.01278168877</v>
      </c>
      <c r="P59" s="92">
        <f t="shared" si="73"/>
        <v>-562919.07604109449</v>
      </c>
      <c r="Q59" s="92">
        <f t="shared" si="73"/>
        <v>-653350.82063109009</v>
      </c>
      <c r="R59" s="92">
        <f t="shared" si="73"/>
        <v>-751923.4522715034</v>
      </c>
      <c r="S59" s="92">
        <f t="shared" si="73"/>
        <v>-858896.2858702722</v>
      </c>
      <c r="T59" s="92">
        <f t="shared" si="73"/>
        <v>-975491.16246108734</v>
      </c>
      <c r="U59" s="92">
        <f t="shared" si="73"/>
        <v>-1101731.9648757298</v>
      </c>
      <c r="V59" s="92">
        <f>V150</f>
        <v>-1238147.3605838905</v>
      </c>
      <c r="W59" s="128">
        <f>(I59/F59)^(1/3)-1</f>
        <v>-0.11936455446434657</v>
      </c>
      <c r="X59" s="102" t="s">
        <v>344</v>
      </c>
    </row>
    <row r="60" spans="5:24" ht="30" customHeight="1" x14ac:dyDescent="0.3">
      <c r="E60" s="110" t="s">
        <v>131</v>
      </c>
      <c r="F60" s="104" t="s">
        <v>21</v>
      </c>
      <c r="G60" s="104">
        <f>G59/F59-1</f>
        <v>-0.59278666666666668</v>
      </c>
      <c r="H60" s="104">
        <f t="shared" ref="H60:I60" si="74">H59/G59-1</f>
        <v>1.0283815199240367</v>
      </c>
      <c r="I60" s="104">
        <f t="shared" si="74"/>
        <v>-0.17316881037243659</v>
      </c>
      <c r="J60" s="104"/>
      <c r="K60" s="104"/>
      <c r="L60" s="105"/>
      <c r="M60" s="105">
        <f>M59/I59-1</f>
        <v>0.30134279292314248</v>
      </c>
      <c r="N60" s="105">
        <f t="shared" ref="N60:Q60" si="75">N59/M59-1</f>
        <v>0.21720243953659502</v>
      </c>
      <c r="O60" s="105">
        <f t="shared" si="75"/>
        <v>0.18378110223185518</v>
      </c>
      <c r="P60" s="105">
        <f t="shared" si="75"/>
        <v>0.17219613485827168</v>
      </c>
      <c r="Q60" s="105">
        <f t="shared" si="75"/>
        <v>0.16064785941522053</v>
      </c>
      <c r="R60" s="105">
        <f>R59/Q59-1</f>
        <v>0.15087243870788924</v>
      </c>
      <c r="S60" s="105">
        <f t="shared" ref="S60:T60" si="76">S59/R59-1</f>
        <v>0.14226559003527828</v>
      </c>
      <c r="T60" s="105">
        <f t="shared" si="76"/>
        <v>0.13574965744865919</v>
      </c>
      <c r="U60" s="105">
        <f>U59/T59-1</f>
        <v>0.12941255366798687</v>
      </c>
      <c r="V60" s="105">
        <f>V59/U59-1</f>
        <v>0.12381904134327959</v>
      </c>
      <c r="W60" s="101"/>
      <c r="X60" s="111"/>
    </row>
    <row r="61" spans="5:24" ht="30" customHeight="1" x14ac:dyDescent="0.3">
      <c r="E61" s="107" t="s">
        <v>166</v>
      </c>
      <c r="F61" s="91">
        <v>-172860</v>
      </c>
      <c r="G61" s="91">
        <v>-189396</v>
      </c>
      <c r="H61" s="91">
        <v>-208105</v>
      </c>
      <c r="I61" s="108">
        <v>-170371</v>
      </c>
      <c r="J61" s="108">
        <v>-38858.758630000004</v>
      </c>
      <c r="K61" s="108">
        <f>J61</f>
        <v>-38858.758630000004</v>
      </c>
      <c r="L61" s="92">
        <f>'Projeções Trimestrais'!J219</f>
        <v>-142961.92797826344</v>
      </c>
      <c r="M61" s="92">
        <f>SUM(K61,L61)</f>
        <v>-181820.68660826344</v>
      </c>
      <c r="N61" s="92">
        <f t="shared" ref="N61:V61" si="77">M61*(1+N62)</f>
        <v>-188842.6015250746</v>
      </c>
      <c r="O61" s="92">
        <f t="shared" si="77"/>
        <v>-197095.02321172037</v>
      </c>
      <c r="P61" s="92">
        <f t="shared" si="77"/>
        <v>-206289.50604454713</v>
      </c>
      <c r="Q61" s="92">
        <f t="shared" si="77"/>
        <v>-216354.37104446057</v>
      </c>
      <c r="R61" s="92">
        <f t="shared" si="77"/>
        <v>-227191.56149007758</v>
      </c>
      <c r="S61" s="92">
        <f t="shared" si="77"/>
        <v>-238932.82138788479</v>
      </c>
      <c r="T61" s="92">
        <f t="shared" si="77"/>
        <v>-251419.45063361563</v>
      </c>
      <c r="U61" s="92">
        <f t="shared" si="77"/>
        <v>-264576.23048527271</v>
      </c>
      <c r="V61" s="92">
        <f t="shared" si="77"/>
        <v>-278466.48258574953</v>
      </c>
      <c r="W61" s="128">
        <f>(I61/F61)^(1/3)-1</f>
        <v>-4.8228678457968854E-3</v>
      </c>
      <c r="X61" s="102" t="s">
        <v>347</v>
      </c>
    </row>
    <row r="62" spans="5:24" ht="30" customHeight="1" x14ac:dyDescent="0.3">
      <c r="E62" s="110" t="s">
        <v>131</v>
      </c>
      <c r="F62" s="104" t="s">
        <v>21</v>
      </c>
      <c r="G62" s="104">
        <f>G61/F61-1</f>
        <v>9.566122874002092E-2</v>
      </c>
      <c r="H62" s="104">
        <f t="shared" ref="H62:I62" si="78">H61/G61-1</f>
        <v>9.8782445246995643E-2</v>
      </c>
      <c r="I62" s="104">
        <f t="shared" si="78"/>
        <v>-0.18132192883400211</v>
      </c>
      <c r="J62" s="104"/>
      <c r="K62" s="104"/>
      <c r="L62" s="105"/>
      <c r="M62" s="105">
        <f>M61/I61-1</f>
        <v>6.7204433901681737E-2</v>
      </c>
      <c r="N62" s="105">
        <f>Ke!G$12</f>
        <v>3.8620000000000002E-2</v>
      </c>
      <c r="O62" s="105">
        <f>Ke!H$12</f>
        <v>4.3700000000000003E-2</v>
      </c>
      <c r="P62" s="105">
        <f>Ke!I$12</f>
        <v>4.6649999999999997E-2</v>
      </c>
      <c r="Q62" s="105">
        <f>Ke!J$12</f>
        <v>4.879E-2</v>
      </c>
      <c r="R62" s="105">
        <f>Ke!K$12</f>
        <v>5.0090000000000003E-2</v>
      </c>
      <c r="S62" s="105">
        <f>Ke!L$12</f>
        <v>5.1679999999999997E-2</v>
      </c>
      <c r="T62" s="105">
        <f>Ke!M$12</f>
        <v>5.2260000000000001E-2</v>
      </c>
      <c r="U62" s="105">
        <f>Ke!N$12</f>
        <v>5.2330000000000002E-2</v>
      </c>
      <c r="V62" s="105">
        <f>Ke!O$12</f>
        <v>5.2499999999999998E-2</v>
      </c>
      <c r="W62" s="101"/>
      <c r="X62" s="111"/>
    </row>
    <row r="63" spans="5:24" ht="30" customHeight="1" x14ac:dyDescent="0.3">
      <c r="E63" s="107" t="s">
        <v>167</v>
      </c>
      <c r="F63" s="91">
        <v>-74502</v>
      </c>
      <c r="G63" s="91">
        <v>-68187</v>
      </c>
      <c r="H63" s="91">
        <v>-195403</v>
      </c>
      <c r="I63" s="108">
        <v>-168682</v>
      </c>
      <c r="J63" s="108">
        <v>-31387.604769999998</v>
      </c>
      <c r="K63" s="108">
        <f>J63</f>
        <v>-31387.604769999998</v>
      </c>
      <c r="L63" s="92">
        <f>'Projeções Trimestrais'!J226</f>
        <v>-127283.61126386443</v>
      </c>
      <c r="M63" s="92">
        <f>SUM(K63,L63)</f>
        <v>-158671.21603386442</v>
      </c>
      <c r="N63" s="92">
        <f t="shared" ref="N63:V63" si="79">M63*(1+N64)</f>
        <v>-164799.09839709228</v>
      </c>
      <c r="O63" s="92">
        <f t="shared" si="79"/>
        <v>-172000.81899704522</v>
      </c>
      <c r="P63" s="92">
        <f t="shared" si="79"/>
        <v>-180024.6572032574</v>
      </c>
      <c r="Q63" s="92">
        <f t="shared" si="79"/>
        <v>-188808.06022820433</v>
      </c>
      <c r="R63" s="92">
        <f t="shared" si="79"/>
        <v>-198265.45596503507</v>
      </c>
      <c r="S63" s="92">
        <f t="shared" si="79"/>
        <v>-208511.81472930807</v>
      </c>
      <c r="T63" s="92">
        <f t="shared" si="79"/>
        <v>-219408.64216706171</v>
      </c>
      <c r="U63" s="92">
        <f t="shared" si="79"/>
        <v>-230890.29641166405</v>
      </c>
      <c r="V63" s="92">
        <f t="shared" si="79"/>
        <v>-243012.03697327641</v>
      </c>
      <c r="W63" s="128">
        <f>(I63/F63)^(1/3)-1</f>
        <v>0.31310746423620572</v>
      </c>
      <c r="X63" s="102" t="s">
        <v>347</v>
      </c>
    </row>
    <row r="64" spans="5:24" ht="30" customHeight="1" x14ac:dyDescent="0.3">
      <c r="E64" s="110" t="s">
        <v>131</v>
      </c>
      <c r="F64" s="104" t="s">
        <v>21</v>
      </c>
      <c r="G64" s="104">
        <f>G63/F63-1</f>
        <v>-8.4762825159056088E-2</v>
      </c>
      <c r="H64" s="104">
        <f t="shared" ref="H64:I64" si="80">H63/G63-1</f>
        <v>1.8656928740082419</v>
      </c>
      <c r="I64" s="104">
        <f t="shared" si="80"/>
        <v>-0.13674815637426241</v>
      </c>
      <c r="J64" s="104"/>
      <c r="K64" s="104"/>
      <c r="L64" s="105"/>
      <c r="M64" s="105">
        <f>M63/I63-1</f>
        <v>-5.9347078918530638E-2</v>
      </c>
      <c r="N64" s="105">
        <f>Ke!G$12</f>
        <v>3.8620000000000002E-2</v>
      </c>
      <c r="O64" s="105">
        <f>Ke!H$12</f>
        <v>4.3700000000000003E-2</v>
      </c>
      <c r="P64" s="105">
        <f>Ke!I$12</f>
        <v>4.6649999999999997E-2</v>
      </c>
      <c r="Q64" s="105">
        <f>Ke!J$12</f>
        <v>4.879E-2</v>
      </c>
      <c r="R64" s="105">
        <f>Ke!K$12</f>
        <v>5.0090000000000003E-2</v>
      </c>
      <c r="S64" s="105">
        <f>Ke!L$12</f>
        <v>5.1679999999999997E-2</v>
      </c>
      <c r="T64" s="105">
        <f>Ke!M$12</f>
        <v>5.2260000000000001E-2</v>
      </c>
      <c r="U64" s="105">
        <f>Ke!N$12</f>
        <v>5.2330000000000002E-2</v>
      </c>
      <c r="V64" s="105">
        <f>Ke!O$12</f>
        <v>5.2499999999999998E-2</v>
      </c>
      <c r="W64" s="101"/>
      <c r="X64" s="109"/>
    </row>
    <row r="65" spans="5:24" ht="30" customHeight="1" x14ac:dyDescent="0.3">
      <c r="E65" s="107" t="s">
        <v>168</v>
      </c>
      <c r="F65" s="91">
        <v>-57473</v>
      </c>
      <c r="G65" s="91">
        <v>-85638</v>
      </c>
      <c r="H65" s="91">
        <v>-55353</v>
      </c>
      <c r="I65" s="108">
        <v>-36585</v>
      </c>
      <c r="J65" s="108">
        <v>-11300.157660000001</v>
      </c>
      <c r="K65" s="108">
        <f>J65</f>
        <v>-11300.157660000001</v>
      </c>
      <c r="L65" s="92">
        <f>'Projeções Trimestrais'!J233</f>
        <v>-17305.695022234573</v>
      </c>
      <c r="M65" s="92">
        <f>SUM(K65,L65)</f>
        <v>-28605.852682234574</v>
      </c>
      <c r="N65" s="92">
        <f t="shared" ref="N65:V65" si="81">M65*(1+N66)</f>
        <v>-29710.610712822476</v>
      </c>
      <c r="O65" s="92">
        <f t="shared" si="81"/>
        <v>-31008.964400972822</v>
      </c>
      <c r="P65" s="92">
        <f t="shared" si="81"/>
        <v>-32455.532590278206</v>
      </c>
      <c r="Q65" s="92">
        <f t="shared" si="81"/>
        <v>-34039.038025357877</v>
      </c>
      <c r="R65" s="92">
        <f t="shared" si="81"/>
        <v>-35744.053440048054</v>
      </c>
      <c r="S65" s="92">
        <f t="shared" si="81"/>
        <v>-37591.306121829737</v>
      </c>
      <c r="T65" s="92">
        <f t="shared" si="81"/>
        <v>-39555.827779756561</v>
      </c>
      <c r="U65" s="92">
        <f t="shared" si="81"/>
        <v>-41625.784247471223</v>
      </c>
      <c r="V65" s="92">
        <f t="shared" si="81"/>
        <v>-43811.137920463465</v>
      </c>
      <c r="W65" s="128">
        <f>(I65/F65)^(1/3)-1</f>
        <v>-0.13977301110903884</v>
      </c>
      <c r="X65" s="102" t="s">
        <v>347</v>
      </c>
    </row>
    <row r="66" spans="5:24" ht="30" customHeight="1" x14ac:dyDescent="0.3">
      <c r="E66" s="110" t="s">
        <v>131</v>
      </c>
      <c r="F66" s="104" t="s">
        <v>21</v>
      </c>
      <c r="G66" s="104">
        <f>G65/F65-1</f>
        <v>0.49005620030275088</v>
      </c>
      <c r="H66" s="104">
        <f t="shared" ref="H66:I66" si="82">H65/G65-1</f>
        <v>-0.35363973936803761</v>
      </c>
      <c r="I66" s="104">
        <f t="shared" si="82"/>
        <v>-0.33906021353856164</v>
      </c>
      <c r="J66" s="104"/>
      <c r="K66" s="104"/>
      <c r="L66" s="105"/>
      <c r="M66" s="105">
        <f>M65/I65-1</f>
        <v>-0.21809887434099839</v>
      </c>
      <c r="N66" s="105">
        <f>Ke!G$12</f>
        <v>3.8620000000000002E-2</v>
      </c>
      <c r="O66" s="105">
        <f>Ke!H$12</f>
        <v>4.3700000000000003E-2</v>
      </c>
      <c r="P66" s="105">
        <f>Ke!I$12</f>
        <v>4.6649999999999997E-2</v>
      </c>
      <c r="Q66" s="105">
        <f>Ke!J$12</f>
        <v>4.879E-2</v>
      </c>
      <c r="R66" s="105">
        <f>Ke!K$12</f>
        <v>5.0090000000000003E-2</v>
      </c>
      <c r="S66" s="105">
        <f>Ke!L$12</f>
        <v>5.1679999999999997E-2</v>
      </c>
      <c r="T66" s="105">
        <f>Ke!M$12</f>
        <v>5.2260000000000001E-2</v>
      </c>
      <c r="U66" s="105">
        <f>Ke!N$12</f>
        <v>5.2330000000000002E-2</v>
      </c>
      <c r="V66" s="105">
        <f>Ke!O$12</f>
        <v>5.2499999999999998E-2</v>
      </c>
      <c r="W66" s="101"/>
      <c r="X66" s="111"/>
    </row>
    <row r="67" spans="5:24" ht="30" customHeight="1" x14ac:dyDescent="0.3">
      <c r="E67" s="98" t="s">
        <v>134</v>
      </c>
      <c r="F67" s="99">
        <f>SUM(F18,F19,F47,F57)</f>
        <v>404063</v>
      </c>
      <c r="G67" s="99">
        <f t="shared" ref="G67:V67" si="83">SUM(G18,G19,G47,G57)</f>
        <v>1126479</v>
      </c>
      <c r="H67" s="99">
        <f t="shared" si="83"/>
        <v>1950627</v>
      </c>
      <c r="I67" s="99">
        <f t="shared" si="83"/>
        <v>1641073</v>
      </c>
      <c r="J67" s="99">
        <f t="shared" si="83"/>
        <v>261903.19557999982</v>
      </c>
      <c r="K67" s="99">
        <f t="shared" si="83"/>
        <v>261903.19557999982</v>
      </c>
      <c r="L67" s="117">
        <f t="shared" si="83"/>
        <v>1656995.7253928485</v>
      </c>
      <c r="M67" s="117">
        <f t="shared" si="83"/>
        <v>1918898.9209728499</v>
      </c>
      <c r="N67" s="117">
        <f t="shared" si="83"/>
        <v>2516655.3641618965</v>
      </c>
      <c r="O67" s="117">
        <f t="shared" si="83"/>
        <v>2820521.1999744042</v>
      </c>
      <c r="P67" s="117">
        <f t="shared" si="83"/>
        <v>3125879.6227643085</v>
      </c>
      <c r="Q67" s="117">
        <f t="shared" si="83"/>
        <v>3424007.6727584521</v>
      </c>
      <c r="R67" s="117">
        <f t="shared" si="83"/>
        <v>3716168.9766145796</v>
      </c>
      <c r="S67" s="117">
        <f t="shared" si="83"/>
        <v>4000814.2214707434</v>
      </c>
      <c r="T67" s="117">
        <f t="shared" si="83"/>
        <v>4285409.9359517656</v>
      </c>
      <c r="U67" s="117">
        <f t="shared" si="83"/>
        <v>4567335.5679296516</v>
      </c>
      <c r="V67" s="117">
        <f t="shared" si="83"/>
        <v>4846795.6318255439</v>
      </c>
      <c r="W67" s="128">
        <f>(I67/F67)^(1/3)-1</f>
        <v>0.59548578339490033</v>
      </c>
      <c r="X67" s="109"/>
    </row>
    <row r="68" spans="5:24" ht="30" customHeight="1" x14ac:dyDescent="0.3">
      <c r="E68" s="107" t="s">
        <v>135</v>
      </c>
      <c r="F68" s="91">
        <v>1175</v>
      </c>
      <c r="G68" s="91">
        <v>234689</v>
      </c>
      <c r="H68" s="91">
        <v>27610</v>
      </c>
      <c r="I68" s="118">
        <v>7326</v>
      </c>
      <c r="J68" s="118">
        <v>177.08661999999998</v>
      </c>
      <c r="K68" s="118">
        <f>J68</f>
        <v>177.08661999999998</v>
      </c>
      <c r="L68" s="119">
        <v>0</v>
      </c>
      <c r="M68" s="119">
        <f>K68+L68</f>
        <v>177.08661999999998</v>
      </c>
      <c r="N68" s="119">
        <v>0</v>
      </c>
      <c r="O68" s="119">
        <v>0</v>
      </c>
      <c r="P68" s="119">
        <v>0</v>
      </c>
      <c r="Q68" s="119">
        <v>0</v>
      </c>
      <c r="R68" s="119">
        <v>0</v>
      </c>
      <c r="S68" s="119">
        <v>0</v>
      </c>
      <c r="T68" s="119">
        <v>0</v>
      </c>
      <c r="U68" s="119">
        <v>0</v>
      </c>
      <c r="V68" s="119"/>
      <c r="W68" s="116"/>
      <c r="X68" s="109"/>
    </row>
    <row r="69" spans="5:24" ht="30" customHeight="1" x14ac:dyDescent="0.3">
      <c r="E69" s="98" t="s">
        <v>136</v>
      </c>
      <c r="F69" s="99">
        <f>SUM(F67,F68)</f>
        <v>405238</v>
      </c>
      <c r="G69" s="99">
        <f t="shared" ref="G69:L69" si="84">SUM(G67,G68)</f>
        <v>1361168</v>
      </c>
      <c r="H69" s="99">
        <f t="shared" si="84"/>
        <v>1978237</v>
      </c>
      <c r="I69" s="99">
        <f t="shared" si="84"/>
        <v>1648399</v>
      </c>
      <c r="J69" s="99">
        <f t="shared" si="84"/>
        <v>262080.28219999981</v>
      </c>
      <c r="K69" s="99">
        <f t="shared" si="84"/>
        <v>262080.28219999981</v>
      </c>
      <c r="L69" s="117">
        <f t="shared" si="84"/>
        <v>1656995.7253928485</v>
      </c>
      <c r="M69" s="117">
        <f>SUM(M67:M68)</f>
        <v>1919076.0075928499</v>
      </c>
      <c r="N69" s="117">
        <f t="shared" ref="N69:V69" si="85">SUM(N67:N68)</f>
        <v>2516655.3641618965</v>
      </c>
      <c r="O69" s="117">
        <f t="shared" si="85"/>
        <v>2820521.1999744042</v>
      </c>
      <c r="P69" s="117">
        <f t="shared" si="85"/>
        <v>3125879.6227643085</v>
      </c>
      <c r="Q69" s="117">
        <f t="shared" si="85"/>
        <v>3424007.6727584521</v>
      </c>
      <c r="R69" s="117">
        <f t="shared" si="85"/>
        <v>3716168.9766145796</v>
      </c>
      <c r="S69" s="117">
        <f t="shared" si="85"/>
        <v>4000814.2214707434</v>
      </c>
      <c r="T69" s="117">
        <f t="shared" si="85"/>
        <v>4285409.9359517656</v>
      </c>
      <c r="U69" s="117">
        <f t="shared" si="85"/>
        <v>4567335.5679296516</v>
      </c>
      <c r="V69" s="117">
        <f t="shared" si="85"/>
        <v>4846795.6318255439</v>
      </c>
      <c r="W69" s="116"/>
      <c r="X69" s="109"/>
    </row>
    <row r="70" spans="5:24" ht="30" customHeight="1" x14ac:dyDescent="0.3">
      <c r="E70" s="107" t="s">
        <v>169</v>
      </c>
      <c r="F70" s="91">
        <f t="shared" ref="F70:H70" si="86">-SUM(F216,F221,F226)</f>
        <v>-87712</v>
      </c>
      <c r="G70" s="91">
        <f t="shared" si="86"/>
        <v>-240015</v>
      </c>
      <c r="H70" s="91">
        <f t="shared" si="86"/>
        <v>-354765</v>
      </c>
      <c r="I70" s="91">
        <f>-SUM(I216,I221,I226)</f>
        <v>-152904</v>
      </c>
      <c r="J70" s="91">
        <f t="shared" ref="J70:K70" si="87">-SUM(J216,J221,J226)</f>
        <v>-79915</v>
      </c>
      <c r="K70" s="91">
        <f t="shared" si="87"/>
        <v>-79915</v>
      </c>
      <c r="L70" s="119">
        <f>-SUM(L216,L221,L226)</f>
        <v>-332970.93451626232</v>
      </c>
      <c r="M70" s="92">
        <f>-SUM(M216,M221,M226)</f>
        <v>-412885.93451626232</v>
      </c>
      <c r="N70" s="92">
        <f t="shared" ref="N70:V70" si="88">-SUM(N216,N221,N226)</f>
        <v>-527955.6567499697</v>
      </c>
      <c r="O70" s="92">
        <f t="shared" si="88"/>
        <v>-591213.34443523642</v>
      </c>
      <c r="P70" s="92">
        <f t="shared" si="88"/>
        <v>-655400.76428628387</v>
      </c>
      <c r="Q70" s="92">
        <f t="shared" si="88"/>
        <v>-717567.7228758143</v>
      </c>
      <c r="R70" s="92">
        <f t="shared" si="88"/>
        <v>-778132.76153232902</v>
      </c>
      <c r="S70" s="92">
        <f t="shared" si="88"/>
        <v>-836688.39250855369</v>
      </c>
      <c r="T70" s="92">
        <f t="shared" si="88"/>
        <v>-894995.42004357837</v>
      </c>
      <c r="U70" s="92">
        <f t="shared" si="88"/>
        <v>-952279.21560742252</v>
      </c>
      <c r="V70" s="92">
        <f t="shared" si="88"/>
        <v>-1008589.2548262513</v>
      </c>
      <c r="W70" s="116"/>
      <c r="X70" s="102" t="s">
        <v>349</v>
      </c>
    </row>
    <row r="71" spans="5:24" ht="30" customHeight="1" x14ac:dyDescent="0.3">
      <c r="E71" s="120" t="s">
        <v>288</v>
      </c>
      <c r="F71" s="104">
        <f>F70/F69</f>
        <v>-0.21644564428804802</v>
      </c>
      <c r="G71" s="104">
        <f t="shared" ref="G71:M71" si="89">G70/G69</f>
        <v>-0.17633018113855159</v>
      </c>
      <c r="H71" s="104">
        <f t="shared" si="89"/>
        <v>-0.17933392207303775</v>
      </c>
      <c r="I71" s="104">
        <f t="shared" si="89"/>
        <v>-9.2759095340387857E-2</v>
      </c>
      <c r="J71" s="104">
        <f t="shared" si="89"/>
        <v>-0.30492564846604875</v>
      </c>
      <c r="K71" s="104">
        <f t="shared" si="89"/>
        <v>-0.30492564846604875</v>
      </c>
      <c r="L71" s="105">
        <f t="shared" si="89"/>
        <v>-0.20094857784700682</v>
      </c>
      <c r="M71" s="105">
        <f t="shared" si="89"/>
        <v>-0.21514829682757411</v>
      </c>
      <c r="N71" s="105">
        <f t="shared" ref="N71" si="90">N70/N69</f>
        <v>-0.20978464682461237</v>
      </c>
      <c r="O71" s="105">
        <f t="shared" ref="O71" si="91">O70/O69</f>
        <v>-0.2096113812016735</v>
      </c>
      <c r="P71" s="105">
        <f t="shared" ref="P71" si="92">P70/P69</f>
        <v>-0.20966922702758894</v>
      </c>
      <c r="Q71" s="105">
        <f t="shared" ref="Q71" si="93">Q70/Q69</f>
        <v>-0.20956954290284249</v>
      </c>
      <c r="R71" s="105">
        <f t="shared" ref="R71" si="94">R70/R69</f>
        <v>-0.20939111392109139</v>
      </c>
      <c r="S71" s="105">
        <f t="shared" ref="S71" si="95">S70/S69</f>
        <v>-0.20912952868903215</v>
      </c>
      <c r="T71" s="105">
        <f t="shared" ref="T71" si="96">T70/T69</f>
        <v>-0.20884709594178064</v>
      </c>
      <c r="U71" s="105">
        <f t="shared" ref="U71:V71" si="97">U70/U69</f>
        <v>-0.20849775573619292</v>
      </c>
      <c r="V71" s="105">
        <f t="shared" si="97"/>
        <v>-0.2080940339641196</v>
      </c>
      <c r="W71" s="116"/>
      <c r="X71" s="102"/>
    </row>
    <row r="72" spans="5:24" ht="30" customHeight="1" x14ac:dyDescent="0.3">
      <c r="E72" s="107" t="s">
        <v>170</v>
      </c>
      <c r="F72" s="91">
        <f t="shared" ref="F72:H72" si="98">-SUM(F218,F223,F227)</f>
        <v>-67975</v>
      </c>
      <c r="G72" s="91">
        <f t="shared" si="98"/>
        <v>-208149</v>
      </c>
      <c r="H72" s="91">
        <f t="shared" si="98"/>
        <v>-299380</v>
      </c>
      <c r="I72" s="91">
        <f>-SUM(I218,I223,I227)</f>
        <v>-127241</v>
      </c>
      <c r="J72" s="91">
        <f t="shared" ref="J72:K72" si="99">-SUM(J218,J223,J227)</f>
        <v>-65684</v>
      </c>
      <c r="K72" s="91">
        <f t="shared" si="99"/>
        <v>-65684</v>
      </c>
      <c r="L72" s="119">
        <f>-SUM(L218,L223,L227)</f>
        <v>-276556.63476173294</v>
      </c>
      <c r="M72" s="92">
        <f t="shared" ref="M72:V72" si="100">-SUM(M218,M223,M227)</f>
        <v>-342240.63476173294</v>
      </c>
      <c r="N72" s="92">
        <f t="shared" si="100"/>
        <v>-434292.41254869889</v>
      </c>
      <c r="O72" s="92">
        <f t="shared" si="100"/>
        <v>-484898.56269691227</v>
      </c>
      <c r="P72" s="92">
        <f>-SUM(P218,P223,P227)</f>
        <v>-536248.49857775017</v>
      </c>
      <c r="Q72" s="92">
        <f t="shared" si="100"/>
        <v>-585982.06544937461</v>
      </c>
      <c r="R72" s="92">
        <f t="shared" si="100"/>
        <v>-634434.09637458634</v>
      </c>
      <c r="S72" s="92">
        <f t="shared" si="100"/>
        <v>-681278.60115556605</v>
      </c>
      <c r="T72" s="92">
        <f t="shared" si="100"/>
        <v>-727924.2231835858</v>
      </c>
      <c r="U72" s="92">
        <f t="shared" si="100"/>
        <v>-773751.25963466114</v>
      </c>
      <c r="V72" s="92">
        <f t="shared" si="100"/>
        <v>-818799.29100972414</v>
      </c>
      <c r="W72" s="116"/>
      <c r="X72" s="102" t="s">
        <v>349</v>
      </c>
    </row>
    <row r="73" spans="5:24" ht="30" customHeight="1" x14ac:dyDescent="0.3">
      <c r="E73" s="120" t="s">
        <v>289</v>
      </c>
      <c r="F73" s="104">
        <f>F72/F69</f>
        <v>-0.16774093248905581</v>
      </c>
      <c r="G73" s="104">
        <f t="shared" ref="G73:M73" si="101">G72/G69</f>
        <v>-0.15291940451141961</v>
      </c>
      <c r="H73" s="104">
        <f t="shared" si="101"/>
        <v>-0.1513367710744466</v>
      </c>
      <c r="I73" s="104">
        <f t="shared" si="101"/>
        <v>-7.7190655903091418E-2</v>
      </c>
      <c r="J73" s="104">
        <f t="shared" si="101"/>
        <v>-0.25062549325963768</v>
      </c>
      <c r="K73" s="104">
        <f t="shared" si="101"/>
        <v>-0.25062549325963768</v>
      </c>
      <c r="L73" s="105">
        <f t="shared" si="101"/>
        <v>-0.16690244309240182</v>
      </c>
      <c r="M73" s="105">
        <f t="shared" si="101"/>
        <v>-0.17833615417401566</v>
      </c>
      <c r="N73" s="105">
        <f t="shared" ref="N73" si="102">N72/N69</f>
        <v>-0.17256729655287073</v>
      </c>
      <c r="O73" s="105">
        <f t="shared" ref="O73" si="103">O72/O69</f>
        <v>-0.17191807056841574</v>
      </c>
      <c r="P73" s="105">
        <f t="shared" ref="P73" si="104">P72/P69</f>
        <v>-0.17155123142698939</v>
      </c>
      <c r="Q73" s="105">
        <f t="shared" ref="Q73" si="105">Q72/Q69</f>
        <v>-0.17113923841686232</v>
      </c>
      <c r="R73" s="105">
        <f t="shared" ref="R73" si="106">R72/R69</f>
        <v>-0.17072261793449289</v>
      </c>
      <c r="S73" s="105">
        <f t="shared" ref="S73:T73" si="107">S72/S69</f>
        <v>-0.17028498786557517</v>
      </c>
      <c r="T73" s="105">
        <f t="shared" si="107"/>
        <v>-0.16986104808242058</v>
      </c>
      <c r="U73" s="105">
        <f t="shared" ref="U73" si="108">U72/U69</f>
        <v>-0.16940976815185016</v>
      </c>
      <c r="V73" s="105">
        <f t="shared" ref="V73" si="109">V72/V69</f>
        <v>-0.16893621130489542</v>
      </c>
      <c r="W73" s="116"/>
      <c r="X73" s="102"/>
    </row>
    <row r="74" spans="5:24" ht="30" customHeight="1" x14ac:dyDescent="0.3">
      <c r="E74" s="107" t="s">
        <v>148</v>
      </c>
      <c r="F74" s="91">
        <f t="shared" ref="F74:H74" si="110">-SUM(F229,F230)</f>
        <v>36065</v>
      </c>
      <c r="G74" s="91">
        <f t="shared" si="110"/>
        <v>-124910</v>
      </c>
      <c r="H74" s="91">
        <f t="shared" si="110"/>
        <v>-126178</v>
      </c>
      <c r="I74" s="91">
        <f>-SUM(I229,I230)</f>
        <v>67159</v>
      </c>
      <c r="J74" s="91">
        <f t="shared" ref="J74:L74" si="111">-SUM(J229,J230)</f>
        <v>90291</v>
      </c>
      <c r="K74" s="91">
        <f t="shared" si="111"/>
        <v>90291</v>
      </c>
      <c r="L74" s="119">
        <f t="shared" si="111"/>
        <v>0</v>
      </c>
      <c r="M74" s="92">
        <f>-SUM(M229,M230)</f>
        <v>90291</v>
      </c>
      <c r="N74" s="92">
        <f t="shared" ref="N74:U74" si="112">-SUM(N229,N230)</f>
        <v>0</v>
      </c>
      <c r="O74" s="92">
        <f t="shared" si="112"/>
        <v>0</v>
      </c>
      <c r="P74" s="92">
        <f>-SUM(P229,P230)</f>
        <v>0</v>
      </c>
      <c r="Q74" s="92">
        <f t="shared" si="112"/>
        <v>0</v>
      </c>
      <c r="R74" s="92">
        <f t="shared" si="112"/>
        <v>0</v>
      </c>
      <c r="S74" s="92">
        <f>-SUM(S229,S230)</f>
        <v>0</v>
      </c>
      <c r="T74" s="92">
        <f t="shared" si="112"/>
        <v>0</v>
      </c>
      <c r="U74" s="92">
        <f t="shared" si="112"/>
        <v>0</v>
      </c>
      <c r="V74" s="92"/>
      <c r="W74" s="116"/>
      <c r="X74" s="102" t="s">
        <v>349</v>
      </c>
    </row>
    <row r="75" spans="5:24" ht="30" customHeight="1" x14ac:dyDescent="0.3">
      <c r="E75" s="120" t="s">
        <v>290</v>
      </c>
      <c r="F75" s="104">
        <f>F74/F69</f>
        <v>8.8997083195554216E-2</v>
      </c>
      <c r="G75" s="104">
        <f t="shared" ref="G75:M75" si="113">G74/G69</f>
        <v>-9.1766776768187328E-2</v>
      </c>
      <c r="H75" s="104">
        <f t="shared" si="113"/>
        <v>-6.3783055316425682E-2</v>
      </c>
      <c r="I75" s="104">
        <f t="shared" si="113"/>
        <v>4.0741956286069088E-2</v>
      </c>
      <c r="J75" s="104">
        <f t="shared" si="113"/>
        <v>0.34451657042667844</v>
      </c>
      <c r="K75" s="104">
        <f t="shared" si="113"/>
        <v>0.34451657042667844</v>
      </c>
      <c r="L75" s="105">
        <f t="shared" si="113"/>
        <v>0</v>
      </c>
      <c r="M75" s="105">
        <f t="shared" si="113"/>
        <v>4.7049204743721693E-2</v>
      </c>
      <c r="N75" s="105">
        <f t="shared" ref="N75" si="114">N74/N69</f>
        <v>0</v>
      </c>
      <c r="O75" s="105">
        <f t="shared" ref="O75" si="115">O74/O69</f>
        <v>0</v>
      </c>
      <c r="P75" s="105">
        <f t="shared" ref="P75" si="116">P74/P69</f>
        <v>0</v>
      </c>
      <c r="Q75" s="105">
        <f t="shared" ref="Q75" si="117">Q74/Q69</f>
        <v>0</v>
      </c>
      <c r="R75" s="105">
        <f t="shared" ref="R75" si="118">R74/R69</f>
        <v>0</v>
      </c>
      <c r="S75" s="105">
        <f t="shared" ref="S75" si="119">S74/S69</f>
        <v>0</v>
      </c>
      <c r="T75" s="105">
        <f t="shared" ref="T75" si="120">T74/T69</f>
        <v>0</v>
      </c>
      <c r="U75" s="105">
        <f t="shared" ref="U75" si="121">U74/U69</f>
        <v>0</v>
      </c>
      <c r="V75" s="105">
        <f t="shared" ref="V75" si="122">V74/V69</f>
        <v>0</v>
      </c>
      <c r="W75" s="116"/>
      <c r="X75" s="102"/>
    </row>
    <row r="76" spans="5:24" ht="30" customHeight="1" x14ac:dyDescent="0.3">
      <c r="E76" s="98" t="s">
        <v>138</v>
      </c>
      <c r="F76" s="99">
        <f>SUM(F69,F70,F72,F74)</f>
        <v>285616</v>
      </c>
      <c r="G76" s="99">
        <f t="shared" ref="G76:V76" si="123">SUM(G69,G70,G72,G74)</f>
        <v>788094</v>
      </c>
      <c r="H76" s="99">
        <f t="shared" si="123"/>
        <v>1197914</v>
      </c>
      <c r="I76" s="99">
        <f t="shared" si="123"/>
        <v>1435413</v>
      </c>
      <c r="J76" s="99">
        <f t="shared" si="123"/>
        <v>206772.28219999981</v>
      </c>
      <c r="K76" s="99">
        <f t="shared" si="123"/>
        <v>206772.28219999981</v>
      </c>
      <c r="L76" s="117">
        <f t="shared" si="123"/>
        <v>1047468.1561148532</v>
      </c>
      <c r="M76" s="117">
        <f t="shared" si="123"/>
        <v>1254240.4383148546</v>
      </c>
      <c r="N76" s="117">
        <f t="shared" si="123"/>
        <v>1554407.2948632278</v>
      </c>
      <c r="O76" s="117">
        <f t="shared" si="123"/>
        <v>1744409.2928422554</v>
      </c>
      <c r="P76" s="117">
        <f t="shared" si="123"/>
        <v>1934230.3599002743</v>
      </c>
      <c r="Q76" s="117">
        <f t="shared" si="123"/>
        <v>2120457.884433263</v>
      </c>
      <c r="R76" s="117">
        <f t="shared" si="123"/>
        <v>2303602.1187076643</v>
      </c>
      <c r="S76" s="117">
        <f t="shared" si="123"/>
        <v>2482847.2278066236</v>
      </c>
      <c r="T76" s="117">
        <f t="shared" si="123"/>
        <v>2662490.2927246015</v>
      </c>
      <c r="U76" s="117">
        <f t="shared" si="123"/>
        <v>2841305.0926875682</v>
      </c>
      <c r="V76" s="117">
        <f t="shared" si="123"/>
        <v>3019407.0859895684</v>
      </c>
      <c r="W76" s="128">
        <f>(I76/F76)^(1/3)-1</f>
        <v>0.71289778396177428</v>
      </c>
      <c r="X76" s="109"/>
    </row>
    <row r="77" spans="5:24" ht="30" customHeight="1" x14ac:dyDescent="0.3">
      <c r="E77" s="107" t="s">
        <v>171</v>
      </c>
      <c r="F77" s="91">
        <v>-20048</v>
      </c>
      <c r="G77" s="91">
        <v>-50255</v>
      </c>
      <c r="H77" s="91">
        <v>-75600</v>
      </c>
      <c r="I77" s="108">
        <v>-90262</v>
      </c>
      <c r="J77" s="108">
        <v>0</v>
      </c>
      <c r="K77" s="108">
        <f>J77</f>
        <v>0</v>
      </c>
      <c r="L77" s="92">
        <f>L168</f>
        <v>-104006.84272333766</v>
      </c>
      <c r="M77" s="92">
        <f>K77+L77</f>
        <v>-104006.84272333766</v>
      </c>
      <c r="N77" s="92">
        <f t="shared" ref="N77:V77" si="124">N168</f>
        <v>-134391.43199755953</v>
      </c>
      <c r="O77" s="92">
        <f t="shared" si="124"/>
        <v>-148360.27194226172</v>
      </c>
      <c r="P77" s="92">
        <f t="shared" si="124"/>
        <v>-161919.93531982898</v>
      </c>
      <c r="Q77" s="92">
        <f t="shared" si="124"/>
        <v>-174621.9728727742</v>
      </c>
      <c r="R77" s="92">
        <f t="shared" si="124"/>
        <v>-186547.18097840765</v>
      </c>
      <c r="S77" s="92">
        <f t="shared" si="124"/>
        <v>-197633.35547186318</v>
      </c>
      <c r="T77" s="92">
        <f t="shared" si="124"/>
        <v>-208261.4029872102</v>
      </c>
      <c r="U77" s="92">
        <f t="shared" si="124"/>
        <v>-218306.18722565865</v>
      </c>
      <c r="V77" s="92">
        <f t="shared" si="124"/>
        <v>-227783.73194768268</v>
      </c>
      <c r="W77" s="128">
        <f>(I77/F77)^(1/3)-1</f>
        <v>0.65124417860878903</v>
      </c>
      <c r="X77" s="102" t="s">
        <v>348</v>
      </c>
    </row>
    <row r="78" spans="5:24" ht="30" customHeight="1" x14ac:dyDescent="0.3">
      <c r="E78" s="120" t="s">
        <v>172</v>
      </c>
      <c r="F78" s="104">
        <f>F77/F76</f>
        <v>-7.0192146098257802E-2</v>
      </c>
      <c r="G78" s="104">
        <f t="shared" ref="G78:V78" si="125">G77/G76</f>
        <v>-6.3767773894992219E-2</v>
      </c>
      <c r="H78" s="104">
        <f t="shared" si="125"/>
        <v>-6.3109705705084007E-2</v>
      </c>
      <c r="I78" s="104">
        <f t="shared" si="125"/>
        <v>-6.2882250613586474E-2</v>
      </c>
      <c r="J78" s="104">
        <f t="shared" si="125"/>
        <v>0</v>
      </c>
      <c r="K78" s="104">
        <f t="shared" si="125"/>
        <v>0</v>
      </c>
      <c r="L78" s="105">
        <f t="shared" si="125"/>
        <v>-9.9293560492671892E-2</v>
      </c>
      <c r="M78" s="105">
        <f t="shared" si="125"/>
        <v>-8.2924166328967139E-2</v>
      </c>
      <c r="N78" s="105">
        <f t="shared" si="125"/>
        <v>-8.6458312722589623E-2</v>
      </c>
      <c r="O78" s="105">
        <f t="shared" si="125"/>
        <v>-8.5049003436877324E-2</v>
      </c>
      <c r="P78" s="105">
        <f t="shared" si="125"/>
        <v>-8.3712849656737517E-2</v>
      </c>
      <c r="Q78" s="105">
        <f t="shared" si="125"/>
        <v>-8.2351068679416661E-2</v>
      </c>
      <c r="R78" s="105">
        <f t="shared" si="125"/>
        <v>-8.0980643082175063E-2</v>
      </c>
      <c r="S78" s="105">
        <f t="shared" si="125"/>
        <v>-7.9599482907554808E-2</v>
      </c>
      <c r="T78" s="105">
        <f t="shared" si="125"/>
        <v>-7.8220530439602254E-2</v>
      </c>
      <c r="U78" s="105">
        <f t="shared" si="125"/>
        <v>-7.6833067940326169E-2</v>
      </c>
      <c r="V78" s="105">
        <f t="shared" si="125"/>
        <v>-7.543988785236283E-2</v>
      </c>
      <c r="W78" s="116"/>
      <c r="X78" s="109"/>
    </row>
    <row r="79" spans="5:24" ht="30" customHeight="1" thickBot="1" x14ac:dyDescent="0.35">
      <c r="E79" s="93" t="s">
        <v>139</v>
      </c>
      <c r="F79" s="94">
        <f>SUM(F76,F77)</f>
        <v>265568</v>
      </c>
      <c r="G79" s="94">
        <f t="shared" ref="G79:V79" si="126">SUM(G76,G77)</f>
        <v>737839</v>
      </c>
      <c r="H79" s="94">
        <f t="shared" si="126"/>
        <v>1122314</v>
      </c>
      <c r="I79" s="94">
        <f t="shared" si="126"/>
        <v>1345151</v>
      </c>
      <c r="J79" s="94">
        <f t="shared" si="126"/>
        <v>206772.28219999981</v>
      </c>
      <c r="K79" s="94">
        <f t="shared" si="126"/>
        <v>206772.28219999981</v>
      </c>
      <c r="L79" s="95">
        <f>SUM(L76,L77)</f>
        <v>943461.31339151552</v>
      </c>
      <c r="M79" s="95">
        <f t="shared" si="126"/>
        <v>1150233.5955915169</v>
      </c>
      <c r="N79" s="95">
        <f t="shared" si="126"/>
        <v>1420015.8628656683</v>
      </c>
      <c r="O79" s="95">
        <f t="shared" si="126"/>
        <v>1596049.0208999938</v>
      </c>
      <c r="P79" s="95">
        <f>SUM(P76,P77)</f>
        <v>1772310.4245804453</v>
      </c>
      <c r="Q79" s="95">
        <f t="shared" si="126"/>
        <v>1945835.9115604889</v>
      </c>
      <c r="R79" s="95">
        <f t="shared" si="126"/>
        <v>2117054.9377292567</v>
      </c>
      <c r="S79" s="95">
        <f t="shared" si="126"/>
        <v>2285213.8723347606</v>
      </c>
      <c r="T79" s="95">
        <f t="shared" si="126"/>
        <v>2454228.8897373914</v>
      </c>
      <c r="U79" s="95">
        <f t="shared" si="126"/>
        <v>2622998.9054619097</v>
      </c>
      <c r="V79" s="95">
        <f t="shared" si="126"/>
        <v>2791623.3540418856</v>
      </c>
      <c r="W79" s="133">
        <f>(I79/F79)^(1/3)-1</f>
        <v>0.71737485012493463</v>
      </c>
      <c r="X79" s="122"/>
    </row>
    <row r="80" spans="5:24" ht="30" customHeight="1" x14ac:dyDescent="0.3"/>
    <row r="81" spans="5:24" ht="30" customHeight="1" thickBot="1" x14ac:dyDescent="0.35"/>
    <row r="82" spans="5:24" ht="30" customHeight="1" thickBot="1" x14ac:dyDescent="0.35">
      <c r="E82" s="264"/>
      <c r="F82" s="265"/>
      <c r="G82" s="265"/>
      <c r="H82" s="265"/>
      <c r="I82" s="265"/>
      <c r="J82" s="265"/>
      <c r="K82" s="265"/>
      <c r="L82" s="265"/>
      <c r="M82" s="265"/>
      <c r="N82" s="265"/>
      <c r="O82" s="265"/>
      <c r="P82" s="265"/>
      <c r="Q82" s="265"/>
      <c r="R82" s="265"/>
      <c r="S82" s="265"/>
      <c r="T82" s="265"/>
      <c r="U82" s="265"/>
      <c r="V82" s="265"/>
      <c r="W82" s="265"/>
      <c r="X82" s="266"/>
    </row>
    <row r="83" spans="5:24" ht="30" customHeight="1" x14ac:dyDescent="0.3">
      <c r="E83" s="86" t="s">
        <v>140</v>
      </c>
      <c r="F83" s="87">
        <f t="shared" ref="F83:V83" si="127">F$10</f>
        <v>2020</v>
      </c>
      <c r="G83" s="87">
        <f t="shared" si="127"/>
        <v>2021</v>
      </c>
      <c r="H83" s="87">
        <f t="shared" si="127"/>
        <v>2022</v>
      </c>
      <c r="I83" s="88">
        <f t="shared" si="127"/>
        <v>2023</v>
      </c>
      <c r="J83" s="88" t="str">
        <f t="shared" si="127"/>
        <v>1T24</v>
      </c>
      <c r="K83" s="88" t="str">
        <f t="shared" si="127"/>
        <v>YTD24</v>
      </c>
      <c r="L83" s="89" t="str">
        <f t="shared" si="127"/>
        <v>YTG24</v>
      </c>
      <c r="M83" s="89">
        <f t="shared" si="127"/>
        <v>2024</v>
      </c>
      <c r="N83" s="89">
        <f t="shared" si="127"/>
        <v>2025</v>
      </c>
      <c r="O83" s="89">
        <f t="shared" si="127"/>
        <v>2026</v>
      </c>
      <c r="P83" s="89">
        <f t="shared" si="127"/>
        <v>2027</v>
      </c>
      <c r="Q83" s="89">
        <f t="shared" si="127"/>
        <v>2028</v>
      </c>
      <c r="R83" s="89">
        <f t="shared" si="127"/>
        <v>2029</v>
      </c>
      <c r="S83" s="89">
        <f t="shared" si="127"/>
        <v>2030</v>
      </c>
      <c r="T83" s="89">
        <f t="shared" si="127"/>
        <v>2031</v>
      </c>
      <c r="U83" s="89">
        <f t="shared" si="127"/>
        <v>2032</v>
      </c>
      <c r="V83" s="89">
        <f t="shared" si="127"/>
        <v>2033</v>
      </c>
      <c r="W83" s="481" t="s">
        <v>125</v>
      </c>
      <c r="X83" s="482"/>
    </row>
    <row r="84" spans="5:24" ht="30" customHeight="1" x14ac:dyDescent="0.3">
      <c r="E84" s="123" t="s">
        <v>150</v>
      </c>
      <c r="F84" s="124">
        <f>F23</f>
        <v>611945</v>
      </c>
      <c r="G84" s="124">
        <f t="shared" ref="G84:I84" si="128">G23</f>
        <v>656285</v>
      </c>
      <c r="H84" s="124">
        <f t="shared" si="128"/>
        <v>756947</v>
      </c>
      <c r="I84" s="124">
        <f t="shared" si="128"/>
        <v>479979</v>
      </c>
      <c r="J84" s="124">
        <f t="shared" ref="J84:M84" si="129">J23</f>
        <v>117224</v>
      </c>
      <c r="K84" s="124">
        <f t="shared" si="129"/>
        <v>117224</v>
      </c>
      <c r="L84" s="92">
        <f t="shared" si="129"/>
        <v>311334.36761795467</v>
      </c>
      <c r="M84" s="92">
        <f t="shared" si="129"/>
        <v>428558.36761795467</v>
      </c>
      <c r="N84" s="92">
        <f t="shared" ref="N84:Q84" si="130">N88*N89</f>
        <v>454842.02372731082</v>
      </c>
      <c r="O84" s="92">
        <f t="shared" si="130"/>
        <v>481856.18313733285</v>
      </c>
      <c r="P84" s="92">
        <f t="shared" si="130"/>
        <v>512971.56430724298</v>
      </c>
      <c r="Q84" s="92">
        <f t="shared" si="130"/>
        <v>547639.72153781948</v>
      </c>
      <c r="R84" s="92">
        <f>R88*R89</f>
        <v>585846.24482268258</v>
      </c>
      <c r="S84" s="92">
        <f t="shared" ref="S84:V84" si="131">S88*S89</f>
        <v>627495.10889036779</v>
      </c>
      <c r="T84" s="92">
        <f t="shared" si="131"/>
        <v>673122.53724017832</v>
      </c>
      <c r="U84" s="92">
        <f t="shared" si="131"/>
        <v>722465.91945707717</v>
      </c>
      <c r="V84" s="92">
        <f t="shared" si="131"/>
        <v>775603.28783314535</v>
      </c>
      <c r="W84" s="487"/>
      <c r="X84" s="488"/>
    </row>
    <row r="85" spans="5:24" ht="30" customHeight="1" x14ac:dyDescent="0.3">
      <c r="E85" s="263" t="s">
        <v>151</v>
      </c>
      <c r="F85" s="124">
        <f>F25</f>
        <v>1674</v>
      </c>
      <c r="G85" s="124">
        <f>G25</f>
        <v>140</v>
      </c>
      <c r="H85" s="124">
        <f>H25</f>
        <v>830</v>
      </c>
      <c r="I85" s="124">
        <f>I25</f>
        <v>743</v>
      </c>
      <c r="J85" s="124">
        <f t="shared" ref="J85:M85" si="132">J25</f>
        <v>4</v>
      </c>
      <c r="K85" s="124">
        <f t="shared" si="132"/>
        <v>4</v>
      </c>
      <c r="L85" s="92">
        <f t="shared" si="132"/>
        <v>11.95750323510703</v>
      </c>
      <c r="M85" s="92">
        <f t="shared" si="132"/>
        <v>15.95750323510703</v>
      </c>
      <c r="N85" s="92">
        <f t="shared" ref="N85:V85" si="133">N90*N91</f>
        <v>17.84575250877274</v>
      </c>
      <c r="O85" s="92">
        <f>O90*O91</f>
        <v>19.514644798879036</v>
      </c>
      <c r="P85" s="92">
        <f t="shared" si="133"/>
        <v>21.230385977707179</v>
      </c>
      <c r="Q85" s="92">
        <f t="shared" si="133"/>
        <v>22.964104360138364</v>
      </c>
      <c r="R85" s="92">
        <f t="shared" si="133"/>
        <v>24.720479308039675</v>
      </c>
      <c r="S85" s="92">
        <f t="shared" si="133"/>
        <v>26.498529679692911</v>
      </c>
      <c r="T85" s="92">
        <f t="shared" si="133"/>
        <v>28.325336087633119</v>
      </c>
      <c r="U85" s="92">
        <f t="shared" si="133"/>
        <v>30.188945182545538</v>
      </c>
      <c r="V85" s="92">
        <f t="shared" si="133"/>
        <v>32.092845791871532</v>
      </c>
      <c r="W85" s="487"/>
      <c r="X85" s="488"/>
    </row>
    <row r="86" spans="5:24" ht="30" customHeight="1" x14ac:dyDescent="0.3">
      <c r="E86" s="263" t="s">
        <v>98</v>
      </c>
      <c r="F86" s="124">
        <f>F27</f>
        <v>11828</v>
      </c>
      <c r="G86" s="124">
        <f>G27</f>
        <v>12829</v>
      </c>
      <c r="H86" s="124">
        <f>H27</f>
        <v>14719</v>
      </c>
      <c r="I86" s="124">
        <f>I27</f>
        <v>16324</v>
      </c>
      <c r="J86" s="124">
        <f t="shared" ref="J86:M86" si="134">J27</f>
        <v>4451</v>
      </c>
      <c r="K86" s="124">
        <f t="shared" si="134"/>
        <v>4451</v>
      </c>
      <c r="L86" s="92">
        <f t="shared" si="134"/>
        <v>14254.503681067556</v>
      </c>
      <c r="M86" s="92">
        <f t="shared" si="134"/>
        <v>18705.503681067556</v>
      </c>
      <c r="N86" s="92">
        <f t="shared" ref="N86:V86" si="135">N92*N90</f>
        <v>19578.424473627874</v>
      </c>
      <c r="O86" s="92">
        <f t="shared" si="135"/>
        <v>19943.492829409544</v>
      </c>
      <c r="P86" s="92">
        <f t="shared" si="135"/>
        <v>20102.199963438128</v>
      </c>
      <c r="Q86" s="92">
        <f t="shared" si="135"/>
        <v>20018.819874393306</v>
      </c>
      <c r="R86" s="92">
        <f t="shared" si="135"/>
        <v>19693.029154329288</v>
      </c>
      <c r="S86" s="92">
        <f t="shared" si="135"/>
        <v>19119.014295380333</v>
      </c>
      <c r="T86" s="92">
        <f t="shared" si="135"/>
        <v>18309.395604141671</v>
      </c>
      <c r="U86" s="92">
        <f t="shared" si="135"/>
        <v>17246.357310077146</v>
      </c>
      <c r="V86" s="92">
        <f t="shared" si="135"/>
        <v>15923.337049942502</v>
      </c>
      <c r="W86" s="487"/>
      <c r="X86" s="488"/>
    </row>
    <row r="87" spans="5:24" ht="30" customHeight="1" x14ac:dyDescent="0.3">
      <c r="E87" s="263" t="s">
        <v>152</v>
      </c>
      <c r="F87" s="124">
        <f>F29</f>
        <v>1235</v>
      </c>
      <c r="G87" s="124">
        <f>G29</f>
        <v>954</v>
      </c>
      <c r="H87" s="124">
        <f>H29</f>
        <v>729</v>
      </c>
      <c r="I87" s="124">
        <f>I29</f>
        <v>490</v>
      </c>
      <c r="J87" s="124">
        <f t="shared" ref="J87:M87" si="136">J29</f>
        <v>95</v>
      </c>
      <c r="K87" s="124">
        <f t="shared" si="136"/>
        <v>95</v>
      </c>
      <c r="L87" s="92">
        <f t="shared" si="136"/>
        <v>320.44680631753016</v>
      </c>
      <c r="M87" s="92">
        <f t="shared" si="136"/>
        <v>415.44680631753016</v>
      </c>
      <c r="N87" s="92">
        <f t="shared" ref="N87:V87" si="137">N93*N90</f>
        <v>412.98362013268292</v>
      </c>
      <c r="O87" s="92">
        <f t="shared" si="137"/>
        <v>395.15425697780728</v>
      </c>
      <c r="P87" s="92">
        <f t="shared" si="137"/>
        <v>368.48270983154902</v>
      </c>
      <c r="Q87" s="92">
        <f t="shared" si="137"/>
        <v>332.14482504634344</v>
      </c>
      <c r="R87" s="92">
        <f t="shared" si="137"/>
        <v>286.0387375379832</v>
      </c>
      <c r="S87" s="92">
        <f t="shared" si="137"/>
        <v>229.95931475710927</v>
      </c>
      <c r="T87" s="92">
        <f t="shared" si="137"/>
        <v>163.87512705327367</v>
      </c>
      <c r="U87" s="92">
        <f t="shared" si="137"/>
        <v>87.328482389197902</v>
      </c>
      <c r="V87" s="92">
        <f t="shared" si="137"/>
        <v>0</v>
      </c>
      <c r="W87" s="487"/>
      <c r="X87" s="488"/>
    </row>
    <row r="88" spans="5:24" ht="30" customHeight="1" x14ac:dyDescent="0.3">
      <c r="E88" s="123" t="s">
        <v>243</v>
      </c>
      <c r="F88" s="124">
        <f>'Projeções - NIM'!F181*10^6</f>
        <v>26700000</v>
      </c>
      <c r="G88" s="124">
        <f>'Projeções - NIM'!G181*10^6</f>
        <v>33000000</v>
      </c>
      <c r="H88" s="124">
        <f>'Projeções - NIM'!H181*10^6</f>
        <v>39500000</v>
      </c>
      <c r="I88" s="124">
        <f>'Projeções - NIM'!I181*10^6</f>
        <v>42800000</v>
      </c>
      <c r="J88" s="124">
        <f>'Projeções - NIM'!J181*10^6</f>
        <v>44400000</v>
      </c>
      <c r="K88" s="124">
        <f>'Projeções - NIM'!K181*10^6</f>
        <v>44400000</v>
      </c>
      <c r="L88" s="92">
        <f>'Projeções - NIM'!L181*10^6</f>
        <v>48354453.721789964</v>
      </c>
      <c r="M88" s="92">
        <f>'Projeções - NIM'!M181*10^6</f>
        <v>48354453.721789964</v>
      </c>
      <c r="N88" s="92">
        <f>'Projeções - NIM'!N181*10^6</f>
        <v>51320051.710328825</v>
      </c>
      <c r="O88" s="92">
        <f>'Projeções - NIM'!O181*10^6</f>
        <v>54368072.749529369</v>
      </c>
      <c r="P88" s="92">
        <f>'Projeções - NIM'!P181*10^6</f>
        <v>57878836.679257475</v>
      </c>
      <c r="Q88" s="92">
        <f>'Projeções - NIM'!Q181*10^6</f>
        <v>61790462.098551743</v>
      </c>
      <c r="R88" s="92">
        <f>'Projeções - NIM'!R181*10^6</f>
        <v>66101323.119226873</v>
      </c>
      <c r="S88" s="92">
        <f>'Projeções - NIM'!S181*10^6</f>
        <v>70800585.162154332</v>
      </c>
      <c r="T88" s="92">
        <f>'Projeções - NIM'!T181*10^6</f>
        <v>75948750.591401145</v>
      </c>
      <c r="U88" s="92">
        <f>'Projeções - NIM'!U181*10^6</f>
        <v>81516188.943253934</v>
      </c>
      <c r="V88" s="92">
        <f>'Projeções - NIM'!V181*10^6</f>
        <v>87511704.64003028</v>
      </c>
      <c r="W88" s="487"/>
      <c r="X88" s="488"/>
    </row>
    <row r="89" spans="5:24" ht="30" customHeight="1" x14ac:dyDescent="0.3">
      <c r="E89" s="130" t="s">
        <v>394</v>
      </c>
      <c r="F89" s="104">
        <f>F84/F88</f>
        <v>2.2919288389513109E-2</v>
      </c>
      <c r="G89" s="104">
        <f>G84/G88</f>
        <v>1.9887424242424241E-2</v>
      </c>
      <c r="H89" s="104">
        <f>H84/H88</f>
        <v>1.9163215189873416E-2</v>
      </c>
      <c r="I89" s="104">
        <f>I84/I88</f>
        <v>1.121446261682243E-2</v>
      </c>
      <c r="J89" s="104">
        <f t="shared" ref="J89:M89" si="138">J84/J88</f>
        <v>2.64018018018018E-3</v>
      </c>
      <c r="K89" s="104">
        <f t="shared" si="138"/>
        <v>2.64018018018018E-3</v>
      </c>
      <c r="L89" s="105">
        <f t="shared" si="138"/>
        <v>6.4385872169962725E-3</v>
      </c>
      <c r="M89" s="105">
        <f t="shared" si="138"/>
        <v>8.8628520153218784E-3</v>
      </c>
      <c r="N89" s="105">
        <f>M89</f>
        <v>8.8628520153218784E-3</v>
      </c>
      <c r="O89" s="105">
        <f t="shared" ref="O89:V89" si="139">N89</f>
        <v>8.8628520153218784E-3</v>
      </c>
      <c r="P89" s="105">
        <f t="shared" si="139"/>
        <v>8.8628520153218784E-3</v>
      </c>
      <c r="Q89" s="105">
        <f t="shared" si="139"/>
        <v>8.8628520153218784E-3</v>
      </c>
      <c r="R89" s="105">
        <f t="shared" si="139"/>
        <v>8.8628520153218784E-3</v>
      </c>
      <c r="S89" s="105">
        <f t="shared" si="139"/>
        <v>8.8628520153218784E-3</v>
      </c>
      <c r="T89" s="105">
        <f t="shared" si="139"/>
        <v>8.8628520153218784E-3</v>
      </c>
      <c r="U89" s="105">
        <f t="shared" si="139"/>
        <v>8.8628520153218784E-3</v>
      </c>
      <c r="V89" s="105">
        <f t="shared" si="139"/>
        <v>8.8628520153218784E-3</v>
      </c>
      <c r="W89" s="487" t="s">
        <v>352</v>
      </c>
      <c r="X89" s="488"/>
    </row>
    <row r="90" spans="5:24" ht="30" customHeight="1" x14ac:dyDescent="0.3">
      <c r="E90" s="263" t="s">
        <v>96</v>
      </c>
      <c r="F90" s="124">
        <f>'Projeções - NIM'!F76</f>
        <v>1318693</v>
      </c>
      <c r="G90" s="124">
        <f>'Projeções - NIM'!G76</f>
        <v>1677854</v>
      </c>
      <c r="H90" s="124">
        <f>'Projeções - NIM'!H76</f>
        <v>3788271</v>
      </c>
      <c r="I90" s="124">
        <f>'Projeções - NIM'!I76</f>
        <v>5363550</v>
      </c>
      <c r="J90" s="124">
        <f>'Projeções - NIM'!J76</f>
        <v>6285008</v>
      </c>
      <c r="K90" s="124">
        <f>'Projeções - NIM'!K76</f>
        <v>6285008</v>
      </c>
      <c r="L90" s="92">
        <f>'Projeções - NIM'!L76</f>
        <v>7540523.5510097221</v>
      </c>
      <c r="M90" s="92">
        <f>'Projeções - NIM'!M76</f>
        <v>7540523.5510097221</v>
      </c>
      <c r="N90" s="92">
        <f>'Projeções - NIM'!N76</f>
        <v>8432792.7179636341</v>
      </c>
      <c r="O90" s="92">
        <f>'Projeções - NIM'!O76</f>
        <v>9221407.4174085408</v>
      </c>
      <c r="P90" s="92">
        <f>'Projeções - NIM'!P76</f>
        <v>10032159.987893859</v>
      </c>
      <c r="Q90" s="92">
        <f>'Projeções - NIM'!Q76</f>
        <v>10851407.466708682</v>
      </c>
      <c r="R90" s="92">
        <f>'Projeções - NIM'!R76</f>
        <v>11681361.029238196</v>
      </c>
      <c r="S90" s="92">
        <f>'Projeções - NIM'!S76</f>
        <v>12521557.048928546</v>
      </c>
      <c r="T90" s="92">
        <f>'Projeções - NIM'!T76</f>
        <v>13384792.138983423</v>
      </c>
      <c r="U90" s="92">
        <f>'Projeções - NIM'!U76</f>
        <v>14265417.889955973</v>
      </c>
      <c r="V90" s="92">
        <f>'Projeções - NIM'!V76</f>
        <v>15165082.904707145</v>
      </c>
      <c r="W90" s="487"/>
      <c r="X90" s="488"/>
    </row>
    <row r="91" spans="5:24" ht="30" customHeight="1" x14ac:dyDescent="0.3">
      <c r="E91" s="130" t="s">
        <v>395</v>
      </c>
      <c r="F91" s="104">
        <f>F85/F90</f>
        <v>1.2694387548883629E-3</v>
      </c>
      <c r="G91" s="104">
        <f>G85/G90</f>
        <v>8.343991789512079E-5</v>
      </c>
      <c r="H91" s="104">
        <f>H85/H90</f>
        <v>2.1909731378774117E-4</v>
      </c>
      <c r="I91" s="104">
        <f>I85/I90</f>
        <v>1.3852765425883976E-4</v>
      </c>
      <c r="J91" s="104">
        <f t="shared" ref="J91:M91" si="140">J85/J90</f>
        <v>6.3643514853123501E-7</v>
      </c>
      <c r="K91" s="104">
        <f t="shared" si="140"/>
        <v>6.3643514853123501E-7</v>
      </c>
      <c r="L91" s="105">
        <f t="shared" si="140"/>
        <v>1.5857656506497944E-6</v>
      </c>
      <c r="M91" s="105">
        <f t="shared" si="140"/>
        <v>2.1162327956618108E-6</v>
      </c>
      <c r="N91" s="105">
        <f t="shared" ref="N91:V91" si="141">M91</f>
        <v>2.1162327956618108E-6</v>
      </c>
      <c r="O91" s="105">
        <f t="shared" si="141"/>
        <v>2.1162327956618108E-6</v>
      </c>
      <c r="P91" s="105">
        <f t="shared" si="141"/>
        <v>2.1162327956618108E-6</v>
      </c>
      <c r="Q91" s="105">
        <f t="shared" si="141"/>
        <v>2.1162327956618108E-6</v>
      </c>
      <c r="R91" s="105">
        <f t="shared" si="141"/>
        <v>2.1162327956618108E-6</v>
      </c>
      <c r="S91" s="105">
        <f t="shared" si="141"/>
        <v>2.1162327956618108E-6</v>
      </c>
      <c r="T91" s="105">
        <f t="shared" si="141"/>
        <v>2.1162327956618108E-6</v>
      </c>
      <c r="U91" s="105">
        <f t="shared" si="141"/>
        <v>2.1162327956618108E-6</v>
      </c>
      <c r="V91" s="105">
        <f t="shared" si="141"/>
        <v>2.1162327956618108E-6</v>
      </c>
      <c r="W91" s="487" t="s">
        <v>352</v>
      </c>
      <c r="X91" s="488"/>
    </row>
    <row r="92" spans="5:24" ht="30" customHeight="1" x14ac:dyDescent="0.3">
      <c r="E92" s="130" t="s">
        <v>396</v>
      </c>
      <c r="F92" s="104">
        <f>F86/F90</f>
        <v>8.9694872119591134E-3</v>
      </c>
      <c r="G92" s="104">
        <f>G86/G90</f>
        <v>7.6460764762607478E-3</v>
      </c>
      <c r="H92" s="104">
        <f>H86/H90</f>
        <v>3.8854136887250148E-3</v>
      </c>
      <c r="I92" s="104">
        <f>I86/I90</f>
        <v>3.043506632733917E-3</v>
      </c>
      <c r="J92" s="104">
        <f t="shared" ref="J92:L92" si="142">J86/J90</f>
        <v>7.0819321152813168E-4</v>
      </c>
      <c r="K92" s="104">
        <f t="shared" si="142"/>
        <v>7.0819321152813168E-4</v>
      </c>
      <c r="L92" s="105">
        <f t="shared" si="142"/>
        <v>1.8903864678147966E-3</v>
      </c>
      <c r="M92" s="105">
        <f t="shared" ref="M92" si="143">M86/M90</f>
        <v>2.4806637834269181E-3</v>
      </c>
      <c r="N92" s="105">
        <f>M92+(($V$92-$M$92)/9)</f>
        <v>2.321701140823927E-3</v>
      </c>
      <c r="O92" s="105">
        <f t="shared" ref="O92:T92" si="144">N92+(($V$92-$M$92)/9)</f>
        <v>2.1627384982209358E-3</v>
      </c>
      <c r="P92" s="105">
        <f t="shared" si="144"/>
        <v>2.0037758556179447E-3</v>
      </c>
      <c r="Q92" s="105">
        <f t="shared" si="144"/>
        <v>1.8448132130149538E-3</v>
      </c>
      <c r="R92" s="105">
        <f t="shared" si="144"/>
        <v>1.6858505704119629E-3</v>
      </c>
      <c r="S92" s="105">
        <f t="shared" si="144"/>
        <v>1.526887927808972E-3</v>
      </c>
      <c r="T92" s="105">
        <f t="shared" si="144"/>
        <v>1.3679252852059811E-3</v>
      </c>
      <c r="U92" s="105">
        <f>T92+(($V$92-$M$92)/9)</f>
        <v>1.2089626426029902E-3</v>
      </c>
      <c r="V92" s="105">
        <v>1.0499999999999999E-3</v>
      </c>
      <c r="W92" s="503" t="s">
        <v>353</v>
      </c>
      <c r="X92" s="504"/>
    </row>
    <row r="93" spans="5:24" ht="30" customHeight="1" thickBot="1" x14ac:dyDescent="0.35">
      <c r="E93" s="125" t="s">
        <v>397</v>
      </c>
      <c r="F93" s="126">
        <f>F87/F90</f>
        <v>9.3653337054189266E-4</v>
      </c>
      <c r="G93" s="126">
        <f>G87/G90</f>
        <v>5.6858344051389457E-4</v>
      </c>
      <c r="H93" s="126">
        <f>H87/H90</f>
        <v>1.9243607439911243E-4</v>
      </c>
      <c r="I93" s="126">
        <f>I87/I90</f>
        <v>9.1357403212424603E-5</v>
      </c>
      <c r="J93" s="126">
        <f t="shared" ref="J93:L93" si="145">J87/J90</f>
        <v>1.5115334777616831E-5</v>
      </c>
      <c r="K93" s="126">
        <f t="shared" si="145"/>
        <v>1.5115334777616831E-5</v>
      </c>
      <c r="L93" s="127">
        <f t="shared" si="145"/>
        <v>4.2496625618869712E-5</v>
      </c>
      <c r="M93" s="127">
        <f t="shared" ref="M93" si="146">M87/M90</f>
        <v>5.5095220312905106E-5</v>
      </c>
      <c r="N93" s="127">
        <f>M93+(($V$93-$M$93)/9)</f>
        <v>4.897352916702676E-5</v>
      </c>
      <c r="O93" s="127">
        <f t="shared" ref="O93:U93" si="147">N93+(($V$93-$M$93)/9)</f>
        <v>4.2851838021148413E-5</v>
      </c>
      <c r="P93" s="127">
        <f t="shared" si="147"/>
        <v>3.6730146875270066E-5</v>
      </c>
      <c r="Q93" s="127">
        <f t="shared" si="147"/>
        <v>3.060845572939172E-5</v>
      </c>
      <c r="R93" s="127">
        <f t="shared" si="147"/>
        <v>2.4486764583513373E-5</v>
      </c>
      <c r="S93" s="127">
        <f t="shared" si="147"/>
        <v>1.8365073437635026E-5</v>
      </c>
      <c r="T93" s="127">
        <f t="shared" si="147"/>
        <v>1.2243382291756681E-5</v>
      </c>
      <c r="U93" s="127">
        <f t="shared" si="147"/>
        <v>6.1216911458783365E-6</v>
      </c>
      <c r="V93" s="127">
        <v>0</v>
      </c>
      <c r="W93" s="495" t="s">
        <v>354</v>
      </c>
      <c r="X93" s="496"/>
    </row>
    <row r="94" spans="5:24" ht="30" customHeight="1" x14ac:dyDescent="0.3">
      <c r="I94" s="96"/>
      <c r="J94" s="96"/>
      <c r="K94" s="96"/>
      <c r="L94" s="96"/>
      <c r="M94" s="96"/>
      <c r="V94" s="96"/>
    </row>
    <row r="95" spans="5:24" ht="30" customHeight="1" thickBot="1" x14ac:dyDescent="0.35"/>
    <row r="96" spans="5:24" ht="30" customHeight="1" thickBot="1" x14ac:dyDescent="0.35">
      <c r="E96" s="264"/>
      <c r="F96" s="265"/>
      <c r="G96" s="265"/>
      <c r="H96" s="265"/>
      <c r="I96" s="265"/>
      <c r="J96" s="265"/>
      <c r="K96" s="265"/>
      <c r="L96" s="265"/>
      <c r="M96" s="265"/>
      <c r="N96" s="265"/>
      <c r="O96" s="265"/>
      <c r="P96" s="265"/>
      <c r="Q96" s="265"/>
      <c r="R96" s="265"/>
      <c r="S96" s="265"/>
      <c r="T96" s="265"/>
      <c r="U96" s="265"/>
      <c r="V96" s="265"/>
      <c r="W96" s="265"/>
      <c r="X96" s="266"/>
    </row>
    <row r="97" spans="5:24" ht="30" customHeight="1" x14ac:dyDescent="0.3">
      <c r="E97" s="86" t="s">
        <v>140</v>
      </c>
      <c r="F97" s="87">
        <f t="shared" ref="F97:V97" si="148">F$10</f>
        <v>2020</v>
      </c>
      <c r="G97" s="87">
        <f t="shared" si="148"/>
        <v>2021</v>
      </c>
      <c r="H97" s="87">
        <f t="shared" si="148"/>
        <v>2022</v>
      </c>
      <c r="I97" s="88">
        <f t="shared" si="148"/>
        <v>2023</v>
      </c>
      <c r="J97" s="88" t="str">
        <f t="shared" si="148"/>
        <v>1T24</v>
      </c>
      <c r="K97" s="88" t="str">
        <f t="shared" si="148"/>
        <v>YTD24</v>
      </c>
      <c r="L97" s="89" t="str">
        <f t="shared" si="148"/>
        <v>YTG24</v>
      </c>
      <c r="M97" s="89">
        <f t="shared" si="148"/>
        <v>2024</v>
      </c>
      <c r="N97" s="89">
        <f t="shared" si="148"/>
        <v>2025</v>
      </c>
      <c r="O97" s="89">
        <f t="shared" si="148"/>
        <v>2026</v>
      </c>
      <c r="P97" s="89">
        <f t="shared" si="148"/>
        <v>2027</v>
      </c>
      <c r="Q97" s="89">
        <f t="shared" si="148"/>
        <v>2028</v>
      </c>
      <c r="R97" s="89">
        <f t="shared" si="148"/>
        <v>2029</v>
      </c>
      <c r="S97" s="89">
        <f t="shared" si="148"/>
        <v>2030</v>
      </c>
      <c r="T97" s="89">
        <f t="shared" si="148"/>
        <v>2031</v>
      </c>
      <c r="U97" s="89">
        <f t="shared" si="148"/>
        <v>2032</v>
      </c>
      <c r="V97" s="89">
        <f t="shared" si="148"/>
        <v>2033</v>
      </c>
      <c r="W97" s="489" t="s">
        <v>125</v>
      </c>
      <c r="X97" s="490"/>
    </row>
    <row r="98" spans="5:24" ht="30" customHeight="1" x14ac:dyDescent="0.3">
      <c r="E98" s="123" t="s">
        <v>155</v>
      </c>
      <c r="F98" s="124">
        <f>F35</f>
        <v>92508</v>
      </c>
      <c r="G98" s="124">
        <f t="shared" ref="G98:I98" si="149">G35</f>
        <v>120628</v>
      </c>
      <c r="H98" s="124">
        <f t="shared" si="149"/>
        <v>130587</v>
      </c>
      <c r="I98" s="124">
        <f t="shared" si="149"/>
        <v>159629</v>
      </c>
      <c r="J98" s="124">
        <f t="shared" ref="J98:L98" si="150">J35</f>
        <v>27379</v>
      </c>
      <c r="K98" s="124">
        <f t="shared" si="150"/>
        <v>27379</v>
      </c>
      <c r="L98" s="92">
        <f t="shared" si="150"/>
        <v>114334.28111438404</v>
      </c>
      <c r="M98" s="92">
        <f t="shared" ref="M98" si="151">M35</f>
        <v>141713.28111438404</v>
      </c>
      <c r="N98" s="92">
        <f t="shared" ref="N98:V98" si="152">N103*N100</f>
        <v>153512.76053889829</v>
      </c>
      <c r="O98" s="92">
        <f t="shared" si="152"/>
        <v>162434.74412770543</v>
      </c>
      <c r="P98" s="92">
        <f t="shared" si="152"/>
        <v>170804.18026919663</v>
      </c>
      <c r="Q98" s="92">
        <f t="shared" si="152"/>
        <v>178357.69079001574</v>
      </c>
      <c r="R98" s="92">
        <f t="shared" si="152"/>
        <v>185115.2982144134</v>
      </c>
      <c r="S98" s="92">
        <f t="shared" si="152"/>
        <v>191051.00138957574</v>
      </c>
      <c r="T98" s="92">
        <f t="shared" si="152"/>
        <v>196334.39942774121</v>
      </c>
      <c r="U98" s="92">
        <f t="shared" si="152"/>
        <v>200845.23672530774</v>
      </c>
      <c r="V98" s="92">
        <f t="shared" si="152"/>
        <v>204575.0078349582</v>
      </c>
      <c r="W98" s="491"/>
      <c r="X98" s="492"/>
    </row>
    <row r="99" spans="5:24" ht="30" customHeight="1" x14ac:dyDescent="0.3">
      <c r="E99" s="123" t="s">
        <v>156</v>
      </c>
      <c r="F99" s="124">
        <f>F37</f>
        <v>75269</v>
      </c>
      <c r="G99" s="124">
        <f t="shared" ref="G99:I99" si="153">G37</f>
        <v>72900</v>
      </c>
      <c r="H99" s="124">
        <f t="shared" si="153"/>
        <v>76023</v>
      </c>
      <c r="I99" s="124">
        <f t="shared" si="153"/>
        <v>88906</v>
      </c>
      <c r="J99" s="124">
        <f t="shared" ref="J99:L99" si="154">J37</f>
        <v>24315</v>
      </c>
      <c r="K99" s="124">
        <f t="shared" si="154"/>
        <v>24315</v>
      </c>
      <c r="L99" s="92">
        <f t="shared" si="154"/>
        <v>98791.056544664636</v>
      </c>
      <c r="M99" s="92">
        <f t="shared" ref="M99" si="155">M37</f>
        <v>123106.05654466464</v>
      </c>
      <c r="N99" s="92">
        <f t="shared" ref="N99:U99" si="156">N104*N100</f>
        <v>132601.98562774126</v>
      </c>
      <c r="O99" s="92">
        <f t="shared" si="156"/>
        <v>139457.16709730358</v>
      </c>
      <c r="P99" s="92">
        <f t="shared" si="156"/>
        <v>145685.33892874449</v>
      </c>
      <c r="Q99" s="92">
        <f t="shared" si="156"/>
        <v>151056.64584071466</v>
      </c>
      <c r="R99" s="92">
        <f t="shared" si="156"/>
        <v>155585.21305261666</v>
      </c>
      <c r="S99" s="92">
        <f t="shared" si="156"/>
        <v>159245.82946233707</v>
      </c>
      <c r="T99" s="92">
        <f t="shared" si="156"/>
        <v>162175.06514735482</v>
      </c>
      <c r="U99" s="92">
        <f t="shared" si="156"/>
        <v>164266.31392405467</v>
      </c>
      <c r="V99" s="92">
        <f>V104*V100</f>
        <v>165506.19358922125</v>
      </c>
      <c r="W99" s="491"/>
      <c r="X99" s="492"/>
    </row>
    <row r="100" spans="5:24" ht="30" customHeight="1" x14ac:dyDescent="0.3">
      <c r="E100" s="123" t="s">
        <v>52</v>
      </c>
      <c r="F100" s="124">
        <f>SUM(F101,F102)</f>
        <v>2868099</v>
      </c>
      <c r="G100" s="124">
        <f t="shared" ref="G100:V100" si="157">SUM(G101,G102)</f>
        <v>2793706</v>
      </c>
      <c r="H100" s="124">
        <f t="shared" si="157"/>
        <v>2534872</v>
      </c>
      <c r="I100" s="124">
        <f t="shared" si="157"/>
        <v>3075388</v>
      </c>
      <c r="J100" s="124">
        <f t="shared" ref="J100:L100" si="158">SUM(J101,J102)</f>
        <v>2628624</v>
      </c>
      <c r="K100" s="124">
        <f t="shared" si="158"/>
        <v>2628624</v>
      </c>
      <c r="L100" s="92">
        <f t="shared" si="158"/>
        <v>3153727.2790662129</v>
      </c>
      <c r="M100" s="92">
        <f t="shared" ref="M100" si="159">SUM(M101,M102)</f>
        <v>3153727.2790662129</v>
      </c>
      <c r="N100" s="92">
        <f t="shared" si="157"/>
        <v>3526907.4161026427</v>
      </c>
      <c r="O100" s="92">
        <f t="shared" si="157"/>
        <v>3856735.401319793</v>
      </c>
      <c r="P100" s="92">
        <f t="shared" si="157"/>
        <v>4195822.2672139015</v>
      </c>
      <c r="Q100" s="92">
        <f t="shared" si="157"/>
        <v>4538462.0195820983</v>
      </c>
      <c r="R100" s="92">
        <f t="shared" si="157"/>
        <v>4885579.4541741591</v>
      </c>
      <c r="S100" s="92">
        <f t="shared" si="157"/>
        <v>5236980.6651292648</v>
      </c>
      <c r="T100" s="92">
        <f t="shared" si="157"/>
        <v>5598017.6718220823</v>
      </c>
      <c r="U100" s="92">
        <f t="shared" si="157"/>
        <v>5966328.0994340228</v>
      </c>
      <c r="V100" s="92">
        <f t="shared" si="157"/>
        <v>6342601.4549707677</v>
      </c>
      <c r="W100" s="491"/>
      <c r="X100" s="492"/>
    </row>
    <row r="101" spans="5:24" ht="30" customHeight="1" x14ac:dyDescent="0.3">
      <c r="E101" s="107" t="s">
        <v>53</v>
      </c>
      <c r="F101" s="124">
        <f>'Projeções - NIM'!F66</f>
        <v>2101873</v>
      </c>
      <c r="G101" s="124">
        <f>'Projeções - NIM'!G66</f>
        <v>2000942</v>
      </c>
      <c r="H101" s="124">
        <f>'Projeções - NIM'!H66</f>
        <v>1785604</v>
      </c>
      <c r="I101" s="124">
        <f>'Projeções - NIM'!I66</f>
        <v>2349405</v>
      </c>
      <c r="J101" s="124">
        <f>'Projeções - NIM'!J66</f>
        <v>1905651</v>
      </c>
      <c r="K101" s="124">
        <f>'Projeções - NIM'!K66</f>
        <v>1905651</v>
      </c>
      <c r="L101" s="92">
        <f>'Projeções - NIM'!L66</f>
        <v>2286330.6212983704</v>
      </c>
      <c r="M101" s="92">
        <f>'Projeções - NIM'!M66</f>
        <v>2286330.6212983704</v>
      </c>
      <c r="N101" s="92">
        <f>'Projeções - NIM'!N66</f>
        <v>2556871.8251082762</v>
      </c>
      <c r="O101" s="92">
        <f>'Projeções - NIM'!O66</f>
        <v>2795984.3911721362</v>
      </c>
      <c r="P101" s="92">
        <f>'Projeções - NIM'!P66</f>
        <v>3041809.2885625479</v>
      </c>
      <c r="Q101" s="92">
        <f>'Projeções - NIM'!Q66</f>
        <v>3290209.8915929571</v>
      </c>
      <c r="R101" s="92">
        <f>'Projeções - NIM'!R66</f>
        <v>3541856.6415076638</v>
      </c>
      <c r="S101" s="92">
        <f>'Projeções - NIM'!S66</f>
        <v>3796608.9640375529</v>
      </c>
      <c r="T101" s="92">
        <f>'Projeções - NIM'!T66</f>
        <v>4058346.8667734233</v>
      </c>
      <c r="U101" s="92">
        <f>'Projeções - NIM'!U66</f>
        <v>4325357.7191011515</v>
      </c>
      <c r="V101" s="92">
        <f>'Projeções - NIM'!V66</f>
        <v>4598141.3870019065</v>
      </c>
      <c r="W101" s="491"/>
      <c r="X101" s="492"/>
    </row>
    <row r="102" spans="5:24" ht="30" customHeight="1" x14ac:dyDescent="0.3">
      <c r="E102" s="107" t="s">
        <v>54</v>
      </c>
      <c r="F102" s="124">
        <f>'Projeções - NIM'!F68</f>
        <v>766226</v>
      </c>
      <c r="G102" s="124">
        <f>'Projeções - NIM'!G68</f>
        <v>792764</v>
      </c>
      <c r="H102" s="124">
        <f>'Projeções - NIM'!H68</f>
        <v>749268</v>
      </c>
      <c r="I102" s="124">
        <f>'Projeções - NIM'!I68</f>
        <v>725983</v>
      </c>
      <c r="J102" s="124">
        <f>'Projeções - NIM'!J68</f>
        <v>722973</v>
      </c>
      <c r="K102" s="124">
        <f>'Projeções - NIM'!K68</f>
        <v>722973</v>
      </c>
      <c r="L102" s="92">
        <f>'Projeções - NIM'!L68</f>
        <v>867396.65776784241</v>
      </c>
      <c r="M102" s="92">
        <f>'Projeções - NIM'!M68</f>
        <v>867396.65776784241</v>
      </c>
      <c r="N102" s="92">
        <f>'Projeções - NIM'!N68</f>
        <v>970035.59099436656</v>
      </c>
      <c r="O102" s="92">
        <f>'Projeções - NIM'!O68</f>
        <v>1060751.0101476568</v>
      </c>
      <c r="P102" s="92">
        <f>'Projeções - NIM'!P68</f>
        <v>1154012.9786513536</v>
      </c>
      <c r="Q102" s="92">
        <f>'Projeções - NIM'!Q68</f>
        <v>1248252.127989141</v>
      </c>
      <c r="R102" s="92">
        <f>'Projeções - NIM'!R68</f>
        <v>1343722.8126664956</v>
      </c>
      <c r="S102" s="92">
        <f>'Projeções - NIM'!S68</f>
        <v>1440371.7010917116</v>
      </c>
      <c r="T102" s="92">
        <f>'Projeções - NIM'!T68</f>
        <v>1539670.8050486587</v>
      </c>
      <c r="U102" s="92">
        <f>'Projeções - NIM'!U68</f>
        <v>1640970.3803328713</v>
      </c>
      <c r="V102" s="92">
        <f>'Projeções - NIM'!V68</f>
        <v>1744460.0679688614</v>
      </c>
      <c r="W102" s="491"/>
      <c r="X102" s="492"/>
    </row>
    <row r="103" spans="5:24" ht="30" customHeight="1" x14ac:dyDescent="0.3">
      <c r="E103" s="262" t="s">
        <v>398</v>
      </c>
      <c r="F103" s="182">
        <f>F98/F100</f>
        <v>3.2254116751200011E-2</v>
      </c>
      <c r="G103" s="182">
        <f t="shared" ref="G103:I103" si="160">G98/G100</f>
        <v>4.3178487643295321E-2</v>
      </c>
      <c r="H103" s="182">
        <f t="shared" si="160"/>
        <v>5.1516210680460396E-2</v>
      </c>
      <c r="I103" s="182">
        <f t="shared" si="160"/>
        <v>5.1905320564429591E-2</v>
      </c>
      <c r="J103" s="182">
        <f t="shared" ref="J103:L103" si="161">J98/J100</f>
        <v>1.0415715598731504E-2</v>
      </c>
      <c r="K103" s="182">
        <f t="shared" si="161"/>
        <v>1.0415715598731504E-2</v>
      </c>
      <c r="L103" s="183">
        <f t="shared" si="161"/>
        <v>3.6253699510833189E-2</v>
      </c>
      <c r="M103" s="183">
        <f t="shared" ref="M103" si="162">M98/M100</f>
        <v>4.493517307442764E-2</v>
      </c>
      <c r="N103" s="183">
        <f>M103+(($V$103-$M$103)/9)</f>
        <v>4.3526166816291234E-2</v>
      </c>
      <c r="O103" s="183">
        <f t="shared" ref="O103:U103" si="163">N103+(($V$103-$M$103)/9)</f>
        <v>4.2117160558154829E-2</v>
      </c>
      <c r="P103" s="183">
        <f t="shared" si="163"/>
        <v>4.0708154300018423E-2</v>
      </c>
      <c r="Q103" s="183">
        <f t="shared" si="163"/>
        <v>3.9299148041882018E-2</v>
      </c>
      <c r="R103" s="183">
        <f t="shared" si="163"/>
        <v>3.7890141783745612E-2</v>
      </c>
      <c r="S103" s="183">
        <f t="shared" si="163"/>
        <v>3.6481135525609207E-2</v>
      </c>
      <c r="T103" s="183">
        <f t="shared" si="163"/>
        <v>3.5072129267472801E-2</v>
      </c>
      <c r="U103" s="183">
        <f t="shared" si="163"/>
        <v>3.3663123009336396E-2</v>
      </c>
      <c r="V103" s="183">
        <f>MIN(F103:I103)</f>
        <v>3.2254116751200011E-2</v>
      </c>
      <c r="W103" s="509" t="s">
        <v>355</v>
      </c>
      <c r="X103" s="510"/>
    </row>
    <row r="104" spans="5:24" ht="30" customHeight="1" thickBot="1" x14ac:dyDescent="0.35">
      <c r="E104" s="125" t="s">
        <v>399</v>
      </c>
      <c r="F104" s="126">
        <f>F99/F100</f>
        <v>2.6243515304039365E-2</v>
      </c>
      <c r="G104" s="126">
        <f>G99/G100</f>
        <v>2.6094370703288034E-2</v>
      </c>
      <c r="H104" s="126">
        <f>H99/H100</f>
        <v>2.999086344399244E-2</v>
      </c>
      <c r="I104" s="126">
        <f>I99/I100</f>
        <v>2.8908872636558378E-2</v>
      </c>
      <c r="J104" s="126">
        <f t="shared" ref="J104:L104" si="164">J99/J100</f>
        <v>9.2500867373956873E-3</v>
      </c>
      <c r="K104" s="126">
        <f t="shared" si="164"/>
        <v>9.2500867373956873E-3</v>
      </c>
      <c r="L104" s="127">
        <f t="shared" si="164"/>
        <v>3.1325174247126303E-2</v>
      </c>
      <c r="M104" s="127">
        <f t="shared" ref="M104" si="165">M99/M100</f>
        <v>3.9035098995977582E-2</v>
      </c>
      <c r="N104" s="127">
        <f>M104+(($V$104-$M$104)/9)</f>
        <v>3.7597240296789854E-2</v>
      </c>
      <c r="O104" s="127">
        <f t="shared" ref="O104:U104" si="166">N104+(($V$104-$M$104)/9)</f>
        <v>3.6159381597602125E-2</v>
      </c>
      <c r="P104" s="127">
        <f t="shared" si="166"/>
        <v>3.4721522898414396E-2</v>
      </c>
      <c r="Q104" s="127">
        <f t="shared" si="166"/>
        <v>3.3283664199226667E-2</v>
      </c>
      <c r="R104" s="127">
        <f t="shared" si="166"/>
        <v>3.1845805500038939E-2</v>
      </c>
      <c r="S104" s="127">
        <f t="shared" si="166"/>
        <v>3.040794680085121E-2</v>
      </c>
      <c r="T104" s="127">
        <f t="shared" si="166"/>
        <v>2.8970088101663481E-2</v>
      </c>
      <c r="U104" s="127">
        <f t="shared" si="166"/>
        <v>2.7532229402475752E-2</v>
      </c>
      <c r="V104" s="127">
        <f>MIN(F104:I104)</f>
        <v>2.6094370703288034E-2</v>
      </c>
      <c r="W104" s="507" t="s">
        <v>355</v>
      </c>
      <c r="X104" s="508"/>
    </row>
    <row r="105" spans="5:24" ht="30" customHeight="1" x14ac:dyDescent="0.3"/>
    <row r="106" spans="5:24" ht="30" customHeight="1" x14ac:dyDescent="0.3"/>
    <row r="107" spans="5:24" ht="30" customHeight="1" thickBot="1" x14ac:dyDescent="0.35">
      <c r="E107"/>
      <c r="F107"/>
      <c r="G107"/>
      <c r="H107"/>
      <c r="I107"/>
      <c r="J107"/>
      <c r="K107"/>
      <c r="L107"/>
      <c r="M107"/>
      <c r="N107"/>
      <c r="O107"/>
      <c r="P107"/>
      <c r="Q107"/>
      <c r="R107"/>
      <c r="S107"/>
      <c r="T107"/>
      <c r="U107"/>
      <c r="V107"/>
      <c r="W107"/>
      <c r="X107"/>
    </row>
    <row r="108" spans="5:24" ht="30" customHeight="1" x14ac:dyDescent="0.3">
      <c r="E108" s="86" t="s">
        <v>140</v>
      </c>
      <c r="F108" s="87">
        <f t="shared" ref="F108:V108" si="167">F$10</f>
        <v>2020</v>
      </c>
      <c r="G108" s="87">
        <f t="shared" si="167"/>
        <v>2021</v>
      </c>
      <c r="H108" s="87">
        <f t="shared" si="167"/>
        <v>2022</v>
      </c>
      <c r="I108" s="88">
        <f t="shared" si="167"/>
        <v>2023</v>
      </c>
      <c r="J108" s="88" t="str">
        <f t="shared" si="167"/>
        <v>1T24</v>
      </c>
      <c r="K108" s="88" t="str">
        <f t="shared" si="167"/>
        <v>YTD24</v>
      </c>
      <c r="L108" s="89" t="str">
        <f t="shared" si="167"/>
        <v>YTG24</v>
      </c>
      <c r="M108" s="89">
        <f t="shared" si="167"/>
        <v>2024</v>
      </c>
      <c r="N108" s="89">
        <f t="shared" si="167"/>
        <v>2025</v>
      </c>
      <c r="O108" s="89">
        <f t="shared" si="167"/>
        <v>2026</v>
      </c>
      <c r="P108" s="89">
        <f t="shared" si="167"/>
        <v>2027</v>
      </c>
      <c r="Q108" s="89">
        <f t="shared" si="167"/>
        <v>2028</v>
      </c>
      <c r="R108" s="89">
        <f t="shared" si="167"/>
        <v>2029</v>
      </c>
      <c r="S108" s="89">
        <f t="shared" si="167"/>
        <v>2030</v>
      </c>
      <c r="T108" s="89">
        <f t="shared" si="167"/>
        <v>2031</v>
      </c>
      <c r="U108" s="89">
        <f t="shared" si="167"/>
        <v>2032</v>
      </c>
      <c r="V108" s="89">
        <f t="shared" si="167"/>
        <v>2033</v>
      </c>
      <c r="W108" s="489" t="s">
        <v>125</v>
      </c>
      <c r="X108" s="490"/>
    </row>
    <row r="109" spans="5:24" ht="30" customHeight="1" x14ac:dyDescent="0.3">
      <c r="E109" s="123" t="s">
        <v>157</v>
      </c>
      <c r="F109" s="124">
        <f>F39</f>
        <v>766966</v>
      </c>
      <c r="G109" s="124">
        <f t="shared" ref="G109:I109" si="168">G39</f>
        <v>988248</v>
      </c>
      <c r="H109" s="124">
        <f t="shared" si="168"/>
        <v>1326661</v>
      </c>
      <c r="I109" s="124">
        <f t="shared" si="168"/>
        <v>1570602</v>
      </c>
      <c r="J109" s="124">
        <f t="shared" ref="J109:M109" si="169">J39</f>
        <v>436914.27482000005</v>
      </c>
      <c r="K109" s="124">
        <f t="shared" si="169"/>
        <v>436914.27482000005</v>
      </c>
      <c r="L109" s="92">
        <f t="shared" si="169"/>
        <v>1492176.3808859026</v>
      </c>
      <c r="M109" s="92">
        <f t="shared" si="169"/>
        <v>1929090.6557059027</v>
      </c>
      <c r="N109" s="92">
        <f t="shared" ref="N109:V109" si="170">N114*N111</f>
        <v>2222835.8601958742</v>
      </c>
      <c r="O109" s="92">
        <f t="shared" si="170"/>
        <v>2494115.6624776945</v>
      </c>
      <c r="P109" s="92">
        <f t="shared" si="170"/>
        <v>2778568.8832394038</v>
      </c>
      <c r="Q109" s="92">
        <f t="shared" si="170"/>
        <v>3072650.0521518108</v>
      </c>
      <c r="R109" s="92">
        <f t="shared" si="170"/>
        <v>3377309.6371667166</v>
      </c>
      <c r="S109" s="92">
        <f>S114*S111</f>
        <v>3692722.590352478</v>
      </c>
      <c r="T109" s="92">
        <f t="shared" si="170"/>
        <v>4023074.5442201532</v>
      </c>
      <c r="U109" s="92">
        <f t="shared" si="170"/>
        <v>4367094.488525968</v>
      </c>
      <c r="V109" s="92">
        <f t="shared" si="170"/>
        <v>4725687.0724722082</v>
      </c>
      <c r="W109" s="491"/>
      <c r="X109" s="492"/>
    </row>
    <row r="110" spans="5:24" ht="30" customHeight="1" x14ac:dyDescent="0.3">
      <c r="E110" s="123" t="s">
        <v>400</v>
      </c>
      <c r="F110" s="124">
        <f>F41</f>
        <v>64244</v>
      </c>
      <c r="G110" s="124">
        <f t="shared" ref="G110:I110" si="171">G41</f>
        <v>98024</v>
      </c>
      <c r="H110" s="124">
        <f t="shared" si="171"/>
        <v>338002</v>
      </c>
      <c r="I110" s="124">
        <f t="shared" si="171"/>
        <v>195726</v>
      </c>
      <c r="J110" s="124">
        <f t="shared" ref="J110:M110" si="172">J41</f>
        <v>62739.664600000011</v>
      </c>
      <c r="K110" s="124">
        <f t="shared" si="172"/>
        <v>62739.664600000011</v>
      </c>
      <c r="L110" s="92">
        <f t="shared" si="172"/>
        <v>119353.00846522534</v>
      </c>
      <c r="M110" s="92">
        <f t="shared" si="172"/>
        <v>182092.67306522536</v>
      </c>
      <c r="N110" s="92">
        <f t="shared" ref="N110:V110" si="173">N115*N111</f>
        <v>212437.92878236304</v>
      </c>
      <c r="O110" s="92">
        <f t="shared" si="173"/>
        <v>241242.06066230164</v>
      </c>
      <c r="P110" s="92">
        <f t="shared" si="173"/>
        <v>271897.30156019022</v>
      </c>
      <c r="Q110" s="92">
        <f t="shared" si="173"/>
        <v>304079.83810255333</v>
      </c>
      <c r="R110" s="92">
        <f t="shared" si="173"/>
        <v>337899.20308482944</v>
      </c>
      <c r="S110" s="92">
        <f t="shared" si="173"/>
        <v>373390.00079378788</v>
      </c>
      <c r="T110" s="92">
        <f t="shared" si="173"/>
        <v>410996.64485529956</v>
      </c>
      <c r="U110" s="92">
        <f t="shared" si="173"/>
        <v>450617.02277282684</v>
      </c>
      <c r="V110" s="92">
        <f t="shared" si="173"/>
        <v>492369.49403319519</v>
      </c>
      <c r="W110" s="491"/>
      <c r="X110" s="492"/>
    </row>
    <row r="111" spans="5:24" ht="30" customHeight="1" x14ac:dyDescent="0.3">
      <c r="E111" s="123" t="s">
        <v>246</v>
      </c>
      <c r="F111" s="124">
        <f>SUM(F112,F113*0.5)</f>
        <v>0</v>
      </c>
      <c r="G111" s="124">
        <f>SUM(G112,G113*0.5)</f>
        <v>17800000</v>
      </c>
      <c r="H111" s="124">
        <f t="shared" ref="H111:V111" si="174">SUM(H112,H113*0.5)</f>
        <v>25100000</v>
      </c>
      <c r="I111" s="124">
        <f t="shared" si="174"/>
        <v>29399999.999999996</v>
      </c>
      <c r="J111" s="124">
        <f t="shared" ref="J111:M111" si="175">SUM(J112,J113*0.5)</f>
        <v>30400000</v>
      </c>
      <c r="K111" s="124">
        <f t="shared" si="175"/>
        <v>30400000</v>
      </c>
      <c r="L111" s="92">
        <f t="shared" si="175"/>
        <v>39893697.193018273</v>
      </c>
      <c r="M111" s="92">
        <f t="shared" si="175"/>
        <v>39893697.193018273</v>
      </c>
      <c r="N111" s="92">
        <f t="shared" si="174"/>
        <v>45497992.139321856</v>
      </c>
      <c r="O111" s="92">
        <f t="shared" si="174"/>
        <v>50533582.577015638</v>
      </c>
      <c r="P111" s="92">
        <f t="shared" si="174"/>
        <v>55732418.182207383</v>
      </c>
      <c r="Q111" s="92">
        <f t="shared" si="174"/>
        <v>61019228.100103252</v>
      </c>
      <c r="R111" s="92">
        <f t="shared" si="174"/>
        <v>66410107.560454212</v>
      </c>
      <c r="S111" s="92">
        <f t="shared" si="174"/>
        <v>71905424.080685914</v>
      </c>
      <c r="T111" s="92">
        <f t="shared" si="174"/>
        <v>77582874.866986454</v>
      </c>
      <c r="U111" s="92">
        <f t="shared" si="174"/>
        <v>83412965.836224496</v>
      </c>
      <c r="V111" s="92">
        <f t="shared" si="174"/>
        <v>89408481.533000842</v>
      </c>
      <c r="W111" s="491"/>
      <c r="X111" s="492"/>
    </row>
    <row r="112" spans="5:24" ht="30" customHeight="1" x14ac:dyDescent="0.3">
      <c r="E112" s="107" t="s">
        <v>244</v>
      </c>
      <c r="F112" s="124" t="s">
        <v>21</v>
      </c>
      <c r="G112" s="124">
        <f>('Projeções - NIM'!G181-'Projeções - NIM'!G189)*10^6</f>
        <v>2599999.9999999944</v>
      </c>
      <c r="H112" s="124">
        <f>('Projeções - NIM'!H181-'Projeções - NIM'!H189)*10^6</f>
        <v>10700000</v>
      </c>
      <c r="I112" s="124">
        <f>('Projeções - NIM'!I181-'Projeções - NIM'!I189)*10^6</f>
        <v>15999999.999999996</v>
      </c>
      <c r="J112" s="124">
        <f>('Projeções - NIM'!J181-'Projeções - NIM'!J189)*10^6</f>
        <v>16399999.999999998</v>
      </c>
      <c r="K112" s="124">
        <f>('Projeções - NIM'!K181-'Projeções - NIM'!K189)*10^6</f>
        <v>16399999.999999998</v>
      </c>
      <c r="L112" s="92">
        <f>('Projeções - NIM'!L181-'Projeções - NIM'!L189)*10^6</f>
        <v>31432940.664246585</v>
      </c>
      <c r="M112" s="92">
        <f>('Projeções - NIM'!M181-'Projeções - NIM'!M189)*10^6</f>
        <v>31432940.664246585</v>
      </c>
      <c r="N112" s="92">
        <f>('Projeções - NIM'!N181-'Projeções - NIM'!N189)*10^6</f>
        <v>39675932.568314888</v>
      </c>
      <c r="O112" s="92">
        <f>('Projeções - NIM'!O181-'Projeções - NIM'!O189)*10^6</f>
        <v>46699092.404501915</v>
      </c>
      <c r="P112" s="92">
        <f>('Projeções - NIM'!P181-'Projeções - NIM'!P189)*10^6</f>
        <v>53585999.685157292</v>
      </c>
      <c r="Q112" s="92">
        <f>('Projeções - NIM'!Q181-'Projeções - NIM'!Q189)*10^6</f>
        <v>60247994.101654753</v>
      </c>
      <c r="R112" s="92">
        <f>('Projeções - NIM'!R181-'Projeções - NIM'!R189)*10^6</f>
        <v>66718892.001681551</v>
      </c>
      <c r="S112" s="92">
        <f>('Projeções - NIM'!S181-'Projeções - NIM'!S189)*10^6</f>
        <v>73010262.99921751</v>
      </c>
      <c r="T112" s="92">
        <f>('Projeções - NIM'!T181-'Projeções - NIM'!T189)*10^6</f>
        <v>79216999.142571762</v>
      </c>
      <c r="U112" s="92">
        <f>('Projeções - NIM'!U181-'Projeções - NIM'!U189)*10^6</f>
        <v>85309742.729195058</v>
      </c>
      <c r="V112" s="92">
        <f>('Projeções - NIM'!V181-'Projeções - NIM'!V189)*10^6</f>
        <v>91305258.425971404</v>
      </c>
      <c r="W112" s="491"/>
      <c r="X112" s="492"/>
    </row>
    <row r="113" spans="5:24" ht="30" customHeight="1" x14ac:dyDescent="0.3">
      <c r="E113" s="107" t="s">
        <v>245</v>
      </c>
      <c r="F113" s="124">
        <f>'Projeções - NIM'!F189*10^6</f>
        <v>0</v>
      </c>
      <c r="G113" s="124">
        <f>'Projeções - NIM'!G189*10^6</f>
        <v>30400000.000000007</v>
      </c>
      <c r="H113" s="124">
        <f>'Projeções - NIM'!H189*10^6</f>
        <v>28800000</v>
      </c>
      <c r="I113" s="124">
        <f>'Projeções - NIM'!I189*10^6</f>
        <v>26800000</v>
      </c>
      <c r="J113" s="124">
        <f>'Projeções - NIM'!J189*10^6</f>
        <v>28000000</v>
      </c>
      <c r="K113" s="124">
        <f>'Projeções - NIM'!K189*10^6</f>
        <v>28000000</v>
      </c>
      <c r="L113" s="92">
        <f>'Projeções - NIM'!L189*10^6</f>
        <v>16921513.057543378</v>
      </c>
      <c r="M113" s="92">
        <f>'Projeções - NIM'!M189*10^6</f>
        <v>16921513.057543378</v>
      </c>
      <c r="N113" s="92">
        <f>'Projeções - NIM'!N189*10^6</f>
        <v>11644119.142013941</v>
      </c>
      <c r="O113" s="92">
        <f>'Projeções - NIM'!O189*10^6</f>
        <v>7668980.3450274505</v>
      </c>
      <c r="P113" s="92">
        <f>'Projeções - NIM'!P189*10^6</f>
        <v>4292836.994100186</v>
      </c>
      <c r="Q113" s="92">
        <f>'Projeções - NIM'!Q189*10^6</f>
        <v>1542467.9968969908</v>
      </c>
      <c r="R113" s="92">
        <f>'Projeções - NIM'!R189*10^6</f>
        <v>-617568.88245468203</v>
      </c>
      <c r="S113" s="92">
        <f>'Projeções - NIM'!S189*10^6</f>
        <v>-2209677.8370631887</v>
      </c>
      <c r="T113" s="92">
        <f>'Projeções - NIM'!T189*10^6</f>
        <v>-3268248.5511706215</v>
      </c>
      <c r="U113" s="92">
        <f>'Projeções - NIM'!U189*10^6</f>
        <v>-3793553.7859411091</v>
      </c>
      <c r="V113" s="92">
        <f>'Projeções - NIM'!V189*10^6</f>
        <v>-3793553.7859411212</v>
      </c>
      <c r="W113" s="505" t="s">
        <v>422</v>
      </c>
      <c r="X113" s="506"/>
    </row>
    <row r="114" spans="5:24" ht="30" customHeight="1" x14ac:dyDescent="0.3">
      <c r="E114" s="262" t="s">
        <v>401</v>
      </c>
      <c r="F114" s="182" t="s">
        <v>21</v>
      </c>
      <c r="G114" s="182">
        <f>G109/G111</f>
        <v>5.5519550561797755E-2</v>
      </c>
      <c r="H114" s="182">
        <f>H109/H111</f>
        <v>5.2855019920318727E-2</v>
      </c>
      <c r="I114" s="182">
        <f>I109/I111</f>
        <v>5.3421836734693882E-2</v>
      </c>
      <c r="J114" s="182">
        <f t="shared" ref="J114:M114" si="176">J109/J111</f>
        <v>1.437218009276316E-2</v>
      </c>
      <c r="K114" s="182">
        <f t="shared" si="176"/>
        <v>1.437218009276316E-2</v>
      </c>
      <c r="L114" s="183">
        <f t="shared" si="176"/>
        <v>3.7403812779404307E-2</v>
      </c>
      <c r="M114" s="183">
        <f t="shared" si="176"/>
        <v>4.8355775258742115E-2</v>
      </c>
      <c r="N114" s="183">
        <f>M114+(($V114-$M114)/9)</f>
        <v>4.8855691332250629E-2</v>
      </c>
      <c r="O114" s="183">
        <f t="shared" ref="O114:U115" si="177">N114+(($V114-$M114)/9)</f>
        <v>4.9355607405759144E-2</v>
      </c>
      <c r="P114" s="183">
        <f t="shared" si="177"/>
        <v>4.9855523479267659E-2</v>
      </c>
      <c r="Q114" s="183">
        <f t="shared" si="177"/>
        <v>5.0355439552776174E-2</v>
      </c>
      <c r="R114" s="183">
        <f t="shared" si="177"/>
        <v>5.0855355626284689E-2</v>
      </c>
      <c r="S114" s="183">
        <f t="shared" si="177"/>
        <v>5.1355271699793203E-2</v>
      </c>
      <c r="T114" s="183">
        <f t="shared" si="177"/>
        <v>5.1855187773301718E-2</v>
      </c>
      <c r="U114" s="183">
        <f t="shared" si="177"/>
        <v>5.2355103846810233E-2</v>
      </c>
      <c r="V114" s="183">
        <f>MIN(G114:I114)</f>
        <v>5.2855019920318727E-2</v>
      </c>
      <c r="W114" s="505" t="s">
        <v>430</v>
      </c>
      <c r="X114" s="506"/>
    </row>
    <row r="115" spans="5:24" ht="30" customHeight="1" thickBot="1" x14ac:dyDescent="0.35">
      <c r="E115" s="125" t="s">
        <v>402</v>
      </c>
      <c r="F115" s="126" t="s">
        <v>21</v>
      </c>
      <c r="G115" s="126">
        <f>G110/G111</f>
        <v>5.5069662921348314E-3</v>
      </c>
      <c r="H115" s="126">
        <f>H110/H111</f>
        <v>1.346621513944223E-2</v>
      </c>
      <c r="I115" s="126">
        <f>I110/I111</f>
        <v>6.6573469387755111E-3</v>
      </c>
      <c r="J115" s="126">
        <f t="shared" ref="J115:M115" si="178">J110/J111</f>
        <v>2.0638047565789477E-3</v>
      </c>
      <c r="K115" s="126">
        <f t="shared" si="178"/>
        <v>2.0638047565789477E-3</v>
      </c>
      <c r="L115" s="127">
        <f t="shared" si="178"/>
        <v>2.9917760664738063E-3</v>
      </c>
      <c r="M115" s="127">
        <f t="shared" si="178"/>
        <v>4.5644471652803616E-3</v>
      </c>
      <c r="N115" s="127">
        <f>M115+(($V115-$M115)/9)</f>
        <v>4.6691715127086357E-3</v>
      </c>
      <c r="O115" s="127">
        <f t="shared" si="177"/>
        <v>4.7738958601369098E-3</v>
      </c>
      <c r="P115" s="127">
        <f t="shared" si="177"/>
        <v>4.878620207565184E-3</v>
      </c>
      <c r="Q115" s="127">
        <f t="shared" si="177"/>
        <v>4.9833445549934581E-3</v>
      </c>
      <c r="R115" s="127">
        <f t="shared" si="177"/>
        <v>5.0880689024217322E-3</v>
      </c>
      <c r="S115" s="127">
        <f t="shared" si="177"/>
        <v>5.1927932498500064E-3</v>
      </c>
      <c r="T115" s="127">
        <f t="shared" si="177"/>
        <v>5.2975175972782805E-3</v>
      </c>
      <c r="U115" s="127">
        <f t="shared" si="177"/>
        <v>5.4022419447065546E-3</v>
      </c>
      <c r="V115" s="127">
        <f>MIN(G115:I115)</f>
        <v>5.5069662921348314E-3</v>
      </c>
      <c r="W115" s="507" t="s">
        <v>431</v>
      </c>
      <c r="X115" s="508"/>
    </row>
    <row r="116" spans="5:24" ht="30" customHeight="1" x14ac:dyDescent="0.3"/>
    <row r="117" spans="5:24" ht="30" customHeight="1" x14ac:dyDescent="0.3"/>
    <row r="118" spans="5:24" ht="30" customHeight="1" thickBot="1" x14ac:dyDescent="0.35">
      <c r="E118"/>
      <c r="F118"/>
      <c r="G118"/>
      <c r="H118"/>
      <c r="I118"/>
      <c r="J118"/>
      <c r="K118"/>
      <c r="L118"/>
      <c r="M118"/>
      <c r="N118"/>
      <c r="O118"/>
      <c r="P118"/>
      <c r="Q118"/>
      <c r="R118"/>
      <c r="S118"/>
      <c r="T118"/>
      <c r="U118"/>
      <c r="V118"/>
      <c r="W118"/>
      <c r="X118"/>
    </row>
    <row r="119" spans="5:24" ht="30" customHeight="1" x14ac:dyDescent="0.3">
      <c r="E119" s="86" t="s">
        <v>140</v>
      </c>
      <c r="F119" s="87">
        <f t="shared" ref="F119:V119" si="179">F$10</f>
        <v>2020</v>
      </c>
      <c r="G119" s="87">
        <f t="shared" si="179"/>
        <v>2021</v>
      </c>
      <c r="H119" s="87">
        <f t="shared" si="179"/>
        <v>2022</v>
      </c>
      <c r="I119" s="88">
        <f t="shared" si="179"/>
        <v>2023</v>
      </c>
      <c r="J119" s="88" t="str">
        <f t="shared" si="179"/>
        <v>1T24</v>
      </c>
      <c r="K119" s="88" t="str">
        <f t="shared" si="179"/>
        <v>YTD24</v>
      </c>
      <c r="L119" s="89" t="str">
        <f t="shared" si="179"/>
        <v>YTG24</v>
      </c>
      <c r="M119" s="89">
        <f t="shared" si="179"/>
        <v>2024</v>
      </c>
      <c r="N119" s="89">
        <f t="shared" si="179"/>
        <v>2025</v>
      </c>
      <c r="O119" s="89">
        <f t="shared" si="179"/>
        <v>2026</v>
      </c>
      <c r="P119" s="89">
        <f t="shared" si="179"/>
        <v>2027</v>
      </c>
      <c r="Q119" s="89">
        <f t="shared" si="179"/>
        <v>2028</v>
      </c>
      <c r="R119" s="89">
        <f t="shared" si="179"/>
        <v>2029</v>
      </c>
      <c r="S119" s="89">
        <f t="shared" si="179"/>
        <v>2030</v>
      </c>
      <c r="T119" s="89">
        <f t="shared" si="179"/>
        <v>2031</v>
      </c>
      <c r="U119" s="89">
        <f t="shared" si="179"/>
        <v>2032</v>
      </c>
      <c r="V119" s="89">
        <f t="shared" si="179"/>
        <v>2033</v>
      </c>
      <c r="W119" s="489" t="s">
        <v>125</v>
      </c>
      <c r="X119" s="490"/>
    </row>
    <row r="120" spans="5:24" ht="30" customHeight="1" x14ac:dyDescent="0.3">
      <c r="E120" s="123" t="s">
        <v>159</v>
      </c>
      <c r="F120" s="124">
        <f>F43</f>
        <v>14581</v>
      </c>
      <c r="G120" s="124">
        <f>G43</f>
        <v>32367</v>
      </c>
      <c r="H120" s="124">
        <f>H43</f>
        <v>64660</v>
      </c>
      <c r="I120" s="124">
        <f>I43</f>
        <v>9731</v>
      </c>
      <c r="J120" s="124">
        <f t="shared" ref="J120:M120" si="180">J43</f>
        <v>700.28359999999998</v>
      </c>
      <c r="K120" s="124">
        <f t="shared" si="180"/>
        <v>700.28359999999998</v>
      </c>
      <c r="L120" s="92">
        <f t="shared" si="180"/>
        <v>14615.433384724893</v>
      </c>
      <c r="M120" s="92">
        <f t="shared" si="180"/>
        <v>15315.716984724893</v>
      </c>
      <c r="N120" s="92">
        <f t="shared" ref="N120:V120" si="181">N121*N122</f>
        <v>11184.952150337856</v>
      </c>
      <c r="O120" s="92">
        <f t="shared" si="181"/>
        <v>11950.975071721239</v>
      </c>
      <c r="P120" s="92">
        <f t="shared" si="181"/>
        <v>12791.952039775781</v>
      </c>
      <c r="Q120" s="92">
        <f t="shared" si="181"/>
        <v>13709.002512156334</v>
      </c>
      <c r="R120" s="92">
        <f t="shared" si="181"/>
        <v>14702.074523733132</v>
      </c>
      <c r="S120" s="92">
        <f t="shared" si="181"/>
        <v>15780.879439983368</v>
      </c>
      <c r="T120" s="92">
        <f t="shared" si="181"/>
        <v>16942.982969284098</v>
      </c>
      <c r="U120" s="92">
        <f t="shared" si="181"/>
        <v>18189.339043419659</v>
      </c>
      <c r="V120" s="92">
        <f t="shared" si="181"/>
        <v>19527.164930063173</v>
      </c>
      <c r="W120" s="491"/>
      <c r="X120" s="492"/>
    </row>
    <row r="121" spans="5:24" ht="30" customHeight="1" x14ac:dyDescent="0.3">
      <c r="E121" s="263" t="s">
        <v>251</v>
      </c>
      <c r="F121" s="124">
        <f t="shared" ref="F121:V121" si="182">SUM(F49,F51)</f>
        <v>-870925</v>
      </c>
      <c r="G121" s="124">
        <f t="shared" si="182"/>
        <v>-880677</v>
      </c>
      <c r="H121" s="124">
        <f t="shared" si="182"/>
        <v>-976601</v>
      </c>
      <c r="I121" s="124">
        <f t="shared" si="182"/>
        <v>-1075137</v>
      </c>
      <c r="J121" s="124">
        <f t="shared" ref="J121:M121" si="183">SUM(J49,J51)</f>
        <v>-270669.68737</v>
      </c>
      <c r="K121" s="124">
        <f t="shared" si="183"/>
        <v>-270669.68737</v>
      </c>
      <c r="L121" s="92">
        <f t="shared" si="183"/>
        <v>-889543.07815269846</v>
      </c>
      <c r="M121" s="92">
        <f t="shared" si="183"/>
        <v>-1160212.7655226984</v>
      </c>
      <c r="N121" s="92">
        <f t="shared" si="182"/>
        <v>-1235778.0187090528</v>
      </c>
      <c r="O121" s="92">
        <f t="shared" si="182"/>
        <v>-1320412.6488218228</v>
      </c>
      <c r="P121" s="92">
        <f t="shared" si="182"/>
        <v>-1413328.6342810004</v>
      </c>
      <c r="Q121" s="92">
        <f t="shared" si="182"/>
        <v>-1514649.6592243577</v>
      </c>
      <c r="R121" s="92">
        <f t="shared" si="182"/>
        <v>-1624369.9822446685</v>
      </c>
      <c r="S121" s="92">
        <f t="shared" si="182"/>
        <v>-1743562.571006618</v>
      </c>
      <c r="T121" s="92">
        <f t="shared" si="182"/>
        <v>-1871958.4709328124</v>
      </c>
      <c r="U121" s="92">
        <f t="shared" si="182"/>
        <v>-2009663.07790824</v>
      </c>
      <c r="V121" s="92">
        <f t="shared" si="182"/>
        <v>-2157473.7972883908</v>
      </c>
      <c r="W121" s="491"/>
      <c r="X121" s="492"/>
    </row>
    <row r="122" spans="5:24" ht="30" customHeight="1" thickBot="1" x14ac:dyDescent="0.35">
      <c r="E122" s="125" t="s">
        <v>403</v>
      </c>
      <c r="F122" s="126">
        <f>F120/F121</f>
        <v>-1.6741969744811552E-2</v>
      </c>
      <c r="G122" s="126">
        <f t="shared" ref="G122:I122" si="184">G120/G121</f>
        <v>-3.6752407522848897E-2</v>
      </c>
      <c r="H122" s="126">
        <f t="shared" si="184"/>
        <v>-6.6209229767325656E-2</v>
      </c>
      <c r="I122" s="126">
        <f t="shared" si="184"/>
        <v>-9.0509395546800077E-3</v>
      </c>
      <c r="J122" s="126">
        <f t="shared" ref="J122:M122" si="185">J120/J121</f>
        <v>-2.5872258057575781E-3</v>
      </c>
      <c r="K122" s="126">
        <f t="shared" si="185"/>
        <v>-2.5872258057575781E-3</v>
      </c>
      <c r="L122" s="127">
        <f t="shared" si="185"/>
        <v>-1.6430270487941469E-2</v>
      </c>
      <c r="M122" s="127">
        <f t="shared" si="185"/>
        <v>-1.3200783028641186E-2</v>
      </c>
      <c r="N122" s="127">
        <f>I122</f>
        <v>-9.0509395546800077E-3</v>
      </c>
      <c r="O122" s="127">
        <f t="shared" ref="O122:V122" si="186">N122</f>
        <v>-9.0509395546800077E-3</v>
      </c>
      <c r="P122" s="127">
        <f t="shared" si="186"/>
        <v>-9.0509395546800077E-3</v>
      </c>
      <c r="Q122" s="127">
        <f t="shared" si="186"/>
        <v>-9.0509395546800077E-3</v>
      </c>
      <c r="R122" s="127">
        <f t="shared" si="186"/>
        <v>-9.0509395546800077E-3</v>
      </c>
      <c r="S122" s="127">
        <f t="shared" si="186"/>
        <v>-9.0509395546800077E-3</v>
      </c>
      <c r="T122" s="127">
        <f t="shared" si="186"/>
        <v>-9.0509395546800077E-3</v>
      </c>
      <c r="U122" s="127">
        <f t="shared" si="186"/>
        <v>-9.0509395546800077E-3</v>
      </c>
      <c r="V122" s="127">
        <f t="shared" si="186"/>
        <v>-9.0509395546800077E-3</v>
      </c>
      <c r="W122" s="493" t="s">
        <v>423</v>
      </c>
      <c r="X122" s="494"/>
    </row>
    <row r="123" spans="5:24" ht="30" customHeight="1" x14ac:dyDescent="0.3"/>
    <row r="124" spans="5:24" ht="30" customHeight="1" x14ac:dyDescent="0.3"/>
    <row r="125" spans="5:24" ht="30" customHeight="1" thickBot="1" x14ac:dyDescent="0.35">
      <c r="E125"/>
      <c r="F125"/>
      <c r="G125"/>
      <c r="H125"/>
      <c r="I125"/>
      <c r="J125"/>
      <c r="K125"/>
      <c r="L125"/>
      <c r="M125"/>
      <c r="N125"/>
      <c r="O125"/>
      <c r="P125"/>
      <c r="Q125"/>
      <c r="R125"/>
      <c r="S125"/>
      <c r="T125"/>
      <c r="U125"/>
      <c r="V125"/>
      <c r="W125"/>
      <c r="X125"/>
    </row>
    <row r="126" spans="5:24" ht="30" customHeight="1" x14ac:dyDescent="0.3">
      <c r="E126" s="86" t="s">
        <v>140</v>
      </c>
      <c r="F126" s="87">
        <f t="shared" ref="F126:V126" si="187">F$10</f>
        <v>2020</v>
      </c>
      <c r="G126" s="87">
        <f t="shared" si="187"/>
        <v>2021</v>
      </c>
      <c r="H126" s="87">
        <f t="shared" si="187"/>
        <v>2022</v>
      </c>
      <c r="I126" s="88">
        <f t="shared" si="187"/>
        <v>2023</v>
      </c>
      <c r="J126" s="88" t="str">
        <f t="shared" si="187"/>
        <v>1T24</v>
      </c>
      <c r="K126" s="88" t="str">
        <f t="shared" si="187"/>
        <v>YTD24</v>
      </c>
      <c r="L126" s="89" t="str">
        <f t="shared" si="187"/>
        <v>YTG24</v>
      </c>
      <c r="M126" s="89">
        <f t="shared" si="187"/>
        <v>2024</v>
      </c>
      <c r="N126" s="89">
        <f t="shared" si="187"/>
        <v>2025</v>
      </c>
      <c r="O126" s="89">
        <f t="shared" si="187"/>
        <v>2026</v>
      </c>
      <c r="P126" s="89">
        <f t="shared" si="187"/>
        <v>2027</v>
      </c>
      <c r="Q126" s="89">
        <f t="shared" si="187"/>
        <v>2028</v>
      </c>
      <c r="R126" s="89">
        <f t="shared" si="187"/>
        <v>2029</v>
      </c>
      <c r="S126" s="89">
        <f t="shared" si="187"/>
        <v>2030</v>
      </c>
      <c r="T126" s="89">
        <f t="shared" si="187"/>
        <v>2031</v>
      </c>
      <c r="U126" s="89">
        <f t="shared" si="187"/>
        <v>2032</v>
      </c>
      <c r="V126" s="89">
        <f t="shared" si="187"/>
        <v>2033</v>
      </c>
      <c r="W126" s="489" t="s">
        <v>125</v>
      </c>
      <c r="X126" s="490"/>
    </row>
    <row r="127" spans="5:24" ht="30" customHeight="1" x14ac:dyDescent="0.3">
      <c r="E127" s="123" t="s">
        <v>153</v>
      </c>
      <c r="F127" s="124">
        <f>F31</f>
        <v>25005</v>
      </c>
      <c r="G127" s="124">
        <f>G31</f>
        <v>24756</v>
      </c>
      <c r="H127" s="124">
        <f>H31</f>
        <v>30202</v>
      </c>
      <c r="I127" s="124">
        <f>I31</f>
        <v>36955</v>
      </c>
      <c r="J127" s="124">
        <f t="shared" ref="J127:L127" si="188">J31</f>
        <v>16090</v>
      </c>
      <c r="K127" s="124">
        <f t="shared" si="188"/>
        <v>16090</v>
      </c>
      <c r="L127" s="92">
        <f t="shared" si="188"/>
        <v>46457.9874554696</v>
      </c>
      <c r="M127" s="92">
        <f t="shared" ref="M127" si="189">M31</f>
        <v>62547.9874554696</v>
      </c>
      <c r="N127" s="92">
        <f t="shared" ref="N127:V127" si="190">N130*N129</f>
        <v>42925.839113706308</v>
      </c>
      <c r="O127" s="92">
        <f t="shared" si="190"/>
        <v>47529.553498584937</v>
      </c>
      <c r="P127" s="92">
        <f t="shared" si="190"/>
        <v>52371.57029225822</v>
      </c>
      <c r="Q127" s="92">
        <f t="shared" si="190"/>
        <v>57385.690176333694</v>
      </c>
      <c r="R127" s="92">
        <f t="shared" si="190"/>
        <v>62586.357260614212</v>
      </c>
      <c r="S127" s="92">
        <f t="shared" si="190"/>
        <v>67974.454982570431</v>
      </c>
      <c r="T127" s="92">
        <f t="shared" si="190"/>
        <v>73623.358745340054</v>
      </c>
      <c r="U127" s="92">
        <f t="shared" si="190"/>
        <v>79507.908981589746</v>
      </c>
      <c r="V127" s="92">
        <f t="shared" si="190"/>
        <v>85642.552831328561</v>
      </c>
      <c r="W127" s="491"/>
      <c r="X127" s="492"/>
    </row>
    <row r="128" spans="5:24" ht="30" customHeight="1" x14ac:dyDescent="0.3">
      <c r="E128" s="123" t="s">
        <v>160</v>
      </c>
      <c r="F128" s="124">
        <f>F45</f>
        <v>95169</v>
      </c>
      <c r="G128" s="124">
        <f>G45</f>
        <v>190394</v>
      </c>
      <c r="H128" s="124">
        <f>H45</f>
        <v>211151</v>
      </c>
      <c r="I128" s="124">
        <f>I45</f>
        <v>294692</v>
      </c>
      <c r="J128" s="124">
        <f t="shared" ref="J128:L128" si="191">J45</f>
        <v>18190.237340000003</v>
      </c>
      <c r="K128" s="124">
        <f t="shared" si="191"/>
        <v>18190.237340000003</v>
      </c>
      <c r="L128" s="92">
        <f t="shared" si="191"/>
        <v>89964.151322696503</v>
      </c>
      <c r="M128" s="92">
        <f>M45</f>
        <v>108154.38866269651</v>
      </c>
      <c r="N128" s="92">
        <f t="shared" ref="N128:V128" si="192">N131*N129</f>
        <v>129290.26923221268</v>
      </c>
      <c r="O128" s="92">
        <f t="shared" si="192"/>
        <v>151018.9492440054</v>
      </c>
      <c r="P128" s="92">
        <f t="shared" si="192"/>
        <v>175067.35792040144</v>
      </c>
      <c r="Q128" s="92">
        <f t="shared" si="192"/>
        <v>201321.51667347946</v>
      </c>
      <c r="R128" s="92">
        <f t="shared" si="192"/>
        <v>229919.89812034581</v>
      </c>
      <c r="S128" s="92">
        <f t="shared" si="192"/>
        <v>260958.47218094685</v>
      </c>
      <c r="T128" s="92">
        <f t="shared" si="192"/>
        <v>294824.08677671867</v>
      </c>
      <c r="U128" s="92">
        <f t="shared" si="192"/>
        <v>331541.25964303844</v>
      </c>
      <c r="V128" s="92">
        <f t="shared" si="192"/>
        <v>371289.56903085468</v>
      </c>
      <c r="W128" s="491"/>
      <c r="X128" s="492"/>
    </row>
    <row r="129" spans="5:24" ht="30" customHeight="1" x14ac:dyDescent="0.3">
      <c r="E129" s="263" t="s">
        <v>252</v>
      </c>
      <c r="F129" s="124">
        <f t="shared" ref="F129:V129" si="193">SUM(F21,F33,F39,F41,F43)</f>
        <v>1640250</v>
      </c>
      <c r="G129" s="124">
        <f t="shared" si="193"/>
        <v>1982375</v>
      </c>
      <c r="H129" s="124">
        <f t="shared" si="193"/>
        <v>2709158</v>
      </c>
      <c r="I129" s="124">
        <f t="shared" si="193"/>
        <v>2522130</v>
      </c>
      <c r="J129" s="124">
        <f t="shared" ref="J129:L129" si="194">SUM(J21,J33,J39,J41,J43)</f>
        <v>673822.22302000003</v>
      </c>
      <c r="K129" s="124">
        <f t="shared" si="194"/>
        <v>673822.22302000003</v>
      </c>
      <c r="L129" s="92">
        <f t="shared" si="194"/>
        <v>2165191.4360034764</v>
      </c>
      <c r="M129" s="92">
        <f t="shared" ref="M129" si="195">SUM(M21,M33,M39,M41,M43)</f>
        <v>2839013.6590234772</v>
      </c>
      <c r="N129" s="92">
        <f t="shared" si="193"/>
        <v>3207424.7648687949</v>
      </c>
      <c r="O129" s="92">
        <f t="shared" si="193"/>
        <v>3551414.9543052455</v>
      </c>
      <c r="P129" s="92">
        <f t="shared" si="193"/>
        <v>3913211.1334038014</v>
      </c>
      <c r="Q129" s="92">
        <f t="shared" si="193"/>
        <v>4287866.8797388701</v>
      </c>
      <c r="R129" s="92">
        <f t="shared" si="193"/>
        <v>4676461.4592361674</v>
      </c>
      <c r="S129" s="92">
        <f t="shared" si="193"/>
        <v>5079060.8824683474</v>
      </c>
      <c r="T129" s="92">
        <f t="shared" si="193"/>
        <v>5501147.769927294</v>
      </c>
      <c r="U129" s="92">
        <f t="shared" si="193"/>
        <v>5940842.195186303</v>
      </c>
      <c r="V129" s="92">
        <f t="shared" si="193"/>
        <v>6399223.6505885255</v>
      </c>
      <c r="W129" s="491"/>
      <c r="X129" s="492"/>
    </row>
    <row r="130" spans="5:24" ht="30" customHeight="1" x14ac:dyDescent="0.3">
      <c r="E130" s="262" t="s">
        <v>404</v>
      </c>
      <c r="F130" s="182">
        <f>F127/F129</f>
        <v>1.5244627343392776E-2</v>
      </c>
      <c r="G130" s="182">
        <f t="shared" ref="G130:I130" si="196">G127/G129</f>
        <v>1.2488050948987956E-2</v>
      </c>
      <c r="H130" s="182">
        <f t="shared" si="196"/>
        <v>1.114811317759983E-2</v>
      </c>
      <c r="I130" s="182">
        <f t="shared" si="196"/>
        <v>1.4652297859349041E-2</v>
      </c>
      <c r="J130" s="182">
        <f t="shared" ref="J130:L130" si="197">J127/J129</f>
        <v>2.3878701904318796E-2</v>
      </c>
      <c r="K130" s="182">
        <f t="shared" si="197"/>
        <v>2.3878701904318796E-2</v>
      </c>
      <c r="L130" s="183">
        <f t="shared" si="197"/>
        <v>2.1456757440913417E-2</v>
      </c>
      <c r="M130" s="183">
        <f t="shared" ref="M130" si="198">M127/M129</f>
        <v>2.2031590886034676E-2</v>
      </c>
      <c r="N130" s="183">
        <f>AVERAGE(F130:I130)</f>
        <v>1.3383272332332403E-2</v>
      </c>
      <c r="O130" s="183">
        <f t="shared" ref="O130:V130" si="199">N130</f>
        <v>1.3383272332332403E-2</v>
      </c>
      <c r="P130" s="183">
        <f t="shared" si="199"/>
        <v>1.3383272332332403E-2</v>
      </c>
      <c r="Q130" s="183">
        <f t="shared" si="199"/>
        <v>1.3383272332332403E-2</v>
      </c>
      <c r="R130" s="183">
        <f t="shared" si="199"/>
        <v>1.3383272332332403E-2</v>
      </c>
      <c r="S130" s="183">
        <f t="shared" si="199"/>
        <v>1.3383272332332403E-2</v>
      </c>
      <c r="T130" s="183">
        <f t="shared" si="199"/>
        <v>1.3383272332332403E-2</v>
      </c>
      <c r="U130" s="183">
        <f t="shared" si="199"/>
        <v>1.3383272332332403E-2</v>
      </c>
      <c r="V130" s="183">
        <f t="shared" si="199"/>
        <v>1.3383272332332403E-2</v>
      </c>
      <c r="W130" s="505" t="s">
        <v>356</v>
      </c>
      <c r="X130" s="506"/>
    </row>
    <row r="131" spans="5:24" ht="30" customHeight="1" thickBot="1" x14ac:dyDescent="0.35">
      <c r="E131" s="125" t="s">
        <v>253</v>
      </c>
      <c r="F131" s="126">
        <f>F128/F129</f>
        <v>5.8021033379058069E-2</v>
      </c>
      <c r="G131" s="126">
        <f t="shared" ref="G131:I131" si="200">G128/G129</f>
        <v>9.6043382306576705E-2</v>
      </c>
      <c r="H131" s="126">
        <f t="shared" si="200"/>
        <v>7.7939714110435793E-2</v>
      </c>
      <c r="I131" s="126">
        <f t="shared" si="200"/>
        <v>0.11684251010058957</v>
      </c>
      <c r="J131" s="126">
        <f t="shared" ref="J131:L131" si="201">J128/J129</f>
        <v>2.6995603170333685E-2</v>
      </c>
      <c r="K131" s="126">
        <f t="shared" si="201"/>
        <v>2.6995603170333685E-2</v>
      </c>
      <c r="L131" s="127">
        <f t="shared" si="201"/>
        <v>4.1550206520654304E-2</v>
      </c>
      <c r="M131" s="127">
        <f t="shared" ref="M131" si="202">M128/M129</f>
        <v>3.8095761997812255E-2</v>
      </c>
      <c r="N131" s="127">
        <f>M131+(($V131-$M131)/9)</f>
        <v>4.03096810401729E-2</v>
      </c>
      <c r="O131" s="127">
        <f t="shared" ref="O131:U131" si="203">N131+(($V131-$M131)/9)</f>
        <v>4.2523600082533544E-2</v>
      </c>
      <c r="P131" s="127">
        <f t="shared" si="203"/>
        <v>4.4737519124894189E-2</v>
      </c>
      <c r="Q131" s="127">
        <f t="shared" si="203"/>
        <v>4.6951438167254833E-2</v>
      </c>
      <c r="R131" s="127">
        <f t="shared" si="203"/>
        <v>4.9165357209615478E-2</v>
      </c>
      <c r="S131" s="127">
        <f t="shared" si="203"/>
        <v>5.1379276251976122E-2</v>
      </c>
      <c r="T131" s="127">
        <f t="shared" si="203"/>
        <v>5.3593195294336766E-2</v>
      </c>
      <c r="U131" s="127">
        <f t="shared" si="203"/>
        <v>5.5807114336697411E-2</v>
      </c>
      <c r="V131" s="127">
        <f>MIN(F131:I131)</f>
        <v>5.8021033379058069E-2</v>
      </c>
      <c r="W131" s="507" t="s">
        <v>357</v>
      </c>
      <c r="X131" s="508"/>
    </row>
    <row r="132" spans="5:24" ht="30" customHeight="1" x14ac:dyDescent="0.3"/>
    <row r="133" spans="5:24" ht="30" customHeight="1" x14ac:dyDescent="0.3"/>
    <row r="134" spans="5:24" ht="30" customHeight="1" thickBot="1" x14ac:dyDescent="0.35">
      <c r="E134"/>
      <c r="F134"/>
      <c r="G134"/>
      <c r="H134"/>
      <c r="I134"/>
      <c r="J134"/>
      <c r="K134"/>
      <c r="L134"/>
      <c r="M134"/>
      <c r="N134"/>
      <c r="O134"/>
      <c r="P134"/>
      <c r="Q134"/>
      <c r="R134"/>
      <c r="S134"/>
      <c r="T134"/>
      <c r="U134"/>
      <c r="V134"/>
      <c r="W134"/>
      <c r="X134"/>
    </row>
    <row r="135" spans="5:24" ht="30" customHeight="1" x14ac:dyDescent="0.3">
      <c r="E135" s="86" t="s">
        <v>140</v>
      </c>
      <c r="F135" s="87">
        <f t="shared" ref="F135:V135" si="204">F$10</f>
        <v>2020</v>
      </c>
      <c r="G135" s="87">
        <f t="shared" si="204"/>
        <v>2021</v>
      </c>
      <c r="H135" s="87">
        <f t="shared" si="204"/>
        <v>2022</v>
      </c>
      <c r="I135" s="88">
        <f t="shared" si="204"/>
        <v>2023</v>
      </c>
      <c r="J135" s="88" t="str">
        <f t="shared" si="204"/>
        <v>1T24</v>
      </c>
      <c r="K135" s="88" t="str">
        <f t="shared" si="204"/>
        <v>YTD24</v>
      </c>
      <c r="L135" s="89" t="str">
        <f t="shared" si="204"/>
        <v>YTG24</v>
      </c>
      <c r="M135" s="89">
        <f t="shared" si="204"/>
        <v>2024</v>
      </c>
      <c r="N135" s="89">
        <f t="shared" si="204"/>
        <v>2025</v>
      </c>
      <c r="O135" s="89">
        <f t="shared" si="204"/>
        <v>2026</v>
      </c>
      <c r="P135" s="89">
        <f t="shared" si="204"/>
        <v>2027</v>
      </c>
      <c r="Q135" s="89">
        <f t="shared" si="204"/>
        <v>2028</v>
      </c>
      <c r="R135" s="89">
        <f t="shared" si="204"/>
        <v>2029</v>
      </c>
      <c r="S135" s="89">
        <f t="shared" si="204"/>
        <v>2030</v>
      </c>
      <c r="T135" s="89">
        <f t="shared" si="204"/>
        <v>2031</v>
      </c>
      <c r="U135" s="89">
        <f t="shared" si="204"/>
        <v>2032</v>
      </c>
      <c r="V135" s="89">
        <f t="shared" si="204"/>
        <v>2033</v>
      </c>
      <c r="W135" s="489" t="s">
        <v>125</v>
      </c>
      <c r="X135" s="490"/>
    </row>
    <row r="136" spans="5:24" ht="30" customHeight="1" x14ac:dyDescent="0.3">
      <c r="E136" s="123" t="s">
        <v>133</v>
      </c>
      <c r="F136" s="124">
        <f>F53</f>
        <v>-115418</v>
      </c>
      <c r="G136" s="124">
        <f>G53</f>
        <v>-139467</v>
      </c>
      <c r="H136" s="124">
        <f>H53</f>
        <v>-178719</v>
      </c>
      <c r="I136" s="124">
        <f>I53</f>
        <v>-170696</v>
      </c>
      <c r="J136" s="124">
        <f t="shared" ref="J136:M136" si="205">J53</f>
        <v>-41511.576139999997</v>
      </c>
      <c r="K136" s="124">
        <f t="shared" si="205"/>
        <v>-41511.576139999997</v>
      </c>
      <c r="L136" s="92">
        <f t="shared" si="205"/>
        <v>-125963.78428328771</v>
      </c>
      <c r="M136" s="92">
        <f t="shared" si="205"/>
        <v>-167475.3604232877</v>
      </c>
      <c r="N136" s="92">
        <f t="shared" ref="N136:R136" si="206">N138*N137</f>
        <v>-204889.62630437021</v>
      </c>
      <c r="O136" s="92">
        <f t="shared" si="206"/>
        <v>-231656.37729207022</v>
      </c>
      <c r="P136" s="92">
        <f t="shared" si="206"/>
        <v>-260429.32204177827</v>
      </c>
      <c r="Q136" s="92">
        <f t="shared" si="206"/>
        <v>-290858.16847938992</v>
      </c>
      <c r="R136" s="92">
        <f t="shared" si="206"/>
        <v>-323054.01930074493</v>
      </c>
      <c r="S136" s="92">
        <f>S138*S137</f>
        <v>-357075.64950888202</v>
      </c>
      <c r="T136" s="92">
        <f t="shared" ref="T136:V136" si="207">T138*T137</f>
        <v>-393367.78863513295</v>
      </c>
      <c r="U136" s="92">
        <f t="shared" si="207"/>
        <v>-431872.00981846766</v>
      </c>
      <c r="V136" s="92">
        <f t="shared" si="207"/>
        <v>-472746.73084432457</v>
      </c>
      <c r="W136" s="491"/>
      <c r="X136" s="492"/>
    </row>
    <row r="137" spans="5:24" ht="30" customHeight="1" x14ac:dyDescent="0.3">
      <c r="E137" s="123" t="s">
        <v>247</v>
      </c>
      <c r="F137" s="124">
        <f t="shared" ref="F137:V137" si="208">F18+F19</f>
        <v>2120967</v>
      </c>
      <c r="G137" s="124">
        <f t="shared" si="208"/>
        <v>2715153</v>
      </c>
      <c r="H137" s="124">
        <f t="shared" si="208"/>
        <v>4011720</v>
      </c>
      <c r="I137" s="124">
        <f t="shared" si="208"/>
        <v>3921937</v>
      </c>
      <c r="J137" s="124">
        <f t="shared" ref="J137:M137" si="209">J18+J19</f>
        <v>798777.01229999983</v>
      </c>
      <c r="K137" s="124">
        <f t="shared" si="209"/>
        <v>798777.01229999983</v>
      </c>
      <c r="L137" s="92">
        <f t="shared" si="209"/>
        <v>3389517.7678373381</v>
      </c>
      <c r="M137" s="92">
        <f t="shared" si="209"/>
        <v>4188294.7801373391</v>
      </c>
      <c r="N137" s="92">
        <f t="shared" si="208"/>
        <v>5006040.5170630347</v>
      </c>
      <c r="O137" s="92">
        <f t="shared" si="208"/>
        <v>5532696.0951215727</v>
      </c>
      <c r="P137" s="92">
        <f t="shared" si="208"/>
        <v>6083036.9755839873</v>
      </c>
      <c r="Q137" s="92">
        <f t="shared" si="208"/>
        <v>6647527.5693222359</v>
      </c>
      <c r="R137" s="92">
        <f t="shared" si="208"/>
        <v>7227759.0062720133</v>
      </c>
      <c r="S137" s="92">
        <f t="shared" si="208"/>
        <v>7824044.4800240947</v>
      </c>
      <c r="T137" s="92">
        <f t="shared" si="208"/>
        <v>8444957.6575315557</v>
      </c>
      <c r="U137" s="92">
        <f t="shared" si="208"/>
        <v>9087804.6103557795</v>
      </c>
      <c r="V137" s="92">
        <f t="shared" si="208"/>
        <v>9754575.1831941977</v>
      </c>
      <c r="W137" s="491"/>
      <c r="X137" s="492"/>
    </row>
    <row r="138" spans="5:24" ht="30" customHeight="1" thickBot="1" x14ac:dyDescent="0.35">
      <c r="E138" s="125" t="s">
        <v>248</v>
      </c>
      <c r="F138" s="126">
        <f>F136/F137</f>
        <v>-5.4417631203125746E-2</v>
      </c>
      <c r="G138" s="126">
        <f t="shared" ref="G138:H138" si="210">G136/G137</f>
        <v>-5.1366166105556485E-2</v>
      </c>
      <c r="H138" s="126">
        <f t="shared" si="210"/>
        <v>-4.4549220783105498E-2</v>
      </c>
      <c r="I138" s="126">
        <f>I136/I137</f>
        <v>-4.3523391630207214E-2</v>
      </c>
      <c r="J138" s="126">
        <f t="shared" ref="J138:M138" si="211">J136/J137</f>
        <v>-5.1968916857624003E-2</v>
      </c>
      <c r="K138" s="126">
        <f t="shared" si="211"/>
        <v>-5.1968916857624003E-2</v>
      </c>
      <c r="L138" s="127">
        <f t="shared" si="211"/>
        <v>-3.7162744942227627E-2</v>
      </c>
      <c r="M138" s="127">
        <f t="shared" si="211"/>
        <v>-3.998652654954625E-2</v>
      </c>
      <c r="N138" s="127">
        <f>M138+(($V138-$M138)/9)</f>
        <v>-4.0928479425207637E-2</v>
      </c>
      <c r="O138" s="127">
        <f t="shared" ref="O138:U138" si="212">N138+(($V138-$M138)/9)</f>
        <v>-4.1870432300869023E-2</v>
      </c>
      <c r="P138" s="127">
        <f t="shared" si="212"/>
        <v>-4.281238517653041E-2</v>
      </c>
      <c r="Q138" s="127">
        <f t="shared" si="212"/>
        <v>-4.3754338052191796E-2</v>
      </c>
      <c r="R138" s="127">
        <f t="shared" si="212"/>
        <v>-4.4696290927853183E-2</v>
      </c>
      <c r="S138" s="127">
        <f t="shared" si="212"/>
        <v>-4.5638243803514569E-2</v>
      </c>
      <c r="T138" s="127">
        <f t="shared" si="212"/>
        <v>-4.6580196679175956E-2</v>
      </c>
      <c r="U138" s="127">
        <f t="shared" si="212"/>
        <v>-4.7522149554837342E-2</v>
      </c>
      <c r="V138" s="127">
        <f>AVERAGE(F138:I138)</f>
        <v>-4.8464102430498736E-2</v>
      </c>
      <c r="W138" s="493" t="s">
        <v>358</v>
      </c>
      <c r="X138" s="494"/>
    </row>
    <row r="139" spans="5:24" ht="30" customHeight="1" x14ac:dyDescent="0.3"/>
    <row r="140" spans="5:24" ht="30" customHeight="1" x14ac:dyDescent="0.3"/>
    <row r="141" spans="5:24" ht="30" customHeight="1" thickBot="1" x14ac:dyDescent="0.35">
      <c r="E141"/>
      <c r="F141"/>
      <c r="G141"/>
      <c r="H141"/>
      <c r="I141"/>
      <c r="J141"/>
      <c r="K141"/>
      <c r="L141"/>
      <c r="M141"/>
      <c r="N141"/>
      <c r="O141"/>
      <c r="P141"/>
      <c r="Q141"/>
      <c r="R141"/>
      <c r="S141"/>
      <c r="T141"/>
      <c r="U141"/>
      <c r="V141"/>
      <c r="W141"/>
      <c r="X141"/>
    </row>
    <row r="142" spans="5:24" ht="30" customHeight="1" x14ac:dyDescent="0.3">
      <c r="E142" s="86" t="s">
        <v>140</v>
      </c>
      <c r="F142" s="87">
        <f t="shared" ref="F142:V142" si="213">F$10</f>
        <v>2020</v>
      </c>
      <c r="G142" s="87">
        <f t="shared" si="213"/>
        <v>2021</v>
      </c>
      <c r="H142" s="87">
        <f t="shared" si="213"/>
        <v>2022</v>
      </c>
      <c r="I142" s="88">
        <f t="shared" si="213"/>
        <v>2023</v>
      </c>
      <c r="J142" s="88" t="str">
        <f t="shared" si="213"/>
        <v>1T24</v>
      </c>
      <c r="K142" s="88" t="str">
        <f t="shared" si="213"/>
        <v>YTD24</v>
      </c>
      <c r="L142" s="89" t="str">
        <f t="shared" si="213"/>
        <v>YTG24</v>
      </c>
      <c r="M142" s="89">
        <f t="shared" si="213"/>
        <v>2024</v>
      </c>
      <c r="N142" s="89">
        <f t="shared" si="213"/>
        <v>2025</v>
      </c>
      <c r="O142" s="89">
        <f t="shared" si="213"/>
        <v>2026</v>
      </c>
      <c r="P142" s="89">
        <f t="shared" si="213"/>
        <v>2027</v>
      </c>
      <c r="Q142" s="89">
        <f t="shared" si="213"/>
        <v>2028</v>
      </c>
      <c r="R142" s="89">
        <f t="shared" si="213"/>
        <v>2029</v>
      </c>
      <c r="S142" s="89">
        <f t="shared" si="213"/>
        <v>2030</v>
      </c>
      <c r="T142" s="89">
        <f t="shared" si="213"/>
        <v>2031</v>
      </c>
      <c r="U142" s="89">
        <f t="shared" si="213"/>
        <v>2032</v>
      </c>
      <c r="V142" s="89">
        <f t="shared" si="213"/>
        <v>2033</v>
      </c>
      <c r="W142" s="489" t="s">
        <v>125</v>
      </c>
      <c r="X142" s="490"/>
    </row>
    <row r="143" spans="5:24" ht="30" customHeight="1" x14ac:dyDescent="0.3">
      <c r="E143" s="123" t="s">
        <v>163</v>
      </c>
      <c r="F143" s="124">
        <f>F55</f>
        <v>-50726</v>
      </c>
      <c r="G143" s="124">
        <f>G55</f>
        <v>-72604</v>
      </c>
      <c r="H143" s="124">
        <f>H55</f>
        <v>-137168</v>
      </c>
      <c r="I143" s="124">
        <f>I55</f>
        <v>-403287</v>
      </c>
      <c r="J143" s="124">
        <f t="shared" ref="J143:L143" si="214">J55</f>
        <v>-44510.629890000004</v>
      </c>
      <c r="K143" s="124">
        <f t="shared" si="214"/>
        <v>-44510.629890000004</v>
      </c>
      <c r="L143" s="92">
        <f t="shared" si="214"/>
        <v>-194817.65067976672</v>
      </c>
      <c r="M143" s="92">
        <f>M55</f>
        <v>-239328.28056976674</v>
      </c>
      <c r="N143" s="92">
        <f t="shared" ref="N143:R143" si="215">N145*N144</f>
        <v>-259693.90221659985</v>
      </c>
      <c r="O143" s="92">
        <f t="shared" si="215"/>
        <v>-279775.04964184802</v>
      </c>
      <c r="P143" s="92">
        <f t="shared" si="215"/>
        <v>-301710.62461772287</v>
      </c>
      <c r="Q143" s="92">
        <f t="shared" si="215"/>
        <v>-325459.77893092338</v>
      </c>
      <c r="R143" s="92">
        <f t="shared" si="215"/>
        <v>-351041.50494535617</v>
      </c>
      <c r="S143" s="92">
        <f>S145*S144</f>
        <v>-378659.80992855696</v>
      </c>
      <c r="T143" s="92">
        <f t="shared" ref="T143:V143" si="216">T145*T144</f>
        <v>-408346.3789703229</v>
      </c>
      <c r="U143" s="92">
        <f t="shared" si="216"/>
        <v>-440109.67867928313</v>
      </c>
      <c r="V143" s="92">
        <f t="shared" si="216"/>
        <v>-474122.0051725579</v>
      </c>
      <c r="W143" s="491"/>
      <c r="X143" s="492"/>
    </row>
    <row r="144" spans="5:24" ht="30" customHeight="1" x14ac:dyDescent="0.3">
      <c r="E144" s="123" t="s">
        <v>249</v>
      </c>
      <c r="F144" s="124">
        <f t="shared" ref="F144:V144" si="217">SUM(F49,F51,F53)</f>
        <v>-986343</v>
      </c>
      <c r="G144" s="124">
        <f t="shared" si="217"/>
        <v>-1020144</v>
      </c>
      <c r="H144" s="124">
        <f t="shared" si="217"/>
        <v>-1155320</v>
      </c>
      <c r="I144" s="124">
        <f t="shared" si="217"/>
        <v>-1245833</v>
      </c>
      <c r="J144" s="124">
        <f t="shared" ref="J144:M144" si="218">SUM(J49,J51,J53)</f>
        <v>-312181.26351000002</v>
      </c>
      <c r="K144" s="124">
        <f t="shared" si="218"/>
        <v>-312181.26351000002</v>
      </c>
      <c r="L144" s="92">
        <f t="shared" si="218"/>
        <v>-1015506.8624359862</v>
      </c>
      <c r="M144" s="92">
        <f t="shared" si="218"/>
        <v>-1327688.125945986</v>
      </c>
      <c r="N144" s="92">
        <f t="shared" si="217"/>
        <v>-1440667.6450134229</v>
      </c>
      <c r="O144" s="92">
        <f t="shared" si="217"/>
        <v>-1552069.0261138931</v>
      </c>
      <c r="P144" s="92">
        <f t="shared" si="217"/>
        <v>-1673757.9563227787</v>
      </c>
      <c r="Q144" s="92">
        <f t="shared" si="217"/>
        <v>-1805507.8277037477</v>
      </c>
      <c r="R144" s="92">
        <f t="shared" si="217"/>
        <v>-1947424.0015454134</v>
      </c>
      <c r="S144" s="92">
        <f t="shared" si="217"/>
        <v>-2100638.2205154998</v>
      </c>
      <c r="T144" s="92">
        <f t="shared" si="217"/>
        <v>-2265326.2595679453</v>
      </c>
      <c r="U144" s="92">
        <f t="shared" si="217"/>
        <v>-2441535.0877267076</v>
      </c>
      <c r="V144" s="92">
        <f t="shared" si="217"/>
        <v>-2630220.5281327153</v>
      </c>
      <c r="W144" s="491"/>
      <c r="X144" s="492"/>
    </row>
    <row r="145" spans="5:24" ht="30" customHeight="1" thickBot="1" x14ac:dyDescent="0.35">
      <c r="E145" s="125" t="s">
        <v>250</v>
      </c>
      <c r="F145" s="126">
        <f>F143/F144</f>
        <v>5.1428357072539677E-2</v>
      </c>
      <c r="G145" s="126">
        <f t="shared" ref="G145:I145" si="219">G143/G144</f>
        <v>7.1170344578804556E-2</v>
      </c>
      <c r="H145" s="126">
        <f t="shared" si="219"/>
        <v>0.11872727902226222</v>
      </c>
      <c r="I145" s="126">
        <f t="shared" si="219"/>
        <v>0.32370871537356932</v>
      </c>
      <c r="J145" s="126">
        <f t="shared" ref="J145:M145" si="220">J143/J144</f>
        <v>0.14257944051332921</v>
      </c>
      <c r="K145" s="126">
        <f t="shared" si="220"/>
        <v>0.14257944051332921</v>
      </c>
      <c r="L145" s="127">
        <f t="shared" si="220"/>
        <v>0.19184277121716381</v>
      </c>
      <c r="M145" s="127">
        <f t="shared" si="220"/>
        <v>0.18025941174946025</v>
      </c>
      <c r="N145" s="127">
        <f>M145</f>
        <v>0.18025941174946025</v>
      </c>
      <c r="O145" s="127">
        <f t="shared" ref="O145:V145" si="221">N145</f>
        <v>0.18025941174946025</v>
      </c>
      <c r="P145" s="127">
        <f t="shared" si="221"/>
        <v>0.18025941174946025</v>
      </c>
      <c r="Q145" s="127">
        <f t="shared" si="221"/>
        <v>0.18025941174946025</v>
      </c>
      <c r="R145" s="127">
        <f t="shared" si="221"/>
        <v>0.18025941174946025</v>
      </c>
      <c r="S145" s="127">
        <f t="shared" si="221"/>
        <v>0.18025941174946025</v>
      </c>
      <c r="T145" s="127">
        <f t="shared" si="221"/>
        <v>0.18025941174946025</v>
      </c>
      <c r="U145" s="127">
        <f t="shared" si="221"/>
        <v>0.18025941174946025</v>
      </c>
      <c r="V145" s="127">
        <f t="shared" si="221"/>
        <v>0.18025941174946025</v>
      </c>
      <c r="W145" s="493" t="s">
        <v>424</v>
      </c>
      <c r="X145" s="494"/>
    </row>
    <row r="146" spans="5:24" ht="30" customHeight="1" x14ac:dyDescent="0.3"/>
    <row r="147" spans="5:24" ht="30" customHeight="1" x14ac:dyDescent="0.3"/>
    <row r="148" spans="5:24" ht="30" customHeight="1" thickBot="1" x14ac:dyDescent="0.35">
      <c r="E148"/>
      <c r="F148"/>
      <c r="G148"/>
      <c r="H148"/>
      <c r="I148"/>
      <c r="J148"/>
      <c r="K148"/>
      <c r="L148"/>
      <c r="M148"/>
      <c r="N148"/>
      <c r="O148"/>
      <c r="P148"/>
      <c r="Q148"/>
      <c r="R148"/>
      <c r="S148"/>
      <c r="T148"/>
      <c r="U148"/>
      <c r="V148"/>
      <c r="W148"/>
      <c r="X148"/>
    </row>
    <row r="149" spans="5:24" ht="30" customHeight="1" x14ac:dyDescent="0.3">
      <c r="E149" s="86" t="s">
        <v>140</v>
      </c>
      <c r="F149" s="87">
        <f t="shared" ref="F149:V149" si="222">F$10</f>
        <v>2020</v>
      </c>
      <c r="G149" s="87">
        <f t="shared" si="222"/>
        <v>2021</v>
      </c>
      <c r="H149" s="87">
        <f t="shared" si="222"/>
        <v>2022</v>
      </c>
      <c r="I149" s="88">
        <f t="shared" si="222"/>
        <v>2023</v>
      </c>
      <c r="J149" s="88" t="str">
        <f t="shared" si="222"/>
        <v>1T24</v>
      </c>
      <c r="K149" s="88" t="str">
        <f t="shared" si="222"/>
        <v>YTD24</v>
      </c>
      <c r="L149" s="89" t="str">
        <f t="shared" si="222"/>
        <v>YTG24</v>
      </c>
      <c r="M149" s="89">
        <f t="shared" si="222"/>
        <v>2024</v>
      </c>
      <c r="N149" s="89">
        <f t="shared" si="222"/>
        <v>2025</v>
      </c>
      <c r="O149" s="89">
        <f t="shared" si="222"/>
        <v>2026</v>
      </c>
      <c r="P149" s="89">
        <f t="shared" si="222"/>
        <v>2027</v>
      </c>
      <c r="Q149" s="89">
        <f t="shared" si="222"/>
        <v>2028</v>
      </c>
      <c r="R149" s="89">
        <f t="shared" si="222"/>
        <v>2029</v>
      </c>
      <c r="S149" s="89">
        <f t="shared" si="222"/>
        <v>2030</v>
      </c>
      <c r="T149" s="89">
        <f t="shared" si="222"/>
        <v>2031</v>
      </c>
      <c r="U149" s="89">
        <f t="shared" si="222"/>
        <v>2032</v>
      </c>
      <c r="V149" s="89">
        <f t="shared" si="222"/>
        <v>2033</v>
      </c>
      <c r="W149" s="489" t="s">
        <v>125</v>
      </c>
      <c r="X149" s="490"/>
    </row>
    <row r="150" spans="5:24" ht="30" customHeight="1" x14ac:dyDescent="0.3">
      <c r="E150" s="123" t="s">
        <v>405</v>
      </c>
      <c r="F150" s="124">
        <f>F59</f>
        <v>-375000</v>
      </c>
      <c r="G150" s="124">
        <f>G59</f>
        <v>-152705</v>
      </c>
      <c r="H150" s="124">
        <f>H59</f>
        <v>-309744</v>
      </c>
      <c r="I150" s="124">
        <f>I59</f>
        <v>-256106</v>
      </c>
      <c r="J150" s="124">
        <f t="shared" ref="J150:M150" si="223">J59</f>
        <v>-98635.402260000003</v>
      </c>
      <c r="K150" s="124">
        <f t="shared" si="223"/>
        <v>-98635.402260000003</v>
      </c>
      <c r="L150" s="92">
        <f t="shared" si="223"/>
        <v>-234646.29506437431</v>
      </c>
      <c r="M150" s="92">
        <f t="shared" si="223"/>
        <v>-333281.69732437434</v>
      </c>
      <c r="N150" s="92">
        <f t="shared" ref="N150:V150" si="224">N151*N152</f>
        <v>-405671.29503612552</v>
      </c>
      <c r="O150" s="92">
        <f t="shared" si="224"/>
        <v>-480226.01278168877</v>
      </c>
      <c r="P150" s="92">
        <f t="shared" si="224"/>
        <v>-562919.07604109449</v>
      </c>
      <c r="Q150" s="92">
        <f t="shared" si="224"/>
        <v>-653350.82063109009</v>
      </c>
      <c r="R150" s="92">
        <f t="shared" si="224"/>
        <v>-751923.4522715034</v>
      </c>
      <c r="S150" s="92">
        <f t="shared" si="224"/>
        <v>-858896.2858702722</v>
      </c>
      <c r="T150" s="92">
        <f t="shared" si="224"/>
        <v>-975491.16246108734</v>
      </c>
      <c r="U150" s="92">
        <f t="shared" si="224"/>
        <v>-1101731.9648757298</v>
      </c>
      <c r="V150" s="92">
        <f t="shared" si="224"/>
        <v>-1238147.3605838905</v>
      </c>
      <c r="W150" s="491"/>
      <c r="X150" s="492"/>
    </row>
    <row r="151" spans="5:24" ht="30" customHeight="1" x14ac:dyDescent="0.3">
      <c r="E151" s="123" t="s">
        <v>228</v>
      </c>
      <c r="F151" s="124">
        <f>'Projeções - NIM'!F185*10^6</f>
        <v>14500000</v>
      </c>
      <c r="G151" s="124">
        <f>'Projeções - NIM'!G185*10^6</f>
        <v>24500000</v>
      </c>
      <c r="H151" s="124">
        <f>'Projeções - NIM'!H185*10^6</f>
        <v>32600000</v>
      </c>
      <c r="I151" s="124">
        <f>'Projeções - NIM'!I185*10^6</f>
        <v>37500000</v>
      </c>
      <c r="J151" s="124">
        <f>'Projeções - NIM'!J185*10^6</f>
        <v>37500000</v>
      </c>
      <c r="K151" s="124">
        <f>'Projeções - NIM'!K185*10^6</f>
        <v>37500000</v>
      </c>
      <c r="L151" s="92">
        <f>'Projeções - NIM'!L185*10^6</f>
        <v>47001290.494597338</v>
      </c>
      <c r="M151" s="92">
        <f>'Projeções - NIM'!M185*10^6</f>
        <v>47001290.494597338</v>
      </c>
      <c r="N151" s="92">
        <f>'Projeções - NIM'!N185*10^6</f>
        <v>53041496.981124073</v>
      </c>
      <c r="O151" s="92">
        <f>'Projeções - NIM'!O185*10^6</f>
        <v>58525114.27578412</v>
      </c>
      <c r="P151" s="92">
        <f>'Projeções - NIM'!P185*10^6</f>
        <v>64239995.04889214</v>
      </c>
      <c r="Q151" s="92">
        <f>'Projeções - NIM'!Q185*10^6</f>
        <v>70101772.534169152</v>
      </c>
      <c r="R151" s="92">
        <f>'Projeções - NIM'!R185*10^6</f>
        <v>76126302.972998276</v>
      </c>
      <c r="S151" s="92">
        <f>'Projeções - NIM'!S185*10^6</f>
        <v>82312361.314259484</v>
      </c>
      <c r="T151" s="92">
        <f>'Projeções - NIM'!T185*10^6</f>
        <v>88746537.971787199</v>
      </c>
      <c r="U151" s="92">
        <f>'Projeções - NIM'!U185*10^6</f>
        <v>95394983.497655287</v>
      </c>
      <c r="V151" s="92">
        <f>'Projeções - NIM'!V185*10^6</f>
        <v>102271776.59342983</v>
      </c>
      <c r="W151" s="491"/>
      <c r="X151" s="492"/>
    </row>
    <row r="152" spans="5:24" ht="30" customHeight="1" thickBot="1" x14ac:dyDescent="0.35">
      <c r="E152" s="125" t="s">
        <v>406</v>
      </c>
      <c r="F152" s="126">
        <f>F150/F151</f>
        <v>-2.5862068965517241E-2</v>
      </c>
      <c r="G152" s="126">
        <f t="shared" ref="G152:I152" si="225">G150/G151</f>
        <v>-6.2328571428571433E-3</v>
      </c>
      <c r="H152" s="126">
        <f t="shared" si="225"/>
        <v>-9.5013496932515335E-3</v>
      </c>
      <c r="I152" s="126">
        <f t="shared" si="225"/>
        <v>-6.829493333333333E-3</v>
      </c>
      <c r="J152" s="126">
        <f t="shared" ref="J152:M152" si="226">J150/J151</f>
        <v>-2.6302773936000001E-3</v>
      </c>
      <c r="K152" s="126">
        <f t="shared" si="226"/>
        <v>-2.6302773936000001E-3</v>
      </c>
      <c r="L152" s="127">
        <f t="shared" si="226"/>
        <v>-4.9923372868101619E-3</v>
      </c>
      <c r="M152" s="127">
        <f t="shared" si="226"/>
        <v>-7.0909052457332868E-3</v>
      </c>
      <c r="N152" s="127">
        <f>M152+(($V152-$M152)/9)</f>
        <v>-7.6481871388451228E-3</v>
      </c>
      <c r="O152" s="127">
        <f t="shared" ref="O152:U152" si="227">N152+(($V152-$M152)/9)</f>
        <v>-8.2054690319569596E-3</v>
      </c>
      <c r="P152" s="127">
        <f t="shared" si="227"/>
        <v>-8.7627509250687956E-3</v>
      </c>
      <c r="Q152" s="127">
        <f t="shared" si="227"/>
        <v>-9.3200328181806315E-3</v>
      </c>
      <c r="R152" s="127">
        <f t="shared" si="227"/>
        <v>-9.8773147112924675E-3</v>
      </c>
      <c r="S152" s="127">
        <f t="shared" si="227"/>
        <v>-1.0434596604404303E-2</v>
      </c>
      <c r="T152" s="127">
        <f t="shared" si="227"/>
        <v>-1.0991878497516139E-2</v>
      </c>
      <c r="U152" s="127">
        <f t="shared" si="227"/>
        <v>-1.1549160390627975E-2</v>
      </c>
      <c r="V152" s="127">
        <f>AVERAGE(F152:I152)</f>
        <v>-1.2106442283739811E-2</v>
      </c>
      <c r="W152" s="493" t="s">
        <v>359</v>
      </c>
      <c r="X152" s="494"/>
    </row>
    <row r="153" spans="5:24" ht="30" customHeight="1" x14ac:dyDescent="0.3"/>
    <row r="154" spans="5:24" ht="30" customHeight="1" x14ac:dyDescent="0.3"/>
    <row r="155" spans="5:24" ht="30" customHeight="1" thickBot="1" x14ac:dyDescent="0.35">
      <c r="E155"/>
      <c r="F155"/>
      <c r="G155"/>
      <c r="H155"/>
      <c r="I155"/>
      <c r="J155"/>
      <c r="K155"/>
      <c r="L155"/>
      <c r="M155"/>
      <c r="N155"/>
      <c r="O155"/>
      <c r="P155"/>
      <c r="Q155"/>
      <c r="R155"/>
      <c r="S155"/>
      <c r="T155"/>
      <c r="U155"/>
      <c r="V155"/>
      <c r="W155"/>
      <c r="X155"/>
    </row>
    <row r="156" spans="5:24" ht="30" customHeight="1" x14ac:dyDescent="0.3">
      <c r="E156" s="86" t="s">
        <v>140</v>
      </c>
      <c r="F156" s="87">
        <f t="shared" ref="F156:V156" si="228">F$10</f>
        <v>2020</v>
      </c>
      <c r="G156" s="87">
        <f t="shared" si="228"/>
        <v>2021</v>
      </c>
      <c r="H156" s="87">
        <f t="shared" si="228"/>
        <v>2022</v>
      </c>
      <c r="I156" s="88">
        <f t="shared" si="228"/>
        <v>2023</v>
      </c>
      <c r="J156" s="88" t="str">
        <f t="shared" si="228"/>
        <v>1T24</v>
      </c>
      <c r="K156" s="88" t="str">
        <f t="shared" si="228"/>
        <v>YTD24</v>
      </c>
      <c r="L156" s="89" t="str">
        <f t="shared" si="228"/>
        <v>YTG24</v>
      </c>
      <c r="M156" s="89">
        <f t="shared" si="228"/>
        <v>2024</v>
      </c>
      <c r="N156" s="89">
        <f t="shared" si="228"/>
        <v>2025</v>
      </c>
      <c r="O156" s="89">
        <f t="shared" si="228"/>
        <v>2026</v>
      </c>
      <c r="P156" s="89">
        <f t="shared" si="228"/>
        <v>2027</v>
      </c>
      <c r="Q156" s="89">
        <f t="shared" si="228"/>
        <v>2028</v>
      </c>
      <c r="R156" s="89">
        <f t="shared" si="228"/>
        <v>2029</v>
      </c>
      <c r="S156" s="89">
        <f t="shared" si="228"/>
        <v>2030</v>
      </c>
      <c r="T156" s="89">
        <f t="shared" si="228"/>
        <v>2031</v>
      </c>
      <c r="U156" s="89">
        <f t="shared" si="228"/>
        <v>2032</v>
      </c>
      <c r="V156" s="89">
        <f t="shared" si="228"/>
        <v>2033</v>
      </c>
      <c r="W156" s="489" t="s">
        <v>125</v>
      </c>
      <c r="X156" s="490"/>
    </row>
    <row r="157" spans="5:24" ht="30" customHeight="1" x14ac:dyDescent="0.3">
      <c r="E157" s="123" t="s">
        <v>247</v>
      </c>
      <c r="F157" s="124">
        <f>SUM(F158,F159)</f>
        <v>2120967</v>
      </c>
      <c r="G157" s="124">
        <f t="shared" ref="G157:I157" si="229">SUM(G158,G159)</f>
        <v>2715153</v>
      </c>
      <c r="H157" s="124">
        <f t="shared" si="229"/>
        <v>4011720</v>
      </c>
      <c r="I157" s="124">
        <f t="shared" si="229"/>
        <v>3921937</v>
      </c>
      <c r="J157" s="124">
        <f t="shared" ref="J157:M157" si="230">SUM(J158,J159)</f>
        <v>798777.01229999983</v>
      </c>
      <c r="K157" s="124">
        <f t="shared" si="230"/>
        <v>798777.01229999983</v>
      </c>
      <c r="L157" s="92">
        <f t="shared" si="230"/>
        <v>3389517.7678373381</v>
      </c>
      <c r="M157" s="92">
        <f t="shared" si="230"/>
        <v>4188294.7801373391</v>
      </c>
      <c r="N157" s="92">
        <f t="shared" ref="N157:V157" si="231">SUM(N158,N159)</f>
        <v>5006040.5170630347</v>
      </c>
      <c r="O157" s="92">
        <f t="shared" si="231"/>
        <v>5532696.0951215727</v>
      </c>
      <c r="P157" s="92">
        <f t="shared" si="231"/>
        <v>6083036.9755839873</v>
      </c>
      <c r="Q157" s="92">
        <f t="shared" si="231"/>
        <v>6647527.5693222359</v>
      </c>
      <c r="R157" s="92">
        <f t="shared" si="231"/>
        <v>7227759.0062720133</v>
      </c>
      <c r="S157" s="92">
        <f t="shared" si="231"/>
        <v>7824044.4800240947</v>
      </c>
      <c r="T157" s="92">
        <f t="shared" si="231"/>
        <v>8444957.6575315557</v>
      </c>
      <c r="U157" s="92">
        <f t="shared" si="231"/>
        <v>9087804.6103557795</v>
      </c>
      <c r="V157" s="92">
        <f t="shared" si="231"/>
        <v>9754575.1831941977</v>
      </c>
      <c r="W157" s="491"/>
      <c r="X157" s="492"/>
    </row>
    <row r="158" spans="5:24" ht="30" customHeight="1" x14ac:dyDescent="0.3">
      <c r="E158" s="107" t="s">
        <v>141</v>
      </c>
      <c r="F158" s="124">
        <f t="shared" ref="F158:V158" si="232">F18</f>
        <v>360543</v>
      </c>
      <c r="G158" s="124">
        <f t="shared" si="232"/>
        <v>517628</v>
      </c>
      <c r="H158" s="124">
        <f t="shared" si="232"/>
        <v>1061209</v>
      </c>
      <c r="I158" s="124">
        <f t="shared" si="232"/>
        <v>1068160</v>
      </c>
      <c r="J158" s="124">
        <f t="shared" ref="J158:M158" si="233">J18</f>
        <v>90674.551939999859</v>
      </c>
      <c r="K158" s="124">
        <f t="shared" si="233"/>
        <v>90674.551939999859</v>
      </c>
      <c r="L158" s="92">
        <f t="shared" si="233"/>
        <v>1087904.1930556961</v>
      </c>
      <c r="M158" s="92">
        <f t="shared" si="233"/>
        <v>1178578.744995696</v>
      </c>
      <c r="N158" s="92">
        <f t="shared" si="232"/>
        <v>1626399.6438483205</v>
      </c>
      <c r="O158" s="92">
        <f t="shared" si="232"/>
        <v>1782732.638073737</v>
      </c>
      <c r="P158" s="92">
        <f t="shared" si="232"/>
        <v>1942386.9139675261</v>
      </c>
      <c r="Q158" s="92">
        <f t="shared" si="232"/>
        <v>2100953.4827335533</v>
      </c>
      <c r="R158" s="92">
        <f t="shared" si="232"/>
        <v>2258791.2916548867</v>
      </c>
      <c r="S158" s="92">
        <f t="shared" si="232"/>
        <v>2416050.6703922311</v>
      </c>
      <c r="T158" s="92">
        <f t="shared" si="232"/>
        <v>2575362.442082203</v>
      </c>
      <c r="U158" s="92">
        <f t="shared" si="232"/>
        <v>2735913.2465448482</v>
      </c>
      <c r="V158" s="92">
        <f t="shared" si="232"/>
        <v>2898419.410743488</v>
      </c>
      <c r="W158" s="491"/>
      <c r="X158" s="492"/>
    </row>
    <row r="159" spans="5:24" ht="30" customHeight="1" x14ac:dyDescent="0.3">
      <c r="E159" s="107" t="s">
        <v>130</v>
      </c>
      <c r="F159" s="124">
        <f t="shared" ref="F159:V159" si="234">F19</f>
        <v>1760424</v>
      </c>
      <c r="G159" s="124">
        <f t="shared" si="234"/>
        <v>2197525</v>
      </c>
      <c r="H159" s="124">
        <f t="shared" si="234"/>
        <v>2950511</v>
      </c>
      <c r="I159" s="124">
        <f t="shared" si="234"/>
        <v>2853777</v>
      </c>
      <c r="J159" s="124">
        <f t="shared" ref="J159:M159" si="235">J19</f>
        <v>708102.46036000003</v>
      </c>
      <c r="K159" s="124">
        <f t="shared" si="235"/>
        <v>708102.46036000003</v>
      </c>
      <c r="L159" s="92">
        <f t="shared" si="235"/>
        <v>2301613.5747816423</v>
      </c>
      <c r="M159" s="92">
        <f t="shared" si="235"/>
        <v>3009716.0351416431</v>
      </c>
      <c r="N159" s="92">
        <f t="shared" si="234"/>
        <v>3379640.8732147138</v>
      </c>
      <c r="O159" s="92">
        <f t="shared" si="234"/>
        <v>3749963.4570478359</v>
      </c>
      <c r="P159" s="92">
        <f t="shared" si="234"/>
        <v>4140650.0616164608</v>
      </c>
      <c r="Q159" s="92">
        <f t="shared" si="234"/>
        <v>4546574.0865886826</v>
      </c>
      <c r="R159" s="92">
        <f t="shared" si="234"/>
        <v>4968967.7146171266</v>
      </c>
      <c r="S159" s="92">
        <f t="shared" si="234"/>
        <v>5407993.8096318636</v>
      </c>
      <c r="T159" s="92">
        <f t="shared" si="234"/>
        <v>5869595.2154493527</v>
      </c>
      <c r="U159" s="92">
        <f t="shared" si="234"/>
        <v>6351891.3638109323</v>
      </c>
      <c r="V159" s="92">
        <f t="shared" si="234"/>
        <v>6856155.7724507088</v>
      </c>
      <c r="W159" s="491"/>
      <c r="X159" s="492"/>
    </row>
    <row r="160" spans="5:24" ht="30" customHeight="1" x14ac:dyDescent="0.3">
      <c r="E160" s="123" t="s">
        <v>254</v>
      </c>
      <c r="F160" s="124">
        <f>SUM(F161:F162)</f>
        <v>-1716904</v>
      </c>
      <c r="G160" s="124">
        <f t="shared" ref="G160:I160" si="236">SUM(G161:G162)</f>
        <v>-1588674</v>
      </c>
      <c r="H160" s="124">
        <f t="shared" si="236"/>
        <v>-2061093</v>
      </c>
      <c r="I160" s="124">
        <f t="shared" si="236"/>
        <v>-2280864</v>
      </c>
      <c r="J160" s="124">
        <f t="shared" ref="J160:M160" si="237">SUM(J161:J162)</f>
        <v>-536873.81672</v>
      </c>
      <c r="K160" s="124">
        <f t="shared" si="237"/>
        <v>-536873.81672</v>
      </c>
      <c r="L160" s="92">
        <f t="shared" si="237"/>
        <v>-1732522.0424444897</v>
      </c>
      <c r="M160" s="92">
        <f t="shared" si="237"/>
        <v>-2269395.8591644894</v>
      </c>
      <c r="N160" s="92">
        <f t="shared" ref="N160:V160" si="238">SUM(N161:N162)</f>
        <v>-2489385.1529011377</v>
      </c>
      <c r="O160" s="92">
        <f t="shared" si="238"/>
        <v>-2712174.8951471685</v>
      </c>
      <c r="P160" s="92">
        <f t="shared" si="238"/>
        <v>-2957157.3528196788</v>
      </c>
      <c r="Q160" s="92">
        <f t="shared" si="238"/>
        <v>-3223519.8965637838</v>
      </c>
      <c r="R160" s="92">
        <f t="shared" si="238"/>
        <v>-3511590.0296574337</v>
      </c>
      <c r="S160" s="92">
        <f t="shared" si="238"/>
        <v>-3823230.2585533513</v>
      </c>
      <c r="T160" s="92">
        <f t="shared" si="238"/>
        <v>-4159547.7215797901</v>
      </c>
      <c r="U160" s="92">
        <f t="shared" si="238"/>
        <v>-4520469.0424261279</v>
      </c>
      <c r="V160" s="92">
        <f t="shared" si="238"/>
        <v>-4907779.5513686538</v>
      </c>
      <c r="W160" s="491"/>
      <c r="X160" s="492"/>
    </row>
    <row r="161" spans="5:24" ht="30" customHeight="1" x14ac:dyDescent="0.3">
      <c r="E161" s="107" t="s">
        <v>161</v>
      </c>
      <c r="F161" s="124">
        <f t="shared" ref="F161:V161" si="239">F47</f>
        <v>-1037069</v>
      </c>
      <c r="G161" s="124">
        <f t="shared" si="239"/>
        <v>-1092748</v>
      </c>
      <c r="H161" s="124">
        <f t="shared" si="239"/>
        <v>-1292488</v>
      </c>
      <c r="I161" s="124">
        <f t="shared" si="239"/>
        <v>-1649120</v>
      </c>
      <c r="J161" s="124">
        <f t="shared" ref="J161:M161" si="240">J47</f>
        <v>-356691.8934</v>
      </c>
      <c r="K161" s="124">
        <f t="shared" si="240"/>
        <v>-356691.8934</v>
      </c>
      <c r="L161" s="92">
        <f t="shared" si="240"/>
        <v>-1210324.513115753</v>
      </c>
      <c r="M161" s="92">
        <f t="shared" si="240"/>
        <v>-1567016.4065157527</v>
      </c>
      <c r="N161" s="92">
        <f t="shared" si="239"/>
        <v>-1700361.5472300227</v>
      </c>
      <c r="O161" s="92">
        <f t="shared" si="239"/>
        <v>-1831844.0757557412</v>
      </c>
      <c r="P161" s="92">
        <f t="shared" si="239"/>
        <v>-1975468.5809405015</v>
      </c>
      <c r="Q161" s="92">
        <f t="shared" si="239"/>
        <v>-2130967.6066346709</v>
      </c>
      <c r="R161" s="92">
        <f t="shared" si="239"/>
        <v>-2298465.5064907698</v>
      </c>
      <c r="S161" s="92">
        <f t="shared" si="239"/>
        <v>-2479298.0304440567</v>
      </c>
      <c r="T161" s="92">
        <f t="shared" si="239"/>
        <v>-2673672.6385382684</v>
      </c>
      <c r="U161" s="92">
        <f t="shared" si="239"/>
        <v>-2881644.7664059908</v>
      </c>
      <c r="V161" s="92">
        <f t="shared" si="239"/>
        <v>-3104342.5333052734</v>
      </c>
      <c r="W161" s="491"/>
      <c r="X161" s="492"/>
    </row>
    <row r="162" spans="5:24" ht="30" customHeight="1" x14ac:dyDescent="0.3">
      <c r="E162" s="107" t="s">
        <v>164</v>
      </c>
      <c r="F162" s="124">
        <f t="shared" ref="F162:V162" si="241">F57</f>
        <v>-679835</v>
      </c>
      <c r="G162" s="124">
        <f t="shared" si="241"/>
        <v>-495926</v>
      </c>
      <c r="H162" s="124">
        <f t="shared" si="241"/>
        <v>-768605</v>
      </c>
      <c r="I162" s="124">
        <f t="shared" si="241"/>
        <v>-631744</v>
      </c>
      <c r="J162" s="124">
        <f t="shared" ref="J162:M162" si="242">J57</f>
        <v>-180181.92332</v>
      </c>
      <c r="K162" s="124">
        <f t="shared" si="242"/>
        <v>-180181.92332</v>
      </c>
      <c r="L162" s="92">
        <f t="shared" si="242"/>
        <v>-522197.52932873677</v>
      </c>
      <c r="M162" s="92">
        <f t="shared" si="242"/>
        <v>-702379.45264873677</v>
      </c>
      <c r="N162" s="92">
        <f t="shared" si="241"/>
        <v>-789023.60567111499</v>
      </c>
      <c r="O162" s="92">
        <f t="shared" si="241"/>
        <v>-880330.81939142721</v>
      </c>
      <c r="P162" s="92">
        <f t="shared" si="241"/>
        <v>-981688.77187917719</v>
      </c>
      <c r="Q162" s="92">
        <f t="shared" si="241"/>
        <v>-1092552.2899291129</v>
      </c>
      <c r="R162" s="92">
        <f t="shared" si="241"/>
        <v>-1213124.5231666642</v>
      </c>
      <c r="S162" s="92">
        <f t="shared" si="241"/>
        <v>-1343932.2281092945</v>
      </c>
      <c r="T162" s="92">
        <f t="shared" si="241"/>
        <v>-1485875.0830415215</v>
      </c>
      <c r="U162" s="92">
        <f t="shared" si="241"/>
        <v>-1638824.2760201376</v>
      </c>
      <c r="V162" s="92">
        <f t="shared" si="241"/>
        <v>-1803437.0180633799</v>
      </c>
      <c r="W162" s="491"/>
      <c r="X162" s="492"/>
    </row>
    <row r="163" spans="5:24" ht="30" customHeight="1" thickBot="1" x14ac:dyDescent="0.35">
      <c r="E163" s="252" t="s">
        <v>255</v>
      </c>
      <c r="F163" s="267">
        <f>F160/F157</f>
        <v>-0.80949114248359355</v>
      </c>
      <c r="G163" s="267">
        <f t="shared" ref="G163:V163" si="243">G160/G157</f>
        <v>-0.58511398805150205</v>
      </c>
      <c r="H163" s="267">
        <f t="shared" si="243"/>
        <v>-0.51376791002363076</v>
      </c>
      <c r="I163" s="267">
        <f t="shared" si="243"/>
        <v>-0.58156569062685093</v>
      </c>
      <c r="J163" s="267">
        <f t="shared" ref="J163:M163" si="244">J160/J157</f>
        <v>-0.67211976365484616</v>
      </c>
      <c r="K163" s="267">
        <f t="shared" si="244"/>
        <v>-0.67211976365484616</v>
      </c>
      <c r="L163" s="268">
        <f t="shared" si="244"/>
        <v>-0.51114115963165907</v>
      </c>
      <c r="M163" s="268">
        <f t="shared" si="244"/>
        <v>-0.54184243905823493</v>
      </c>
      <c r="N163" s="268">
        <f t="shared" si="243"/>
        <v>-0.49727626942213021</v>
      </c>
      <c r="O163" s="268">
        <f t="shared" si="243"/>
        <v>-0.49020854363184979</v>
      </c>
      <c r="P163" s="268">
        <f t="shared" si="243"/>
        <v>-0.48613174055805969</v>
      </c>
      <c r="Q163" s="268">
        <f t="shared" si="243"/>
        <v>-0.48492012450464272</v>
      </c>
      <c r="R163" s="268">
        <f t="shared" si="243"/>
        <v>-0.4858476917409934</v>
      </c>
      <c r="S163" s="268">
        <f t="shared" si="243"/>
        <v>-0.48865139613081254</v>
      </c>
      <c r="T163" s="268">
        <f t="shared" si="243"/>
        <v>-0.49254808493564639</v>
      </c>
      <c r="U163" s="268">
        <f t="shared" si="243"/>
        <v>-0.49742146054449071</v>
      </c>
      <c r="V163" s="268">
        <f t="shared" si="243"/>
        <v>-0.50312591365578774</v>
      </c>
      <c r="W163" s="493"/>
      <c r="X163" s="494"/>
    </row>
    <row r="164" spans="5:24" ht="30" customHeight="1" x14ac:dyDescent="0.3"/>
    <row r="165" spans="5:24" ht="30" customHeight="1" x14ac:dyDescent="0.3"/>
    <row r="166" spans="5:24" ht="30" customHeight="1" thickBot="1" x14ac:dyDescent="0.35">
      <c r="E166"/>
      <c r="F166"/>
      <c r="G166"/>
      <c r="H166"/>
      <c r="I166"/>
      <c r="J166"/>
      <c r="K166"/>
      <c r="L166"/>
      <c r="M166"/>
      <c r="N166"/>
      <c r="O166"/>
      <c r="P166"/>
      <c r="Q166"/>
      <c r="R166"/>
      <c r="S166"/>
      <c r="T166"/>
      <c r="U166"/>
      <c r="V166"/>
      <c r="W166"/>
      <c r="X166"/>
    </row>
    <row r="167" spans="5:24" ht="30" customHeight="1" x14ac:dyDescent="0.3">
      <c r="E167" s="86" t="s">
        <v>140</v>
      </c>
      <c r="F167" s="87">
        <f t="shared" ref="F167:V167" si="245">F$10</f>
        <v>2020</v>
      </c>
      <c r="G167" s="87">
        <f t="shared" si="245"/>
        <v>2021</v>
      </c>
      <c r="H167" s="87">
        <f t="shared" si="245"/>
        <v>2022</v>
      </c>
      <c r="I167" s="88">
        <f t="shared" si="245"/>
        <v>2023</v>
      </c>
      <c r="J167" s="88" t="str">
        <f t="shared" si="245"/>
        <v>1T24</v>
      </c>
      <c r="K167" s="88" t="str">
        <f t="shared" si="245"/>
        <v>YTD24</v>
      </c>
      <c r="L167" s="89" t="str">
        <f t="shared" si="245"/>
        <v>YTG24</v>
      </c>
      <c r="M167" s="89">
        <f t="shared" si="245"/>
        <v>2024</v>
      </c>
      <c r="N167" s="89">
        <f t="shared" si="245"/>
        <v>2025</v>
      </c>
      <c r="O167" s="89">
        <f t="shared" si="245"/>
        <v>2026</v>
      </c>
      <c r="P167" s="89">
        <f t="shared" si="245"/>
        <v>2027</v>
      </c>
      <c r="Q167" s="89">
        <f t="shared" si="245"/>
        <v>2028</v>
      </c>
      <c r="R167" s="89">
        <f t="shared" si="245"/>
        <v>2029</v>
      </c>
      <c r="S167" s="89">
        <f t="shared" si="245"/>
        <v>2030</v>
      </c>
      <c r="T167" s="89">
        <f t="shared" si="245"/>
        <v>2031</v>
      </c>
      <c r="U167" s="89">
        <f t="shared" si="245"/>
        <v>2032</v>
      </c>
      <c r="V167" s="89">
        <f t="shared" si="245"/>
        <v>2033</v>
      </c>
      <c r="W167" s="489" t="s">
        <v>125</v>
      </c>
      <c r="X167" s="490"/>
    </row>
    <row r="168" spans="5:24" ht="30" customHeight="1" x14ac:dyDescent="0.3">
      <c r="E168" s="123" t="s">
        <v>256</v>
      </c>
      <c r="F168" s="124">
        <f t="shared" ref="F168:K168" si="246">F77</f>
        <v>-20048</v>
      </c>
      <c r="G168" s="124">
        <f t="shared" si="246"/>
        <v>-50255</v>
      </c>
      <c r="H168" s="124">
        <f t="shared" si="246"/>
        <v>-75600</v>
      </c>
      <c r="I168" s="124">
        <f t="shared" si="246"/>
        <v>-90262</v>
      </c>
      <c r="J168" s="124">
        <f t="shared" si="246"/>
        <v>0</v>
      </c>
      <c r="K168" s="124">
        <f t="shared" si="246"/>
        <v>0</v>
      </c>
      <c r="L168" s="92">
        <f>M168-K168</f>
        <v>-104006.84272333766</v>
      </c>
      <c r="M168" s="92">
        <f>M169*M170</f>
        <v>-104006.84272333766</v>
      </c>
      <c r="N168" s="92">
        <f t="shared" ref="N168:V168" si="247">N169*N170</f>
        <v>-134391.43199755953</v>
      </c>
      <c r="O168" s="92">
        <f t="shared" si="247"/>
        <v>-148360.27194226172</v>
      </c>
      <c r="P168" s="92">
        <f t="shared" si="247"/>
        <v>-161919.93531982898</v>
      </c>
      <c r="Q168" s="92">
        <f t="shared" si="247"/>
        <v>-174621.9728727742</v>
      </c>
      <c r="R168" s="92">
        <f t="shared" si="247"/>
        <v>-186547.18097840765</v>
      </c>
      <c r="S168" s="92">
        <f t="shared" si="247"/>
        <v>-197633.35547186318</v>
      </c>
      <c r="T168" s="92">
        <f t="shared" si="247"/>
        <v>-208261.4029872102</v>
      </c>
      <c r="U168" s="92">
        <f t="shared" si="247"/>
        <v>-218306.18722565865</v>
      </c>
      <c r="V168" s="92">
        <f t="shared" si="247"/>
        <v>-227783.73194768268</v>
      </c>
      <c r="W168" s="491"/>
      <c r="X168" s="492"/>
    </row>
    <row r="169" spans="5:24" ht="30" customHeight="1" x14ac:dyDescent="0.3">
      <c r="E169" s="123" t="s">
        <v>134</v>
      </c>
      <c r="F169" s="124">
        <f t="shared" ref="F169:V169" si="248">F67</f>
        <v>404063</v>
      </c>
      <c r="G169" s="124">
        <f t="shared" si="248"/>
        <v>1126479</v>
      </c>
      <c r="H169" s="124">
        <f t="shared" si="248"/>
        <v>1950627</v>
      </c>
      <c r="I169" s="124">
        <f t="shared" si="248"/>
        <v>1641073</v>
      </c>
      <c r="J169" s="124">
        <f t="shared" ref="J169:L169" si="249">J67</f>
        <v>261903.19557999982</v>
      </c>
      <c r="K169" s="124">
        <f t="shared" si="249"/>
        <v>261903.19557999982</v>
      </c>
      <c r="L169" s="92">
        <f t="shared" si="249"/>
        <v>1656995.7253928485</v>
      </c>
      <c r="M169" s="92">
        <f t="shared" si="248"/>
        <v>1918898.9209728499</v>
      </c>
      <c r="N169" s="92">
        <f t="shared" si="248"/>
        <v>2516655.3641618965</v>
      </c>
      <c r="O169" s="92">
        <f t="shared" si="248"/>
        <v>2820521.1999744042</v>
      </c>
      <c r="P169" s="92">
        <f t="shared" si="248"/>
        <v>3125879.6227643085</v>
      </c>
      <c r="Q169" s="92">
        <f t="shared" si="248"/>
        <v>3424007.6727584521</v>
      </c>
      <c r="R169" s="92">
        <f t="shared" si="248"/>
        <v>3716168.9766145796</v>
      </c>
      <c r="S169" s="92">
        <f t="shared" si="248"/>
        <v>4000814.2214707434</v>
      </c>
      <c r="T169" s="92">
        <f t="shared" si="248"/>
        <v>4285409.9359517656</v>
      </c>
      <c r="U169" s="92">
        <f t="shared" si="248"/>
        <v>4567335.5679296516</v>
      </c>
      <c r="V169" s="92">
        <f t="shared" si="248"/>
        <v>4846795.6318255439</v>
      </c>
      <c r="W169" s="491"/>
      <c r="X169" s="492"/>
    </row>
    <row r="170" spans="5:24" ht="30" customHeight="1" thickBot="1" x14ac:dyDescent="0.35">
      <c r="E170" s="125" t="s">
        <v>257</v>
      </c>
      <c r="F170" s="126">
        <f>F168/F169</f>
        <v>-4.9616025223789356E-2</v>
      </c>
      <c r="G170" s="126">
        <f t="shared" ref="G170:L170" si="250">G168/G169</f>
        <v>-4.4612460596247246E-2</v>
      </c>
      <c r="H170" s="126">
        <f t="shared" si="250"/>
        <v>-3.8756768977359586E-2</v>
      </c>
      <c r="I170" s="126">
        <f t="shared" si="250"/>
        <v>-5.500181893188176E-2</v>
      </c>
      <c r="J170" s="126">
        <f t="shared" si="250"/>
        <v>0</v>
      </c>
      <c r="K170" s="126">
        <f t="shared" si="250"/>
        <v>0</v>
      </c>
      <c r="L170" s="127">
        <f t="shared" si="250"/>
        <v>-6.2768322892733611E-2</v>
      </c>
      <c r="M170" s="127">
        <f>I170+(($V170-$I170)/10)</f>
        <v>-5.4201313881925534E-2</v>
      </c>
      <c r="N170" s="127">
        <f>M170+(($V170-$M170)/9)</f>
        <v>-5.3400808831969307E-2</v>
      </c>
      <c r="O170" s="127">
        <f>N170+(($V170-$M170)/9)</f>
        <v>-5.260030378201308E-2</v>
      </c>
      <c r="P170" s="127">
        <f t="shared" ref="P170:U170" si="251">O170+(($V170-$M170)/9)</f>
        <v>-5.1799798732056854E-2</v>
      </c>
      <c r="Q170" s="127">
        <f t="shared" si="251"/>
        <v>-5.0999293682100627E-2</v>
      </c>
      <c r="R170" s="127">
        <f t="shared" si="251"/>
        <v>-5.01987886321444E-2</v>
      </c>
      <c r="S170" s="127">
        <f t="shared" si="251"/>
        <v>-4.9398283582188174E-2</v>
      </c>
      <c r="T170" s="127">
        <f t="shared" si="251"/>
        <v>-4.8597778532231947E-2</v>
      </c>
      <c r="U170" s="127">
        <f t="shared" si="251"/>
        <v>-4.7797273482275721E-2</v>
      </c>
      <c r="V170" s="127">
        <f>AVERAGE(F170:I170)</f>
        <v>-4.699676843231948E-2</v>
      </c>
      <c r="W170" s="493" t="s">
        <v>360</v>
      </c>
      <c r="X170" s="494"/>
    </row>
    <row r="171" spans="5:24" ht="30" customHeight="1" x14ac:dyDescent="0.3"/>
    <row r="172" spans="5:24" ht="30" customHeight="1" thickBot="1" x14ac:dyDescent="0.35"/>
    <row r="173" spans="5:24" ht="30" customHeight="1" x14ac:dyDescent="0.3">
      <c r="E173" s="70"/>
      <c r="F173" s="71"/>
      <c r="G173" s="71"/>
      <c r="H173" s="71"/>
      <c r="I173" s="71"/>
      <c r="J173" s="71"/>
      <c r="K173" s="71"/>
      <c r="L173" s="71"/>
      <c r="M173" s="71"/>
      <c r="N173" s="71"/>
      <c r="O173" s="71"/>
      <c r="P173" s="71"/>
      <c r="Q173" s="71"/>
      <c r="R173" s="71"/>
      <c r="S173" s="71"/>
      <c r="T173" s="71"/>
      <c r="U173" s="71"/>
      <c r="V173" s="71"/>
      <c r="W173" s="71"/>
      <c r="X173" s="72"/>
    </row>
    <row r="174" spans="5:24" ht="30" customHeight="1" x14ac:dyDescent="0.3">
      <c r="E174" s="98" t="s">
        <v>140</v>
      </c>
      <c r="F174" s="163">
        <f t="shared" ref="F174:V174" si="252">F$10</f>
        <v>2020</v>
      </c>
      <c r="G174" s="163">
        <f t="shared" si="252"/>
        <v>2021</v>
      </c>
      <c r="H174" s="163">
        <f t="shared" si="252"/>
        <v>2022</v>
      </c>
      <c r="I174" s="74">
        <f t="shared" si="252"/>
        <v>2023</v>
      </c>
      <c r="J174" s="74" t="str">
        <f t="shared" si="252"/>
        <v>1T24</v>
      </c>
      <c r="K174" s="74" t="str">
        <f t="shared" si="252"/>
        <v>YTD24</v>
      </c>
      <c r="L174" s="75" t="str">
        <f t="shared" si="252"/>
        <v>YTG24</v>
      </c>
      <c r="M174" s="75">
        <f t="shared" si="252"/>
        <v>2024</v>
      </c>
      <c r="N174" s="75">
        <f t="shared" si="252"/>
        <v>2025</v>
      </c>
      <c r="O174" s="75">
        <f t="shared" si="252"/>
        <v>2026</v>
      </c>
      <c r="P174" s="75">
        <f t="shared" si="252"/>
        <v>2027</v>
      </c>
      <c r="Q174" s="75">
        <f t="shared" si="252"/>
        <v>2028</v>
      </c>
      <c r="R174" s="75">
        <f t="shared" si="252"/>
        <v>2029</v>
      </c>
      <c r="S174" s="75">
        <f t="shared" si="252"/>
        <v>2030</v>
      </c>
      <c r="T174" s="75">
        <f t="shared" si="252"/>
        <v>2031</v>
      </c>
      <c r="U174" s="75">
        <f t="shared" si="252"/>
        <v>2032</v>
      </c>
      <c r="V174" s="75">
        <f t="shared" si="252"/>
        <v>2033</v>
      </c>
      <c r="W174" s="499" t="s">
        <v>125</v>
      </c>
      <c r="X174" s="500"/>
    </row>
    <row r="175" spans="5:24" ht="30" customHeight="1" x14ac:dyDescent="0.3">
      <c r="E175" s="98" t="s">
        <v>280</v>
      </c>
      <c r="F175" s="166">
        <f>SUM(F176:F177)</f>
        <v>385190</v>
      </c>
      <c r="G175" s="166">
        <f t="shared" ref="G175" si="253">SUM(G176:G177)</f>
        <v>1310913</v>
      </c>
      <c r="H175" s="166">
        <f>SUM(H176:H177)</f>
        <v>1902637</v>
      </c>
      <c r="I175" s="166">
        <f t="shared" ref="I175" si="254">SUM(I176:I177)</f>
        <v>1558137</v>
      </c>
      <c r="J175" s="166">
        <f t="shared" ref="J175:K175" si="255">SUM(J176:J177)</f>
        <v>262080.28219999981</v>
      </c>
      <c r="K175" s="166">
        <f t="shared" si="255"/>
        <v>262080.28219999981</v>
      </c>
      <c r="L175" s="100">
        <f t="shared" ref="L175" si="256">SUM(L176:L177)</f>
        <v>1552988.8826695108</v>
      </c>
      <c r="M175" s="100">
        <f>SUM(M176:M177)</f>
        <v>1815069.1648695122</v>
      </c>
      <c r="N175" s="100">
        <f t="shared" ref="N175" si="257">SUM(N176:N177)</f>
        <v>2382263.932164337</v>
      </c>
      <c r="O175" s="100">
        <f t="shared" ref="O175" si="258">SUM(O176:O177)</f>
        <v>2672160.9280321426</v>
      </c>
      <c r="P175" s="100">
        <f t="shared" ref="P175" si="259">SUM(P176:P177)</f>
        <v>2963959.6874444797</v>
      </c>
      <c r="Q175" s="100">
        <f t="shared" ref="Q175" si="260">SUM(Q176:Q177)</f>
        <v>3249385.699885678</v>
      </c>
      <c r="R175" s="100">
        <f t="shared" ref="R175" si="261">SUM(R176:R177)</f>
        <v>3529621.7956361719</v>
      </c>
      <c r="S175" s="100">
        <f t="shared" ref="S175" si="262">SUM(S176:S177)</f>
        <v>3803180.86599888</v>
      </c>
      <c r="T175" s="100">
        <f t="shared" ref="T175" si="263">SUM(T176:T177)</f>
        <v>4077148.5329645555</v>
      </c>
      <c r="U175" s="100">
        <f t="shared" ref="U175" si="264">SUM(U176:U177)</f>
        <v>4349029.3807039931</v>
      </c>
      <c r="V175" s="100">
        <f t="shared" ref="V175" si="265">SUM(V176:V177)</f>
        <v>4619011.8998778611</v>
      </c>
      <c r="W175" s="499"/>
      <c r="X175" s="500"/>
    </row>
    <row r="176" spans="5:24" ht="30" customHeight="1" x14ac:dyDescent="0.3">
      <c r="E176" s="107" t="s">
        <v>281</v>
      </c>
      <c r="F176" s="124">
        <f t="shared" ref="F176:V176" si="266">F69</f>
        <v>405238</v>
      </c>
      <c r="G176" s="124">
        <f t="shared" si="266"/>
        <v>1361168</v>
      </c>
      <c r="H176" s="124">
        <f t="shared" si="266"/>
        <v>1978237</v>
      </c>
      <c r="I176" s="124">
        <f t="shared" si="266"/>
        <v>1648399</v>
      </c>
      <c r="J176" s="124">
        <f t="shared" ref="J176" si="267">J69</f>
        <v>262080.28219999981</v>
      </c>
      <c r="K176" s="124">
        <f>K69</f>
        <v>262080.28219999981</v>
      </c>
      <c r="L176" s="92">
        <f>L69</f>
        <v>1656995.7253928485</v>
      </c>
      <c r="M176" s="92">
        <f>M69</f>
        <v>1919076.0075928499</v>
      </c>
      <c r="N176" s="92">
        <f t="shared" si="266"/>
        <v>2516655.3641618965</v>
      </c>
      <c r="O176" s="92">
        <f t="shared" si="266"/>
        <v>2820521.1999744042</v>
      </c>
      <c r="P176" s="92">
        <f t="shared" si="266"/>
        <v>3125879.6227643085</v>
      </c>
      <c r="Q176" s="92">
        <f t="shared" si="266"/>
        <v>3424007.6727584521</v>
      </c>
      <c r="R176" s="92">
        <f t="shared" si="266"/>
        <v>3716168.9766145796</v>
      </c>
      <c r="S176" s="92">
        <f t="shared" si="266"/>
        <v>4000814.2214707434</v>
      </c>
      <c r="T176" s="92">
        <f t="shared" si="266"/>
        <v>4285409.9359517656</v>
      </c>
      <c r="U176" s="92">
        <f t="shared" si="266"/>
        <v>4567335.5679296516</v>
      </c>
      <c r="V176" s="92">
        <f t="shared" si="266"/>
        <v>4846795.6318255439</v>
      </c>
      <c r="W176" s="501"/>
      <c r="X176" s="502"/>
    </row>
    <row r="177" spans="5:24" ht="30" customHeight="1" x14ac:dyDescent="0.3">
      <c r="E177" s="107" t="s">
        <v>282</v>
      </c>
      <c r="F177" s="124">
        <f t="shared" ref="F177:V177" si="268">F77</f>
        <v>-20048</v>
      </c>
      <c r="G177" s="124">
        <f t="shared" si="268"/>
        <v>-50255</v>
      </c>
      <c r="H177" s="124">
        <f t="shared" si="268"/>
        <v>-75600</v>
      </c>
      <c r="I177" s="124">
        <f t="shared" si="268"/>
        <v>-90262</v>
      </c>
      <c r="J177" s="124">
        <f t="shared" ref="J177:K177" si="269">J77</f>
        <v>0</v>
      </c>
      <c r="K177" s="124">
        <f t="shared" si="269"/>
        <v>0</v>
      </c>
      <c r="L177" s="92">
        <f t="shared" ref="L177" si="270">L77</f>
        <v>-104006.84272333766</v>
      </c>
      <c r="M177" s="92">
        <f t="shared" si="268"/>
        <v>-104006.84272333766</v>
      </c>
      <c r="N177" s="92">
        <f t="shared" si="268"/>
        <v>-134391.43199755953</v>
      </c>
      <c r="O177" s="92">
        <f t="shared" si="268"/>
        <v>-148360.27194226172</v>
      </c>
      <c r="P177" s="92">
        <f t="shared" si="268"/>
        <v>-161919.93531982898</v>
      </c>
      <c r="Q177" s="92">
        <f t="shared" si="268"/>
        <v>-174621.9728727742</v>
      </c>
      <c r="R177" s="92">
        <f t="shared" si="268"/>
        <v>-186547.18097840765</v>
      </c>
      <c r="S177" s="92">
        <f t="shared" si="268"/>
        <v>-197633.35547186318</v>
      </c>
      <c r="T177" s="92">
        <f t="shared" si="268"/>
        <v>-208261.4029872102</v>
      </c>
      <c r="U177" s="92">
        <f t="shared" si="268"/>
        <v>-218306.18722565865</v>
      </c>
      <c r="V177" s="92">
        <f t="shared" si="268"/>
        <v>-227783.73194768268</v>
      </c>
      <c r="W177" s="487"/>
      <c r="X177" s="488"/>
    </row>
    <row r="178" spans="5:24" ht="30" customHeight="1" x14ac:dyDescent="0.3">
      <c r="E178" s="98" t="s">
        <v>283</v>
      </c>
      <c r="F178" s="124"/>
      <c r="G178" s="124"/>
      <c r="H178" s="124"/>
      <c r="I178" s="124"/>
      <c r="J178" s="124"/>
      <c r="K178" s="124"/>
      <c r="L178" s="92"/>
      <c r="M178" s="92"/>
      <c r="N178" s="92"/>
      <c r="O178" s="92"/>
      <c r="P178" s="92"/>
      <c r="Q178" s="92"/>
      <c r="R178" s="92"/>
      <c r="S178" s="92"/>
      <c r="T178" s="92"/>
      <c r="U178" s="92"/>
      <c r="V178" s="92"/>
      <c r="W178" s="487"/>
      <c r="X178" s="488"/>
    </row>
    <row r="179" spans="5:24" ht="30" customHeight="1" x14ac:dyDescent="0.3">
      <c r="E179" s="107" t="s">
        <v>284</v>
      </c>
      <c r="F179" s="124">
        <f>F197</f>
        <v>140340</v>
      </c>
      <c r="G179" s="124">
        <f t="shared" ref="G179:V179" si="271">G197</f>
        <v>-313565</v>
      </c>
      <c r="H179" s="124">
        <f t="shared" si="271"/>
        <v>-430019</v>
      </c>
      <c r="I179" s="124">
        <f>I197</f>
        <v>-920022</v>
      </c>
      <c r="J179" s="124">
        <f t="shared" ref="J179:K179" si="272">J197</f>
        <v>66655</v>
      </c>
      <c r="K179" s="124">
        <f t="shared" si="272"/>
        <v>66655</v>
      </c>
      <c r="L179" s="92">
        <f t="shared" ref="L179" si="273">L197</f>
        <v>-170205.70886084603</v>
      </c>
      <c r="M179" s="92">
        <f t="shared" si="271"/>
        <v>-103550.708860846</v>
      </c>
      <c r="N179" s="92">
        <f t="shared" si="271"/>
        <v>-210801.86942084282</v>
      </c>
      <c r="O179" s="92">
        <f t="shared" si="271"/>
        <v>-247668.11454758121</v>
      </c>
      <c r="P179" s="92">
        <f t="shared" si="271"/>
        <v>-282717.19455572852</v>
      </c>
      <c r="Q179" s="92">
        <f t="shared" si="271"/>
        <v>-319475.37263880525</v>
      </c>
      <c r="R179" s="92">
        <f t="shared" si="271"/>
        <v>-357451.31376324018</v>
      </c>
      <c r="S179" s="92">
        <f t="shared" si="271"/>
        <v>-396787.86022105039</v>
      </c>
      <c r="T179" s="92">
        <f t="shared" si="271"/>
        <v>-437527.41704662651</v>
      </c>
      <c r="U179" s="92">
        <f t="shared" si="271"/>
        <v>-480273.08253068745</v>
      </c>
      <c r="V179" s="92">
        <f t="shared" si="271"/>
        <v>-525015.44482924091</v>
      </c>
      <c r="W179" s="487" t="s">
        <v>350</v>
      </c>
      <c r="X179" s="488"/>
    </row>
    <row r="180" spans="5:24" ht="30" customHeight="1" x14ac:dyDescent="0.3">
      <c r="E180" s="107" t="s">
        <v>285</v>
      </c>
      <c r="F180" s="124">
        <f>F198</f>
        <v>140340</v>
      </c>
      <c r="G180" s="124">
        <f t="shared" ref="G180:V180" si="274">G198</f>
        <v>-313565</v>
      </c>
      <c r="H180" s="124">
        <f t="shared" si="274"/>
        <v>-430019</v>
      </c>
      <c r="I180" s="124">
        <f t="shared" si="274"/>
        <v>-920786</v>
      </c>
      <c r="J180" s="124">
        <f t="shared" ref="J180:K180" si="275">J198</f>
        <v>66655</v>
      </c>
      <c r="K180" s="124">
        <f t="shared" si="275"/>
        <v>66655</v>
      </c>
      <c r="L180" s="92">
        <f t="shared" ref="L180" si="276">L198</f>
        <v>-170205.70886084603</v>
      </c>
      <c r="M180" s="92">
        <f t="shared" si="274"/>
        <v>-103550.708860846</v>
      </c>
      <c r="N180" s="92">
        <f t="shared" si="274"/>
        <v>-210801.86942084282</v>
      </c>
      <c r="O180" s="92">
        <f t="shared" si="274"/>
        <v>-247668.11454758121</v>
      </c>
      <c r="P180" s="92">
        <f t="shared" si="274"/>
        <v>-282717.19455572852</v>
      </c>
      <c r="Q180" s="92">
        <f t="shared" si="274"/>
        <v>-319475.37263880525</v>
      </c>
      <c r="R180" s="92">
        <f t="shared" si="274"/>
        <v>-357451.31376324018</v>
      </c>
      <c r="S180" s="92">
        <f t="shared" si="274"/>
        <v>-396787.86022105039</v>
      </c>
      <c r="T180" s="92">
        <f t="shared" si="274"/>
        <v>-437527.41704662651</v>
      </c>
      <c r="U180" s="92">
        <f t="shared" si="274"/>
        <v>-480273.08253068745</v>
      </c>
      <c r="V180" s="92">
        <f t="shared" si="274"/>
        <v>-525015.44482924091</v>
      </c>
      <c r="W180" s="487" t="s">
        <v>350</v>
      </c>
      <c r="X180" s="488"/>
    </row>
    <row r="181" spans="5:24" ht="30" customHeight="1" x14ac:dyDescent="0.3">
      <c r="E181" s="98" t="s">
        <v>287</v>
      </c>
      <c r="F181" s="166"/>
      <c r="G181" s="166"/>
      <c r="H181" s="166"/>
      <c r="I181" s="166"/>
      <c r="J181" s="166"/>
      <c r="K181" s="166"/>
      <c r="L181" s="100"/>
      <c r="M181" s="92"/>
      <c r="N181" s="92"/>
      <c r="O181" s="92"/>
      <c r="P181" s="92"/>
      <c r="Q181" s="92"/>
      <c r="R181" s="92"/>
      <c r="S181" s="92"/>
      <c r="T181" s="92"/>
      <c r="U181" s="92"/>
      <c r="V181" s="92"/>
      <c r="W181" s="487"/>
      <c r="X181" s="488"/>
    </row>
    <row r="182" spans="5:24" ht="30" customHeight="1" x14ac:dyDescent="0.3">
      <c r="E182" s="107" t="s">
        <v>258</v>
      </c>
      <c r="F182" s="124">
        <f>SUM(F176,F179,F177)</f>
        <v>525530</v>
      </c>
      <c r="G182" s="124">
        <f t="shared" ref="G182:V182" si="277">SUM(G176,G179,G177)</f>
        <v>997348</v>
      </c>
      <c r="H182" s="124">
        <f t="shared" si="277"/>
        <v>1472618</v>
      </c>
      <c r="I182" s="124">
        <f t="shared" si="277"/>
        <v>638115</v>
      </c>
      <c r="J182" s="124">
        <f t="shared" ref="J182:K182" si="278">SUM(J176,J179,J177)</f>
        <v>328735.28219999978</v>
      </c>
      <c r="K182" s="124">
        <f t="shared" si="278"/>
        <v>328735.28219999978</v>
      </c>
      <c r="L182" s="92">
        <f>SUM(L176,L179,L177)</f>
        <v>1382783.1738086648</v>
      </c>
      <c r="M182" s="92">
        <f>SUM(M176,M179,M177)</f>
        <v>1711518.4560086662</v>
      </c>
      <c r="N182" s="92">
        <f t="shared" si="277"/>
        <v>2171462.0627434943</v>
      </c>
      <c r="O182" s="92">
        <f t="shared" si="277"/>
        <v>2424492.8134845612</v>
      </c>
      <c r="P182" s="92">
        <f t="shared" si="277"/>
        <v>2681242.492888751</v>
      </c>
      <c r="Q182" s="92">
        <f t="shared" si="277"/>
        <v>2929910.3272468727</v>
      </c>
      <c r="R182" s="92">
        <f t="shared" si="277"/>
        <v>3172170.4818729316</v>
      </c>
      <c r="S182" s="92">
        <f t="shared" si="277"/>
        <v>3406393.0057778303</v>
      </c>
      <c r="T182" s="92">
        <f t="shared" si="277"/>
        <v>3639621.115917929</v>
      </c>
      <c r="U182" s="92">
        <f t="shared" si="277"/>
        <v>3868756.2981733056</v>
      </c>
      <c r="V182" s="92">
        <f t="shared" si="277"/>
        <v>4093996.4550486207</v>
      </c>
      <c r="W182" s="487"/>
      <c r="X182" s="488"/>
    </row>
    <row r="183" spans="5:24" ht="30" customHeight="1" x14ac:dyDescent="0.3">
      <c r="E183" s="107" t="s">
        <v>259</v>
      </c>
      <c r="F183" s="124">
        <f>SUM(F176,F177,F180)</f>
        <v>525530</v>
      </c>
      <c r="G183" s="124">
        <f t="shared" ref="G183:H183" si="279">SUM(G176,G177,G180)</f>
        <v>997348</v>
      </c>
      <c r="H183" s="124">
        <f t="shared" si="279"/>
        <v>1472618</v>
      </c>
      <c r="I183" s="124">
        <f>SUM(I176,I177,I180)</f>
        <v>637351</v>
      </c>
      <c r="J183" s="124">
        <f t="shared" ref="J183:L183" si="280">SUM(J176,J177,J180)</f>
        <v>328735.28219999978</v>
      </c>
      <c r="K183" s="124">
        <f t="shared" si="280"/>
        <v>328735.28219999978</v>
      </c>
      <c r="L183" s="92">
        <f t="shared" si="280"/>
        <v>1382783.1738086648</v>
      </c>
      <c r="M183" s="92">
        <f t="shared" ref="M183:V183" si="281">SUM(M176,M177,M180)</f>
        <v>1711518.4560086662</v>
      </c>
      <c r="N183" s="92">
        <f t="shared" si="281"/>
        <v>2171462.0627434943</v>
      </c>
      <c r="O183" s="92">
        <f t="shared" si="281"/>
        <v>2424492.8134845612</v>
      </c>
      <c r="P183" s="92">
        <f t="shared" si="281"/>
        <v>2681242.492888751</v>
      </c>
      <c r="Q183" s="92">
        <f t="shared" si="281"/>
        <v>2929910.3272468727</v>
      </c>
      <c r="R183" s="92">
        <f t="shared" si="281"/>
        <v>3172170.4818729316</v>
      </c>
      <c r="S183" s="92">
        <f t="shared" si="281"/>
        <v>3406393.0057778298</v>
      </c>
      <c r="T183" s="92">
        <f t="shared" si="281"/>
        <v>3639621.115917929</v>
      </c>
      <c r="U183" s="92">
        <f t="shared" si="281"/>
        <v>3868756.2981733056</v>
      </c>
      <c r="V183" s="92">
        <f t="shared" si="281"/>
        <v>4093996.4550486202</v>
      </c>
      <c r="W183" s="487"/>
      <c r="X183" s="488"/>
    </row>
    <row r="184" spans="5:24" ht="30" customHeight="1" x14ac:dyDescent="0.3">
      <c r="E184" s="98" t="s">
        <v>272</v>
      </c>
      <c r="F184" s="124"/>
      <c r="G184" s="124"/>
      <c r="H184" s="124"/>
      <c r="I184" s="124"/>
      <c r="J184" s="124"/>
      <c r="K184" s="124"/>
      <c r="L184" s="92"/>
      <c r="M184" s="92"/>
      <c r="N184" s="92"/>
      <c r="O184" s="92"/>
      <c r="P184" s="92"/>
      <c r="Q184" s="92"/>
      <c r="R184" s="92"/>
      <c r="S184" s="92"/>
      <c r="T184" s="92"/>
      <c r="U184" s="92"/>
      <c r="V184" s="92"/>
      <c r="W184" s="487"/>
      <c r="X184" s="488"/>
    </row>
    <row r="185" spans="5:24" ht="30" customHeight="1" x14ac:dyDescent="0.3">
      <c r="E185" s="107" t="s">
        <v>258</v>
      </c>
      <c r="F185" s="124">
        <f>SUM(F216,F221,F226)</f>
        <v>87712</v>
      </c>
      <c r="G185" s="124">
        <f t="shared" ref="G185:I185" si="282">SUM(G216,G221,G226)</f>
        <v>240015</v>
      </c>
      <c r="H185" s="124">
        <f t="shared" si="282"/>
        <v>354765</v>
      </c>
      <c r="I185" s="124">
        <f t="shared" si="282"/>
        <v>152904</v>
      </c>
      <c r="J185" s="124">
        <f t="shared" ref="J185:K185" si="283">SUM(J216,J221,J226)</f>
        <v>79915</v>
      </c>
      <c r="K185" s="124">
        <f t="shared" si="283"/>
        <v>79915</v>
      </c>
      <c r="L185" s="92"/>
      <c r="M185" s="92">
        <f>SUM(M216,M221,M226)</f>
        <v>412885.93451626232</v>
      </c>
      <c r="N185" s="92">
        <f t="shared" ref="N185:V185" si="284">SUM(N216,N221,N226)</f>
        <v>527955.6567499697</v>
      </c>
      <c r="O185" s="92">
        <f t="shared" si="284"/>
        <v>591213.34443523642</v>
      </c>
      <c r="P185" s="92">
        <f t="shared" si="284"/>
        <v>655400.76428628387</v>
      </c>
      <c r="Q185" s="92">
        <f t="shared" si="284"/>
        <v>717567.7228758143</v>
      </c>
      <c r="R185" s="92">
        <f t="shared" si="284"/>
        <v>778132.76153232902</v>
      </c>
      <c r="S185" s="92">
        <f t="shared" si="284"/>
        <v>836688.39250855369</v>
      </c>
      <c r="T185" s="92">
        <f t="shared" si="284"/>
        <v>894995.42004357837</v>
      </c>
      <c r="U185" s="92">
        <f t="shared" si="284"/>
        <v>952279.21560742252</v>
      </c>
      <c r="V185" s="92">
        <f t="shared" si="284"/>
        <v>1008589.2548262513</v>
      </c>
      <c r="W185" s="487" t="s">
        <v>349</v>
      </c>
      <c r="X185" s="488"/>
    </row>
    <row r="186" spans="5:24" ht="30" customHeight="1" x14ac:dyDescent="0.3">
      <c r="E186" s="110" t="s">
        <v>142</v>
      </c>
      <c r="F186" s="270">
        <f>F185/F182</f>
        <v>0.16690198466310202</v>
      </c>
      <c r="G186" s="270">
        <f t="shared" ref="G186:I186" si="285">G185/G182</f>
        <v>0.24065321231907016</v>
      </c>
      <c r="H186" s="270">
        <f t="shared" si="285"/>
        <v>0.24090768957054715</v>
      </c>
      <c r="I186" s="270">
        <f t="shared" si="285"/>
        <v>0.23961825062880515</v>
      </c>
      <c r="J186" s="270">
        <f t="shared" ref="J186:K186" si="286">J185/J182</f>
        <v>0.24309833573440526</v>
      </c>
      <c r="K186" s="270">
        <f t="shared" si="286"/>
        <v>0.24309833573440526</v>
      </c>
      <c r="L186" s="82"/>
      <c r="M186" s="82">
        <f t="shared" ref="M186" si="287">M185/M182</f>
        <v>0.24123954554316046</v>
      </c>
      <c r="N186" s="82">
        <f t="shared" ref="N186" si="288">N185/N182</f>
        <v>0.24313372349822851</v>
      </c>
      <c r="O186" s="82">
        <f t="shared" ref="O186" si="289">O185/O182</f>
        <v>0.24385031836226606</v>
      </c>
      <c r="P186" s="82">
        <f t="shared" ref="P186" si="290">P185/P182</f>
        <v>0.24443919788103907</v>
      </c>
      <c r="Q186" s="82">
        <f t="shared" ref="Q186" si="291">Q185/Q182</f>
        <v>0.24491115519910328</v>
      </c>
      <c r="R186" s="82">
        <f t="shared" ref="R186" si="292">R185/R182</f>
        <v>0.24529979267473018</v>
      </c>
      <c r="S186" s="82">
        <f t="shared" ref="S186" si="293">S185/S182</f>
        <v>0.24562297746894907</v>
      </c>
      <c r="T186" s="82">
        <f t="shared" ref="T186" si="294">T185/T182</f>
        <v>0.24590345850267342</v>
      </c>
      <c r="U186" s="82">
        <f t="shared" ref="U186" si="295">U185/U182</f>
        <v>0.24614608473970206</v>
      </c>
      <c r="V186" s="82">
        <f t="shared" ref="V186" si="296">V185/V182</f>
        <v>0.2463581163052749</v>
      </c>
      <c r="W186" s="487"/>
      <c r="X186" s="488"/>
    </row>
    <row r="187" spans="5:24" ht="30" customHeight="1" x14ac:dyDescent="0.3">
      <c r="E187" s="107" t="s">
        <v>259</v>
      </c>
      <c r="F187" s="124">
        <f>SUM(F218,F223,F227)</f>
        <v>67975</v>
      </c>
      <c r="G187" s="124">
        <f t="shared" ref="G187:I187" si="297">SUM(G218,G223,G227)</f>
        <v>208149</v>
      </c>
      <c r="H187" s="124">
        <f t="shared" si="297"/>
        <v>299380</v>
      </c>
      <c r="I187" s="124">
        <f t="shared" si="297"/>
        <v>127241</v>
      </c>
      <c r="J187" s="124">
        <f t="shared" ref="J187:K187" si="298">SUM(J218,J223,J227)</f>
        <v>65684</v>
      </c>
      <c r="K187" s="124">
        <f t="shared" si="298"/>
        <v>65684</v>
      </c>
      <c r="L187" s="92"/>
      <c r="M187" s="92">
        <f t="shared" ref="M187:V187" si="299">SUM(M218,M223,M227)</f>
        <v>342240.63476173294</v>
      </c>
      <c r="N187" s="92">
        <f t="shared" si="299"/>
        <v>434292.41254869889</v>
      </c>
      <c r="O187" s="92">
        <f t="shared" si="299"/>
        <v>484898.56269691227</v>
      </c>
      <c r="P187" s="92">
        <f t="shared" si="299"/>
        <v>536248.49857775017</v>
      </c>
      <c r="Q187" s="92">
        <f t="shared" si="299"/>
        <v>585982.06544937461</v>
      </c>
      <c r="R187" s="92">
        <f t="shared" si="299"/>
        <v>634434.09637458634</v>
      </c>
      <c r="S187" s="92">
        <f t="shared" si="299"/>
        <v>681278.60115556605</v>
      </c>
      <c r="T187" s="92">
        <f t="shared" si="299"/>
        <v>727924.2231835858</v>
      </c>
      <c r="U187" s="92">
        <f t="shared" si="299"/>
        <v>773751.25963466114</v>
      </c>
      <c r="V187" s="92">
        <f t="shared" si="299"/>
        <v>818799.29100972414</v>
      </c>
      <c r="W187" s="487" t="s">
        <v>349</v>
      </c>
      <c r="X187" s="488"/>
    </row>
    <row r="188" spans="5:24" ht="30" customHeight="1" x14ac:dyDescent="0.3">
      <c r="E188" s="110" t="s">
        <v>142</v>
      </c>
      <c r="F188" s="270">
        <f>F187/F183</f>
        <v>0.1293456130002093</v>
      </c>
      <c r="G188" s="270">
        <f t="shared" ref="G188:H188" si="300">G187/G183</f>
        <v>0.20870247897423969</v>
      </c>
      <c r="H188" s="270">
        <f t="shared" si="300"/>
        <v>0.20329780024419095</v>
      </c>
      <c r="I188" s="270">
        <f>I187/I183</f>
        <v>0.19964038653740246</v>
      </c>
      <c r="J188" s="270">
        <f t="shared" ref="J188:K188" si="301">J187/J183</f>
        <v>0.1998081847510314</v>
      </c>
      <c r="K188" s="270">
        <f t="shared" si="301"/>
        <v>0.1998081847510314</v>
      </c>
      <c r="L188" s="82"/>
      <c r="M188" s="82">
        <f t="shared" ref="M188:V188" si="302">M187/M183</f>
        <v>0.1999631576044191</v>
      </c>
      <c r="N188" s="82">
        <f t="shared" si="302"/>
        <v>0.2</v>
      </c>
      <c r="O188" s="82">
        <f t="shared" si="302"/>
        <v>0.2</v>
      </c>
      <c r="P188" s="82">
        <f t="shared" si="302"/>
        <v>0.19999999999999998</v>
      </c>
      <c r="Q188" s="82">
        <f t="shared" si="302"/>
        <v>0.2</v>
      </c>
      <c r="R188" s="82">
        <f t="shared" si="302"/>
        <v>0.2</v>
      </c>
      <c r="S188" s="82">
        <f t="shared" si="302"/>
        <v>0.20000000000000004</v>
      </c>
      <c r="T188" s="82">
        <f t="shared" si="302"/>
        <v>0.2</v>
      </c>
      <c r="U188" s="82">
        <f t="shared" si="302"/>
        <v>0.2</v>
      </c>
      <c r="V188" s="82">
        <f t="shared" si="302"/>
        <v>0.2</v>
      </c>
      <c r="W188" s="487"/>
      <c r="X188" s="488"/>
    </row>
    <row r="189" spans="5:24" ht="30" customHeight="1" x14ac:dyDescent="0.3">
      <c r="E189" s="98" t="s">
        <v>286</v>
      </c>
      <c r="F189" s="124"/>
      <c r="G189" s="124"/>
      <c r="H189" s="124"/>
      <c r="I189" s="124"/>
      <c r="J189" s="124"/>
      <c r="K189" s="124"/>
      <c r="L189" s="92"/>
      <c r="M189" s="92"/>
      <c r="N189" s="92"/>
      <c r="O189" s="92"/>
      <c r="P189" s="92"/>
      <c r="Q189" s="92"/>
      <c r="R189" s="92"/>
      <c r="S189" s="92"/>
      <c r="T189" s="92"/>
      <c r="U189" s="92"/>
      <c r="V189" s="92"/>
      <c r="W189" s="487"/>
      <c r="X189" s="488"/>
    </row>
    <row r="190" spans="5:24" ht="30" customHeight="1" x14ac:dyDescent="0.3">
      <c r="E190" s="107" t="s">
        <v>258</v>
      </c>
      <c r="F190" s="124">
        <f>F229</f>
        <v>-18464</v>
      </c>
      <c r="G190" s="124">
        <f t="shared" ref="G190:I190" si="303">G229</f>
        <v>69394</v>
      </c>
      <c r="H190" s="124">
        <f t="shared" si="303"/>
        <v>70099</v>
      </c>
      <c r="I190" s="124">
        <f t="shared" si="303"/>
        <v>-37311</v>
      </c>
      <c r="J190" s="124">
        <f t="shared" ref="J190:K190" si="304">J229</f>
        <v>-50162</v>
      </c>
      <c r="K190" s="124">
        <f t="shared" si="304"/>
        <v>-50162</v>
      </c>
      <c r="L190" s="92"/>
      <c r="M190" s="92">
        <f>M229</f>
        <v>-50162</v>
      </c>
      <c r="N190" s="92">
        <f t="shared" ref="N190:V190" si="305">N229</f>
        <v>0</v>
      </c>
      <c r="O190" s="92">
        <f t="shared" si="305"/>
        <v>0</v>
      </c>
      <c r="P190" s="92">
        <f t="shared" si="305"/>
        <v>0</v>
      </c>
      <c r="Q190" s="92">
        <f t="shared" si="305"/>
        <v>0</v>
      </c>
      <c r="R190" s="92">
        <f t="shared" si="305"/>
        <v>0</v>
      </c>
      <c r="S190" s="92">
        <f t="shared" si="305"/>
        <v>0</v>
      </c>
      <c r="T190" s="92">
        <f t="shared" si="305"/>
        <v>0</v>
      </c>
      <c r="U190" s="92">
        <f t="shared" si="305"/>
        <v>0</v>
      </c>
      <c r="V190" s="92">
        <f t="shared" si="305"/>
        <v>0</v>
      </c>
      <c r="W190" s="487" t="s">
        <v>351</v>
      </c>
      <c r="X190" s="488"/>
    </row>
    <row r="191" spans="5:24" ht="30" customHeight="1" thickBot="1" x14ac:dyDescent="0.35">
      <c r="E191" s="278" t="s">
        <v>259</v>
      </c>
      <c r="F191" s="272">
        <f>F230</f>
        <v>-17601</v>
      </c>
      <c r="G191" s="272">
        <f t="shared" ref="G191:I191" si="306">G230</f>
        <v>55516</v>
      </c>
      <c r="H191" s="272">
        <f t="shared" si="306"/>
        <v>56079</v>
      </c>
      <c r="I191" s="272">
        <f t="shared" si="306"/>
        <v>-29848</v>
      </c>
      <c r="J191" s="272">
        <f t="shared" ref="J191:K191" si="307">J230</f>
        <v>-40129</v>
      </c>
      <c r="K191" s="272">
        <f t="shared" si="307"/>
        <v>-40129</v>
      </c>
      <c r="L191" s="273"/>
      <c r="M191" s="273">
        <f>M230</f>
        <v>-40129</v>
      </c>
      <c r="N191" s="273">
        <f t="shared" ref="N191:V191" si="308">N230</f>
        <v>0</v>
      </c>
      <c r="O191" s="273">
        <f t="shared" si="308"/>
        <v>0</v>
      </c>
      <c r="P191" s="273">
        <f t="shared" si="308"/>
        <v>0</v>
      </c>
      <c r="Q191" s="273">
        <f t="shared" si="308"/>
        <v>0</v>
      </c>
      <c r="R191" s="273">
        <f t="shared" si="308"/>
        <v>0</v>
      </c>
      <c r="S191" s="273">
        <f t="shared" si="308"/>
        <v>0</v>
      </c>
      <c r="T191" s="273">
        <f t="shared" si="308"/>
        <v>0</v>
      </c>
      <c r="U191" s="273">
        <f>U230</f>
        <v>0</v>
      </c>
      <c r="V191" s="273">
        <f t="shared" si="308"/>
        <v>0</v>
      </c>
      <c r="W191" s="495" t="s">
        <v>351</v>
      </c>
      <c r="X191" s="496"/>
    </row>
    <row r="192" spans="5:24" ht="30" customHeight="1" x14ac:dyDescent="0.3">
      <c r="E192" s="132"/>
    </row>
    <row r="193" spans="5:24" ht="30" customHeight="1" x14ac:dyDescent="0.3">
      <c r="E193" s="132"/>
    </row>
    <row r="194" spans="5:24" ht="30" customHeight="1" x14ac:dyDescent="0.3"/>
    <row r="195" spans="5:24" ht="30" customHeight="1" thickBot="1" x14ac:dyDescent="0.35">
      <c r="E195"/>
      <c r="F195"/>
      <c r="G195"/>
      <c r="H195"/>
      <c r="I195"/>
      <c r="J195"/>
      <c r="K195"/>
      <c r="L195"/>
      <c r="M195"/>
      <c r="N195"/>
      <c r="O195"/>
      <c r="P195"/>
      <c r="Q195"/>
      <c r="R195"/>
      <c r="S195"/>
      <c r="T195"/>
      <c r="U195"/>
      <c r="V195"/>
      <c r="W195"/>
      <c r="X195"/>
    </row>
    <row r="196" spans="5:24" ht="30" customHeight="1" x14ac:dyDescent="0.3">
      <c r="E196" s="86" t="s">
        <v>140</v>
      </c>
      <c r="F196" s="87">
        <f t="shared" ref="F196:V196" si="309">F$10</f>
        <v>2020</v>
      </c>
      <c r="G196" s="87">
        <f t="shared" si="309"/>
        <v>2021</v>
      </c>
      <c r="H196" s="87">
        <f t="shared" si="309"/>
        <v>2022</v>
      </c>
      <c r="I196" s="88">
        <f t="shared" si="309"/>
        <v>2023</v>
      </c>
      <c r="J196" s="88" t="str">
        <f t="shared" si="309"/>
        <v>1T24</v>
      </c>
      <c r="K196" s="88" t="str">
        <f t="shared" si="309"/>
        <v>YTD24</v>
      </c>
      <c r="L196" s="89" t="str">
        <f t="shared" si="309"/>
        <v>YTG24</v>
      </c>
      <c r="M196" s="89">
        <f t="shared" si="309"/>
        <v>2024</v>
      </c>
      <c r="N196" s="89">
        <f t="shared" si="309"/>
        <v>2025</v>
      </c>
      <c r="O196" s="89">
        <f t="shared" si="309"/>
        <v>2026</v>
      </c>
      <c r="P196" s="89">
        <f t="shared" si="309"/>
        <v>2027</v>
      </c>
      <c r="Q196" s="89">
        <f t="shared" si="309"/>
        <v>2028</v>
      </c>
      <c r="R196" s="89">
        <f t="shared" si="309"/>
        <v>2029</v>
      </c>
      <c r="S196" s="89">
        <f t="shared" si="309"/>
        <v>2030</v>
      </c>
      <c r="T196" s="89">
        <f t="shared" si="309"/>
        <v>2031</v>
      </c>
      <c r="U196" s="89">
        <f t="shared" si="309"/>
        <v>2032</v>
      </c>
      <c r="V196" s="89">
        <f t="shared" si="309"/>
        <v>2033</v>
      </c>
      <c r="W196" s="481" t="s">
        <v>125</v>
      </c>
      <c r="X196" s="482"/>
    </row>
    <row r="197" spans="5:24" ht="30" customHeight="1" x14ac:dyDescent="0.3">
      <c r="E197" s="98" t="s">
        <v>269</v>
      </c>
      <c r="F197" s="166">
        <f t="shared" ref="F197:G197" si="310">SUM(F200,F203,F206)</f>
        <v>140340</v>
      </c>
      <c r="G197" s="166">
        <f t="shared" si="310"/>
        <v>-313565</v>
      </c>
      <c r="H197" s="166">
        <f>SUM(H200,H203,H206)</f>
        <v>-430019</v>
      </c>
      <c r="I197" s="166">
        <f>SUM(I200,I203,I206)</f>
        <v>-920022</v>
      </c>
      <c r="J197" s="166">
        <f t="shared" ref="J197:K197" si="311">SUM(J200,J203,J206)</f>
        <v>66655</v>
      </c>
      <c r="K197" s="166">
        <f t="shared" si="311"/>
        <v>66655</v>
      </c>
      <c r="L197" s="100">
        <f t="shared" ref="L197" si="312">SUM(L200,L203,L206)</f>
        <v>-170205.70886084603</v>
      </c>
      <c r="M197" s="92">
        <f>SUM(M200,M203,M206)</f>
        <v>-103550.708860846</v>
      </c>
      <c r="N197" s="92">
        <f t="shared" ref="N197:V197" si="313">SUM(N200,N203,N206)</f>
        <v>-210801.86942084282</v>
      </c>
      <c r="O197" s="92">
        <f t="shared" si="313"/>
        <v>-247668.11454758121</v>
      </c>
      <c r="P197" s="92">
        <f t="shared" si="313"/>
        <v>-282717.19455572852</v>
      </c>
      <c r="Q197" s="92">
        <f t="shared" si="313"/>
        <v>-319475.37263880525</v>
      </c>
      <c r="R197" s="92">
        <f t="shared" si="313"/>
        <v>-357451.31376324018</v>
      </c>
      <c r="S197" s="92">
        <f t="shared" si="313"/>
        <v>-396787.86022105039</v>
      </c>
      <c r="T197" s="92">
        <f t="shared" si="313"/>
        <v>-437527.41704662651</v>
      </c>
      <c r="U197" s="92">
        <f t="shared" si="313"/>
        <v>-480273.08253068745</v>
      </c>
      <c r="V197" s="92">
        <f t="shared" si="313"/>
        <v>-525015.44482924091</v>
      </c>
      <c r="W197" s="487"/>
      <c r="X197" s="488"/>
    </row>
    <row r="198" spans="5:24" ht="30" customHeight="1" x14ac:dyDescent="0.3">
      <c r="E198" s="98" t="s">
        <v>268</v>
      </c>
      <c r="F198" s="166">
        <f t="shared" ref="F198:G198" si="314">SUM(F201,F204,F207)</f>
        <v>140340</v>
      </c>
      <c r="G198" s="166">
        <f t="shared" si="314"/>
        <v>-313565</v>
      </c>
      <c r="H198" s="166">
        <f>SUM(H201,H204,H207)</f>
        <v>-430019</v>
      </c>
      <c r="I198" s="166">
        <f>SUM(I201,I204,I207)</f>
        <v>-920786</v>
      </c>
      <c r="J198" s="166">
        <f t="shared" ref="J198:K198" si="315">SUM(J201,J204,J207)</f>
        <v>66655</v>
      </c>
      <c r="K198" s="166">
        <f t="shared" si="315"/>
        <v>66655</v>
      </c>
      <c r="L198" s="100">
        <f t="shared" ref="L198" si="316">SUM(L201,L204,L207)</f>
        <v>-170205.70886084603</v>
      </c>
      <c r="M198" s="92">
        <f t="shared" ref="M198:V198" si="317">SUM(M201,M204,M207)</f>
        <v>-103550.708860846</v>
      </c>
      <c r="N198" s="92">
        <f t="shared" si="317"/>
        <v>-210801.86942084282</v>
      </c>
      <c r="O198" s="92">
        <f t="shared" si="317"/>
        <v>-247668.11454758121</v>
      </c>
      <c r="P198" s="92">
        <f t="shared" si="317"/>
        <v>-282717.19455572852</v>
      </c>
      <c r="Q198" s="92">
        <f t="shared" si="317"/>
        <v>-319475.37263880525</v>
      </c>
      <c r="R198" s="92">
        <f t="shared" si="317"/>
        <v>-357451.31376324018</v>
      </c>
      <c r="S198" s="92">
        <f t="shared" si="317"/>
        <v>-396787.86022105039</v>
      </c>
      <c r="T198" s="92">
        <f t="shared" si="317"/>
        <v>-437527.41704662651</v>
      </c>
      <c r="U198" s="92">
        <f t="shared" si="317"/>
        <v>-480273.08253068745</v>
      </c>
      <c r="V198" s="92">
        <f t="shared" si="317"/>
        <v>-525015.44482924091</v>
      </c>
      <c r="W198" s="487"/>
      <c r="X198" s="488"/>
    </row>
    <row r="199" spans="5:24" ht="30" customHeight="1" x14ac:dyDescent="0.3">
      <c r="E199" s="107" t="s">
        <v>260</v>
      </c>
      <c r="F199" s="124"/>
      <c r="G199" s="124"/>
      <c r="H199" s="124"/>
      <c r="I199" s="124"/>
      <c r="J199" s="124"/>
      <c r="K199" s="124"/>
      <c r="L199" s="92"/>
      <c r="M199" s="92"/>
      <c r="N199" s="92"/>
      <c r="O199" s="92"/>
      <c r="P199" s="92"/>
      <c r="Q199" s="92"/>
      <c r="R199" s="92"/>
      <c r="S199" s="92"/>
      <c r="T199" s="92"/>
      <c r="U199" s="92"/>
      <c r="V199" s="92"/>
      <c r="W199" s="487"/>
      <c r="X199" s="488"/>
    </row>
    <row r="200" spans="5:24" ht="30" customHeight="1" x14ac:dyDescent="0.3">
      <c r="E200" s="131" t="s">
        <v>258</v>
      </c>
      <c r="F200" s="124">
        <v>-24207</v>
      </c>
      <c r="G200" s="124">
        <v>-172856</v>
      </c>
      <c r="H200" s="124">
        <v>-428144</v>
      </c>
      <c r="I200" s="124">
        <f>-1061670</f>
        <v>-1061670</v>
      </c>
      <c r="J200" s="124">
        <v>-270251</v>
      </c>
      <c r="K200" s="124">
        <f>J200</f>
        <v>-270251</v>
      </c>
      <c r="L200" s="92">
        <f t="shared" ref="L200" si="318">-0.5*L238/0.45</f>
        <v>-170205.70886084603</v>
      </c>
      <c r="M200" s="92">
        <f>K200+L200</f>
        <v>-440456.708860846</v>
      </c>
      <c r="N200" s="92">
        <f t="shared" ref="N200:U200" si="319">-0.5*N238/0.45</f>
        <v>-210801.86942084282</v>
      </c>
      <c r="O200" s="92">
        <f t="shared" si="319"/>
        <v>-247668.11454758121</v>
      </c>
      <c r="P200" s="92">
        <f t="shared" si="319"/>
        <v>-282717.19455572852</v>
      </c>
      <c r="Q200" s="92">
        <f t="shared" si="319"/>
        <v>-319475.37263880525</v>
      </c>
      <c r="R200" s="92">
        <f t="shared" si="319"/>
        <v>-357451.31376324018</v>
      </c>
      <c r="S200" s="92">
        <f t="shared" si="319"/>
        <v>-396787.86022105039</v>
      </c>
      <c r="T200" s="92">
        <f t="shared" si="319"/>
        <v>-437527.41704662651</v>
      </c>
      <c r="U200" s="92">
        <f t="shared" si="319"/>
        <v>-480273.08253068745</v>
      </c>
      <c r="V200" s="92">
        <f>-0.5*V238/0.45</f>
        <v>-525015.44482924091</v>
      </c>
      <c r="W200" s="503" t="s">
        <v>361</v>
      </c>
      <c r="X200" s="504"/>
    </row>
    <row r="201" spans="5:24" ht="30" customHeight="1" x14ac:dyDescent="0.3">
      <c r="E201" s="131" t="s">
        <v>259</v>
      </c>
      <c r="F201" s="124">
        <v>-24207</v>
      </c>
      <c r="G201" s="124">
        <v>-172856</v>
      </c>
      <c r="H201" s="124">
        <v>-428144</v>
      </c>
      <c r="I201" s="124">
        <f>-1062434</f>
        <v>-1062434</v>
      </c>
      <c r="J201" s="124">
        <v>-270251</v>
      </c>
      <c r="K201" s="124">
        <f>J201</f>
        <v>-270251</v>
      </c>
      <c r="L201" s="92">
        <f t="shared" ref="L201" si="320">-0.5*L238/0.45</f>
        <v>-170205.70886084603</v>
      </c>
      <c r="M201" s="92">
        <f>K201+L201</f>
        <v>-440456.708860846</v>
      </c>
      <c r="N201" s="92">
        <f t="shared" ref="N201:U201" si="321">-0.5*N238/0.45</f>
        <v>-210801.86942084282</v>
      </c>
      <c r="O201" s="92">
        <f t="shared" si="321"/>
        <v>-247668.11454758121</v>
      </c>
      <c r="P201" s="92">
        <f t="shared" si="321"/>
        <v>-282717.19455572852</v>
      </c>
      <c r="Q201" s="92">
        <f t="shared" si="321"/>
        <v>-319475.37263880525</v>
      </c>
      <c r="R201" s="92">
        <f t="shared" si="321"/>
        <v>-357451.31376324018</v>
      </c>
      <c r="S201" s="92">
        <f t="shared" si="321"/>
        <v>-396787.86022105039</v>
      </c>
      <c r="T201" s="92">
        <f t="shared" si="321"/>
        <v>-437527.41704662651</v>
      </c>
      <c r="U201" s="92">
        <f t="shared" si="321"/>
        <v>-480273.08253068745</v>
      </c>
      <c r="V201" s="92">
        <f>-0.5*V238/0.45</f>
        <v>-525015.44482924091</v>
      </c>
      <c r="W201" s="503" t="s">
        <v>361</v>
      </c>
      <c r="X201" s="504"/>
    </row>
    <row r="202" spans="5:24" ht="30" customHeight="1" x14ac:dyDescent="0.3">
      <c r="E202" s="107" t="s">
        <v>261</v>
      </c>
      <c r="F202" s="124"/>
      <c r="G202" s="124"/>
      <c r="H202" s="124"/>
      <c r="I202" s="124"/>
      <c r="J202" s="124"/>
      <c r="K202" s="124"/>
      <c r="L202" s="92"/>
      <c r="M202" s="92"/>
      <c r="N202" s="92"/>
      <c r="O202" s="92"/>
      <c r="P202" s="92"/>
      <c r="Q202" s="92"/>
      <c r="R202" s="92"/>
      <c r="S202" s="92"/>
      <c r="T202" s="92"/>
      <c r="U202" s="92"/>
      <c r="V202" s="92"/>
      <c r="W202" s="487"/>
      <c r="X202" s="488"/>
    </row>
    <row r="203" spans="5:24" ht="30" customHeight="1" x14ac:dyDescent="0.3">
      <c r="E203" s="131" t="s">
        <v>258</v>
      </c>
      <c r="F203" s="124">
        <v>0</v>
      </c>
      <c r="G203" s="124">
        <v>-140709</v>
      </c>
      <c r="H203" s="124">
        <v>-1875</v>
      </c>
      <c r="I203" s="124">
        <v>0</v>
      </c>
      <c r="J203" s="124">
        <v>0</v>
      </c>
      <c r="K203" s="124">
        <f>J203</f>
        <v>0</v>
      </c>
      <c r="L203" s="92"/>
      <c r="M203" s="92">
        <v>0</v>
      </c>
      <c r="N203" s="92">
        <v>0</v>
      </c>
      <c r="O203" s="92">
        <v>0</v>
      </c>
      <c r="P203" s="92">
        <v>0</v>
      </c>
      <c r="Q203" s="92">
        <v>0</v>
      </c>
      <c r="R203" s="92">
        <v>0</v>
      </c>
      <c r="S203" s="92">
        <v>0</v>
      </c>
      <c r="T203" s="92">
        <v>0</v>
      </c>
      <c r="U203" s="92">
        <v>0</v>
      </c>
      <c r="V203" s="92">
        <v>0</v>
      </c>
      <c r="W203" s="487"/>
      <c r="X203" s="488"/>
    </row>
    <row r="204" spans="5:24" ht="30" customHeight="1" x14ac:dyDescent="0.3">
      <c r="E204" s="131" t="s">
        <v>259</v>
      </c>
      <c r="F204" s="124">
        <v>0</v>
      </c>
      <c r="G204" s="124">
        <v>-140709</v>
      </c>
      <c r="H204" s="124">
        <v>-1875</v>
      </c>
      <c r="I204" s="124">
        <v>0</v>
      </c>
      <c r="J204" s="124">
        <v>0</v>
      </c>
      <c r="K204" s="124">
        <f>J204</f>
        <v>0</v>
      </c>
      <c r="L204" s="92"/>
      <c r="M204" s="92">
        <v>0</v>
      </c>
      <c r="N204" s="92">
        <v>0</v>
      </c>
      <c r="O204" s="92">
        <v>0</v>
      </c>
      <c r="P204" s="92">
        <v>0</v>
      </c>
      <c r="Q204" s="92">
        <v>0</v>
      </c>
      <c r="R204" s="92">
        <v>0</v>
      </c>
      <c r="S204" s="92">
        <v>0</v>
      </c>
      <c r="T204" s="92">
        <v>0</v>
      </c>
      <c r="U204" s="92">
        <v>0</v>
      </c>
      <c r="V204" s="92">
        <v>0</v>
      </c>
      <c r="W204" s="487"/>
      <c r="X204" s="488"/>
    </row>
    <row r="205" spans="5:24" ht="30" customHeight="1" x14ac:dyDescent="0.3">
      <c r="E205" s="107" t="s">
        <v>262</v>
      </c>
      <c r="F205" s="124"/>
      <c r="G205" s="124"/>
      <c r="H205" s="124"/>
      <c r="I205" s="124"/>
      <c r="J205" s="124"/>
      <c r="K205" s="124"/>
      <c r="L205" s="92"/>
      <c r="M205" s="92"/>
      <c r="N205" s="92"/>
      <c r="O205" s="92"/>
      <c r="P205" s="92"/>
      <c r="Q205" s="92"/>
      <c r="R205" s="92"/>
      <c r="S205" s="92"/>
      <c r="T205" s="92"/>
      <c r="U205" s="92"/>
      <c r="V205" s="92"/>
      <c r="W205" s="487"/>
      <c r="X205" s="488"/>
    </row>
    <row r="206" spans="5:24" ht="30" customHeight="1" x14ac:dyDescent="0.3">
      <c r="E206" s="131" t="s">
        <v>258</v>
      </c>
      <c r="F206" s="124">
        <v>164547</v>
      </c>
      <c r="G206" s="124">
        <v>0</v>
      </c>
      <c r="H206" s="124">
        <v>0</v>
      </c>
      <c r="I206" s="124">
        <v>141648</v>
      </c>
      <c r="J206" s="124">
        <v>336906</v>
      </c>
      <c r="K206" s="124">
        <f>J206</f>
        <v>336906</v>
      </c>
      <c r="L206" s="92">
        <v>0</v>
      </c>
      <c r="M206" s="92">
        <f>K206+L206</f>
        <v>336906</v>
      </c>
      <c r="N206" s="92">
        <v>0</v>
      </c>
      <c r="O206" s="92">
        <v>0</v>
      </c>
      <c r="P206" s="92">
        <v>0</v>
      </c>
      <c r="Q206" s="92">
        <v>0</v>
      </c>
      <c r="R206" s="92">
        <v>0</v>
      </c>
      <c r="S206" s="92">
        <v>0</v>
      </c>
      <c r="T206" s="92">
        <v>0</v>
      </c>
      <c r="U206" s="92">
        <v>0</v>
      </c>
      <c r="V206" s="92">
        <v>0</v>
      </c>
      <c r="W206" s="487"/>
      <c r="X206" s="488"/>
    </row>
    <row r="207" spans="5:24" ht="30" customHeight="1" thickBot="1" x14ac:dyDescent="0.35">
      <c r="E207" s="271" t="s">
        <v>259</v>
      </c>
      <c r="F207" s="272">
        <v>164547</v>
      </c>
      <c r="G207" s="272">
        <v>0</v>
      </c>
      <c r="H207" s="272">
        <v>0</v>
      </c>
      <c r="I207" s="272">
        <v>141648</v>
      </c>
      <c r="J207" s="272">
        <v>336906</v>
      </c>
      <c r="K207" s="272">
        <f>J207</f>
        <v>336906</v>
      </c>
      <c r="L207" s="273">
        <v>0</v>
      </c>
      <c r="M207" s="273">
        <f>K207+L207</f>
        <v>336906</v>
      </c>
      <c r="N207" s="273">
        <v>0</v>
      </c>
      <c r="O207" s="273">
        <v>0</v>
      </c>
      <c r="P207" s="273">
        <v>0</v>
      </c>
      <c r="Q207" s="273">
        <v>0</v>
      </c>
      <c r="R207" s="273">
        <v>0</v>
      </c>
      <c r="S207" s="273">
        <v>0</v>
      </c>
      <c r="T207" s="273">
        <v>0</v>
      </c>
      <c r="U207" s="273">
        <v>0</v>
      </c>
      <c r="V207" s="273">
        <v>0</v>
      </c>
      <c r="W207" s="495"/>
      <c r="X207" s="496"/>
    </row>
    <row r="208" spans="5:24" ht="30" customHeight="1" x14ac:dyDescent="0.3">
      <c r="E208" s="132"/>
      <c r="F208" s="275"/>
      <c r="G208" s="275"/>
      <c r="H208" s="275"/>
      <c r="I208" s="275"/>
      <c r="J208" s="275"/>
      <c r="K208" s="275"/>
      <c r="L208" s="275"/>
    </row>
    <row r="209" spans="5:24" ht="30" customHeight="1" x14ac:dyDescent="0.3">
      <c r="E209" s="132"/>
      <c r="F209" s="277"/>
      <c r="G209" s="277"/>
      <c r="H209" s="277"/>
      <c r="I209" s="277"/>
      <c r="J209" s="277"/>
      <c r="K209" s="277"/>
      <c r="L209" s="277"/>
    </row>
    <row r="210" spans="5:24" ht="30" customHeight="1" thickBot="1" x14ac:dyDescent="0.35"/>
    <row r="211" spans="5:24" ht="30" customHeight="1" thickBot="1" x14ac:dyDescent="0.35">
      <c r="E211" s="264"/>
      <c r="F211" s="265"/>
      <c r="G211" s="265"/>
      <c r="H211" s="265"/>
      <c r="I211" s="265"/>
      <c r="J211" s="265"/>
      <c r="K211" s="265"/>
      <c r="L211" s="265"/>
      <c r="M211" s="265"/>
      <c r="N211" s="265"/>
      <c r="O211" s="265"/>
      <c r="P211" s="265"/>
      <c r="Q211" s="265"/>
      <c r="R211" s="265"/>
      <c r="S211" s="265"/>
      <c r="T211" s="265"/>
      <c r="U211" s="265"/>
      <c r="V211" s="265"/>
      <c r="W211" s="265"/>
      <c r="X211" s="266"/>
    </row>
    <row r="212" spans="5:24" ht="30" customHeight="1" x14ac:dyDescent="0.3">
      <c r="E212" s="86" t="s">
        <v>140</v>
      </c>
      <c r="F212" s="87">
        <f t="shared" ref="F212:V212" si="322">F$10</f>
        <v>2020</v>
      </c>
      <c r="G212" s="87">
        <f t="shared" si="322"/>
        <v>2021</v>
      </c>
      <c r="H212" s="87">
        <f t="shared" si="322"/>
        <v>2022</v>
      </c>
      <c r="I212" s="88">
        <f t="shared" si="322"/>
        <v>2023</v>
      </c>
      <c r="J212" s="88" t="str">
        <f t="shared" si="322"/>
        <v>1T24</v>
      </c>
      <c r="K212" s="88" t="str">
        <f t="shared" si="322"/>
        <v>YTD24</v>
      </c>
      <c r="L212" s="89" t="str">
        <f t="shared" si="322"/>
        <v>YTG24</v>
      </c>
      <c r="M212" s="89">
        <f t="shared" si="322"/>
        <v>2024</v>
      </c>
      <c r="N212" s="89">
        <f t="shared" si="322"/>
        <v>2025</v>
      </c>
      <c r="O212" s="89">
        <f t="shared" si="322"/>
        <v>2026</v>
      </c>
      <c r="P212" s="89">
        <f t="shared" si="322"/>
        <v>2027</v>
      </c>
      <c r="Q212" s="89">
        <f t="shared" si="322"/>
        <v>2028</v>
      </c>
      <c r="R212" s="89">
        <f t="shared" si="322"/>
        <v>2029</v>
      </c>
      <c r="S212" s="89">
        <f t="shared" si="322"/>
        <v>2030</v>
      </c>
      <c r="T212" s="89">
        <f t="shared" si="322"/>
        <v>2031</v>
      </c>
      <c r="U212" s="89">
        <f t="shared" si="322"/>
        <v>2032</v>
      </c>
      <c r="V212" s="89">
        <f t="shared" si="322"/>
        <v>2033</v>
      </c>
      <c r="W212" s="481" t="s">
        <v>125</v>
      </c>
      <c r="X212" s="482"/>
    </row>
    <row r="213" spans="5:24" ht="30" customHeight="1" x14ac:dyDescent="0.3">
      <c r="E213" s="123" t="s">
        <v>279</v>
      </c>
      <c r="F213" s="124">
        <f t="shared" ref="F213:H213" si="323">SUM(F216,F221,F226,F229)</f>
        <v>69248</v>
      </c>
      <c r="G213" s="124">
        <f t="shared" si="323"/>
        <v>309409</v>
      </c>
      <c r="H213" s="124">
        <f t="shared" si="323"/>
        <v>424864</v>
      </c>
      <c r="I213" s="124">
        <f>SUM(I216,I221,I226,I229)</f>
        <v>115593</v>
      </c>
      <c r="J213" s="124">
        <f>SUM(J216,J221,J226,J229)</f>
        <v>29753</v>
      </c>
      <c r="K213" s="124">
        <f>SUM(K216,K221,K226,K229)</f>
        <v>29753</v>
      </c>
      <c r="L213" s="92">
        <f>SUM(L216,L221,L226,L229)</f>
        <v>332970.93451626232</v>
      </c>
      <c r="M213" s="92">
        <f>SUM(M216,M221,M226,M229)</f>
        <v>362723.93451626232</v>
      </c>
      <c r="N213" s="92">
        <f t="shared" ref="N213:V213" si="324">SUM(N216,N221,N226,N229)</f>
        <v>527955.6567499697</v>
      </c>
      <c r="O213" s="92">
        <f t="shared" si="324"/>
        <v>591213.34443523642</v>
      </c>
      <c r="P213" s="92">
        <f t="shared" si="324"/>
        <v>655400.76428628387</v>
      </c>
      <c r="Q213" s="92">
        <f t="shared" si="324"/>
        <v>717567.7228758143</v>
      </c>
      <c r="R213" s="92">
        <f t="shared" si="324"/>
        <v>778132.76153232902</v>
      </c>
      <c r="S213" s="92">
        <f t="shared" si="324"/>
        <v>836688.39250855369</v>
      </c>
      <c r="T213" s="92">
        <f t="shared" si="324"/>
        <v>894995.42004357837</v>
      </c>
      <c r="U213" s="92">
        <f t="shared" si="324"/>
        <v>952279.21560742252</v>
      </c>
      <c r="V213" s="92">
        <f t="shared" si="324"/>
        <v>1008589.2548262513</v>
      </c>
      <c r="W213" s="487"/>
      <c r="X213" s="488"/>
    </row>
    <row r="214" spans="5:24" ht="30" customHeight="1" x14ac:dyDescent="0.3">
      <c r="E214" s="123" t="s">
        <v>278</v>
      </c>
      <c r="F214" s="124">
        <f t="shared" ref="F214:H214" si="325">SUM(F218,F223,F227,F230)</f>
        <v>50374</v>
      </c>
      <c r="G214" s="124">
        <f t="shared" si="325"/>
        <v>263665</v>
      </c>
      <c r="H214" s="124">
        <f t="shared" si="325"/>
        <v>355459</v>
      </c>
      <c r="I214" s="124">
        <f>SUM(I218,I223,I227,I230)</f>
        <v>97393</v>
      </c>
      <c r="J214" s="124">
        <f>SUM(J218,J223,J227,J230)</f>
        <v>25555</v>
      </c>
      <c r="K214" s="124">
        <f>SUM(K218,K223,K227,K230)</f>
        <v>25555</v>
      </c>
      <c r="L214" s="92">
        <f>SUM(L218,L223,L227,L230)</f>
        <v>276556.63476173294</v>
      </c>
      <c r="M214" s="92">
        <f t="shared" ref="M214:V214" si="326">SUM(M218,M223,M227,M230)</f>
        <v>302111.63476173294</v>
      </c>
      <c r="N214" s="92">
        <f t="shared" si="326"/>
        <v>434292.41254869889</v>
      </c>
      <c r="O214" s="92">
        <f t="shared" si="326"/>
        <v>484898.56269691227</v>
      </c>
      <c r="P214" s="92">
        <f t="shared" si="326"/>
        <v>536248.49857775017</v>
      </c>
      <c r="Q214" s="92">
        <f t="shared" si="326"/>
        <v>585982.06544937461</v>
      </c>
      <c r="R214" s="92">
        <f t="shared" si="326"/>
        <v>634434.09637458634</v>
      </c>
      <c r="S214" s="92">
        <f t="shared" si="326"/>
        <v>681278.60115556605</v>
      </c>
      <c r="T214" s="92">
        <f t="shared" si="326"/>
        <v>727924.2231835858</v>
      </c>
      <c r="U214" s="92">
        <f t="shared" si="326"/>
        <v>773751.25963466114</v>
      </c>
      <c r="V214" s="92">
        <f t="shared" si="326"/>
        <v>818799.29100972414</v>
      </c>
      <c r="W214" s="487"/>
      <c r="X214" s="488"/>
    </row>
    <row r="215" spans="5:24" ht="30" customHeight="1" x14ac:dyDescent="0.3">
      <c r="E215" s="123" t="s">
        <v>263</v>
      </c>
      <c r="F215" s="124"/>
      <c r="G215" s="124"/>
      <c r="H215" s="124"/>
      <c r="I215" s="124"/>
      <c r="J215" s="124"/>
      <c r="K215" s="124"/>
      <c r="L215" s="92"/>
      <c r="M215" s="92"/>
      <c r="N215" s="92"/>
      <c r="O215" s="92"/>
      <c r="P215" s="92"/>
      <c r="Q215" s="92"/>
      <c r="R215" s="92"/>
      <c r="S215" s="92"/>
      <c r="T215" s="92"/>
      <c r="U215" s="92"/>
      <c r="V215" s="92"/>
      <c r="W215" s="487"/>
      <c r="X215" s="488"/>
    </row>
    <row r="216" spans="5:24" ht="30" customHeight="1" x14ac:dyDescent="0.3">
      <c r="E216" s="107" t="s">
        <v>264</v>
      </c>
      <c r="F216" s="124">
        <f>78830+52529</f>
        <v>131359</v>
      </c>
      <c r="G216" s="124">
        <f>149602+99710</f>
        <v>249312</v>
      </c>
      <c r="H216" s="124">
        <f>220897+147241</f>
        <v>368138</v>
      </c>
      <c r="I216" s="124">
        <f>95717+63788</f>
        <v>159505</v>
      </c>
      <c r="J216" s="124">
        <f>49310+32868</f>
        <v>82178</v>
      </c>
      <c r="K216" s="124">
        <f>J216</f>
        <v>82178</v>
      </c>
      <c r="L216" s="92">
        <f t="shared" ref="L216:V216" si="327">L217*L182</f>
        <v>345695.7934521662</v>
      </c>
      <c r="M216" s="92">
        <f>K216+L216</f>
        <v>427873.7934521662</v>
      </c>
      <c r="N216" s="92">
        <f t="shared" si="327"/>
        <v>542865.51568587357</v>
      </c>
      <c r="O216" s="92">
        <f t="shared" si="327"/>
        <v>606123.20337114029</v>
      </c>
      <c r="P216" s="92">
        <f t="shared" si="327"/>
        <v>670310.62322218774</v>
      </c>
      <c r="Q216" s="92">
        <f t="shared" si="327"/>
        <v>732477.58181171818</v>
      </c>
      <c r="R216" s="92">
        <f t="shared" si="327"/>
        <v>793042.6204682329</v>
      </c>
      <c r="S216" s="92">
        <f t="shared" si="327"/>
        <v>851598.25144445756</v>
      </c>
      <c r="T216" s="92">
        <f t="shared" si="327"/>
        <v>909905.27897948225</v>
      </c>
      <c r="U216" s="92">
        <f t="shared" si="327"/>
        <v>967189.07454332639</v>
      </c>
      <c r="V216" s="92">
        <f t="shared" si="327"/>
        <v>1023499.1137621552</v>
      </c>
      <c r="W216" s="487"/>
      <c r="X216" s="488"/>
    </row>
    <row r="217" spans="5:24" ht="30" customHeight="1" x14ac:dyDescent="0.3">
      <c r="E217" s="110" t="s">
        <v>270</v>
      </c>
      <c r="F217" s="269">
        <v>0.25</v>
      </c>
      <c r="G217" s="269">
        <v>0.25</v>
      </c>
      <c r="H217" s="269">
        <v>0.25</v>
      </c>
      <c r="I217" s="269">
        <v>0.25</v>
      </c>
      <c r="J217" s="269">
        <v>0.25</v>
      </c>
      <c r="K217" s="269">
        <v>0.25</v>
      </c>
      <c r="L217" s="274">
        <v>0.25</v>
      </c>
      <c r="M217" s="274">
        <v>0.25</v>
      </c>
      <c r="N217" s="274">
        <v>0.25</v>
      </c>
      <c r="O217" s="274">
        <v>0.25</v>
      </c>
      <c r="P217" s="274">
        <v>0.25</v>
      </c>
      <c r="Q217" s="274">
        <v>0.25</v>
      </c>
      <c r="R217" s="274">
        <v>0.25</v>
      </c>
      <c r="S217" s="274">
        <v>0.25</v>
      </c>
      <c r="T217" s="274">
        <v>0.25</v>
      </c>
      <c r="U217" s="274">
        <v>0.25</v>
      </c>
      <c r="V217" s="274">
        <v>0.25</v>
      </c>
      <c r="W217" s="497"/>
      <c r="X217" s="498"/>
    </row>
    <row r="218" spans="5:24" ht="30" customHeight="1" x14ac:dyDescent="0.3">
      <c r="E218" s="107" t="s">
        <v>265</v>
      </c>
      <c r="F218" s="124">
        <f>43087+47657</f>
        <v>90744</v>
      </c>
      <c r="G218" s="124">
        <f>164018+44314</f>
        <v>208332</v>
      </c>
      <c r="H218" s="124">
        <f>190988+108718</f>
        <v>299706</v>
      </c>
      <c r="I218" s="124">
        <f>127470</f>
        <v>127470</v>
      </c>
      <c r="J218" s="124">
        <f>65747</f>
        <v>65747</v>
      </c>
      <c r="K218" s="124">
        <f>J218</f>
        <v>65747</v>
      </c>
      <c r="L218" s="92">
        <f>L219*L183</f>
        <v>276556.63476173294</v>
      </c>
      <c r="M218" s="92">
        <f>K218+L218</f>
        <v>342303.63476173294</v>
      </c>
      <c r="N218" s="92">
        <f t="shared" ref="N218:V218" si="328">N219*N183</f>
        <v>434292.41254869889</v>
      </c>
      <c r="O218" s="92">
        <f t="shared" si="328"/>
        <v>484898.56269691227</v>
      </c>
      <c r="P218" s="92">
        <f t="shared" si="328"/>
        <v>536248.49857775017</v>
      </c>
      <c r="Q218" s="92">
        <f t="shared" si="328"/>
        <v>585982.06544937461</v>
      </c>
      <c r="R218" s="92">
        <f t="shared" si="328"/>
        <v>634434.09637458634</v>
      </c>
      <c r="S218" s="92">
        <f t="shared" si="328"/>
        <v>681278.60115556605</v>
      </c>
      <c r="T218" s="92">
        <f t="shared" si="328"/>
        <v>727924.2231835858</v>
      </c>
      <c r="U218" s="92">
        <f t="shared" si="328"/>
        <v>773751.25963466114</v>
      </c>
      <c r="V218" s="92">
        <f t="shared" si="328"/>
        <v>818799.29100972414</v>
      </c>
      <c r="W218" s="487"/>
      <c r="X218" s="488"/>
    </row>
    <row r="219" spans="5:24" ht="30" customHeight="1" x14ac:dyDescent="0.3">
      <c r="E219" s="110" t="s">
        <v>271</v>
      </c>
      <c r="F219" s="269">
        <v>0.2</v>
      </c>
      <c r="G219" s="269">
        <v>0.2</v>
      </c>
      <c r="H219" s="269">
        <v>0.2</v>
      </c>
      <c r="I219" s="269">
        <v>0.2</v>
      </c>
      <c r="J219" s="269">
        <v>0.2</v>
      </c>
      <c r="K219" s="269">
        <v>0.2</v>
      </c>
      <c r="L219" s="274">
        <v>0.2</v>
      </c>
      <c r="M219" s="274">
        <v>0.2</v>
      </c>
      <c r="N219" s="274">
        <v>0.2</v>
      </c>
      <c r="O219" s="274">
        <v>0.2</v>
      </c>
      <c r="P219" s="274">
        <v>0.2</v>
      </c>
      <c r="Q219" s="274">
        <v>0.2</v>
      </c>
      <c r="R219" s="274">
        <v>0.2</v>
      </c>
      <c r="S219" s="274">
        <v>0.2</v>
      </c>
      <c r="T219" s="274">
        <v>0.2</v>
      </c>
      <c r="U219" s="274">
        <v>0.2</v>
      </c>
      <c r="V219" s="274">
        <v>0.2</v>
      </c>
      <c r="W219" s="487"/>
      <c r="X219" s="488"/>
    </row>
    <row r="220" spans="5:24" ht="30" customHeight="1" x14ac:dyDescent="0.3">
      <c r="E220" s="123" t="s">
        <v>273</v>
      </c>
      <c r="F220" s="124"/>
      <c r="G220" s="124"/>
      <c r="H220" s="124"/>
      <c r="I220" s="124"/>
      <c r="J220" s="124"/>
      <c r="K220" s="124"/>
      <c r="L220" s="92"/>
      <c r="M220" s="92"/>
      <c r="N220" s="92"/>
      <c r="O220" s="92"/>
      <c r="P220" s="92"/>
      <c r="Q220" s="92"/>
      <c r="R220" s="92"/>
      <c r="S220" s="92"/>
      <c r="T220" s="92"/>
      <c r="U220" s="92"/>
      <c r="V220" s="92"/>
      <c r="W220" s="487"/>
      <c r="X220" s="488"/>
    </row>
    <row r="221" spans="5:24" ht="30" customHeight="1" x14ac:dyDescent="0.3">
      <c r="E221" s="107" t="s">
        <v>266</v>
      </c>
      <c r="F221" s="124">
        <f>-5274</f>
        <v>-5274</v>
      </c>
      <c r="G221" s="124">
        <v>-9066</v>
      </c>
      <c r="H221" s="124">
        <v>-12967</v>
      </c>
      <c r="I221" s="124">
        <v>-6314</v>
      </c>
      <c r="J221" s="124">
        <v>-2185</v>
      </c>
      <c r="K221" s="124">
        <f>J221</f>
        <v>-2185</v>
      </c>
      <c r="L221" s="92">
        <f>L222*L$69</f>
        <v>-12724.858935903849</v>
      </c>
      <c r="M221" s="92">
        <f>K221+L221</f>
        <v>-14909.858935903849</v>
      </c>
      <c r="N221" s="92">
        <f>M221</f>
        <v>-14909.858935903849</v>
      </c>
      <c r="O221" s="92">
        <f t="shared" ref="O221:V221" si="329">N221</f>
        <v>-14909.858935903849</v>
      </c>
      <c r="P221" s="92">
        <f t="shared" si="329"/>
        <v>-14909.858935903849</v>
      </c>
      <c r="Q221" s="92">
        <f t="shared" si="329"/>
        <v>-14909.858935903849</v>
      </c>
      <c r="R221" s="92">
        <f t="shared" si="329"/>
        <v>-14909.858935903849</v>
      </c>
      <c r="S221" s="92">
        <f t="shared" si="329"/>
        <v>-14909.858935903849</v>
      </c>
      <c r="T221" s="92">
        <f t="shared" si="329"/>
        <v>-14909.858935903849</v>
      </c>
      <c r="U221" s="92">
        <f t="shared" si="329"/>
        <v>-14909.858935903849</v>
      </c>
      <c r="V221" s="92">
        <f t="shared" si="329"/>
        <v>-14909.858935903849</v>
      </c>
      <c r="W221" s="487" t="s">
        <v>356</v>
      </c>
      <c r="X221" s="488"/>
    </row>
    <row r="222" spans="5:24" ht="30" customHeight="1" x14ac:dyDescent="0.3">
      <c r="E222" s="110" t="s">
        <v>425</v>
      </c>
      <c r="F222" s="269">
        <f>F221/F$69</f>
        <v>-1.3014574151486286E-2</v>
      </c>
      <c r="G222" s="269">
        <f t="shared" ref="G222:J222" si="330">G221/G$69</f>
        <v>-6.6604563139891623E-3</v>
      </c>
      <c r="H222" s="269">
        <f t="shared" si="330"/>
        <v>-6.5548263428497188E-3</v>
      </c>
      <c r="I222" s="269">
        <f t="shared" si="330"/>
        <v>-3.830383299189092E-3</v>
      </c>
      <c r="J222" s="269">
        <f t="shared" si="330"/>
        <v>-8.3371399849629796E-3</v>
      </c>
      <c r="K222" s="269">
        <f>K221/K$69</f>
        <v>-8.3371399849629796E-3</v>
      </c>
      <c r="L222" s="274">
        <f>AVERAGE(F222:J222)</f>
        <v>-7.6794760184954484E-3</v>
      </c>
      <c r="M222" s="274">
        <f>M221/M$69</f>
        <v>-7.7692904694304926E-3</v>
      </c>
      <c r="N222" s="274">
        <f>AVERAGE(F222:I222)</f>
        <v>-7.515060026878565E-3</v>
      </c>
      <c r="O222" s="274">
        <f>N222</f>
        <v>-7.515060026878565E-3</v>
      </c>
      <c r="P222" s="274">
        <f t="shared" ref="P222:U224" si="331">O222</f>
        <v>-7.515060026878565E-3</v>
      </c>
      <c r="Q222" s="274">
        <f t="shared" si="331"/>
        <v>-7.515060026878565E-3</v>
      </c>
      <c r="R222" s="274">
        <f t="shared" si="331"/>
        <v>-7.515060026878565E-3</v>
      </c>
      <c r="S222" s="274">
        <f t="shared" si="331"/>
        <v>-7.515060026878565E-3</v>
      </c>
      <c r="T222" s="274">
        <f t="shared" si="331"/>
        <v>-7.515060026878565E-3</v>
      </c>
      <c r="U222" s="274">
        <f t="shared" si="331"/>
        <v>-7.515060026878565E-3</v>
      </c>
      <c r="V222" s="274">
        <f>U222</f>
        <v>-7.515060026878565E-3</v>
      </c>
      <c r="W222" s="497"/>
      <c r="X222" s="498"/>
    </row>
    <row r="223" spans="5:24" ht="30" customHeight="1" x14ac:dyDescent="0.3">
      <c r="E223" s="107" t="s">
        <v>267</v>
      </c>
      <c r="F223" s="124">
        <v>0</v>
      </c>
      <c r="G223" s="124">
        <v>0</v>
      </c>
      <c r="H223" s="124">
        <v>0</v>
      </c>
      <c r="I223" s="124">
        <v>0</v>
      </c>
      <c r="J223" s="124">
        <v>0</v>
      </c>
      <c r="K223" s="124">
        <f>J223</f>
        <v>0</v>
      </c>
      <c r="L223" s="92">
        <f>L224*L$69</f>
        <v>0</v>
      </c>
      <c r="M223" s="92">
        <f>K223+L223</f>
        <v>0</v>
      </c>
      <c r="N223" s="92">
        <f>N224*N$69</f>
        <v>0</v>
      </c>
      <c r="O223" s="92">
        <f t="shared" ref="O223:V223" si="332">O224*O$69</f>
        <v>0</v>
      </c>
      <c r="P223" s="92">
        <f t="shared" si="332"/>
        <v>0</v>
      </c>
      <c r="Q223" s="92">
        <f t="shared" si="332"/>
        <v>0</v>
      </c>
      <c r="R223" s="92">
        <f t="shared" si="332"/>
        <v>0</v>
      </c>
      <c r="S223" s="92">
        <f t="shared" si="332"/>
        <v>0</v>
      </c>
      <c r="T223" s="92">
        <f t="shared" si="332"/>
        <v>0</v>
      </c>
      <c r="U223" s="92">
        <f t="shared" si="332"/>
        <v>0</v>
      </c>
      <c r="V223" s="92">
        <f t="shared" si="332"/>
        <v>0</v>
      </c>
      <c r="W223" s="487" t="s">
        <v>356</v>
      </c>
      <c r="X223" s="488"/>
    </row>
    <row r="224" spans="5:24" ht="30" customHeight="1" x14ac:dyDescent="0.3">
      <c r="E224" s="110" t="s">
        <v>426</v>
      </c>
      <c r="F224" s="269">
        <f>F223/F$69</f>
        <v>0</v>
      </c>
      <c r="G224" s="269">
        <f t="shared" ref="G224:M224" si="333">G223/G$69</f>
        <v>0</v>
      </c>
      <c r="H224" s="269">
        <f t="shared" si="333"/>
        <v>0</v>
      </c>
      <c r="I224" s="269">
        <f t="shared" si="333"/>
        <v>0</v>
      </c>
      <c r="J224" s="269">
        <f t="shared" si="333"/>
        <v>0</v>
      </c>
      <c r="K224" s="269">
        <f t="shared" si="333"/>
        <v>0</v>
      </c>
      <c r="L224" s="274">
        <f>AVERAGE(F224:J224)</f>
        <v>0</v>
      </c>
      <c r="M224" s="274">
        <f t="shared" si="333"/>
        <v>0</v>
      </c>
      <c r="N224" s="274">
        <f>AVERAGE(F224:I224)</f>
        <v>0</v>
      </c>
      <c r="O224" s="274">
        <f>N224</f>
        <v>0</v>
      </c>
      <c r="P224" s="274">
        <f t="shared" si="331"/>
        <v>0</v>
      </c>
      <c r="Q224" s="274">
        <f t="shared" si="331"/>
        <v>0</v>
      </c>
      <c r="R224" s="274">
        <f t="shared" si="331"/>
        <v>0</v>
      </c>
      <c r="S224" s="274">
        <f t="shared" si="331"/>
        <v>0</v>
      </c>
      <c r="T224" s="274">
        <f t="shared" si="331"/>
        <v>0</v>
      </c>
      <c r="U224" s="274">
        <f t="shared" si="331"/>
        <v>0</v>
      </c>
      <c r="V224" s="274">
        <f>U224</f>
        <v>0</v>
      </c>
      <c r="W224" s="497"/>
      <c r="X224" s="498"/>
    </row>
    <row r="225" spans="5:24" ht="30" customHeight="1" x14ac:dyDescent="0.3">
      <c r="E225" s="123" t="s">
        <v>274</v>
      </c>
      <c r="F225" s="124"/>
      <c r="G225" s="124"/>
      <c r="H225" s="124"/>
      <c r="I225" s="124"/>
      <c r="J225" s="124"/>
      <c r="K225" s="124"/>
      <c r="L225" s="92"/>
      <c r="M225" s="92"/>
      <c r="N225" s="92"/>
      <c r="O225" s="92"/>
      <c r="P225" s="92"/>
      <c r="Q225" s="92"/>
      <c r="R225" s="92"/>
      <c r="S225" s="92"/>
      <c r="T225" s="92"/>
      <c r="U225" s="92"/>
      <c r="V225" s="92"/>
      <c r="W225" s="487"/>
      <c r="X225" s="488"/>
    </row>
    <row r="226" spans="5:24" ht="30" customHeight="1" x14ac:dyDescent="0.3">
      <c r="E226" s="107" t="s">
        <v>276</v>
      </c>
      <c r="F226" s="124">
        <v>-38373</v>
      </c>
      <c r="G226" s="124">
        <v>-231</v>
      </c>
      <c r="H226" s="124">
        <v>-406</v>
      </c>
      <c r="I226" s="124">
        <v>-287</v>
      </c>
      <c r="J226" s="124">
        <v>-78</v>
      </c>
      <c r="K226" s="124">
        <f>J226</f>
        <v>-78</v>
      </c>
      <c r="L226" s="92">
        <v>0</v>
      </c>
      <c r="M226" s="92">
        <f>K226+L226</f>
        <v>-78</v>
      </c>
      <c r="N226" s="92">
        <v>0</v>
      </c>
      <c r="O226" s="92">
        <v>0</v>
      </c>
      <c r="P226" s="92">
        <v>0</v>
      </c>
      <c r="Q226" s="92">
        <v>0</v>
      </c>
      <c r="R226" s="92">
        <v>0</v>
      </c>
      <c r="S226" s="92">
        <v>0</v>
      </c>
      <c r="T226" s="92">
        <v>0</v>
      </c>
      <c r="U226" s="92">
        <v>0</v>
      </c>
      <c r="V226" s="92">
        <v>0</v>
      </c>
      <c r="W226" s="487"/>
      <c r="X226" s="488"/>
    </row>
    <row r="227" spans="5:24" ht="30" customHeight="1" x14ac:dyDescent="0.3">
      <c r="E227" s="107" t="s">
        <v>275</v>
      </c>
      <c r="F227" s="124">
        <v>-22769</v>
      </c>
      <c r="G227" s="124">
        <v>-183</v>
      </c>
      <c r="H227" s="124">
        <v>-326</v>
      </c>
      <c r="I227" s="124">
        <v>-229</v>
      </c>
      <c r="J227" s="124">
        <v>-63</v>
      </c>
      <c r="K227" s="124">
        <f>J227</f>
        <v>-63</v>
      </c>
      <c r="L227" s="92">
        <v>0</v>
      </c>
      <c r="M227" s="92">
        <f>K227+L227</f>
        <v>-63</v>
      </c>
      <c r="N227" s="92">
        <v>0</v>
      </c>
      <c r="O227" s="92">
        <v>0</v>
      </c>
      <c r="P227" s="92">
        <v>0</v>
      </c>
      <c r="Q227" s="92">
        <v>0</v>
      </c>
      <c r="R227" s="92">
        <v>0</v>
      </c>
      <c r="S227" s="92">
        <v>0</v>
      </c>
      <c r="T227" s="92">
        <v>0</v>
      </c>
      <c r="U227" s="92">
        <v>0</v>
      </c>
      <c r="V227" s="92">
        <v>0</v>
      </c>
      <c r="W227" s="487"/>
      <c r="X227" s="488"/>
    </row>
    <row r="228" spans="5:24" ht="30" customHeight="1" x14ac:dyDescent="0.3">
      <c r="E228" s="123" t="s">
        <v>277</v>
      </c>
      <c r="F228" s="124"/>
      <c r="G228" s="124"/>
      <c r="H228" s="124"/>
      <c r="I228" s="124"/>
      <c r="J228" s="124"/>
      <c r="K228" s="124"/>
      <c r="L228" s="92"/>
      <c r="M228" s="92"/>
      <c r="N228" s="92"/>
      <c r="O228" s="92"/>
      <c r="P228" s="92"/>
      <c r="Q228" s="92"/>
      <c r="R228" s="92"/>
      <c r="S228" s="92"/>
      <c r="T228" s="92"/>
      <c r="U228" s="92"/>
      <c r="V228" s="92"/>
      <c r="W228" s="487"/>
      <c r="X228" s="488"/>
    </row>
    <row r="229" spans="5:24" ht="30" customHeight="1" x14ac:dyDescent="0.3">
      <c r="E229" s="107" t="s">
        <v>277</v>
      </c>
      <c r="F229" s="124">
        <v>-18464</v>
      </c>
      <c r="G229" s="124">
        <v>69394</v>
      </c>
      <c r="H229" s="124">
        <v>70099</v>
      </c>
      <c r="I229" s="124">
        <v>-37311</v>
      </c>
      <c r="J229" s="124">
        <v>-50162</v>
      </c>
      <c r="K229" s="124">
        <f>J229</f>
        <v>-50162</v>
      </c>
      <c r="L229" s="92">
        <v>0</v>
      </c>
      <c r="M229" s="92">
        <f>K229+L229</f>
        <v>-50162</v>
      </c>
      <c r="N229" s="92">
        <v>0</v>
      </c>
      <c r="O229" s="92">
        <v>0</v>
      </c>
      <c r="P229" s="92">
        <v>0</v>
      </c>
      <c r="Q229" s="92">
        <v>0</v>
      </c>
      <c r="R229" s="92">
        <v>0</v>
      </c>
      <c r="S229" s="92">
        <v>0</v>
      </c>
      <c r="T229" s="92">
        <v>0</v>
      </c>
      <c r="U229" s="92">
        <v>0</v>
      </c>
      <c r="V229" s="92">
        <v>0</v>
      </c>
      <c r="W229" s="487"/>
      <c r="X229" s="488"/>
    </row>
    <row r="230" spans="5:24" ht="30" customHeight="1" thickBot="1" x14ac:dyDescent="0.35">
      <c r="E230" s="278" t="s">
        <v>277</v>
      </c>
      <c r="F230" s="272">
        <v>-17601</v>
      </c>
      <c r="G230" s="272">
        <v>55516</v>
      </c>
      <c r="H230" s="272">
        <v>56079</v>
      </c>
      <c r="I230" s="272">
        <v>-29848</v>
      </c>
      <c r="J230" s="272">
        <v>-40129</v>
      </c>
      <c r="K230" s="272">
        <f>J230</f>
        <v>-40129</v>
      </c>
      <c r="L230" s="273">
        <v>0</v>
      </c>
      <c r="M230" s="273">
        <f>K230+L230</f>
        <v>-40129</v>
      </c>
      <c r="N230" s="273">
        <v>0</v>
      </c>
      <c r="O230" s="273">
        <v>0</v>
      </c>
      <c r="P230" s="273">
        <v>0</v>
      </c>
      <c r="Q230" s="273">
        <v>0</v>
      </c>
      <c r="R230" s="273">
        <v>0</v>
      </c>
      <c r="S230" s="273">
        <v>0</v>
      </c>
      <c r="T230" s="273">
        <v>0</v>
      </c>
      <c r="U230" s="273">
        <v>0</v>
      </c>
      <c r="V230" s="273">
        <v>0</v>
      </c>
      <c r="W230" s="495"/>
      <c r="X230" s="496"/>
    </row>
    <row r="231" spans="5:24" ht="30" customHeight="1" x14ac:dyDescent="0.3">
      <c r="E231" s="132"/>
      <c r="F231" s="276"/>
      <c r="G231" s="276"/>
      <c r="H231" s="276"/>
      <c r="I231" s="276"/>
      <c r="J231" s="276"/>
      <c r="K231" s="276"/>
      <c r="L231" s="276"/>
    </row>
    <row r="232" spans="5:24" ht="30" customHeight="1" x14ac:dyDescent="0.3"/>
    <row r="233" spans="5:24" ht="30" customHeight="1" thickBot="1" x14ac:dyDescent="0.35">
      <c r="E233"/>
      <c r="F233"/>
      <c r="G233"/>
      <c r="H233"/>
      <c r="I233"/>
      <c r="J233"/>
      <c r="K233"/>
      <c r="L233"/>
      <c r="M233"/>
      <c r="N233"/>
      <c r="O233"/>
      <c r="P233"/>
      <c r="Q233"/>
      <c r="R233"/>
      <c r="S233"/>
      <c r="T233"/>
      <c r="U233"/>
      <c r="V233"/>
    </row>
    <row r="234" spans="5:24" ht="30" customHeight="1" x14ac:dyDescent="0.3">
      <c r="E234" s="86"/>
      <c r="F234" s="87">
        <v>2020</v>
      </c>
      <c r="G234" s="87">
        <v>2021</v>
      </c>
      <c r="H234" s="87">
        <v>2022</v>
      </c>
      <c r="I234" s="87">
        <v>2023</v>
      </c>
      <c r="J234" s="87" t="str">
        <f>J212</f>
        <v>1T24</v>
      </c>
      <c r="K234" s="87" t="str">
        <f t="shared" ref="K234:V234" si="334">K212</f>
        <v>YTD24</v>
      </c>
      <c r="L234" s="89" t="str">
        <f t="shared" si="334"/>
        <v>YTG24</v>
      </c>
      <c r="M234" s="135">
        <f t="shared" si="334"/>
        <v>2024</v>
      </c>
      <c r="N234" s="135">
        <f t="shared" si="334"/>
        <v>2025</v>
      </c>
      <c r="O234" s="135">
        <f t="shared" si="334"/>
        <v>2026</v>
      </c>
      <c r="P234" s="135">
        <f t="shared" si="334"/>
        <v>2027</v>
      </c>
      <c r="Q234" s="135">
        <f t="shared" si="334"/>
        <v>2028</v>
      </c>
      <c r="R234" s="135">
        <f t="shared" si="334"/>
        <v>2029</v>
      </c>
      <c r="S234" s="135">
        <f t="shared" si="334"/>
        <v>2030</v>
      </c>
      <c r="T234" s="135">
        <f t="shared" si="334"/>
        <v>2031</v>
      </c>
      <c r="U234" s="135">
        <f t="shared" si="334"/>
        <v>2032</v>
      </c>
      <c r="V234" s="136">
        <f t="shared" si="334"/>
        <v>2033</v>
      </c>
    </row>
    <row r="235" spans="5:24" ht="30" customHeight="1" x14ac:dyDescent="0.3">
      <c r="E235" s="123" t="s">
        <v>60</v>
      </c>
      <c r="F235" s="91">
        <f>'Balanço Patrimonial - Contábil'!F125</f>
        <v>2416797</v>
      </c>
      <c r="G235" s="91">
        <f>'Balanço Patrimonial - Contábil'!G125</f>
        <v>2944953</v>
      </c>
      <c r="H235" s="91">
        <f>'Balanço Patrimonial - Contábil'!H125</f>
        <v>4841380</v>
      </c>
      <c r="I235" s="91">
        <f>'Balanço Patrimonial - Contábil'!I125</f>
        <v>5883325</v>
      </c>
      <c r="J235" s="91">
        <f>'Balanço Patrimonial - Contábil'!J125</f>
        <v>5907205.7208599998</v>
      </c>
      <c r="K235" s="91">
        <f>'Balanço Patrimonial - Contábil'!K125</f>
        <v>5907205.7208599998</v>
      </c>
      <c r="L235" s="119">
        <f>'Balanço Patrimonial - Contábil'!L125</f>
        <v>6572854.3766378434</v>
      </c>
      <c r="M235" s="119">
        <f>'Balanço Patrimonial - Contábil'!M125</f>
        <v>6572854.3766378434</v>
      </c>
      <c r="N235" s="119">
        <f>'Balanço Patrimonial - Contábil'!N125</f>
        <v>7632266.3217517175</v>
      </c>
      <c r="O235" s="119">
        <f>'Balanço Patrimonial - Contábil'!O125</f>
        <v>8625252.9814539887</v>
      </c>
      <c r="P235" s="119">
        <f>'Balanço Patrimonial - Contábil'!P125</f>
        <v>9678286.884385664</v>
      </c>
      <c r="Q235" s="119">
        <f>'Balanço Patrimonial - Contábil'!Q125</f>
        <v>10778927.723483004</v>
      </c>
      <c r="R235" s="119">
        <f>'Balanço Patrimonial - Contábil'!R125</f>
        <v>11930969.002226524</v>
      </c>
      <c r="S235" s="119">
        <f>'Balanço Patrimonial - Contábil'!S125</f>
        <v>13135431.469880886</v>
      </c>
      <c r="T235" s="119">
        <f>'Balanço Patrimonial - Contábil'!T125</f>
        <v>14408475.20870889</v>
      </c>
      <c r="U235" s="119">
        <f>'Balanço Patrimonial - Contábil'!U125</f>
        <v>15745968.180412542</v>
      </c>
      <c r="V235" s="137">
        <f>'Balanço Patrimonial - Contábil'!V125</f>
        <v>17151979.38863169</v>
      </c>
    </row>
    <row r="236" spans="5:24" ht="30" customHeight="1" x14ac:dyDescent="0.3">
      <c r="E236" s="123" t="s">
        <v>143</v>
      </c>
      <c r="F236" s="138"/>
      <c r="G236" s="138"/>
      <c r="H236" s="138"/>
      <c r="I236" s="139"/>
      <c r="J236" s="139"/>
      <c r="K236" s="139"/>
      <c r="L236" s="140">
        <f>'Projeções - NIM'!L13</f>
        <v>5.7626470755809955E-2</v>
      </c>
      <c r="M236" s="140"/>
      <c r="N236" s="140">
        <f>'Projeções - NIM'!N13</f>
        <v>6.4143173525981118E-2</v>
      </c>
      <c r="O236" s="140">
        <f>'Projeções - NIM'!O13</f>
        <v>6.4900281019213107E-2</v>
      </c>
      <c r="P236" s="140">
        <f>'Projeções - NIM'!P13</f>
        <v>6.5555687505891538E-2</v>
      </c>
      <c r="Q236" s="140">
        <f>'Projeções - NIM'!Q13</f>
        <v>6.6018992091302145E-2</v>
      </c>
      <c r="R236" s="140">
        <f>'Projeções - NIM'!R13</f>
        <v>6.6324095110962794E-2</v>
      </c>
      <c r="S236" s="140">
        <f>'Projeções - NIM'!S13</f>
        <v>6.6513936989862757E-2</v>
      </c>
      <c r="T236" s="140">
        <f>'Projeções - NIM'!T13</f>
        <v>6.6617898018784164E-2</v>
      </c>
      <c r="U236" s="140">
        <f>'Projeções - NIM'!U13</f>
        <v>6.6665358488509158E-2</v>
      </c>
      <c r="V236" s="141">
        <f>'Projeções - NIM'!V13</f>
        <v>6.6685698689819856E-2</v>
      </c>
    </row>
    <row r="237" spans="5:24" ht="30" customHeight="1" x14ac:dyDescent="0.3">
      <c r="E237" s="123" t="s">
        <v>144</v>
      </c>
      <c r="F237" s="142"/>
      <c r="G237" s="142"/>
      <c r="H237" s="143"/>
      <c r="I237" s="139"/>
      <c r="J237" s="139"/>
      <c r="K237" s="139"/>
      <c r="L237" s="119">
        <f>K235*L236</f>
        <v>340411.41772169207</v>
      </c>
      <c r="M237" s="119"/>
      <c r="N237" s="119">
        <f>M235*N236</f>
        <v>421603.73884168564</v>
      </c>
      <c r="O237" s="119">
        <f t="shared" ref="O237:V237" si="335">N235*O236</f>
        <v>495336.22909516242</v>
      </c>
      <c r="P237" s="119">
        <f t="shared" si="335"/>
        <v>565434.38911145704</v>
      </c>
      <c r="Q237" s="119">
        <f t="shared" si="335"/>
        <v>638950.74527761037</v>
      </c>
      <c r="R237" s="119">
        <f t="shared" si="335"/>
        <v>714902.62752648036</v>
      </c>
      <c r="S237" s="119">
        <f t="shared" si="335"/>
        <v>793575.72044210078</v>
      </c>
      <c r="T237" s="119">
        <f t="shared" si="335"/>
        <v>875054.83409325301</v>
      </c>
      <c r="U237" s="119">
        <f t="shared" si="335"/>
        <v>960546.16506137489</v>
      </c>
      <c r="V237" s="137">
        <f t="shared" si="335"/>
        <v>1050030.8896584818</v>
      </c>
    </row>
    <row r="238" spans="5:24" ht="30" customHeight="1" x14ac:dyDescent="0.3">
      <c r="E238" s="123" t="s">
        <v>145</v>
      </c>
      <c r="F238" s="142"/>
      <c r="G238" s="142"/>
      <c r="H238" s="142"/>
      <c r="I238" s="139"/>
      <c r="J238" s="139"/>
      <c r="K238" s="139"/>
      <c r="L238" s="119">
        <f>L237*0.45</f>
        <v>153185.13797476143</v>
      </c>
      <c r="M238" s="119"/>
      <c r="N238" s="119">
        <f>N237*0.45+L240</f>
        <v>189721.68247875854</v>
      </c>
      <c r="O238" s="119">
        <f t="shared" ref="O238:U238" si="336">O237*0.45+N240</f>
        <v>222901.3030928231</v>
      </c>
      <c r="P238" s="119">
        <f t="shared" si="336"/>
        <v>254445.47510015569</v>
      </c>
      <c r="Q238" s="119">
        <f t="shared" si="336"/>
        <v>287527.8353749247</v>
      </c>
      <c r="R238" s="119">
        <f t="shared" si="336"/>
        <v>321706.18238691619</v>
      </c>
      <c r="S238" s="119">
        <f t="shared" si="336"/>
        <v>357109.07419894537</v>
      </c>
      <c r="T238" s="119">
        <f t="shared" si="336"/>
        <v>393774.67534196388</v>
      </c>
      <c r="U238" s="119">
        <f t="shared" si="336"/>
        <v>432245.77427761874</v>
      </c>
      <c r="V238" s="137">
        <f>V237*0.45+U240</f>
        <v>472513.9003463168</v>
      </c>
    </row>
    <row r="239" spans="5:24" ht="30" customHeight="1" x14ac:dyDescent="0.3">
      <c r="E239" s="123" t="s">
        <v>146</v>
      </c>
      <c r="F239" s="142"/>
      <c r="G239" s="142"/>
      <c r="H239" s="142"/>
      <c r="I239" s="139"/>
      <c r="J239" s="139"/>
      <c r="K239" s="139"/>
      <c r="L239" s="119">
        <f>IF(L79&gt;=K235*L236,K235*L236*0.45,L79*0.45)</f>
        <v>153185.13797476143</v>
      </c>
      <c r="M239" s="119"/>
      <c r="N239" s="119">
        <f>IF(N79&gt;=M235*N236,M235*N236*0.45,N79*0.45)</f>
        <v>189721.68247875854</v>
      </c>
      <c r="O239" s="119">
        <f t="shared" ref="O239:V239" si="337">IF(O79&gt;=N235*O236,N235*O236*0.45,O79*0.45)</f>
        <v>222901.3030928231</v>
      </c>
      <c r="P239" s="119">
        <f t="shared" si="337"/>
        <v>254445.47510015569</v>
      </c>
      <c r="Q239" s="119">
        <f t="shared" si="337"/>
        <v>287527.8353749247</v>
      </c>
      <c r="R239" s="119">
        <f t="shared" si="337"/>
        <v>321706.18238691619</v>
      </c>
      <c r="S239" s="119">
        <f t="shared" si="337"/>
        <v>357109.07419894537</v>
      </c>
      <c r="T239" s="119">
        <f t="shared" si="337"/>
        <v>393774.67534196388</v>
      </c>
      <c r="U239" s="119">
        <f t="shared" si="337"/>
        <v>432245.77427761874</v>
      </c>
      <c r="V239" s="137">
        <f t="shared" si="337"/>
        <v>472513.9003463168</v>
      </c>
    </row>
    <row r="240" spans="5:24" ht="30" customHeight="1" thickBot="1" x14ac:dyDescent="0.35">
      <c r="E240" s="144" t="s">
        <v>147</v>
      </c>
      <c r="F240" s="145"/>
      <c r="G240" s="145"/>
      <c r="H240" s="145"/>
      <c r="I240" s="133"/>
      <c r="J240" s="133"/>
      <c r="K240" s="133"/>
      <c r="L240" s="146">
        <f>L239-K235*L236*0.45</f>
        <v>0</v>
      </c>
      <c r="M240" s="146"/>
      <c r="N240" s="146">
        <f>N239-M235*N236*0.45</f>
        <v>0</v>
      </c>
      <c r="O240" s="146">
        <f t="shared" ref="O240:V240" si="338">O239-N235*O236*0.45</f>
        <v>0</v>
      </c>
      <c r="P240" s="146">
        <f t="shared" si="338"/>
        <v>0</v>
      </c>
      <c r="Q240" s="146">
        <f t="shared" si="338"/>
        <v>0</v>
      </c>
      <c r="R240" s="146">
        <f t="shared" si="338"/>
        <v>0</v>
      </c>
      <c r="S240" s="146">
        <f t="shared" si="338"/>
        <v>0</v>
      </c>
      <c r="T240" s="146">
        <f t="shared" si="338"/>
        <v>0</v>
      </c>
      <c r="U240" s="146">
        <f t="shared" si="338"/>
        <v>0</v>
      </c>
      <c r="V240" s="147">
        <f t="shared" si="338"/>
        <v>0</v>
      </c>
    </row>
    <row r="241" spans="5:16" ht="30" customHeight="1" x14ac:dyDescent="0.3">
      <c r="E241" s="132"/>
    </row>
    <row r="242" spans="5:16" ht="30" customHeight="1" x14ac:dyDescent="0.3"/>
    <row r="243" spans="5:16" ht="30" customHeight="1" x14ac:dyDescent="0.3"/>
    <row r="244" spans="5:16" ht="30" customHeight="1" x14ac:dyDescent="0.3">
      <c r="P244" s="382"/>
    </row>
    <row r="245" spans="5:16" ht="30" customHeight="1" x14ac:dyDescent="0.3"/>
    <row r="246" spans="5:16" ht="30" customHeight="1" x14ac:dyDescent="0.3"/>
    <row r="247" spans="5:16" ht="30" customHeight="1" x14ac:dyDescent="0.3"/>
    <row r="248" spans="5:16" ht="30" customHeight="1" x14ac:dyDescent="0.3"/>
    <row r="249" spans="5:16" ht="30" customHeight="1" x14ac:dyDescent="0.3"/>
    <row r="250" spans="5:16" ht="30" hidden="1" customHeight="1" x14ac:dyDescent="0.3">
      <c r="H250" s="150"/>
    </row>
    <row r="251" spans="5:16" x14ac:dyDescent="0.3"/>
    <row r="252" spans="5:16" x14ac:dyDescent="0.3"/>
    <row r="253" spans="5:16" x14ac:dyDescent="0.3"/>
    <row r="254" spans="5:16" x14ac:dyDescent="0.3"/>
    <row r="255" spans="5:16" x14ac:dyDescent="0.3"/>
    <row r="256" spans="5:16" x14ac:dyDescent="0.3"/>
    <row r="257" x14ac:dyDescent="0.3"/>
    <row r="258" x14ac:dyDescent="0.3"/>
    <row r="259" x14ac:dyDescent="0.3"/>
    <row r="260" x14ac:dyDescent="0.3"/>
    <row r="261" x14ac:dyDescent="0.3"/>
    <row r="262" x14ac:dyDescent="0.3"/>
    <row r="263" x14ac:dyDescent="0.3"/>
  </sheetData>
  <mergeCells count="115">
    <mergeCell ref="W10:X10"/>
    <mergeCell ref="W11:X11"/>
    <mergeCell ref="W12:X12"/>
    <mergeCell ref="W13:X13"/>
    <mergeCell ref="W83:X83"/>
    <mergeCell ref="W84:X84"/>
    <mergeCell ref="W89:X89"/>
    <mergeCell ref="W91:X91"/>
    <mergeCell ref="L4:O5"/>
    <mergeCell ref="W92:X92"/>
    <mergeCell ref="W93:X93"/>
    <mergeCell ref="W97:X97"/>
    <mergeCell ref="W85:X85"/>
    <mergeCell ref="W86:X86"/>
    <mergeCell ref="W87:X87"/>
    <mergeCell ref="W88:X88"/>
    <mergeCell ref="W114:X114"/>
    <mergeCell ref="W115:X115"/>
    <mergeCell ref="W90:X90"/>
    <mergeCell ref="W119:X119"/>
    <mergeCell ref="W120:X120"/>
    <mergeCell ref="W122:X122"/>
    <mergeCell ref="W126:X126"/>
    <mergeCell ref="W98:X98"/>
    <mergeCell ref="W103:X103"/>
    <mergeCell ref="W104:X104"/>
    <mergeCell ref="W108:X108"/>
    <mergeCell ref="W109:X109"/>
    <mergeCell ref="W113:X113"/>
    <mergeCell ref="W101:X101"/>
    <mergeCell ref="W100:X100"/>
    <mergeCell ref="W99:X99"/>
    <mergeCell ref="W102:X102"/>
    <mergeCell ref="W112:X112"/>
    <mergeCell ref="W111:X111"/>
    <mergeCell ref="W110:X110"/>
    <mergeCell ref="W121:X121"/>
    <mergeCell ref="W205:X205"/>
    <mergeCell ref="W196:X196"/>
    <mergeCell ref="W197:X197"/>
    <mergeCell ref="W198:X198"/>
    <mergeCell ref="W127:X127"/>
    <mergeCell ref="W130:X130"/>
    <mergeCell ref="W131:X131"/>
    <mergeCell ref="W135:X135"/>
    <mergeCell ref="W136:X136"/>
    <mergeCell ref="W138:X138"/>
    <mergeCell ref="W129:X129"/>
    <mergeCell ref="W128:X128"/>
    <mergeCell ref="W137:X137"/>
    <mergeCell ref="W189:X189"/>
    <mergeCell ref="W190:X190"/>
    <mergeCell ref="W191:X191"/>
    <mergeCell ref="W214:X214"/>
    <mergeCell ref="W215:X215"/>
    <mergeCell ref="W174:X174"/>
    <mergeCell ref="W175:X175"/>
    <mergeCell ref="W177:X177"/>
    <mergeCell ref="W178:X178"/>
    <mergeCell ref="W179:X179"/>
    <mergeCell ref="W180:X180"/>
    <mergeCell ref="W184:X184"/>
    <mergeCell ref="W185:X185"/>
    <mergeCell ref="W187:X187"/>
    <mergeCell ref="W183:X183"/>
    <mergeCell ref="W186:X186"/>
    <mergeCell ref="W181:X181"/>
    <mergeCell ref="W182:X182"/>
    <mergeCell ref="W176:X176"/>
    <mergeCell ref="W200:X200"/>
    <mergeCell ref="W201:X201"/>
    <mergeCell ref="W202:X202"/>
    <mergeCell ref="W203:X203"/>
    <mergeCell ref="W204:X204"/>
    <mergeCell ref="W207:X207"/>
    <mergeCell ref="W212:X212"/>
    <mergeCell ref="W213:X213"/>
    <mergeCell ref="W230:X230"/>
    <mergeCell ref="W220:X220"/>
    <mergeCell ref="W225:X225"/>
    <mergeCell ref="W226:X226"/>
    <mergeCell ref="W227:X227"/>
    <mergeCell ref="W228:X228"/>
    <mergeCell ref="W217:X217"/>
    <mergeCell ref="W218:X218"/>
    <mergeCell ref="W219:X219"/>
    <mergeCell ref="W221:X221"/>
    <mergeCell ref="W223:X223"/>
    <mergeCell ref="W229:X229"/>
    <mergeCell ref="W222:X222"/>
    <mergeCell ref="W224:X224"/>
    <mergeCell ref="W216:X216"/>
    <mergeCell ref="W156:X156"/>
    <mergeCell ref="W157:X157"/>
    <mergeCell ref="W163:X163"/>
    <mergeCell ref="W167:X167"/>
    <mergeCell ref="W168:X168"/>
    <mergeCell ref="W170:X170"/>
    <mergeCell ref="W158:X158"/>
    <mergeCell ref="W142:X142"/>
    <mergeCell ref="W143:X143"/>
    <mergeCell ref="W145:X145"/>
    <mergeCell ref="W149:X149"/>
    <mergeCell ref="W150:X150"/>
    <mergeCell ref="W152:X152"/>
    <mergeCell ref="W151:X151"/>
    <mergeCell ref="W144:X144"/>
    <mergeCell ref="W169:X169"/>
    <mergeCell ref="W162:X162"/>
    <mergeCell ref="W161:X161"/>
    <mergeCell ref="W160:X160"/>
    <mergeCell ref="W159:X159"/>
    <mergeCell ref="W199:X199"/>
    <mergeCell ref="W188:X188"/>
    <mergeCell ref="W206:X206"/>
  </mergeCells>
  <conditionalFormatting sqref="F235:V240">
    <cfRule type="cellIs" dxfId="5" priority="1" operator="equal">
      <formula>0</formula>
    </cfRule>
  </conditionalFormatting>
  <conditionalFormatting sqref="I68:V68">
    <cfRule type="cellIs" dxfId="4" priority="6" operator="equal">
      <formula>0</formula>
    </cfRule>
  </conditionalFormatting>
  <conditionalFormatting sqref="X59">
    <cfRule type="colorScale" priority="4">
      <colorScale>
        <cfvo type="min"/>
        <cfvo type="max"/>
        <color rgb="FFCEF6CE"/>
        <color rgb="FF59BF59"/>
      </colorScale>
    </cfRule>
  </conditionalFormatting>
  <conditionalFormatting sqref="X61">
    <cfRule type="colorScale" priority="2">
      <colorScale>
        <cfvo type="min"/>
        <cfvo type="max"/>
        <color rgb="FFCEF6CE"/>
        <color rgb="FF59BF59"/>
      </colorScale>
    </cfRule>
  </conditionalFormatting>
  <conditionalFormatting sqref="X63">
    <cfRule type="colorScale" priority="3">
      <colorScale>
        <cfvo type="min"/>
        <cfvo type="max"/>
        <color rgb="FFCEF6CE"/>
        <color rgb="FF59BF59"/>
      </colorScale>
    </cfRule>
  </conditionalFormatting>
  <conditionalFormatting sqref="X65">
    <cfRule type="colorScale" priority="5">
      <colorScale>
        <cfvo type="min"/>
        <cfvo type="max"/>
        <color rgb="FFCEF6CE"/>
        <color rgb="FF59BF59"/>
      </colorScale>
    </cfRule>
  </conditionalFormatting>
  <conditionalFormatting sqref="X70:X75">
    <cfRule type="colorScale" priority="7">
      <colorScale>
        <cfvo type="min"/>
        <cfvo type="max"/>
        <color rgb="FFCEF6CE"/>
        <color rgb="FF59BF59"/>
      </colorScale>
    </cfRule>
  </conditionalFormatting>
  <conditionalFormatting sqref="X77">
    <cfRule type="colorScale" priority="8">
      <colorScale>
        <cfvo type="min"/>
        <cfvo type="max"/>
        <color rgb="FFCEF6CE"/>
        <color rgb="FF59BF59"/>
      </colorScale>
    </cfRule>
  </conditionalFormatting>
  <hyperlinks>
    <hyperlink ref="A13" location="'Projeções - NIM'!A1" display="Projeções - NIM" xr:uid="{A361878C-61DA-4BBB-8F06-5CFEDA3FECE6}"/>
    <hyperlink ref="A12" location="'Balanço Patrimonial - Contábil'!A1" display="Balanço Patrimonial" xr:uid="{64EA740A-D40B-41D1-BFCD-4473530F48CF}"/>
    <hyperlink ref="A11" location="'DRE - Cosif'!A1" display="DRE - Cosif" xr:uid="{B12A92AC-633F-4F31-835D-F6F7DED1794D}"/>
    <hyperlink ref="A10" location="'DRE + DCF'!A1" display="DRE + DCF" xr:uid="{AB0578B4-38BB-4432-95C3-3C8C299C0921}"/>
    <hyperlink ref="A9" location="Ke!A1" display="Ke" xr:uid="{6E838257-BD0D-4A20-B81B-4178029B86F1}"/>
    <hyperlink ref="A8" location="Dashboard!A1" display="Dashboard" xr:uid="{0D3D95A3-2534-4AB3-BAA9-0575EC5B633C}"/>
    <hyperlink ref="A15" location="'Painel de Índices'!A1" display="Painel de Índices" xr:uid="{DA69C200-1951-4661-9B1C-BD83921F1586}"/>
    <hyperlink ref="A14" location="'Projeções Trimestrais'!A1" display="Projeções Trimestrais" xr:uid="{42F2D4C6-98C9-46E0-905D-D51A5E9507D9}"/>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2043-02A4-4717-B3D1-60CAC1C2B516}">
  <dimension ref="A1:AD163"/>
  <sheetViews>
    <sheetView showGridLines="0" zoomScaleNormal="100" workbookViewId="0">
      <selection activeCell="A13" sqref="A13"/>
    </sheetView>
  </sheetViews>
  <sheetFormatPr defaultColWidth="0" defaultRowHeight="0" customHeight="1" zeroHeight="1" x14ac:dyDescent="0.3"/>
  <cols>
    <col min="1" max="1" width="35.6640625" style="1" customWidth="1"/>
    <col min="2" max="4" width="8.88671875" style="2" customWidth="1"/>
    <col min="5" max="5" width="62.44140625" style="2" bestFit="1" customWidth="1"/>
    <col min="6" max="22" width="16.5546875" style="2" customWidth="1"/>
    <col min="23" max="23" width="47.44140625" style="2" bestFit="1" customWidth="1"/>
    <col min="24" max="24" width="16.5546875" style="2" customWidth="1"/>
    <col min="25" max="26" width="8.88671875" style="2" customWidth="1"/>
    <col min="27" max="16384" width="8.88671875" style="2" hidden="1"/>
  </cols>
  <sheetData>
    <row r="1" spans="1:23" ht="14.4" x14ac:dyDescent="0.3"/>
    <row r="2" spans="1:23" ht="14.4" x14ac:dyDescent="0.3"/>
    <row r="3" spans="1:23" ht="14.4" x14ac:dyDescent="0.3"/>
    <row r="4" spans="1:23" ht="14.4" customHeight="1" x14ac:dyDescent="0.3">
      <c r="G4" s="36"/>
      <c r="H4" s="36"/>
      <c r="J4" s="345"/>
      <c r="K4" s="345"/>
      <c r="L4" s="467" t="str">
        <f>Dashboard!J4</f>
        <v>Banco da Amazônia ($BAZA3)</v>
      </c>
      <c r="M4" s="467"/>
      <c r="N4" s="467"/>
      <c r="O4" s="467"/>
    </row>
    <row r="5" spans="1:23" ht="14.4" customHeight="1" x14ac:dyDescent="0.3">
      <c r="G5" s="36"/>
      <c r="H5" s="36"/>
      <c r="I5" s="345"/>
      <c r="J5" s="345"/>
      <c r="K5" s="345"/>
      <c r="L5" s="468"/>
      <c r="M5" s="468"/>
      <c r="N5" s="468"/>
      <c r="O5" s="468"/>
    </row>
    <row r="6" spans="1:23" ht="14.4" x14ac:dyDescent="0.3"/>
    <row r="7" spans="1:23" ht="30" customHeight="1" x14ac:dyDescent="0.3">
      <c r="A7" s="3" t="s">
        <v>0</v>
      </c>
    </row>
    <row r="8" spans="1:23" ht="30" customHeight="1" thickBot="1" x14ac:dyDescent="0.35">
      <c r="A8" s="4" t="s">
        <v>1</v>
      </c>
    </row>
    <row r="9" spans="1:23" ht="30" customHeight="1" thickBot="1" x14ac:dyDescent="0.35">
      <c r="A9" s="4" t="s">
        <v>2</v>
      </c>
      <c r="E9" s="363"/>
      <c r="F9" s="364"/>
      <c r="G9" s="364"/>
      <c r="H9" s="364"/>
      <c r="I9" s="364"/>
      <c r="J9" s="364"/>
      <c r="K9" s="364"/>
      <c r="L9" s="364"/>
      <c r="M9" s="364"/>
      <c r="N9" s="364"/>
      <c r="O9" s="364"/>
      <c r="P9" s="364"/>
      <c r="Q9" s="364"/>
      <c r="R9" s="364"/>
      <c r="S9" s="364"/>
      <c r="T9" s="364"/>
      <c r="U9" s="364"/>
      <c r="V9" s="365"/>
    </row>
    <row r="10" spans="1:23" ht="30" customHeight="1" x14ac:dyDescent="0.3">
      <c r="A10" s="4" t="s">
        <v>4</v>
      </c>
      <c r="E10" s="309" t="s">
        <v>124</v>
      </c>
      <c r="F10" s="88">
        <v>2020</v>
      </c>
      <c r="G10" s="88">
        <v>2021</v>
      </c>
      <c r="H10" s="88">
        <v>2022</v>
      </c>
      <c r="I10" s="88">
        <v>2023</v>
      </c>
      <c r="J10" s="88" t="s">
        <v>410</v>
      </c>
      <c r="K10" s="88" t="s">
        <v>411</v>
      </c>
      <c r="L10" s="89" t="s">
        <v>412</v>
      </c>
      <c r="M10" s="89">
        <v>2024</v>
      </c>
      <c r="N10" s="89">
        <v>2025</v>
      </c>
      <c r="O10" s="89">
        <v>2026</v>
      </c>
      <c r="P10" s="89">
        <v>2027</v>
      </c>
      <c r="Q10" s="89">
        <v>2028</v>
      </c>
      <c r="R10" s="89">
        <v>2029</v>
      </c>
      <c r="S10" s="89">
        <v>2030</v>
      </c>
      <c r="T10" s="89">
        <v>2031</v>
      </c>
      <c r="U10" s="89">
        <v>2032</v>
      </c>
      <c r="V10" s="89">
        <v>2033</v>
      </c>
      <c r="W10" s="97" t="s">
        <v>125</v>
      </c>
    </row>
    <row r="11" spans="1:23" ht="30" customHeight="1" x14ac:dyDescent="0.3">
      <c r="A11" s="4" t="s">
        <v>413</v>
      </c>
      <c r="E11" s="76" t="s">
        <v>37</v>
      </c>
      <c r="F11" s="166">
        <f>SUM(F16)</f>
        <v>19168331</v>
      </c>
      <c r="G11" s="166">
        <f t="shared" ref="G11:H11" si="0">SUM(G16)</f>
        <v>24531447</v>
      </c>
      <c r="H11" s="166">
        <f t="shared" si="0"/>
        <v>33584145</v>
      </c>
      <c r="I11" s="166">
        <f>SUM(I16)</f>
        <v>44413381</v>
      </c>
      <c r="J11" s="166">
        <f t="shared" ref="J11:K11" si="1">SUM(J16)</f>
        <v>47477178.481229998</v>
      </c>
      <c r="K11" s="166">
        <f t="shared" si="1"/>
        <v>47477178.481229998</v>
      </c>
      <c r="L11" s="100">
        <f>'Projeções - NIM'!L38</f>
        <v>56974259.593291961</v>
      </c>
      <c r="M11" s="100">
        <f>'Projeções - NIM'!M38</f>
        <v>56974259.593291961</v>
      </c>
      <c r="N11" s="100">
        <f>'Projeções - NIM'!N38</f>
        <v>63716016.289790206</v>
      </c>
      <c r="O11" s="100">
        <f>'Projeções - NIM'!O38</f>
        <v>69674586.447593585</v>
      </c>
      <c r="P11" s="100">
        <f>'Projeções - NIM'!P38</f>
        <v>75800424.674114853</v>
      </c>
      <c r="Q11" s="100">
        <f>'Projeções - NIM'!Q38</f>
        <v>81990448.246535823</v>
      </c>
      <c r="R11" s="100">
        <f>'Projeções - NIM'!R38</f>
        <v>88261364.238251299</v>
      </c>
      <c r="S11" s="100">
        <f>'Projeções - NIM'!S38</f>
        <v>94609669.606076658</v>
      </c>
      <c r="T11" s="100">
        <f>'Projeções - NIM'!T38</f>
        <v>101132052.27329074</v>
      </c>
      <c r="U11" s="100">
        <f>'Projeções - NIM'!U38</f>
        <v>107785834.30858845</v>
      </c>
      <c r="V11" s="100">
        <f>'Projeções - NIM'!V38</f>
        <v>114583472.13183646</v>
      </c>
      <c r="W11" s="102"/>
    </row>
    <row r="12" spans="1:23" ht="30" customHeight="1" x14ac:dyDescent="0.3">
      <c r="A12" s="5" t="s">
        <v>8</v>
      </c>
      <c r="E12" s="76" t="s">
        <v>38</v>
      </c>
      <c r="F12" s="166">
        <f t="shared" ref="F12:V12" si="2">SUM(F13,F56)</f>
        <v>20815709</v>
      </c>
      <c r="G12" s="166">
        <f t="shared" si="2"/>
        <v>25952485</v>
      </c>
      <c r="H12" s="166">
        <f t="shared" si="2"/>
        <v>34595899</v>
      </c>
      <c r="I12" s="166">
        <f t="shared" si="2"/>
        <v>45212324</v>
      </c>
      <c r="J12" s="166">
        <f>SUM(J13,J56)</f>
        <v>48194839.539789997</v>
      </c>
      <c r="K12" s="166">
        <f t="shared" si="2"/>
        <v>48194839.539789997</v>
      </c>
      <c r="L12" s="100">
        <f>SUM(L13,L56)</f>
        <v>57835477.735531799</v>
      </c>
      <c r="M12" s="100">
        <f t="shared" si="2"/>
        <v>57835477.735531799</v>
      </c>
      <c r="N12" s="100">
        <f t="shared" si="2"/>
        <v>64679142.262321092</v>
      </c>
      <c r="O12" s="100">
        <f t="shared" si="2"/>
        <v>70727781.66820845</v>
      </c>
      <c r="P12" s="100">
        <f t="shared" si="2"/>
        <v>76946217.552948818</v>
      </c>
      <c r="Q12" s="100">
        <f t="shared" si="2"/>
        <v>83229809.00390856</v>
      </c>
      <c r="R12" s="100">
        <f t="shared" si="2"/>
        <v>89595515.637206405</v>
      </c>
      <c r="S12" s="100">
        <f t="shared" si="2"/>
        <v>96039781.457949907</v>
      </c>
      <c r="T12" s="100">
        <f t="shared" si="2"/>
        <v>102660755.91597855</v>
      </c>
      <c r="U12" s="100">
        <f t="shared" si="2"/>
        <v>109415115.96394747</v>
      </c>
      <c r="V12" s="100">
        <f t="shared" si="2"/>
        <v>116315506.31192416</v>
      </c>
      <c r="W12" s="102"/>
    </row>
    <row r="13" spans="1:23" ht="30" customHeight="1" x14ac:dyDescent="0.3">
      <c r="A13" s="4" t="s">
        <v>10</v>
      </c>
      <c r="E13" s="77" t="s">
        <v>39</v>
      </c>
      <c r="F13" s="78">
        <f t="shared" ref="F13:V13" si="3">SUM(F14,F16,F45,F50,F52)</f>
        <v>20567453</v>
      </c>
      <c r="G13" s="78">
        <f t="shared" si="3"/>
        <v>25729049</v>
      </c>
      <c r="H13" s="78">
        <f t="shared" si="3"/>
        <v>34382857</v>
      </c>
      <c r="I13" s="78">
        <f t="shared" si="3"/>
        <v>45006490</v>
      </c>
      <c r="J13" s="78">
        <f t="shared" si="3"/>
        <v>47992289.298859999</v>
      </c>
      <c r="K13" s="78">
        <f t="shared" si="3"/>
        <v>47992289.298859999</v>
      </c>
      <c r="L13" s="79">
        <f t="shared" si="3"/>
        <v>57592410.42663534</v>
      </c>
      <c r="M13" s="79">
        <f t="shared" si="3"/>
        <v>57592410.42663534</v>
      </c>
      <c r="N13" s="79">
        <f t="shared" si="3"/>
        <v>64407312.83050894</v>
      </c>
      <c r="O13" s="79">
        <f t="shared" si="3"/>
        <v>70430531.395064324</v>
      </c>
      <c r="P13" s="79">
        <f t="shared" si="3"/>
        <v>76622832.828508884</v>
      </c>
      <c r="Q13" s="79">
        <f t="shared" si="3"/>
        <v>82880015.996456355</v>
      </c>
      <c r="R13" s="79">
        <f t="shared" si="3"/>
        <v>89218969.238217339</v>
      </c>
      <c r="S13" s="79">
        <f t="shared" si="3"/>
        <v>95636151.503811106</v>
      </c>
      <c r="T13" s="79">
        <f t="shared" si="3"/>
        <v>102229299.74674138</v>
      </c>
      <c r="U13" s="79">
        <f t="shared" si="3"/>
        <v>108955272.99504238</v>
      </c>
      <c r="V13" s="79">
        <f t="shared" si="3"/>
        <v>115826662.81638925</v>
      </c>
      <c r="W13" s="106"/>
    </row>
    <row r="14" spans="1:23" ht="30" customHeight="1" x14ac:dyDescent="0.3">
      <c r="A14" s="4" t="s">
        <v>419</v>
      </c>
      <c r="E14" s="371" t="s">
        <v>40</v>
      </c>
      <c r="F14" s="124">
        <v>73593</v>
      </c>
      <c r="G14" s="124">
        <v>75723</v>
      </c>
      <c r="H14" s="124">
        <v>64740</v>
      </c>
      <c r="I14" s="124">
        <v>61049</v>
      </c>
      <c r="J14" s="124">
        <v>54837.74955</v>
      </c>
      <c r="K14" s="124">
        <f>J14</f>
        <v>54837.74955</v>
      </c>
      <c r="L14" s="92">
        <f>L15*L$11</f>
        <v>65807.199971009875</v>
      </c>
      <c r="M14" s="92">
        <f>M15*M$11</f>
        <v>65807.199971009875</v>
      </c>
      <c r="N14" s="92">
        <f t="shared" ref="N14:V14" si="4">N15*N$11</f>
        <v>73594.157348769106</v>
      </c>
      <c r="O14" s="92">
        <f t="shared" si="4"/>
        <v>80476.507741998721</v>
      </c>
      <c r="P14" s="92">
        <f t="shared" si="4"/>
        <v>87552.058421207636</v>
      </c>
      <c r="Q14" s="92">
        <f t="shared" si="4"/>
        <v>94701.745349364428</v>
      </c>
      <c r="R14" s="92">
        <f t="shared" si="4"/>
        <v>101944.86576223261</v>
      </c>
      <c r="S14" s="92">
        <f t="shared" si="4"/>
        <v>109277.37352625989</v>
      </c>
      <c r="T14" s="92">
        <f t="shared" si="4"/>
        <v>116810.94646837041</v>
      </c>
      <c r="U14" s="92">
        <f t="shared" si="4"/>
        <v>124496.29013208875</v>
      </c>
      <c r="V14" s="92">
        <f t="shared" si="4"/>
        <v>132347.79210435221</v>
      </c>
      <c r="W14" s="109"/>
    </row>
    <row r="15" spans="1:23" ht="30" customHeight="1" x14ac:dyDescent="0.3">
      <c r="A15" s="4" t="s">
        <v>12</v>
      </c>
      <c r="E15" s="80" t="s">
        <v>41</v>
      </c>
      <c r="F15" s="81">
        <f>F14/F$11</f>
        <v>3.8393013977064566E-3</v>
      </c>
      <c r="G15" s="81">
        <f t="shared" ref="G15:J15" si="5">G14/G$11</f>
        <v>3.0867726636753224E-3</v>
      </c>
      <c r="H15" s="81">
        <f t="shared" si="5"/>
        <v>1.9276953455268848E-3</v>
      </c>
      <c r="I15" s="81">
        <f t="shared" si="5"/>
        <v>1.374563220034971E-3</v>
      </c>
      <c r="J15" s="81">
        <f t="shared" si="5"/>
        <v>1.1550338774171255E-3</v>
      </c>
      <c r="K15" s="81">
        <f>K14/K$11</f>
        <v>1.1550338774171255E-3</v>
      </c>
      <c r="L15" s="82">
        <f>K15</f>
        <v>1.1550338774171255E-3</v>
      </c>
      <c r="M15" s="82">
        <f>L15</f>
        <v>1.1550338774171255E-3</v>
      </c>
      <c r="N15" s="82">
        <f>M15</f>
        <v>1.1550338774171255E-3</v>
      </c>
      <c r="O15" s="82">
        <f t="shared" ref="O15:V15" si="6">N15</f>
        <v>1.1550338774171255E-3</v>
      </c>
      <c r="P15" s="82">
        <f t="shared" si="6"/>
        <v>1.1550338774171255E-3</v>
      </c>
      <c r="Q15" s="82">
        <f t="shared" si="6"/>
        <v>1.1550338774171255E-3</v>
      </c>
      <c r="R15" s="82">
        <f t="shared" si="6"/>
        <v>1.1550338774171255E-3</v>
      </c>
      <c r="S15" s="82">
        <f t="shared" si="6"/>
        <v>1.1550338774171255E-3</v>
      </c>
      <c r="T15" s="82">
        <f t="shared" si="6"/>
        <v>1.1550338774171255E-3</v>
      </c>
      <c r="U15" s="82">
        <f t="shared" si="6"/>
        <v>1.1550338774171255E-3</v>
      </c>
      <c r="V15" s="82">
        <f t="shared" si="6"/>
        <v>1.1550338774171255E-3</v>
      </c>
      <c r="W15" s="111"/>
    </row>
    <row r="16" spans="1:23" ht="30" customHeight="1" x14ac:dyDescent="0.3">
      <c r="E16" s="371" t="s">
        <v>81</v>
      </c>
      <c r="F16" s="124">
        <f>SUM(F17,F19,F31,F33,F39,F41,F43)</f>
        <v>19168331</v>
      </c>
      <c r="G16" s="124">
        <f t="shared" ref="G16:V16" si="7">SUM(G17,G19,G31,G33,G39,G41,G43)</f>
        <v>24531447</v>
      </c>
      <c r="H16" s="124">
        <f t="shared" si="7"/>
        <v>33584145</v>
      </c>
      <c r="I16" s="124">
        <f t="shared" si="7"/>
        <v>44413381</v>
      </c>
      <c r="J16" s="124">
        <f t="shared" si="7"/>
        <v>47477178.481229998</v>
      </c>
      <c r="K16" s="124">
        <f t="shared" si="7"/>
        <v>47477178.481229998</v>
      </c>
      <c r="L16" s="92">
        <f t="shared" si="7"/>
        <v>56974259.593291961</v>
      </c>
      <c r="M16" s="92">
        <f t="shared" si="7"/>
        <v>56974259.593291961</v>
      </c>
      <c r="N16" s="92">
        <f t="shared" si="7"/>
        <v>63716016.289790213</v>
      </c>
      <c r="O16" s="92">
        <f t="shared" si="7"/>
        <v>69674586.447593585</v>
      </c>
      <c r="P16" s="92">
        <f t="shared" si="7"/>
        <v>75800424.674114853</v>
      </c>
      <c r="Q16" s="92">
        <f t="shared" si="7"/>
        <v>81990448.246535823</v>
      </c>
      <c r="R16" s="92">
        <f t="shared" si="7"/>
        <v>88261364.238251314</v>
      </c>
      <c r="S16" s="92">
        <f t="shared" si="7"/>
        <v>94609669.606076658</v>
      </c>
      <c r="T16" s="92">
        <f t="shared" si="7"/>
        <v>101132052.27329074</v>
      </c>
      <c r="U16" s="92">
        <f t="shared" si="7"/>
        <v>107785834.30858845</v>
      </c>
      <c r="V16" s="92">
        <f t="shared" si="7"/>
        <v>114583472.13183647</v>
      </c>
      <c r="W16" s="112"/>
    </row>
    <row r="17" spans="1:23" ht="30" customHeight="1" x14ac:dyDescent="0.3">
      <c r="A17" s="20"/>
      <c r="E17" s="372" t="s">
        <v>42</v>
      </c>
      <c r="F17" s="124">
        <v>585878</v>
      </c>
      <c r="G17" s="124">
        <v>1948260</v>
      </c>
      <c r="H17" s="124">
        <v>1112159</v>
      </c>
      <c r="I17" s="124">
        <v>1509359</v>
      </c>
      <c r="J17" s="124">
        <v>2324426.1395399999</v>
      </c>
      <c r="K17" s="124">
        <f>J17</f>
        <v>2324426.1395399999</v>
      </c>
      <c r="L17" s="92">
        <f>'Projeções - NIM'!L48</f>
        <v>2789391.9250475746</v>
      </c>
      <c r="M17" s="92">
        <f>'Projeções - NIM'!M48</f>
        <v>2789391.9250475746</v>
      </c>
      <c r="N17" s="92">
        <f>'Projeções - NIM'!N48</f>
        <v>3119460.3072273359</v>
      </c>
      <c r="O17" s="92">
        <f>'Projeções - NIM'!O48</f>
        <v>3411184.8088119621</v>
      </c>
      <c r="P17" s="92">
        <f>'Projeções - NIM'!P48</f>
        <v>3711098.5559178218</v>
      </c>
      <c r="Q17" s="92">
        <f>'Projeções - NIM'!Q48</f>
        <v>4014154.7411499</v>
      </c>
      <c r="R17" s="92">
        <f>'Projeções - NIM'!R48</f>
        <v>4321171.3229327779</v>
      </c>
      <c r="S17" s="92">
        <f>'Projeções - NIM'!S48</f>
        <v>4631976.7964423122</v>
      </c>
      <c r="T17" s="92">
        <f>'Projeções - NIM'!T48</f>
        <v>4951304.8873007195</v>
      </c>
      <c r="U17" s="92">
        <f>'Projeções - NIM'!U48</f>
        <v>5277066.1347969705</v>
      </c>
      <c r="V17" s="92">
        <f>'Projeções - NIM'!V48</f>
        <v>5609870.3904190734</v>
      </c>
      <c r="W17" s="112" t="s">
        <v>371</v>
      </c>
    </row>
    <row r="18" spans="1:23" ht="30" customHeight="1" x14ac:dyDescent="0.3">
      <c r="A18" s="20"/>
      <c r="E18" s="83" t="s">
        <v>41</v>
      </c>
      <c r="F18" s="81">
        <f>F17/F$11</f>
        <v>3.0564893730184436E-2</v>
      </c>
      <c r="G18" s="81">
        <f t="shared" ref="G18" si="8">G17/G$11</f>
        <v>7.9418878144448632E-2</v>
      </c>
      <c r="H18" s="81">
        <f t="shared" ref="H18" si="9">H17/H$11</f>
        <v>3.3115596660269302E-2</v>
      </c>
      <c r="I18" s="81">
        <f t="shared" ref="I18:V18" si="10">I17/I$11</f>
        <v>3.3984330082863994E-2</v>
      </c>
      <c r="J18" s="81">
        <f t="shared" si="10"/>
        <v>4.8958809556447352E-2</v>
      </c>
      <c r="K18" s="81">
        <f t="shared" si="10"/>
        <v>4.8958809556447352E-2</v>
      </c>
      <c r="L18" s="82">
        <f t="shared" si="10"/>
        <v>4.8958809556447352E-2</v>
      </c>
      <c r="M18" s="82">
        <f t="shared" si="10"/>
        <v>4.8958809556447352E-2</v>
      </c>
      <c r="N18" s="82">
        <f t="shared" si="10"/>
        <v>4.8958809556447352E-2</v>
      </c>
      <c r="O18" s="82">
        <f t="shared" si="10"/>
        <v>4.8958809556447352E-2</v>
      </c>
      <c r="P18" s="82">
        <f t="shared" si="10"/>
        <v>4.8958809556447352E-2</v>
      </c>
      <c r="Q18" s="82">
        <f t="shared" si="10"/>
        <v>4.8958809556447352E-2</v>
      </c>
      <c r="R18" s="82">
        <f t="shared" si="10"/>
        <v>4.8958809556447346E-2</v>
      </c>
      <c r="S18" s="82">
        <f t="shared" si="10"/>
        <v>4.8958809556447352E-2</v>
      </c>
      <c r="T18" s="82">
        <f t="shared" si="10"/>
        <v>4.8958809556447352E-2</v>
      </c>
      <c r="U18" s="82">
        <f t="shared" si="10"/>
        <v>4.8958809556447352E-2</v>
      </c>
      <c r="V18" s="82">
        <f t="shared" si="10"/>
        <v>4.8958809556447352E-2</v>
      </c>
      <c r="W18" s="106"/>
    </row>
    <row r="19" spans="1:23" ht="30" customHeight="1" x14ac:dyDescent="0.3">
      <c r="A19" s="20"/>
      <c r="E19" s="372" t="s">
        <v>43</v>
      </c>
      <c r="F19" s="124">
        <f>SUM(F21:F30)</f>
        <v>12801260</v>
      </c>
      <c r="G19" s="124">
        <f t="shared" ref="G19:I19" si="11">SUM(G21:G30)</f>
        <v>10631360</v>
      </c>
      <c r="H19" s="124">
        <f t="shared" si="11"/>
        <v>11608795</v>
      </c>
      <c r="I19" s="124">
        <f t="shared" si="11"/>
        <v>16099767</v>
      </c>
      <c r="J19" s="124">
        <f t="shared" ref="J19:K19" si="12">SUM(J21:J30)</f>
        <v>17226438</v>
      </c>
      <c r="K19" s="124">
        <f t="shared" si="12"/>
        <v>17226438</v>
      </c>
      <c r="L19" s="92">
        <f>SUM('Projeções - NIM'!L50,'Projeções - NIM'!L52,'Projeções - NIM'!L54)</f>
        <v>20672322.616386499</v>
      </c>
      <c r="M19" s="92">
        <f>SUM('Projeções - NIM'!M50,'Projeções - NIM'!M52,'Projeções - NIM'!M54)</f>
        <v>20672322.616386499</v>
      </c>
      <c r="N19" s="92">
        <f>SUM('Projeções - NIM'!N50,'Projeções - NIM'!N52,'Projeções - NIM'!N54)</f>
        <v>23118475.851655655</v>
      </c>
      <c r="O19" s="92">
        <f>SUM('Projeções - NIM'!O50,'Projeções - NIM'!O52,'Projeções - NIM'!O54)</f>
        <v>25280460.676272608</v>
      </c>
      <c r="P19" s="92">
        <f>SUM('Projeções - NIM'!P50,'Projeções - NIM'!P52,'Projeções - NIM'!P54)</f>
        <v>27503136.407706782</v>
      </c>
      <c r="Q19" s="92">
        <f>SUM('Projeções - NIM'!Q50,'Projeções - NIM'!Q52,'Projeções - NIM'!Q54)</f>
        <v>29749100.904754665</v>
      </c>
      <c r="R19" s="92">
        <f>SUM('Projeções - NIM'!R50,'Projeções - NIM'!R52,'Projeções - NIM'!R54)</f>
        <v>32024416.098078609</v>
      </c>
      <c r="S19" s="92">
        <f>SUM('Projeções - NIM'!S50,'Projeções - NIM'!S52,'Projeções - NIM'!S54)</f>
        <v>34327810.956876829</v>
      </c>
      <c r="T19" s="92">
        <f>SUM('Projeções - NIM'!T50,'Projeções - NIM'!T52,'Projeções - NIM'!T54)</f>
        <v>36694367.357726514</v>
      </c>
      <c r="U19" s="92">
        <f>SUM('Projeções - NIM'!U50,'Projeções - NIM'!U52,'Projeções - NIM'!U54)</f>
        <v>39108600.203132123</v>
      </c>
      <c r="V19" s="92">
        <f>SUM('Projeções - NIM'!V50,'Projeções - NIM'!V52,'Projeções - NIM'!V54)</f>
        <v>41575029.132874273</v>
      </c>
      <c r="W19" s="112"/>
    </row>
    <row r="20" spans="1:23" ht="30" customHeight="1" x14ac:dyDescent="0.3">
      <c r="E20" s="83" t="s">
        <v>41</v>
      </c>
      <c r="F20" s="81">
        <f>F19/F$11</f>
        <v>0.66783383488108594</v>
      </c>
      <c r="G20" s="81">
        <f t="shared" ref="G20" si="13">G19/G$11</f>
        <v>0.4333767999906406</v>
      </c>
      <c r="H20" s="81">
        <f t="shared" ref="H20" si="14">H19/H$11</f>
        <v>0.34566296090015097</v>
      </c>
      <c r="I20" s="81">
        <f t="shared" ref="I20:V20" si="15">I19/I$11</f>
        <v>0.36249811740295113</v>
      </c>
      <c r="J20" s="81">
        <f t="shared" ref="J20:K20" si="16">J19/J$11</f>
        <v>0.36283617837168725</v>
      </c>
      <c r="K20" s="81">
        <f t="shared" si="16"/>
        <v>0.36283617837168725</v>
      </c>
      <c r="L20" s="82">
        <f>L19/L$11</f>
        <v>0.3628361783716873</v>
      </c>
      <c r="M20" s="82">
        <f>M19/M$11</f>
        <v>0.3628361783716873</v>
      </c>
      <c r="N20" s="82">
        <f t="shared" si="15"/>
        <v>0.36283617837168736</v>
      </c>
      <c r="O20" s="82">
        <f t="shared" si="15"/>
        <v>0.36283617837168725</v>
      </c>
      <c r="P20" s="82">
        <f t="shared" si="15"/>
        <v>0.3628361783716873</v>
      </c>
      <c r="Q20" s="82">
        <f t="shared" si="15"/>
        <v>0.36283617837168725</v>
      </c>
      <c r="R20" s="82">
        <f t="shared" si="15"/>
        <v>0.3628361783716873</v>
      </c>
      <c r="S20" s="82">
        <f t="shared" si="15"/>
        <v>0.36283617837168725</v>
      </c>
      <c r="T20" s="82">
        <f t="shared" si="15"/>
        <v>0.36283617837168725</v>
      </c>
      <c r="U20" s="82">
        <f t="shared" si="15"/>
        <v>0.36283617837168725</v>
      </c>
      <c r="V20" s="82">
        <f t="shared" si="15"/>
        <v>0.3628361783716873</v>
      </c>
      <c r="W20" s="111" t="s">
        <v>371</v>
      </c>
    </row>
    <row r="21" spans="1:23" ht="30" customHeight="1" x14ac:dyDescent="0.3">
      <c r="A21" s="20"/>
      <c r="E21" s="373" t="s">
        <v>64</v>
      </c>
      <c r="F21" s="124">
        <v>9175911</v>
      </c>
      <c r="G21" s="124">
        <v>6986931</v>
      </c>
      <c r="H21" s="124">
        <v>8389137</v>
      </c>
      <c r="I21" s="124">
        <v>13386348</v>
      </c>
      <c r="J21" s="124">
        <v>14559576</v>
      </c>
      <c r="K21" s="124">
        <f>J21</f>
        <v>14559576</v>
      </c>
      <c r="L21" s="92" t="s">
        <v>21</v>
      </c>
      <c r="M21" s="92" t="s">
        <v>21</v>
      </c>
      <c r="N21" s="92" t="s">
        <v>21</v>
      </c>
      <c r="O21" s="92" t="s">
        <v>21</v>
      </c>
      <c r="P21" s="92" t="s">
        <v>21</v>
      </c>
      <c r="Q21" s="92" t="s">
        <v>21</v>
      </c>
      <c r="R21" s="92" t="s">
        <v>21</v>
      </c>
      <c r="S21" s="92" t="s">
        <v>21</v>
      </c>
      <c r="T21" s="92" t="s">
        <v>21</v>
      </c>
      <c r="U21" s="92" t="s">
        <v>21</v>
      </c>
      <c r="V21" s="92" t="s">
        <v>21</v>
      </c>
      <c r="W21" s="112"/>
    </row>
    <row r="22" spans="1:23" ht="30" customHeight="1" x14ac:dyDescent="0.3">
      <c r="A22" s="20"/>
      <c r="E22" s="373" t="s">
        <v>65</v>
      </c>
      <c r="F22" s="124">
        <v>725655</v>
      </c>
      <c r="G22" s="124">
        <v>839488</v>
      </c>
      <c r="H22" s="124">
        <v>734695</v>
      </c>
      <c r="I22" s="124">
        <v>520122</v>
      </c>
      <c r="J22" s="124">
        <v>474075</v>
      </c>
      <c r="K22" s="124">
        <f t="shared" ref="K22:K30" si="17">J22</f>
        <v>474075</v>
      </c>
      <c r="L22" s="92" t="s">
        <v>21</v>
      </c>
      <c r="M22" s="92" t="s">
        <v>21</v>
      </c>
      <c r="N22" s="92" t="s">
        <v>21</v>
      </c>
      <c r="O22" s="92" t="s">
        <v>21</v>
      </c>
      <c r="P22" s="92" t="s">
        <v>21</v>
      </c>
      <c r="Q22" s="92" t="s">
        <v>21</v>
      </c>
      <c r="R22" s="92" t="s">
        <v>21</v>
      </c>
      <c r="S22" s="92" t="s">
        <v>21</v>
      </c>
      <c r="T22" s="92" t="s">
        <v>21</v>
      </c>
      <c r="U22" s="92" t="s">
        <v>21</v>
      </c>
      <c r="V22" s="92" t="s">
        <v>21</v>
      </c>
      <c r="W22" s="111"/>
    </row>
    <row r="23" spans="1:23" ht="30" customHeight="1" x14ac:dyDescent="0.3">
      <c r="A23" s="20"/>
      <c r="E23" s="373" t="s">
        <v>66</v>
      </c>
      <c r="F23" s="124">
        <v>88995</v>
      </c>
      <c r="G23" s="124">
        <v>39518</v>
      </c>
      <c r="H23" s="124">
        <v>39495</v>
      </c>
      <c r="I23" s="124">
        <v>40134</v>
      </c>
      <c r="J23" s="124">
        <v>40896</v>
      </c>
      <c r="K23" s="124">
        <f t="shared" si="17"/>
        <v>40896</v>
      </c>
      <c r="L23" s="92" t="s">
        <v>21</v>
      </c>
      <c r="M23" s="92" t="s">
        <v>21</v>
      </c>
      <c r="N23" s="92" t="s">
        <v>21</v>
      </c>
      <c r="O23" s="92" t="s">
        <v>21</v>
      </c>
      <c r="P23" s="92" t="s">
        <v>21</v>
      </c>
      <c r="Q23" s="92" t="s">
        <v>21</v>
      </c>
      <c r="R23" s="92" t="s">
        <v>21</v>
      </c>
      <c r="S23" s="92" t="s">
        <v>21</v>
      </c>
      <c r="T23" s="92" t="s">
        <v>21</v>
      </c>
      <c r="U23" s="92" t="s">
        <v>21</v>
      </c>
      <c r="V23" s="92" t="s">
        <v>21</v>
      </c>
      <c r="W23" s="112"/>
    </row>
    <row r="24" spans="1:23" ht="30" customHeight="1" x14ac:dyDescent="0.3">
      <c r="A24" s="20"/>
      <c r="E24" s="373" t="s">
        <v>67</v>
      </c>
      <c r="F24" s="124">
        <v>38062</v>
      </c>
      <c r="G24" s="124">
        <v>40649</v>
      </c>
      <c r="H24" s="124">
        <v>46452</v>
      </c>
      <c r="I24" s="124">
        <v>51825</v>
      </c>
      <c r="J24" s="124">
        <v>53586</v>
      </c>
      <c r="K24" s="124">
        <f t="shared" si="17"/>
        <v>53586</v>
      </c>
      <c r="L24" s="92" t="s">
        <v>21</v>
      </c>
      <c r="M24" s="92" t="s">
        <v>21</v>
      </c>
      <c r="N24" s="92" t="s">
        <v>21</v>
      </c>
      <c r="O24" s="92" t="s">
        <v>21</v>
      </c>
      <c r="P24" s="92" t="s">
        <v>21</v>
      </c>
      <c r="Q24" s="92" t="s">
        <v>21</v>
      </c>
      <c r="R24" s="92" t="s">
        <v>21</v>
      </c>
      <c r="S24" s="92" t="s">
        <v>21</v>
      </c>
      <c r="T24" s="92" t="s">
        <v>21</v>
      </c>
      <c r="U24" s="92" t="s">
        <v>21</v>
      </c>
      <c r="V24" s="92" t="s">
        <v>21</v>
      </c>
      <c r="W24" s="111"/>
    </row>
    <row r="25" spans="1:23" ht="30" customHeight="1" x14ac:dyDescent="0.3">
      <c r="A25" s="20"/>
      <c r="E25" s="373" t="s">
        <v>68</v>
      </c>
      <c r="F25" s="124">
        <v>36878</v>
      </c>
      <c r="G25" s="124">
        <v>39071</v>
      </c>
      <c r="H25" s="124">
        <v>794</v>
      </c>
      <c r="I25" s="124">
        <v>900</v>
      </c>
      <c r="J25" s="124">
        <v>849</v>
      </c>
      <c r="K25" s="124">
        <f t="shared" si="17"/>
        <v>849</v>
      </c>
      <c r="L25" s="92" t="s">
        <v>21</v>
      </c>
      <c r="M25" s="92" t="s">
        <v>21</v>
      </c>
      <c r="N25" s="92" t="s">
        <v>21</v>
      </c>
      <c r="O25" s="92" t="s">
        <v>21</v>
      </c>
      <c r="P25" s="92" t="s">
        <v>21</v>
      </c>
      <c r="Q25" s="92" t="s">
        <v>21</v>
      </c>
      <c r="R25" s="92" t="s">
        <v>21</v>
      </c>
      <c r="S25" s="92" t="s">
        <v>21</v>
      </c>
      <c r="T25" s="92" t="s">
        <v>21</v>
      </c>
      <c r="U25" s="92" t="s">
        <v>21</v>
      </c>
      <c r="V25" s="92" t="s">
        <v>21</v>
      </c>
      <c r="W25" s="109"/>
    </row>
    <row r="26" spans="1:23" ht="30" customHeight="1" x14ac:dyDescent="0.3">
      <c r="A26" s="20"/>
      <c r="E26" s="373" t="s">
        <v>69</v>
      </c>
      <c r="F26" s="124">
        <v>1716461</v>
      </c>
      <c r="G26" s="124">
        <v>1840210</v>
      </c>
      <c r="H26" s="124">
        <v>1684242</v>
      </c>
      <c r="I26" s="124">
        <v>1535027</v>
      </c>
      <c r="J26" s="124">
        <v>1517984</v>
      </c>
      <c r="K26" s="124">
        <f t="shared" si="17"/>
        <v>1517984</v>
      </c>
      <c r="L26" s="92" t="s">
        <v>21</v>
      </c>
      <c r="M26" s="92" t="s">
        <v>21</v>
      </c>
      <c r="N26" s="92" t="s">
        <v>21</v>
      </c>
      <c r="O26" s="92" t="s">
        <v>21</v>
      </c>
      <c r="P26" s="92" t="s">
        <v>21</v>
      </c>
      <c r="Q26" s="92" t="s">
        <v>21</v>
      </c>
      <c r="R26" s="92" t="s">
        <v>21</v>
      </c>
      <c r="S26" s="92" t="s">
        <v>21</v>
      </c>
      <c r="T26" s="92" t="s">
        <v>21</v>
      </c>
      <c r="U26" s="92" t="s">
        <v>21</v>
      </c>
      <c r="V26" s="92" t="s">
        <v>21</v>
      </c>
      <c r="W26" s="111"/>
    </row>
    <row r="27" spans="1:23" ht="30" customHeight="1" x14ac:dyDescent="0.3">
      <c r="A27" s="20"/>
      <c r="E27" s="373" t="s">
        <v>70</v>
      </c>
      <c r="F27" s="124">
        <v>0</v>
      </c>
      <c r="G27" s="124">
        <v>0</v>
      </c>
      <c r="H27" s="124">
        <v>18646</v>
      </c>
      <c r="I27" s="124">
        <v>0</v>
      </c>
      <c r="J27" s="124">
        <v>0</v>
      </c>
      <c r="K27" s="124">
        <f t="shared" si="17"/>
        <v>0</v>
      </c>
      <c r="L27" s="92" t="s">
        <v>21</v>
      </c>
      <c r="M27" s="92" t="s">
        <v>21</v>
      </c>
      <c r="N27" s="92" t="s">
        <v>21</v>
      </c>
      <c r="O27" s="92" t="s">
        <v>21</v>
      </c>
      <c r="P27" s="92" t="s">
        <v>21</v>
      </c>
      <c r="Q27" s="92" t="s">
        <v>21</v>
      </c>
      <c r="R27" s="92" t="s">
        <v>21</v>
      </c>
      <c r="S27" s="92" t="s">
        <v>21</v>
      </c>
      <c r="T27" s="92" t="s">
        <v>21</v>
      </c>
      <c r="U27" s="92" t="s">
        <v>21</v>
      </c>
      <c r="V27" s="92" t="s">
        <v>21</v>
      </c>
      <c r="W27" s="112"/>
    </row>
    <row r="28" spans="1:23" ht="30" customHeight="1" x14ac:dyDescent="0.3">
      <c r="E28" s="373" t="s">
        <v>71</v>
      </c>
      <c r="F28" s="124">
        <v>0</v>
      </c>
      <c r="G28" s="124">
        <v>0</v>
      </c>
      <c r="H28" s="124">
        <v>259</v>
      </c>
      <c r="I28" s="124">
        <v>0</v>
      </c>
      <c r="J28" s="124">
        <v>0</v>
      </c>
      <c r="K28" s="124">
        <f t="shared" si="17"/>
        <v>0</v>
      </c>
      <c r="L28" s="92" t="s">
        <v>21</v>
      </c>
      <c r="M28" s="92" t="s">
        <v>21</v>
      </c>
      <c r="N28" s="92" t="s">
        <v>21</v>
      </c>
      <c r="O28" s="92" t="s">
        <v>21</v>
      </c>
      <c r="P28" s="92" t="s">
        <v>21</v>
      </c>
      <c r="Q28" s="92" t="s">
        <v>21</v>
      </c>
      <c r="R28" s="92" t="s">
        <v>21</v>
      </c>
      <c r="S28" s="92" t="s">
        <v>21</v>
      </c>
      <c r="T28" s="92" t="s">
        <v>21</v>
      </c>
      <c r="U28" s="92" t="s">
        <v>21</v>
      </c>
      <c r="V28" s="92" t="s">
        <v>21</v>
      </c>
      <c r="W28" s="111"/>
    </row>
    <row r="29" spans="1:23" ht="30" customHeight="1" x14ac:dyDescent="0.3">
      <c r="E29" s="373" t="s">
        <v>72</v>
      </c>
      <c r="F29" s="124">
        <v>252073</v>
      </c>
      <c r="G29" s="124">
        <v>200144</v>
      </c>
      <c r="H29" s="124">
        <v>70080</v>
      </c>
      <c r="I29" s="124">
        <v>0</v>
      </c>
      <c r="J29" s="124">
        <v>100187</v>
      </c>
      <c r="K29" s="124">
        <f t="shared" si="17"/>
        <v>100187</v>
      </c>
      <c r="L29" s="92" t="s">
        <v>21</v>
      </c>
      <c r="M29" s="92" t="s">
        <v>21</v>
      </c>
      <c r="N29" s="92" t="s">
        <v>21</v>
      </c>
      <c r="O29" s="92" t="s">
        <v>21</v>
      </c>
      <c r="P29" s="92" t="s">
        <v>21</v>
      </c>
      <c r="Q29" s="92" t="s">
        <v>21</v>
      </c>
      <c r="R29" s="92" t="s">
        <v>21</v>
      </c>
      <c r="S29" s="92" t="s">
        <v>21</v>
      </c>
      <c r="T29" s="92" t="s">
        <v>21</v>
      </c>
      <c r="U29" s="92" t="s">
        <v>21</v>
      </c>
      <c r="V29" s="92" t="s">
        <v>21</v>
      </c>
      <c r="W29" s="112"/>
    </row>
    <row r="30" spans="1:23" ht="30" customHeight="1" x14ac:dyDescent="0.3">
      <c r="E30" s="373" t="s">
        <v>73</v>
      </c>
      <c r="F30" s="124">
        <v>767225</v>
      </c>
      <c r="G30" s="124">
        <v>645349</v>
      </c>
      <c r="H30" s="124">
        <v>624995</v>
      </c>
      <c r="I30" s="124">
        <v>565411</v>
      </c>
      <c r="J30" s="124">
        <v>479285</v>
      </c>
      <c r="K30" s="124">
        <f t="shared" si="17"/>
        <v>479285</v>
      </c>
      <c r="L30" s="92" t="s">
        <v>21</v>
      </c>
      <c r="M30" s="92" t="s">
        <v>21</v>
      </c>
      <c r="N30" s="92" t="s">
        <v>21</v>
      </c>
      <c r="O30" s="92" t="s">
        <v>21</v>
      </c>
      <c r="P30" s="92" t="s">
        <v>21</v>
      </c>
      <c r="Q30" s="92" t="s">
        <v>21</v>
      </c>
      <c r="R30" s="92" t="s">
        <v>21</v>
      </c>
      <c r="S30" s="92" t="s">
        <v>21</v>
      </c>
      <c r="T30" s="92" t="s">
        <v>21</v>
      </c>
      <c r="U30" s="92" t="s">
        <v>21</v>
      </c>
      <c r="V30" s="92" t="s">
        <v>21</v>
      </c>
      <c r="W30" s="111"/>
    </row>
    <row r="31" spans="1:23" ht="30" customHeight="1" x14ac:dyDescent="0.3">
      <c r="E31" s="372" t="s">
        <v>74</v>
      </c>
      <c r="F31" s="124">
        <v>543523</v>
      </c>
      <c r="G31" s="124">
        <v>499289</v>
      </c>
      <c r="H31" s="124">
        <v>927618</v>
      </c>
      <c r="I31" s="124">
        <v>805425</v>
      </c>
      <c r="J31" s="124">
        <v>826763.73152000003</v>
      </c>
      <c r="K31" s="124">
        <f>J31</f>
        <v>826763.73152000003</v>
      </c>
      <c r="L31" s="92">
        <f>'Projeções - NIM'!L56</f>
        <v>992145.13096143212</v>
      </c>
      <c r="M31" s="92">
        <f>'Projeções - NIM'!M56</f>
        <v>992145.13096143212</v>
      </c>
      <c r="N31" s="92">
        <f>'Projeções - NIM'!N56</f>
        <v>1109545.5347280637</v>
      </c>
      <c r="O31" s="92">
        <f>'Projeções - NIM'!O56</f>
        <v>1213307.591694799</v>
      </c>
      <c r="P31" s="92">
        <f>'Projeções - NIM'!P56</f>
        <v>1319982.4412301155</v>
      </c>
      <c r="Q31" s="92">
        <f>'Projeções - NIM'!Q56</f>
        <v>1427775.0091678835</v>
      </c>
      <c r="R31" s="92">
        <f>'Projeções - NIM'!R56</f>
        <v>1536976.2311277951</v>
      </c>
      <c r="S31" s="92">
        <f>'Projeções - NIM'!S56</f>
        <v>1647525.1054002361</v>
      </c>
      <c r="T31" s="92">
        <f>'Projeções - NIM'!T56</f>
        <v>1761105.3476313364</v>
      </c>
      <c r="U31" s="92">
        <f>'Projeções - NIM'!U56</f>
        <v>1876973.7677902624</v>
      </c>
      <c r="V31" s="92">
        <f>'Projeções - NIM'!V56</f>
        <v>1995347.280961267</v>
      </c>
      <c r="W31" s="109" t="s">
        <v>371</v>
      </c>
    </row>
    <row r="32" spans="1:23" ht="30" customHeight="1" x14ac:dyDescent="0.3">
      <c r="E32" s="83" t="s">
        <v>41</v>
      </c>
      <c r="F32" s="81">
        <f>F31/F$11</f>
        <v>2.8355259516334521E-2</v>
      </c>
      <c r="G32" s="81">
        <f t="shared" ref="G32" si="18">G31/G$11</f>
        <v>2.0353018719197445E-2</v>
      </c>
      <c r="H32" s="81">
        <f t="shared" ref="H32" si="19">H31/H$11</f>
        <v>2.7620712094948374E-2</v>
      </c>
      <c r="I32" s="81">
        <f t="shared" ref="I32:V32" si="20">I31/I$11</f>
        <v>1.8134737366650829E-2</v>
      </c>
      <c r="J32" s="81">
        <f t="shared" si="20"/>
        <v>1.7413918812527147E-2</v>
      </c>
      <c r="K32" s="81">
        <f t="shared" si="20"/>
        <v>1.7413918812527147E-2</v>
      </c>
      <c r="L32" s="82">
        <f t="shared" si="20"/>
        <v>1.7413918812527147E-2</v>
      </c>
      <c r="M32" s="82">
        <f t="shared" si="20"/>
        <v>1.7413918812527147E-2</v>
      </c>
      <c r="N32" s="82">
        <f t="shared" si="20"/>
        <v>1.7413918812527147E-2</v>
      </c>
      <c r="O32" s="82">
        <f t="shared" si="20"/>
        <v>1.7413918812527147E-2</v>
      </c>
      <c r="P32" s="82">
        <f t="shared" si="20"/>
        <v>1.7413918812527147E-2</v>
      </c>
      <c r="Q32" s="82">
        <f t="shared" si="20"/>
        <v>1.7413918812527147E-2</v>
      </c>
      <c r="R32" s="82">
        <f t="shared" si="20"/>
        <v>1.7413918812527147E-2</v>
      </c>
      <c r="S32" s="82">
        <f t="shared" si="20"/>
        <v>1.7413918812527147E-2</v>
      </c>
      <c r="T32" s="82">
        <f t="shared" si="20"/>
        <v>1.7413918812527147E-2</v>
      </c>
      <c r="U32" s="82">
        <f t="shared" si="20"/>
        <v>1.7413918812527147E-2</v>
      </c>
      <c r="V32" s="82">
        <f t="shared" si="20"/>
        <v>1.7413918812527147E-2</v>
      </c>
      <c r="W32" s="111"/>
    </row>
    <row r="33" spans="5:23" ht="30" customHeight="1" x14ac:dyDescent="0.3">
      <c r="E33" s="372" t="s">
        <v>75</v>
      </c>
      <c r="F33" s="124">
        <f>SUM(F35:F38)</f>
        <v>5032252</v>
      </c>
      <c r="G33" s="124">
        <f t="shared" ref="G33:V33" si="21">SUM(G35:G38)</f>
        <v>11224831</v>
      </c>
      <c r="H33" s="124">
        <f t="shared" si="21"/>
        <v>19699806</v>
      </c>
      <c r="I33" s="124">
        <f t="shared" si="21"/>
        <v>25792751</v>
      </c>
      <c r="J33" s="124">
        <f t="shared" si="21"/>
        <v>26885958</v>
      </c>
      <c r="K33" s="124">
        <f t="shared" si="21"/>
        <v>26885958</v>
      </c>
      <c r="L33" s="92">
        <f t="shared" si="21"/>
        <v>32264081.386216782</v>
      </c>
      <c r="M33" s="92">
        <f t="shared" si="21"/>
        <v>32264081.386216782</v>
      </c>
      <c r="N33" s="92">
        <f t="shared" si="21"/>
        <v>36081885.922767557</v>
      </c>
      <c r="O33" s="92">
        <f t="shared" si="21"/>
        <v>39456177.995875701</v>
      </c>
      <c r="P33" s="92">
        <f t="shared" si="21"/>
        <v>42925192.679175779</v>
      </c>
      <c r="Q33" s="92">
        <f t="shared" si="21"/>
        <v>46430555.026117176</v>
      </c>
      <c r="R33" s="92">
        <f t="shared" si="21"/>
        <v>49981726.122804105</v>
      </c>
      <c r="S33" s="92">
        <f t="shared" si="21"/>
        <v>53576722.223046355</v>
      </c>
      <c r="T33" s="92">
        <f t="shared" si="21"/>
        <v>57270296.948005512</v>
      </c>
      <c r="U33" s="92">
        <f t="shared" si="21"/>
        <v>61038282.116140425</v>
      </c>
      <c r="V33" s="92">
        <f t="shared" si="21"/>
        <v>64887731.701425105</v>
      </c>
      <c r="W33" s="109"/>
    </row>
    <row r="34" spans="5:23" ht="30" customHeight="1" x14ac:dyDescent="0.3">
      <c r="E34" s="83" t="s">
        <v>41</v>
      </c>
      <c r="F34" s="81">
        <f>F33/F$11</f>
        <v>0.26252948157040901</v>
      </c>
      <c r="G34" s="81">
        <f t="shared" ref="G34" si="22">G33/G$11</f>
        <v>0.45756905412061505</v>
      </c>
      <c r="H34" s="81">
        <f t="shared" ref="H34" si="23">H33/H$11</f>
        <v>0.58658054269358351</v>
      </c>
      <c r="I34" s="81">
        <f t="shared" ref="I34:K34" si="24">I33/I$11</f>
        <v>0.58074279460957945</v>
      </c>
      <c r="J34" s="81">
        <f t="shared" si="24"/>
        <v>0.56629224524429789</v>
      </c>
      <c r="K34" s="81">
        <f t="shared" si="24"/>
        <v>0.56629224524429789</v>
      </c>
      <c r="L34" s="82">
        <f t="shared" ref="L34:V34" si="25">L33/L11</f>
        <v>0.56629224524429789</v>
      </c>
      <c r="M34" s="82">
        <f t="shared" si="25"/>
        <v>0.56629224524429789</v>
      </c>
      <c r="N34" s="82">
        <f t="shared" si="25"/>
        <v>0.56629224524429789</v>
      </c>
      <c r="O34" s="82">
        <f t="shared" si="25"/>
        <v>0.56629224524429789</v>
      </c>
      <c r="P34" s="82">
        <f t="shared" si="25"/>
        <v>0.56629224524429789</v>
      </c>
      <c r="Q34" s="82">
        <f t="shared" si="25"/>
        <v>0.56629224524429789</v>
      </c>
      <c r="R34" s="82">
        <f t="shared" si="25"/>
        <v>0.56629224524429789</v>
      </c>
      <c r="S34" s="82">
        <f t="shared" si="25"/>
        <v>0.56629224524429789</v>
      </c>
      <c r="T34" s="82">
        <f t="shared" si="25"/>
        <v>0.56629224524429789</v>
      </c>
      <c r="U34" s="82">
        <f t="shared" si="25"/>
        <v>0.56629224524429789</v>
      </c>
      <c r="V34" s="82">
        <f t="shared" si="25"/>
        <v>0.56629224524429789</v>
      </c>
      <c r="W34" s="111"/>
    </row>
    <row r="35" spans="5:23" ht="30" customHeight="1" x14ac:dyDescent="0.3">
      <c r="E35" s="373" t="s">
        <v>76</v>
      </c>
      <c r="F35" s="124">
        <v>1993626</v>
      </c>
      <c r="G35" s="124">
        <v>2439446</v>
      </c>
      <c r="H35" s="124">
        <v>2886738</v>
      </c>
      <c r="I35" s="124">
        <v>3099444</v>
      </c>
      <c r="J35" s="124">
        <v>2878763</v>
      </c>
      <c r="K35" s="124">
        <f>J35</f>
        <v>2878763</v>
      </c>
      <c r="L35" s="92">
        <f>'Projeções - NIM'!L40</f>
        <v>3454615.3692432898</v>
      </c>
      <c r="M35" s="92">
        <f>'Projeções - NIM'!M40</f>
        <v>3454615.3692432898</v>
      </c>
      <c r="N35" s="92">
        <f>'Projeções - NIM'!N40</f>
        <v>3863399.5546926055</v>
      </c>
      <c r="O35" s="92">
        <f>'Projeções - NIM'!O40</f>
        <v>4224695.4836402377</v>
      </c>
      <c r="P35" s="92">
        <f>'Projeções - NIM'!P40</f>
        <v>4596133.6565608745</v>
      </c>
      <c r="Q35" s="92">
        <f>'Projeções - NIM'!Q40</f>
        <v>4971463.6866817307</v>
      </c>
      <c r="R35" s="92">
        <f>'Projeções - NIM'!R40</f>
        <v>5351698.6018672623</v>
      </c>
      <c r="S35" s="92">
        <f>'Projeções - NIM'!S40</f>
        <v>5736625.9962536432</v>
      </c>
      <c r="T35" s="92">
        <f>'Projeções - NIM'!T40</f>
        <v>6132108.5100605749</v>
      </c>
      <c r="U35" s="92">
        <f>'Projeções - NIM'!U40</f>
        <v>6535558.381051803</v>
      </c>
      <c r="V35" s="92">
        <f>'Projeções - NIM'!V40</f>
        <v>6947730.9001222737</v>
      </c>
      <c r="W35" s="112" t="s">
        <v>371</v>
      </c>
    </row>
    <row r="36" spans="5:23" ht="30" customHeight="1" x14ac:dyDescent="0.3">
      <c r="E36" s="373" t="s">
        <v>77</v>
      </c>
      <c r="F36" s="124">
        <v>6270</v>
      </c>
      <c r="G36" s="124">
        <v>11857</v>
      </c>
      <c r="H36" s="124">
        <v>5879</v>
      </c>
      <c r="I36" s="124">
        <v>8746</v>
      </c>
      <c r="J36" s="124">
        <v>10638</v>
      </c>
      <c r="K36" s="124">
        <f t="shared" ref="K36:K38" si="26">J36</f>
        <v>10638</v>
      </c>
      <c r="L36" s="92">
        <f>'Projeções - NIM'!L42</f>
        <v>12765.968680996011</v>
      </c>
      <c r="M36" s="92">
        <f>'Projeções - NIM'!M42</f>
        <v>12765.968680996011</v>
      </c>
      <c r="N36" s="92">
        <f>'Projeções - NIM'!N42</f>
        <v>14276.564087707095</v>
      </c>
      <c r="O36" s="92">
        <f>'Projeções - NIM'!O42</f>
        <v>15611.674373668429</v>
      </c>
      <c r="P36" s="92">
        <f>'Projeções - NIM'!P42</f>
        <v>16984.263671061002</v>
      </c>
      <c r="Q36" s="92">
        <f>'Projeções - NIM'!Q42</f>
        <v>18371.234693137383</v>
      </c>
      <c r="R36" s="92">
        <f>'Projeções - NIM'!R42</f>
        <v>19776.330919448363</v>
      </c>
      <c r="S36" s="92">
        <f>'Projeções - NIM'!S42</f>
        <v>21198.767438704144</v>
      </c>
      <c r="T36" s="92">
        <f>'Projeções - NIM'!T42</f>
        <v>22660.208683390887</v>
      </c>
      <c r="U36" s="92">
        <f>'Projeções - NIM'!U42</f>
        <v>24151.091999455697</v>
      </c>
      <c r="V36" s="92">
        <f>'Projeções - NIM'!V42</f>
        <v>25674.208441438474</v>
      </c>
      <c r="W36" s="112" t="s">
        <v>371</v>
      </c>
    </row>
    <row r="37" spans="5:23" ht="30" customHeight="1" x14ac:dyDescent="0.3">
      <c r="E37" s="373" t="s">
        <v>78</v>
      </c>
      <c r="F37" s="124">
        <v>1290886</v>
      </c>
      <c r="G37" s="124">
        <v>2601194</v>
      </c>
      <c r="H37" s="124">
        <v>5222618</v>
      </c>
      <c r="I37" s="124">
        <v>7583131</v>
      </c>
      <c r="J37" s="124">
        <v>8169088</v>
      </c>
      <c r="K37" s="124">
        <f t="shared" si="26"/>
        <v>8169088</v>
      </c>
      <c r="L37" s="92">
        <f>'Projeções - NIM'!L44</f>
        <v>9803188.715952279</v>
      </c>
      <c r="M37" s="92">
        <f>'Projeções - NIM'!M44</f>
        <v>9803188.715952279</v>
      </c>
      <c r="N37" s="92">
        <f>'Projeções - NIM'!N44</f>
        <v>10963198.756356362</v>
      </c>
      <c r="O37" s="92">
        <f>'Projeções - NIM'!O44</f>
        <v>11988451.004497301</v>
      </c>
      <c r="P37" s="92">
        <f>'Projeções - NIM'!P44</f>
        <v>13042483.976696784</v>
      </c>
      <c r="Q37" s="92">
        <f>'Projeções - NIM'!Q44</f>
        <v>14107560.902133133</v>
      </c>
      <c r="R37" s="92">
        <f>'Projeções - NIM'!R44</f>
        <v>15186556.457801711</v>
      </c>
      <c r="S37" s="92">
        <f>'Projeções - NIM'!S44</f>
        <v>16278867.897942167</v>
      </c>
      <c r="T37" s="92">
        <f>'Projeções - NIM'!T44</f>
        <v>17401131.681987621</v>
      </c>
      <c r="U37" s="92">
        <f>'Projeções - NIM'!U44</f>
        <v>18546004.497052975</v>
      </c>
      <c r="V37" s="92">
        <f>'Projeções - NIM'!V44</f>
        <v>19715629.637944516</v>
      </c>
      <c r="W37" s="112" t="s">
        <v>371</v>
      </c>
    </row>
    <row r="38" spans="5:23" ht="30" customHeight="1" x14ac:dyDescent="0.3">
      <c r="E38" s="373" t="s">
        <v>79</v>
      </c>
      <c r="F38" s="124">
        <v>1741470</v>
      </c>
      <c r="G38" s="124">
        <v>6172334</v>
      </c>
      <c r="H38" s="124">
        <v>11584571</v>
      </c>
      <c r="I38" s="124">
        <v>15101430</v>
      </c>
      <c r="J38" s="124">
        <v>15827469</v>
      </c>
      <c r="K38" s="124">
        <f t="shared" si="26"/>
        <v>15827469</v>
      </c>
      <c r="L38" s="92">
        <f>'Projeções - NIM'!L46</f>
        <v>18993511.332340218</v>
      </c>
      <c r="M38" s="92">
        <f>'Projeções - NIM'!M46</f>
        <v>18993511.332340218</v>
      </c>
      <c r="N38" s="92">
        <f>'Projeções - NIM'!N46</f>
        <v>21241011.04763088</v>
      </c>
      <c r="O38" s="92">
        <f>'Projeções - NIM'!O46</f>
        <v>23227419.83336449</v>
      </c>
      <c r="P38" s="92">
        <f>'Projeções - NIM'!P46</f>
        <v>25269590.782247055</v>
      </c>
      <c r="Q38" s="92">
        <f>'Projeções - NIM'!Q46</f>
        <v>27333159.202609174</v>
      </c>
      <c r="R38" s="92">
        <f>'Projeções - NIM'!R46</f>
        <v>29423694.732215684</v>
      </c>
      <c r="S38" s="92">
        <f>'Projeções - NIM'!S46</f>
        <v>31540029.561411843</v>
      </c>
      <c r="T38" s="92">
        <f>'Projeções - NIM'!T46</f>
        <v>33714396.547273926</v>
      </c>
      <c r="U38" s="92">
        <f>'Projeções - NIM'!U46</f>
        <v>35932568.146036193</v>
      </c>
      <c r="V38" s="92">
        <f>'Projeções - NIM'!V46</f>
        <v>38198696.95491688</v>
      </c>
      <c r="W38" s="112" t="s">
        <v>371</v>
      </c>
    </row>
    <row r="39" spans="5:23" ht="30" customHeight="1" x14ac:dyDescent="0.3">
      <c r="E39" s="372" t="s">
        <v>45</v>
      </c>
      <c r="F39" s="124">
        <v>53248</v>
      </c>
      <c r="G39" s="124">
        <v>61990</v>
      </c>
      <c r="H39" s="124">
        <v>42771</v>
      </c>
      <c r="I39" s="124">
        <v>31150</v>
      </c>
      <c r="J39" s="124">
        <v>46877.307150000001</v>
      </c>
      <c r="K39" s="124">
        <f>J39</f>
        <v>46877.307150000001</v>
      </c>
      <c r="L39" s="92">
        <f>'Projeções - NIM'!L58</f>
        <v>56254.393206084816</v>
      </c>
      <c r="M39" s="92">
        <f>'Projeções - NIM'!M58</f>
        <v>56254.393206084816</v>
      </c>
      <c r="N39" s="92">
        <f>'Projeções - NIM'!N58</f>
        <v>62910.968207003658</v>
      </c>
      <c r="O39" s="92">
        <f>'Projeções - NIM'!O58</f>
        <v>68794.252184643614</v>
      </c>
      <c r="P39" s="92">
        <f>'Projeções - NIM'!P58</f>
        <v>74842.690808884479</v>
      </c>
      <c r="Q39" s="92">
        <f>'Projeções - NIM'!Q58</f>
        <v>80954.503800990511</v>
      </c>
      <c r="R39" s="92">
        <f>'Projeções - NIM'!R58</f>
        <v>87146.187141476112</v>
      </c>
      <c r="S39" s="92">
        <f>'Projeções - NIM'!S58</f>
        <v>93414.282047899309</v>
      </c>
      <c r="T39" s="92">
        <f>'Projeções - NIM'!T58</f>
        <v>99854.254797369009</v>
      </c>
      <c r="U39" s="92">
        <f>'Projeções - NIM'!U58</f>
        <v>106423.96669170824</v>
      </c>
      <c r="V39" s="92">
        <f>'Projeções - NIM'!V58</f>
        <v>113135.71676465821</v>
      </c>
      <c r="W39" s="112" t="s">
        <v>371</v>
      </c>
    </row>
    <row r="40" spans="5:23" ht="30" customHeight="1" x14ac:dyDescent="0.3">
      <c r="E40" s="83" t="s">
        <v>41</v>
      </c>
      <c r="F40" s="81">
        <f>F39/F$11</f>
        <v>2.7779153020677698E-3</v>
      </c>
      <c r="G40" s="81">
        <f t="shared" ref="G40" si="27">G39/G$11</f>
        <v>2.5269605987775609E-3</v>
      </c>
      <c r="H40" s="81">
        <f t="shared" ref="H40" si="28">H39/H$11</f>
        <v>1.2735473837431324E-3</v>
      </c>
      <c r="I40" s="81">
        <f t="shared" ref="I40:V40" si="29">I39/I$11</f>
        <v>7.0136520342821906E-4</v>
      </c>
      <c r="J40" s="81">
        <f t="shared" si="29"/>
        <v>9.8736505937337539E-4</v>
      </c>
      <c r="K40" s="81">
        <f t="shared" si="29"/>
        <v>9.8736505937337539E-4</v>
      </c>
      <c r="L40" s="82">
        <f>L39/L$11</f>
        <v>9.8736505937337539E-4</v>
      </c>
      <c r="M40" s="82">
        <f>M39/M$11</f>
        <v>9.8736505937337539E-4</v>
      </c>
      <c r="N40" s="82">
        <f t="shared" si="29"/>
        <v>9.8736505937337539E-4</v>
      </c>
      <c r="O40" s="82">
        <f t="shared" si="29"/>
        <v>9.8736505937337539E-4</v>
      </c>
      <c r="P40" s="82">
        <f t="shared" si="29"/>
        <v>9.8736505937337539E-4</v>
      </c>
      <c r="Q40" s="82">
        <f t="shared" si="29"/>
        <v>9.8736505937337539E-4</v>
      </c>
      <c r="R40" s="82">
        <f t="shared" si="29"/>
        <v>9.8736505937337539E-4</v>
      </c>
      <c r="S40" s="82">
        <f t="shared" si="29"/>
        <v>9.8736505937337539E-4</v>
      </c>
      <c r="T40" s="82">
        <f t="shared" si="29"/>
        <v>9.8736505937337539E-4</v>
      </c>
      <c r="U40" s="82">
        <f t="shared" si="29"/>
        <v>9.8736505937337539E-4</v>
      </c>
      <c r="V40" s="82">
        <f t="shared" si="29"/>
        <v>9.8736505937337539E-4</v>
      </c>
      <c r="W40" s="102"/>
    </row>
    <row r="41" spans="5:23" ht="30" customHeight="1" x14ac:dyDescent="0.3">
      <c r="E41" s="372" t="s">
        <v>44</v>
      </c>
      <c r="F41" s="124">
        <v>208</v>
      </c>
      <c r="G41" s="124">
        <v>0</v>
      </c>
      <c r="H41" s="124">
        <v>0</v>
      </c>
      <c r="I41" s="124">
        <v>0</v>
      </c>
      <c r="J41" s="124">
        <v>0</v>
      </c>
      <c r="K41" s="124">
        <f>J41</f>
        <v>0</v>
      </c>
      <c r="L41" s="92">
        <f>'Projeções - NIM'!L60</f>
        <v>0</v>
      </c>
      <c r="M41" s="92">
        <f>'Projeções - NIM'!M60</f>
        <v>0</v>
      </c>
      <c r="N41" s="92">
        <f>'Projeções - NIM'!N60</f>
        <v>0</v>
      </c>
      <c r="O41" s="92">
        <f>'Projeções - NIM'!O60</f>
        <v>0</v>
      </c>
      <c r="P41" s="92">
        <f>'Projeções - NIM'!P60</f>
        <v>0</v>
      </c>
      <c r="Q41" s="92">
        <f>'Projeções - NIM'!Q60</f>
        <v>0</v>
      </c>
      <c r="R41" s="92">
        <f>'Projeções - NIM'!R60</f>
        <v>0</v>
      </c>
      <c r="S41" s="92">
        <f>'Projeções - NIM'!S60</f>
        <v>0</v>
      </c>
      <c r="T41" s="92">
        <f>'Projeções - NIM'!T60</f>
        <v>0</v>
      </c>
      <c r="U41" s="92">
        <f>'Projeções - NIM'!U60</f>
        <v>0</v>
      </c>
      <c r="V41" s="92">
        <f>'Projeções - NIM'!V60</f>
        <v>0</v>
      </c>
      <c r="W41" s="109" t="s">
        <v>368</v>
      </c>
    </row>
    <row r="42" spans="5:23" ht="30" customHeight="1" x14ac:dyDescent="0.3">
      <c r="E42" s="83" t="s">
        <v>41</v>
      </c>
      <c r="F42" s="81">
        <f>F41/F$11</f>
        <v>1.0851231648702226E-5</v>
      </c>
      <c r="G42" s="81">
        <f t="shared" ref="G42" si="30">G41/G$11</f>
        <v>0</v>
      </c>
      <c r="H42" s="81">
        <f t="shared" ref="H42" si="31">H41/H$11</f>
        <v>0</v>
      </c>
      <c r="I42" s="81">
        <f t="shared" ref="I42:V42" si="32">I41/I$11</f>
        <v>0</v>
      </c>
      <c r="J42" s="81">
        <f t="shared" si="32"/>
        <v>0</v>
      </c>
      <c r="K42" s="81"/>
      <c r="L42" s="82">
        <f t="shared" ref="L42" si="33">L41/L$11</f>
        <v>0</v>
      </c>
      <c r="M42" s="82">
        <f t="shared" si="32"/>
        <v>0</v>
      </c>
      <c r="N42" s="82">
        <f t="shared" si="32"/>
        <v>0</v>
      </c>
      <c r="O42" s="82">
        <f t="shared" si="32"/>
        <v>0</v>
      </c>
      <c r="P42" s="82">
        <f t="shared" si="32"/>
        <v>0</v>
      </c>
      <c r="Q42" s="82">
        <f t="shared" si="32"/>
        <v>0</v>
      </c>
      <c r="R42" s="82">
        <f t="shared" si="32"/>
        <v>0</v>
      </c>
      <c r="S42" s="82">
        <f t="shared" si="32"/>
        <v>0</v>
      </c>
      <c r="T42" s="82">
        <f t="shared" si="32"/>
        <v>0</v>
      </c>
      <c r="U42" s="82">
        <f t="shared" si="32"/>
        <v>0</v>
      </c>
      <c r="V42" s="82">
        <f t="shared" si="32"/>
        <v>0</v>
      </c>
      <c r="W42" s="111"/>
    </row>
    <row r="43" spans="5:23" ht="30" customHeight="1" x14ac:dyDescent="0.3">
      <c r="E43" s="372" t="s">
        <v>80</v>
      </c>
      <c r="F43" s="124">
        <v>151962</v>
      </c>
      <c r="G43" s="124">
        <v>165717</v>
      </c>
      <c r="H43" s="124">
        <v>192996</v>
      </c>
      <c r="I43" s="124">
        <v>174929</v>
      </c>
      <c r="J43" s="124">
        <v>166715.30302000002</v>
      </c>
      <c r="K43" s="124">
        <f>J43</f>
        <v>166715.30302000002</v>
      </c>
      <c r="L43" s="92">
        <f>'Projeções - NIM'!L62</f>
        <v>200064.14147359275</v>
      </c>
      <c r="M43" s="92">
        <f>'Projeções - NIM'!M62</f>
        <v>200064.14147359275</v>
      </c>
      <c r="N43" s="92">
        <f>'Projeções - NIM'!N62</f>
        <v>223737.70520460032</v>
      </c>
      <c r="O43" s="92">
        <f>'Projeções - NIM'!O62</f>
        <v>244661.122753873</v>
      </c>
      <c r="P43" s="92">
        <f>'Projeções - NIM'!P62</f>
        <v>266171.89927547594</v>
      </c>
      <c r="Q43" s="92">
        <f>'Projeções - NIM'!Q62</f>
        <v>287908.0615452092</v>
      </c>
      <c r="R43" s="92">
        <f>'Projeções - NIM'!R62</f>
        <v>309928.27616653783</v>
      </c>
      <c r="S43" s="92">
        <f>'Projeções - NIM'!S62</f>
        <v>332220.24226302601</v>
      </c>
      <c r="T43" s="92">
        <f>'Projeções - NIM'!T62</f>
        <v>355123.47782928625</v>
      </c>
      <c r="U43" s="92">
        <f>'Projeções - NIM'!U62</f>
        <v>378488.12003695755</v>
      </c>
      <c r="V43" s="92">
        <f>'Projeções - NIM'!V62</f>
        <v>402357.9093920904</v>
      </c>
      <c r="W43" s="109" t="s">
        <v>368</v>
      </c>
    </row>
    <row r="44" spans="5:23" ht="30" customHeight="1" x14ac:dyDescent="0.3">
      <c r="E44" s="83" t="s">
        <v>41</v>
      </c>
      <c r="F44" s="81">
        <f>F43/F$11</f>
        <v>7.9277637682696519E-3</v>
      </c>
      <c r="G44" s="81">
        <f t="shared" ref="G44" si="34">G43/G$11</f>
        <v>6.7552884263207139E-3</v>
      </c>
      <c r="H44" s="81">
        <f t="shared" ref="H44" si="35">H43/H$11</f>
        <v>5.7466402673047061E-3</v>
      </c>
      <c r="I44" s="81">
        <f t="shared" ref="I44:V44" si="36">I43/I$11</f>
        <v>3.9386553345263225E-3</v>
      </c>
      <c r="J44" s="81">
        <f t="shared" si="36"/>
        <v>3.5114829556670171E-3</v>
      </c>
      <c r="K44" s="81">
        <f t="shared" si="36"/>
        <v>3.5114829556670171E-3</v>
      </c>
      <c r="L44" s="82">
        <f t="shared" ref="L44" si="37">L43/L$11</f>
        <v>3.5114829556670171E-3</v>
      </c>
      <c r="M44" s="82">
        <f t="shared" si="36"/>
        <v>3.5114829556670171E-3</v>
      </c>
      <c r="N44" s="82">
        <f t="shared" si="36"/>
        <v>3.5114829556670171E-3</v>
      </c>
      <c r="O44" s="82">
        <f t="shared" si="36"/>
        <v>3.5114829556670171E-3</v>
      </c>
      <c r="P44" s="82">
        <f t="shared" si="36"/>
        <v>3.5114829556670175E-3</v>
      </c>
      <c r="Q44" s="82">
        <f t="shared" si="36"/>
        <v>3.5114829556670171E-3</v>
      </c>
      <c r="R44" s="82">
        <f t="shared" si="36"/>
        <v>3.5114829556670171E-3</v>
      </c>
      <c r="S44" s="82">
        <f t="shared" si="36"/>
        <v>3.5114829556670171E-3</v>
      </c>
      <c r="T44" s="82">
        <f t="shared" si="36"/>
        <v>3.5114829556670171E-3</v>
      </c>
      <c r="U44" s="82">
        <f t="shared" si="36"/>
        <v>3.5114829556670171E-3</v>
      </c>
      <c r="V44" s="82">
        <f t="shared" si="36"/>
        <v>3.5114829556670171E-3</v>
      </c>
      <c r="W44" s="111"/>
    </row>
    <row r="45" spans="5:23" ht="30" customHeight="1" x14ac:dyDescent="0.3">
      <c r="E45" s="371" t="s">
        <v>82</v>
      </c>
      <c r="F45" s="124">
        <f>SUM(F47:F49)</f>
        <v>-294094</v>
      </c>
      <c r="G45" s="124">
        <f t="shared" ref="G45:K45" si="38">SUM(G47:G49)</f>
        <v>-371331</v>
      </c>
      <c r="H45" s="124">
        <f t="shared" si="38"/>
        <v>-603555</v>
      </c>
      <c r="I45" s="124">
        <f t="shared" si="38"/>
        <v>-749908</v>
      </c>
      <c r="J45" s="124">
        <f t="shared" si="38"/>
        <v>-910522.57647000009</v>
      </c>
      <c r="K45" s="124">
        <f t="shared" si="38"/>
        <v>-910522.57647000009</v>
      </c>
      <c r="L45" s="92">
        <f>L46*L$11</f>
        <v>-1092658.6477303831</v>
      </c>
      <c r="M45" s="92">
        <f>M46*M$11</f>
        <v>-1092658.6477303831</v>
      </c>
      <c r="N45" s="92">
        <f t="shared" ref="N45:V45" si="39">N46*N$11</f>
        <v>-1221952.8028086238</v>
      </c>
      <c r="O45" s="92">
        <f t="shared" si="39"/>
        <v>-1336226.9198837427</v>
      </c>
      <c r="P45" s="92">
        <f t="shared" si="39"/>
        <v>-1453708.9224685361</v>
      </c>
      <c r="Q45" s="92">
        <f t="shared" si="39"/>
        <v>-1572421.8787112711</v>
      </c>
      <c r="R45" s="92">
        <f t="shared" si="39"/>
        <v>-1692686.1987121124</v>
      </c>
      <c r="S45" s="92">
        <f t="shared" si="39"/>
        <v>-1814434.7007216809</v>
      </c>
      <c r="T45" s="92">
        <f t="shared" si="39"/>
        <v>-1939521.6764193398</v>
      </c>
      <c r="U45" s="92">
        <f t="shared" si="39"/>
        <v>-2067128.6437214143</v>
      </c>
      <c r="V45" s="92">
        <f t="shared" si="39"/>
        <v>-2197494.4932248904</v>
      </c>
      <c r="W45" s="112"/>
    </row>
    <row r="46" spans="5:23" ht="30" customHeight="1" x14ac:dyDescent="0.3">
      <c r="E46" s="80" t="s">
        <v>41</v>
      </c>
      <c r="F46" s="81">
        <f>F45/F$11</f>
        <v>-1.5342702502372272E-2</v>
      </c>
      <c r="G46" s="81">
        <f t="shared" ref="G46" si="40">G45/G$11</f>
        <v>-1.5136938314319575E-2</v>
      </c>
      <c r="H46" s="81">
        <f t="shared" ref="H46" si="41">H45/H$11</f>
        <v>-1.7971426695543389E-2</v>
      </c>
      <c r="I46" s="81">
        <f t="shared" ref="I46:K46" si="42">I45/I$11</f>
        <v>-1.6884731202967861E-2</v>
      </c>
      <c r="J46" s="81">
        <f t="shared" si="42"/>
        <v>-1.9178110527987111E-2</v>
      </c>
      <c r="K46" s="81">
        <f t="shared" si="42"/>
        <v>-1.9178110527987111E-2</v>
      </c>
      <c r="L46" s="82">
        <f>K46</f>
        <v>-1.9178110527987111E-2</v>
      </c>
      <c r="M46" s="82">
        <f>L46</f>
        <v>-1.9178110527987111E-2</v>
      </c>
      <c r="N46" s="82">
        <f t="shared" ref="N46:V46" si="43">M46</f>
        <v>-1.9178110527987111E-2</v>
      </c>
      <c r="O46" s="82">
        <f t="shared" si="43"/>
        <v>-1.9178110527987111E-2</v>
      </c>
      <c r="P46" s="82">
        <f t="shared" si="43"/>
        <v>-1.9178110527987111E-2</v>
      </c>
      <c r="Q46" s="82">
        <f t="shared" si="43"/>
        <v>-1.9178110527987111E-2</v>
      </c>
      <c r="R46" s="82">
        <f t="shared" si="43"/>
        <v>-1.9178110527987111E-2</v>
      </c>
      <c r="S46" s="82">
        <f t="shared" si="43"/>
        <v>-1.9178110527987111E-2</v>
      </c>
      <c r="T46" s="82">
        <f t="shared" si="43"/>
        <v>-1.9178110527987111E-2</v>
      </c>
      <c r="U46" s="82">
        <f t="shared" si="43"/>
        <v>-1.9178110527987111E-2</v>
      </c>
      <c r="V46" s="82">
        <f t="shared" si="43"/>
        <v>-1.9178110527987111E-2</v>
      </c>
      <c r="W46" s="109" t="s">
        <v>370</v>
      </c>
    </row>
    <row r="47" spans="5:23" ht="30" customHeight="1" x14ac:dyDescent="0.3">
      <c r="E47" s="372" t="s">
        <v>83</v>
      </c>
      <c r="F47" s="124">
        <v>-285614</v>
      </c>
      <c r="G47" s="124">
        <v>-363093</v>
      </c>
      <c r="H47" s="124">
        <v>-588039</v>
      </c>
      <c r="I47" s="124">
        <v>-748734</v>
      </c>
      <c r="J47" s="124">
        <v>-909187.41936000006</v>
      </c>
      <c r="K47" s="124">
        <f>J47</f>
        <v>-909187.41936000006</v>
      </c>
      <c r="L47" s="92" t="s">
        <v>21</v>
      </c>
      <c r="M47" s="92" t="s">
        <v>21</v>
      </c>
      <c r="N47" s="92" t="s">
        <v>21</v>
      </c>
      <c r="O47" s="92" t="s">
        <v>21</v>
      </c>
      <c r="P47" s="92" t="s">
        <v>21</v>
      </c>
      <c r="Q47" s="92" t="s">
        <v>21</v>
      </c>
      <c r="R47" s="92" t="s">
        <v>21</v>
      </c>
      <c r="S47" s="92" t="s">
        <v>21</v>
      </c>
      <c r="T47" s="92" t="s">
        <v>21</v>
      </c>
      <c r="U47" s="92" t="s">
        <v>21</v>
      </c>
      <c r="V47" s="92" t="s">
        <v>21</v>
      </c>
      <c r="W47" s="112" t="s">
        <v>369</v>
      </c>
    </row>
    <row r="48" spans="5:23" ht="30" customHeight="1" x14ac:dyDescent="0.3">
      <c r="E48" s="372" t="s">
        <v>84</v>
      </c>
      <c r="F48" s="124">
        <v>-63</v>
      </c>
      <c r="G48" s="124">
        <v>0</v>
      </c>
      <c r="H48" s="124">
        <v>0</v>
      </c>
      <c r="I48" s="124">
        <v>0</v>
      </c>
      <c r="J48" s="124">
        <v>0</v>
      </c>
      <c r="K48" s="124">
        <f t="shared" ref="K48:K49" si="44">J48</f>
        <v>0</v>
      </c>
      <c r="L48" s="92" t="s">
        <v>21</v>
      </c>
      <c r="M48" s="92" t="s">
        <v>21</v>
      </c>
      <c r="N48" s="92" t="s">
        <v>21</v>
      </c>
      <c r="O48" s="92" t="s">
        <v>21</v>
      </c>
      <c r="P48" s="92" t="s">
        <v>21</v>
      </c>
      <c r="Q48" s="92" t="s">
        <v>21</v>
      </c>
      <c r="R48" s="92" t="s">
        <v>21</v>
      </c>
      <c r="S48" s="92" t="s">
        <v>21</v>
      </c>
      <c r="T48" s="92" t="s">
        <v>21</v>
      </c>
      <c r="U48" s="92" t="s">
        <v>21</v>
      </c>
      <c r="V48" s="92" t="s">
        <v>21</v>
      </c>
      <c r="W48" s="109"/>
    </row>
    <row r="49" spans="5:23" ht="30" customHeight="1" x14ac:dyDescent="0.3">
      <c r="E49" s="372" t="s">
        <v>85</v>
      </c>
      <c r="F49" s="124">
        <v>-8417</v>
      </c>
      <c r="G49" s="124">
        <v>-8238</v>
      </c>
      <c r="H49" s="124">
        <v>-15516</v>
      </c>
      <c r="I49" s="124">
        <v>-1174</v>
      </c>
      <c r="J49" s="124">
        <v>-1335.1571100000001</v>
      </c>
      <c r="K49" s="124">
        <f t="shared" si="44"/>
        <v>-1335.1571100000001</v>
      </c>
      <c r="L49" s="92" t="s">
        <v>21</v>
      </c>
      <c r="M49" s="92" t="s">
        <v>21</v>
      </c>
      <c r="N49" s="92" t="s">
        <v>21</v>
      </c>
      <c r="O49" s="92" t="s">
        <v>21</v>
      </c>
      <c r="P49" s="92" t="s">
        <v>21</v>
      </c>
      <c r="Q49" s="92" t="s">
        <v>21</v>
      </c>
      <c r="R49" s="92" t="s">
        <v>21</v>
      </c>
      <c r="S49" s="92" t="s">
        <v>21</v>
      </c>
      <c r="T49" s="92" t="s">
        <v>21</v>
      </c>
      <c r="U49" s="92" t="s">
        <v>21</v>
      </c>
      <c r="V49" s="92" t="s">
        <v>21</v>
      </c>
      <c r="W49" s="102"/>
    </row>
    <row r="50" spans="5:23" ht="30" customHeight="1" x14ac:dyDescent="0.3">
      <c r="E50" s="371" t="s">
        <v>86</v>
      </c>
      <c r="F50" s="124">
        <v>50587</v>
      </c>
      <c r="G50" s="124">
        <v>47744</v>
      </c>
      <c r="H50" s="124">
        <v>54855</v>
      </c>
      <c r="I50" s="124">
        <v>59565</v>
      </c>
      <c r="J50" s="124">
        <v>79007</v>
      </c>
      <c r="K50" s="124">
        <f>J50</f>
        <v>79007</v>
      </c>
      <c r="L50" s="92">
        <f>L51*L$11</f>
        <v>94811.13814433651</v>
      </c>
      <c r="M50" s="92">
        <f>M51*M$11</f>
        <v>94811.13814433651</v>
      </c>
      <c r="N50" s="92">
        <f t="shared" ref="N50" si="45">N51*N$11</f>
        <v>106030.12773805927</v>
      </c>
      <c r="O50" s="92">
        <f t="shared" ref="O50" si="46">O51*O$11</f>
        <v>115945.81286335981</v>
      </c>
      <c r="P50" s="92">
        <f t="shared" ref="P50" si="47">P51*P$11</f>
        <v>126139.84958258287</v>
      </c>
      <c r="Q50" s="92">
        <f t="shared" ref="Q50" si="48">Q51*Q$11</f>
        <v>136440.69744319469</v>
      </c>
      <c r="R50" s="92">
        <f t="shared" ref="R50" si="49">R51*R$11</f>
        <v>146876.15876601401</v>
      </c>
      <c r="S50" s="92">
        <f t="shared" ref="S50" si="50">S51*S$11</f>
        <v>157440.40412010701</v>
      </c>
      <c r="T50" s="92">
        <f t="shared" ref="T50" si="51">T51*T$11</f>
        <v>168294.33234147995</v>
      </c>
      <c r="U50" s="92">
        <f t="shared" ref="U50" si="52">U51*U$11</f>
        <v>179366.92288033428</v>
      </c>
      <c r="V50" s="92">
        <f t="shared" ref="V50" si="53">V51*V$11</f>
        <v>190678.90452460328</v>
      </c>
      <c r="W50" s="102"/>
    </row>
    <row r="51" spans="5:23" ht="30" customHeight="1" x14ac:dyDescent="0.3">
      <c r="E51" s="80" t="s">
        <v>41</v>
      </c>
      <c r="F51" s="81">
        <f>F50/F$11</f>
        <v>2.6390925741004785E-3</v>
      </c>
      <c r="G51" s="81">
        <f t="shared" ref="G51" si="54">G50/G$11</f>
        <v>1.9462365999037888E-3</v>
      </c>
      <c r="H51" s="81">
        <f t="shared" ref="H51" si="55">H50/H$11</f>
        <v>1.6333600274772515E-3</v>
      </c>
      <c r="I51" s="81">
        <f t="shared" ref="I51" si="56">I50/I$11</f>
        <v>1.3411498665233345E-3</v>
      </c>
      <c r="J51" s="81">
        <f>J50/J$11</f>
        <v>1.6641047873397795E-3</v>
      </c>
      <c r="K51" s="81">
        <f>K50/K$11</f>
        <v>1.6641047873397795E-3</v>
      </c>
      <c r="L51" s="82">
        <f>K51</f>
        <v>1.6641047873397795E-3</v>
      </c>
      <c r="M51" s="82">
        <f>L51</f>
        <v>1.6641047873397795E-3</v>
      </c>
      <c r="N51" s="82">
        <f t="shared" ref="N51:V51" si="57">M51</f>
        <v>1.6641047873397795E-3</v>
      </c>
      <c r="O51" s="82">
        <f t="shared" si="57"/>
        <v>1.6641047873397795E-3</v>
      </c>
      <c r="P51" s="82">
        <f t="shared" si="57"/>
        <v>1.6641047873397795E-3</v>
      </c>
      <c r="Q51" s="82">
        <f t="shared" si="57"/>
        <v>1.6641047873397795E-3</v>
      </c>
      <c r="R51" s="82">
        <f t="shared" si="57"/>
        <v>1.6641047873397795E-3</v>
      </c>
      <c r="S51" s="82">
        <f t="shared" si="57"/>
        <v>1.6641047873397795E-3</v>
      </c>
      <c r="T51" s="82">
        <f t="shared" si="57"/>
        <v>1.6641047873397795E-3</v>
      </c>
      <c r="U51" s="82">
        <f t="shared" si="57"/>
        <v>1.6641047873397795E-3</v>
      </c>
      <c r="V51" s="82">
        <f t="shared" si="57"/>
        <v>1.6641047873397795E-3</v>
      </c>
      <c r="W51" s="102"/>
    </row>
    <row r="52" spans="5:23" ht="30" customHeight="1" x14ac:dyDescent="0.3">
      <c r="E52" s="371" t="s">
        <v>87</v>
      </c>
      <c r="F52" s="124">
        <f>SUM(F54:F55)</f>
        <v>1569036</v>
      </c>
      <c r="G52" s="124">
        <f t="shared" ref="G52:K52" si="58">SUM(G54:G55)</f>
        <v>1445466</v>
      </c>
      <c r="H52" s="124">
        <f t="shared" si="58"/>
        <v>1282672</v>
      </c>
      <c r="I52" s="124">
        <f t="shared" si="58"/>
        <v>1222403</v>
      </c>
      <c r="J52" s="124">
        <f t="shared" si="58"/>
        <v>1291788.6445499999</v>
      </c>
      <c r="K52" s="124">
        <f t="shared" si="58"/>
        <v>1291788.6445499999</v>
      </c>
      <c r="L52" s="92">
        <f>L53*L$11</f>
        <v>1550191.1429584119</v>
      </c>
      <c r="M52" s="92">
        <f t="shared" ref="M52:V52" si="59">M53*M$11</f>
        <v>1550191.1429584119</v>
      </c>
      <c r="N52" s="92">
        <f t="shared" si="59"/>
        <v>1733625.0584405293</v>
      </c>
      <c r="O52" s="92">
        <f t="shared" si="59"/>
        <v>1895749.5467491171</v>
      </c>
      <c r="P52" s="92">
        <f t="shared" si="59"/>
        <v>2062425.1688587794</v>
      </c>
      <c r="Q52" s="92">
        <f t="shared" si="59"/>
        <v>2230847.1858392432</v>
      </c>
      <c r="R52" s="92">
        <f t="shared" si="59"/>
        <v>2401470.174149883</v>
      </c>
      <c r="S52" s="92">
        <f t="shared" si="59"/>
        <v>2574198.8208097667</v>
      </c>
      <c r="T52" s="92">
        <f t="shared" si="59"/>
        <v>2751663.8710601288</v>
      </c>
      <c r="U52" s="92">
        <f t="shared" si="59"/>
        <v>2932704.1171629271</v>
      </c>
      <c r="V52" s="92">
        <f t="shared" si="59"/>
        <v>3117658.4811487091</v>
      </c>
      <c r="W52" s="111" t="s">
        <v>370</v>
      </c>
    </row>
    <row r="53" spans="5:23" ht="30" customHeight="1" x14ac:dyDescent="0.3">
      <c r="E53" s="80" t="s">
        <v>41</v>
      </c>
      <c r="F53" s="81">
        <f>F52/F$11</f>
        <v>8.1855639909390127E-2</v>
      </c>
      <c r="G53" s="81">
        <f t="shared" ref="G53" si="60">G52/G$11</f>
        <v>5.8922981591750377E-2</v>
      </c>
      <c r="H53" s="81">
        <f t="shared" ref="H53" si="61">H52/H$11</f>
        <v>3.8192784124770784E-2</v>
      </c>
      <c r="I53" s="81">
        <f t="shared" ref="I53:K53" si="62">I52/I$11</f>
        <v>2.7523304294262127E-2</v>
      </c>
      <c r="J53" s="81">
        <f t="shared" si="62"/>
        <v>2.7208622876793442E-2</v>
      </c>
      <c r="K53" s="81">
        <f t="shared" si="62"/>
        <v>2.7208622876793442E-2</v>
      </c>
      <c r="L53" s="82">
        <f>K53</f>
        <v>2.7208622876793442E-2</v>
      </c>
      <c r="M53" s="82">
        <f>L53</f>
        <v>2.7208622876793442E-2</v>
      </c>
      <c r="N53" s="82">
        <f t="shared" ref="N53:V53" si="63">M53</f>
        <v>2.7208622876793442E-2</v>
      </c>
      <c r="O53" s="82">
        <f t="shared" si="63"/>
        <v>2.7208622876793442E-2</v>
      </c>
      <c r="P53" s="82">
        <f t="shared" si="63"/>
        <v>2.7208622876793442E-2</v>
      </c>
      <c r="Q53" s="82">
        <f t="shared" si="63"/>
        <v>2.7208622876793442E-2</v>
      </c>
      <c r="R53" s="82">
        <f t="shared" si="63"/>
        <v>2.7208622876793442E-2</v>
      </c>
      <c r="S53" s="82">
        <f t="shared" si="63"/>
        <v>2.7208622876793442E-2</v>
      </c>
      <c r="T53" s="82">
        <f t="shared" si="63"/>
        <v>2.7208622876793442E-2</v>
      </c>
      <c r="U53" s="82">
        <f t="shared" si="63"/>
        <v>2.7208622876793442E-2</v>
      </c>
      <c r="V53" s="82">
        <f t="shared" si="63"/>
        <v>2.7208622876793442E-2</v>
      </c>
      <c r="W53" s="102"/>
    </row>
    <row r="54" spans="5:23" ht="30" customHeight="1" x14ac:dyDescent="0.3">
      <c r="E54" s="372" t="s">
        <v>46</v>
      </c>
      <c r="F54" s="124">
        <v>1473792</v>
      </c>
      <c r="G54" s="124">
        <v>1346769</v>
      </c>
      <c r="H54" s="124">
        <v>1187580</v>
      </c>
      <c r="I54" s="124">
        <v>1210630</v>
      </c>
      <c r="J54" s="124">
        <v>1278936.0767999999</v>
      </c>
      <c r="K54" s="124">
        <f>J54</f>
        <v>1278936.0767999999</v>
      </c>
      <c r="L54" s="92" t="s">
        <v>21</v>
      </c>
      <c r="M54" s="92" t="s">
        <v>21</v>
      </c>
      <c r="N54" s="92" t="s">
        <v>21</v>
      </c>
      <c r="O54" s="92" t="s">
        <v>21</v>
      </c>
      <c r="P54" s="92" t="s">
        <v>21</v>
      </c>
      <c r="Q54" s="92" t="s">
        <v>21</v>
      </c>
      <c r="R54" s="92" t="s">
        <v>21</v>
      </c>
      <c r="S54" s="92" t="s">
        <v>21</v>
      </c>
      <c r="T54" s="92" t="s">
        <v>21</v>
      </c>
      <c r="U54" s="92" t="s">
        <v>21</v>
      </c>
      <c r="V54" s="92" t="s">
        <v>21</v>
      </c>
      <c r="W54" s="111"/>
    </row>
    <row r="55" spans="5:23" ht="30" customHeight="1" x14ac:dyDescent="0.3">
      <c r="E55" s="372" t="s">
        <v>88</v>
      </c>
      <c r="F55" s="124">
        <v>95244</v>
      </c>
      <c r="G55" s="124">
        <v>98697</v>
      </c>
      <c r="H55" s="124">
        <v>95092</v>
      </c>
      <c r="I55" s="124">
        <v>11773</v>
      </c>
      <c r="J55" s="124">
        <v>12852.56775</v>
      </c>
      <c r="K55" s="124">
        <f>J55</f>
        <v>12852.56775</v>
      </c>
      <c r="L55" s="92" t="s">
        <v>21</v>
      </c>
      <c r="M55" s="92" t="s">
        <v>21</v>
      </c>
      <c r="N55" s="92" t="s">
        <v>21</v>
      </c>
      <c r="O55" s="92" t="s">
        <v>21</v>
      </c>
      <c r="P55" s="92" t="s">
        <v>21</v>
      </c>
      <c r="Q55" s="92" t="s">
        <v>21</v>
      </c>
      <c r="R55" s="92" t="s">
        <v>21</v>
      </c>
      <c r="S55" s="92" t="s">
        <v>21</v>
      </c>
      <c r="T55" s="92" t="s">
        <v>21</v>
      </c>
      <c r="U55" s="92" t="s">
        <v>21</v>
      </c>
      <c r="V55" s="92" t="s">
        <v>21</v>
      </c>
      <c r="W55" s="102"/>
    </row>
    <row r="56" spans="5:23" ht="30" customHeight="1" x14ac:dyDescent="0.3">
      <c r="E56" s="77" t="s">
        <v>47</v>
      </c>
      <c r="F56" s="78">
        <f t="shared" ref="F56:V56" si="64">SUM(F57,F59,F61,F65)</f>
        <v>248256</v>
      </c>
      <c r="G56" s="78">
        <f t="shared" si="64"/>
        <v>223436</v>
      </c>
      <c r="H56" s="78">
        <f t="shared" si="64"/>
        <v>213042</v>
      </c>
      <c r="I56" s="78">
        <f t="shared" si="64"/>
        <v>205834</v>
      </c>
      <c r="J56" s="78">
        <f t="shared" si="64"/>
        <v>202550.24092999994</v>
      </c>
      <c r="K56" s="78">
        <f t="shared" si="64"/>
        <v>202550.24092999994</v>
      </c>
      <c r="L56" s="79">
        <f t="shared" si="64"/>
        <v>243067.30889646328</v>
      </c>
      <c r="M56" s="79">
        <f t="shared" si="64"/>
        <v>243067.30889646328</v>
      </c>
      <c r="N56" s="79">
        <f t="shared" si="64"/>
        <v>271829.43181215058</v>
      </c>
      <c r="O56" s="79">
        <f t="shared" si="64"/>
        <v>297250.27314412937</v>
      </c>
      <c r="P56" s="79">
        <f t="shared" si="64"/>
        <v>323384.72443993704</v>
      </c>
      <c r="Q56" s="79">
        <f t="shared" si="64"/>
        <v>349793.0074522043</v>
      </c>
      <c r="R56" s="79">
        <f t="shared" si="64"/>
        <v>376546.39898906497</v>
      </c>
      <c r="S56" s="79">
        <f t="shared" si="64"/>
        <v>403629.95413880079</v>
      </c>
      <c r="T56" s="79">
        <f t="shared" si="64"/>
        <v>431456.16923715925</v>
      </c>
      <c r="U56" s="79">
        <f t="shared" si="64"/>
        <v>459842.96890508977</v>
      </c>
      <c r="V56" s="79">
        <f t="shared" si="64"/>
        <v>488843.49553491268</v>
      </c>
      <c r="W56" s="109"/>
    </row>
    <row r="57" spans="5:23" ht="30" customHeight="1" x14ac:dyDescent="0.3">
      <c r="E57" s="371" t="s">
        <v>48</v>
      </c>
      <c r="F57" s="124">
        <v>354232</v>
      </c>
      <c r="G57" s="124">
        <v>359187</v>
      </c>
      <c r="H57" s="124">
        <v>371210</v>
      </c>
      <c r="I57" s="124">
        <v>381417</v>
      </c>
      <c r="J57" s="124">
        <v>387978.99398999999</v>
      </c>
      <c r="K57" s="124">
        <f>J57</f>
        <v>387978.99398999999</v>
      </c>
      <c r="L57" s="92">
        <f>L58*L$11</f>
        <v>465588.238969795</v>
      </c>
      <c r="M57" s="92">
        <f>M58*M$11</f>
        <v>465588.238969795</v>
      </c>
      <c r="N57" s="92">
        <f t="shared" ref="N57" si="65">N58*N$11</f>
        <v>520681.23447850731</v>
      </c>
      <c r="O57" s="92">
        <f t="shared" ref="O57" si="66">O58*O$11</f>
        <v>569374.10396647314</v>
      </c>
      <c r="P57" s="92">
        <f t="shared" ref="P57" si="67">P58*P$11</f>
        <v>619433.87222778262</v>
      </c>
      <c r="Q57" s="92">
        <f t="shared" ref="Q57" si="68">Q58*Q$11</f>
        <v>670018.15704057412</v>
      </c>
      <c r="R57" s="92">
        <f t="shared" ref="R57" si="69">R58*R$11</f>
        <v>721263.48702208197</v>
      </c>
      <c r="S57" s="92">
        <f t="shared" ref="S57" si="70">S58*S$11</f>
        <v>773141.23563605966</v>
      </c>
      <c r="T57" s="92">
        <f t="shared" ref="T57" si="71">T58*T$11</f>
        <v>826441.52740980056</v>
      </c>
      <c r="U57" s="92">
        <f t="shared" ref="U57" si="72">U58*U$11</f>
        <v>880815.60234148882</v>
      </c>
      <c r="V57" s="92">
        <f t="shared" ref="V57" si="73">V58*V$11</f>
        <v>936365.25311138039</v>
      </c>
      <c r="W57" s="102"/>
    </row>
    <row r="58" spans="5:23" ht="30" customHeight="1" x14ac:dyDescent="0.3">
      <c r="E58" s="80" t="s">
        <v>41</v>
      </c>
      <c r="F58" s="81">
        <f>F57/F$11</f>
        <v>1.8480064852803305E-2</v>
      </c>
      <c r="G58" s="81">
        <f t="shared" ref="G58" si="74">G57/G$11</f>
        <v>1.4641900251542439E-2</v>
      </c>
      <c r="H58" s="81">
        <f t="shared" ref="H58" si="75">H57/H$11</f>
        <v>1.1053132363500693E-2</v>
      </c>
      <c r="I58" s="81">
        <f t="shared" ref="I58:K58" si="76">I57/I$11</f>
        <v>8.5878848088597436E-3</v>
      </c>
      <c r="J58" s="81">
        <f t="shared" si="76"/>
        <v>8.1719050373515074E-3</v>
      </c>
      <c r="K58" s="81">
        <f t="shared" si="76"/>
        <v>8.1719050373515074E-3</v>
      </c>
      <c r="L58" s="82">
        <f>K58</f>
        <v>8.1719050373515074E-3</v>
      </c>
      <c r="M58" s="82">
        <f>L58</f>
        <v>8.1719050373515074E-3</v>
      </c>
      <c r="N58" s="82">
        <f t="shared" ref="N58:V58" si="77">M58</f>
        <v>8.1719050373515074E-3</v>
      </c>
      <c r="O58" s="82">
        <f t="shared" si="77"/>
        <v>8.1719050373515074E-3</v>
      </c>
      <c r="P58" s="82">
        <f>O58</f>
        <v>8.1719050373515074E-3</v>
      </c>
      <c r="Q58" s="82">
        <f t="shared" si="77"/>
        <v>8.1719050373515074E-3</v>
      </c>
      <c r="R58" s="82">
        <f t="shared" si="77"/>
        <v>8.1719050373515074E-3</v>
      </c>
      <c r="S58" s="82">
        <f t="shared" si="77"/>
        <v>8.1719050373515074E-3</v>
      </c>
      <c r="T58" s="82">
        <f t="shared" si="77"/>
        <v>8.1719050373515074E-3</v>
      </c>
      <c r="U58" s="82">
        <f t="shared" si="77"/>
        <v>8.1719050373515074E-3</v>
      </c>
      <c r="V58" s="82">
        <f t="shared" si="77"/>
        <v>8.1719050373515074E-3</v>
      </c>
      <c r="W58" s="109" t="s">
        <v>370</v>
      </c>
    </row>
    <row r="59" spans="5:23" ht="30" customHeight="1" x14ac:dyDescent="0.3">
      <c r="E59" s="371" t="s">
        <v>49</v>
      </c>
      <c r="F59" s="124">
        <v>326598</v>
      </c>
      <c r="G59" s="124">
        <v>344168</v>
      </c>
      <c r="H59" s="124">
        <v>371503</v>
      </c>
      <c r="I59" s="124">
        <v>388482</v>
      </c>
      <c r="J59" s="124">
        <v>388900.18338</v>
      </c>
      <c r="K59" s="124">
        <f>J59</f>
        <v>388900.18338</v>
      </c>
      <c r="L59" s="92">
        <f>L60*L$11</f>
        <v>466693.69816344097</v>
      </c>
      <c r="M59" s="92">
        <f>M60*M$11</f>
        <v>466693.69816344097</v>
      </c>
      <c r="N59" s="92">
        <f t="shared" ref="N59" si="78">N60*N$11</f>
        <v>521917.50251415785</v>
      </c>
      <c r="O59" s="92">
        <f t="shared" ref="O59" si="79">O60*O$11</f>
        <v>570725.98484569462</v>
      </c>
      <c r="P59" s="92">
        <f t="shared" ref="P59" si="80">P60*P$11</f>
        <v>620904.61141660984</v>
      </c>
      <c r="Q59" s="92">
        <f t="shared" ref="Q59" si="81">Q60*Q$11</f>
        <v>671608.99991334334</v>
      </c>
      <c r="R59" s="92">
        <f t="shared" ref="R59" si="82">R60*R$11</f>
        <v>722976.00311684841</v>
      </c>
      <c r="S59" s="92">
        <f t="shared" ref="S59" si="83">S60*S$11</f>
        <v>774976.92652209196</v>
      </c>
      <c r="T59" s="92">
        <f t="shared" ref="T59" si="84">T60*T$11</f>
        <v>828403.77067115845</v>
      </c>
      <c r="U59" s="92">
        <f t="shared" ref="U59" si="85">U60*U$11</f>
        <v>882906.94749159343</v>
      </c>
      <c r="V59" s="92">
        <f t="shared" ref="V59" si="86">V60*V$11</f>
        <v>938588.49135286396</v>
      </c>
      <c r="W59" s="109"/>
    </row>
    <row r="60" spans="5:23" ht="30" customHeight="1" x14ac:dyDescent="0.3">
      <c r="E60" s="80" t="s">
        <v>41</v>
      </c>
      <c r="F60" s="81">
        <f>F59/F$11</f>
        <v>1.7038416125013701E-2</v>
      </c>
      <c r="G60" s="81">
        <f t="shared" ref="G60" si="87">G59/G$11</f>
        <v>1.4029665677691169E-2</v>
      </c>
      <c r="H60" s="81">
        <f t="shared" ref="H60" si="88">H59/H$11</f>
        <v>1.10618567184009E-2</v>
      </c>
      <c r="I60" s="81">
        <f t="shared" ref="I60:K60" si="89">I59/I$11</f>
        <v>8.7469584898298997E-3</v>
      </c>
      <c r="J60" s="81">
        <f t="shared" si="89"/>
        <v>8.1913078203194167E-3</v>
      </c>
      <c r="K60" s="81">
        <f t="shared" si="89"/>
        <v>8.1913078203194167E-3</v>
      </c>
      <c r="L60" s="82">
        <f>K60</f>
        <v>8.1913078203194167E-3</v>
      </c>
      <c r="M60" s="82">
        <f>L60</f>
        <v>8.1913078203194167E-3</v>
      </c>
      <c r="N60" s="82">
        <f t="shared" ref="N60:V60" si="90">M60</f>
        <v>8.1913078203194167E-3</v>
      </c>
      <c r="O60" s="82">
        <f t="shared" si="90"/>
        <v>8.1913078203194167E-3</v>
      </c>
      <c r="P60" s="82">
        <f t="shared" si="90"/>
        <v>8.1913078203194167E-3</v>
      </c>
      <c r="Q60" s="82">
        <f t="shared" si="90"/>
        <v>8.1913078203194167E-3</v>
      </c>
      <c r="R60" s="82">
        <f t="shared" si="90"/>
        <v>8.1913078203194167E-3</v>
      </c>
      <c r="S60" s="82">
        <f t="shared" si="90"/>
        <v>8.1913078203194167E-3</v>
      </c>
      <c r="T60" s="82">
        <f t="shared" si="90"/>
        <v>8.1913078203194167E-3</v>
      </c>
      <c r="U60" s="82">
        <f t="shared" si="90"/>
        <v>8.1913078203194167E-3</v>
      </c>
      <c r="V60" s="82">
        <f t="shared" si="90"/>
        <v>8.1913078203194167E-3</v>
      </c>
      <c r="W60" s="109" t="s">
        <v>370</v>
      </c>
    </row>
    <row r="61" spans="5:23" ht="30" customHeight="1" x14ac:dyDescent="0.3">
      <c r="E61" s="371" t="s">
        <v>89</v>
      </c>
      <c r="F61" s="124">
        <f>SUM(F63:F64)</f>
        <v>-411745</v>
      </c>
      <c r="G61" s="124">
        <f t="shared" ref="G61:K61" si="91">SUM(G63:G64)</f>
        <v>-462460</v>
      </c>
      <c r="H61" s="124">
        <f t="shared" si="91"/>
        <v>-512212</v>
      </c>
      <c r="I61" s="124">
        <f t="shared" si="91"/>
        <v>-556042</v>
      </c>
      <c r="J61" s="124">
        <f t="shared" si="91"/>
        <v>-566305.74372999999</v>
      </c>
      <c r="K61" s="124">
        <f t="shared" si="91"/>
        <v>-566305.74372999999</v>
      </c>
      <c r="L61" s="92">
        <f>L62*L$11</f>
        <v>-679586.51892511116</v>
      </c>
      <c r="M61" s="92">
        <f>M62*M$11</f>
        <v>-679586.51892511116</v>
      </c>
      <c r="N61" s="92">
        <f>N62*N$11</f>
        <v>-760001.90295149223</v>
      </c>
      <c r="O61" s="92">
        <f t="shared" ref="O61" si="92">O62*O$11</f>
        <v>-831075.47161598818</v>
      </c>
      <c r="P61" s="92">
        <f t="shared" ref="P61" si="93">P62*P$11</f>
        <v>-904144.20661276754</v>
      </c>
      <c r="Q61" s="92">
        <f t="shared" ref="Q61" si="94">Q62*Q$11</f>
        <v>-977978.54165590752</v>
      </c>
      <c r="R61" s="92">
        <f t="shared" ref="R61" si="95">R62*R$11</f>
        <v>-1052777.7579985713</v>
      </c>
      <c r="S61" s="92">
        <f t="shared" ref="S61" si="96">S62*S$11</f>
        <v>-1128500.0714922596</v>
      </c>
      <c r="T61" s="92">
        <f t="shared" ref="T61" si="97">T62*T$11</f>
        <v>-1206298.7715289227</v>
      </c>
      <c r="U61" s="92">
        <f t="shared" ref="U61" si="98">U62*U$11</f>
        <v>-1285664.7975788128</v>
      </c>
      <c r="V61" s="92">
        <f t="shared" ref="V61" si="99">V62*V$11</f>
        <v>-1366746.7292825587</v>
      </c>
      <c r="W61" s="109"/>
    </row>
    <row r="62" spans="5:23" ht="30" customHeight="1" x14ac:dyDescent="0.3">
      <c r="E62" s="80" t="s">
        <v>41</v>
      </c>
      <c r="F62" s="81">
        <f>F61/F$11</f>
        <v>-2.1480482573052396E-2</v>
      </c>
      <c r="G62" s="81">
        <f t="shared" ref="G62" si="100">G61/G$11</f>
        <v>-1.8851721221336843E-2</v>
      </c>
      <c r="H62" s="81">
        <f t="shared" ref="H62" si="101">H61/H$11</f>
        <v>-1.5251601611415148E-2</v>
      </c>
      <c r="I62" s="81">
        <f t="shared" ref="I62:K62" si="102">I61/I$11</f>
        <v>-1.2519695359378292E-2</v>
      </c>
      <c r="J62" s="81">
        <f t="shared" si="102"/>
        <v>-1.1927957006836196E-2</v>
      </c>
      <c r="K62" s="81">
        <f t="shared" si="102"/>
        <v>-1.1927957006836196E-2</v>
      </c>
      <c r="L62" s="82">
        <f>K62</f>
        <v>-1.1927957006836196E-2</v>
      </c>
      <c r="M62" s="82">
        <f>L62</f>
        <v>-1.1927957006836196E-2</v>
      </c>
      <c r="N62" s="82">
        <f>M62</f>
        <v>-1.1927957006836196E-2</v>
      </c>
      <c r="O62" s="82">
        <f t="shared" ref="O62:V62" si="103">N62</f>
        <v>-1.1927957006836196E-2</v>
      </c>
      <c r="P62" s="82">
        <f t="shared" si="103"/>
        <v>-1.1927957006836196E-2</v>
      </c>
      <c r="Q62" s="82">
        <f t="shared" si="103"/>
        <v>-1.1927957006836196E-2</v>
      </c>
      <c r="R62" s="82">
        <f t="shared" si="103"/>
        <v>-1.1927957006836196E-2</v>
      </c>
      <c r="S62" s="82">
        <f t="shared" si="103"/>
        <v>-1.1927957006836196E-2</v>
      </c>
      <c r="T62" s="82">
        <f t="shared" si="103"/>
        <v>-1.1927957006836196E-2</v>
      </c>
      <c r="U62" s="82">
        <f t="shared" si="103"/>
        <v>-1.1927957006836196E-2</v>
      </c>
      <c r="V62" s="82">
        <f t="shared" si="103"/>
        <v>-1.1927957006836196E-2</v>
      </c>
      <c r="W62" s="109" t="s">
        <v>370</v>
      </c>
    </row>
    <row r="63" spans="5:23" ht="30" customHeight="1" x14ac:dyDescent="0.3">
      <c r="E63" s="372" t="s">
        <v>90</v>
      </c>
      <c r="F63" s="124">
        <v>-208899</v>
      </c>
      <c r="G63" s="124">
        <v>-230102</v>
      </c>
      <c r="H63" s="124">
        <v>-251396</v>
      </c>
      <c r="I63" s="124">
        <v>-269271</v>
      </c>
      <c r="J63" s="124">
        <v>-273400.04381</v>
      </c>
      <c r="K63" s="124">
        <f>J63</f>
        <v>-273400.04381</v>
      </c>
      <c r="L63" s="92" t="s">
        <v>21</v>
      </c>
      <c r="M63" s="92" t="s">
        <v>21</v>
      </c>
      <c r="N63" s="92" t="s">
        <v>21</v>
      </c>
      <c r="O63" s="92" t="s">
        <v>21</v>
      </c>
      <c r="P63" s="92" t="s">
        <v>21</v>
      </c>
      <c r="Q63" s="92" t="s">
        <v>21</v>
      </c>
      <c r="R63" s="92" t="s">
        <v>21</v>
      </c>
      <c r="S63" s="92" t="s">
        <v>21</v>
      </c>
      <c r="T63" s="92" t="s">
        <v>21</v>
      </c>
      <c r="U63" s="92" t="s">
        <v>21</v>
      </c>
      <c r="V63" s="92" t="s">
        <v>21</v>
      </c>
      <c r="W63" s="102"/>
    </row>
    <row r="64" spans="5:23" ht="30" customHeight="1" x14ac:dyDescent="0.3">
      <c r="E64" s="372" t="s">
        <v>91</v>
      </c>
      <c r="F64" s="124">
        <v>-202846</v>
      </c>
      <c r="G64" s="124">
        <v>-232358</v>
      </c>
      <c r="H64" s="124">
        <v>-260816</v>
      </c>
      <c r="I64" s="124">
        <v>-286771</v>
      </c>
      <c r="J64" s="124">
        <v>-292905.69991999998</v>
      </c>
      <c r="K64" s="124">
        <f>J64</f>
        <v>-292905.69991999998</v>
      </c>
      <c r="L64" s="92" t="s">
        <v>21</v>
      </c>
      <c r="M64" s="92" t="s">
        <v>21</v>
      </c>
      <c r="N64" s="92" t="s">
        <v>21</v>
      </c>
      <c r="O64" s="92" t="s">
        <v>21</v>
      </c>
      <c r="P64" s="92" t="s">
        <v>21</v>
      </c>
      <c r="Q64" s="92" t="s">
        <v>21</v>
      </c>
      <c r="R64" s="92" t="s">
        <v>21</v>
      </c>
      <c r="S64" s="92" t="s">
        <v>21</v>
      </c>
      <c r="T64" s="92" t="s">
        <v>21</v>
      </c>
      <c r="U64" s="92" t="s">
        <v>21</v>
      </c>
      <c r="V64" s="92" t="s">
        <v>21</v>
      </c>
      <c r="W64" s="102"/>
    </row>
    <row r="65" spans="5:23" ht="30" customHeight="1" x14ac:dyDescent="0.3">
      <c r="E65" s="371" t="s">
        <v>92</v>
      </c>
      <c r="F65" s="124">
        <f>F67</f>
        <v>-20829</v>
      </c>
      <c r="G65" s="124">
        <f t="shared" ref="G65:K65" si="104">G67</f>
        <v>-17459</v>
      </c>
      <c r="H65" s="124">
        <f t="shared" si="104"/>
        <v>-17459</v>
      </c>
      <c r="I65" s="124">
        <f t="shared" si="104"/>
        <v>-8023</v>
      </c>
      <c r="J65" s="124">
        <f t="shared" si="104"/>
        <v>-8023.1927100000003</v>
      </c>
      <c r="K65" s="124">
        <f t="shared" si="104"/>
        <v>-8023.1927100000003</v>
      </c>
      <c r="L65" s="92">
        <f>L66*L$11</f>
        <v>-9628.1093116615448</v>
      </c>
      <c r="M65" s="92">
        <f>M66*M$11</f>
        <v>-9628.1093116615448</v>
      </c>
      <c r="N65" s="92">
        <f t="shared" ref="N65" si="105">N66*N$11</f>
        <v>-10767.402229022313</v>
      </c>
      <c r="O65" s="92">
        <f t="shared" ref="O65" si="106">O66*O$11</f>
        <v>-11774.344052050232</v>
      </c>
      <c r="P65" s="92">
        <f t="shared" ref="P65" si="107">P66*P$11</f>
        <v>-12809.552591687767</v>
      </c>
      <c r="Q65" s="92">
        <f t="shared" ref="Q65" si="108">Q66*Q$11</f>
        <v>-13855.607845805502</v>
      </c>
      <c r="R65" s="92">
        <f t="shared" ref="R65" si="109">R66*R$11</f>
        <v>-14915.333151294013</v>
      </c>
      <c r="S65" s="92">
        <f t="shared" ref="S65" si="110">S66*S$11</f>
        <v>-15988.136527091225</v>
      </c>
      <c r="T65" s="92">
        <f t="shared" ref="T65" si="111">T66*T$11</f>
        <v>-17090.357314876899</v>
      </c>
      <c r="U65" s="92">
        <f t="shared" ref="U65" si="112">U66*U$11</f>
        <v>-18214.783349179568</v>
      </c>
      <c r="V65" s="92">
        <f t="shared" ref="V65" si="113">V66*V$11</f>
        <v>-19363.519646772857</v>
      </c>
      <c r="W65" s="102"/>
    </row>
    <row r="66" spans="5:23" ht="30" customHeight="1" x14ac:dyDescent="0.3">
      <c r="E66" s="80" t="s">
        <v>41</v>
      </c>
      <c r="F66" s="81">
        <f>F65/F$11</f>
        <v>-1.0866360769750897E-3</v>
      </c>
      <c r="G66" s="81">
        <f t="shared" ref="G66" si="114">G65/G$11</f>
        <v>-7.1169874324983763E-4</v>
      </c>
      <c r="H66" s="81">
        <f t="shared" ref="H66" si="115">H65/H$11</f>
        <v>-5.1985840342221013E-4</v>
      </c>
      <c r="I66" s="81">
        <f t="shared" ref="I66:K66" si="116">I65/I$11</f>
        <v>-1.8064375688939331E-4</v>
      </c>
      <c r="J66" s="81">
        <f t="shared" si="116"/>
        <v>-1.6899051221360917E-4</v>
      </c>
      <c r="K66" s="81">
        <f t="shared" si="116"/>
        <v>-1.6899051221360917E-4</v>
      </c>
      <c r="L66" s="82">
        <f>K66</f>
        <v>-1.6899051221360917E-4</v>
      </c>
      <c r="M66" s="82">
        <f>L66</f>
        <v>-1.6899051221360917E-4</v>
      </c>
      <c r="N66" s="82">
        <f t="shared" ref="N66:V66" si="117">M66</f>
        <v>-1.6899051221360917E-4</v>
      </c>
      <c r="O66" s="82">
        <f t="shared" si="117"/>
        <v>-1.6899051221360917E-4</v>
      </c>
      <c r="P66" s="82">
        <f t="shared" si="117"/>
        <v>-1.6899051221360917E-4</v>
      </c>
      <c r="Q66" s="82">
        <f t="shared" si="117"/>
        <v>-1.6899051221360917E-4</v>
      </c>
      <c r="R66" s="82">
        <f t="shared" si="117"/>
        <v>-1.6899051221360917E-4</v>
      </c>
      <c r="S66" s="82">
        <f t="shared" si="117"/>
        <v>-1.6899051221360917E-4</v>
      </c>
      <c r="T66" s="82">
        <f t="shared" si="117"/>
        <v>-1.6899051221360917E-4</v>
      </c>
      <c r="U66" s="82">
        <f t="shared" si="117"/>
        <v>-1.6899051221360917E-4</v>
      </c>
      <c r="V66" s="82">
        <f t="shared" si="117"/>
        <v>-1.6899051221360917E-4</v>
      </c>
      <c r="W66" s="109" t="s">
        <v>370</v>
      </c>
    </row>
    <row r="67" spans="5:23" ht="30" customHeight="1" x14ac:dyDescent="0.3">
      <c r="E67" s="372" t="s">
        <v>93</v>
      </c>
      <c r="F67" s="124">
        <v>-20829</v>
      </c>
      <c r="G67" s="124">
        <v>-17459</v>
      </c>
      <c r="H67" s="124">
        <v>-17459</v>
      </c>
      <c r="I67" s="124">
        <v>-8023</v>
      </c>
      <c r="J67" s="124">
        <v>-8023.1927100000003</v>
      </c>
      <c r="K67" s="124">
        <f>J67</f>
        <v>-8023.1927100000003</v>
      </c>
      <c r="L67" s="92">
        <f>L65</f>
        <v>-9628.1093116615448</v>
      </c>
      <c r="M67" s="92">
        <f>M65</f>
        <v>-9628.1093116615448</v>
      </c>
      <c r="N67" s="92">
        <f t="shared" ref="N67:V67" si="118">N65</f>
        <v>-10767.402229022313</v>
      </c>
      <c r="O67" s="92">
        <f t="shared" si="118"/>
        <v>-11774.344052050232</v>
      </c>
      <c r="P67" s="92">
        <f t="shared" si="118"/>
        <v>-12809.552591687767</v>
      </c>
      <c r="Q67" s="92">
        <f t="shared" si="118"/>
        <v>-13855.607845805502</v>
      </c>
      <c r="R67" s="92">
        <f t="shared" si="118"/>
        <v>-14915.333151294013</v>
      </c>
      <c r="S67" s="92">
        <f t="shared" si="118"/>
        <v>-15988.136527091225</v>
      </c>
      <c r="T67" s="92">
        <f t="shared" si="118"/>
        <v>-17090.357314876899</v>
      </c>
      <c r="U67" s="92">
        <f t="shared" si="118"/>
        <v>-18214.783349179568</v>
      </c>
      <c r="V67" s="92">
        <f t="shared" si="118"/>
        <v>-19363.519646772857</v>
      </c>
      <c r="W67" s="102"/>
    </row>
    <row r="68" spans="5:23" ht="30" customHeight="1" x14ac:dyDescent="0.3">
      <c r="E68" s="76" t="s">
        <v>50</v>
      </c>
      <c r="F68" s="166">
        <f>F69+F124</f>
        <v>18398912</v>
      </c>
      <c r="G68" s="166">
        <f t="shared" ref="G68:K68" si="119">G69</f>
        <v>23007532</v>
      </c>
      <c r="H68" s="166">
        <f t="shared" si="119"/>
        <v>29754519</v>
      </c>
      <c r="I68" s="166">
        <f t="shared" si="119"/>
        <v>39328999</v>
      </c>
      <c r="J68" s="166">
        <f t="shared" si="119"/>
        <v>42287633.81893</v>
      </c>
      <c r="K68" s="166">
        <f t="shared" si="119"/>
        <v>42287633.81893</v>
      </c>
      <c r="L68" s="100">
        <f>L12-L125</f>
        <v>51262623.358893953</v>
      </c>
      <c r="M68" s="100">
        <f>M12-M125</f>
        <v>51262623.358893953</v>
      </c>
      <c r="N68" s="100">
        <f>N12-N125</f>
        <v>57046875.940569371</v>
      </c>
      <c r="O68" s="100">
        <f t="shared" ref="O68:V68" si="120">O12-O125</f>
        <v>62102528.686754465</v>
      </c>
      <c r="P68" s="100">
        <f t="shared" si="120"/>
        <v>67267930.668563157</v>
      </c>
      <c r="Q68" s="100">
        <f t="shared" si="120"/>
        <v>72450881.280425549</v>
      </c>
      <c r="R68" s="100">
        <f t="shared" si="120"/>
        <v>77664546.634979874</v>
      </c>
      <c r="S68" s="100">
        <f t="shared" si="120"/>
        <v>82904349.988069028</v>
      </c>
      <c r="T68" s="100">
        <f t="shared" si="120"/>
        <v>88252280.707269669</v>
      </c>
      <c r="U68" s="100">
        <f t="shared" si="120"/>
        <v>93669147.783534929</v>
      </c>
      <c r="V68" s="100">
        <f t="shared" si="120"/>
        <v>99163526.923292473</v>
      </c>
      <c r="W68" s="109"/>
    </row>
    <row r="69" spans="5:23" ht="30" customHeight="1" x14ac:dyDescent="0.3">
      <c r="E69" s="77" t="s">
        <v>51</v>
      </c>
      <c r="F69" s="78">
        <f>SUM(F70,F112,F120,F124)</f>
        <v>18398912</v>
      </c>
      <c r="G69" s="78">
        <f t="shared" ref="G69:V69" si="121">SUM(G70,G112,G120,G124)</f>
        <v>23007532</v>
      </c>
      <c r="H69" s="78">
        <f t="shared" si="121"/>
        <v>29754519</v>
      </c>
      <c r="I69" s="78">
        <f t="shared" si="121"/>
        <v>39328999</v>
      </c>
      <c r="J69" s="78">
        <f t="shared" si="121"/>
        <v>42287633.81893</v>
      </c>
      <c r="K69" s="78">
        <f t="shared" si="121"/>
        <v>42287633.81893</v>
      </c>
      <c r="L69" s="79">
        <f t="shared" si="121"/>
        <v>51262623.358893953</v>
      </c>
      <c r="M69" s="79">
        <f t="shared" si="121"/>
        <v>51262623.358893953</v>
      </c>
      <c r="N69" s="79">
        <f t="shared" si="121"/>
        <v>57046875.940569371</v>
      </c>
      <c r="O69" s="79">
        <f t="shared" si="121"/>
        <v>62102528.686754465</v>
      </c>
      <c r="P69" s="79">
        <f t="shared" si="121"/>
        <v>67267930.668563157</v>
      </c>
      <c r="Q69" s="79">
        <f t="shared" si="121"/>
        <v>72450881.280425549</v>
      </c>
      <c r="R69" s="79">
        <f t="shared" si="121"/>
        <v>77664546.634979874</v>
      </c>
      <c r="S69" s="79">
        <f t="shared" si="121"/>
        <v>82904349.988069028</v>
      </c>
      <c r="T69" s="79">
        <f t="shared" si="121"/>
        <v>88252280.707269669</v>
      </c>
      <c r="U69" s="79">
        <f t="shared" si="121"/>
        <v>93669147.783534929</v>
      </c>
      <c r="V69" s="79">
        <f t="shared" si="121"/>
        <v>99163526.923292473</v>
      </c>
      <c r="W69" s="102"/>
    </row>
    <row r="70" spans="5:23" ht="30" customHeight="1" x14ac:dyDescent="0.3">
      <c r="E70" s="371" t="s">
        <v>110</v>
      </c>
      <c r="F70" s="124">
        <f>SUM(F72,F84,F86,F88,F90,F92,F94,F96,F98,F100,F106,F108,F110)</f>
        <v>14472736</v>
      </c>
      <c r="G70" s="124">
        <f t="shared" ref="G70:V70" si="122">SUM(G72,G84,G86,G88,G90,G92,G94,G96,G98,G100,G106,G108,G110)</f>
        <v>19267380</v>
      </c>
      <c r="H70" s="124">
        <f t="shared" si="122"/>
        <v>25656298</v>
      </c>
      <c r="I70" s="124">
        <f t="shared" si="122"/>
        <v>35490828</v>
      </c>
      <c r="J70" s="124">
        <f t="shared" si="122"/>
        <v>38512124.278870001</v>
      </c>
      <c r="K70" s="124">
        <f t="shared" si="122"/>
        <v>38512124.278870001</v>
      </c>
      <c r="L70" s="92">
        <f>SUM(L72,L84,L86,L88,L90,L92,L94,L96,L98,L100,L106,L108,L110)</f>
        <v>46205443.195017822</v>
      </c>
      <c r="M70" s="92">
        <f t="shared" si="122"/>
        <v>46205443.195017822</v>
      </c>
      <c r="N70" s="92">
        <f t="shared" si="122"/>
        <v>51672927.253579527</v>
      </c>
      <c r="O70" s="92">
        <f t="shared" si="122"/>
        <v>56505256.395112209</v>
      </c>
      <c r="P70" s="92">
        <f t="shared" si="122"/>
        <v>61473237.940075055</v>
      </c>
      <c r="Q70" s="92">
        <f t="shared" si="122"/>
        <v>66493273.032992586</v>
      </c>
      <c r="R70" s="92">
        <f t="shared" si="122"/>
        <v>71578910.910593942</v>
      </c>
      <c r="S70" s="92">
        <f t="shared" si="122"/>
        <v>76727310.646748081</v>
      </c>
      <c r="T70" s="92">
        <f t="shared" si="122"/>
        <v>82016884.990977213</v>
      </c>
      <c r="U70" s="92">
        <f t="shared" si="122"/>
        <v>87413022.651363343</v>
      </c>
      <c r="V70" s="92">
        <f t="shared" si="122"/>
        <v>92925825.635456383</v>
      </c>
      <c r="W70" s="109"/>
    </row>
    <row r="71" spans="5:23" ht="30" customHeight="1" x14ac:dyDescent="0.3">
      <c r="E71" s="80" t="s">
        <v>41</v>
      </c>
      <c r="F71" s="81">
        <f>F70/F$11</f>
        <v>0.75503370637746192</v>
      </c>
      <c r="G71" s="81">
        <f t="shared" ref="G71:K71" si="123">G70/G$11</f>
        <v>0.78541555253548634</v>
      </c>
      <c r="H71" s="81">
        <f t="shared" si="123"/>
        <v>0.76394078217563677</v>
      </c>
      <c r="I71" s="81">
        <f t="shared" si="123"/>
        <v>0.7991021444640749</v>
      </c>
      <c r="J71" s="81">
        <f t="shared" si="123"/>
        <v>0.81117129346883343</v>
      </c>
      <c r="K71" s="81">
        <f t="shared" si="123"/>
        <v>0.81117129346883343</v>
      </c>
      <c r="L71" s="82">
        <f t="shared" ref="L71" si="124">L70/L$11</f>
        <v>0.81098804135153624</v>
      </c>
      <c r="M71" s="82">
        <f t="shared" ref="M71" si="125">M70/M$11</f>
        <v>0.81098804135153624</v>
      </c>
      <c r="N71" s="82">
        <f t="shared" ref="N71" si="126">N70/N$11</f>
        <v>0.81098804135153613</v>
      </c>
      <c r="O71" s="82">
        <f t="shared" ref="O71" si="127">O70/O$11</f>
        <v>0.81098804135153624</v>
      </c>
      <c r="P71" s="82">
        <f t="shared" ref="P71" si="128">P70/P$11</f>
        <v>0.81098804135153613</v>
      </c>
      <c r="Q71" s="82">
        <f t="shared" ref="Q71" si="129">Q70/Q$11</f>
        <v>0.81098804135153624</v>
      </c>
      <c r="R71" s="82">
        <f t="shared" ref="R71" si="130">R70/R$11</f>
        <v>0.81098804135153624</v>
      </c>
      <c r="S71" s="82">
        <f t="shared" ref="S71" si="131">S70/S$11</f>
        <v>0.81098804135153624</v>
      </c>
      <c r="T71" s="82">
        <f t="shared" ref="T71" si="132">T70/T$11</f>
        <v>0.81098804135153602</v>
      </c>
      <c r="U71" s="82">
        <f t="shared" ref="U71" si="133">U70/U$11</f>
        <v>0.81098804135153613</v>
      </c>
      <c r="V71" s="82">
        <f t="shared" ref="V71" si="134">V70/V$11</f>
        <v>0.81098804135153624</v>
      </c>
      <c r="W71" s="109"/>
    </row>
    <row r="72" spans="5:23" ht="30" customHeight="1" x14ac:dyDescent="0.3">
      <c r="E72" s="372" t="s">
        <v>52</v>
      </c>
      <c r="F72" s="124">
        <f>SUM(F74:F77)</f>
        <v>5829618</v>
      </c>
      <c r="G72" s="124">
        <f t="shared" ref="G72:V72" si="135">SUM(G74:G77)</f>
        <v>6420521</v>
      </c>
      <c r="H72" s="124">
        <f t="shared" si="135"/>
        <v>8338410</v>
      </c>
      <c r="I72" s="124">
        <f t="shared" si="135"/>
        <v>11322771</v>
      </c>
      <c r="J72" s="124">
        <f t="shared" si="135"/>
        <v>12068645</v>
      </c>
      <c r="K72" s="124">
        <f t="shared" si="135"/>
        <v>12068645</v>
      </c>
      <c r="L72" s="92">
        <f t="shared" si="135"/>
        <v>14479520.447909649</v>
      </c>
      <c r="M72" s="92">
        <f t="shared" si="135"/>
        <v>14479520.447909649</v>
      </c>
      <c r="N72" s="92">
        <f t="shared" si="135"/>
        <v>16192880.211399607</v>
      </c>
      <c r="O72" s="92">
        <f t="shared" si="135"/>
        <v>17707199.819168169</v>
      </c>
      <c r="P72" s="92">
        <f t="shared" si="135"/>
        <v>19264029.174997915</v>
      </c>
      <c r="Q72" s="92">
        <f t="shared" si="135"/>
        <v>20837170.687142547</v>
      </c>
      <c r="R72" s="92">
        <f t="shared" si="135"/>
        <v>22430870.315313905</v>
      </c>
      <c r="S72" s="92">
        <f t="shared" si="135"/>
        <v>24044237.791068245</v>
      </c>
      <c r="T72" s="92">
        <f t="shared" si="135"/>
        <v>25701845.522580333</v>
      </c>
      <c r="U72" s="92">
        <f t="shared" si="135"/>
        <v>27392847.278878197</v>
      </c>
      <c r="V72" s="92">
        <f t="shared" si="135"/>
        <v>29120408.75245972</v>
      </c>
      <c r="W72" s="109"/>
    </row>
    <row r="73" spans="5:23" ht="30" customHeight="1" x14ac:dyDescent="0.3">
      <c r="E73" s="83" t="s">
        <v>41</v>
      </c>
      <c r="F73" s="81">
        <f>F72/F$11</f>
        <v>0.30412757375694316</v>
      </c>
      <c r="G73" s="81">
        <f t="shared" ref="G73:V73" si="136">G72/G$11</f>
        <v>0.2617261427750267</v>
      </c>
      <c r="H73" s="81">
        <f t="shared" si="136"/>
        <v>0.24828412335642311</v>
      </c>
      <c r="I73" s="81">
        <f t="shared" si="136"/>
        <v>0.25494053244899323</v>
      </c>
      <c r="J73" s="81">
        <f t="shared" si="136"/>
        <v>0.25419886745736825</v>
      </c>
      <c r="K73" s="81">
        <f t="shared" si="136"/>
        <v>0.25419886745736825</v>
      </c>
      <c r="L73" s="82">
        <f t="shared" si="136"/>
        <v>0.25414144126261606</v>
      </c>
      <c r="M73" s="82">
        <f t="shared" si="136"/>
        <v>0.25414144126261606</v>
      </c>
      <c r="N73" s="82">
        <f t="shared" si="136"/>
        <v>0.25414144126261606</v>
      </c>
      <c r="O73" s="82">
        <f t="shared" si="136"/>
        <v>0.25414144126261606</v>
      </c>
      <c r="P73" s="82">
        <f t="shared" si="136"/>
        <v>0.25414144126261606</v>
      </c>
      <c r="Q73" s="82">
        <f t="shared" si="136"/>
        <v>0.25414144126261606</v>
      </c>
      <c r="R73" s="82">
        <f t="shared" si="136"/>
        <v>0.25414144126261606</v>
      </c>
      <c r="S73" s="82">
        <f t="shared" si="136"/>
        <v>0.25414144126261606</v>
      </c>
      <c r="T73" s="82">
        <f t="shared" si="136"/>
        <v>0.25414144126261606</v>
      </c>
      <c r="U73" s="82">
        <f t="shared" si="136"/>
        <v>0.25414144126261606</v>
      </c>
      <c r="V73" s="82">
        <f t="shared" si="136"/>
        <v>0.25414144126261606</v>
      </c>
      <c r="W73" s="109"/>
    </row>
    <row r="74" spans="5:23" ht="30" customHeight="1" x14ac:dyDescent="0.3">
      <c r="E74" s="373" t="s">
        <v>53</v>
      </c>
      <c r="F74" s="124">
        <v>2101873</v>
      </c>
      <c r="G74" s="124">
        <v>2000942</v>
      </c>
      <c r="H74" s="124">
        <v>1785604</v>
      </c>
      <c r="I74" s="124">
        <v>2349405</v>
      </c>
      <c r="J74" s="124">
        <v>1905651</v>
      </c>
      <c r="K74" s="124">
        <f>J74</f>
        <v>1905651</v>
      </c>
      <c r="L74" s="92">
        <f>'Projeções - NIM'!L66</f>
        <v>2286330.6212983704</v>
      </c>
      <c r="M74" s="92">
        <f>'Projeções - NIM'!M66</f>
        <v>2286330.6212983704</v>
      </c>
      <c r="N74" s="92">
        <f>'Projeções - NIM'!N66</f>
        <v>2556871.8251082762</v>
      </c>
      <c r="O74" s="92">
        <f>'Projeções - NIM'!O66</f>
        <v>2795984.3911721362</v>
      </c>
      <c r="P74" s="92">
        <f>'Projeções - NIM'!P66</f>
        <v>3041809.2885625479</v>
      </c>
      <c r="Q74" s="92">
        <f>'Projeções - NIM'!Q66</f>
        <v>3290209.8915929571</v>
      </c>
      <c r="R74" s="92">
        <f>'Projeções - NIM'!R66</f>
        <v>3541856.6415076638</v>
      </c>
      <c r="S74" s="92">
        <f>'Projeções - NIM'!S66</f>
        <v>3796608.9640375529</v>
      </c>
      <c r="T74" s="92">
        <f>'Projeções - NIM'!T66</f>
        <v>4058346.8667734233</v>
      </c>
      <c r="U74" s="92">
        <f>'Projeções - NIM'!U66</f>
        <v>4325357.7191011515</v>
      </c>
      <c r="V74" s="92">
        <f>'Projeções - NIM'!V66</f>
        <v>4598141.3870019065</v>
      </c>
      <c r="W74" s="112" t="s">
        <v>371</v>
      </c>
    </row>
    <row r="75" spans="5:23" ht="30" customHeight="1" x14ac:dyDescent="0.3">
      <c r="E75" s="373" t="s">
        <v>54</v>
      </c>
      <c r="F75" s="124">
        <v>766226</v>
      </c>
      <c r="G75" s="124">
        <v>792764</v>
      </c>
      <c r="H75" s="124">
        <v>749268</v>
      </c>
      <c r="I75" s="124">
        <v>725983</v>
      </c>
      <c r="J75" s="124">
        <v>722973</v>
      </c>
      <c r="K75" s="124">
        <f t="shared" ref="K75:K76" si="137">J75</f>
        <v>722973</v>
      </c>
      <c r="L75" s="92">
        <f>'Projeções - NIM'!L68</f>
        <v>867396.65776784241</v>
      </c>
      <c r="M75" s="92">
        <f>'Projeções - NIM'!M68</f>
        <v>867396.65776784241</v>
      </c>
      <c r="N75" s="92">
        <f>'Projeções - NIM'!N68</f>
        <v>970035.59099436656</v>
      </c>
      <c r="O75" s="92">
        <f>'Projeções - NIM'!O68</f>
        <v>1060751.0101476568</v>
      </c>
      <c r="P75" s="92">
        <f>'Projeções - NIM'!P68</f>
        <v>1154012.9786513536</v>
      </c>
      <c r="Q75" s="92">
        <f>'Projeções - NIM'!Q68</f>
        <v>1248252.127989141</v>
      </c>
      <c r="R75" s="92">
        <f>'Projeções - NIM'!R68</f>
        <v>1343722.8126664956</v>
      </c>
      <c r="S75" s="92">
        <f>'Projeções - NIM'!S68</f>
        <v>1440371.7010917116</v>
      </c>
      <c r="T75" s="92">
        <f>'Projeções - NIM'!T68</f>
        <v>1539670.8050486587</v>
      </c>
      <c r="U75" s="92">
        <f>'Projeções - NIM'!U68</f>
        <v>1640970.3803328713</v>
      </c>
      <c r="V75" s="92">
        <f>'Projeções - NIM'!V68</f>
        <v>1744460.0679688614</v>
      </c>
      <c r="W75" s="112" t="s">
        <v>371</v>
      </c>
    </row>
    <row r="76" spans="5:23" ht="30" customHeight="1" x14ac:dyDescent="0.3">
      <c r="E76" s="373" t="s">
        <v>55</v>
      </c>
      <c r="F76" s="124">
        <v>7505</v>
      </c>
      <c r="G76" s="124">
        <v>41672</v>
      </c>
      <c r="H76" s="124">
        <v>43885</v>
      </c>
      <c r="I76" s="124">
        <v>379287</v>
      </c>
      <c r="J76" s="124">
        <v>362389</v>
      </c>
      <c r="K76" s="124">
        <f t="shared" si="137"/>
        <v>362389</v>
      </c>
      <c r="L76" s="92">
        <f>'Projeções - NIM'!L70</f>
        <v>434781.11549370544</v>
      </c>
      <c r="M76" s="92">
        <f>'Projeções - NIM'!M70</f>
        <v>434781.11549370544</v>
      </c>
      <c r="N76" s="92">
        <f>'Projeções - NIM'!N70</f>
        <v>486228.70810508489</v>
      </c>
      <c r="O76" s="92">
        <f>'Projeções - NIM'!O70</f>
        <v>531699.65934606036</v>
      </c>
      <c r="P76" s="92">
        <f>'Projeções - NIM'!P70</f>
        <v>578447.06416489335</v>
      </c>
      <c r="Q76" s="92">
        <f>'Projeções - NIM'!Q70</f>
        <v>625684.27923291316</v>
      </c>
      <c r="R76" s="92">
        <f>'Projeções - NIM'!R70</f>
        <v>673538.79931809171</v>
      </c>
      <c r="S76" s="92">
        <f>'Projeções - NIM'!S70</f>
        <v>721983.89204980596</v>
      </c>
      <c r="T76" s="92">
        <f>'Projeções - NIM'!T70</f>
        <v>771757.40085837024</v>
      </c>
      <c r="U76" s="92">
        <f>'Projeções - NIM'!U70</f>
        <v>822533.64255435404</v>
      </c>
      <c r="V76" s="92">
        <f>'Projeções - NIM'!V70</f>
        <v>874407.67438226298</v>
      </c>
      <c r="W76" s="112" t="s">
        <v>371</v>
      </c>
    </row>
    <row r="77" spans="5:23" ht="30" customHeight="1" x14ac:dyDescent="0.3">
      <c r="E77" s="373" t="s">
        <v>56</v>
      </c>
      <c r="F77" s="124">
        <f>SUM(F78:F80)</f>
        <v>2954014</v>
      </c>
      <c r="G77" s="124">
        <f t="shared" ref="G77:V77" si="138">SUM(G78:G80)</f>
        <v>3585143</v>
      </c>
      <c r="H77" s="124">
        <f t="shared" si="138"/>
        <v>5759653</v>
      </c>
      <c r="I77" s="124">
        <f t="shared" si="138"/>
        <v>7868096</v>
      </c>
      <c r="J77" s="124">
        <f t="shared" si="138"/>
        <v>9077632</v>
      </c>
      <c r="K77" s="124">
        <f t="shared" si="138"/>
        <v>9077632</v>
      </c>
      <c r="L77" s="92">
        <f t="shared" si="138"/>
        <v>10891012.053349731</v>
      </c>
      <c r="M77" s="92">
        <f t="shared" si="138"/>
        <v>10891012.053349731</v>
      </c>
      <c r="N77" s="92">
        <f t="shared" si="138"/>
        <v>12179744.08719188</v>
      </c>
      <c r="O77" s="92">
        <f t="shared" si="138"/>
        <v>13318764.758502316</v>
      </c>
      <c r="P77" s="92">
        <f t="shared" si="138"/>
        <v>14489759.843619119</v>
      </c>
      <c r="Q77" s="92">
        <f t="shared" si="138"/>
        <v>15673024.388327535</v>
      </c>
      <c r="R77" s="92">
        <f t="shared" si="138"/>
        <v>16871752.061821654</v>
      </c>
      <c r="S77" s="92">
        <f t="shared" si="138"/>
        <v>18085273.233889174</v>
      </c>
      <c r="T77" s="92">
        <f t="shared" si="138"/>
        <v>19332070.449899882</v>
      </c>
      <c r="U77" s="92">
        <f t="shared" si="138"/>
        <v>20603985.536889821</v>
      </c>
      <c r="V77" s="92">
        <f t="shared" si="138"/>
        <v>21903399.623106688</v>
      </c>
      <c r="W77" s="109"/>
    </row>
    <row r="78" spans="5:23" ht="30" customHeight="1" x14ac:dyDescent="0.3">
      <c r="E78" s="374" t="s">
        <v>56</v>
      </c>
      <c r="F78" s="124">
        <v>1551955</v>
      </c>
      <c r="G78" s="124">
        <v>1842803</v>
      </c>
      <c r="H78" s="124">
        <v>1903078</v>
      </c>
      <c r="I78" s="124">
        <v>2430848</v>
      </c>
      <c r="J78" s="124">
        <v>2716567</v>
      </c>
      <c r="K78" s="124">
        <f>J78</f>
        <v>2716567</v>
      </c>
      <c r="L78" s="92">
        <f>'Projeções - NIM'!L72</f>
        <v>3259238.0855196728</v>
      </c>
      <c r="M78" s="92">
        <f>'Projeções - NIM'!M72</f>
        <v>3259238.0855196728</v>
      </c>
      <c r="N78" s="92">
        <f>'Projeções - NIM'!N72</f>
        <v>3644903.3025034037</v>
      </c>
      <c r="O78" s="92">
        <f>'Projeções - NIM'!O72</f>
        <v>3985765.982109691</v>
      </c>
      <c r="P78" s="92">
        <f>'Projeções - NIM'!P72</f>
        <v>4336197.3066435009</v>
      </c>
      <c r="Q78" s="92">
        <f>'Projeções - NIM'!Q72</f>
        <v>4690300.3826907463</v>
      </c>
      <c r="R78" s="92">
        <f>'Projeções - NIM'!R72</f>
        <v>5049030.9458817737</v>
      </c>
      <c r="S78" s="92">
        <f>'Projeções - NIM'!S72</f>
        <v>5412188.6030593235</v>
      </c>
      <c r="T78" s="92">
        <f>'Projeções - NIM'!T72</f>
        <v>5785304.4302603556</v>
      </c>
      <c r="U78" s="92">
        <f>'Projeções - NIM'!U72</f>
        <v>6165937.0172741273</v>
      </c>
      <c r="V78" s="92">
        <f>'Projeções - NIM'!V72</f>
        <v>6554798.939188553</v>
      </c>
      <c r="W78" s="112" t="s">
        <v>371</v>
      </c>
    </row>
    <row r="79" spans="5:23" ht="30" customHeight="1" x14ac:dyDescent="0.3">
      <c r="E79" s="374" t="s">
        <v>95</v>
      </c>
      <c r="F79" s="124">
        <v>83366</v>
      </c>
      <c r="G79" s="124">
        <v>64486</v>
      </c>
      <c r="H79" s="124">
        <v>68304</v>
      </c>
      <c r="I79" s="124">
        <v>73698</v>
      </c>
      <c r="J79" s="124">
        <v>76057</v>
      </c>
      <c r="K79" s="124">
        <f>J79</f>
        <v>76057</v>
      </c>
      <c r="L79" s="92">
        <f>'Projeções - NIM'!L74</f>
        <v>91250.416820336017</v>
      </c>
      <c r="M79" s="92">
        <f>'Projeções - NIM'!M74</f>
        <v>91250.416820336017</v>
      </c>
      <c r="N79" s="92">
        <f>'Projeções - NIM'!N74</f>
        <v>102048.06672484109</v>
      </c>
      <c r="O79" s="92">
        <f>'Projeções - NIM'!O74</f>
        <v>111591.35898408425</v>
      </c>
      <c r="P79" s="92">
        <f>'Projeções - NIM'!P74</f>
        <v>121402.54908175825</v>
      </c>
      <c r="Q79" s="92">
        <f>'Projeções - NIM'!Q74</f>
        <v>131316.53892810672</v>
      </c>
      <c r="R79" s="92">
        <f>'Projeções - NIM'!R74</f>
        <v>141360.08670168271</v>
      </c>
      <c r="S79" s="92">
        <f>'Projeções - NIM'!S74</f>
        <v>151527.58190130518</v>
      </c>
      <c r="T79" s="92">
        <f>'Projeções - NIM'!T74</f>
        <v>161973.88065610451</v>
      </c>
      <c r="U79" s="92">
        <f>'Projeções - NIM'!U74</f>
        <v>172630.62965972061</v>
      </c>
      <c r="V79" s="92">
        <f>'Projeções - NIM'!V74</f>
        <v>183517.77921099085</v>
      </c>
      <c r="W79" s="112" t="s">
        <v>371</v>
      </c>
    </row>
    <row r="80" spans="5:23" ht="30" customHeight="1" x14ac:dyDescent="0.3">
      <c r="E80" s="374" t="s">
        <v>96</v>
      </c>
      <c r="F80" s="124">
        <f>SUM(F81:F83)</f>
        <v>1318693</v>
      </c>
      <c r="G80" s="124">
        <f t="shared" ref="G80:K80" si="139">SUM(G81:G83)</f>
        <v>1677854</v>
      </c>
      <c r="H80" s="124">
        <f t="shared" si="139"/>
        <v>3788271</v>
      </c>
      <c r="I80" s="124">
        <f t="shared" si="139"/>
        <v>5363550</v>
      </c>
      <c r="J80" s="124">
        <f t="shared" si="139"/>
        <v>6285008</v>
      </c>
      <c r="K80" s="124">
        <f t="shared" si="139"/>
        <v>6285008</v>
      </c>
      <c r="L80" s="92">
        <f>'Projeções - NIM'!L76</f>
        <v>7540523.5510097221</v>
      </c>
      <c r="M80" s="92">
        <f>'Projeções - NIM'!M76</f>
        <v>7540523.5510097221</v>
      </c>
      <c r="N80" s="92">
        <f>'Projeções - NIM'!N76</f>
        <v>8432792.7179636341</v>
      </c>
      <c r="O80" s="92">
        <f>'Projeções - NIM'!O76</f>
        <v>9221407.4174085408</v>
      </c>
      <c r="P80" s="92">
        <f>'Projeções - NIM'!P76</f>
        <v>10032159.987893859</v>
      </c>
      <c r="Q80" s="92">
        <f>'Projeções - NIM'!Q76</f>
        <v>10851407.466708682</v>
      </c>
      <c r="R80" s="92">
        <f>'Projeções - NIM'!R76</f>
        <v>11681361.029238196</v>
      </c>
      <c r="S80" s="92">
        <f>'Projeções - NIM'!S76</f>
        <v>12521557.048928546</v>
      </c>
      <c r="T80" s="92">
        <f>'Projeções - NIM'!T76</f>
        <v>13384792.138983423</v>
      </c>
      <c r="U80" s="92">
        <f>'Projeções - NIM'!U76</f>
        <v>14265417.889955973</v>
      </c>
      <c r="V80" s="92">
        <f>'Projeções - NIM'!V76</f>
        <v>15165082.904707145</v>
      </c>
      <c r="W80" s="112" t="s">
        <v>371</v>
      </c>
    </row>
    <row r="81" spans="5:23" ht="30" customHeight="1" x14ac:dyDescent="0.3">
      <c r="E81" s="375" t="s">
        <v>97</v>
      </c>
      <c r="F81" s="124">
        <v>780922</v>
      </c>
      <c r="G81" s="124">
        <v>1026339</v>
      </c>
      <c r="H81" s="124">
        <v>3056401</v>
      </c>
      <c r="I81" s="124">
        <v>4487338</v>
      </c>
      <c r="J81" s="124">
        <v>5388808</v>
      </c>
      <c r="K81" s="124">
        <f>J81</f>
        <v>5388808</v>
      </c>
      <c r="L81" s="92" t="s">
        <v>21</v>
      </c>
      <c r="M81" s="92" t="s">
        <v>21</v>
      </c>
      <c r="N81" s="92" t="s">
        <v>21</v>
      </c>
      <c r="O81" s="92" t="s">
        <v>21</v>
      </c>
      <c r="P81" s="92" t="s">
        <v>21</v>
      </c>
      <c r="Q81" s="92" t="s">
        <v>21</v>
      </c>
      <c r="R81" s="92" t="s">
        <v>21</v>
      </c>
      <c r="S81" s="92" t="s">
        <v>21</v>
      </c>
      <c r="T81" s="92" t="s">
        <v>21</v>
      </c>
      <c r="U81" s="92" t="s">
        <v>21</v>
      </c>
      <c r="V81" s="92" t="s">
        <v>21</v>
      </c>
      <c r="W81" s="109"/>
    </row>
    <row r="82" spans="5:23" ht="30" customHeight="1" x14ac:dyDescent="0.3">
      <c r="E82" s="375" t="s">
        <v>98</v>
      </c>
      <c r="F82" s="124">
        <v>522636</v>
      </c>
      <c r="G82" s="124">
        <v>631034</v>
      </c>
      <c r="H82" s="124">
        <v>704354</v>
      </c>
      <c r="I82" s="124">
        <v>840666</v>
      </c>
      <c r="J82" s="124">
        <v>859412</v>
      </c>
      <c r="K82" s="124">
        <f t="shared" ref="K82:K83" si="140">J82</f>
        <v>859412</v>
      </c>
      <c r="L82" s="92" t="s">
        <v>21</v>
      </c>
      <c r="M82" s="92" t="s">
        <v>21</v>
      </c>
      <c r="N82" s="92" t="s">
        <v>21</v>
      </c>
      <c r="O82" s="92" t="s">
        <v>21</v>
      </c>
      <c r="P82" s="92" t="s">
        <v>21</v>
      </c>
      <c r="Q82" s="92" t="s">
        <v>21</v>
      </c>
      <c r="R82" s="92" t="s">
        <v>21</v>
      </c>
      <c r="S82" s="92" t="s">
        <v>21</v>
      </c>
      <c r="T82" s="92" t="s">
        <v>21</v>
      </c>
      <c r="U82" s="92" t="s">
        <v>21</v>
      </c>
      <c r="V82" s="92" t="s">
        <v>21</v>
      </c>
      <c r="W82" s="109"/>
    </row>
    <row r="83" spans="5:23" ht="30" customHeight="1" x14ac:dyDescent="0.3">
      <c r="E83" s="375" t="s">
        <v>99</v>
      </c>
      <c r="F83" s="124">
        <v>15135</v>
      </c>
      <c r="G83" s="124">
        <v>20481</v>
      </c>
      <c r="H83" s="124">
        <v>27516</v>
      </c>
      <c r="I83" s="124">
        <v>35546</v>
      </c>
      <c r="J83" s="124">
        <v>36788</v>
      </c>
      <c r="K83" s="124">
        <f t="shared" si="140"/>
        <v>36788</v>
      </c>
      <c r="L83" s="92" t="s">
        <v>21</v>
      </c>
      <c r="M83" s="92" t="s">
        <v>21</v>
      </c>
      <c r="N83" s="92" t="s">
        <v>21</v>
      </c>
      <c r="O83" s="92" t="s">
        <v>21</v>
      </c>
      <c r="P83" s="92" t="s">
        <v>21</v>
      </c>
      <c r="Q83" s="92" t="s">
        <v>21</v>
      </c>
      <c r="R83" s="92" t="s">
        <v>21</v>
      </c>
      <c r="S83" s="92" t="s">
        <v>21</v>
      </c>
      <c r="T83" s="92" t="s">
        <v>21</v>
      </c>
      <c r="U83" s="92" t="s">
        <v>21</v>
      </c>
      <c r="V83" s="92" t="s">
        <v>21</v>
      </c>
      <c r="W83" s="109"/>
    </row>
    <row r="84" spans="5:23" ht="30" customHeight="1" x14ac:dyDescent="0.3">
      <c r="E84" s="372" t="s">
        <v>57</v>
      </c>
      <c r="F84" s="124">
        <v>251713</v>
      </c>
      <c r="G84" s="124">
        <v>200018</v>
      </c>
      <c r="H84" s="124">
        <v>70041</v>
      </c>
      <c r="I84" s="124">
        <v>0</v>
      </c>
      <c r="J84" s="124">
        <v>99993.602079999997</v>
      </c>
      <c r="K84" s="124">
        <f>J84</f>
        <v>99993.602079999997</v>
      </c>
      <c r="L84" s="92">
        <f>'Projeções - NIM'!L78</f>
        <v>119968.67966349999</v>
      </c>
      <c r="M84" s="92">
        <f>'Projeções - NIM'!M78</f>
        <v>119968.67966349999</v>
      </c>
      <c r="N84" s="92">
        <f>'Projeções - NIM'!N78</f>
        <v>134164.55785946132</v>
      </c>
      <c r="O84" s="92">
        <f>'Projeções - NIM'!O78</f>
        <v>146711.30791144739</v>
      </c>
      <c r="P84" s="92">
        <f>'Projeções - NIM'!P78</f>
        <v>159610.26840894335</v>
      </c>
      <c r="Q84" s="92">
        <f>'Projeções - NIM'!Q78</f>
        <v>172644.38171502866</v>
      </c>
      <c r="R84" s="92">
        <f>'Projeções - NIM'!R78</f>
        <v>185848.82732217104</v>
      </c>
      <c r="S84" s="92">
        <f>'Projeções - NIM'!S78</f>
        <v>199216.22899645954</v>
      </c>
      <c r="T84" s="92">
        <f>'Projeções - NIM'!T78</f>
        <v>212950.1790720108</v>
      </c>
      <c r="U84" s="92">
        <f>'Projeções - NIM'!U78</f>
        <v>226960.81214107777</v>
      </c>
      <c r="V84" s="92">
        <f>'Projeções - NIM'!V78</f>
        <v>241274.35724560684</v>
      </c>
      <c r="W84" s="109"/>
    </row>
    <row r="85" spans="5:23" ht="30" customHeight="1" x14ac:dyDescent="0.3">
      <c r="E85" s="83" t="s">
        <v>41</v>
      </c>
      <c r="F85" s="81">
        <f>F84/F$11</f>
        <v>1.3131711884566266E-2</v>
      </c>
      <c r="G85" s="81">
        <f t="shared" ref="G85:V85" si="141">G84/G$11</f>
        <v>8.1535345224437849E-3</v>
      </c>
      <c r="H85" s="81">
        <f t="shared" si="141"/>
        <v>2.0855376845234559E-3</v>
      </c>
      <c r="I85" s="81">
        <f t="shared" si="141"/>
        <v>0</v>
      </c>
      <c r="J85" s="81">
        <f t="shared" si="141"/>
        <v>2.1061403663558535E-3</v>
      </c>
      <c r="K85" s="81">
        <f t="shared" si="141"/>
        <v>2.1061403663558535E-3</v>
      </c>
      <c r="L85" s="82">
        <f t="shared" si="141"/>
        <v>2.105664567120147E-3</v>
      </c>
      <c r="M85" s="82">
        <f t="shared" si="141"/>
        <v>2.105664567120147E-3</v>
      </c>
      <c r="N85" s="82">
        <f t="shared" si="141"/>
        <v>2.105664567120147E-3</v>
      </c>
      <c r="O85" s="82">
        <f t="shared" si="141"/>
        <v>2.105664567120147E-3</v>
      </c>
      <c r="P85" s="82">
        <f t="shared" si="141"/>
        <v>2.105664567120147E-3</v>
      </c>
      <c r="Q85" s="82">
        <f t="shared" si="141"/>
        <v>2.105664567120147E-3</v>
      </c>
      <c r="R85" s="82">
        <f t="shared" si="141"/>
        <v>2.105664567120147E-3</v>
      </c>
      <c r="S85" s="82">
        <f t="shared" si="141"/>
        <v>2.105664567120147E-3</v>
      </c>
      <c r="T85" s="82">
        <f t="shared" si="141"/>
        <v>2.1056645671201466E-3</v>
      </c>
      <c r="U85" s="82">
        <f t="shared" si="141"/>
        <v>2.105664567120147E-3</v>
      </c>
      <c r="V85" s="82">
        <f t="shared" si="141"/>
        <v>2.105664567120147E-3</v>
      </c>
      <c r="W85" s="109"/>
    </row>
    <row r="86" spans="5:23" ht="30" customHeight="1" x14ac:dyDescent="0.3">
      <c r="E86" s="372" t="s">
        <v>100</v>
      </c>
      <c r="F86" s="124">
        <v>213703</v>
      </c>
      <c r="G86" s="124">
        <v>251192</v>
      </c>
      <c r="H86" s="124">
        <v>319315</v>
      </c>
      <c r="I86" s="124">
        <v>778601</v>
      </c>
      <c r="J86" s="124">
        <v>813705.69397000002</v>
      </c>
      <c r="K86" s="124">
        <f>J86</f>
        <v>813705.69397000002</v>
      </c>
      <c r="L86" s="92">
        <f>'Projeções - NIM'!L80</f>
        <v>976254.43738042889</v>
      </c>
      <c r="M86" s="92">
        <f>'Projeções - NIM'!M80</f>
        <v>976254.43738042889</v>
      </c>
      <c r="N86" s="92">
        <f>'Projeções - NIM'!N80</f>
        <v>1091774.4974510393</v>
      </c>
      <c r="O86" s="92">
        <f>'Projeções - NIM'!O80</f>
        <v>1193874.6493182702</v>
      </c>
      <c r="P86" s="92">
        <f>'Projeções - NIM'!P80</f>
        <v>1298840.9410087052</v>
      </c>
      <c r="Q86" s="92">
        <f>'Projeções - NIM'!Q80</f>
        <v>1404907.0491635695</v>
      </c>
      <c r="R86" s="92">
        <f>'Projeções - NIM'!R80</f>
        <v>1512359.2496318826</v>
      </c>
      <c r="S86" s="92">
        <f>'Projeções - NIM'!S80</f>
        <v>1621137.5177379802</v>
      </c>
      <c r="T86" s="92">
        <f>'Projeções - NIM'!T80</f>
        <v>1732898.6018944934</v>
      </c>
      <c r="U86" s="92">
        <f>'Projeções - NIM'!U80</f>
        <v>1846911.2153745354</v>
      </c>
      <c r="V86" s="92">
        <f>'Projeções - NIM'!V80</f>
        <v>1963388.7990416735</v>
      </c>
      <c r="W86" s="112" t="s">
        <v>371</v>
      </c>
    </row>
    <row r="87" spans="5:23" ht="30" customHeight="1" x14ac:dyDescent="0.3">
      <c r="E87" s="83" t="s">
        <v>41</v>
      </c>
      <c r="F87" s="81">
        <f>F86/F$11</f>
        <v>1.1148753639531788E-2</v>
      </c>
      <c r="G87" s="81">
        <f t="shared" ref="G87:V87" si="142">G86/G$11</f>
        <v>1.0239591655559495E-2</v>
      </c>
      <c r="H87" s="81">
        <f t="shared" si="142"/>
        <v>9.507909163684233E-3</v>
      </c>
      <c r="I87" s="81">
        <f t="shared" si="142"/>
        <v>1.7530775240912191E-2</v>
      </c>
      <c r="J87" s="81">
        <f t="shared" si="142"/>
        <v>1.7138880615908902E-2</v>
      </c>
      <c r="K87" s="81">
        <f t="shared" si="142"/>
        <v>1.7138880615908902E-2</v>
      </c>
      <c r="L87" s="82">
        <f t="shared" si="142"/>
        <v>1.7135008762718017E-2</v>
      </c>
      <c r="M87" s="82">
        <f t="shared" si="142"/>
        <v>1.7135008762718017E-2</v>
      </c>
      <c r="N87" s="82">
        <f t="shared" si="142"/>
        <v>1.7135008762718021E-2</v>
      </c>
      <c r="O87" s="82">
        <f t="shared" si="142"/>
        <v>1.7135008762718017E-2</v>
      </c>
      <c r="P87" s="82">
        <f t="shared" si="142"/>
        <v>1.7135008762718021E-2</v>
      </c>
      <c r="Q87" s="82">
        <f t="shared" si="142"/>
        <v>1.7135008762718017E-2</v>
      </c>
      <c r="R87" s="82">
        <f t="shared" si="142"/>
        <v>1.7135008762718017E-2</v>
      </c>
      <c r="S87" s="82">
        <f t="shared" si="142"/>
        <v>1.7135008762718021E-2</v>
      </c>
      <c r="T87" s="82">
        <f t="shared" si="142"/>
        <v>1.7135008762718017E-2</v>
      </c>
      <c r="U87" s="82">
        <f t="shared" si="142"/>
        <v>1.7135008762718017E-2</v>
      </c>
      <c r="V87" s="82">
        <f t="shared" si="142"/>
        <v>1.7135008762718017E-2</v>
      </c>
      <c r="W87" s="109"/>
    </row>
    <row r="88" spans="5:23" ht="30" customHeight="1" x14ac:dyDescent="0.3">
      <c r="E88" s="372" t="s">
        <v>74</v>
      </c>
      <c r="F88" s="124">
        <v>9033</v>
      </c>
      <c r="G88" s="124">
        <v>4792</v>
      </c>
      <c r="H88" s="124">
        <v>10514</v>
      </c>
      <c r="I88" s="124">
        <v>9210</v>
      </c>
      <c r="J88" s="124">
        <v>29121.580099999999</v>
      </c>
      <c r="K88" s="124">
        <f>J88</f>
        <v>29121.580099999999</v>
      </c>
      <c r="L88" s="92">
        <f>'Projeções - NIM'!L82</f>
        <v>34939.010513059977</v>
      </c>
      <c r="M88" s="92">
        <f>'Projeções - NIM'!M82</f>
        <v>34939.010513059977</v>
      </c>
      <c r="N88" s="92">
        <f>'Projeções - NIM'!N82</f>
        <v>39073.339063828505</v>
      </c>
      <c r="O88" s="92">
        <f>'Projeções - NIM'!O82</f>
        <v>42727.384713081825</v>
      </c>
      <c r="P88" s="92">
        <f>'Projeções - NIM'!P82</f>
        <v>46484.006172063113</v>
      </c>
      <c r="Q88" s="92">
        <f>'Projeções - NIM'!Q82</f>
        <v>50279.988782750152</v>
      </c>
      <c r="R88" s="92">
        <f>'Projeções - NIM'!R82</f>
        <v>54125.578024718277</v>
      </c>
      <c r="S88" s="92">
        <f>'Projeções - NIM'!S82</f>
        <v>58018.62568465979</v>
      </c>
      <c r="T88" s="92">
        <f>'Projeções - NIM'!T82</f>
        <v>62018.42486075691</v>
      </c>
      <c r="U88" s="92">
        <f>'Projeções - NIM'!U82</f>
        <v>66098.803651853086</v>
      </c>
      <c r="V88" s="92">
        <f>'Projeções - NIM'!V82</f>
        <v>70267.400858132532</v>
      </c>
      <c r="W88" s="112" t="s">
        <v>371</v>
      </c>
    </row>
    <row r="89" spans="5:23" ht="30" customHeight="1" x14ac:dyDescent="0.3">
      <c r="E89" s="83" t="s">
        <v>41</v>
      </c>
      <c r="F89" s="81">
        <f>F88/F$11</f>
        <v>4.7124603597465005E-4</v>
      </c>
      <c r="G89" s="81">
        <f t="shared" ref="G89:V89" si="143">G88/G$11</f>
        <v>1.9534110645817184E-4</v>
      </c>
      <c r="H89" s="81">
        <f t="shared" si="143"/>
        <v>3.1306439392755122E-4</v>
      </c>
      <c r="I89" s="81">
        <f t="shared" si="143"/>
        <v>2.0736993655132897E-4</v>
      </c>
      <c r="J89" s="81">
        <f t="shared" si="143"/>
        <v>6.1338059740667097E-4</v>
      </c>
      <c r="K89" s="81">
        <f t="shared" si="143"/>
        <v>6.1338059740667097E-4</v>
      </c>
      <c r="L89" s="82">
        <f t="shared" si="143"/>
        <v>6.1324202828558791E-4</v>
      </c>
      <c r="M89" s="82">
        <f t="shared" si="143"/>
        <v>6.1324202828558791E-4</v>
      </c>
      <c r="N89" s="82">
        <f t="shared" si="143"/>
        <v>6.1324202828558791E-4</v>
      </c>
      <c r="O89" s="82">
        <f t="shared" si="143"/>
        <v>6.1324202828558791E-4</v>
      </c>
      <c r="P89" s="82">
        <f t="shared" si="143"/>
        <v>6.1324202828558791E-4</v>
      </c>
      <c r="Q89" s="82">
        <f t="shared" si="143"/>
        <v>6.1324202828558791E-4</v>
      </c>
      <c r="R89" s="82">
        <f t="shared" si="143"/>
        <v>6.1324202828558791E-4</v>
      </c>
      <c r="S89" s="82">
        <f t="shared" si="143"/>
        <v>6.1324202828558791E-4</v>
      </c>
      <c r="T89" s="82">
        <f t="shared" si="143"/>
        <v>6.1324202828558791E-4</v>
      </c>
      <c r="U89" s="82">
        <f t="shared" si="143"/>
        <v>6.1324202828558791E-4</v>
      </c>
      <c r="V89" s="82">
        <f t="shared" si="143"/>
        <v>6.1324202828558791E-4</v>
      </c>
      <c r="W89" s="109"/>
    </row>
    <row r="90" spans="5:23" ht="30" customHeight="1" x14ac:dyDescent="0.3">
      <c r="E90" s="372" t="s">
        <v>101</v>
      </c>
      <c r="F90" s="124">
        <v>54454</v>
      </c>
      <c r="G90" s="124">
        <v>71095</v>
      </c>
      <c r="H90" s="124">
        <v>44758</v>
      </c>
      <c r="I90" s="124">
        <v>30892</v>
      </c>
      <c r="J90" s="124">
        <v>46713.625659999998</v>
      </c>
      <c r="K90" s="124">
        <f>J90</f>
        <v>46713.625659999998</v>
      </c>
      <c r="L90" s="92">
        <f>'Projeções - NIM'!L84</f>
        <v>56045.305661071885</v>
      </c>
      <c r="M90" s="92">
        <f>'Projeções - NIM'!M84</f>
        <v>56045.305661071885</v>
      </c>
      <c r="N90" s="92">
        <f>'Projeções - NIM'!N84</f>
        <v>62677.139360097412</v>
      </c>
      <c r="O90" s="92">
        <f>'Projeções - NIM'!O84</f>
        <v>68538.556220639643</v>
      </c>
      <c r="P90" s="92">
        <f>'Projeções - NIM'!P84</f>
        <v>74564.513877421297</v>
      </c>
      <c r="Q90" s="92">
        <f>'Projeções - NIM'!Q84</f>
        <v>80653.610350847332</v>
      </c>
      <c r="R90" s="92">
        <f>'Projeções - NIM'!R84</f>
        <v>86822.280308815098</v>
      </c>
      <c r="S90" s="92">
        <f>'Projeções - NIM'!S84</f>
        <v>93067.077824560023</v>
      </c>
      <c r="T90" s="92">
        <f>'Projeções - NIM'!T84</f>
        <v>99483.114344068017</v>
      </c>
      <c r="U90" s="92">
        <f>'Projeções - NIM'!U84</f>
        <v>106028.40779118665</v>
      </c>
      <c r="V90" s="92">
        <f>'Projeções - NIM'!V84</f>
        <v>112715.21148634258</v>
      </c>
      <c r="W90" s="112" t="s">
        <v>371</v>
      </c>
    </row>
    <row r="91" spans="5:23" ht="30" customHeight="1" x14ac:dyDescent="0.3">
      <c r="E91" s="83" t="s">
        <v>41</v>
      </c>
      <c r="F91" s="81">
        <f>F90/F$68</f>
        <v>2.9596315260380615E-3</v>
      </c>
      <c r="G91" s="81">
        <f t="shared" ref="G91:V91" si="144">G90/G$68</f>
        <v>3.0900750241268818E-3</v>
      </c>
      <c r="H91" s="81">
        <f t="shared" si="144"/>
        <v>1.5042420951251136E-3</v>
      </c>
      <c r="I91" s="81">
        <f t="shared" si="144"/>
        <v>7.8547638601226535E-4</v>
      </c>
      <c r="J91" s="81">
        <f t="shared" si="144"/>
        <v>1.1046639748164087E-3</v>
      </c>
      <c r="K91" s="81">
        <f t="shared" si="144"/>
        <v>1.1046639748164087E-3</v>
      </c>
      <c r="L91" s="82">
        <f t="shared" si="144"/>
        <v>1.093297650194255E-3</v>
      </c>
      <c r="M91" s="82">
        <f t="shared" si="144"/>
        <v>1.093297650194255E-3</v>
      </c>
      <c r="N91" s="82">
        <f t="shared" si="144"/>
        <v>1.0986953856227564E-3</v>
      </c>
      <c r="O91" s="82">
        <f t="shared" si="144"/>
        <v>1.1036355148491383E-3</v>
      </c>
      <c r="P91" s="82">
        <f t="shared" si="144"/>
        <v>1.1084704574131951E-3</v>
      </c>
      <c r="Q91" s="82">
        <f t="shared" si="144"/>
        <v>1.1132177956355372E-3</v>
      </c>
      <c r="R91" s="82">
        <f t="shared" si="144"/>
        <v>1.1179139526414309E-3</v>
      </c>
      <c r="S91" s="82">
        <f t="shared" si="144"/>
        <v>1.1225837707907189E-3</v>
      </c>
      <c r="T91" s="82">
        <f t="shared" si="144"/>
        <v>1.1272582821292823E-3</v>
      </c>
      <c r="U91" s="82">
        <f t="shared" si="144"/>
        <v>1.1319459000119591E-3</v>
      </c>
      <c r="V91" s="82">
        <f t="shared" si="144"/>
        <v>1.1366599694818535E-3</v>
      </c>
      <c r="W91" s="109"/>
    </row>
    <row r="92" spans="5:23" ht="30" customHeight="1" x14ac:dyDescent="0.3">
      <c r="E92" s="372" t="s">
        <v>102</v>
      </c>
      <c r="F92" s="124">
        <v>736754</v>
      </c>
      <c r="G92" s="124">
        <v>666289</v>
      </c>
      <c r="H92" s="124">
        <v>600079</v>
      </c>
      <c r="I92" s="124">
        <v>438216</v>
      </c>
      <c r="J92" s="124">
        <v>422872.77214999998</v>
      </c>
      <c r="K92" s="124">
        <f>J92</f>
        <v>422872.77214999998</v>
      </c>
      <c r="L92" s="92">
        <f>'Projeções - NIM'!L86</f>
        <v>507347.34108180023</v>
      </c>
      <c r="M92" s="92">
        <f>'Projeções - NIM'!M86</f>
        <v>507347.34108180023</v>
      </c>
      <c r="N92" s="92">
        <f>'Projeções - NIM'!N86</f>
        <v>567381.68568943988</v>
      </c>
      <c r="O92" s="92">
        <f>'Projeções - NIM'!O86</f>
        <v>620441.87019716157</v>
      </c>
      <c r="P92" s="92">
        <f>'Projeções - NIM'!P86</f>
        <v>674991.55207646301</v>
      </c>
      <c r="Q92" s="92">
        <f>'Projeções - NIM'!Q86</f>
        <v>730112.79495210026</v>
      </c>
      <c r="R92" s="92">
        <f>'Projeções - NIM'!R86</f>
        <v>785954.37283754186</v>
      </c>
      <c r="S92" s="92">
        <f>'Projeções - NIM'!S86</f>
        <v>842485.09165219637</v>
      </c>
      <c r="T92" s="92">
        <f>'Projeções - NIM'!T86</f>
        <v>900565.94302878343</v>
      </c>
      <c r="U92" s="92">
        <f>'Projeções - NIM'!U86</f>
        <v>959816.88631166203</v>
      </c>
      <c r="V92" s="92">
        <f>'Projeções - NIM'!V86</f>
        <v>1020348.8440743567</v>
      </c>
      <c r="W92" s="112" t="s">
        <v>371</v>
      </c>
    </row>
    <row r="93" spans="5:23" ht="30" customHeight="1" x14ac:dyDescent="0.3">
      <c r="E93" s="83" t="s">
        <v>41</v>
      </c>
      <c r="F93" s="81">
        <f>F92/F$11</f>
        <v>3.8436001548595965E-2</v>
      </c>
      <c r="G93" s="81">
        <f t="shared" ref="G93:V93" si="145">G92/G$11</f>
        <v>2.716060736246011E-2</v>
      </c>
      <c r="H93" s="81">
        <f t="shared" si="145"/>
        <v>1.7867925474952542E-2</v>
      </c>
      <c r="I93" s="81">
        <f t="shared" si="145"/>
        <v>9.8667561472070772E-3</v>
      </c>
      <c r="J93" s="81">
        <f t="shared" si="145"/>
        <v>8.9068640066128149E-3</v>
      </c>
      <c r="K93" s="81">
        <f t="shared" si="145"/>
        <v>8.9068640066128149E-3</v>
      </c>
      <c r="L93" s="82">
        <f t="shared" si="145"/>
        <v>8.9048518524589004E-3</v>
      </c>
      <c r="M93" s="82">
        <f t="shared" si="145"/>
        <v>8.9048518524589004E-3</v>
      </c>
      <c r="N93" s="82">
        <f t="shared" si="145"/>
        <v>8.9048518524589022E-3</v>
      </c>
      <c r="O93" s="82">
        <f t="shared" si="145"/>
        <v>8.9048518524589004E-3</v>
      </c>
      <c r="P93" s="82">
        <f t="shared" si="145"/>
        <v>8.9048518524589004E-3</v>
      </c>
      <c r="Q93" s="82">
        <f t="shared" si="145"/>
        <v>8.9048518524589022E-3</v>
      </c>
      <c r="R93" s="82">
        <f t="shared" si="145"/>
        <v>8.9048518524589004E-3</v>
      </c>
      <c r="S93" s="82">
        <f t="shared" si="145"/>
        <v>8.9048518524589022E-3</v>
      </c>
      <c r="T93" s="82">
        <f t="shared" si="145"/>
        <v>8.9048518524589004E-3</v>
      </c>
      <c r="U93" s="82">
        <f t="shared" si="145"/>
        <v>8.9048518524589022E-3</v>
      </c>
      <c r="V93" s="82">
        <f t="shared" si="145"/>
        <v>8.9048518524589004E-3</v>
      </c>
      <c r="W93" s="109"/>
    </row>
    <row r="94" spans="5:23" ht="30" customHeight="1" x14ac:dyDescent="0.3">
      <c r="E94" s="372" t="s">
        <v>103</v>
      </c>
      <c r="F94" s="124">
        <v>1568</v>
      </c>
      <c r="G94" s="124">
        <v>2787</v>
      </c>
      <c r="H94" s="124">
        <v>3220</v>
      </c>
      <c r="I94" s="124">
        <v>3392</v>
      </c>
      <c r="J94" s="124">
        <v>4906.5242900000003</v>
      </c>
      <c r="K94" s="124">
        <f>J94</f>
        <v>4906.5242900000003</v>
      </c>
      <c r="L94" s="92">
        <f>'Projeções - NIM'!L88</f>
        <v>5886.6690324572792</v>
      </c>
      <c r="M94" s="92">
        <f>'Projeções - NIM'!M88</f>
        <v>5886.6690324572792</v>
      </c>
      <c r="N94" s="92">
        <f>'Projeções - NIM'!N88</f>
        <v>6583.2378102340826</v>
      </c>
      <c r="O94" s="92">
        <f>'Projeções - NIM'!O88</f>
        <v>7198.8865378534401</v>
      </c>
      <c r="P94" s="92">
        <f>'Projeções - NIM'!P88</f>
        <v>7831.8176622475785</v>
      </c>
      <c r="Q94" s="92">
        <f>'Projeções - NIM'!Q88</f>
        <v>8471.3805163165289</v>
      </c>
      <c r="R94" s="92">
        <f>'Projeções - NIM'!R88</f>
        <v>9119.3013008442649</v>
      </c>
      <c r="S94" s="92">
        <f>'Projeções - NIM'!S88</f>
        <v>9775.2180759656367</v>
      </c>
      <c r="T94" s="92">
        <f>'Projeções - NIM'!T88</f>
        <v>10449.120788155436</v>
      </c>
      <c r="U94" s="92">
        <f>'Projeções - NIM'!U88</f>
        <v>11136.599887234755</v>
      </c>
      <c r="V94" s="92">
        <f>'Projeções - NIM'!V88</f>
        <v>11838.942389860023</v>
      </c>
      <c r="W94" s="112" t="s">
        <v>371</v>
      </c>
    </row>
    <row r="95" spans="5:23" ht="30" customHeight="1" x14ac:dyDescent="0.3">
      <c r="E95" s="83" t="s">
        <v>41</v>
      </c>
      <c r="F95" s="81">
        <f>F94/F$11</f>
        <v>8.1801592428678324E-5</v>
      </c>
      <c r="G95" s="81">
        <f t="shared" ref="G95:V95" si="146">G94/G$11</f>
        <v>1.1360927873516797E-4</v>
      </c>
      <c r="H95" s="81">
        <f t="shared" si="146"/>
        <v>9.5878576036400511E-5</v>
      </c>
      <c r="I95" s="81">
        <f t="shared" si="146"/>
        <v>7.6373379455169159E-5</v>
      </c>
      <c r="J95" s="81">
        <f t="shared" si="146"/>
        <v>1.0334490058080819E-4</v>
      </c>
      <c r="K95" s="81">
        <f t="shared" si="146"/>
        <v>1.0334490058080819E-4</v>
      </c>
      <c r="L95" s="82">
        <f t="shared" si="146"/>
        <v>1.033215538820335E-4</v>
      </c>
      <c r="M95" s="82">
        <f t="shared" si="146"/>
        <v>1.033215538820335E-4</v>
      </c>
      <c r="N95" s="82">
        <f t="shared" si="146"/>
        <v>1.033215538820335E-4</v>
      </c>
      <c r="O95" s="82">
        <f t="shared" si="146"/>
        <v>1.0332155388203348E-4</v>
      </c>
      <c r="P95" s="82">
        <f t="shared" si="146"/>
        <v>1.0332155388203348E-4</v>
      </c>
      <c r="Q95" s="82">
        <f t="shared" si="146"/>
        <v>1.0332155388203348E-4</v>
      </c>
      <c r="R95" s="82">
        <f t="shared" si="146"/>
        <v>1.0332155388203348E-4</v>
      </c>
      <c r="S95" s="82">
        <f t="shared" si="146"/>
        <v>1.033215538820335E-4</v>
      </c>
      <c r="T95" s="82">
        <f t="shared" si="146"/>
        <v>1.033215538820335E-4</v>
      </c>
      <c r="U95" s="82">
        <f t="shared" si="146"/>
        <v>1.033215538820335E-4</v>
      </c>
      <c r="V95" s="82">
        <f t="shared" si="146"/>
        <v>1.033215538820335E-4</v>
      </c>
      <c r="W95" s="109"/>
    </row>
    <row r="96" spans="5:23" ht="30" customHeight="1" x14ac:dyDescent="0.3">
      <c r="E96" s="372" t="s">
        <v>45</v>
      </c>
      <c r="F96" s="124">
        <v>54</v>
      </c>
      <c r="G96" s="124">
        <v>1</v>
      </c>
      <c r="H96" s="124">
        <v>0</v>
      </c>
      <c r="I96" s="124">
        <v>0</v>
      </c>
      <c r="J96" s="124">
        <v>0</v>
      </c>
      <c r="K96" s="124">
        <f>J96</f>
        <v>0</v>
      </c>
      <c r="L96" s="92">
        <f>'Projeções - NIM'!L90</f>
        <v>0</v>
      </c>
      <c r="M96" s="92">
        <f>'Projeções - NIM'!M90</f>
        <v>0</v>
      </c>
      <c r="N96" s="92">
        <f>'Projeções - NIM'!N90</f>
        <v>0</v>
      </c>
      <c r="O96" s="92">
        <f>'Projeções - NIM'!O90</f>
        <v>0</v>
      </c>
      <c r="P96" s="92">
        <f>'Projeções - NIM'!P90</f>
        <v>0</v>
      </c>
      <c r="Q96" s="92">
        <f>'Projeções - NIM'!Q90</f>
        <v>0</v>
      </c>
      <c r="R96" s="92">
        <f>'Projeções - NIM'!R90</f>
        <v>0</v>
      </c>
      <c r="S96" s="92">
        <f>'Projeções - NIM'!S90</f>
        <v>0</v>
      </c>
      <c r="T96" s="92">
        <f>'Projeções - NIM'!T90</f>
        <v>0</v>
      </c>
      <c r="U96" s="92">
        <f>'Projeções - NIM'!U90</f>
        <v>0</v>
      </c>
      <c r="V96" s="92">
        <f>'Projeções - NIM'!V90</f>
        <v>0</v>
      </c>
      <c r="W96" s="112" t="s">
        <v>371</v>
      </c>
    </row>
    <row r="97" spans="5:23" ht="30" customHeight="1" x14ac:dyDescent="0.3">
      <c r="E97" s="83" t="s">
        <v>41</v>
      </c>
      <c r="F97" s="81">
        <f>F96/F$11</f>
        <v>2.8171466780284627E-6</v>
      </c>
      <c r="G97" s="81">
        <f t="shared" ref="G97:V97" si="147">G96/G$11</f>
        <v>4.076400385187225E-8</v>
      </c>
      <c r="H97" s="81">
        <f t="shared" si="147"/>
        <v>0</v>
      </c>
      <c r="I97" s="81">
        <f t="shared" si="147"/>
        <v>0</v>
      </c>
      <c r="J97" s="81">
        <f t="shared" si="147"/>
        <v>0</v>
      </c>
      <c r="K97" s="81">
        <f t="shared" si="147"/>
        <v>0</v>
      </c>
      <c r="L97" s="82">
        <f t="shared" si="147"/>
        <v>0</v>
      </c>
      <c r="M97" s="82">
        <f t="shared" si="147"/>
        <v>0</v>
      </c>
      <c r="N97" s="82">
        <f t="shared" si="147"/>
        <v>0</v>
      </c>
      <c r="O97" s="82">
        <f t="shared" si="147"/>
        <v>0</v>
      </c>
      <c r="P97" s="82">
        <f t="shared" si="147"/>
        <v>0</v>
      </c>
      <c r="Q97" s="82">
        <f t="shared" si="147"/>
        <v>0</v>
      </c>
      <c r="R97" s="82">
        <f t="shared" si="147"/>
        <v>0</v>
      </c>
      <c r="S97" s="82">
        <f t="shared" si="147"/>
        <v>0</v>
      </c>
      <c r="T97" s="82">
        <f t="shared" si="147"/>
        <v>0</v>
      </c>
      <c r="U97" s="82">
        <f t="shared" si="147"/>
        <v>0</v>
      </c>
      <c r="V97" s="82">
        <f t="shared" si="147"/>
        <v>0</v>
      </c>
      <c r="W97" s="109"/>
    </row>
    <row r="98" spans="5:23" ht="30" customHeight="1" x14ac:dyDescent="0.3">
      <c r="E98" s="372" t="s">
        <v>58</v>
      </c>
      <c r="F98" s="124">
        <v>100326</v>
      </c>
      <c r="G98" s="124">
        <v>250682</v>
      </c>
      <c r="H98" s="124">
        <v>377990</v>
      </c>
      <c r="I98" s="124">
        <v>452062</v>
      </c>
      <c r="J98" s="124">
        <v>458259.79681000003</v>
      </c>
      <c r="K98" s="124">
        <f>J98</f>
        <v>458259.79681000003</v>
      </c>
      <c r="L98" s="92">
        <f>'Projeções - NIM'!L92</f>
        <v>549803.40364351729</v>
      </c>
      <c r="M98" s="92">
        <f>'Projeções - NIM'!M92</f>
        <v>549803.40364351729</v>
      </c>
      <c r="N98" s="92">
        <f>'Projeções - NIM'!N92</f>
        <v>614861.56858907139</v>
      </c>
      <c r="O98" s="92">
        <f>'Projeções - NIM'!O92</f>
        <v>672361.95871252113</v>
      </c>
      <c r="P98" s="92">
        <f>'Projeções - NIM'!P92</f>
        <v>731476.49097943108</v>
      </c>
      <c r="Q98" s="92">
        <f>'Projeções - NIM'!Q92</f>
        <v>791210.41386048158</v>
      </c>
      <c r="R98" s="92">
        <f>'Projeções - NIM'!R92</f>
        <v>851724.95114134275</v>
      </c>
      <c r="S98" s="92">
        <f>'Projeções - NIM'!S92</f>
        <v>912986.29834469885</v>
      </c>
      <c r="T98" s="92">
        <f>'Projeções - NIM'!T92</f>
        <v>975927.4969824428</v>
      </c>
      <c r="U98" s="92">
        <f>'Projeções - NIM'!U92</f>
        <v>1040136.7036702202</v>
      </c>
      <c r="V98" s="92">
        <f>'Projeções - NIM'!V92</f>
        <v>1105734.1232529697</v>
      </c>
      <c r="W98" s="112" t="s">
        <v>371</v>
      </c>
    </row>
    <row r="99" spans="5:23" ht="30" customHeight="1" x14ac:dyDescent="0.3">
      <c r="E99" s="83" t="s">
        <v>41</v>
      </c>
      <c r="F99" s="81">
        <f>F98/F$11</f>
        <v>5.2339455114793253E-3</v>
      </c>
      <c r="G99" s="81">
        <f t="shared" ref="G99:V99" si="148">G98/G$11</f>
        <v>1.0218802013595039E-2</v>
      </c>
      <c r="H99" s="81">
        <f t="shared" si="148"/>
        <v>1.1255013340372369E-2</v>
      </c>
      <c r="I99" s="81">
        <f t="shared" si="148"/>
        <v>1.0178509039876969E-2</v>
      </c>
      <c r="J99" s="81">
        <f t="shared" si="148"/>
        <v>9.6522121042043833E-3</v>
      </c>
      <c r="K99" s="81">
        <f t="shared" si="148"/>
        <v>9.6522121042043833E-3</v>
      </c>
      <c r="L99" s="82">
        <f t="shared" si="148"/>
        <v>9.6500315680846521E-3</v>
      </c>
      <c r="M99" s="82">
        <f t="shared" si="148"/>
        <v>9.6500315680846521E-3</v>
      </c>
      <c r="N99" s="82">
        <f t="shared" si="148"/>
        <v>9.6500315680846521E-3</v>
      </c>
      <c r="O99" s="82">
        <f t="shared" si="148"/>
        <v>9.6500315680846521E-3</v>
      </c>
      <c r="P99" s="82">
        <f t="shared" si="148"/>
        <v>9.6500315680846521E-3</v>
      </c>
      <c r="Q99" s="82">
        <f t="shared" si="148"/>
        <v>9.6500315680846521E-3</v>
      </c>
      <c r="R99" s="82">
        <f t="shared" si="148"/>
        <v>9.6500315680846521E-3</v>
      </c>
      <c r="S99" s="82">
        <f t="shared" si="148"/>
        <v>9.6500315680846521E-3</v>
      </c>
      <c r="T99" s="82">
        <f t="shared" si="148"/>
        <v>9.6500315680846521E-3</v>
      </c>
      <c r="U99" s="82">
        <f t="shared" si="148"/>
        <v>9.6500315680846521E-3</v>
      </c>
      <c r="V99" s="82">
        <f t="shared" si="148"/>
        <v>9.6500315680846504E-3</v>
      </c>
      <c r="W99" s="109"/>
    </row>
    <row r="100" spans="5:23" ht="30" customHeight="1" x14ac:dyDescent="0.3">
      <c r="E100" s="372" t="s">
        <v>59</v>
      </c>
      <c r="F100" s="124">
        <f>SUM(F102:F105)</f>
        <v>6135762</v>
      </c>
      <c r="G100" s="124">
        <f t="shared" ref="G100:K100" si="149">SUM(G102:G105)</f>
        <v>9253604</v>
      </c>
      <c r="H100" s="124">
        <f t="shared" si="149"/>
        <v>15738193</v>
      </c>
      <c r="I100" s="124">
        <f t="shared" si="149"/>
        <v>22300619</v>
      </c>
      <c r="J100" s="124">
        <f t="shared" si="149"/>
        <v>24418444</v>
      </c>
      <c r="K100" s="124">
        <f t="shared" si="149"/>
        <v>24418444</v>
      </c>
      <c r="L100" s="92">
        <f>'Projeções - NIM'!L94</f>
        <v>29296359.218796864</v>
      </c>
      <c r="M100" s="92">
        <f>'Projeções - NIM'!M94</f>
        <v>29296359.218796864</v>
      </c>
      <c r="N100" s="92">
        <f>'Projeções - NIM'!N94</f>
        <v>32762993.578878939</v>
      </c>
      <c r="O100" s="92">
        <f>'Projeções - NIM'!O94</f>
        <v>35826910.741112038</v>
      </c>
      <c r="P100" s="92">
        <f>'Projeções - NIM'!P94</f>
        <v>38976837.716583155</v>
      </c>
      <c r="Q100" s="92">
        <f>'Projeções - NIM'!Q94</f>
        <v>42159769.016524374</v>
      </c>
      <c r="R100" s="92">
        <f>'Projeções - NIM'!R94</f>
        <v>45384295.4752381</v>
      </c>
      <c r="S100" s="92">
        <f>'Projeções - NIM'!S94</f>
        <v>48648615.815933242</v>
      </c>
      <c r="T100" s="92">
        <f>'Projeções - NIM'!T94</f>
        <v>52002447.299574941</v>
      </c>
      <c r="U100" s="92">
        <f>'Projeções - NIM'!U94</f>
        <v>55423844.787864722</v>
      </c>
      <c r="V100" s="92">
        <f>'Projeções - NIM'!V94</f>
        <v>58919213.414517336</v>
      </c>
      <c r="W100" s="112" t="s">
        <v>371</v>
      </c>
    </row>
    <row r="101" spans="5:23" ht="30" customHeight="1" x14ac:dyDescent="0.3">
      <c r="E101" s="83" t="s">
        <v>41</v>
      </c>
      <c r="F101" s="81">
        <f>F100/F$11</f>
        <v>0.3200989173235792</v>
      </c>
      <c r="G101" s="81">
        <f t="shared" ref="G101:V101" si="150">G100/G$11</f>
        <v>0.37721394909970046</v>
      </c>
      <c r="H101" s="81">
        <f t="shared" si="150"/>
        <v>0.46861973112610134</v>
      </c>
      <c r="I101" s="81">
        <f t="shared" si="150"/>
        <v>0.50211486939037586</v>
      </c>
      <c r="J101" s="81">
        <f t="shared" si="150"/>
        <v>0.51431961167729834</v>
      </c>
      <c r="K101" s="81">
        <f t="shared" si="150"/>
        <v>0.51431961167729834</v>
      </c>
      <c r="L101" s="82">
        <f t="shared" si="150"/>
        <v>0.51420342147361864</v>
      </c>
      <c r="M101" s="82">
        <f t="shared" si="150"/>
        <v>0.51420342147361864</v>
      </c>
      <c r="N101" s="82">
        <f t="shared" si="150"/>
        <v>0.51420342147361853</v>
      </c>
      <c r="O101" s="82">
        <f t="shared" si="150"/>
        <v>0.51420342147361864</v>
      </c>
      <c r="P101" s="82">
        <f t="shared" si="150"/>
        <v>0.51420342147361853</v>
      </c>
      <c r="Q101" s="82">
        <f t="shared" si="150"/>
        <v>0.51420342147361864</v>
      </c>
      <c r="R101" s="82">
        <f t="shared" si="150"/>
        <v>0.51420342147361864</v>
      </c>
      <c r="S101" s="82">
        <f t="shared" si="150"/>
        <v>0.51420342147361864</v>
      </c>
      <c r="T101" s="82">
        <f t="shared" si="150"/>
        <v>0.51420342147361853</v>
      </c>
      <c r="U101" s="82">
        <f t="shared" si="150"/>
        <v>0.51420342147361864</v>
      </c>
      <c r="V101" s="82">
        <f t="shared" si="150"/>
        <v>0.51420342147361864</v>
      </c>
      <c r="W101" s="109"/>
    </row>
    <row r="102" spans="5:23" ht="30" customHeight="1" x14ac:dyDescent="0.3">
      <c r="E102" s="373" t="s">
        <v>104</v>
      </c>
      <c r="F102" s="124">
        <v>5821928</v>
      </c>
      <c r="G102" s="124">
        <v>9074375</v>
      </c>
      <c r="H102" s="124">
        <v>15587883</v>
      </c>
      <c r="I102" s="124">
        <v>22176613</v>
      </c>
      <c r="J102" s="124">
        <v>24300006</v>
      </c>
      <c r="K102" s="124">
        <f>J102</f>
        <v>24300006</v>
      </c>
      <c r="L102" s="92" t="s">
        <v>21</v>
      </c>
      <c r="M102" s="92" t="s">
        <v>21</v>
      </c>
      <c r="N102" s="92" t="s">
        <v>21</v>
      </c>
      <c r="O102" s="92" t="s">
        <v>21</v>
      </c>
      <c r="P102" s="92" t="s">
        <v>21</v>
      </c>
      <c r="Q102" s="92" t="s">
        <v>21</v>
      </c>
      <c r="R102" s="92" t="s">
        <v>21</v>
      </c>
      <c r="S102" s="92" t="s">
        <v>21</v>
      </c>
      <c r="T102" s="92" t="s">
        <v>21</v>
      </c>
      <c r="U102" s="92" t="s">
        <v>21</v>
      </c>
      <c r="V102" s="92" t="s">
        <v>21</v>
      </c>
      <c r="W102" s="109"/>
    </row>
    <row r="103" spans="5:23" ht="30" customHeight="1" x14ac:dyDescent="0.3">
      <c r="E103" s="373" t="s">
        <v>105</v>
      </c>
      <c r="F103" s="124">
        <v>225343</v>
      </c>
      <c r="G103" s="124">
        <v>99058</v>
      </c>
      <c r="H103" s="124">
        <v>78296</v>
      </c>
      <c r="I103" s="124">
        <v>60081</v>
      </c>
      <c r="J103" s="124">
        <v>58778</v>
      </c>
      <c r="K103" s="124">
        <f t="shared" ref="K103:K105" si="151">J103</f>
        <v>58778</v>
      </c>
      <c r="L103" s="92" t="s">
        <v>21</v>
      </c>
      <c r="M103" s="92" t="s">
        <v>21</v>
      </c>
      <c r="N103" s="92" t="s">
        <v>21</v>
      </c>
      <c r="O103" s="92" t="s">
        <v>21</v>
      </c>
      <c r="P103" s="92" t="s">
        <v>21</v>
      </c>
      <c r="Q103" s="92" t="s">
        <v>21</v>
      </c>
      <c r="R103" s="92" t="s">
        <v>21</v>
      </c>
      <c r="S103" s="92" t="s">
        <v>21</v>
      </c>
      <c r="T103" s="92" t="s">
        <v>21</v>
      </c>
      <c r="U103" s="92" t="s">
        <v>21</v>
      </c>
      <c r="V103" s="92" t="s">
        <v>21</v>
      </c>
      <c r="W103" s="109"/>
    </row>
    <row r="104" spans="5:23" ht="30" customHeight="1" x14ac:dyDescent="0.3">
      <c r="E104" s="373" t="s">
        <v>106</v>
      </c>
      <c r="F104" s="124">
        <v>88413</v>
      </c>
      <c r="G104" s="124">
        <v>80093</v>
      </c>
      <c r="H104" s="124">
        <v>71936</v>
      </c>
      <c r="I104" s="124">
        <v>63847</v>
      </c>
      <c r="J104" s="124">
        <v>59582</v>
      </c>
      <c r="K104" s="124">
        <f t="shared" si="151"/>
        <v>59582</v>
      </c>
      <c r="L104" s="92" t="s">
        <v>21</v>
      </c>
      <c r="M104" s="92" t="s">
        <v>21</v>
      </c>
      <c r="N104" s="92" t="s">
        <v>21</v>
      </c>
      <c r="O104" s="92" t="s">
        <v>21</v>
      </c>
      <c r="P104" s="92" t="s">
        <v>21</v>
      </c>
      <c r="Q104" s="92" t="s">
        <v>21</v>
      </c>
      <c r="R104" s="92" t="s">
        <v>21</v>
      </c>
      <c r="S104" s="92" t="s">
        <v>21</v>
      </c>
      <c r="T104" s="92" t="s">
        <v>21</v>
      </c>
      <c r="U104" s="92" t="s">
        <v>21</v>
      </c>
      <c r="V104" s="92" t="s">
        <v>21</v>
      </c>
      <c r="W104" s="109"/>
    </row>
    <row r="105" spans="5:23" ht="30" customHeight="1" x14ac:dyDescent="0.3">
      <c r="E105" s="373" t="s">
        <v>99</v>
      </c>
      <c r="F105" s="124">
        <v>78</v>
      </c>
      <c r="G105" s="124">
        <v>78</v>
      </c>
      <c r="H105" s="124">
        <v>78</v>
      </c>
      <c r="I105" s="124">
        <v>78</v>
      </c>
      <c r="J105" s="124">
        <v>78</v>
      </c>
      <c r="K105" s="124">
        <f t="shared" si="151"/>
        <v>78</v>
      </c>
      <c r="L105" s="92" t="s">
        <v>21</v>
      </c>
      <c r="M105" s="92" t="s">
        <v>21</v>
      </c>
      <c r="N105" s="92" t="s">
        <v>21</v>
      </c>
      <c r="O105" s="92" t="s">
        <v>21</v>
      </c>
      <c r="P105" s="92" t="s">
        <v>21</v>
      </c>
      <c r="Q105" s="92" t="s">
        <v>21</v>
      </c>
      <c r="R105" s="92" t="s">
        <v>21</v>
      </c>
      <c r="S105" s="92" t="s">
        <v>21</v>
      </c>
      <c r="T105" s="92" t="s">
        <v>21</v>
      </c>
      <c r="U105" s="92" t="s">
        <v>21</v>
      </c>
      <c r="V105" s="92" t="s">
        <v>21</v>
      </c>
      <c r="W105" s="109"/>
    </row>
    <row r="106" spans="5:23" ht="30" customHeight="1" x14ac:dyDescent="0.3">
      <c r="E106" s="372" t="s">
        <v>107</v>
      </c>
      <c r="F106" s="124">
        <v>112075</v>
      </c>
      <c r="G106" s="124">
        <v>102101</v>
      </c>
      <c r="H106" s="124">
        <v>153778</v>
      </c>
      <c r="I106" s="124">
        <v>155065</v>
      </c>
      <c r="J106" s="124">
        <v>149461.68381000002</v>
      </c>
      <c r="K106" s="124">
        <f>J106</f>
        <v>149461.68381000002</v>
      </c>
      <c r="L106" s="92">
        <f>'Projeções - NIM'!L96</f>
        <v>179318.68133546904</v>
      </c>
      <c r="M106" s="92">
        <f>'Projeções - NIM'!M96</f>
        <v>179318.68133546904</v>
      </c>
      <c r="N106" s="92">
        <f>'Projeções - NIM'!N96</f>
        <v>200537.43747781246</v>
      </c>
      <c r="O106" s="92">
        <f>'Projeções - NIM'!O96</f>
        <v>219291.22122102376</v>
      </c>
      <c r="P106" s="92">
        <f>'Projeções - NIM'!P96</f>
        <v>238571.45830871267</v>
      </c>
      <c r="Q106" s="92">
        <f>'Projeções - NIM'!Q96</f>
        <v>258053.70998456745</v>
      </c>
      <c r="R106" s="92">
        <f>'Projeções - NIM'!R96</f>
        <v>277790.55947461893</v>
      </c>
      <c r="S106" s="92">
        <f>'Projeções - NIM'!S96</f>
        <v>297770.98143006902</v>
      </c>
      <c r="T106" s="92">
        <f>'Projeções - NIM'!T96</f>
        <v>318299.2878512349</v>
      </c>
      <c r="U106" s="92">
        <f>'Projeções - NIM'!U96</f>
        <v>339241.15579266043</v>
      </c>
      <c r="V106" s="92">
        <f>'Projeções - NIM'!V96</f>
        <v>360635.79013038264</v>
      </c>
      <c r="W106" s="112" t="s">
        <v>371</v>
      </c>
    </row>
    <row r="107" spans="5:23" ht="30" customHeight="1" x14ac:dyDescent="0.3">
      <c r="E107" s="83" t="s">
        <v>41</v>
      </c>
      <c r="F107" s="81">
        <f>F106/F$11</f>
        <v>5.8468835914822215E-3</v>
      </c>
      <c r="G107" s="81">
        <f t="shared" ref="G107:V107" si="152">G106/G$11</f>
        <v>4.1620455572800091E-3</v>
      </c>
      <c r="H107" s="81">
        <f t="shared" si="152"/>
        <v>4.5788868527098132E-3</v>
      </c>
      <c r="I107" s="81">
        <f t="shared" si="152"/>
        <v>3.4914027373867348E-3</v>
      </c>
      <c r="J107" s="81">
        <f t="shared" si="152"/>
        <v>3.1480742662306558E-3</v>
      </c>
      <c r="K107" s="81">
        <f t="shared" si="152"/>
        <v>3.1480742662306558E-3</v>
      </c>
      <c r="L107" s="82">
        <f t="shared" si="152"/>
        <v>3.147363083180491E-3</v>
      </c>
      <c r="M107" s="82">
        <f t="shared" si="152"/>
        <v>3.147363083180491E-3</v>
      </c>
      <c r="N107" s="82">
        <f t="shared" si="152"/>
        <v>3.1473630831804905E-3</v>
      </c>
      <c r="O107" s="82">
        <f t="shared" si="152"/>
        <v>3.1473630831804905E-3</v>
      </c>
      <c r="P107" s="82">
        <f t="shared" si="152"/>
        <v>3.1473630831804905E-3</v>
      </c>
      <c r="Q107" s="82">
        <f t="shared" si="152"/>
        <v>3.147363083180491E-3</v>
      </c>
      <c r="R107" s="82">
        <f t="shared" si="152"/>
        <v>3.147363083180491E-3</v>
      </c>
      <c r="S107" s="82">
        <f t="shared" si="152"/>
        <v>3.147363083180491E-3</v>
      </c>
      <c r="T107" s="82">
        <f t="shared" si="152"/>
        <v>3.147363083180491E-3</v>
      </c>
      <c r="U107" s="82">
        <f t="shared" si="152"/>
        <v>3.1473630831804905E-3</v>
      </c>
      <c r="V107" s="82">
        <f t="shared" si="152"/>
        <v>3.147363083180491E-3</v>
      </c>
      <c r="W107" s="109"/>
    </row>
    <row r="108" spans="5:23" ht="30" customHeight="1" x14ac:dyDescent="0.3">
      <c r="E108" s="372" t="s">
        <v>108</v>
      </c>
      <c r="F108" s="124">
        <v>0</v>
      </c>
      <c r="G108" s="124">
        <v>1000347</v>
      </c>
      <c r="H108" s="124">
        <v>0</v>
      </c>
      <c r="I108" s="124">
        <v>0</v>
      </c>
      <c r="J108" s="124">
        <v>0</v>
      </c>
      <c r="K108" s="124">
        <f>J108</f>
        <v>0</v>
      </c>
      <c r="L108" s="92">
        <f>L109*L$11</f>
        <v>0</v>
      </c>
      <c r="M108" s="92">
        <f>M109*M$11</f>
        <v>0</v>
      </c>
      <c r="N108" s="92">
        <f>N109*N$11</f>
        <v>0</v>
      </c>
      <c r="O108" s="92">
        <f t="shared" ref="O108:V108" si="153">O109*O$11</f>
        <v>0</v>
      </c>
      <c r="P108" s="92">
        <f t="shared" si="153"/>
        <v>0</v>
      </c>
      <c r="Q108" s="92">
        <f t="shared" si="153"/>
        <v>0</v>
      </c>
      <c r="R108" s="92">
        <f t="shared" si="153"/>
        <v>0</v>
      </c>
      <c r="S108" s="92">
        <f t="shared" si="153"/>
        <v>0</v>
      </c>
      <c r="T108" s="92">
        <f t="shared" si="153"/>
        <v>0</v>
      </c>
      <c r="U108" s="92">
        <f t="shared" si="153"/>
        <v>0</v>
      </c>
      <c r="V108" s="92">
        <f t="shared" si="153"/>
        <v>0</v>
      </c>
      <c r="W108" s="109"/>
    </row>
    <row r="109" spans="5:23" ht="30" customHeight="1" x14ac:dyDescent="0.3">
      <c r="E109" s="83" t="s">
        <v>41</v>
      </c>
      <c r="F109" s="81">
        <f>F108/F$11</f>
        <v>0</v>
      </c>
      <c r="G109" s="81">
        <f t="shared" ref="G109:K109" si="154">G108/G$11</f>
        <v>4.0778148961208849E-2</v>
      </c>
      <c r="H109" s="81">
        <f t="shared" si="154"/>
        <v>0</v>
      </c>
      <c r="I109" s="81">
        <f t="shared" si="154"/>
        <v>0</v>
      </c>
      <c r="J109" s="81">
        <f t="shared" si="154"/>
        <v>0</v>
      </c>
      <c r="K109" s="81">
        <f t="shared" si="154"/>
        <v>0</v>
      </c>
      <c r="L109" s="82">
        <f>K109</f>
        <v>0</v>
      </c>
      <c r="M109" s="82">
        <f>L109</f>
        <v>0</v>
      </c>
      <c r="N109" s="82">
        <f t="shared" ref="N109:V111" si="155">M109</f>
        <v>0</v>
      </c>
      <c r="O109" s="82">
        <f t="shared" si="155"/>
        <v>0</v>
      </c>
      <c r="P109" s="82">
        <f t="shared" si="155"/>
        <v>0</v>
      </c>
      <c r="Q109" s="82">
        <f t="shared" si="155"/>
        <v>0</v>
      </c>
      <c r="R109" s="82">
        <f t="shared" si="155"/>
        <v>0</v>
      </c>
      <c r="S109" s="82">
        <f t="shared" si="155"/>
        <v>0</v>
      </c>
      <c r="T109" s="82">
        <f t="shared" si="155"/>
        <v>0</v>
      </c>
      <c r="U109" s="82">
        <f t="shared" si="155"/>
        <v>0</v>
      </c>
      <c r="V109" s="82">
        <f t="shared" si="155"/>
        <v>0</v>
      </c>
      <c r="W109" s="109" t="s">
        <v>370</v>
      </c>
    </row>
    <row r="110" spans="5:23" ht="30" customHeight="1" x14ac:dyDescent="0.3">
      <c r="E110" s="372" t="s">
        <v>109</v>
      </c>
      <c r="F110" s="124">
        <v>1027676</v>
      </c>
      <c r="G110" s="124">
        <v>1043951</v>
      </c>
      <c r="H110" s="124">
        <v>0</v>
      </c>
      <c r="I110" s="124">
        <v>0</v>
      </c>
      <c r="J110" s="124">
        <v>0</v>
      </c>
      <c r="K110" s="124">
        <f>J110</f>
        <v>0</v>
      </c>
      <c r="L110" s="92">
        <f>L111*L$11</f>
        <v>0</v>
      </c>
      <c r="M110" s="92">
        <f t="shared" ref="M110:V110" si="156">M111*M$11</f>
        <v>0</v>
      </c>
      <c r="N110" s="92">
        <f t="shared" si="156"/>
        <v>0</v>
      </c>
      <c r="O110" s="92">
        <f t="shared" si="156"/>
        <v>0</v>
      </c>
      <c r="P110" s="92">
        <f t="shared" si="156"/>
        <v>0</v>
      </c>
      <c r="Q110" s="92">
        <f t="shared" si="156"/>
        <v>0</v>
      </c>
      <c r="R110" s="92">
        <f t="shared" si="156"/>
        <v>0</v>
      </c>
      <c r="S110" s="92">
        <f t="shared" si="156"/>
        <v>0</v>
      </c>
      <c r="T110" s="92">
        <f t="shared" si="156"/>
        <v>0</v>
      </c>
      <c r="U110" s="92">
        <f t="shared" si="156"/>
        <v>0</v>
      </c>
      <c r="V110" s="92">
        <f t="shared" si="156"/>
        <v>0</v>
      </c>
      <c r="W110" s="109"/>
    </row>
    <row r="111" spans="5:23" ht="30" customHeight="1" x14ac:dyDescent="0.3">
      <c r="E111" s="83" t="s">
        <v>41</v>
      </c>
      <c r="F111" s="81">
        <f>F110/F$11</f>
        <v>5.3613222768325523E-2</v>
      </c>
      <c r="G111" s="81">
        <f t="shared" ref="G111:K111" si="157">G110/G$11</f>
        <v>4.2555622585165889E-2</v>
      </c>
      <c r="H111" s="81">
        <f t="shared" si="157"/>
        <v>0</v>
      </c>
      <c r="I111" s="81">
        <f t="shared" si="157"/>
        <v>0</v>
      </c>
      <c r="J111" s="81">
        <f t="shared" si="157"/>
        <v>0</v>
      </c>
      <c r="K111" s="81">
        <f t="shared" si="157"/>
        <v>0</v>
      </c>
      <c r="L111" s="82">
        <f>K111</f>
        <v>0</v>
      </c>
      <c r="M111" s="82">
        <f>L111</f>
        <v>0</v>
      </c>
      <c r="N111" s="82">
        <f t="shared" si="155"/>
        <v>0</v>
      </c>
      <c r="O111" s="82">
        <f t="shared" si="155"/>
        <v>0</v>
      </c>
      <c r="P111" s="82">
        <f t="shared" si="155"/>
        <v>0</v>
      </c>
      <c r="Q111" s="82">
        <f t="shared" si="155"/>
        <v>0</v>
      </c>
      <c r="R111" s="82">
        <f t="shared" si="155"/>
        <v>0</v>
      </c>
      <c r="S111" s="82">
        <f t="shared" si="155"/>
        <v>0</v>
      </c>
      <c r="T111" s="82">
        <f t="shared" si="155"/>
        <v>0</v>
      </c>
      <c r="U111" s="82">
        <f t="shared" si="155"/>
        <v>0</v>
      </c>
      <c r="V111" s="82">
        <f t="shared" si="155"/>
        <v>0</v>
      </c>
      <c r="W111" s="109" t="s">
        <v>370</v>
      </c>
    </row>
    <row r="112" spans="5:23" ht="30" customHeight="1" x14ac:dyDescent="0.3">
      <c r="E112" s="371" t="s">
        <v>111</v>
      </c>
      <c r="F112" s="124">
        <f>SUM(F114:F119)</f>
        <v>3807245</v>
      </c>
      <c r="G112" s="124">
        <f t="shared" ref="G112:K112" si="158">SUM(G114:G119)</f>
        <v>3528484</v>
      </c>
      <c r="H112" s="124">
        <f t="shared" si="158"/>
        <v>3580280</v>
      </c>
      <c r="I112" s="124">
        <f>SUM(I114:I119)</f>
        <v>3689629</v>
      </c>
      <c r="J112" s="124">
        <f t="shared" si="158"/>
        <v>3404733.0787500003</v>
      </c>
      <c r="K112" s="124">
        <f t="shared" si="158"/>
        <v>3404733.0787500003</v>
      </c>
      <c r="L112" s="92">
        <f>L113*L$11</f>
        <v>4085797.6922799046</v>
      </c>
      <c r="M112" s="92">
        <f>L112</f>
        <v>4085797.6922799046</v>
      </c>
      <c r="N112" s="92">
        <f>N113*N$11</f>
        <v>4569269.5995779904</v>
      </c>
      <c r="O112" s="92">
        <f t="shared" ref="O112:T112" si="159">O113*O$11</f>
        <v>4996576.8146928549</v>
      </c>
      <c r="P112" s="92">
        <f t="shared" si="159"/>
        <v>5435879.3324942011</v>
      </c>
      <c r="Q112" s="92">
        <f t="shared" si="159"/>
        <v>5879784.7769509731</v>
      </c>
      <c r="R112" s="92">
        <f t="shared" si="159"/>
        <v>6329491.2631840808</v>
      </c>
      <c r="S112" s="92">
        <f t="shared" si="159"/>
        <v>6784747.5772968996</v>
      </c>
      <c r="T112" s="92">
        <f t="shared" si="159"/>
        <v>7252487.5047677141</v>
      </c>
      <c r="U112" s="92">
        <f>U113*U$11</f>
        <v>7729650.4811507137</v>
      </c>
      <c r="V112" s="92">
        <f t="shared" ref="V112" si="160">V113*V$11</f>
        <v>8217129.7942553172</v>
      </c>
      <c r="W112" s="112" t="s">
        <v>372</v>
      </c>
    </row>
    <row r="113" spans="5:23" ht="30" customHeight="1" x14ac:dyDescent="0.3">
      <c r="E113" s="80" t="s">
        <v>41</v>
      </c>
      <c r="F113" s="81">
        <f>F112/F$11</f>
        <v>0.19862162229982361</v>
      </c>
      <c r="G113" s="81">
        <f t="shared" ref="G113:J113" si="161">G112/G$11</f>
        <v>0.14383513536726961</v>
      </c>
      <c r="H113" s="81">
        <f t="shared" si="161"/>
        <v>0.10660625720857268</v>
      </c>
      <c r="I113" s="81">
        <f t="shared" si="161"/>
        <v>8.3074715703359767E-2</v>
      </c>
      <c r="J113" s="81">
        <f t="shared" si="161"/>
        <v>7.1713045881529255E-2</v>
      </c>
      <c r="K113" s="81">
        <f>K112/K$11</f>
        <v>7.1713045881529255E-2</v>
      </c>
      <c r="L113" s="82">
        <f>K113</f>
        <v>7.1713045881529255E-2</v>
      </c>
      <c r="M113" s="82">
        <f>M112/M$11</f>
        <v>7.1713045881529255E-2</v>
      </c>
      <c r="N113" s="82">
        <f t="shared" ref="N113:V113" si="162">M113</f>
        <v>7.1713045881529255E-2</v>
      </c>
      <c r="O113" s="82">
        <f t="shared" si="162"/>
        <v>7.1713045881529255E-2</v>
      </c>
      <c r="P113" s="82">
        <f t="shared" si="162"/>
        <v>7.1713045881529255E-2</v>
      </c>
      <c r="Q113" s="82">
        <f t="shared" si="162"/>
        <v>7.1713045881529255E-2</v>
      </c>
      <c r="R113" s="82">
        <f t="shared" si="162"/>
        <v>7.1713045881529255E-2</v>
      </c>
      <c r="S113" s="82">
        <f t="shared" si="162"/>
        <v>7.1713045881529255E-2</v>
      </c>
      <c r="T113" s="82">
        <f t="shared" si="162"/>
        <v>7.1713045881529255E-2</v>
      </c>
      <c r="U113" s="82">
        <f t="shared" si="162"/>
        <v>7.1713045881529255E-2</v>
      </c>
      <c r="V113" s="82">
        <f t="shared" si="162"/>
        <v>7.1713045881529255E-2</v>
      </c>
      <c r="W113" s="109"/>
    </row>
    <row r="114" spans="5:23" ht="30" customHeight="1" x14ac:dyDescent="0.3">
      <c r="E114" s="372" t="s">
        <v>112</v>
      </c>
      <c r="F114" s="124">
        <v>102288</v>
      </c>
      <c r="G114" s="124">
        <v>115149</v>
      </c>
      <c r="H114" s="124">
        <v>121739</v>
      </c>
      <c r="I114" s="124">
        <v>392599</v>
      </c>
      <c r="J114" s="124">
        <v>159421.44506999999</v>
      </c>
      <c r="K114" s="124">
        <f>J114</f>
        <v>159421.44506999999</v>
      </c>
      <c r="L114" s="92" t="s">
        <v>21</v>
      </c>
      <c r="M114" s="92" t="s">
        <v>21</v>
      </c>
      <c r="N114" s="92" t="s">
        <v>21</v>
      </c>
      <c r="O114" s="92" t="s">
        <v>21</v>
      </c>
      <c r="P114" s="92" t="s">
        <v>21</v>
      </c>
      <c r="Q114" s="92" t="s">
        <v>21</v>
      </c>
      <c r="R114" s="92" t="s">
        <v>21</v>
      </c>
      <c r="S114" s="92" t="s">
        <v>21</v>
      </c>
      <c r="T114" s="92" t="s">
        <v>21</v>
      </c>
      <c r="U114" s="92" t="s">
        <v>21</v>
      </c>
      <c r="V114" s="92" t="s">
        <v>21</v>
      </c>
      <c r="W114" s="109"/>
    </row>
    <row r="115" spans="5:23" ht="30" customHeight="1" x14ac:dyDescent="0.3">
      <c r="E115" s="372" t="s">
        <v>113</v>
      </c>
      <c r="F115" s="124">
        <v>1654984</v>
      </c>
      <c r="G115" s="124">
        <v>1502754</v>
      </c>
      <c r="H115" s="124">
        <v>1566721</v>
      </c>
      <c r="I115" s="124">
        <v>1610416</v>
      </c>
      <c r="J115" s="124">
        <v>1653140.4216300002</v>
      </c>
      <c r="K115" s="124">
        <f t="shared" ref="K115:K119" si="163">J115</f>
        <v>1653140.4216300002</v>
      </c>
      <c r="L115" s="92" t="s">
        <v>21</v>
      </c>
      <c r="M115" s="92" t="s">
        <v>21</v>
      </c>
      <c r="N115" s="92" t="s">
        <v>21</v>
      </c>
      <c r="O115" s="92" t="s">
        <v>21</v>
      </c>
      <c r="P115" s="92" t="s">
        <v>21</v>
      </c>
      <c r="Q115" s="92" t="s">
        <v>21</v>
      </c>
      <c r="R115" s="92" t="s">
        <v>21</v>
      </c>
      <c r="S115" s="92" t="s">
        <v>21</v>
      </c>
      <c r="T115" s="92" t="s">
        <v>21</v>
      </c>
      <c r="U115" s="92" t="s">
        <v>21</v>
      </c>
      <c r="V115" s="92" t="s">
        <v>21</v>
      </c>
      <c r="W115" s="109"/>
    </row>
    <row r="116" spans="5:23" ht="30" customHeight="1" x14ac:dyDescent="0.3">
      <c r="E116" s="372" t="s">
        <v>114</v>
      </c>
      <c r="F116" s="124">
        <v>1237350</v>
      </c>
      <c r="G116" s="124">
        <v>1159977</v>
      </c>
      <c r="H116" s="124">
        <v>1162250</v>
      </c>
      <c r="I116" s="124">
        <v>1146731</v>
      </c>
      <c r="J116" s="124">
        <v>1079211.31966</v>
      </c>
      <c r="K116" s="124">
        <f t="shared" si="163"/>
        <v>1079211.31966</v>
      </c>
      <c r="L116" s="92" t="s">
        <v>21</v>
      </c>
      <c r="M116" s="92" t="s">
        <v>21</v>
      </c>
      <c r="N116" s="92" t="s">
        <v>21</v>
      </c>
      <c r="O116" s="92" t="s">
        <v>21</v>
      </c>
      <c r="P116" s="92" t="s">
        <v>21</v>
      </c>
      <c r="Q116" s="92" t="s">
        <v>21</v>
      </c>
      <c r="R116" s="92" t="s">
        <v>21</v>
      </c>
      <c r="S116" s="92" t="s">
        <v>21</v>
      </c>
      <c r="T116" s="92" t="s">
        <v>21</v>
      </c>
      <c r="U116" s="92" t="s">
        <v>21</v>
      </c>
      <c r="V116" s="92" t="s">
        <v>21</v>
      </c>
      <c r="W116" s="109"/>
    </row>
    <row r="117" spans="5:23" ht="30" customHeight="1" x14ac:dyDescent="0.3">
      <c r="E117" s="372" t="s">
        <v>115</v>
      </c>
      <c r="F117" s="124">
        <v>198699</v>
      </c>
      <c r="G117" s="124">
        <v>164396</v>
      </c>
      <c r="H117" s="124">
        <v>217522</v>
      </c>
      <c r="I117" s="124">
        <v>131847</v>
      </c>
      <c r="J117" s="124">
        <v>130428.03731000001</v>
      </c>
      <c r="K117" s="124">
        <f t="shared" si="163"/>
        <v>130428.03731000001</v>
      </c>
      <c r="L117" s="92" t="s">
        <v>21</v>
      </c>
      <c r="M117" s="92" t="s">
        <v>21</v>
      </c>
      <c r="N117" s="92" t="s">
        <v>21</v>
      </c>
      <c r="O117" s="92" t="s">
        <v>21</v>
      </c>
      <c r="P117" s="92" t="s">
        <v>21</v>
      </c>
      <c r="Q117" s="92" t="s">
        <v>21</v>
      </c>
      <c r="R117" s="92" t="s">
        <v>21</v>
      </c>
      <c r="S117" s="92" t="s">
        <v>21</v>
      </c>
      <c r="T117" s="92" t="s">
        <v>21</v>
      </c>
      <c r="U117" s="92" t="s">
        <v>21</v>
      </c>
      <c r="V117" s="92" t="s">
        <v>21</v>
      </c>
      <c r="W117" s="109"/>
    </row>
    <row r="118" spans="5:23" ht="30" customHeight="1" x14ac:dyDescent="0.3">
      <c r="E118" s="372" t="s">
        <v>116</v>
      </c>
      <c r="F118" s="124">
        <v>613575</v>
      </c>
      <c r="G118" s="124">
        <v>585859</v>
      </c>
      <c r="H118" s="124">
        <v>511699</v>
      </c>
      <c r="I118" s="124">
        <v>407687</v>
      </c>
      <c r="J118" s="124">
        <v>382182.37806000002</v>
      </c>
      <c r="K118" s="124">
        <f t="shared" si="163"/>
        <v>382182.37806000002</v>
      </c>
      <c r="L118" s="92" t="s">
        <v>21</v>
      </c>
      <c r="M118" s="92" t="s">
        <v>21</v>
      </c>
      <c r="N118" s="92" t="s">
        <v>21</v>
      </c>
      <c r="O118" s="92" t="s">
        <v>21</v>
      </c>
      <c r="P118" s="92" t="s">
        <v>21</v>
      </c>
      <c r="Q118" s="92" t="s">
        <v>21</v>
      </c>
      <c r="R118" s="92" t="s">
        <v>21</v>
      </c>
      <c r="S118" s="92" t="s">
        <v>21</v>
      </c>
      <c r="T118" s="92" t="s">
        <v>21</v>
      </c>
      <c r="U118" s="92" t="s">
        <v>21</v>
      </c>
      <c r="V118" s="92" t="s">
        <v>21</v>
      </c>
      <c r="W118" s="109"/>
    </row>
    <row r="119" spans="5:23" ht="30" customHeight="1" x14ac:dyDescent="0.3">
      <c r="E119" s="372" t="s">
        <v>117</v>
      </c>
      <c r="F119" s="124">
        <v>349</v>
      </c>
      <c r="G119" s="124">
        <v>349</v>
      </c>
      <c r="H119" s="124">
        <v>349</v>
      </c>
      <c r="I119" s="124">
        <v>349</v>
      </c>
      <c r="J119" s="124">
        <v>349.47702000000004</v>
      </c>
      <c r="K119" s="124">
        <f t="shared" si="163"/>
        <v>349.47702000000004</v>
      </c>
      <c r="L119" s="92" t="s">
        <v>21</v>
      </c>
      <c r="M119" s="92" t="s">
        <v>21</v>
      </c>
      <c r="N119" s="92" t="s">
        <v>21</v>
      </c>
      <c r="O119" s="92" t="s">
        <v>21</v>
      </c>
      <c r="P119" s="92" t="s">
        <v>21</v>
      </c>
      <c r="Q119" s="92" t="s">
        <v>21</v>
      </c>
      <c r="R119" s="92" t="s">
        <v>21</v>
      </c>
      <c r="S119" s="92" t="s">
        <v>21</v>
      </c>
      <c r="T119" s="92" t="s">
        <v>21</v>
      </c>
      <c r="U119" s="92" t="s">
        <v>21</v>
      </c>
      <c r="V119" s="92" t="s">
        <v>21</v>
      </c>
      <c r="W119" s="109"/>
    </row>
    <row r="120" spans="5:23" ht="30" customHeight="1" x14ac:dyDescent="0.3">
      <c r="E120" s="371" t="s">
        <v>118</v>
      </c>
      <c r="F120" s="124">
        <f>SUM(F122:F123)</f>
        <v>118931</v>
      </c>
      <c r="G120" s="124">
        <f t="shared" ref="G120:K120" si="164">SUM(G122:G123)</f>
        <v>211668</v>
      </c>
      <c r="H120" s="124">
        <f t="shared" si="164"/>
        <v>517896</v>
      </c>
      <c r="I120" s="124">
        <f t="shared" si="164"/>
        <v>148542</v>
      </c>
      <c r="J120" s="124">
        <f t="shared" si="164"/>
        <v>164005.42196000001</v>
      </c>
      <c r="K120" s="124">
        <f t="shared" si="164"/>
        <v>164005.42196000001</v>
      </c>
      <c r="L120" s="92">
        <f>L121*L$11</f>
        <v>196812.19028528815</v>
      </c>
      <c r="M120" s="92">
        <f>L120</f>
        <v>196812.19028528815</v>
      </c>
      <c r="N120" s="92">
        <f>N121*N$11</f>
        <v>220100.95105690774</v>
      </c>
      <c r="O120" s="92">
        <f t="shared" ref="O120:S120" si="165">O121*O$11</f>
        <v>240684.26801613174</v>
      </c>
      <c r="P120" s="92">
        <f t="shared" si="165"/>
        <v>261845.39669601977</v>
      </c>
      <c r="Q120" s="92">
        <f t="shared" si="165"/>
        <v>283228.24758170592</v>
      </c>
      <c r="R120" s="92">
        <f t="shared" si="165"/>
        <v>304890.53367782698</v>
      </c>
      <c r="S120" s="92">
        <f t="shared" si="165"/>
        <v>326820.15405307215</v>
      </c>
      <c r="T120" s="92">
        <f>T121*T$11</f>
        <v>349351.10799221456</v>
      </c>
      <c r="U120" s="92">
        <f t="shared" ref="U120" si="166">U121*U$11</f>
        <v>372335.96861867938</v>
      </c>
      <c r="V120" s="92">
        <f t="shared" ref="V120" si="167">V121*V$11</f>
        <v>395817.7654565812</v>
      </c>
      <c r="W120" s="111"/>
    </row>
    <row r="121" spans="5:23" ht="30" customHeight="1" x14ac:dyDescent="0.3">
      <c r="E121" s="80" t="s">
        <v>41</v>
      </c>
      <c r="F121" s="81">
        <f>F120/F$11</f>
        <v>6.2045568808259833E-3</v>
      </c>
      <c r="G121" s="81">
        <f t="shared" ref="G121:M121" si="168">G120/G$11</f>
        <v>8.6284351673180954E-3</v>
      </c>
      <c r="H121" s="81">
        <f t="shared" si="168"/>
        <v>1.5420848141288098E-2</v>
      </c>
      <c r="I121" s="81">
        <f t="shared" si="168"/>
        <v>3.3445325857988611E-3</v>
      </c>
      <c r="J121" s="81">
        <f t="shared" si="168"/>
        <v>3.4544054050060957E-3</v>
      </c>
      <c r="K121" s="81">
        <f t="shared" si="168"/>
        <v>3.4544054050060957E-3</v>
      </c>
      <c r="L121" s="82">
        <f>K121</f>
        <v>3.4544054050060957E-3</v>
      </c>
      <c r="M121" s="82">
        <f t="shared" si="168"/>
        <v>3.4544054050060957E-3</v>
      </c>
      <c r="N121" s="82">
        <f t="shared" ref="N121:V121" si="169">M121</f>
        <v>3.4544054050060957E-3</v>
      </c>
      <c r="O121" s="82">
        <f t="shared" si="169"/>
        <v>3.4544054050060957E-3</v>
      </c>
      <c r="P121" s="82">
        <f t="shared" si="169"/>
        <v>3.4544054050060957E-3</v>
      </c>
      <c r="Q121" s="82">
        <f t="shared" si="169"/>
        <v>3.4544054050060957E-3</v>
      </c>
      <c r="R121" s="82">
        <f t="shared" si="169"/>
        <v>3.4544054050060957E-3</v>
      </c>
      <c r="S121" s="82">
        <f t="shared" si="169"/>
        <v>3.4544054050060957E-3</v>
      </c>
      <c r="T121" s="82">
        <f t="shared" si="169"/>
        <v>3.4544054050060957E-3</v>
      </c>
      <c r="U121" s="82">
        <f t="shared" si="169"/>
        <v>3.4544054050060957E-3</v>
      </c>
      <c r="V121" s="82">
        <f t="shared" si="169"/>
        <v>3.4544054050060957E-3</v>
      </c>
      <c r="W121" s="109"/>
    </row>
    <row r="122" spans="5:23" ht="30" customHeight="1" x14ac:dyDescent="0.3">
      <c r="E122" s="372" t="s">
        <v>119</v>
      </c>
      <c r="F122" s="124">
        <v>96536</v>
      </c>
      <c r="G122" s="124">
        <v>202603</v>
      </c>
      <c r="H122" s="124">
        <v>501208</v>
      </c>
      <c r="I122" s="124">
        <v>132764</v>
      </c>
      <c r="J122" s="124">
        <v>151213.46272000001</v>
      </c>
      <c r="K122" s="124">
        <f>J122</f>
        <v>151213.46272000001</v>
      </c>
      <c r="L122" s="92" t="s">
        <v>21</v>
      </c>
      <c r="M122" s="92" t="s">
        <v>21</v>
      </c>
      <c r="N122" s="92" t="s">
        <v>21</v>
      </c>
      <c r="O122" s="92" t="s">
        <v>21</v>
      </c>
      <c r="P122" s="92" t="s">
        <v>21</v>
      </c>
      <c r="Q122" s="92" t="s">
        <v>21</v>
      </c>
      <c r="R122" s="92" t="s">
        <v>21</v>
      </c>
      <c r="S122" s="92" t="s">
        <v>21</v>
      </c>
      <c r="T122" s="92" t="s">
        <v>21</v>
      </c>
      <c r="U122" s="92" t="s">
        <v>21</v>
      </c>
      <c r="V122" s="92" t="s">
        <v>21</v>
      </c>
      <c r="W122" s="109"/>
    </row>
    <row r="123" spans="5:23" ht="30" customHeight="1" x14ac:dyDescent="0.3">
      <c r="E123" s="372" t="s">
        <v>120</v>
      </c>
      <c r="F123" s="124">
        <v>22395</v>
      </c>
      <c r="G123" s="124">
        <v>9065</v>
      </c>
      <c r="H123" s="124">
        <v>16688</v>
      </c>
      <c r="I123" s="124">
        <v>15778</v>
      </c>
      <c r="J123" s="124">
        <v>12791.95924</v>
      </c>
      <c r="K123" s="124">
        <f>J123</f>
        <v>12791.95924</v>
      </c>
      <c r="L123" s="92" t="s">
        <v>21</v>
      </c>
      <c r="M123" s="92" t="s">
        <v>21</v>
      </c>
      <c r="N123" s="92" t="s">
        <v>21</v>
      </c>
      <c r="O123" s="92" t="s">
        <v>21</v>
      </c>
      <c r="P123" s="92" t="s">
        <v>21</v>
      </c>
      <c r="Q123" s="92" t="s">
        <v>21</v>
      </c>
      <c r="R123" s="92" t="s">
        <v>21</v>
      </c>
      <c r="S123" s="92" t="s">
        <v>21</v>
      </c>
      <c r="T123" s="92" t="s">
        <v>21</v>
      </c>
      <c r="U123" s="92" t="s">
        <v>21</v>
      </c>
      <c r="V123" s="92" t="s">
        <v>21</v>
      </c>
      <c r="W123" s="109"/>
    </row>
    <row r="124" spans="5:23" ht="30" customHeight="1" x14ac:dyDescent="0.3">
      <c r="E124" s="371" t="s">
        <v>428</v>
      </c>
      <c r="F124" s="124">
        <f>F12-F125-SUM(F70,F112,F120)</f>
        <v>0</v>
      </c>
      <c r="G124" s="124">
        <f t="shared" ref="G124:V124" si="170">G12-G125-SUM(G70,G112,G120)</f>
        <v>0</v>
      </c>
      <c r="H124" s="124">
        <f t="shared" si="170"/>
        <v>45</v>
      </c>
      <c r="I124" s="124">
        <f t="shared" si="170"/>
        <v>0</v>
      </c>
      <c r="J124" s="124">
        <f t="shared" si="170"/>
        <v>206771.03934999555</v>
      </c>
      <c r="K124" s="124">
        <f t="shared" si="170"/>
        <v>206771.03934999555</v>
      </c>
      <c r="L124" s="92">
        <f t="shared" si="170"/>
        <v>774570.2813109383</v>
      </c>
      <c r="M124" s="92">
        <f t="shared" si="170"/>
        <v>774570.2813109383</v>
      </c>
      <c r="N124" s="92">
        <f t="shared" si="170"/>
        <v>584578.1363549456</v>
      </c>
      <c r="O124" s="92">
        <f t="shared" si="170"/>
        <v>360011.20893327147</v>
      </c>
      <c r="P124" s="92">
        <f t="shared" si="170"/>
        <v>96967.999297887087</v>
      </c>
      <c r="Q124" s="92">
        <f t="shared" si="170"/>
        <v>-205404.77709971368</v>
      </c>
      <c r="R124" s="92">
        <f t="shared" si="170"/>
        <v>-548746.07247598469</v>
      </c>
      <c r="S124" s="92">
        <f t="shared" si="170"/>
        <v>-934528.39002902806</v>
      </c>
      <c r="T124" s="92">
        <f t="shared" si="170"/>
        <v>-1366442.8964674771</v>
      </c>
      <c r="U124" s="92">
        <f t="shared" si="170"/>
        <v>-1845861.3175978065</v>
      </c>
      <c r="V124" s="92">
        <f t="shared" si="170"/>
        <v>-2375246.2718758136</v>
      </c>
      <c r="W124" s="112" t="s">
        <v>429</v>
      </c>
    </row>
    <row r="125" spans="5:23" ht="30" customHeight="1" x14ac:dyDescent="0.3">
      <c r="E125" s="76" t="s">
        <v>60</v>
      </c>
      <c r="F125" s="166">
        <f>SUM(F128:F132)</f>
        <v>2416797</v>
      </c>
      <c r="G125" s="166">
        <f t="shared" ref="G125:V125" si="171">SUM(G128:G132)</f>
        <v>2944953</v>
      </c>
      <c r="H125" s="166">
        <f t="shared" si="171"/>
        <v>4841380</v>
      </c>
      <c r="I125" s="166">
        <f t="shared" si="171"/>
        <v>5883325</v>
      </c>
      <c r="J125" s="166">
        <f t="shared" si="171"/>
        <v>5907205.7208599998</v>
      </c>
      <c r="K125" s="166">
        <f t="shared" si="171"/>
        <v>5907205.7208599998</v>
      </c>
      <c r="L125" s="100">
        <f>SUM(L128:L132)</f>
        <v>6572854.3766378434</v>
      </c>
      <c r="M125" s="100">
        <f t="shared" si="171"/>
        <v>6572854.3766378434</v>
      </c>
      <c r="N125" s="100">
        <f t="shared" si="171"/>
        <v>7632266.3217517175</v>
      </c>
      <c r="O125" s="100">
        <f t="shared" si="171"/>
        <v>8625252.9814539887</v>
      </c>
      <c r="P125" s="100">
        <f t="shared" si="171"/>
        <v>9678286.884385664</v>
      </c>
      <c r="Q125" s="100">
        <f t="shared" si="171"/>
        <v>10778927.723483004</v>
      </c>
      <c r="R125" s="100">
        <f t="shared" si="171"/>
        <v>11930969.002226524</v>
      </c>
      <c r="S125" s="100">
        <f t="shared" si="171"/>
        <v>13135431.469880886</v>
      </c>
      <c r="T125" s="100">
        <f t="shared" si="171"/>
        <v>14408475.20870889</v>
      </c>
      <c r="U125" s="100">
        <f t="shared" si="171"/>
        <v>15745968.180412542</v>
      </c>
      <c r="V125" s="100">
        <f t="shared" si="171"/>
        <v>17151979.38863169</v>
      </c>
      <c r="W125" s="109"/>
    </row>
    <row r="126" spans="5:23" ht="30" customHeight="1" x14ac:dyDescent="0.3">
      <c r="E126" s="85" t="s">
        <v>61</v>
      </c>
      <c r="F126" s="81">
        <f t="shared" ref="F126:V126" si="172">F125/F12</f>
        <v>0.1161044766719212</v>
      </c>
      <c r="G126" s="81">
        <f t="shared" si="172"/>
        <v>0.1134747982707629</v>
      </c>
      <c r="H126" s="81">
        <f t="shared" si="172"/>
        <v>0.13994086408912224</v>
      </c>
      <c r="I126" s="81">
        <f t="shared" si="172"/>
        <v>0.13012657787730619</v>
      </c>
      <c r="J126" s="81">
        <f t="shared" ref="J126:L126" si="173">J125/J12</f>
        <v>0.12256925798005758</v>
      </c>
      <c r="K126" s="81">
        <f t="shared" si="173"/>
        <v>0.12256925798005758</v>
      </c>
      <c r="L126" s="82">
        <f t="shared" si="173"/>
        <v>0.11364744675740346</v>
      </c>
      <c r="M126" s="82">
        <f t="shared" si="172"/>
        <v>0.11364744675740346</v>
      </c>
      <c r="N126" s="82">
        <f t="shared" si="172"/>
        <v>0.11800197180719113</v>
      </c>
      <c r="O126" s="82">
        <f t="shared" si="172"/>
        <v>0.12195000009919678</v>
      </c>
      <c r="P126" s="82">
        <f t="shared" si="172"/>
        <v>0.12577989136016682</v>
      </c>
      <c r="Q126" s="82">
        <f t="shared" si="172"/>
        <v>0.12950801945222309</v>
      </c>
      <c r="R126" s="82">
        <f t="shared" si="172"/>
        <v>0.13316480090965557</v>
      </c>
      <c r="S126" s="82">
        <f t="shared" si="172"/>
        <v>0.13677073469426945</v>
      </c>
      <c r="T126" s="82">
        <f t="shared" si="172"/>
        <v>0.14035037128015432</v>
      </c>
      <c r="U126" s="82">
        <f t="shared" si="172"/>
        <v>0.14391035499702687</v>
      </c>
      <c r="V126" s="82">
        <f t="shared" si="172"/>
        <v>0.1474608152642615</v>
      </c>
      <c r="W126" s="109"/>
    </row>
    <row r="127" spans="5:23" ht="30" customHeight="1" x14ac:dyDescent="0.3">
      <c r="E127" s="85" t="s">
        <v>41</v>
      </c>
      <c r="F127" s="81">
        <f>F125/F$68</f>
        <v>0.13135543014717391</v>
      </c>
      <c r="G127" s="81">
        <f t="shared" ref="G127:V127" si="174">G125/G$68</f>
        <v>0.12799951772315257</v>
      </c>
      <c r="H127" s="81">
        <f t="shared" si="174"/>
        <v>0.16271074655920334</v>
      </c>
      <c r="I127" s="81">
        <f t="shared" si="174"/>
        <v>0.14959254365970515</v>
      </c>
      <c r="J127" s="81">
        <f t="shared" ref="J127:L127" si="175">J125/J$68</f>
        <v>0.13969109139929337</v>
      </c>
      <c r="K127" s="81">
        <f t="shared" si="175"/>
        <v>0.13969109139929337</v>
      </c>
      <c r="L127" s="82">
        <f t="shared" si="175"/>
        <v>0.12821923549680114</v>
      </c>
      <c r="M127" s="82">
        <f t="shared" si="174"/>
        <v>0.12821923549680114</v>
      </c>
      <c r="N127" s="82">
        <f t="shared" si="174"/>
        <v>0.1337893827823789</v>
      </c>
      <c r="O127" s="82">
        <f t="shared" si="174"/>
        <v>0.13888730722962694</v>
      </c>
      <c r="P127" s="82">
        <f t="shared" si="174"/>
        <v>0.14387668519300376</v>
      </c>
      <c r="Q127" s="82">
        <f t="shared" si="174"/>
        <v>0.14877566059910999</v>
      </c>
      <c r="R127" s="82">
        <f t="shared" si="174"/>
        <v>0.15362181998308161</v>
      </c>
      <c r="S127" s="82">
        <f t="shared" si="174"/>
        <v>0.1584407992074148</v>
      </c>
      <c r="T127" s="82">
        <f t="shared" si="174"/>
        <v>0.16326462152860838</v>
      </c>
      <c r="U127" s="82">
        <f t="shared" si="174"/>
        <v>0.16810196903681399</v>
      </c>
      <c r="V127" s="82">
        <f t="shared" si="174"/>
        <v>0.1729666130360564</v>
      </c>
      <c r="W127" s="109"/>
    </row>
    <row r="128" spans="5:23" ht="30" customHeight="1" x14ac:dyDescent="0.3">
      <c r="E128" s="371" t="s">
        <v>121</v>
      </c>
      <c r="F128" s="124">
        <v>1623252</v>
      </c>
      <c r="G128" s="124">
        <v>1623252</v>
      </c>
      <c r="H128" s="124">
        <v>3654918</v>
      </c>
      <c r="I128" s="124">
        <v>3654918</v>
      </c>
      <c r="J128" s="124">
        <v>3654918.0985700004</v>
      </c>
      <c r="K128" s="124">
        <f t="shared" ref="K128:M129" si="176">J128</f>
        <v>3654918.0985700004</v>
      </c>
      <c r="L128" s="92">
        <f t="shared" si="176"/>
        <v>3654918.0985700004</v>
      </c>
      <c r="M128" s="92">
        <f t="shared" si="176"/>
        <v>3654918.0985700004</v>
      </c>
      <c r="N128" s="92">
        <f t="shared" ref="N128:V131" si="177">M128</f>
        <v>3654918.0985700004</v>
      </c>
      <c r="O128" s="92">
        <f t="shared" si="177"/>
        <v>3654918.0985700004</v>
      </c>
      <c r="P128" s="92">
        <f t="shared" si="177"/>
        <v>3654918.0985700004</v>
      </c>
      <c r="Q128" s="92">
        <f t="shared" si="177"/>
        <v>3654918.0985700004</v>
      </c>
      <c r="R128" s="92">
        <f t="shared" si="177"/>
        <v>3654918.0985700004</v>
      </c>
      <c r="S128" s="92">
        <f t="shared" si="177"/>
        <v>3654918.0985700004</v>
      </c>
      <c r="T128" s="92">
        <f t="shared" si="177"/>
        <v>3654918.0985700004</v>
      </c>
      <c r="U128" s="92">
        <f t="shared" si="177"/>
        <v>3654918.0985700004</v>
      </c>
      <c r="V128" s="92">
        <f t="shared" si="177"/>
        <v>3654918.0985700004</v>
      </c>
      <c r="W128" s="109"/>
    </row>
    <row r="129" spans="2:30" ht="30" customHeight="1" x14ac:dyDescent="0.3">
      <c r="E129" s="107" t="s">
        <v>62</v>
      </c>
      <c r="F129" s="124">
        <v>2253</v>
      </c>
      <c r="G129" s="124">
        <v>2253</v>
      </c>
      <c r="H129" s="124">
        <v>2253</v>
      </c>
      <c r="I129" s="124">
        <v>2253</v>
      </c>
      <c r="J129" s="124">
        <v>2252.9117700000002</v>
      </c>
      <c r="K129" s="124">
        <f t="shared" si="176"/>
        <v>2252.9117700000002</v>
      </c>
      <c r="L129" s="92">
        <f t="shared" si="176"/>
        <v>2252.9117700000002</v>
      </c>
      <c r="M129" s="92">
        <f t="shared" si="176"/>
        <v>2252.9117700000002</v>
      </c>
      <c r="N129" s="92">
        <f t="shared" si="177"/>
        <v>2252.9117700000002</v>
      </c>
      <c r="O129" s="92">
        <f t="shared" si="177"/>
        <v>2252.9117700000002</v>
      </c>
      <c r="P129" s="92">
        <f t="shared" si="177"/>
        <v>2252.9117700000002</v>
      </c>
      <c r="Q129" s="92">
        <f t="shared" si="177"/>
        <v>2252.9117700000002</v>
      </c>
      <c r="R129" s="92">
        <f t="shared" si="177"/>
        <v>2252.9117700000002</v>
      </c>
      <c r="S129" s="92">
        <f t="shared" si="177"/>
        <v>2252.9117700000002</v>
      </c>
      <c r="T129" s="92">
        <f t="shared" si="177"/>
        <v>2252.9117700000002</v>
      </c>
      <c r="U129" s="92">
        <f t="shared" si="177"/>
        <v>2252.9117700000002</v>
      </c>
      <c r="V129" s="92">
        <f t="shared" si="177"/>
        <v>2252.9117700000002</v>
      </c>
      <c r="W129" s="109"/>
    </row>
    <row r="130" spans="2:30" ht="30" customHeight="1" x14ac:dyDescent="0.3">
      <c r="E130" s="107" t="s">
        <v>122</v>
      </c>
      <c r="F130" s="124">
        <v>1332932</v>
      </c>
      <c r="G130" s="124">
        <v>1875067</v>
      </c>
      <c r="H130" s="124">
        <v>1699479</v>
      </c>
      <c r="I130" s="124">
        <v>2687292</v>
      </c>
      <c r="J130" s="124">
        <v>2687292.3723599999</v>
      </c>
      <c r="K130" s="124">
        <f>J130</f>
        <v>2687292.3723599999</v>
      </c>
      <c r="L130" s="92">
        <f>K130-SUM('DRE + DCF'!L35,'DRE + DCF'!L34)</f>
        <v>3352941.0281378436</v>
      </c>
      <c r="M130" s="92">
        <f>L130</f>
        <v>3352941.0281378436</v>
      </c>
      <c r="N130" s="92">
        <f>M130-SUM('DRE + DCF'!N35,'DRE + DCF'!N34)</f>
        <v>4412516.903271717</v>
      </c>
      <c r="O130" s="92">
        <f>N130-SUM('DRE + DCF'!O35,'DRE + DCF'!O34)</f>
        <v>5405503.5629739892</v>
      </c>
      <c r="P130" s="92">
        <f>O130-SUM('DRE + DCF'!P35,'DRE + DCF'!P34)</f>
        <v>6458537.4659056636</v>
      </c>
      <c r="Q130" s="92">
        <f>P130-SUM('DRE + DCF'!Q35,'DRE + DCF'!Q34)</f>
        <v>7559178.3050030023</v>
      </c>
      <c r="R130" s="92">
        <f>Q130-SUM('DRE + DCF'!R35,'DRE + DCF'!R34)</f>
        <v>8711219.5837465245</v>
      </c>
      <c r="S130" s="92">
        <f>R130-SUM('DRE + DCF'!S35,'DRE + DCF'!S34)</f>
        <v>9915682.051400885</v>
      </c>
      <c r="T130" s="92">
        <f>S130-SUM('DRE + DCF'!T35,'DRE + DCF'!T34)</f>
        <v>11188725.790228888</v>
      </c>
      <c r="U130" s="92">
        <f>T130-SUM('DRE + DCF'!U35,'DRE + DCF'!U34)</f>
        <v>12526218.761932543</v>
      </c>
      <c r="V130" s="92">
        <f>U130-SUM('DRE + DCF'!V35,'DRE + DCF'!V34)</f>
        <v>13932229.970151689</v>
      </c>
      <c r="W130" s="109" t="s">
        <v>373</v>
      </c>
    </row>
    <row r="131" spans="2:30" ht="30" customHeight="1" x14ac:dyDescent="0.3">
      <c r="E131" s="107" t="s">
        <v>123</v>
      </c>
      <c r="F131" s="124">
        <v>-541640</v>
      </c>
      <c r="G131" s="124">
        <v>-555619</v>
      </c>
      <c r="H131" s="124">
        <v>-515270</v>
      </c>
      <c r="I131" s="124">
        <v>-461138</v>
      </c>
      <c r="J131" s="124">
        <v>-437421.59185999993</v>
      </c>
      <c r="K131" s="124">
        <f>J131</f>
        <v>-437421.59185999993</v>
      </c>
      <c r="L131" s="92">
        <f>K131</f>
        <v>-437421.59185999993</v>
      </c>
      <c r="M131" s="92">
        <f>L131</f>
        <v>-437421.59185999993</v>
      </c>
      <c r="N131" s="92">
        <f t="shared" si="177"/>
        <v>-437421.59185999993</v>
      </c>
      <c r="O131" s="92">
        <f t="shared" si="177"/>
        <v>-437421.59185999993</v>
      </c>
      <c r="P131" s="92">
        <f t="shared" si="177"/>
        <v>-437421.59185999993</v>
      </c>
      <c r="Q131" s="92">
        <f t="shared" si="177"/>
        <v>-437421.59185999993</v>
      </c>
      <c r="R131" s="92">
        <f t="shared" si="177"/>
        <v>-437421.59185999993</v>
      </c>
      <c r="S131" s="92">
        <f t="shared" si="177"/>
        <v>-437421.59185999993</v>
      </c>
      <c r="T131" s="92">
        <f t="shared" si="177"/>
        <v>-437421.59185999993</v>
      </c>
      <c r="U131" s="92">
        <f t="shared" si="177"/>
        <v>-437421.59185999993</v>
      </c>
      <c r="V131" s="92">
        <f t="shared" si="177"/>
        <v>-437421.59185999993</v>
      </c>
      <c r="W131" s="370"/>
    </row>
    <row r="132" spans="2:30" ht="30" customHeight="1" thickBot="1" x14ac:dyDescent="0.35">
      <c r="E132" s="278" t="s">
        <v>63</v>
      </c>
      <c r="F132" s="272">
        <v>0</v>
      </c>
      <c r="G132" s="272">
        <v>0</v>
      </c>
      <c r="H132" s="272">
        <v>0</v>
      </c>
      <c r="I132" s="272">
        <v>0</v>
      </c>
      <c r="J132" s="272">
        <v>163.93001999999998</v>
      </c>
      <c r="K132" s="272">
        <f>J132</f>
        <v>163.93001999999998</v>
      </c>
      <c r="L132" s="273">
        <f>K132</f>
        <v>163.93001999999998</v>
      </c>
      <c r="M132" s="273">
        <f>L132</f>
        <v>163.93001999999998</v>
      </c>
      <c r="N132" s="273">
        <v>0</v>
      </c>
      <c r="O132" s="273">
        <v>0</v>
      </c>
      <c r="P132" s="273">
        <v>0</v>
      </c>
      <c r="Q132" s="273">
        <v>0</v>
      </c>
      <c r="R132" s="273">
        <v>0</v>
      </c>
      <c r="S132" s="273">
        <v>0</v>
      </c>
      <c r="T132" s="273">
        <v>0</v>
      </c>
      <c r="U132" s="273">
        <v>0</v>
      </c>
      <c r="V132" s="273">
        <v>0</v>
      </c>
      <c r="W132" s="122"/>
    </row>
    <row r="133" spans="2:30" ht="30" customHeight="1" x14ac:dyDescent="0.3"/>
    <row r="134" spans="2:30" ht="30" customHeight="1" x14ac:dyDescent="0.3">
      <c r="F134" s="84"/>
      <c r="G134" s="84"/>
      <c r="H134" s="84"/>
      <c r="I134" s="84"/>
      <c r="J134" s="84"/>
      <c r="K134" s="84"/>
      <c r="L134" s="84"/>
      <c r="M134" s="84"/>
      <c r="N134" s="84"/>
      <c r="O134" s="84"/>
      <c r="P134" s="84"/>
      <c r="Q134" s="84"/>
      <c r="R134" s="84"/>
      <c r="S134" s="84"/>
      <c r="T134" s="84"/>
      <c r="U134" s="84"/>
      <c r="V134" s="84"/>
    </row>
    <row r="135" spans="2:30" ht="30" customHeight="1" x14ac:dyDescent="0.3"/>
    <row r="136" spans="2:30" ht="30" hidden="1" customHeight="1" x14ac:dyDescent="0.3"/>
    <row r="137" spans="2:30" ht="30" hidden="1" customHeight="1" x14ac:dyDescent="0.3"/>
    <row r="138" spans="2:30" s="1" customFormat="1" ht="30" hidden="1" customHeight="1" x14ac:dyDescent="0.3">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2:30" s="1" customFormat="1" ht="30" hidden="1" customHeight="1" x14ac:dyDescent="0.3">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2:30" s="1" customFormat="1" ht="30" hidden="1" customHeight="1" x14ac:dyDescent="0.3">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2:30" s="1" customFormat="1" ht="30" hidden="1" customHeight="1" x14ac:dyDescent="0.3">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2:30" s="1" customFormat="1" ht="30" hidden="1" customHeight="1" x14ac:dyDescent="0.3">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2:30" s="1" customFormat="1" ht="30" hidden="1" customHeight="1" x14ac:dyDescent="0.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2:30" s="1" customFormat="1" ht="30" hidden="1" customHeight="1" x14ac:dyDescent="0.3">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2:30" s="1" customFormat="1" ht="30" hidden="1" customHeight="1" x14ac:dyDescent="0.3">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2:30" s="1" customFormat="1" ht="30" hidden="1" customHeight="1" x14ac:dyDescent="0.3">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2:30" s="1" customFormat="1" ht="30" hidden="1" customHeight="1" x14ac:dyDescent="0.3">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2:30" s="1" customFormat="1" ht="30" hidden="1" customHeight="1" x14ac:dyDescent="0.3">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2:30" s="1" customFormat="1" ht="30" hidden="1" customHeight="1" x14ac:dyDescent="0.3">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2:30" s="1" customFormat="1" ht="30" hidden="1" customHeight="1" x14ac:dyDescent="0.3">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2:30" s="1" customFormat="1" ht="30" hidden="1" customHeight="1" x14ac:dyDescent="0.3">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2:30" s="1" customFormat="1" ht="30" hidden="1" customHeight="1" x14ac:dyDescent="0.3">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2:30" s="1" customFormat="1" ht="30" hidden="1" customHeight="1" x14ac:dyDescent="0.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2:30" s="1" customFormat="1" ht="30" hidden="1" customHeight="1" x14ac:dyDescent="0.3">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2:30" s="1" customFormat="1" ht="30" hidden="1" customHeight="1" x14ac:dyDescent="0.3">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2:30" s="1" customFormat="1" ht="30" hidden="1" customHeight="1" x14ac:dyDescent="0.3">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2:30" s="1" customFormat="1" ht="30" hidden="1" customHeight="1" x14ac:dyDescent="0.3">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2:30" s="1" customFormat="1" ht="30" hidden="1" customHeight="1" x14ac:dyDescent="0.3">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2:30" s="1" customFormat="1" ht="30" hidden="1" customHeight="1" x14ac:dyDescent="0.3">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2:30" s="1" customFormat="1" ht="30" hidden="1" customHeight="1" x14ac:dyDescent="0.3">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2:30" s="1" customFormat="1" ht="30" hidden="1" customHeight="1" x14ac:dyDescent="0.3">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2:30" s="1" customFormat="1" ht="30" hidden="1" customHeight="1" x14ac:dyDescent="0.3">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2:30" s="1" customFormat="1" ht="30" hidden="1" customHeight="1" x14ac:dyDescent="0.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sheetData>
  <mergeCells count="1">
    <mergeCell ref="L4:O5"/>
  </mergeCells>
  <conditionalFormatting sqref="W51">
    <cfRule type="colorScale" priority="3">
      <colorScale>
        <cfvo type="min"/>
        <cfvo type="max"/>
        <color rgb="FFCEF6CE"/>
        <color rgb="FF59BF59"/>
      </colorScale>
    </cfRule>
  </conditionalFormatting>
  <conditionalFormatting sqref="W53">
    <cfRule type="colorScale" priority="1">
      <colorScale>
        <cfvo type="min"/>
        <cfvo type="max"/>
        <color rgb="FFCEF6CE"/>
        <color rgb="FF59BF59"/>
      </colorScale>
    </cfRule>
  </conditionalFormatting>
  <conditionalFormatting sqref="W55">
    <cfRule type="colorScale" priority="2">
      <colorScale>
        <cfvo type="min"/>
        <cfvo type="max"/>
        <color rgb="FFCEF6CE"/>
        <color rgb="FF59BF59"/>
      </colorScale>
    </cfRule>
  </conditionalFormatting>
  <conditionalFormatting sqref="W57">
    <cfRule type="colorScale" priority="4">
      <colorScale>
        <cfvo type="min"/>
        <cfvo type="max"/>
        <color rgb="FFCEF6CE"/>
        <color rgb="FF59BF59"/>
      </colorScale>
    </cfRule>
  </conditionalFormatting>
  <conditionalFormatting sqref="W63:W65 W67">
    <cfRule type="colorScale" priority="5">
      <colorScale>
        <cfvo type="min"/>
        <cfvo type="max"/>
        <color rgb="FFCEF6CE"/>
        <color rgb="FF59BF59"/>
      </colorScale>
    </cfRule>
  </conditionalFormatting>
  <conditionalFormatting sqref="W69">
    <cfRule type="colorScale" priority="6">
      <colorScale>
        <cfvo type="min"/>
        <cfvo type="max"/>
        <color rgb="FFCEF6CE"/>
        <color rgb="FF59BF59"/>
      </colorScale>
    </cfRule>
  </conditionalFormatting>
  <hyperlinks>
    <hyperlink ref="A13" location="'Projeções - NIM'!A1" display="Projeções - NIM" xr:uid="{C162B0B8-E4ED-435A-B909-C32B090D5C13}"/>
    <hyperlink ref="A12" location="'Balanço Patrimonial - Contábil'!A1" display="Balanço Patrimonial" xr:uid="{12EB963C-5C49-4643-9BE8-F7DD68E3DDB2}"/>
    <hyperlink ref="A11" location="'DRE - Cosif'!A1" display="DRE - Cosif" xr:uid="{B9A2AE03-BB67-4F1B-85B0-5B8F362C7F08}"/>
    <hyperlink ref="A10" location="'DRE + DCF'!A1" display="DRE + DCF" xr:uid="{32FC764F-764A-46BD-AA7B-5491BF3E6877}"/>
    <hyperlink ref="A9" location="Ke!A1" display="Ke" xr:uid="{85EE4869-4A80-4AAB-8B77-DE8793B66288}"/>
    <hyperlink ref="A8" location="Dashboard!A1" display="Dashboard" xr:uid="{D5F23CAA-ADEA-4471-B531-31FCADFB847B}"/>
    <hyperlink ref="A15" location="'Painel de Índices'!A1" display="Painel de Índices" xr:uid="{F131D34A-CB89-4050-851D-393146FEFBB1}"/>
    <hyperlink ref="A14" location="'Projeções Trimestrais'!A1" display="Projeções Trimestrais" xr:uid="{8B2F7C92-9C1E-45AE-982F-EE7B8479F2AF}"/>
  </hyperlink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710A-A4A2-4433-883E-71F81DC81E5B}">
  <dimension ref="A1:AB250"/>
  <sheetViews>
    <sheetView topLeftCell="A142" zoomScale="85" zoomScaleNormal="85" workbookViewId="0">
      <selection activeCell="J184" sqref="J184"/>
    </sheetView>
  </sheetViews>
  <sheetFormatPr defaultColWidth="0" defaultRowHeight="14.4" zeroHeight="1" x14ac:dyDescent="0.3"/>
  <cols>
    <col min="1" max="1" width="35.6640625" style="1" customWidth="1"/>
    <col min="2" max="4" width="8.88671875" style="2" customWidth="1"/>
    <col min="5" max="5" width="62.6640625" style="2" bestFit="1" customWidth="1"/>
    <col min="6" max="6" width="23.33203125" style="2" bestFit="1" customWidth="1"/>
    <col min="7" max="7" width="24.88671875" style="2" bestFit="1" customWidth="1"/>
    <col min="8" max="23" width="20.6640625" style="2" customWidth="1"/>
    <col min="24" max="24" width="144.6640625" style="2" bestFit="1" customWidth="1"/>
    <col min="25" max="27" width="8.88671875" style="2" customWidth="1"/>
    <col min="28" max="28" width="0" style="2" hidden="1" customWidth="1"/>
    <col min="29" max="16384" width="8.88671875" style="2" hidden="1"/>
  </cols>
  <sheetData>
    <row r="1" spans="1:27" ht="14.4" customHeight="1" x14ac:dyDescent="0.3"/>
    <row r="2" spans="1:27" ht="14.4" customHeight="1" x14ac:dyDescent="0.3"/>
    <row r="3" spans="1:27" ht="14.4" customHeight="1" x14ac:dyDescent="0.3"/>
    <row r="4" spans="1:27" ht="14.4" customHeight="1" x14ac:dyDescent="0.3">
      <c r="H4" s="36"/>
      <c r="I4" s="36"/>
      <c r="J4" s="36"/>
      <c r="K4" s="458" t="str">
        <f>Dashboard!J4</f>
        <v>Banco da Amazônia ($BAZA3)</v>
      </c>
      <c r="L4" s="458"/>
      <c r="M4" s="458"/>
      <c r="N4" s="36"/>
      <c r="O4" s="36"/>
    </row>
    <row r="5" spans="1:27" ht="14.4" customHeight="1" x14ac:dyDescent="0.3">
      <c r="G5" s="36"/>
      <c r="H5" s="36"/>
      <c r="I5" s="36"/>
      <c r="J5" s="36"/>
      <c r="K5" s="459"/>
      <c r="L5" s="459"/>
      <c r="M5" s="459"/>
      <c r="N5" s="36"/>
      <c r="O5" s="36"/>
    </row>
    <row r="6" spans="1:27" x14ac:dyDescent="0.3"/>
    <row r="7" spans="1:27" ht="30" customHeight="1" x14ac:dyDescent="0.3">
      <c r="A7" s="3" t="s">
        <v>0</v>
      </c>
    </row>
    <row r="8" spans="1:27" ht="30" customHeight="1" thickBot="1" x14ac:dyDescent="0.35">
      <c r="A8" s="4" t="s">
        <v>1</v>
      </c>
      <c r="E8"/>
      <c r="F8"/>
      <c r="G8"/>
      <c r="H8"/>
      <c r="I8"/>
      <c r="J8"/>
      <c r="K8"/>
      <c r="L8"/>
      <c r="M8"/>
      <c r="N8"/>
      <c r="O8"/>
      <c r="P8"/>
      <c r="Q8"/>
      <c r="R8"/>
      <c r="S8"/>
      <c r="T8"/>
      <c r="U8"/>
      <c r="V8"/>
    </row>
    <row r="9" spans="1:27" ht="30" customHeight="1" x14ac:dyDescent="0.3">
      <c r="A9" s="4" t="s">
        <v>2</v>
      </c>
      <c r="E9" s="86" t="s">
        <v>140</v>
      </c>
      <c r="F9" s="87">
        <v>2020</v>
      </c>
      <c r="G9" s="87">
        <v>2021</v>
      </c>
      <c r="H9" s="87">
        <v>2022</v>
      </c>
      <c r="I9" s="88">
        <v>2023</v>
      </c>
      <c r="J9" s="88" t="s">
        <v>410</v>
      </c>
      <c r="K9" s="88" t="s">
        <v>411</v>
      </c>
      <c r="L9" s="89" t="s">
        <v>412</v>
      </c>
      <c r="M9" s="89">
        <v>2024</v>
      </c>
      <c r="N9" s="89">
        <v>2025</v>
      </c>
      <c r="O9" s="89">
        <v>2026</v>
      </c>
      <c r="P9" s="89">
        <v>2027</v>
      </c>
      <c r="Q9" s="89">
        <v>2028</v>
      </c>
      <c r="R9" s="89">
        <v>2029</v>
      </c>
      <c r="S9" s="89">
        <v>2030</v>
      </c>
      <c r="T9" s="89">
        <v>2031</v>
      </c>
      <c r="U9" s="89">
        <v>2032</v>
      </c>
      <c r="V9" s="152">
        <v>2033</v>
      </c>
      <c r="W9" s="32"/>
      <c r="X9" s="32"/>
      <c r="Y9" s="32"/>
      <c r="Z9" s="32"/>
      <c r="AA9" s="32"/>
    </row>
    <row r="10" spans="1:27" ht="30" customHeight="1" x14ac:dyDescent="0.3">
      <c r="A10" s="4" t="s">
        <v>4</v>
      </c>
      <c r="E10" s="153" t="s">
        <v>173</v>
      </c>
      <c r="F10" s="138">
        <v>2.76E-2</v>
      </c>
      <c r="G10" s="138">
        <v>4.4200000000000003E-2</v>
      </c>
      <c r="H10" s="138">
        <v>0.12330000000000001</v>
      </c>
      <c r="I10" s="128">
        <v>0.130282309094927</v>
      </c>
      <c r="J10" s="128">
        <f>(1+11.3506217851116%)^(1/4)-1</f>
        <v>2.7242931680000471E-2</v>
      </c>
      <c r="K10" s="128">
        <f>J10</f>
        <v>2.7242931680000471E-2</v>
      </c>
      <c r="L10" s="140">
        <f>(1+Ke!F10)^(3/4)-1</f>
        <v>7.6515317375369873E-2</v>
      </c>
      <c r="M10" s="140">
        <f>(1+K10)*(1+L10)-1</f>
        <v>0.10584275061910109</v>
      </c>
      <c r="N10" s="140">
        <f>Ke!G10</f>
        <v>0.10535</v>
      </c>
      <c r="O10" s="140">
        <f>Ke!H10</f>
        <v>0.10869999999999999</v>
      </c>
      <c r="P10" s="140">
        <f>Ke!I10</f>
        <v>0.1116</v>
      </c>
      <c r="Q10" s="140">
        <f>Ke!J10</f>
        <v>0.11365</v>
      </c>
      <c r="R10" s="140">
        <f>Ke!K10</f>
        <v>0.115</v>
      </c>
      <c r="S10" s="140">
        <f>Ke!L10</f>
        <v>0.11584</v>
      </c>
      <c r="T10" s="140">
        <f>Ke!M10</f>
        <v>0.11630000000000001</v>
      </c>
      <c r="U10" s="140">
        <f>Ke!N10</f>
        <v>0.11651</v>
      </c>
      <c r="V10" s="141">
        <f>Ke!O10</f>
        <v>0.1166</v>
      </c>
      <c r="W10" s="32"/>
      <c r="X10" s="32"/>
      <c r="Y10" s="32"/>
      <c r="Z10" s="32"/>
      <c r="AA10" s="32"/>
    </row>
    <row r="11" spans="1:27" ht="30" customHeight="1" x14ac:dyDescent="0.3">
      <c r="A11" s="4" t="s">
        <v>413</v>
      </c>
      <c r="E11" s="153" t="s">
        <v>174</v>
      </c>
      <c r="F11" s="138">
        <v>4.5199999999999997E-2</v>
      </c>
      <c r="G11" s="138">
        <v>0.10059999999999999</v>
      </c>
      <c r="H11" s="138">
        <v>5.79E-2</v>
      </c>
      <c r="I11" s="128">
        <v>4.6211139305667892E-2</v>
      </c>
      <c r="J11" s="128">
        <f>(1+0.42%)*(1+0.83%)*(1+0.16%)-1</f>
        <v>1.4154915775999921E-2</v>
      </c>
      <c r="K11" s="128">
        <f>J11</f>
        <v>1.4154915775999921E-2</v>
      </c>
      <c r="L11" s="140">
        <f>(1+M11)/(1+K11)-1</f>
        <v>2.5997097498488442E-2</v>
      </c>
      <c r="M11" s="140">
        <f>Ke!F12</f>
        <v>4.052E-2</v>
      </c>
      <c r="N11" s="140">
        <f>Ke!G12</f>
        <v>3.8620000000000002E-2</v>
      </c>
      <c r="O11" s="140">
        <f>Ke!H12</f>
        <v>4.3700000000000003E-2</v>
      </c>
      <c r="P11" s="140">
        <f>Ke!I12</f>
        <v>4.6649999999999997E-2</v>
      </c>
      <c r="Q11" s="140">
        <f>Ke!J12</f>
        <v>4.879E-2</v>
      </c>
      <c r="R11" s="140">
        <f>Ke!K12</f>
        <v>5.0090000000000003E-2</v>
      </c>
      <c r="S11" s="140">
        <f>Ke!L12</f>
        <v>5.1679999999999997E-2</v>
      </c>
      <c r="T11" s="140">
        <f>Ke!M12</f>
        <v>5.2260000000000001E-2</v>
      </c>
      <c r="U11" s="140">
        <f>Ke!N12</f>
        <v>5.2330000000000002E-2</v>
      </c>
      <c r="V11" s="141">
        <f>Ke!O12</f>
        <v>5.2499999999999998E-2</v>
      </c>
      <c r="W11" s="32"/>
      <c r="X11" s="32"/>
      <c r="Y11" s="32"/>
      <c r="Z11" s="32"/>
      <c r="AA11" s="32"/>
    </row>
    <row r="12" spans="1:27" ht="30" customHeight="1" x14ac:dyDescent="0.3">
      <c r="A12" s="4" t="s">
        <v>8</v>
      </c>
      <c r="E12" s="153" t="s">
        <v>175</v>
      </c>
      <c r="F12" s="138">
        <f>F18/F38</f>
        <v>2.4999359620824578E-2</v>
      </c>
      <c r="G12" s="138">
        <f t="shared" ref="G12:H12" si="0">G18/G38</f>
        <v>2.85168257706119E-2</v>
      </c>
      <c r="H12" s="138">
        <f t="shared" si="0"/>
        <v>4.3138123659244562E-2</v>
      </c>
      <c r="I12" s="138">
        <f>I18/I38</f>
        <v>3.5552956438961489E-2</v>
      </c>
      <c r="J12" s="138">
        <f t="shared" ref="J12:V12" si="1">J18/J38</f>
        <v>8.1049670304677041E-3</v>
      </c>
      <c r="K12" s="138">
        <f t="shared" si="1"/>
        <v>8.1049670304677041E-3</v>
      </c>
      <c r="L12" s="140">
        <f t="shared" si="1"/>
        <v>2.6140843745883532E-2</v>
      </c>
      <c r="M12" s="140">
        <f t="shared" si="1"/>
        <v>3.2894787878495056E-2</v>
      </c>
      <c r="N12" s="140">
        <f t="shared" si="1"/>
        <v>3.5150533712718202E-2</v>
      </c>
      <c r="O12" s="140">
        <f t="shared" si="1"/>
        <v>3.5448425183352991E-2</v>
      </c>
      <c r="P12" s="140">
        <f t="shared" si="1"/>
        <v>3.5706301381812952E-2</v>
      </c>
      <c r="Q12" s="140">
        <f t="shared" si="1"/>
        <v>3.588859317727601E-2</v>
      </c>
      <c r="R12" s="140">
        <f t="shared" si="1"/>
        <v>3.6008638993800482E-2</v>
      </c>
      <c r="S12" s="140">
        <f t="shared" si="1"/>
        <v>3.6083334168526798E-2</v>
      </c>
      <c r="T12" s="140">
        <f t="shared" si="1"/>
        <v>3.6124238668972207E-2</v>
      </c>
      <c r="U12" s="140">
        <f t="shared" si="1"/>
        <v>3.6142912462653776E-2</v>
      </c>
      <c r="V12" s="141">
        <f t="shared" si="1"/>
        <v>3.6150915517088739E-2</v>
      </c>
      <c r="W12" s="32"/>
      <c r="X12" s="32"/>
      <c r="Y12" s="32"/>
      <c r="Z12" s="32"/>
      <c r="AA12" s="32"/>
    </row>
    <row r="13" spans="1:27" ht="30" customHeight="1" thickBot="1" x14ac:dyDescent="0.35">
      <c r="A13" s="5" t="s">
        <v>10</v>
      </c>
      <c r="E13" s="154" t="s">
        <v>176</v>
      </c>
      <c r="F13" s="145">
        <v>4.8443304398688269E-2</v>
      </c>
      <c r="G13" s="145">
        <v>4.8129774965703698E-2</v>
      </c>
      <c r="H13" s="145">
        <v>6.7714173149587387E-2</v>
      </c>
      <c r="I13" s="133">
        <v>7.0585228674403977E-2</v>
      </c>
      <c r="J13" s="133">
        <f>(1+6.54870868514916%)^(1/4)-1</f>
        <v>1.5984418877000195E-2</v>
      </c>
      <c r="K13" s="133">
        <f>J13</f>
        <v>1.5984418877000195E-2</v>
      </c>
      <c r="L13" s="155">
        <f>$F$226+$G$226*L10</f>
        <v>5.7626470755809955E-2</v>
      </c>
      <c r="M13" s="155">
        <f>(1+K13)*(1+L13)-1</f>
        <v>7.4532015279774155E-2</v>
      </c>
      <c r="N13" s="155">
        <f>$F$226+$G$226*N10</f>
        <v>6.4143173525981118E-2</v>
      </c>
      <c r="O13" s="155">
        <f t="shared" ref="O13:V13" si="2">$F$226+$G$226*O10</f>
        <v>6.4900281019213107E-2</v>
      </c>
      <c r="P13" s="155">
        <f t="shared" si="2"/>
        <v>6.5555687505891538E-2</v>
      </c>
      <c r="Q13" s="155">
        <f t="shared" si="2"/>
        <v>6.6018992091302145E-2</v>
      </c>
      <c r="R13" s="155">
        <f t="shared" si="2"/>
        <v>6.6324095110962794E-2</v>
      </c>
      <c r="S13" s="155">
        <f t="shared" si="2"/>
        <v>6.6513936989862757E-2</v>
      </c>
      <c r="T13" s="155">
        <f t="shared" si="2"/>
        <v>6.6617898018784164E-2</v>
      </c>
      <c r="U13" s="155">
        <f t="shared" si="2"/>
        <v>6.6665358488509158E-2</v>
      </c>
      <c r="V13" s="156">
        <f t="shared" si="2"/>
        <v>6.6685698689819856E-2</v>
      </c>
      <c r="W13" s="32"/>
      <c r="X13" s="32"/>
      <c r="Y13" s="32"/>
      <c r="Z13" s="32"/>
      <c r="AA13" s="32"/>
    </row>
    <row r="14" spans="1:27" ht="30" customHeight="1" x14ac:dyDescent="0.3">
      <c r="A14" s="4" t="s">
        <v>419</v>
      </c>
      <c r="E14" s="157"/>
      <c r="F14" s="158"/>
      <c r="G14" s="158"/>
      <c r="H14" s="158"/>
      <c r="I14" s="32"/>
      <c r="J14" s="32"/>
      <c r="K14" s="32"/>
      <c r="L14" s="32"/>
      <c r="M14" s="32"/>
      <c r="N14" s="32"/>
      <c r="O14" s="32"/>
      <c r="P14" s="32"/>
      <c r="Q14" s="32"/>
      <c r="R14" s="32"/>
      <c r="S14" s="32"/>
      <c r="T14" s="32"/>
      <c r="U14" s="32"/>
      <c r="V14" s="32"/>
      <c r="W14" s="32"/>
      <c r="X14" s="32"/>
      <c r="Y14" s="32"/>
      <c r="Z14" s="32"/>
      <c r="AA14" s="32"/>
    </row>
    <row r="15" spans="1:27" ht="30" customHeight="1" thickBot="1" x14ac:dyDescent="0.35">
      <c r="A15" s="4" t="s">
        <v>12</v>
      </c>
      <c r="E15" s="157"/>
      <c r="F15" s="158"/>
      <c r="G15" s="158"/>
      <c r="H15" s="158"/>
      <c r="I15" s="32"/>
      <c r="J15" s="32"/>
      <c r="K15" s="32"/>
      <c r="L15" s="32"/>
      <c r="M15" s="32"/>
      <c r="N15" s="32"/>
      <c r="O15" s="32"/>
      <c r="P15" s="32"/>
      <c r="Q15" s="32"/>
      <c r="R15" s="32"/>
      <c r="S15" s="32"/>
      <c r="T15" s="32"/>
      <c r="U15" s="32"/>
      <c r="V15" s="32"/>
      <c r="W15" s="32"/>
      <c r="X15" s="32"/>
      <c r="Y15" s="32"/>
      <c r="Z15" s="32"/>
      <c r="AA15" s="32"/>
    </row>
    <row r="16" spans="1:27" ht="30" customHeight="1" thickBot="1" x14ac:dyDescent="0.35">
      <c r="E16" s="159"/>
      <c r="F16" s="160"/>
      <c r="G16" s="160"/>
      <c r="H16" s="160"/>
      <c r="I16" s="161"/>
      <c r="J16" s="161"/>
      <c r="K16" s="161"/>
      <c r="L16" s="161"/>
      <c r="M16" s="161"/>
      <c r="N16" s="161"/>
      <c r="O16" s="161"/>
      <c r="P16" s="161"/>
      <c r="Q16" s="161"/>
      <c r="R16" s="161"/>
      <c r="S16" s="161"/>
      <c r="T16" s="161"/>
      <c r="U16" s="161"/>
      <c r="V16" s="161"/>
      <c r="W16" s="161"/>
      <c r="X16" s="162"/>
      <c r="Y16" s="32"/>
      <c r="Z16" s="32"/>
      <c r="AA16" s="32"/>
    </row>
    <row r="17" spans="1:27" ht="30" customHeight="1" x14ac:dyDescent="0.3">
      <c r="A17" s="20"/>
      <c r="E17" s="98" t="s">
        <v>140</v>
      </c>
      <c r="F17" s="163">
        <v>2020</v>
      </c>
      <c r="G17" s="163">
        <v>2021</v>
      </c>
      <c r="H17" s="163">
        <v>2022</v>
      </c>
      <c r="I17" s="74">
        <v>2023</v>
      </c>
      <c r="J17" s="74" t="str">
        <f>J$9</f>
        <v>1T24</v>
      </c>
      <c r="K17" s="74" t="str">
        <f t="shared" ref="K17:L17" si="3">K$9</f>
        <v>YTD24</v>
      </c>
      <c r="L17" s="75" t="str">
        <f t="shared" si="3"/>
        <v>YTG24</v>
      </c>
      <c r="M17" s="75">
        <v>2024</v>
      </c>
      <c r="N17" s="75">
        <v>2025</v>
      </c>
      <c r="O17" s="75">
        <v>2026</v>
      </c>
      <c r="P17" s="75">
        <v>2027</v>
      </c>
      <c r="Q17" s="75">
        <v>2028</v>
      </c>
      <c r="R17" s="75">
        <v>2029</v>
      </c>
      <c r="S17" s="75">
        <v>2030</v>
      </c>
      <c r="T17" s="75">
        <v>2031</v>
      </c>
      <c r="U17" s="75">
        <v>2032</v>
      </c>
      <c r="V17" s="75">
        <v>2033</v>
      </c>
      <c r="W17" s="88" t="s">
        <v>223</v>
      </c>
      <c r="X17" s="164" t="s">
        <v>125</v>
      </c>
      <c r="Y17" s="32"/>
      <c r="Z17" s="32"/>
      <c r="AA17" s="32"/>
    </row>
    <row r="18" spans="1:27" ht="30" customHeight="1" x14ac:dyDescent="0.3">
      <c r="A18" s="20"/>
      <c r="E18" s="98" t="s">
        <v>126</v>
      </c>
      <c r="F18" s="166">
        <f>SUM(F20,F22)</f>
        <v>479196</v>
      </c>
      <c r="G18" s="166">
        <f t="shared" ref="G18:H18" si="4">SUM(G20,G22)</f>
        <v>699559</v>
      </c>
      <c r="H18" s="166">
        <f t="shared" si="4"/>
        <v>1448757</v>
      </c>
      <c r="I18" s="166">
        <f>SUM(I20,I22)</f>
        <v>1579027</v>
      </c>
      <c r="J18" s="166">
        <f t="shared" ref="J18:K18" si="5">SUM(J20,J22)</f>
        <v>384800.96628999989</v>
      </c>
      <c r="K18" s="166">
        <f t="shared" si="5"/>
        <v>384800.96628999989</v>
      </c>
      <c r="L18" s="100">
        <f>SUM(L20,L22)</f>
        <v>1489355.2175656511</v>
      </c>
      <c r="M18" s="100">
        <f>SUM(M20,M22)</f>
        <v>1874156.1838556509</v>
      </c>
      <c r="N18" s="100">
        <f t="shared" ref="N18:V18" si="6">SUM(N20,N22)</f>
        <v>2239651.9786343728</v>
      </c>
      <c r="O18" s="100">
        <f t="shared" si="6"/>
        <v>2469854.3648685813</v>
      </c>
      <c r="P18" s="100">
        <f t="shared" si="6"/>
        <v>2706552.808283356</v>
      </c>
      <c r="Q18" s="100">
        <f t="shared" si="6"/>
        <v>2942521.8415424274</v>
      </c>
      <c r="R18" s="100">
        <f t="shared" si="6"/>
        <v>3178171.6019555228</v>
      </c>
      <c r="S18" s="100">
        <f t="shared" si="6"/>
        <v>3413832.323969977</v>
      </c>
      <c r="T18" s="100">
        <f t="shared" si="6"/>
        <v>3653318.393403328</v>
      </c>
      <c r="U18" s="100">
        <f t="shared" si="6"/>
        <v>3895693.974129416</v>
      </c>
      <c r="V18" s="100">
        <f t="shared" si="6"/>
        <v>4142297.4206927121</v>
      </c>
      <c r="W18" s="128">
        <f>(I18/F18)^(1/3)-1</f>
        <v>0.48807718197537442</v>
      </c>
      <c r="X18" s="109"/>
      <c r="Y18" s="32"/>
      <c r="Z18" s="32"/>
      <c r="AA18" s="32"/>
    </row>
    <row r="19" spans="1:27" ht="30" customHeight="1" x14ac:dyDescent="0.3">
      <c r="A19" s="20"/>
      <c r="E19" s="115" t="s">
        <v>177</v>
      </c>
      <c r="F19" s="138">
        <f>F18/F38</f>
        <v>2.4999359620824578E-2</v>
      </c>
      <c r="G19" s="138">
        <f>G18/G38</f>
        <v>2.85168257706119E-2</v>
      </c>
      <c r="H19" s="138">
        <f>H18/H38</f>
        <v>4.3138123659244562E-2</v>
      </c>
      <c r="I19" s="138">
        <f>I18/I38</f>
        <v>3.5552956438961489E-2</v>
      </c>
      <c r="J19" s="138">
        <f t="shared" ref="J19:K19" si="7">J18/J38</f>
        <v>8.1049670304677041E-3</v>
      </c>
      <c r="K19" s="138">
        <f t="shared" si="7"/>
        <v>8.1049670304677041E-3</v>
      </c>
      <c r="L19" s="140">
        <f>L18/L38</f>
        <v>2.6140843745883532E-2</v>
      </c>
      <c r="M19" s="140">
        <f>M18/M38</f>
        <v>3.2894787878495056E-2</v>
      </c>
      <c r="N19" s="140">
        <f>N18/N38</f>
        <v>3.5150533712718202E-2</v>
      </c>
      <c r="O19" s="140">
        <f t="shared" ref="O19:V19" si="8">O18/O38</f>
        <v>3.5448425183352991E-2</v>
      </c>
      <c r="P19" s="140">
        <f t="shared" si="8"/>
        <v>3.5706301381812952E-2</v>
      </c>
      <c r="Q19" s="140">
        <f t="shared" si="8"/>
        <v>3.588859317727601E-2</v>
      </c>
      <c r="R19" s="140">
        <f t="shared" si="8"/>
        <v>3.6008638993800482E-2</v>
      </c>
      <c r="S19" s="140">
        <f t="shared" si="8"/>
        <v>3.6083334168526798E-2</v>
      </c>
      <c r="T19" s="140">
        <f t="shared" si="8"/>
        <v>3.6124238668972207E-2</v>
      </c>
      <c r="U19" s="140">
        <f t="shared" si="8"/>
        <v>3.6142912462653776E-2</v>
      </c>
      <c r="V19" s="140">
        <f t="shared" si="8"/>
        <v>3.6150915517088739E-2</v>
      </c>
      <c r="W19" s="128"/>
      <c r="X19" s="111"/>
      <c r="Y19" s="32"/>
      <c r="Z19" s="32"/>
      <c r="AA19" s="32"/>
    </row>
    <row r="20" spans="1:27" ht="30" customHeight="1" x14ac:dyDescent="0.3">
      <c r="E20" s="107" t="s">
        <v>178</v>
      </c>
      <c r="F20" s="124">
        <f>F113</f>
        <v>950361</v>
      </c>
      <c r="G20" s="124">
        <f t="shared" ref="G20:H20" si="9">G113</f>
        <v>1411897</v>
      </c>
      <c r="H20" s="124">
        <f t="shared" si="9"/>
        <v>3201712</v>
      </c>
      <c r="I20" s="124">
        <f>I113</f>
        <v>4124175</v>
      </c>
      <c r="J20" s="124">
        <f t="shared" ref="J20" si="10">J113</f>
        <v>1122726.9662899999</v>
      </c>
      <c r="K20" s="124">
        <f>K113</f>
        <v>1122726.9662899999</v>
      </c>
      <c r="L20" s="92">
        <f>L113</f>
        <v>3663504.2109193197</v>
      </c>
      <c r="M20" s="92">
        <f>M113</f>
        <v>4786231.1772093195</v>
      </c>
      <c r="N20" s="92">
        <f>N113</f>
        <v>5542288.8034478538</v>
      </c>
      <c r="O20" s="92">
        <f t="shared" ref="O20:V20" si="11">O113</f>
        <v>6148183.6577435248</v>
      </c>
      <c r="P20" s="92">
        <f t="shared" si="11"/>
        <v>6771229.9594165757</v>
      </c>
      <c r="Q20" s="92">
        <f t="shared" si="11"/>
        <v>7387259.5748698944</v>
      </c>
      <c r="R20" s="92">
        <f t="shared" si="11"/>
        <v>7996978.2437269958</v>
      </c>
      <c r="S20" s="92">
        <f t="shared" si="11"/>
        <v>8601994.5828405283</v>
      </c>
      <c r="T20" s="92">
        <f t="shared" si="11"/>
        <v>9212473.500616055</v>
      </c>
      <c r="U20" s="92">
        <f t="shared" si="11"/>
        <v>9827084.2428650819</v>
      </c>
      <c r="V20" s="92">
        <f t="shared" si="11"/>
        <v>10450710.674596457</v>
      </c>
      <c r="W20" s="128">
        <f>(I20/F20)^(1/3)-1</f>
        <v>0.63110840825501668</v>
      </c>
      <c r="X20" s="109" t="s">
        <v>364</v>
      </c>
      <c r="Y20" s="32"/>
      <c r="Z20" s="32"/>
      <c r="AA20" s="32"/>
    </row>
    <row r="21" spans="1:27" ht="30" customHeight="1" x14ac:dyDescent="0.3">
      <c r="E21" s="110" t="s">
        <v>179</v>
      </c>
      <c r="F21" s="104">
        <f>F20/F38</f>
        <v>4.9579746927366809E-2</v>
      </c>
      <c r="G21" s="104">
        <f>G20/G38</f>
        <v>5.7554574746446874E-2</v>
      </c>
      <c r="H21" s="104">
        <f>H20/H38</f>
        <v>9.5334033366042223E-2</v>
      </c>
      <c r="I21" s="104">
        <f>I20/I38</f>
        <v>9.2858839096262455E-2</v>
      </c>
      <c r="J21" s="104">
        <f t="shared" ref="J21:L21" si="12">J20/J38</f>
        <v>2.3647718803127014E-2</v>
      </c>
      <c r="K21" s="104">
        <f t="shared" si="12"/>
        <v>2.3647718803127014E-2</v>
      </c>
      <c r="L21" s="105">
        <f t="shared" si="12"/>
        <v>6.4301041155621325E-2</v>
      </c>
      <c r="M21" s="105">
        <f t="shared" ref="M21:V21" si="13">M20/M38</f>
        <v>8.4006904370071731E-2</v>
      </c>
      <c r="N21" s="105">
        <f t="shared" si="13"/>
        <v>8.6984232947657544E-2</v>
      </c>
      <c r="O21" s="105">
        <f t="shared" si="13"/>
        <v>8.8241408685905021E-2</v>
      </c>
      <c r="P21" s="105">
        <f t="shared" si="13"/>
        <v>8.9329710071253579E-2</v>
      </c>
      <c r="Q21" s="105">
        <f t="shared" si="13"/>
        <v>9.0099026567793075E-2</v>
      </c>
      <c r="R21" s="105">
        <f t="shared" si="13"/>
        <v>9.0605649626489815E-2</v>
      </c>
      <c r="S21" s="105">
        <f t="shared" si="13"/>
        <v>9.0920881751901106E-2</v>
      </c>
      <c r="T21" s="105">
        <f t="shared" si="13"/>
        <v>9.1093508868197823E-2</v>
      </c>
      <c r="U21" s="105">
        <f t="shared" si="13"/>
        <v>9.1172316899550632E-2</v>
      </c>
      <c r="V21" s="105">
        <f t="shared" si="13"/>
        <v>9.1206091770130407E-2</v>
      </c>
      <c r="W21" s="113"/>
      <c r="X21" s="165"/>
      <c r="Y21" s="32"/>
      <c r="Z21" s="32"/>
      <c r="AA21" s="32"/>
    </row>
    <row r="22" spans="1:27" ht="30" customHeight="1" x14ac:dyDescent="0.3">
      <c r="E22" s="107" t="s">
        <v>180</v>
      </c>
      <c r="F22" s="124">
        <f>F130</f>
        <v>-471165</v>
      </c>
      <c r="G22" s="124">
        <f t="shared" ref="G22:L22" si="14">G130</f>
        <v>-712338</v>
      </c>
      <c r="H22" s="124">
        <f t="shared" si="14"/>
        <v>-1752955</v>
      </c>
      <c r="I22" s="124">
        <f t="shared" si="14"/>
        <v>-2545148</v>
      </c>
      <c r="J22" s="124">
        <f>J130</f>
        <v>-737926</v>
      </c>
      <c r="K22" s="124">
        <f t="shared" si="14"/>
        <v>-737926</v>
      </c>
      <c r="L22" s="92">
        <f t="shared" si="14"/>
        <v>-2174148.9933536686</v>
      </c>
      <c r="M22" s="92">
        <f t="shared" ref="M22:V22" si="15">M130</f>
        <v>-2912074.9933536686</v>
      </c>
      <c r="N22" s="92">
        <f t="shared" si="15"/>
        <v>-3302636.824813481</v>
      </c>
      <c r="O22" s="92">
        <f t="shared" si="15"/>
        <v>-3678329.2928749435</v>
      </c>
      <c r="P22" s="92">
        <f t="shared" si="15"/>
        <v>-4064677.1511332197</v>
      </c>
      <c r="Q22" s="92">
        <f t="shared" si="15"/>
        <v>-4444737.733327467</v>
      </c>
      <c r="R22" s="92">
        <f t="shared" si="15"/>
        <v>-4818806.641771473</v>
      </c>
      <c r="S22" s="92">
        <f t="shared" si="15"/>
        <v>-5188162.2588705514</v>
      </c>
      <c r="T22" s="92">
        <f t="shared" si="15"/>
        <v>-5559155.107212727</v>
      </c>
      <c r="U22" s="92">
        <f t="shared" si="15"/>
        <v>-5931390.2687356658</v>
      </c>
      <c r="V22" s="92">
        <f t="shared" si="15"/>
        <v>-6308413.2539037447</v>
      </c>
      <c r="W22" s="128">
        <f>(I22/F22)^(1/3)-1</f>
        <v>0.75460760167968233</v>
      </c>
      <c r="X22" s="109" t="s">
        <v>364</v>
      </c>
      <c r="Y22" s="32"/>
      <c r="Z22" s="32"/>
      <c r="AA22" s="32"/>
    </row>
    <row r="23" spans="1:27" ht="30" customHeight="1" x14ac:dyDescent="0.3">
      <c r="E23" s="110" t="s">
        <v>181</v>
      </c>
      <c r="F23" s="104">
        <f>F22/F64</f>
        <v>-3.2555350971647655E-2</v>
      </c>
      <c r="G23" s="104">
        <f>G22/G64</f>
        <v>-3.6971191724043437E-2</v>
      </c>
      <c r="H23" s="104">
        <f>H22/H64</f>
        <v>-6.8324549395240103E-2</v>
      </c>
      <c r="I23" s="104">
        <f>I22/I64</f>
        <v>-7.1712838032406565E-2</v>
      </c>
      <c r="J23" s="104">
        <f t="shared" ref="J23:L23" si="16">J22/J64</f>
        <v>-1.9160875018386592E-2</v>
      </c>
      <c r="K23" s="104">
        <f t="shared" si="16"/>
        <v>-1.9160875018386592E-2</v>
      </c>
      <c r="L23" s="105">
        <f t="shared" si="16"/>
        <v>-4.7053958213912332E-2</v>
      </c>
      <c r="M23" s="105">
        <f t="shared" ref="M23:V23" si="17">M22/M64</f>
        <v>-6.3024500837764244E-2</v>
      </c>
      <c r="N23" s="105">
        <f t="shared" si="17"/>
        <v>-6.3914258400847565E-2</v>
      </c>
      <c r="O23" s="105">
        <f t="shared" si="17"/>
        <v>-6.5097117109853955E-2</v>
      </c>
      <c r="P23" s="105">
        <f t="shared" si="17"/>
        <v>-6.6121084350486331E-2</v>
      </c>
      <c r="Q23" s="105">
        <f t="shared" si="17"/>
        <v>-6.6844923261967865E-2</v>
      </c>
      <c r="R23" s="105">
        <f t="shared" si="17"/>
        <v>-6.7321597667089839E-2</v>
      </c>
      <c r="S23" s="105">
        <f t="shared" si="17"/>
        <v>-6.7618195074721291E-2</v>
      </c>
      <c r="T23" s="105">
        <f t="shared" si="17"/>
        <v>-6.7780617464614709E-2</v>
      </c>
      <c r="U23" s="105">
        <f t="shared" si="17"/>
        <v>-6.7854766816522569E-2</v>
      </c>
      <c r="V23" s="105">
        <f t="shared" si="17"/>
        <v>-6.7886545110197372E-2</v>
      </c>
      <c r="W23" s="113"/>
      <c r="X23" s="165"/>
      <c r="Y23" s="32"/>
      <c r="Z23" s="32"/>
      <c r="AA23" s="32"/>
    </row>
    <row r="24" spans="1:27" ht="30" customHeight="1" x14ac:dyDescent="0.3">
      <c r="E24" s="98" t="s">
        <v>218</v>
      </c>
      <c r="F24" s="166">
        <f>SUM(F26:F29)</f>
        <v>-118653</v>
      </c>
      <c r="G24" s="166">
        <f t="shared" ref="G24:K24" si="18">SUM(G26:G29)</f>
        <v>-181931</v>
      </c>
      <c r="H24" s="166">
        <f t="shared" si="18"/>
        <v>-387548</v>
      </c>
      <c r="I24" s="166">
        <f t="shared" si="18"/>
        <v>-510867</v>
      </c>
      <c r="J24" s="166">
        <f t="shared" si="18"/>
        <v>-294126.41435000004</v>
      </c>
      <c r="K24" s="166">
        <f t="shared" si="18"/>
        <v>-294126.41435000004</v>
      </c>
      <c r="L24" s="100">
        <f>L25*L104</f>
        <v>-401451.02450995496</v>
      </c>
      <c r="M24" s="100">
        <f>K24+L24</f>
        <v>-695577.43885995494</v>
      </c>
      <c r="N24" s="100">
        <f>N25*N104</f>
        <v>-613252.33478605235</v>
      </c>
      <c r="O24" s="100">
        <f t="shared" ref="O24:V24" si="19">O25*O104</f>
        <v>-687121.72679484426</v>
      </c>
      <c r="P24" s="100">
        <f t="shared" si="19"/>
        <v>-764165.89431583008</v>
      </c>
      <c r="Q24" s="100">
        <f t="shared" si="19"/>
        <v>-841568.35880887439</v>
      </c>
      <c r="R24" s="100">
        <f t="shared" si="19"/>
        <v>-919380.31030063634</v>
      </c>
      <c r="S24" s="100">
        <f t="shared" si="19"/>
        <v>-997781.65357774566</v>
      </c>
      <c r="T24" s="100">
        <f t="shared" si="19"/>
        <v>-1077955.9513211248</v>
      </c>
      <c r="U24" s="100">
        <f t="shared" si="19"/>
        <v>-1159780.7275845676</v>
      </c>
      <c r="V24" s="100">
        <f t="shared" si="19"/>
        <v>-1243878.0099492241</v>
      </c>
      <c r="W24" s="128">
        <f>(I24/F24)^(1/3)-1</f>
        <v>0.62683325765708542</v>
      </c>
      <c r="X24" s="109"/>
      <c r="Y24" s="32"/>
      <c r="Z24" s="32"/>
      <c r="AA24" s="32"/>
    </row>
    <row r="25" spans="1:27" ht="30" customHeight="1" x14ac:dyDescent="0.3">
      <c r="E25" s="115" t="s">
        <v>241</v>
      </c>
      <c r="F25" s="104">
        <f>F24/F104</f>
        <v>-8.1829655172413786E-3</v>
      </c>
      <c r="G25" s="104">
        <f t="shared" ref="G25:H25" si="20">G24/G104</f>
        <v>-7.4257551020408159E-3</v>
      </c>
      <c r="H25" s="104">
        <f t="shared" si="20"/>
        <v>-1.1887975460122699E-2</v>
      </c>
      <c r="I25" s="104">
        <f>I24/I104</f>
        <v>-1.3623120000000001E-2</v>
      </c>
      <c r="J25" s="104">
        <f t="shared" ref="J25:M25" si="21">J24/J104</f>
        <v>-7.8433710493333343E-3</v>
      </c>
      <c r="K25" s="104">
        <f t="shared" si="21"/>
        <v>-7.8433710493333343E-3</v>
      </c>
      <c r="L25" s="105">
        <f>((1+$F$225)^(3/4)-1)+$G$225*L10</f>
        <v>-8.5412766391191018E-3</v>
      </c>
      <c r="M25" s="105">
        <f t="shared" si="21"/>
        <v>-1.4799113631569532E-2</v>
      </c>
      <c r="N25" s="105">
        <f>$F$225+$G$225*N10</f>
        <v>-1.1561746362556302E-2</v>
      </c>
      <c r="O25" s="105">
        <f>$F$225+$G$225*O10</f>
        <v>-1.1740630245623527E-2</v>
      </c>
      <c r="P25" s="105">
        <f t="shared" ref="P25:V25" si="22">$F$225+$G$225*P10</f>
        <v>-1.1895484950368292E-2</v>
      </c>
      <c r="Q25" s="105">
        <f t="shared" si="22"/>
        <v>-1.2004951207170622E-2</v>
      </c>
      <c r="R25" s="105">
        <f>$F$225+$G$225*R10</f>
        <v>-1.2077038742138013E-2</v>
      </c>
      <c r="S25" s="105">
        <f t="shared" si="22"/>
        <v>-1.2121893208339944E-2</v>
      </c>
      <c r="T25" s="105">
        <f t="shared" si="22"/>
        <v>-1.2146456368402905E-2</v>
      </c>
      <c r="U25" s="105">
        <f t="shared" si="22"/>
        <v>-1.2157669984953389E-2</v>
      </c>
      <c r="V25" s="105">
        <f t="shared" si="22"/>
        <v>-1.2162475820617882E-2</v>
      </c>
      <c r="W25" s="128"/>
      <c r="X25" s="112" t="s">
        <v>365</v>
      </c>
      <c r="Y25" s="32"/>
      <c r="Z25" s="32"/>
      <c r="AA25" s="32"/>
    </row>
    <row r="26" spans="1:27" ht="30" customHeight="1" x14ac:dyDescent="0.3">
      <c r="A26" s="20"/>
      <c r="E26" s="107" t="s">
        <v>83</v>
      </c>
      <c r="F26" s="124">
        <v>-109860</v>
      </c>
      <c r="G26" s="124">
        <v>-181214</v>
      </c>
      <c r="H26" s="124">
        <v>-371688</v>
      </c>
      <c r="I26" s="124">
        <v>-513268</v>
      </c>
      <c r="J26" s="124">
        <v>-293965.43086000002</v>
      </c>
      <c r="K26" s="124">
        <f>J26</f>
        <v>-293965.43086000002</v>
      </c>
      <c r="L26" s="92" t="s">
        <v>21</v>
      </c>
      <c r="M26" s="92" t="s">
        <v>21</v>
      </c>
      <c r="N26" s="92"/>
      <c r="O26" s="92"/>
      <c r="P26" s="92"/>
      <c r="Q26" s="92"/>
      <c r="R26" s="92"/>
      <c r="S26" s="92"/>
      <c r="T26" s="92"/>
      <c r="U26" s="92"/>
      <c r="V26" s="92"/>
      <c r="W26" s="128"/>
      <c r="X26" s="109"/>
      <c r="Y26" s="32"/>
      <c r="Z26" s="32"/>
      <c r="AA26" s="32"/>
    </row>
    <row r="27" spans="1:27" ht="30" customHeight="1" x14ac:dyDescent="0.3">
      <c r="A27" s="20"/>
      <c r="E27" s="107" t="s">
        <v>219</v>
      </c>
      <c r="F27" s="124">
        <v>-156</v>
      </c>
      <c r="G27" s="124">
        <v>63</v>
      </c>
      <c r="H27" s="124">
        <v>-3462</v>
      </c>
      <c r="I27" s="124">
        <v>3523</v>
      </c>
      <c r="J27" s="124">
        <v>-0.15123</v>
      </c>
      <c r="K27" s="124">
        <f t="shared" ref="K27:K29" si="23">J27</f>
        <v>-0.15123</v>
      </c>
      <c r="L27" s="92" t="s">
        <v>21</v>
      </c>
      <c r="M27" s="92" t="s">
        <v>21</v>
      </c>
      <c r="N27" s="92" t="s">
        <v>21</v>
      </c>
      <c r="O27" s="92" t="s">
        <v>21</v>
      </c>
      <c r="P27" s="92" t="s">
        <v>21</v>
      </c>
      <c r="Q27" s="92" t="s">
        <v>21</v>
      </c>
      <c r="R27" s="92" t="s">
        <v>21</v>
      </c>
      <c r="S27" s="92" t="s">
        <v>21</v>
      </c>
      <c r="T27" s="92" t="s">
        <v>21</v>
      </c>
      <c r="U27" s="92" t="s">
        <v>21</v>
      </c>
      <c r="V27" s="92" t="s">
        <v>21</v>
      </c>
      <c r="W27" s="128"/>
      <c r="X27" s="109"/>
      <c r="Y27" s="32"/>
      <c r="Z27" s="32"/>
      <c r="AA27" s="32"/>
    </row>
    <row r="28" spans="1:27" ht="30" customHeight="1" x14ac:dyDescent="0.3">
      <c r="A28" s="20"/>
      <c r="E28" s="107" t="s">
        <v>84</v>
      </c>
      <c r="F28" s="124">
        <v>-55</v>
      </c>
      <c r="G28" s="124">
        <v>62</v>
      </c>
      <c r="H28" s="124">
        <v>0</v>
      </c>
      <c r="I28" s="124">
        <v>0</v>
      </c>
      <c r="J28" s="124">
        <v>0</v>
      </c>
      <c r="K28" s="124">
        <f t="shared" si="23"/>
        <v>0</v>
      </c>
      <c r="L28" s="92" t="s">
        <v>21</v>
      </c>
      <c r="M28" s="92" t="s">
        <v>21</v>
      </c>
      <c r="N28" s="92" t="s">
        <v>21</v>
      </c>
      <c r="O28" s="92" t="s">
        <v>21</v>
      </c>
      <c r="P28" s="92" t="s">
        <v>21</v>
      </c>
      <c r="Q28" s="92" t="s">
        <v>21</v>
      </c>
      <c r="R28" s="92" t="s">
        <v>21</v>
      </c>
      <c r="S28" s="92" t="s">
        <v>21</v>
      </c>
      <c r="T28" s="92" t="s">
        <v>21</v>
      </c>
      <c r="U28" s="92" t="s">
        <v>21</v>
      </c>
      <c r="V28" s="92" t="s">
        <v>21</v>
      </c>
      <c r="W28" s="128"/>
      <c r="X28" s="109"/>
      <c r="Y28" s="32"/>
      <c r="Z28" s="32"/>
      <c r="AA28" s="32"/>
    </row>
    <row r="29" spans="1:27" ht="30" customHeight="1" x14ac:dyDescent="0.3">
      <c r="A29" s="20"/>
      <c r="E29" s="107" t="s">
        <v>85</v>
      </c>
      <c r="F29" s="124">
        <v>-8582</v>
      </c>
      <c r="G29" s="124">
        <v>-842</v>
      </c>
      <c r="H29" s="124">
        <v>-12398</v>
      </c>
      <c r="I29" s="124">
        <v>-1122</v>
      </c>
      <c r="J29" s="124">
        <v>-160.83226000000002</v>
      </c>
      <c r="K29" s="124">
        <f t="shared" si="23"/>
        <v>-160.83226000000002</v>
      </c>
      <c r="L29" s="92" t="s">
        <v>21</v>
      </c>
      <c r="M29" s="92" t="s">
        <v>21</v>
      </c>
      <c r="N29" s="92" t="s">
        <v>21</v>
      </c>
      <c r="O29" s="92" t="s">
        <v>21</v>
      </c>
      <c r="P29" s="92" t="s">
        <v>21</v>
      </c>
      <c r="Q29" s="92" t="s">
        <v>21</v>
      </c>
      <c r="R29" s="92" t="s">
        <v>21</v>
      </c>
      <c r="S29" s="92" t="s">
        <v>21</v>
      </c>
      <c r="T29" s="92" t="s">
        <v>21</v>
      </c>
      <c r="U29" s="92" t="s">
        <v>21</v>
      </c>
      <c r="V29" s="92" t="s">
        <v>21</v>
      </c>
      <c r="W29" s="128"/>
      <c r="X29" s="109"/>
      <c r="Y29" s="32"/>
      <c r="Z29" s="32"/>
      <c r="AA29" s="32"/>
    </row>
    <row r="30" spans="1:27" ht="30" customHeight="1" x14ac:dyDescent="0.3">
      <c r="E30" s="98" t="s">
        <v>141</v>
      </c>
      <c r="F30" s="166">
        <f>SUM(F18,F24)</f>
        <v>360543</v>
      </c>
      <c r="G30" s="166">
        <f t="shared" ref="G30:V30" si="24">SUM(G18,G24)</f>
        <v>517628</v>
      </c>
      <c r="H30" s="166">
        <f t="shared" si="24"/>
        <v>1061209</v>
      </c>
      <c r="I30" s="166">
        <f t="shared" si="24"/>
        <v>1068160</v>
      </c>
      <c r="J30" s="166">
        <f t="shared" si="24"/>
        <v>90674.551939999859</v>
      </c>
      <c r="K30" s="166">
        <f t="shared" si="24"/>
        <v>90674.551939999859</v>
      </c>
      <c r="L30" s="100">
        <f>SUM(L18,L24)</f>
        <v>1087904.1930556961</v>
      </c>
      <c r="M30" s="100">
        <f t="shared" si="24"/>
        <v>1178578.744995696</v>
      </c>
      <c r="N30" s="100">
        <f t="shared" si="24"/>
        <v>1626399.6438483205</v>
      </c>
      <c r="O30" s="100">
        <f t="shared" si="24"/>
        <v>1782732.638073737</v>
      </c>
      <c r="P30" s="100">
        <f t="shared" si="24"/>
        <v>1942386.9139675261</v>
      </c>
      <c r="Q30" s="100">
        <f t="shared" si="24"/>
        <v>2100953.4827335533</v>
      </c>
      <c r="R30" s="100">
        <f t="shared" si="24"/>
        <v>2258791.2916548867</v>
      </c>
      <c r="S30" s="100">
        <f t="shared" si="24"/>
        <v>2416050.6703922311</v>
      </c>
      <c r="T30" s="100">
        <f t="shared" si="24"/>
        <v>2575362.442082203</v>
      </c>
      <c r="U30" s="100">
        <f t="shared" si="24"/>
        <v>2735913.2465448482</v>
      </c>
      <c r="V30" s="100">
        <f t="shared" si="24"/>
        <v>2898419.410743488</v>
      </c>
      <c r="W30" s="128">
        <f>(I30/F30)^(1/3)-1</f>
        <v>0.43623800358028508</v>
      </c>
      <c r="X30" s="109"/>
      <c r="Y30" s="32"/>
      <c r="Z30" s="32"/>
      <c r="AA30" s="32"/>
    </row>
    <row r="31" spans="1:27" ht="30" customHeight="1" x14ac:dyDescent="0.3">
      <c r="E31" s="115" t="s">
        <v>182</v>
      </c>
      <c r="F31" s="104">
        <f>F30/F18</f>
        <v>0.7523915057721684</v>
      </c>
      <c r="G31" s="104">
        <f t="shared" ref="G31:V31" si="25">G30/G18</f>
        <v>0.73993473030866586</v>
      </c>
      <c r="H31" s="104">
        <f t="shared" si="25"/>
        <v>0.73249620191653952</v>
      </c>
      <c r="I31" s="104">
        <f t="shared" si="25"/>
        <v>0.67646721683669753</v>
      </c>
      <c r="J31" s="104">
        <f t="shared" si="25"/>
        <v>0.2356401357673937</v>
      </c>
      <c r="K31" s="104">
        <f t="shared" si="25"/>
        <v>0.2356401357673937</v>
      </c>
      <c r="L31" s="105">
        <f t="shared" si="25"/>
        <v>0.730453138529218</v>
      </c>
      <c r="M31" s="105">
        <f t="shared" si="25"/>
        <v>0.62885833910119371</v>
      </c>
      <c r="N31" s="105">
        <f t="shared" si="25"/>
        <v>0.72618409438774378</v>
      </c>
      <c r="O31" s="105">
        <f t="shared" si="25"/>
        <v>0.72179666276339116</v>
      </c>
      <c r="P31" s="105">
        <f t="shared" si="25"/>
        <v>0.71766082229132422</v>
      </c>
      <c r="Q31" s="105">
        <f t="shared" si="25"/>
        <v>0.71399758298217553</v>
      </c>
      <c r="R31" s="105">
        <f t="shared" si="25"/>
        <v>0.71072036836055574</v>
      </c>
      <c r="S31" s="105">
        <f t="shared" si="25"/>
        <v>0.70772388363309646</v>
      </c>
      <c r="T31" s="105">
        <f t="shared" si="25"/>
        <v>0.70493785779319063</v>
      </c>
      <c r="U31" s="105">
        <f t="shared" si="25"/>
        <v>0.70229162370390041</v>
      </c>
      <c r="V31" s="105">
        <f t="shared" si="25"/>
        <v>0.69971301342692782</v>
      </c>
      <c r="W31" s="116"/>
      <c r="X31" s="111"/>
      <c r="Y31" s="32"/>
      <c r="Z31" s="32"/>
      <c r="AA31" s="32"/>
    </row>
    <row r="32" spans="1:27" ht="30" customHeight="1" thickBot="1" x14ac:dyDescent="0.35">
      <c r="E32" s="154" t="s">
        <v>183</v>
      </c>
      <c r="F32" s="145">
        <f>F30/F38</f>
        <v>1.8809305828452149E-2</v>
      </c>
      <c r="G32" s="145">
        <f t="shared" ref="G32:V32" si="26">G30/G38</f>
        <v>2.110058978583693E-2</v>
      </c>
      <c r="H32" s="145">
        <f t="shared" si="26"/>
        <v>3.1598511738202655E-2</v>
      </c>
      <c r="I32" s="145">
        <f t="shared" si="26"/>
        <v>2.4050409492580627E-2</v>
      </c>
      <c r="J32" s="145">
        <f t="shared" si="26"/>
        <v>1.9098555314496595E-3</v>
      </c>
      <c r="K32" s="145">
        <f t="shared" si="26"/>
        <v>1.9098555314496595E-3</v>
      </c>
      <c r="L32" s="155">
        <f t="shared" si="26"/>
        <v>1.9094661357982507E-2</v>
      </c>
      <c r="M32" s="155">
        <f t="shared" si="26"/>
        <v>2.0686161670356477E-2</v>
      </c>
      <c r="N32" s="155">
        <f t="shared" si="26"/>
        <v>2.5525758491416126E-2</v>
      </c>
      <c r="O32" s="155">
        <f t="shared" si="26"/>
        <v>2.558655499756194E-2</v>
      </c>
      <c r="P32" s="155">
        <f t="shared" si="26"/>
        <v>2.5625013610653731E-2</v>
      </c>
      <c r="Q32" s="155">
        <f t="shared" si="26"/>
        <v>2.5624368785205666E-2</v>
      </c>
      <c r="R32" s="155">
        <f t="shared" si="26"/>
        <v>2.5592073169836149E-2</v>
      </c>
      <c r="S32" s="155">
        <f t="shared" si="26"/>
        <v>2.5537037392180589E-2</v>
      </c>
      <c r="T32" s="155">
        <f t="shared" si="26"/>
        <v>2.5465343421715209E-2</v>
      </c>
      <c r="U32" s="155">
        <f t="shared" si="26"/>
        <v>2.5382864678785057E-2</v>
      </c>
      <c r="V32" s="155">
        <f t="shared" si="26"/>
        <v>2.5295266034604448E-2</v>
      </c>
      <c r="W32" s="133"/>
      <c r="X32" s="167"/>
      <c r="Y32" s="32"/>
      <c r="Z32" s="32"/>
      <c r="AA32" s="32"/>
    </row>
    <row r="33" spans="5:27" ht="30" customHeight="1" x14ac:dyDescent="0.3">
      <c r="E33" s="132"/>
      <c r="F33" s="168"/>
      <c r="G33" s="168"/>
      <c r="H33" s="168"/>
      <c r="I33" s="169"/>
      <c r="J33" s="169"/>
      <c r="K33" s="169"/>
      <c r="L33" s="169"/>
      <c r="M33" s="168"/>
      <c r="N33" s="168"/>
      <c r="O33" s="168"/>
      <c r="P33" s="168"/>
      <c r="Q33" s="168"/>
      <c r="R33" s="168"/>
      <c r="S33" s="168"/>
      <c r="T33" s="168"/>
      <c r="U33" s="168"/>
      <c r="V33" s="168"/>
      <c r="W33" s="32"/>
      <c r="X33" s="32"/>
      <c r="Y33" s="32"/>
      <c r="Z33" s="32"/>
      <c r="AA33" s="32"/>
    </row>
    <row r="34" spans="5:27" ht="30" customHeight="1" x14ac:dyDescent="0.3">
      <c r="E34" s="32"/>
      <c r="F34" s="168"/>
      <c r="G34" s="168"/>
      <c r="H34" s="168"/>
      <c r="I34" s="170"/>
      <c r="J34" s="170"/>
      <c r="K34" s="170"/>
      <c r="L34" s="170"/>
      <c r="M34" s="32"/>
      <c r="N34" s="32"/>
      <c r="O34" s="32"/>
      <c r="P34" s="32"/>
      <c r="Q34" s="32"/>
      <c r="R34" s="32"/>
      <c r="S34" s="32"/>
      <c r="T34" s="32"/>
      <c r="U34" s="32"/>
      <c r="V34" s="32"/>
      <c r="W34" s="32"/>
      <c r="X34" s="32"/>
      <c r="Y34" s="32"/>
      <c r="Z34" s="32"/>
      <c r="AA34" s="32"/>
    </row>
    <row r="35" spans="5:27" ht="30" customHeight="1" thickBot="1" x14ac:dyDescent="0.35">
      <c r="E35" s="38"/>
      <c r="F35" s="32"/>
      <c r="G35" s="32"/>
      <c r="H35" s="32"/>
      <c r="I35" s="38"/>
      <c r="J35" s="38"/>
      <c r="K35" s="38"/>
      <c r="L35" s="38"/>
      <c r="M35" s="38"/>
      <c r="N35" s="38"/>
      <c r="O35" s="38"/>
      <c r="P35" s="38"/>
      <c r="Q35" s="32"/>
      <c r="R35" s="32"/>
      <c r="S35" s="32"/>
      <c r="T35" s="32"/>
      <c r="U35" s="32"/>
      <c r="V35" s="32"/>
      <c r="W35" s="32"/>
      <c r="X35" s="32"/>
      <c r="Y35" s="32"/>
      <c r="Z35" s="32"/>
      <c r="AA35" s="32"/>
    </row>
    <row r="36" spans="5:27" ht="30" customHeight="1" thickBot="1" x14ac:dyDescent="0.35">
      <c r="E36" s="171"/>
      <c r="F36" s="172"/>
      <c r="G36" s="172"/>
      <c r="H36" s="172"/>
      <c r="I36" s="173"/>
      <c r="J36" s="173"/>
      <c r="K36" s="173"/>
      <c r="L36" s="173"/>
      <c r="M36" s="173"/>
      <c r="N36" s="173"/>
      <c r="O36" s="173"/>
      <c r="P36" s="173"/>
      <c r="Q36" s="173"/>
      <c r="R36" s="173"/>
      <c r="S36" s="173"/>
      <c r="T36" s="173"/>
      <c r="U36" s="173"/>
      <c r="V36" s="173"/>
      <c r="W36" s="173"/>
      <c r="X36" s="174"/>
      <c r="Y36" s="32"/>
      <c r="Z36" s="32"/>
      <c r="AA36" s="32"/>
    </row>
    <row r="37" spans="5:27" ht="30" customHeight="1" x14ac:dyDescent="0.3">
      <c r="E37" s="86" t="s">
        <v>140</v>
      </c>
      <c r="F37" s="87">
        <v>2020</v>
      </c>
      <c r="G37" s="87">
        <v>2021</v>
      </c>
      <c r="H37" s="87">
        <v>2022</v>
      </c>
      <c r="I37" s="88">
        <v>2023</v>
      </c>
      <c r="J37" s="88" t="str">
        <f>J$9</f>
        <v>1T24</v>
      </c>
      <c r="K37" s="88" t="str">
        <f t="shared" ref="K37:L37" si="27">K$9</f>
        <v>YTD24</v>
      </c>
      <c r="L37" s="89" t="str">
        <f t="shared" si="27"/>
        <v>YTG24</v>
      </c>
      <c r="M37" s="89">
        <v>2024</v>
      </c>
      <c r="N37" s="89">
        <v>2025</v>
      </c>
      <c r="O37" s="89">
        <v>2026</v>
      </c>
      <c r="P37" s="89">
        <v>2027</v>
      </c>
      <c r="Q37" s="89">
        <v>2028</v>
      </c>
      <c r="R37" s="89">
        <v>2029</v>
      </c>
      <c r="S37" s="89">
        <v>2030</v>
      </c>
      <c r="T37" s="89">
        <v>2031</v>
      </c>
      <c r="U37" s="89">
        <v>2032</v>
      </c>
      <c r="V37" s="89">
        <v>2033</v>
      </c>
      <c r="W37" s="88" t="s">
        <v>223</v>
      </c>
      <c r="X37" s="97" t="s">
        <v>125</v>
      </c>
      <c r="Y37" s="32"/>
      <c r="Z37" s="32"/>
      <c r="AA37" s="32"/>
    </row>
    <row r="38" spans="5:27" ht="30" customHeight="1" x14ac:dyDescent="0.3">
      <c r="E38" s="98" t="s">
        <v>184</v>
      </c>
      <c r="F38" s="166">
        <f>SUM(F40,F42,F44,F46,F48,F50,F52,F54,F56,F58,F60,F62)</f>
        <v>19168331</v>
      </c>
      <c r="G38" s="166">
        <f t="shared" ref="G38:K38" si="28">SUM(G40,G42,G44,G46,G48,G50,G52,G54,G56,G58,G60,G62)</f>
        <v>24531447</v>
      </c>
      <c r="H38" s="166">
        <f>SUM(H40,H42,H44,H46,H48,H50,H52,H54,H56,H58,H60,H62)</f>
        <v>33584145</v>
      </c>
      <c r="I38" s="166">
        <f t="shared" si="28"/>
        <v>44413381</v>
      </c>
      <c r="J38" s="166">
        <f t="shared" si="28"/>
        <v>47477178.481229998</v>
      </c>
      <c r="K38" s="166">
        <f t="shared" si="28"/>
        <v>47477178.481229998</v>
      </c>
      <c r="L38" s="100">
        <f>'Projeções Trimestrais'!J26</f>
        <v>56974259.593291961</v>
      </c>
      <c r="M38" s="100">
        <f>L38</f>
        <v>56974259.593291961</v>
      </c>
      <c r="N38" s="100">
        <f>N104/N106</f>
        <v>63716016.289790206</v>
      </c>
      <c r="O38" s="100">
        <f t="shared" ref="O38:V38" si="29">O104/O106</f>
        <v>69674586.447593585</v>
      </c>
      <c r="P38" s="100">
        <f t="shared" si="29"/>
        <v>75800424.674114853</v>
      </c>
      <c r="Q38" s="100">
        <f t="shared" si="29"/>
        <v>81990448.246535823</v>
      </c>
      <c r="R38" s="100">
        <f t="shared" si="29"/>
        <v>88261364.238251299</v>
      </c>
      <c r="S38" s="100">
        <f t="shared" si="29"/>
        <v>94609669.606076658</v>
      </c>
      <c r="T38" s="100">
        <f t="shared" si="29"/>
        <v>101132052.27329074</v>
      </c>
      <c r="U38" s="100">
        <f t="shared" si="29"/>
        <v>107785834.30858845</v>
      </c>
      <c r="V38" s="100">
        <f t="shared" si="29"/>
        <v>114583472.13183646</v>
      </c>
      <c r="W38" s="128">
        <f>(I38/F38)^(1/3)-1</f>
        <v>0.323253887049191</v>
      </c>
      <c r="X38" s="164"/>
      <c r="Y38" s="32"/>
      <c r="Z38" s="32"/>
      <c r="AA38" s="32"/>
    </row>
    <row r="39" spans="5:27" ht="30" customHeight="1" x14ac:dyDescent="0.3">
      <c r="E39" s="175" t="s">
        <v>185</v>
      </c>
      <c r="F39" s="176" t="s">
        <v>21</v>
      </c>
      <c r="G39" s="176">
        <f>G38/F38-1</f>
        <v>0.27979045228298705</v>
      </c>
      <c r="H39" s="176">
        <f t="shared" ref="H39:I39" si="30">H38/G38-1</f>
        <v>0.36902421614183623</v>
      </c>
      <c r="I39" s="176">
        <f t="shared" si="30"/>
        <v>0.32245084696960435</v>
      </c>
      <c r="J39" s="397"/>
      <c r="K39" s="247"/>
      <c r="L39" s="177"/>
      <c r="M39" s="177">
        <f>M38/I38-1</f>
        <v>0.28281743723343111</v>
      </c>
      <c r="N39" s="177">
        <f>N38/M38-1</f>
        <v>0.11832986939407286</v>
      </c>
      <c r="O39" s="177">
        <f t="shared" ref="O39" si="31">O38/N38-1</f>
        <v>9.351761934868752E-2</v>
      </c>
      <c r="P39" s="177">
        <f t="shared" ref="P39" si="32">P38/O38-1</f>
        <v>8.7920697328126574E-2</v>
      </c>
      <c r="Q39" s="177">
        <f t="shared" ref="Q39" si="33">Q38/P38-1</f>
        <v>8.166212259408101E-2</v>
      </c>
      <c r="R39" s="177">
        <f t="shared" ref="R39" si="34">R38/Q38-1</f>
        <v>7.6483494429248067E-2</v>
      </c>
      <c r="S39" s="177">
        <f t="shared" ref="S39" si="35">S38/R38-1</f>
        <v>7.1926209419206799E-2</v>
      </c>
      <c r="T39" s="177">
        <f t="shared" ref="T39" si="36">T38/S38-1</f>
        <v>6.8939915913152738E-2</v>
      </c>
      <c r="U39" s="177">
        <f t="shared" ref="U39" si="37">U38/T38-1</f>
        <v>6.5793009097818933E-2</v>
      </c>
      <c r="V39" s="177">
        <f t="shared" ref="V39" si="38">V38/U38-1</f>
        <v>6.3066152123353536E-2</v>
      </c>
      <c r="W39" s="128"/>
      <c r="X39" s="178"/>
      <c r="Y39" s="32"/>
      <c r="Z39" s="32"/>
      <c r="AA39" s="32"/>
    </row>
    <row r="40" spans="5:27" ht="30" customHeight="1" x14ac:dyDescent="0.3">
      <c r="E40" s="107" t="s">
        <v>76</v>
      </c>
      <c r="F40" s="124">
        <f>'Balanço Patrimonial - Contábil'!F35</f>
        <v>1993626</v>
      </c>
      <c r="G40" s="124">
        <f>'Balanço Patrimonial - Contábil'!G35</f>
        <v>2439446</v>
      </c>
      <c r="H40" s="124">
        <f>'Balanço Patrimonial - Contábil'!H35</f>
        <v>2886738</v>
      </c>
      <c r="I40" s="124">
        <f>'Balanço Patrimonial - Contábil'!I35</f>
        <v>3099444</v>
      </c>
      <c r="J40" s="124">
        <f>'Balanço Patrimonial - Contábil'!J35</f>
        <v>2878763</v>
      </c>
      <c r="K40" s="124">
        <f>'Balanço Patrimonial - Contábil'!K35</f>
        <v>2878763</v>
      </c>
      <c r="L40" s="92">
        <f>L41*L$38</f>
        <v>3454615.3692432898</v>
      </c>
      <c r="M40" s="92">
        <f>L40</f>
        <v>3454615.3692432898</v>
      </c>
      <c r="N40" s="92">
        <f t="shared" ref="N40:V40" si="39">N41*N$38</f>
        <v>3863399.5546926055</v>
      </c>
      <c r="O40" s="92">
        <f t="shared" si="39"/>
        <v>4224695.4836402377</v>
      </c>
      <c r="P40" s="92">
        <f t="shared" si="39"/>
        <v>4596133.6565608745</v>
      </c>
      <c r="Q40" s="92">
        <f t="shared" si="39"/>
        <v>4971463.6866817307</v>
      </c>
      <c r="R40" s="92">
        <f t="shared" si="39"/>
        <v>5351698.6018672623</v>
      </c>
      <c r="S40" s="92">
        <f t="shared" si="39"/>
        <v>5736625.9962536432</v>
      </c>
      <c r="T40" s="92">
        <f t="shared" si="39"/>
        <v>6132108.5100605749</v>
      </c>
      <c r="U40" s="92">
        <f t="shared" si="39"/>
        <v>6535558.381051803</v>
      </c>
      <c r="V40" s="92">
        <f t="shared" si="39"/>
        <v>6947730.9001222737</v>
      </c>
      <c r="W40" s="128">
        <f>(I40/F40)^(1/3)-1</f>
        <v>0.15845731185177159</v>
      </c>
      <c r="X40" s="109"/>
      <c r="Y40" s="32"/>
      <c r="Z40" s="32"/>
      <c r="AA40" s="32"/>
    </row>
    <row r="41" spans="5:27" ht="30" customHeight="1" x14ac:dyDescent="0.3">
      <c r="E41" s="110" t="s">
        <v>186</v>
      </c>
      <c r="F41" s="104">
        <f>F40/F$38</f>
        <v>0.10400623820613282</v>
      </c>
      <c r="G41" s="104">
        <f t="shared" ref="G41:H41" si="40">G40/G$38</f>
        <v>9.9441586140434357E-2</v>
      </c>
      <c r="H41" s="104">
        <f t="shared" si="40"/>
        <v>8.5955381624275379E-2</v>
      </c>
      <c r="I41" s="104">
        <f>I40/I$38</f>
        <v>6.9786265540108278E-2</v>
      </c>
      <c r="J41" s="104">
        <f t="shared" ref="J41:M55" si="41">J40/J$38</f>
        <v>6.0634668952328601E-2</v>
      </c>
      <c r="K41" s="104">
        <f t="shared" si="41"/>
        <v>6.0634668952328601E-2</v>
      </c>
      <c r="L41" s="105">
        <f>K41</f>
        <v>6.0634668952328601E-2</v>
      </c>
      <c r="M41" s="105">
        <f t="shared" si="41"/>
        <v>6.0634668952328601E-2</v>
      </c>
      <c r="N41" s="105">
        <f>M41</f>
        <v>6.0634668952328601E-2</v>
      </c>
      <c r="O41" s="105">
        <f t="shared" ref="O41:V41" si="42">N41</f>
        <v>6.0634668952328601E-2</v>
      </c>
      <c r="P41" s="105">
        <f t="shared" si="42"/>
        <v>6.0634668952328601E-2</v>
      </c>
      <c r="Q41" s="105">
        <f t="shared" si="42"/>
        <v>6.0634668952328601E-2</v>
      </c>
      <c r="R41" s="105">
        <f t="shared" si="42"/>
        <v>6.0634668952328601E-2</v>
      </c>
      <c r="S41" s="105">
        <f t="shared" si="42"/>
        <v>6.0634668952328601E-2</v>
      </c>
      <c r="T41" s="105">
        <f t="shared" si="42"/>
        <v>6.0634668952328601E-2</v>
      </c>
      <c r="U41" s="105">
        <f t="shared" si="42"/>
        <v>6.0634668952328601E-2</v>
      </c>
      <c r="V41" s="105">
        <f t="shared" si="42"/>
        <v>6.0634668952328601E-2</v>
      </c>
      <c r="W41" s="128"/>
      <c r="X41" s="111" t="s">
        <v>363</v>
      </c>
      <c r="Y41" s="32"/>
      <c r="Z41" s="32"/>
      <c r="AA41" s="32"/>
    </row>
    <row r="42" spans="5:27" ht="30" customHeight="1" x14ac:dyDescent="0.3">
      <c r="E42" s="107" t="s">
        <v>77</v>
      </c>
      <c r="F42" s="124">
        <f>'Balanço Patrimonial - Contábil'!F36</f>
        <v>6270</v>
      </c>
      <c r="G42" s="124">
        <f>'Balanço Patrimonial - Contábil'!G36</f>
        <v>11857</v>
      </c>
      <c r="H42" s="124">
        <f>'Balanço Patrimonial - Contábil'!H36</f>
        <v>5879</v>
      </c>
      <c r="I42" s="124">
        <f>'Balanço Patrimonial - Contábil'!I36</f>
        <v>8746</v>
      </c>
      <c r="J42" s="124">
        <f>'Balanço Patrimonial - Contábil'!J36</f>
        <v>10638</v>
      </c>
      <c r="K42" s="124">
        <f>'Balanço Patrimonial - Contábil'!K36</f>
        <v>10638</v>
      </c>
      <c r="L42" s="92">
        <f>L43*L$38</f>
        <v>12765.968680996011</v>
      </c>
      <c r="M42" s="92">
        <f t="shared" ref="M42" si="43">L42</f>
        <v>12765.968680996011</v>
      </c>
      <c r="N42" s="92">
        <f t="shared" ref="N42" si="44">N43*N$38</f>
        <v>14276.564087707095</v>
      </c>
      <c r="O42" s="92">
        <f t="shared" ref="O42" si="45">O43*O$38</f>
        <v>15611.674373668429</v>
      </c>
      <c r="P42" s="92">
        <f t="shared" ref="P42" si="46">P43*P$38</f>
        <v>16984.263671061002</v>
      </c>
      <c r="Q42" s="92">
        <f t="shared" ref="Q42" si="47">Q43*Q$38</f>
        <v>18371.234693137383</v>
      </c>
      <c r="R42" s="92">
        <f t="shared" ref="R42" si="48">R43*R$38</f>
        <v>19776.330919448363</v>
      </c>
      <c r="S42" s="92">
        <f t="shared" ref="S42" si="49">S43*S$38</f>
        <v>21198.767438704144</v>
      </c>
      <c r="T42" s="92">
        <f t="shared" ref="T42" si="50">T43*T$38</f>
        <v>22660.208683390887</v>
      </c>
      <c r="U42" s="92">
        <f t="shared" ref="U42" si="51">U43*U$38</f>
        <v>24151.091999455697</v>
      </c>
      <c r="V42" s="92">
        <f t="shared" ref="V42" si="52">V43*V$38</f>
        <v>25674.208441438474</v>
      </c>
      <c r="W42" s="128">
        <f>(I42/F42)^(1/3)-1</f>
        <v>0.11732790179952279</v>
      </c>
      <c r="X42" s="109"/>
      <c r="Y42" s="32"/>
      <c r="Z42" s="32"/>
      <c r="AA42" s="32"/>
    </row>
    <row r="43" spans="5:27" ht="30" customHeight="1" x14ac:dyDescent="0.3">
      <c r="E43" s="110" t="s">
        <v>186</v>
      </c>
      <c r="F43" s="104">
        <f>F42/F$38</f>
        <v>3.271020309488604E-4</v>
      </c>
      <c r="G43" s="104">
        <f t="shared" ref="G43:K43" si="53">G42/G$38</f>
        <v>4.8333879367164928E-4</v>
      </c>
      <c r="H43" s="104">
        <f t="shared" si="53"/>
        <v>1.7505284115465795E-4</v>
      </c>
      <c r="I43" s="104">
        <f t="shared" si="53"/>
        <v>1.9692263464472564E-4</v>
      </c>
      <c r="J43" s="104">
        <f t="shared" si="53"/>
        <v>2.240655477074256E-4</v>
      </c>
      <c r="K43" s="104">
        <f t="shared" si="53"/>
        <v>2.240655477074256E-4</v>
      </c>
      <c r="L43" s="105">
        <f>K43</f>
        <v>2.240655477074256E-4</v>
      </c>
      <c r="M43" s="105">
        <f t="shared" si="41"/>
        <v>2.240655477074256E-4</v>
      </c>
      <c r="N43" s="105">
        <f t="shared" ref="N43:V43" si="54">M43</f>
        <v>2.240655477074256E-4</v>
      </c>
      <c r="O43" s="105">
        <f t="shared" si="54"/>
        <v>2.240655477074256E-4</v>
      </c>
      <c r="P43" s="105">
        <f t="shared" si="54"/>
        <v>2.240655477074256E-4</v>
      </c>
      <c r="Q43" s="105">
        <f t="shared" si="54"/>
        <v>2.240655477074256E-4</v>
      </c>
      <c r="R43" s="105">
        <f t="shared" si="54"/>
        <v>2.240655477074256E-4</v>
      </c>
      <c r="S43" s="105">
        <f t="shared" si="54"/>
        <v>2.240655477074256E-4</v>
      </c>
      <c r="T43" s="105">
        <f t="shared" si="54"/>
        <v>2.240655477074256E-4</v>
      </c>
      <c r="U43" s="105">
        <f t="shared" si="54"/>
        <v>2.240655477074256E-4</v>
      </c>
      <c r="V43" s="105">
        <f t="shared" si="54"/>
        <v>2.240655477074256E-4</v>
      </c>
      <c r="W43" s="116"/>
      <c r="X43" s="111" t="s">
        <v>363</v>
      </c>
      <c r="Y43" s="32"/>
      <c r="Z43" s="32"/>
      <c r="AA43" s="32"/>
    </row>
    <row r="44" spans="5:27" ht="30" customHeight="1" x14ac:dyDescent="0.3">
      <c r="E44" s="107" t="s">
        <v>78</v>
      </c>
      <c r="F44" s="124">
        <f>'Balanço Patrimonial - Contábil'!F37</f>
        <v>1290886</v>
      </c>
      <c r="G44" s="124">
        <f>'Balanço Patrimonial - Contábil'!G37</f>
        <v>2601194</v>
      </c>
      <c r="H44" s="124">
        <f>'Balanço Patrimonial - Contábil'!H37</f>
        <v>5222618</v>
      </c>
      <c r="I44" s="124">
        <f>'Balanço Patrimonial - Contábil'!I37</f>
        <v>7583131</v>
      </c>
      <c r="J44" s="124">
        <f>'Balanço Patrimonial - Contábil'!J37</f>
        <v>8169088</v>
      </c>
      <c r="K44" s="124">
        <f>'Balanço Patrimonial - Contábil'!K37</f>
        <v>8169088</v>
      </c>
      <c r="L44" s="92">
        <f>L45*L$38</f>
        <v>9803188.715952279</v>
      </c>
      <c r="M44" s="92">
        <f t="shared" ref="M44" si="55">L44</f>
        <v>9803188.715952279</v>
      </c>
      <c r="N44" s="92">
        <f t="shared" ref="N44" si="56">N45*N$38</f>
        <v>10963198.756356362</v>
      </c>
      <c r="O44" s="92">
        <f t="shared" ref="O44" si="57">O45*O$38</f>
        <v>11988451.004497301</v>
      </c>
      <c r="P44" s="92">
        <f t="shared" ref="P44" si="58">P45*P$38</f>
        <v>13042483.976696784</v>
      </c>
      <c r="Q44" s="92">
        <f t="shared" ref="Q44" si="59">Q45*Q$38</f>
        <v>14107560.902133133</v>
      </c>
      <c r="R44" s="92">
        <f t="shared" ref="R44" si="60">R45*R$38</f>
        <v>15186556.457801711</v>
      </c>
      <c r="S44" s="92">
        <f t="shared" ref="S44" si="61">S45*S$38</f>
        <v>16278867.897942167</v>
      </c>
      <c r="T44" s="92">
        <f t="shared" ref="T44" si="62">T45*T$38</f>
        <v>17401131.681987621</v>
      </c>
      <c r="U44" s="92">
        <f t="shared" ref="U44" si="63">U45*U$38</f>
        <v>18546004.497052975</v>
      </c>
      <c r="V44" s="92">
        <f t="shared" ref="V44" si="64">V45*V$38</f>
        <v>19715629.637944516</v>
      </c>
      <c r="W44" s="128">
        <f>(I44/F44)^(1/3)-1</f>
        <v>0.80434766778959554</v>
      </c>
      <c r="X44" s="109"/>
      <c r="Y44" s="32"/>
      <c r="Z44" s="32"/>
      <c r="AA44" s="32"/>
    </row>
    <row r="45" spans="5:27" ht="30" customHeight="1" x14ac:dyDescent="0.3">
      <c r="E45" s="110" t="s">
        <v>186</v>
      </c>
      <c r="F45" s="104">
        <f>F44/F$38</f>
        <v>6.7344726048397224E-2</v>
      </c>
      <c r="G45" s="104">
        <f t="shared" ref="G45:K45" si="65">G44/G$38</f>
        <v>0.106035082235467</v>
      </c>
      <c r="H45" s="104">
        <f t="shared" si="65"/>
        <v>0.15550844006896708</v>
      </c>
      <c r="I45" s="104">
        <f t="shared" si="65"/>
        <v>0.17073978222914396</v>
      </c>
      <c r="J45" s="104">
        <f t="shared" si="65"/>
        <v>0.17206346841419046</v>
      </c>
      <c r="K45" s="104">
        <f t="shared" si="65"/>
        <v>0.17206346841419046</v>
      </c>
      <c r="L45" s="105">
        <f>K45</f>
        <v>0.17206346841419046</v>
      </c>
      <c r="M45" s="105">
        <f t="shared" si="41"/>
        <v>0.17206346841419046</v>
      </c>
      <c r="N45" s="105">
        <f t="shared" ref="N45:V45" si="66">M45</f>
        <v>0.17206346841419046</v>
      </c>
      <c r="O45" s="105">
        <f t="shared" si="66"/>
        <v>0.17206346841419046</v>
      </c>
      <c r="P45" s="105">
        <f t="shared" si="66"/>
        <v>0.17206346841419046</v>
      </c>
      <c r="Q45" s="105">
        <f t="shared" si="66"/>
        <v>0.17206346841419046</v>
      </c>
      <c r="R45" s="105">
        <f t="shared" si="66"/>
        <v>0.17206346841419046</v>
      </c>
      <c r="S45" s="105">
        <f t="shared" si="66"/>
        <v>0.17206346841419046</v>
      </c>
      <c r="T45" s="105">
        <f t="shared" si="66"/>
        <v>0.17206346841419046</v>
      </c>
      <c r="U45" s="105">
        <f t="shared" si="66"/>
        <v>0.17206346841419046</v>
      </c>
      <c r="V45" s="105">
        <f t="shared" si="66"/>
        <v>0.17206346841419046</v>
      </c>
      <c r="W45" s="116"/>
      <c r="X45" s="111" t="s">
        <v>363</v>
      </c>
      <c r="Y45" s="32"/>
      <c r="Z45" s="32"/>
      <c r="AA45" s="32"/>
    </row>
    <row r="46" spans="5:27" ht="30" customHeight="1" x14ac:dyDescent="0.3">
      <c r="E46" s="107" t="s">
        <v>79</v>
      </c>
      <c r="F46" s="124">
        <f>'Balanço Patrimonial - Contábil'!F38</f>
        <v>1741470</v>
      </c>
      <c r="G46" s="124">
        <f>'Balanço Patrimonial - Contábil'!G38</f>
        <v>6172334</v>
      </c>
      <c r="H46" s="124">
        <f>'Balanço Patrimonial - Contábil'!H38</f>
        <v>11584571</v>
      </c>
      <c r="I46" s="124">
        <f>'Balanço Patrimonial - Contábil'!I38</f>
        <v>15101430</v>
      </c>
      <c r="J46" s="124">
        <f>'Balanço Patrimonial - Contábil'!J38</f>
        <v>15827469</v>
      </c>
      <c r="K46" s="124">
        <f>'Balanço Patrimonial - Contábil'!K38</f>
        <v>15827469</v>
      </c>
      <c r="L46" s="92">
        <f>L47*L$38</f>
        <v>18993511.332340218</v>
      </c>
      <c r="M46" s="92">
        <f t="shared" ref="M46" si="67">L46</f>
        <v>18993511.332340218</v>
      </c>
      <c r="N46" s="92">
        <f t="shared" ref="N46" si="68">N47*N$38</f>
        <v>21241011.04763088</v>
      </c>
      <c r="O46" s="92">
        <f t="shared" ref="O46" si="69">O47*O$38</f>
        <v>23227419.83336449</v>
      </c>
      <c r="P46" s="92">
        <f t="shared" ref="P46" si="70">P47*P$38</f>
        <v>25269590.782247055</v>
      </c>
      <c r="Q46" s="92">
        <f t="shared" ref="Q46" si="71">Q47*Q$38</f>
        <v>27333159.202609174</v>
      </c>
      <c r="R46" s="92">
        <f t="shared" ref="R46" si="72">R47*R$38</f>
        <v>29423694.732215684</v>
      </c>
      <c r="S46" s="92">
        <f t="shared" ref="S46" si="73">S47*S$38</f>
        <v>31540029.561411843</v>
      </c>
      <c r="T46" s="92">
        <f t="shared" ref="T46" si="74">T47*T$38</f>
        <v>33714396.547273926</v>
      </c>
      <c r="U46" s="92">
        <f t="shared" ref="U46" si="75">U47*U$38</f>
        <v>35932568.146036193</v>
      </c>
      <c r="V46" s="92">
        <f t="shared" ref="V46" si="76">V47*V$38</f>
        <v>38198696.95491688</v>
      </c>
      <c r="W46" s="128">
        <f>(I46/F46)^(1/3)-1</f>
        <v>1.0544742019102626</v>
      </c>
      <c r="X46" s="109"/>
      <c r="Y46" s="32"/>
      <c r="Z46" s="32"/>
      <c r="AA46" s="32"/>
    </row>
    <row r="47" spans="5:27" ht="30" customHeight="1" x14ac:dyDescent="0.3">
      <c r="E47" s="110" t="s">
        <v>186</v>
      </c>
      <c r="F47" s="104">
        <f>F46/F$38</f>
        <v>9.0851415284930126E-2</v>
      </c>
      <c r="G47" s="104">
        <f t="shared" ref="G47:K47" si="77">G46/G$38</f>
        <v>0.25160904695104208</v>
      </c>
      <c r="H47" s="104">
        <f t="shared" si="77"/>
        <v>0.34494166815918642</v>
      </c>
      <c r="I47" s="104">
        <f t="shared" si="77"/>
        <v>0.3400198242056825</v>
      </c>
      <c r="J47" s="104">
        <f t="shared" si="77"/>
        <v>0.33337004233007139</v>
      </c>
      <c r="K47" s="104">
        <f t="shared" si="77"/>
        <v>0.33337004233007139</v>
      </c>
      <c r="L47" s="105">
        <f>K47</f>
        <v>0.33337004233007139</v>
      </c>
      <c r="M47" s="105">
        <f t="shared" si="41"/>
        <v>0.33337004233007139</v>
      </c>
      <c r="N47" s="105">
        <f t="shared" ref="N47:V47" si="78">M47</f>
        <v>0.33337004233007139</v>
      </c>
      <c r="O47" s="105">
        <f t="shared" si="78"/>
        <v>0.33337004233007139</v>
      </c>
      <c r="P47" s="105">
        <f t="shared" si="78"/>
        <v>0.33337004233007139</v>
      </c>
      <c r="Q47" s="105">
        <f t="shared" si="78"/>
        <v>0.33337004233007139</v>
      </c>
      <c r="R47" s="105">
        <f t="shared" si="78"/>
        <v>0.33337004233007139</v>
      </c>
      <c r="S47" s="105">
        <f t="shared" si="78"/>
        <v>0.33337004233007139</v>
      </c>
      <c r="T47" s="105">
        <f t="shared" si="78"/>
        <v>0.33337004233007139</v>
      </c>
      <c r="U47" s="105">
        <f t="shared" si="78"/>
        <v>0.33337004233007139</v>
      </c>
      <c r="V47" s="105">
        <f t="shared" si="78"/>
        <v>0.33337004233007139</v>
      </c>
      <c r="W47" s="116"/>
      <c r="X47" s="111" t="s">
        <v>363</v>
      </c>
      <c r="Y47" s="32"/>
      <c r="Z47" s="32"/>
      <c r="AA47" s="32"/>
    </row>
    <row r="48" spans="5:27" ht="30" customHeight="1" x14ac:dyDescent="0.3">
      <c r="E48" s="107" t="s">
        <v>42</v>
      </c>
      <c r="F48" s="124">
        <f>'Balanço Patrimonial - Contábil'!F17</f>
        <v>585878</v>
      </c>
      <c r="G48" s="124">
        <f>'Balanço Patrimonial - Contábil'!G17</f>
        <v>1948260</v>
      </c>
      <c r="H48" s="124">
        <f>'Balanço Patrimonial - Contábil'!H17</f>
        <v>1112159</v>
      </c>
      <c r="I48" s="124">
        <f>'Balanço Patrimonial - Contábil'!I17</f>
        <v>1509359</v>
      </c>
      <c r="J48" s="124">
        <f>'Balanço Patrimonial - Contábil'!J17</f>
        <v>2324426.1395399999</v>
      </c>
      <c r="K48" s="124">
        <f>'Balanço Patrimonial - Contábil'!K17</f>
        <v>2324426.1395399999</v>
      </c>
      <c r="L48" s="92">
        <f>L49*L$38</f>
        <v>2789391.9250475746</v>
      </c>
      <c r="M48" s="92">
        <f t="shared" ref="M48" si="79">L48</f>
        <v>2789391.9250475746</v>
      </c>
      <c r="N48" s="92">
        <f t="shared" ref="N48" si="80">N49*N$38</f>
        <v>3119460.3072273359</v>
      </c>
      <c r="O48" s="92">
        <f t="shared" ref="O48" si="81">O49*O$38</f>
        <v>3411184.8088119621</v>
      </c>
      <c r="P48" s="92">
        <f t="shared" ref="P48" si="82">P49*P$38</f>
        <v>3711098.5559178218</v>
      </c>
      <c r="Q48" s="92">
        <f t="shared" ref="Q48" si="83">Q49*Q$38</f>
        <v>4014154.7411499</v>
      </c>
      <c r="R48" s="92">
        <f t="shared" ref="R48" si="84">R49*R$38</f>
        <v>4321171.3229327779</v>
      </c>
      <c r="S48" s="92">
        <f t="shared" ref="S48" si="85">S49*S$38</f>
        <v>4631976.7964423122</v>
      </c>
      <c r="T48" s="92">
        <f t="shared" ref="T48" si="86">T49*T$38</f>
        <v>4951304.8873007195</v>
      </c>
      <c r="U48" s="92">
        <f t="shared" ref="U48" si="87">U49*U$38</f>
        <v>5277066.1347969705</v>
      </c>
      <c r="V48" s="92">
        <f t="shared" ref="V48" si="88">V49*V$38</f>
        <v>5609870.3904190734</v>
      </c>
      <c r="W48" s="128">
        <f>(I48/F48)^(1/3)-1</f>
        <v>0.37086636045311017</v>
      </c>
      <c r="X48" s="109"/>
      <c r="Y48" s="32"/>
      <c r="Z48" s="32"/>
      <c r="AA48" s="32"/>
    </row>
    <row r="49" spans="5:27" ht="30" customHeight="1" x14ac:dyDescent="0.3">
      <c r="E49" s="110" t="s">
        <v>186</v>
      </c>
      <c r="F49" s="104">
        <f>F48/F$38</f>
        <v>3.0564893730184436E-2</v>
      </c>
      <c r="G49" s="104">
        <f t="shared" ref="G49:K49" si="89">G48/G$38</f>
        <v>7.9418878144448632E-2</v>
      </c>
      <c r="H49" s="104">
        <f t="shared" si="89"/>
        <v>3.3115596660269302E-2</v>
      </c>
      <c r="I49" s="104">
        <f t="shared" si="89"/>
        <v>3.3984330082863994E-2</v>
      </c>
      <c r="J49" s="104">
        <f t="shared" si="89"/>
        <v>4.8958809556447352E-2</v>
      </c>
      <c r="K49" s="104">
        <f t="shared" si="89"/>
        <v>4.8958809556447352E-2</v>
      </c>
      <c r="L49" s="105">
        <f>K49</f>
        <v>4.8958809556447352E-2</v>
      </c>
      <c r="M49" s="105">
        <f t="shared" si="41"/>
        <v>4.8958809556447352E-2</v>
      </c>
      <c r="N49" s="105">
        <f t="shared" ref="N49:V49" si="90">M49</f>
        <v>4.8958809556447352E-2</v>
      </c>
      <c r="O49" s="105">
        <f t="shared" si="90"/>
        <v>4.8958809556447352E-2</v>
      </c>
      <c r="P49" s="105">
        <f t="shared" si="90"/>
        <v>4.8958809556447352E-2</v>
      </c>
      <c r="Q49" s="105">
        <f t="shared" si="90"/>
        <v>4.8958809556447352E-2</v>
      </c>
      <c r="R49" s="105">
        <f t="shared" si="90"/>
        <v>4.8958809556447352E-2</v>
      </c>
      <c r="S49" s="105">
        <f t="shared" si="90"/>
        <v>4.8958809556447352E-2</v>
      </c>
      <c r="T49" s="105">
        <f t="shared" si="90"/>
        <v>4.8958809556447352E-2</v>
      </c>
      <c r="U49" s="105">
        <f t="shared" si="90"/>
        <v>4.8958809556447352E-2</v>
      </c>
      <c r="V49" s="105">
        <f t="shared" si="90"/>
        <v>4.8958809556447352E-2</v>
      </c>
      <c r="W49" s="116"/>
      <c r="X49" s="111" t="s">
        <v>363</v>
      </c>
      <c r="Y49" s="32"/>
      <c r="Z49" s="32"/>
      <c r="AA49" s="32"/>
    </row>
    <row r="50" spans="5:27" ht="30" customHeight="1" x14ac:dyDescent="0.3">
      <c r="E50" s="107" t="s">
        <v>196</v>
      </c>
      <c r="F50" s="124">
        <f>SUM('Balanço Patrimonial - Contábil'!F21,'Balanço Patrimonial - Contábil'!F22,'Balanço Patrimonial - Contábil'!F26,'Balanço Patrimonial - Contábil'!F29,'Balanço Patrimonial - Contábil'!F30)</f>
        <v>12637325</v>
      </c>
      <c r="G50" s="124">
        <f>SUM('Balanço Patrimonial - Contábil'!G21,'Balanço Patrimonial - Contábil'!G22,'Balanço Patrimonial - Contábil'!G26,'Balanço Patrimonial - Contábil'!G29,'Balanço Patrimonial - Contábil'!G30)</f>
        <v>10512122</v>
      </c>
      <c r="H50" s="124">
        <f>SUM('Balanço Patrimonial - Contábil'!H21,'Balanço Patrimonial - Contábil'!H22,'Balanço Patrimonial - Contábil'!H26,'Balanço Patrimonial - Contábil'!H29,'Balanço Patrimonial - Contábil'!H30)</f>
        <v>11503149</v>
      </c>
      <c r="I50" s="124">
        <f>SUM('Balanço Patrimonial - Contábil'!I21,'Balanço Patrimonial - Contábil'!I22,'Balanço Patrimonial - Contábil'!I26,'Balanço Patrimonial - Contábil'!I29,'Balanço Patrimonial - Contábil'!I30)</f>
        <v>16006908</v>
      </c>
      <c r="J50" s="124">
        <f>SUM('Balanço Patrimonial - Contábil'!J21,'Balanço Patrimonial - Contábil'!J22,'Balanço Patrimonial - Contábil'!J26,'Balanço Patrimonial - Contábil'!J29,'Balanço Patrimonial - Contábil'!J30)</f>
        <v>17131107</v>
      </c>
      <c r="K50" s="124">
        <f>SUM('Balanço Patrimonial - Contábil'!K21,'Balanço Patrimonial - Contábil'!K22,'Balanço Patrimonial - Contábil'!K26,'Balanço Patrimonial - Contábil'!K29,'Balanço Patrimonial - Contábil'!K30)</f>
        <v>17131107</v>
      </c>
      <c r="L50" s="92">
        <f>L51*L$38</f>
        <v>20557922.112501554</v>
      </c>
      <c r="M50" s="92">
        <f t="shared" ref="M50" si="91">L50</f>
        <v>20557922.112501554</v>
      </c>
      <c r="N50" s="92">
        <f t="shared" ref="N50" si="92">N51*N$38</f>
        <v>22990538.351087388</v>
      </c>
      <c r="O50" s="92">
        <f t="shared" ref="O50" si="93">O51*O$38</f>
        <v>25140558.765225779</v>
      </c>
      <c r="P50" s="92">
        <f t="shared" ref="P50" si="94">P51*P$38</f>
        <v>27350934.223083176</v>
      </c>
      <c r="Q50" s="92">
        <f t="shared" ref="Q50" si="95">Q51*Q$38</f>
        <v>29584469.566671241</v>
      </c>
      <c r="R50" s="92">
        <f t="shared" ref="R50" si="96">R51*R$38</f>
        <v>31847193.179965999</v>
      </c>
      <c r="S50" s="92">
        <f t="shared" ref="S50" si="97">S51*S$38</f>
        <v>34137841.06604217</v>
      </c>
      <c r="T50" s="92">
        <f t="shared" ref="T50" si="98">T51*T$38</f>
        <v>36491300.958591685</v>
      </c>
      <c r="U50" s="92">
        <f t="shared" ref="U50" si="99">U51*U$38</f>
        <v>38892173.454551555</v>
      </c>
      <c r="V50" s="92">
        <f t="shared" ref="V50" si="100">V51*V$38</f>
        <v>41344953.182044156</v>
      </c>
      <c r="W50" s="128">
        <f>(I50/F50)^(1/3)-1</f>
        <v>8.1975511448508787E-2</v>
      </c>
      <c r="X50" s="109"/>
      <c r="Y50" s="32"/>
      <c r="Z50" s="32"/>
      <c r="AA50" s="32"/>
    </row>
    <row r="51" spans="5:27" ht="30" customHeight="1" x14ac:dyDescent="0.3">
      <c r="E51" s="110" t="s">
        <v>186</v>
      </c>
      <c r="F51" s="104">
        <f>F50/F$38</f>
        <v>0.65928144709103786</v>
      </c>
      <c r="G51" s="104">
        <f t="shared" ref="G51:K51" si="101">G50/G$38</f>
        <v>0.42851618169935102</v>
      </c>
      <c r="H51" s="104">
        <f t="shared" si="101"/>
        <v>0.3425172503274983</v>
      </c>
      <c r="I51" s="104">
        <f t="shared" si="101"/>
        <v>0.36040732859315527</v>
      </c>
      <c r="J51" s="104">
        <f t="shared" si="101"/>
        <v>0.36082824523308071</v>
      </c>
      <c r="K51" s="104">
        <f t="shared" si="101"/>
        <v>0.36082824523308071</v>
      </c>
      <c r="L51" s="105">
        <f>K51</f>
        <v>0.36082824523308071</v>
      </c>
      <c r="M51" s="105">
        <f t="shared" si="41"/>
        <v>0.36082824523308071</v>
      </c>
      <c r="N51" s="105">
        <f t="shared" ref="N51:V51" si="102">M51</f>
        <v>0.36082824523308071</v>
      </c>
      <c r="O51" s="105">
        <f t="shared" si="102"/>
        <v>0.36082824523308071</v>
      </c>
      <c r="P51" s="105">
        <f t="shared" si="102"/>
        <v>0.36082824523308071</v>
      </c>
      <c r="Q51" s="105">
        <f t="shared" si="102"/>
        <v>0.36082824523308071</v>
      </c>
      <c r="R51" s="105">
        <f t="shared" si="102"/>
        <v>0.36082824523308071</v>
      </c>
      <c r="S51" s="105">
        <f t="shared" si="102"/>
        <v>0.36082824523308071</v>
      </c>
      <c r="T51" s="105">
        <f t="shared" si="102"/>
        <v>0.36082824523308071</v>
      </c>
      <c r="U51" s="105">
        <f t="shared" si="102"/>
        <v>0.36082824523308071</v>
      </c>
      <c r="V51" s="105">
        <f t="shared" si="102"/>
        <v>0.36082824523308071</v>
      </c>
      <c r="W51" s="116"/>
      <c r="X51" s="111" t="s">
        <v>363</v>
      </c>
      <c r="Y51" s="32"/>
      <c r="Z51" s="32"/>
      <c r="AA51" s="32"/>
    </row>
    <row r="52" spans="5:27" ht="30" customHeight="1" x14ac:dyDescent="0.3">
      <c r="E52" s="107" t="s">
        <v>197</v>
      </c>
      <c r="F52" s="124">
        <f>SUM('Balanço Patrimonial - Contábil'!F23,'Balanço Patrimonial - Contábil'!F24,'Balanço Patrimonial - Contábil'!F25,'Balanço Patrimonial - Contábil'!F28)</f>
        <v>163935</v>
      </c>
      <c r="G52" s="124">
        <f>SUM('Balanço Patrimonial - Contábil'!G23,'Balanço Patrimonial - Contábil'!G24,'Balanço Patrimonial - Contábil'!G25,'Balanço Patrimonial - Contábil'!G28)</f>
        <v>119238</v>
      </c>
      <c r="H52" s="124">
        <f>SUM('Balanço Patrimonial - Contábil'!H23,'Balanço Patrimonial - Contábil'!H24,'Balanço Patrimonial - Contábil'!H25,'Balanço Patrimonial - Contábil'!H28)</f>
        <v>87000</v>
      </c>
      <c r="I52" s="124">
        <f>SUM('Balanço Patrimonial - Contábil'!I23,'Balanço Patrimonial - Contábil'!I24,'Balanço Patrimonial - Contábil'!I25,'Balanço Patrimonial - Contábil'!I28)</f>
        <v>92859</v>
      </c>
      <c r="J52" s="124">
        <f>SUM('Balanço Patrimonial - Contábil'!J23,'Balanço Patrimonial - Contábil'!J24,'Balanço Patrimonial - Contábil'!J25,'Balanço Patrimonial - Contábil'!J28)</f>
        <v>95331</v>
      </c>
      <c r="K52" s="124">
        <f>SUM('Balanço Patrimonial - Contábil'!K23,'Balanço Patrimonial - Contábil'!K24,'Balanço Patrimonial - Contábil'!K25,'Balanço Patrimonial - Contábil'!K28)</f>
        <v>95331</v>
      </c>
      <c r="L52" s="92">
        <f>L53*L$38</f>
        <v>114400.50388494365</v>
      </c>
      <c r="M52" s="92">
        <f t="shared" ref="M52" si="103">L52</f>
        <v>114400.50388494365</v>
      </c>
      <c r="N52" s="92">
        <f t="shared" ref="N52" si="104">N53*N$38</f>
        <v>127937.50056826517</v>
      </c>
      <c r="O52" s="92">
        <f t="shared" ref="O52" si="105">O53*O$38</f>
        <v>139901.9110468307</v>
      </c>
      <c r="P52" s="92">
        <f t="shared" ref="P52" si="106">P53*P$38</f>
        <v>152202.18462360557</v>
      </c>
      <c r="Q52" s="92">
        <f t="shared" ref="Q52" si="107">Q53*Q$38</f>
        <v>164631.33808342542</v>
      </c>
      <c r="R52" s="92">
        <f t="shared" ref="R52" si="108">R53*R$38</f>
        <v>177222.91811260875</v>
      </c>
      <c r="S52" s="92">
        <f t="shared" ref="S52" si="109">S53*S$38</f>
        <v>189969.89083465919</v>
      </c>
      <c r="T52" s="92">
        <f t="shared" ref="T52" si="110">T53*T$38</f>
        <v>203066.39913483139</v>
      </c>
      <c r="U52" s="92">
        <f t="shared" ref="U52" si="111">U53*U$38</f>
        <v>216426.74858057065</v>
      </c>
      <c r="V52" s="92">
        <f t="shared" ref="V52" si="112">V53*V$38</f>
        <v>230075.9508301157</v>
      </c>
      <c r="W52" s="128">
        <f>(I52/F52)^(1/3)-1</f>
        <v>-0.17259633717425238</v>
      </c>
      <c r="X52" s="109"/>
      <c r="Y52" s="32"/>
      <c r="Z52" s="32"/>
      <c r="AA52" s="32"/>
    </row>
    <row r="53" spans="5:27" ht="30" customHeight="1" x14ac:dyDescent="0.3">
      <c r="E53" s="110" t="s">
        <v>186</v>
      </c>
      <c r="F53" s="104">
        <f>F52/F$38</f>
        <v>8.5523877900480754E-3</v>
      </c>
      <c r="G53" s="104">
        <f t="shared" ref="G53:K53" si="113">G52/G$38</f>
        <v>4.8606182912895434E-3</v>
      </c>
      <c r="H53" s="104">
        <f t="shared" si="113"/>
        <v>2.590508110300262E-3</v>
      </c>
      <c r="I53" s="104">
        <f t="shared" si="113"/>
        <v>2.0907888097958585E-3</v>
      </c>
      <c r="J53" s="104">
        <f t="shared" si="113"/>
        <v>2.0079331386065602E-3</v>
      </c>
      <c r="K53" s="104">
        <f t="shared" si="113"/>
        <v>2.0079331386065602E-3</v>
      </c>
      <c r="L53" s="105">
        <f>K53</f>
        <v>2.0079331386065602E-3</v>
      </c>
      <c r="M53" s="105">
        <f t="shared" si="41"/>
        <v>2.0079331386065602E-3</v>
      </c>
      <c r="N53" s="105">
        <f t="shared" ref="N53:V53" si="114">M53</f>
        <v>2.0079331386065602E-3</v>
      </c>
      <c r="O53" s="105">
        <f t="shared" si="114"/>
        <v>2.0079331386065602E-3</v>
      </c>
      <c r="P53" s="105">
        <f t="shared" si="114"/>
        <v>2.0079331386065602E-3</v>
      </c>
      <c r="Q53" s="105">
        <f t="shared" si="114"/>
        <v>2.0079331386065602E-3</v>
      </c>
      <c r="R53" s="105">
        <f t="shared" si="114"/>
        <v>2.0079331386065602E-3</v>
      </c>
      <c r="S53" s="105">
        <f t="shared" si="114"/>
        <v>2.0079331386065602E-3</v>
      </c>
      <c r="T53" s="105">
        <f t="shared" si="114"/>
        <v>2.0079331386065602E-3</v>
      </c>
      <c r="U53" s="105">
        <f t="shared" si="114"/>
        <v>2.0079331386065602E-3</v>
      </c>
      <c r="V53" s="105">
        <f t="shared" si="114"/>
        <v>2.0079331386065602E-3</v>
      </c>
      <c r="W53" s="116"/>
      <c r="X53" s="111" t="s">
        <v>363</v>
      </c>
      <c r="Y53" s="32"/>
      <c r="Z53" s="32"/>
      <c r="AA53" s="32"/>
    </row>
    <row r="54" spans="5:27" ht="30" customHeight="1" x14ac:dyDescent="0.3">
      <c r="E54" s="107" t="s">
        <v>70</v>
      </c>
      <c r="F54" s="124">
        <f>'Balanço Patrimonial - Contábil'!F27</f>
        <v>0</v>
      </c>
      <c r="G54" s="124">
        <f>'Balanço Patrimonial - Contábil'!G27</f>
        <v>0</v>
      </c>
      <c r="H54" s="124">
        <f>'Balanço Patrimonial - Contábil'!H27</f>
        <v>18646</v>
      </c>
      <c r="I54" s="124">
        <f>'Balanço Patrimonial - Contábil'!I27</f>
        <v>0</v>
      </c>
      <c r="J54" s="124">
        <f>'Balanço Patrimonial - Contábil'!J27</f>
        <v>0</v>
      </c>
      <c r="K54" s="124">
        <f>'Balanço Patrimonial - Contábil'!K27</f>
        <v>0</v>
      </c>
      <c r="L54" s="92">
        <f>L55*L$38</f>
        <v>0</v>
      </c>
      <c r="M54" s="92">
        <f t="shared" ref="M54" si="115">L54</f>
        <v>0</v>
      </c>
      <c r="N54" s="92">
        <f t="shared" ref="N54" si="116">N55*N$38</f>
        <v>0</v>
      </c>
      <c r="O54" s="92">
        <f t="shared" ref="O54" si="117">O55*O$38</f>
        <v>0</v>
      </c>
      <c r="P54" s="92">
        <f t="shared" ref="P54" si="118">P55*P$38</f>
        <v>0</v>
      </c>
      <c r="Q54" s="92">
        <f t="shared" ref="Q54" si="119">Q55*Q$38</f>
        <v>0</v>
      </c>
      <c r="R54" s="92">
        <f t="shared" ref="R54" si="120">R55*R$38</f>
        <v>0</v>
      </c>
      <c r="S54" s="92">
        <f t="shared" ref="S54" si="121">S55*S$38</f>
        <v>0</v>
      </c>
      <c r="T54" s="92">
        <f t="shared" ref="T54" si="122">T55*T$38</f>
        <v>0</v>
      </c>
      <c r="U54" s="92">
        <f t="shared" ref="U54" si="123">U55*U$38</f>
        <v>0</v>
      </c>
      <c r="V54" s="92">
        <f t="shared" ref="V54" si="124">V55*V$38</f>
        <v>0</v>
      </c>
      <c r="W54" s="128" t="s">
        <v>21</v>
      </c>
      <c r="X54" s="109"/>
      <c r="Y54" s="32"/>
      <c r="Z54" s="32"/>
      <c r="AA54" s="32"/>
    </row>
    <row r="55" spans="5:27" ht="30" customHeight="1" x14ac:dyDescent="0.3">
      <c r="E55" s="110" t="s">
        <v>186</v>
      </c>
      <c r="F55" s="104">
        <f>F54/F$38</f>
        <v>0</v>
      </c>
      <c r="G55" s="104">
        <f t="shared" ref="G55:K55" si="125">G54/G$38</f>
        <v>0</v>
      </c>
      <c r="H55" s="104">
        <f t="shared" si="125"/>
        <v>5.5520246235239875E-4</v>
      </c>
      <c r="I55" s="104">
        <f t="shared" si="125"/>
        <v>0</v>
      </c>
      <c r="J55" s="104">
        <f t="shared" si="125"/>
        <v>0</v>
      </c>
      <c r="K55" s="104">
        <f t="shared" si="125"/>
        <v>0</v>
      </c>
      <c r="L55" s="105">
        <f>K55</f>
        <v>0</v>
      </c>
      <c r="M55" s="105">
        <f t="shared" si="41"/>
        <v>0</v>
      </c>
      <c r="N55" s="105">
        <f t="shared" ref="N55:V55" si="126">M55</f>
        <v>0</v>
      </c>
      <c r="O55" s="105">
        <f t="shared" si="126"/>
        <v>0</v>
      </c>
      <c r="P55" s="105">
        <f t="shared" si="126"/>
        <v>0</v>
      </c>
      <c r="Q55" s="105">
        <f t="shared" si="126"/>
        <v>0</v>
      </c>
      <c r="R55" s="105">
        <f t="shared" si="126"/>
        <v>0</v>
      </c>
      <c r="S55" s="105">
        <f t="shared" si="126"/>
        <v>0</v>
      </c>
      <c r="T55" s="105">
        <f t="shared" si="126"/>
        <v>0</v>
      </c>
      <c r="U55" s="105">
        <f t="shared" si="126"/>
        <v>0</v>
      </c>
      <c r="V55" s="105">
        <f t="shared" si="126"/>
        <v>0</v>
      </c>
      <c r="W55" s="116"/>
      <c r="X55" s="111" t="s">
        <v>363</v>
      </c>
      <c r="Y55" s="32"/>
      <c r="Z55" s="32"/>
      <c r="AA55" s="32"/>
    </row>
    <row r="56" spans="5:27" ht="30" customHeight="1" x14ac:dyDescent="0.3">
      <c r="E56" s="107" t="s">
        <v>74</v>
      </c>
      <c r="F56" s="124">
        <f>'Balanço Patrimonial - Contábil'!F31</f>
        <v>543523</v>
      </c>
      <c r="G56" s="124">
        <f>'Balanço Patrimonial - Contábil'!G31</f>
        <v>499289</v>
      </c>
      <c r="H56" s="124">
        <f>'Balanço Patrimonial - Contábil'!H31</f>
        <v>927618</v>
      </c>
      <c r="I56" s="124">
        <f>'Balanço Patrimonial - Contábil'!I31</f>
        <v>805425</v>
      </c>
      <c r="J56" s="124">
        <f>'Balanço Patrimonial - Contábil'!J31</f>
        <v>826763.73152000003</v>
      </c>
      <c r="K56" s="124">
        <f>'Balanço Patrimonial - Contábil'!K31</f>
        <v>826763.73152000003</v>
      </c>
      <c r="L56" s="92">
        <f>L57*L$38</f>
        <v>992145.13096143212</v>
      </c>
      <c r="M56" s="92">
        <f t="shared" ref="M56" si="127">L56</f>
        <v>992145.13096143212</v>
      </c>
      <c r="N56" s="92">
        <f t="shared" ref="N56" si="128">N57*N$38</f>
        <v>1109545.5347280637</v>
      </c>
      <c r="O56" s="92">
        <f t="shared" ref="O56" si="129">O57*O$38</f>
        <v>1213307.591694799</v>
      </c>
      <c r="P56" s="92">
        <f t="shared" ref="P56" si="130">P57*P$38</f>
        <v>1319982.4412301155</v>
      </c>
      <c r="Q56" s="92">
        <f t="shared" ref="Q56" si="131">Q57*Q$38</f>
        <v>1427775.0091678835</v>
      </c>
      <c r="R56" s="92">
        <f t="shared" ref="R56" si="132">R57*R$38</f>
        <v>1536976.2311277951</v>
      </c>
      <c r="S56" s="92">
        <f t="shared" ref="S56" si="133">S57*S$38</f>
        <v>1647525.1054002361</v>
      </c>
      <c r="T56" s="92">
        <f t="shared" ref="T56" si="134">T57*T$38</f>
        <v>1761105.3476313364</v>
      </c>
      <c r="U56" s="92">
        <f t="shared" ref="U56" si="135">U57*U$38</f>
        <v>1876973.7677902624</v>
      </c>
      <c r="V56" s="92">
        <f t="shared" ref="V56" si="136">V57*V$38</f>
        <v>1995347.280961267</v>
      </c>
      <c r="W56" s="128">
        <f>(I56/F56)^(1/3)-1</f>
        <v>0.14008104822453782</v>
      </c>
      <c r="X56" s="109"/>
      <c r="Y56" s="32"/>
      <c r="Z56" s="32"/>
      <c r="AA56" s="32"/>
    </row>
    <row r="57" spans="5:27" ht="30" customHeight="1" x14ac:dyDescent="0.3">
      <c r="E57" s="110" t="s">
        <v>186</v>
      </c>
      <c r="F57" s="104">
        <f>F56/F$38</f>
        <v>2.8355259516334521E-2</v>
      </c>
      <c r="G57" s="104">
        <f t="shared" ref="G57:K57" si="137">G56/G$38</f>
        <v>2.0353018719197445E-2</v>
      </c>
      <c r="H57" s="104">
        <f t="shared" si="137"/>
        <v>2.7620712094948374E-2</v>
      </c>
      <c r="I57" s="104">
        <f t="shared" si="137"/>
        <v>1.8134737366650829E-2</v>
      </c>
      <c r="J57" s="104">
        <f t="shared" si="137"/>
        <v>1.7413918812527147E-2</v>
      </c>
      <c r="K57" s="104">
        <f t="shared" si="137"/>
        <v>1.7413918812527147E-2</v>
      </c>
      <c r="L57" s="105">
        <f>K57</f>
        <v>1.7413918812527147E-2</v>
      </c>
      <c r="M57" s="105">
        <f t="shared" ref="M57:M63" si="138">M56/M$38</f>
        <v>1.7413918812527147E-2</v>
      </c>
      <c r="N57" s="105">
        <f t="shared" ref="N57:V57" si="139">M57</f>
        <v>1.7413918812527147E-2</v>
      </c>
      <c r="O57" s="105">
        <f t="shared" si="139"/>
        <v>1.7413918812527147E-2</v>
      </c>
      <c r="P57" s="105">
        <f t="shared" si="139"/>
        <v>1.7413918812527147E-2</v>
      </c>
      <c r="Q57" s="105">
        <f t="shared" si="139"/>
        <v>1.7413918812527147E-2</v>
      </c>
      <c r="R57" s="105">
        <f t="shared" si="139"/>
        <v>1.7413918812527147E-2</v>
      </c>
      <c r="S57" s="105">
        <f t="shared" si="139"/>
        <v>1.7413918812527147E-2</v>
      </c>
      <c r="T57" s="105">
        <f t="shared" si="139"/>
        <v>1.7413918812527147E-2</v>
      </c>
      <c r="U57" s="105">
        <f t="shared" si="139"/>
        <v>1.7413918812527147E-2</v>
      </c>
      <c r="V57" s="105">
        <f t="shared" si="139"/>
        <v>1.7413918812527147E-2</v>
      </c>
      <c r="W57" s="116"/>
      <c r="X57" s="111" t="s">
        <v>363</v>
      </c>
      <c r="Y57" s="32"/>
      <c r="Z57" s="32"/>
      <c r="AA57" s="32"/>
    </row>
    <row r="58" spans="5:27" ht="30" customHeight="1" x14ac:dyDescent="0.3">
      <c r="E58" s="107" t="s">
        <v>45</v>
      </c>
      <c r="F58" s="124">
        <f>'Balanço Patrimonial - Contábil'!F39</f>
        <v>53248</v>
      </c>
      <c r="G58" s="124">
        <f>'Balanço Patrimonial - Contábil'!G39</f>
        <v>61990</v>
      </c>
      <c r="H58" s="124">
        <f>'Balanço Patrimonial - Contábil'!H39</f>
        <v>42771</v>
      </c>
      <c r="I58" s="124">
        <f>'Balanço Patrimonial - Contábil'!I39</f>
        <v>31150</v>
      </c>
      <c r="J58" s="124">
        <f>'Balanço Patrimonial - Contábil'!J39</f>
        <v>46877.307150000001</v>
      </c>
      <c r="K58" s="124">
        <f>'Balanço Patrimonial - Contábil'!K39</f>
        <v>46877.307150000001</v>
      </c>
      <c r="L58" s="92">
        <f>L59*L$38</f>
        <v>56254.393206084816</v>
      </c>
      <c r="M58" s="92">
        <f t="shared" ref="M58" si="140">L58</f>
        <v>56254.393206084816</v>
      </c>
      <c r="N58" s="92">
        <f t="shared" ref="N58" si="141">N59*N$38</f>
        <v>62910.968207003658</v>
      </c>
      <c r="O58" s="92">
        <f t="shared" ref="O58" si="142">O59*O$38</f>
        <v>68794.252184643614</v>
      </c>
      <c r="P58" s="92">
        <f t="shared" ref="P58" si="143">P59*P$38</f>
        <v>74842.690808884479</v>
      </c>
      <c r="Q58" s="92">
        <f t="shared" ref="Q58" si="144">Q59*Q$38</f>
        <v>80954.503800990511</v>
      </c>
      <c r="R58" s="92">
        <f t="shared" ref="R58" si="145">R59*R$38</f>
        <v>87146.187141476112</v>
      </c>
      <c r="S58" s="92">
        <f t="shared" ref="S58" si="146">S59*S$38</f>
        <v>93414.282047899309</v>
      </c>
      <c r="T58" s="92">
        <f t="shared" ref="T58" si="147">T59*T$38</f>
        <v>99854.254797369009</v>
      </c>
      <c r="U58" s="92">
        <f t="shared" ref="U58" si="148">U59*U$38</f>
        <v>106423.96669170824</v>
      </c>
      <c r="V58" s="92">
        <f t="shared" ref="V58" si="149">V59*V$38</f>
        <v>113135.71676465821</v>
      </c>
      <c r="W58" s="128">
        <f>(I58/F58)^(1/3)-1</f>
        <v>-0.16365605523374183</v>
      </c>
      <c r="X58" s="109"/>
      <c r="Y58" s="32"/>
      <c r="Z58" s="32"/>
      <c r="AA58" s="32"/>
    </row>
    <row r="59" spans="5:27" ht="30" customHeight="1" x14ac:dyDescent="0.3">
      <c r="E59" s="110" t="s">
        <v>186</v>
      </c>
      <c r="F59" s="104">
        <f>F58/F$38</f>
        <v>2.7779153020677698E-3</v>
      </c>
      <c r="G59" s="104">
        <f t="shared" ref="G59:K59" si="150">G58/G$38</f>
        <v>2.5269605987775609E-3</v>
      </c>
      <c r="H59" s="104">
        <f t="shared" si="150"/>
        <v>1.2735473837431324E-3</v>
      </c>
      <c r="I59" s="104">
        <f t="shared" si="150"/>
        <v>7.0136520342821906E-4</v>
      </c>
      <c r="J59" s="104">
        <f t="shared" si="150"/>
        <v>9.8736505937337539E-4</v>
      </c>
      <c r="K59" s="104">
        <f t="shared" si="150"/>
        <v>9.8736505937337539E-4</v>
      </c>
      <c r="L59" s="105">
        <f>K59</f>
        <v>9.8736505937337539E-4</v>
      </c>
      <c r="M59" s="105">
        <f t="shared" si="138"/>
        <v>9.8736505937337539E-4</v>
      </c>
      <c r="N59" s="105">
        <f t="shared" ref="N59:V59" si="151">M59</f>
        <v>9.8736505937337539E-4</v>
      </c>
      <c r="O59" s="105">
        <f t="shared" si="151"/>
        <v>9.8736505937337539E-4</v>
      </c>
      <c r="P59" s="105">
        <f t="shared" si="151"/>
        <v>9.8736505937337539E-4</v>
      </c>
      <c r="Q59" s="105">
        <f t="shared" si="151"/>
        <v>9.8736505937337539E-4</v>
      </c>
      <c r="R59" s="105">
        <f t="shared" si="151"/>
        <v>9.8736505937337539E-4</v>
      </c>
      <c r="S59" s="105">
        <f t="shared" si="151"/>
        <v>9.8736505937337539E-4</v>
      </c>
      <c r="T59" s="105">
        <f t="shared" si="151"/>
        <v>9.8736505937337539E-4</v>
      </c>
      <c r="U59" s="105">
        <f t="shared" si="151"/>
        <v>9.8736505937337539E-4</v>
      </c>
      <c r="V59" s="105">
        <f t="shared" si="151"/>
        <v>9.8736505937337539E-4</v>
      </c>
      <c r="W59" s="116"/>
      <c r="X59" s="111" t="s">
        <v>363</v>
      </c>
      <c r="Y59" s="32"/>
      <c r="Z59" s="32"/>
      <c r="AA59" s="32"/>
    </row>
    <row r="60" spans="5:27" ht="30" customHeight="1" x14ac:dyDescent="0.3">
      <c r="E60" s="107" t="s">
        <v>44</v>
      </c>
      <c r="F60" s="124">
        <f>'Balanço Patrimonial - Contábil'!F41</f>
        <v>208</v>
      </c>
      <c r="G60" s="124">
        <f>'Balanço Patrimonial - Contábil'!G41</f>
        <v>0</v>
      </c>
      <c r="H60" s="124">
        <f>'Balanço Patrimonial - Contábil'!H41</f>
        <v>0</v>
      </c>
      <c r="I60" s="124">
        <f>'Balanço Patrimonial - Contábil'!I41</f>
        <v>0</v>
      </c>
      <c r="J60" s="124">
        <f>'Balanço Patrimonial - Contábil'!J41</f>
        <v>0</v>
      </c>
      <c r="K60" s="124">
        <f>'Balanço Patrimonial - Contábil'!K41</f>
        <v>0</v>
      </c>
      <c r="L60" s="92">
        <f>L61*L$38</f>
        <v>0</v>
      </c>
      <c r="M60" s="92">
        <f t="shared" ref="M60" si="152">L60</f>
        <v>0</v>
      </c>
      <c r="N60" s="92">
        <f t="shared" ref="N60" si="153">N61*N$38</f>
        <v>0</v>
      </c>
      <c r="O60" s="92">
        <f t="shared" ref="O60" si="154">O61*O$38</f>
        <v>0</v>
      </c>
      <c r="P60" s="92">
        <f t="shared" ref="P60" si="155">P61*P$38</f>
        <v>0</v>
      </c>
      <c r="Q60" s="92">
        <f t="shared" ref="Q60" si="156">Q61*Q$38</f>
        <v>0</v>
      </c>
      <c r="R60" s="92">
        <f t="shared" ref="R60" si="157">R61*R$38</f>
        <v>0</v>
      </c>
      <c r="S60" s="92">
        <f t="shared" ref="S60" si="158">S61*S$38</f>
        <v>0</v>
      </c>
      <c r="T60" s="92">
        <f t="shared" ref="T60" si="159">T61*T$38</f>
        <v>0</v>
      </c>
      <c r="U60" s="92">
        <f t="shared" ref="U60" si="160">U61*U$38</f>
        <v>0</v>
      </c>
      <c r="V60" s="92">
        <f t="shared" ref="V60" si="161">V61*V$38</f>
        <v>0</v>
      </c>
      <c r="W60" s="128">
        <f>(I60/F60)^(1/3)-1</f>
        <v>-1</v>
      </c>
      <c r="X60" s="109"/>
      <c r="Y60" s="32"/>
      <c r="Z60" s="32"/>
      <c r="AA60" s="32"/>
    </row>
    <row r="61" spans="5:27" ht="30" customHeight="1" x14ac:dyDescent="0.3">
      <c r="E61" s="110" t="s">
        <v>186</v>
      </c>
      <c r="F61" s="104">
        <f>F60/F$38</f>
        <v>1.0851231648702226E-5</v>
      </c>
      <c r="G61" s="104">
        <f t="shared" ref="G61:K61" si="162">G60/G$38</f>
        <v>0</v>
      </c>
      <c r="H61" s="104">
        <f t="shared" si="162"/>
        <v>0</v>
      </c>
      <c r="I61" s="104">
        <f t="shared" si="162"/>
        <v>0</v>
      </c>
      <c r="J61" s="104">
        <f t="shared" si="162"/>
        <v>0</v>
      </c>
      <c r="K61" s="104">
        <f t="shared" si="162"/>
        <v>0</v>
      </c>
      <c r="L61" s="105">
        <f>K61</f>
        <v>0</v>
      </c>
      <c r="M61" s="105">
        <f t="shared" si="138"/>
        <v>0</v>
      </c>
      <c r="N61" s="105">
        <f t="shared" ref="N61:V61" si="163">M61</f>
        <v>0</v>
      </c>
      <c r="O61" s="105">
        <f t="shared" si="163"/>
        <v>0</v>
      </c>
      <c r="P61" s="105">
        <f t="shared" si="163"/>
        <v>0</v>
      </c>
      <c r="Q61" s="105">
        <f t="shared" si="163"/>
        <v>0</v>
      </c>
      <c r="R61" s="105">
        <f t="shared" si="163"/>
        <v>0</v>
      </c>
      <c r="S61" s="105">
        <f t="shared" si="163"/>
        <v>0</v>
      </c>
      <c r="T61" s="105">
        <f t="shared" si="163"/>
        <v>0</v>
      </c>
      <c r="U61" s="105">
        <f t="shared" si="163"/>
        <v>0</v>
      </c>
      <c r="V61" s="105">
        <f t="shared" si="163"/>
        <v>0</v>
      </c>
      <c r="W61" s="116"/>
      <c r="X61" s="111" t="s">
        <v>363</v>
      </c>
      <c r="Y61" s="32"/>
      <c r="Z61" s="32"/>
      <c r="AA61" s="32"/>
    </row>
    <row r="62" spans="5:27" ht="30" customHeight="1" x14ac:dyDescent="0.3">
      <c r="E62" s="107" t="s">
        <v>80</v>
      </c>
      <c r="F62" s="124">
        <f>'Balanço Patrimonial - Contábil'!F43</f>
        <v>151962</v>
      </c>
      <c r="G62" s="124">
        <f>'Balanço Patrimonial - Contábil'!G43</f>
        <v>165717</v>
      </c>
      <c r="H62" s="124">
        <f>'Balanço Patrimonial - Contábil'!H43</f>
        <v>192996</v>
      </c>
      <c r="I62" s="124">
        <f>'Balanço Patrimonial - Contábil'!I43</f>
        <v>174929</v>
      </c>
      <c r="J62" s="124">
        <f>'Balanço Patrimonial - Contábil'!J43</f>
        <v>166715.30302000002</v>
      </c>
      <c r="K62" s="124">
        <f>'Balanço Patrimonial - Contábil'!K43</f>
        <v>166715.30302000002</v>
      </c>
      <c r="L62" s="92">
        <f>L63*L$38</f>
        <v>200064.14147359275</v>
      </c>
      <c r="M62" s="92">
        <f t="shared" ref="M62" si="164">L62</f>
        <v>200064.14147359275</v>
      </c>
      <c r="N62" s="92">
        <f t="shared" ref="N62" si="165">N63*N$38</f>
        <v>223737.70520460032</v>
      </c>
      <c r="O62" s="92">
        <f t="shared" ref="O62" si="166">O63*O$38</f>
        <v>244661.122753873</v>
      </c>
      <c r="P62" s="92">
        <f t="shared" ref="P62" si="167">P63*P$38</f>
        <v>266171.89927547594</v>
      </c>
      <c r="Q62" s="92">
        <f t="shared" ref="Q62" si="168">Q63*Q$38</f>
        <v>287908.0615452092</v>
      </c>
      <c r="R62" s="92">
        <f t="shared" ref="R62" si="169">R63*R$38</f>
        <v>309928.27616653783</v>
      </c>
      <c r="S62" s="92">
        <f t="shared" ref="S62" si="170">S63*S$38</f>
        <v>332220.24226302601</v>
      </c>
      <c r="T62" s="92">
        <f t="shared" ref="T62" si="171">T63*T$38</f>
        <v>355123.47782928625</v>
      </c>
      <c r="U62" s="92">
        <f t="shared" ref="U62" si="172">U63*U$38</f>
        <v>378488.12003695755</v>
      </c>
      <c r="V62" s="92">
        <f>V63*V$38</f>
        <v>402357.9093920904</v>
      </c>
      <c r="W62" s="128">
        <f>(I62/F62)^(1/3)-1</f>
        <v>4.803456012554097E-2</v>
      </c>
      <c r="X62" s="109"/>
      <c r="Y62" s="32"/>
      <c r="Z62" s="32"/>
      <c r="AA62" s="32"/>
    </row>
    <row r="63" spans="5:27" ht="30" customHeight="1" x14ac:dyDescent="0.3">
      <c r="E63" s="110" t="s">
        <v>186</v>
      </c>
      <c r="F63" s="104">
        <f>F62/F$38</f>
        <v>7.9277637682696519E-3</v>
      </c>
      <c r="G63" s="104">
        <f t="shared" ref="G63:K63" si="173">G62/G$38</f>
        <v>6.7552884263207139E-3</v>
      </c>
      <c r="H63" s="104">
        <f t="shared" si="173"/>
        <v>5.7466402673047061E-3</v>
      </c>
      <c r="I63" s="104">
        <f t="shared" si="173"/>
        <v>3.9386553345263225E-3</v>
      </c>
      <c r="J63" s="104">
        <f t="shared" si="173"/>
        <v>3.5114829556670171E-3</v>
      </c>
      <c r="K63" s="104">
        <f t="shared" si="173"/>
        <v>3.5114829556670171E-3</v>
      </c>
      <c r="L63" s="105">
        <f>K63</f>
        <v>3.5114829556670171E-3</v>
      </c>
      <c r="M63" s="105">
        <f t="shared" si="138"/>
        <v>3.5114829556670171E-3</v>
      </c>
      <c r="N63" s="105">
        <f t="shared" ref="N63:V63" si="174">M63</f>
        <v>3.5114829556670171E-3</v>
      </c>
      <c r="O63" s="105">
        <f t="shared" si="174"/>
        <v>3.5114829556670171E-3</v>
      </c>
      <c r="P63" s="105">
        <f t="shared" si="174"/>
        <v>3.5114829556670171E-3</v>
      </c>
      <c r="Q63" s="105">
        <f t="shared" si="174"/>
        <v>3.5114829556670171E-3</v>
      </c>
      <c r="R63" s="105">
        <f t="shared" si="174"/>
        <v>3.5114829556670171E-3</v>
      </c>
      <c r="S63" s="105">
        <f t="shared" si="174"/>
        <v>3.5114829556670171E-3</v>
      </c>
      <c r="T63" s="105">
        <f t="shared" si="174"/>
        <v>3.5114829556670171E-3</v>
      </c>
      <c r="U63" s="105">
        <f t="shared" si="174"/>
        <v>3.5114829556670171E-3</v>
      </c>
      <c r="V63" s="105">
        <f t="shared" si="174"/>
        <v>3.5114829556670171E-3</v>
      </c>
      <c r="W63" s="116"/>
      <c r="X63" s="111" t="s">
        <v>363</v>
      </c>
      <c r="Y63" s="32"/>
      <c r="Z63" s="32"/>
      <c r="AA63" s="32"/>
    </row>
    <row r="64" spans="5:27" ht="30" customHeight="1" x14ac:dyDescent="0.3">
      <c r="E64" s="98" t="s">
        <v>187</v>
      </c>
      <c r="F64" s="166">
        <f>SUM(F66,F68,F70,F72,F74,F76,F78,F80,F82,F84,F86,F88,F90,F92,F94,F96,F98,F100)</f>
        <v>14472736</v>
      </c>
      <c r="G64" s="166">
        <f t="shared" ref="G64:K64" si="175">SUM(G66,G68,G70,G72,G74,G76,G78,G80,G82,G84,G86,G88,G90,G92,G94,G96,G98,G100)</f>
        <v>19267380</v>
      </c>
      <c r="H64" s="166">
        <f t="shared" si="175"/>
        <v>25656298</v>
      </c>
      <c r="I64" s="166">
        <f t="shared" si="175"/>
        <v>35490828</v>
      </c>
      <c r="J64" s="166">
        <f t="shared" si="175"/>
        <v>38512124.278870001</v>
      </c>
      <c r="K64" s="166">
        <f t="shared" si="175"/>
        <v>38512124.278870001</v>
      </c>
      <c r="L64" s="100">
        <f>'Projeções Trimestrais'!J48</f>
        <v>46205443.195017822</v>
      </c>
      <c r="M64" s="100">
        <f>L64</f>
        <v>46205443.195017822</v>
      </c>
      <c r="N64" s="100">
        <f>N38*N108</f>
        <v>51672927.253579535</v>
      </c>
      <c r="O64" s="100">
        <f t="shared" ref="O64:V64" si="176">O38*O108</f>
        <v>56505256.395112209</v>
      </c>
      <c r="P64" s="100">
        <f t="shared" si="176"/>
        <v>61473237.940075062</v>
      </c>
      <c r="Q64" s="100">
        <f t="shared" si="176"/>
        <v>66493273.032992586</v>
      </c>
      <c r="R64" s="100">
        <f t="shared" si="176"/>
        <v>71578910.910593942</v>
      </c>
      <c r="S64" s="100">
        <f t="shared" si="176"/>
        <v>76727310.646748081</v>
      </c>
      <c r="T64" s="100">
        <f t="shared" si="176"/>
        <v>82016884.990977228</v>
      </c>
      <c r="U64" s="100">
        <f t="shared" si="176"/>
        <v>87413022.651363358</v>
      </c>
      <c r="V64" s="100">
        <f t="shared" si="176"/>
        <v>92925825.635456383</v>
      </c>
      <c r="W64" s="128">
        <f>(I64/F64)^(1/3)-1</f>
        <v>0.34851308162917438</v>
      </c>
      <c r="X64" s="179"/>
      <c r="Y64" s="32"/>
      <c r="Z64" s="32"/>
      <c r="AA64" s="32"/>
    </row>
    <row r="65" spans="5:27" ht="30" customHeight="1" x14ac:dyDescent="0.3">
      <c r="E65" s="175" t="s">
        <v>188</v>
      </c>
      <c r="F65" s="176" t="s">
        <v>21</v>
      </c>
      <c r="G65" s="176">
        <f>G64/F64-1</f>
        <v>0.33128801630873395</v>
      </c>
      <c r="H65" s="176">
        <f t="shared" ref="H65:I65" si="177">H64/G64-1</f>
        <v>0.33159246353162697</v>
      </c>
      <c r="I65" s="176">
        <f t="shared" si="177"/>
        <v>0.38331835715347551</v>
      </c>
      <c r="J65" s="397"/>
      <c r="K65" s="247"/>
      <c r="L65" s="177"/>
      <c r="M65" s="177">
        <f>M64/I64-1</f>
        <v>0.30189814661460757</v>
      </c>
      <c r="N65" s="177">
        <f>N64/M64-1</f>
        <v>0.11832986939407286</v>
      </c>
      <c r="O65" s="177">
        <f t="shared" ref="O65" si="178">O64/N64-1</f>
        <v>9.351761934868752E-2</v>
      </c>
      <c r="P65" s="177">
        <f t="shared" ref="P65" si="179">P64/O64-1</f>
        <v>8.7920697328126574E-2</v>
      </c>
      <c r="Q65" s="177">
        <f t="shared" ref="Q65" si="180">Q64/P64-1</f>
        <v>8.166212259408101E-2</v>
      </c>
      <c r="R65" s="177">
        <f t="shared" ref="R65" si="181">R64/Q64-1</f>
        <v>7.6483494429248067E-2</v>
      </c>
      <c r="S65" s="177">
        <f t="shared" ref="S65" si="182">S64/R64-1</f>
        <v>7.1926209419207021E-2</v>
      </c>
      <c r="T65" s="177">
        <f t="shared" ref="T65" si="183">T64/S64-1</f>
        <v>6.8939915913152516E-2</v>
      </c>
      <c r="U65" s="177">
        <f t="shared" ref="U65" si="184">U64/T64-1</f>
        <v>6.5793009097818933E-2</v>
      </c>
      <c r="V65" s="177">
        <f t="shared" ref="V65" si="185">V64/U64-1</f>
        <v>6.3066152123353536E-2</v>
      </c>
      <c r="W65" s="128"/>
      <c r="X65" s="111"/>
      <c r="Y65" s="32"/>
      <c r="Z65" s="32"/>
      <c r="AA65" s="32"/>
    </row>
    <row r="66" spans="5:27" ht="30" customHeight="1" x14ac:dyDescent="0.3">
      <c r="E66" s="107" t="s">
        <v>53</v>
      </c>
      <c r="F66" s="124">
        <f>'Balanço Patrimonial - Contábil'!F74</f>
        <v>2101873</v>
      </c>
      <c r="G66" s="124">
        <f>'Balanço Patrimonial - Contábil'!G74</f>
        <v>2000942</v>
      </c>
      <c r="H66" s="124">
        <f>'Balanço Patrimonial - Contábil'!H74</f>
        <v>1785604</v>
      </c>
      <c r="I66" s="124">
        <f>'Balanço Patrimonial - Contábil'!I74</f>
        <v>2349405</v>
      </c>
      <c r="J66" s="124">
        <f>'Balanço Patrimonial - Contábil'!J74</f>
        <v>1905651</v>
      </c>
      <c r="K66" s="124">
        <f>'Balanço Patrimonial - Contábil'!K74</f>
        <v>1905651</v>
      </c>
      <c r="L66" s="92">
        <f>L67*L$64</f>
        <v>2286330.6212983704</v>
      </c>
      <c r="M66" s="92">
        <f>L66</f>
        <v>2286330.6212983704</v>
      </c>
      <c r="N66" s="92">
        <f t="shared" ref="N66:U66" si="186">N67*N$64</f>
        <v>2556871.8251082762</v>
      </c>
      <c r="O66" s="92">
        <f t="shared" si="186"/>
        <v>2795984.3911721362</v>
      </c>
      <c r="P66" s="92">
        <f t="shared" si="186"/>
        <v>3041809.2885625479</v>
      </c>
      <c r="Q66" s="92">
        <f t="shared" si="186"/>
        <v>3290209.8915929571</v>
      </c>
      <c r="R66" s="92">
        <f t="shared" si="186"/>
        <v>3541856.6415076638</v>
      </c>
      <c r="S66" s="92">
        <f t="shared" si="186"/>
        <v>3796608.9640375529</v>
      </c>
      <c r="T66" s="92">
        <f t="shared" si="186"/>
        <v>4058346.8667734233</v>
      </c>
      <c r="U66" s="92">
        <f t="shared" si="186"/>
        <v>4325357.7191011515</v>
      </c>
      <c r="V66" s="92">
        <f>V67*V$64</f>
        <v>4598141.3870019065</v>
      </c>
      <c r="W66" s="128">
        <f>(I66/F66)^(1/3)-1</f>
        <v>3.7808298549471209E-2</v>
      </c>
      <c r="X66" s="109"/>
      <c r="Y66" s="32"/>
      <c r="Z66" s="32"/>
      <c r="AA66" s="32"/>
    </row>
    <row r="67" spans="5:27" ht="30" customHeight="1" x14ac:dyDescent="0.3">
      <c r="E67" s="110" t="s">
        <v>189</v>
      </c>
      <c r="F67" s="104">
        <f>F66/F$64</f>
        <v>0.14522983076593118</v>
      </c>
      <c r="G67" s="104">
        <f t="shared" ref="G67:I67" si="187">G66/G$64</f>
        <v>0.10385127609462211</v>
      </c>
      <c r="H67" s="104">
        <f t="shared" si="187"/>
        <v>6.9597102434653668E-2</v>
      </c>
      <c r="I67" s="104">
        <f t="shared" si="187"/>
        <v>6.6197525738199176E-2</v>
      </c>
      <c r="J67" s="104">
        <f t="shared" ref="J67:M67" si="188">J66/J$64</f>
        <v>4.9481845929894637E-2</v>
      </c>
      <c r="K67" s="104">
        <f t="shared" si="188"/>
        <v>4.9481845929894637E-2</v>
      </c>
      <c r="L67" s="105">
        <f>K67</f>
        <v>4.9481845929894637E-2</v>
      </c>
      <c r="M67" s="105">
        <f t="shared" si="188"/>
        <v>4.9481845929894637E-2</v>
      </c>
      <c r="N67" s="105">
        <f t="shared" ref="N67:V67" si="189">M67</f>
        <v>4.9481845929894637E-2</v>
      </c>
      <c r="O67" s="105">
        <f t="shared" si="189"/>
        <v>4.9481845929894637E-2</v>
      </c>
      <c r="P67" s="105">
        <f t="shared" si="189"/>
        <v>4.9481845929894637E-2</v>
      </c>
      <c r="Q67" s="105">
        <f t="shared" si="189"/>
        <v>4.9481845929894637E-2</v>
      </c>
      <c r="R67" s="105">
        <f t="shared" si="189"/>
        <v>4.9481845929894637E-2</v>
      </c>
      <c r="S67" s="105">
        <f t="shared" si="189"/>
        <v>4.9481845929894637E-2</v>
      </c>
      <c r="T67" s="105">
        <f t="shared" si="189"/>
        <v>4.9481845929894637E-2</v>
      </c>
      <c r="U67" s="105">
        <f t="shared" si="189"/>
        <v>4.9481845929894637E-2</v>
      </c>
      <c r="V67" s="105">
        <f t="shared" si="189"/>
        <v>4.9481845929894637E-2</v>
      </c>
      <c r="W67" s="116"/>
      <c r="X67" s="111" t="s">
        <v>363</v>
      </c>
      <c r="Y67" s="32"/>
      <c r="Z67" s="32"/>
      <c r="AA67" s="32"/>
    </row>
    <row r="68" spans="5:27" ht="30" customHeight="1" x14ac:dyDescent="0.3">
      <c r="E68" s="107" t="s">
        <v>54</v>
      </c>
      <c r="F68" s="124">
        <f>'Balanço Patrimonial - Contábil'!F75</f>
        <v>766226</v>
      </c>
      <c r="G68" s="124">
        <f>'Balanço Patrimonial - Contábil'!G75</f>
        <v>792764</v>
      </c>
      <c r="H68" s="124">
        <f>'Balanço Patrimonial - Contábil'!H75</f>
        <v>749268</v>
      </c>
      <c r="I68" s="124">
        <f>'Balanço Patrimonial - Contábil'!I75</f>
        <v>725983</v>
      </c>
      <c r="J68" s="124">
        <f>'Balanço Patrimonial - Contábil'!J75</f>
        <v>722973</v>
      </c>
      <c r="K68" s="124">
        <f>'Balanço Patrimonial - Contábil'!K75</f>
        <v>722973</v>
      </c>
      <c r="L68" s="92">
        <f>L69*L$64</f>
        <v>867396.65776784241</v>
      </c>
      <c r="M68" s="92">
        <f>L68</f>
        <v>867396.65776784241</v>
      </c>
      <c r="N68" s="92">
        <f t="shared" ref="N68" si="190">N69*N$64</f>
        <v>970035.59099436656</v>
      </c>
      <c r="O68" s="92">
        <f t="shared" ref="O68" si="191">O69*O$64</f>
        <v>1060751.0101476568</v>
      </c>
      <c r="P68" s="92">
        <f t="shared" ref="P68" si="192">P69*P$64</f>
        <v>1154012.9786513536</v>
      </c>
      <c r="Q68" s="92">
        <f t="shared" ref="Q68" si="193">Q69*Q$64</f>
        <v>1248252.127989141</v>
      </c>
      <c r="R68" s="92">
        <f t="shared" ref="R68" si="194">R69*R$64</f>
        <v>1343722.8126664956</v>
      </c>
      <c r="S68" s="92">
        <f t="shared" ref="S68" si="195">S69*S$64</f>
        <v>1440371.7010917116</v>
      </c>
      <c r="T68" s="92">
        <f t="shared" ref="T68" si="196">T69*T$64</f>
        <v>1539670.8050486587</v>
      </c>
      <c r="U68" s="92">
        <f t="shared" ref="U68" si="197">U69*U$64</f>
        <v>1640970.3803328713</v>
      </c>
      <c r="V68" s="92">
        <f t="shared" ref="V68" si="198">V69*V$64</f>
        <v>1744460.0679688614</v>
      </c>
      <c r="W68" s="128">
        <f>(I68/F68)^(1/3)-1</f>
        <v>-1.7822783726317293E-2</v>
      </c>
      <c r="X68" s="109"/>
      <c r="Y68" s="32"/>
      <c r="Z68" s="32"/>
      <c r="AA68" s="32"/>
    </row>
    <row r="69" spans="5:27" ht="30" customHeight="1" x14ac:dyDescent="0.3">
      <c r="E69" s="110" t="s">
        <v>189</v>
      </c>
      <c r="F69" s="104">
        <f>F68/F$64</f>
        <v>5.294271933102352E-2</v>
      </c>
      <c r="G69" s="104">
        <f t="shared" ref="G69:I69" si="199">G68/G$64</f>
        <v>4.1145397038933162E-2</v>
      </c>
      <c r="H69" s="104">
        <f t="shared" si="199"/>
        <v>2.9204057420910843E-2</v>
      </c>
      <c r="I69" s="104">
        <f t="shared" si="199"/>
        <v>2.0455510364537001E-2</v>
      </c>
      <c r="J69" s="104">
        <f t="shared" ref="J69:K69" si="200">J68/J$64</f>
        <v>1.8772607679723996E-2</v>
      </c>
      <c r="K69" s="104">
        <f t="shared" si="200"/>
        <v>1.8772607679723996E-2</v>
      </c>
      <c r="L69" s="105">
        <f>K69</f>
        <v>1.8772607679723996E-2</v>
      </c>
      <c r="M69" s="105">
        <f t="shared" ref="M69:M101" si="201">M68/M$64</f>
        <v>1.8772607679723996E-2</v>
      </c>
      <c r="N69" s="105">
        <f t="shared" ref="N69:V69" si="202">M69</f>
        <v>1.8772607679723996E-2</v>
      </c>
      <c r="O69" s="105">
        <f t="shared" si="202"/>
        <v>1.8772607679723996E-2</v>
      </c>
      <c r="P69" s="105">
        <f t="shared" si="202"/>
        <v>1.8772607679723996E-2</v>
      </c>
      <c r="Q69" s="105">
        <f t="shared" si="202"/>
        <v>1.8772607679723996E-2</v>
      </c>
      <c r="R69" s="105">
        <f t="shared" si="202"/>
        <v>1.8772607679723996E-2</v>
      </c>
      <c r="S69" s="105">
        <f t="shared" si="202"/>
        <v>1.8772607679723996E-2</v>
      </c>
      <c r="T69" s="105">
        <f t="shared" si="202"/>
        <v>1.8772607679723996E-2</v>
      </c>
      <c r="U69" s="105">
        <f t="shared" si="202"/>
        <v>1.8772607679723996E-2</v>
      </c>
      <c r="V69" s="105">
        <f t="shared" si="202"/>
        <v>1.8772607679723996E-2</v>
      </c>
      <c r="W69" s="116"/>
      <c r="X69" s="111" t="s">
        <v>363</v>
      </c>
      <c r="Y69" s="32"/>
      <c r="Z69" s="32"/>
      <c r="AA69" s="32"/>
    </row>
    <row r="70" spans="5:27" ht="30" customHeight="1" x14ac:dyDescent="0.3">
      <c r="E70" s="107" t="s">
        <v>55</v>
      </c>
      <c r="F70" s="124">
        <f>'Balanço Patrimonial - Contábil'!F76</f>
        <v>7505</v>
      </c>
      <c r="G70" s="124">
        <f>'Balanço Patrimonial - Contábil'!G76</f>
        <v>41672</v>
      </c>
      <c r="H70" s="124">
        <f>'Balanço Patrimonial - Contábil'!H76</f>
        <v>43885</v>
      </c>
      <c r="I70" s="124">
        <f>'Balanço Patrimonial - Contábil'!I76</f>
        <v>379287</v>
      </c>
      <c r="J70" s="124">
        <f>'Balanço Patrimonial - Contábil'!J76</f>
        <v>362389</v>
      </c>
      <c r="K70" s="124">
        <f>'Balanço Patrimonial - Contábil'!K76</f>
        <v>362389</v>
      </c>
      <c r="L70" s="92">
        <f>L71*L$64</f>
        <v>434781.11549370544</v>
      </c>
      <c r="M70" s="92">
        <f t="shared" ref="M70" si="203">L70</f>
        <v>434781.11549370544</v>
      </c>
      <c r="N70" s="92">
        <f t="shared" ref="N70" si="204">N71*N$64</f>
        <v>486228.70810508489</v>
      </c>
      <c r="O70" s="92">
        <f t="shared" ref="O70" si="205">O71*O$64</f>
        <v>531699.65934606036</v>
      </c>
      <c r="P70" s="92">
        <f t="shared" ref="P70" si="206">P71*P$64</f>
        <v>578447.06416489335</v>
      </c>
      <c r="Q70" s="92">
        <f t="shared" ref="Q70" si="207">Q71*Q$64</f>
        <v>625684.27923291316</v>
      </c>
      <c r="R70" s="92">
        <f t="shared" ref="R70" si="208">R71*R$64</f>
        <v>673538.79931809171</v>
      </c>
      <c r="S70" s="92">
        <f t="shared" ref="S70" si="209">S71*S$64</f>
        <v>721983.89204980596</v>
      </c>
      <c r="T70" s="92">
        <f t="shared" ref="T70" si="210">T71*T$64</f>
        <v>771757.40085837024</v>
      </c>
      <c r="U70" s="92">
        <f t="shared" ref="U70" si="211">U71*U$64</f>
        <v>822533.64255435404</v>
      </c>
      <c r="V70" s="92">
        <f t="shared" ref="V70" si="212">V71*V$64</f>
        <v>874407.67438226298</v>
      </c>
      <c r="W70" s="128">
        <f>(I70/F70)^(1/3)-1</f>
        <v>2.6971955388805813</v>
      </c>
      <c r="X70" s="109"/>
      <c r="Y70" s="32"/>
      <c r="Z70" s="32"/>
      <c r="AA70" s="32"/>
    </row>
    <row r="71" spans="5:27" ht="30" customHeight="1" x14ac:dyDescent="0.3">
      <c r="E71" s="110" t="s">
        <v>189</v>
      </c>
      <c r="F71" s="104">
        <f>F70/F$64</f>
        <v>5.1856124508869647E-4</v>
      </c>
      <c r="G71" s="104">
        <f t="shared" ref="G71:I71" si="213">G70/G$64</f>
        <v>2.1628264974272579E-3</v>
      </c>
      <c r="H71" s="104">
        <f t="shared" si="213"/>
        <v>1.7104961908378207E-3</v>
      </c>
      <c r="I71" s="104">
        <f t="shared" si="213"/>
        <v>1.0686901979294481E-2</v>
      </c>
      <c r="J71" s="104">
        <f t="shared" ref="J71:K71" si="214">J70/J$64</f>
        <v>9.4097380184979245E-3</v>
      </c>
      <c r="K71" s="104">
        <f t="shared" si="214"/>
        <v>9.4097380184979245E-3</v>
      </c>
      <c r="L71" s="105">
        <f>K71</f>
        <v>9.4097380184979245E-3</v>
      </c>
      <c r="M71" s="105">
        <f t="shared" si="201"/>
        <v>9.4097380184979245E-3</v>
      </c>
      <c r="N71" s="105">
        <f t="shared" ref="N71:V71" si="215">M71</f>
        <v>9.4097380184979245E-3</v>
      </c>
      <c r="O71" s="105">
        <f t="shared" si="215"/>
        <v>9.4097380184979245E-3</v>
      </c>
      <c r="P71" s="105">
        <f t="shared" si="215"/>
        <v>9.4097380184979245E-3</v>
      </c>
      <c r="Q71" s="105">
        <f t="shared" si="215"/>
        <v>9.4097380184979245E-3</v>
      </c>
      <c r="R71" s="105">
        <f t="shared" si="215"/>
        <v>9.4097380184979245E-3</v>
      </c>
      <c r="S71" s="105">
        <f t="shared" si="215"/>
        <v>9.4097380184979245E-3</v>
      </c>
      <c r="T71" s="105">
        <f t="shared" si="215"/>
        <v>9.4097380184979245E-3</v>
      </c>
      <c r="U71" s="105">
        <f t="shared" si="215"/>
        <v>9.4097380184979245E-3</v>
      </c>
      <c r="V71" s="105">
        <f t="shared" si="215"/>
        <v>9.4097380184979245E-3</v>
      </c>
      <c r="W71" s="116"/>
      <c r="X71" s="111" t="s">
        <v>363</v>
      </c>
      <c r="Y71" s="32"/>
      <c r="Z71" s="32"/>
      <c r="AA71" s="32"/>
    </row>
    <row r="72" spans="5:27" ht="30" customHeight="1" x14ac:dyDescent="0.3">
      <c r="E72" s="107" t="s">
        <v>56</v>
      </c>
      <c r="F72" s="91">
        <f>'Balanço Patrimonial - Contábil'!F78</f>
        <v>1551955</v>
      </c>
      <c r="G72" s="91">
        <f>'Balanço Patrimonial - Contábil'!G78</f>
        <v>1842803</v>
      </c>
      <c r="H72" s="91">
        <f>'Balanço Patrimonial - Contábil'!H78</f>
        <v>1903078</v>
      </c>
      <c r="I72" s="91">
        <f>'Balanço Patrimonial - Contábil'!I78</f>
        <v>2430848</v>
      </c>
      <c r="J72" s="91">
        <f>'Balanço Patrimonial - Contábil'!J78</f>
        <v>2716567</v>
      </c>
      <c r="K72" s="91">
        <f>'Balanço Patrimonial - Contábil'!K78</f>
        <v>2716567</v>
      </c>
      <c r="L72" s="119">
        <f>L73*L$64</f>
        <v>3259238.0855196728</v>
      </c>
      <c r="M72" s="92">
        <f t="shared" ref="M72" si="216">L72</f>
        <v>3259238.0855196728</v>
      </c>
      <c r="N72" s="92">
        <f t="shared" ref="N72" si="217">N73*N$64</f>
        <v>3644903.3025034037</v>
      </c>
      <c r="O72" s="92">
        <f t="shared" ref="O72" si="218">O73*O$64</f>
        <v>3985765.982109691</v>
      </c>
      <c r="P72" s="92">
        <f t="shared" ref="P72" si="219">P73*P$64</f>
        <v>4336197.3066435009</v>
      </c>
      <c r="Q72" s="92">
        <f t="shared" ref="Q72" si="220">Q73*Q$64</f>
        <v>4690300.3826907463</v>
      </c>
      <c r="R72" s="92">
        <f t="shared" ref="R72" si="221">R73*R$64</f>
        <v>5049030.9458817737</v>
      </c>
      <c r="S72" s="92">
        <f t="shared" ref="S72" si="222">S73*S$64</f>
        <v>5412188.6030593235</v>
      </c>
      <c r="T72" s="92">
        <f t="shared" ref="T72" si="223">T73*T$64</f>
        <v>5785304.4302603556</v>
      </c>
      <c r="U72" s="92">
        <f t="shared" ref="U72" si="224">U73*U$64</f>
        <v>6165937.0172741273</v>
      </c>
      <c r="V72" s="92">
        <f t="shared" ref="V72" si="225">V73*V$64</f>
        <v>6554798.939188553</v>
      </c>
      <c r="W72" s="128">
        <f>(I72/F72)^(1/3)-1</f>
        <v>0.16134046789348377</v>
      </c>
      <c r="X72" s="180"/>
      <c r="Y72" s="32"/>
      <c r="Z72" s="32"/>
      <c r="AA72" s="32"/>
    </row>
    <row r="73" spans="5:27" ht="30" customHeight="1" x14ac:dyDescent="0.3">
      <c r="E73" s="110" t="s">
        <v>189</v>
      </c>
      <c r="F73" s="104">
        <f>F72/F$64</f>
        <v>0.10723300694492044</v>
      </c>
      <c r="G73" s="104">
        <f t="shared" ref="G73:I73" si="226">G72/G$64</f>
        <v>9.5643673400327395E-2</v>
      </c>
      <c r="H73" s="104">
        <f t="shared" si="226"/>
        <v>7.4175861225185338E-2</v>
      </c>
      <c r="I73" s="104">
        <f t="shared" si="226"/>
        <v>6.8492287641190003E-2</v>
      </c>
      <c r="J73" s="104">
        <f t="shared" ref="J73:K73" si="227">J72/J$64</f>
        <v>7.0537968259789474E-2</v>
      </c>
      <c r="K73" s="104">
        <f t="shared" si="227"/>
        <v>7.0537968259789474E-2</v>
      </c>
      <c r="L73" s="105">
        <f>K73</f>
        <v>7.0537968259789474E-2</v>
      </c>
      <c r="M73" s="105">
        <f t="shared" si="201"/>
        <v>7.0537968259789474E-2</v>
      </c>
      <c r="N73" s="105">
        <f t="shared" ref="N73:V73" si="228">M73</f>
        <v>7.0537968259789474E-2</v>
      </c>
      <c r="O73" s="105">
        <f t="shared" si="228"/>
        <v>7.0537968259789474E-2</v>
      </c>
      <c r="P73" s="105">
        <f t="shared" si="228"/>
        <v>7.0537968259789474E-2</v>
      </c>
      <c r="Q73" s="105">
        <f t="shared" si="228"/>
        <v>7.0537968259789474E-2</v>
      </c>
      <c r="R73" s="105">
        <f t="shared" si="228"/>
        <v>7.0537968259789474E-2</v>
      </c>
      <c r="S73" s="105">
        <f t="shared" si="228"/>
        <v>7.0537968259789474E-2</v>
      </c>
      <c r="T73" s="105">
        <f t="shared" si="228"/>
        <v>7.0537968259789474E-2</v>
      </c>
      <c r="U73" s="105">
        <f t="shared" si="228"/>
        <v>7.0537968259789474E-2</v>
      </c>
      <c r="V73" s="105">
        <f t="shared" si="228"/>
        <v>7.0537968259789474E-2</v>
      </c>
      <c r="W73" s="116"/>
      <c r="X73" s="111" t="s">
        <v>363</v>
      </c>
      <c r="Y73" s="32"/>
      <c r="Z73" s="32"/>
      <c r="AA73" s="32"/>
    </row>
    <row r="74" spans="5:27" ht="30" customHeight="1" x14ac:dyDescent="0.3">
      <c r="E74" s="107" t="s">
        <v>95</v>
      </c>
      <c r="F74" s="91">
        <f>'Balanço Patrimonial - Contábil'!F79</f>
        <v>83366</v>
      </c>
      <c r="G74" s="91">
        <f>'Balanço Patrimonial - Contábil'!G79</f>
        <v>64486</v>
      </c>
      <c r="H74" s="91">
        <f>'Balanço Patrimonial - Contábil'!H79</f>
        <v>68304</v>
      </c>
      <c r="I74" s="91">
        <f>'Balanço Patrimonial - Contábil'!I79</f>
        <v>73698</v>
      </c>
      <c r="J74" s="91">
        <f>'Balanço Patrimonial - Contábil'!J79</f>
        <v>76057</v>
      </c>
      <c r="K74" s="91">
        <f>'Balanço Patrimonial - Contábil'!K79</f>
        <v>76057</v>
      </c>
      <c r="L74" s="119">
        <f>L75*L$64</f>
        <v>91250.416820336017</v>
      </c>
      <c r="M74" s="92">
        <f t="shared" ref="M74" si="229">L74</f>
        <v>91250.416820336017</v>
      </c>
      <c r="N74" s="92">
        <f t="shared" ref="N74" si="230">N75*N$64</f>
        <v>102048.06672484109</v>
      </c>
      <c r="O74" s="92">
        <f t="shared" ref="O74" si="231">O75*O$64</f>
        <v>111591.35898408425</v>
      </c>
      <c r="P74" s="92">
        <f t="shared" ref="P74" si="232">P75*P$64</f>
        <v>121402.54908175825</v>
      </c>
      <c r="Q74" s="92">
        <f t="shared" ref="Q74" si="233">Q75*Q$64</f>
        <v>131316.53892810672</v>
      </c>
      <c r="R74" s="92">
        <f t="shared" ref="R74" si="234">R75*R$64</f>
        <v>141360.08670168271</v>
      </c>
      <c r="S74" s="92">
        <f t="shared" ref="S74" si="235">S75*S$64</f>
        <v>151527.58190130518</v>
      </c>
      <c r="T74" s="92">
        <f t="shared" ref="T74" si="236">T75*T$64</f>
        <v>161973.88065610451</v>
      </c>
      <c r="U74" s="92">
        <f t="shared" ref="U74" si="237">U75*U$64</f>
        <v>172630.62965972061</v>
      </c>
      <c r="V74" s="92">
        <f t="shared" ref="V74" si="238">V75*V$64</f>
        <v>183517.77921099085</v>
      </c>
      <c r="W74" s="128">
        <f>(I74/F74)^(1/3)-1</f>
        <v>-4.0255616214548873E-2</v>
      </c>
      <c r="X74" s="180"/>
      <c r="Y74" s="32"/>
      <c r="Z74" s="32"/>
      <c r="AA74" s="32"/>
    </row>
    <row r="75" spans="5:27" ht="30" customHeight="1" x14ac:dyDescent="0.3">
      <c r="E75" s="110" t="s">
        <v>189</v>
      </c>
      <c r="F75" s="104">
        <f>F74/F$64</f>
        <v>5.7602100943456719E-3</v>
      </c>
      <c r="G75" s="104">
        <f t="shared" ref="G75:I75" si="239">G74/G$64</f>
        <v>3.3469003050752102E-3</v>
      </c>
      <c r="H75" s="104">
        <f t="shared" si="239"/>
        <v>2.6622702932433979E-3</v>
      </c>
      <c r="I75" s="104">
        <f t="shared" si="239"/>
        <v>2.0765365068405842E-3</v>
      </c>
      <c r="J75" s="104">
        <f t="shared" ref="J75:K75" si="240">J74/J$64</f>
        <v>1.9748845700970409E-3</v>
      </c>
      <c r="K75" s="104">
        <f t="shared" si="240"/>
        <v>1.9748845700970409E-3</v>
      </c>
      <c r="L75" s="105">
        <f>K75</f>
        <v>1.9748845700970409E-3</v>
      </c>
      <c r="M75" s="105">
        <f t="shared" si="201"/>
        <v>1.9748845700970409E-3</v>
      </c>
      <c r="N75" s="105">
        <f t="shared" ref="N75:V75" si="241">M75</f>
        <v>1.9748845700970409E-3</v>
      </c>
      <c r="O75" s="105">
        <f t="shared" si="241"/>
        <v>1.9748845700970409E-3</v>
      </c>
      <c r="P75" s="105">
        <f t="shared" si="241"/>
        <v>1.9748845700970409E-3</v>
      </c>
      <c r="Q75" s="105">
        <f t="shared" si="241"/>
        <v>1.9748845700970409E-3</v>
      </c>
      <c r="R75" s="105">
        <f t="shared" si="241"/>
        <v>1.9748845700970409E-3</v>
      </c>
      <c r="S75" s="105">
        <f t="shared" si="241"/>
        <v>1.9748845700970409E-3</v>
      </c>
      <c r="T75" s="105">
        <f t="shared" si="241"/>
        <v>1.9748845700970409E-3</v>
      </c>
      <c r="U75" s="105">
        <f t="shared" si="241"/>
        <v>1.9748845700970409E-3</v>
      </c>
      <c r="V75" s="105">
        <f t="shared" si="241"/>
        <v>1.9748845700970409E-3</v>
      </c>
      <c r="W75" s="116"/>
      <c r="X75" s="111" t="s">
        <v>363</v>
      </c>
      <c r="Y75" s="32"/>
      <c r="Z75" s="32"/>
      <c r="AA75" s="32"/>
    </row>
    <row r="76" spans="5:27" ht="30" customHeight="1" x14ac:dyDescent="0.3">
      <c r="E76" s="107" t="s">
        <v>96</v>
      </c>
      <c r="F76" s="91">
        <f>'Balanço Patrimonial - Contábil'!F80</f>
        <v>1318693</v>
      </c>
      <c r="G76" s="91">
        <f>'Balanço Patrimonial - Contábil'!G80</f>
        <v>1677854</v>
      </c>
      <c r="H76" s="91">
        <f>'Balanço Patrimonial - Contábil'!H80</f>
        <v>3788271</v>
      </c>
      <c r="I76" s="91">
        <f>'Balanço Patrimonial - Contábil'!I80</f>
        <v>5363550</v>
      </c>
      <c r="J76" s="91">
        <f>'Balanço Patrimonial - Contábil'!J80</f>
        <v>6285008</v>
      </c>
      <c r="K76" s="91">
        <f>'Balanço Patrimonial - Contábil'!K80</f>
        <v>6285008</v>
      </c>
      <c r="L76" s="119">
        <f>L77*L$64</f>
        <v>7540523.5510097221</v>
      </c>
      <c r="M76" s="92">
        <f t="shared" ref="M76" si="242">L76</f>
        <v>7540523.5510097221</v>
      </c>
      <c r="N76" s="92">
        <f t="shared" ref="N76" si="243">N77*N$64</f>
        <v>8432792.7179636341</v>
      </c>
      <c r="O76" s="92">
        <f t="shared" ref="O76" si="244">O77*O$64</f>
        <v>9221407.4174085408</v>
      </c>
      <c r="P76" s="92">
        <f t="shared" ref="P76" si="245">P77*P$64</f>
        <v>10032159.987893859</v>
      </c>
      <c r="Q76" s="92">
        <f t="shared" ref="Q76" si="246">Q77*Q$64</f>
        <v>10851407.466708682</v>
      </c>
      <c r="R76" s="92">
        <f t="shared" ref="R76" si="247">R77*R$64</f>
        <v>11681361.029238196</v>
      </c>
      <c r="S76" s="92">
        <f t="shared" ref="S76" si="248">S77*S$64</f>
        <v>12521557.048928546</v>
      </c>
      <c r="T76" s="92">
        <f t="shared" ref="T76" si="249">T77*T$64</f>
        <v>13384792.138983423</v>
      </c>
      <c r="U76" s="92">
        <f t="shared" ref="U76" si="250">U77*U$64</f>
        <v>14265417.889955973</v>
      </c>
      <c r="V76" s="92">
        <f t="shared" ref="V76" si="251">V77*V$64</f>
        <v>15165082.904707145</v>
      </c>
      <c r="W76" s="128">
        <f>(I76/F76)^(1/3)-1</f>
        <v>0.59625723083183058</v>
      </c>
      <c r="X76" s="180"/>
      <c r="Y76" s="32"/>
      <c r="Z76" s="32"/>
      <c r="AA76" s="32"/>
    </row>
    <row r="77" spans="5:27" ht="30" customHeight="1" x14ac:dyDescent="0.3">
      <c r="E77" s="110" t="s">
        <v>189</v>
      </c>
      <c r="F77" s="104">
        <f>F76/F$64</f>
        <v>9.1115667417687993E-2</v>
      </c>
      <c r="G77" s="104">
        <f t="shared" ref="G77:I77" si="252">G76/G$64</f>
        <v>8.7082623584524732E-2</v>
      </c>
      <c r="H77" s="104">
        <f t="shared" si="252"/>
        <v>0.147654622658343</v>
      </c>
      <c r="I77" s="104">
        <f t="shared" si="252"/>
        <v>0.15112496107445</v>
      </c>
      <c r="J77" s="104">
        <f t="shared" ref="J77:K77" si="253">J76/J$64</f>
        <v>0.1631955680888868</v>
      </c>
      <c r="K77" s="104">
        <f t="shared" si="253"/>
        <v>0.1631955680888868</v>
      </c>
      <c r="L77" s="105">
        <f>K77</f>
        <v>0.1631955680888868</v>
      </c>
      <c r="M77" s="105">
        <f t="shared" si="201"/>
        <v>0.1631955680888868</v>
      </c>
      <c r="N77" s="105">
        <f t="shared" ref="N77:V77" si="254">M77</f>
        <v>0.1631955680888868</v>
      </c>
      <c r="O77" s="105">
        <f t="shared" si="254"/>
        <v>0.1631955680888868</v>
      </c>
      <c r="P77" s="105">
        <f t="shared" si="254"/>
        <v>0.1631955680888868</v>
      </c>
      <c r="Q77" s="105">
        <f t="shared" si="254"/>
        <v>0.1631955680888868</v>
      </c>
      <c r="R77" s="105">
        <f t="shared" si="254"/>
        <v>0.1631955680888868</v>
      </c>
      <c r="S77" s="105">
        <f t="shared" si="254"/>
        <v>0.1631955680888868</v>
      </c>
      <c r="T77" s="105">
        <f t="shared" si="254"/>
        <v>0.1631955680888868</v>
      </c>
      <c r="U77" s="105">
        <f t="shared" si="254"/>
        <v>0.1631955680888868</v>
      </c>
      <c r="V77" s="105">
        <f t="shared" si="254"/>
        <v>0.1631955680888868</v>
      </c>
      <c r="W77" s="116"/>
      <c r="X77" s="111" t="s">
        <v>363</v>
      </c>
      <c r="Y77" s="32"/>
      <c r="Z77" s="32"/>
      <c r="AA77" s="32"/>
    </row>
    <row r="78" spans="5:27" ht="30" customHeight="1" x14ac:dyDescent="0.3">
      <c r="E78" s="107" t="s">
        <v>57</v>
      </c>
      <c r="F78" s="124">
        <f>'Balanço Patrimonial - Contábil'!F84</f>
        <v>251713</v>
      </c>
      <c r="G78" s="124">
        <f>'Balanço Patrimonial - Contábil'!G84</f>
        <v>200018</v>
      </c>
      <c r="H78" s="124">
        <f>'Balanço Patrimonial - Contábil'!H84</f>
        <v>70041</v>
      </c>
      <c r="I78" s="124">
        <f>'Balanço Patrimonial - Contábil'!I84</f>
        <v>0</v>
      </c>
      <c r="J78" s="124">
        <f>'Balanço Patrimonial - Contábil'!J84</f>
        <v>99993.602079999997</v>
      </c>
      <c r="K78" s="124">
        <f>'Balanço Patrimonial - Contábil'!K84</f>
        <v>99993.602079999997</v>
      </c>
      <c r="L78" s="92">
        <f>L79*L$64</f>
        <v>119968.67966349999</v>
      </c>
      <c r="M78" s="92">
        <f t="shared" ref="M78" si="255">L78</f>
        <v>119968.67966349999</v>
      </c>
      <c r="N78" s="92">
        <f t="shared" ref="N78" si="256">N79*N$64</f>
        <v>134164.55785946132</v>
      </c>
      <c r="O78" s="92">
        <f t="shared" ref="O78" si="257">O79*O$64</f>
        <v>146711.30791144739</v>
      </c>
      <c r="P78" s="92">
        <f t="shared" ref="P78" si="258">P79*P$64</f>
        <v>159610.26840894335</v>
      </c>
      <c r="Q78" s="92">
        <f t="shared" ref="Q78" si="259">Q79*Q$64</f>
        <v>172644.38171502866</v>
      </c>
      <c r="R78" s="92">
        <f t="shared" ref="R78" si="260">R79*R$64</f>
        <v>185848.82732217104</v>
      </c>
      <c r="S78" s="92">
        <f t="shared" ref="S78" si="261">S79*S$64</f>
        <v>199216.22899645954</v>
      </c>
      <c r="T78" s="92">
        <f t="shared" ref="T78" si="262">T79*T$64</f>
        <v>212950.1790720108</v>
      </c>
      <c r="U78" s="92">
        <f t="shared" ref="U78" si="263">U79*U$64</f>
        <v>226960.81214107777</v>
      </c>
      <c r="V78" s="92">
        <f t="shared" ref="V78" si="264">V79*V$64</f>
        <v>241274.35724560684</v>
      </c>
      <c r="W78" s="128">
        <f>(I78/F78)^(1/3)-1</f>
        <v>-1</v>
      </c>
      <c r="X78" s="109"/>
      <c r="Y78" s="32"/>
      <c r="Z78" s="32"/>
      <c r="AA78" s="32"/>
    </row>
    <row r="79" spans="5:27" ht="30" customHeight="1" x14ac:dyDescent="0.3">
      <c r="E79" s="110" t="s">
        <v>189</v>
      </c>
      <c r="F79" s="104">
        <f>F78/F$64</f>
        <v>1.7392219411726986E-2</v>
      </c>
      <c r="G79" s="104">
        <f t="shared" ref="G79:I79" si="265">G78/G$64</f>
        <v>1.0381172738587187E-2</v>
      </c>
      <c r="H79" s="104">
        <f t="shared" si="265"/>
        <v>2.7299729680408296E-3</v>
      </c>
      <c r="I79" s="104">
        <f t="shared" si="265"/>
        <v>0</v>
      </c>
      <c r="J79" s="104">
        <f t="shared" ref="J79:K79" si="266">J78/J$64</f>
        <v>2.5964187629832283E-3</v>
      </c>
      <c r="K79" s="104">
        <f t="shared" si="266"/>
        <v>2.5964187629832283E-3</v>
      </c>
      <c r="L79" s="105">
        <f>K79</f>
        <v>2.5964187629832283E-3</v>
      </c>
      <c r="M79" s="105">
        <f t="shared" si="201"/>
        <v>2.5964187629832283E-3</v>
      </c>
      <c r="N79" s="105">
        <f t="shared" ref="N79:V79" si="267">M79</f>
        <v>2.5964187629832283E-3</v>
      </c>
      <c r="O79" s="105">
        <f t="shared" si="267"/>
        <v>2.5964187629832283E-3</v>
      </c>
      <c r="P79" s="105">
        <f t="shared" si="267"/>
        <v>2.5964187629832283E-3</v>
      </c>
      <c r="Q79" s="105">
        <f t="shared" si="267"/>
        <v>2.5964187629832283E-3</v>
      </c>
      <c r="R79" s="105">
        <f t="shared" si="267"/>
        <v>2.5964187629832283E-3</v>
      </c>
      <c r="S79" s="105">
        <f t="shared" si="267"/>
        <v>2.5964187629832283E-3</v>
      </c>
      <c r="T79" s="105">
        <f t="shared" si="267"/>
        <v>2.5964187629832283E-3</v>
      </c>
      <c r="U79" s="105">
        <f t="shared" si="267"/>
        <v>2.5964187629832283E-3</v>
      </c>
      <c r="V79" s="105">
        <f t="shared" si="267"/>
        <v>2.5964187629832283E-3</v>
      </c>
      <c r="W79" s="116"/>
      <c r="X79" s="111" t="s">
        <v>363</v>
      </c>
      <c r="Y79" s="32"/>
      <c r="Z79" s="32"/>
      <c r="AA79" s="32"/>
    </row>
    <row r="80" spans="5:27" ht="30" customHeight="1" x14ac:dyDescent="0.3">
      <c r="E80" s="107" t="s">
        <v>100</v>
      </c>
      <c r="F80" s="124">
        <f>'Balanço Patrimonial - Contábil'!F86</f>
        <v>213703</v>
      </c>
      <c r="G80" s="124">
        <f>'Balanço Patrimonial - Contábil'!G86</f>
        <v>251192</v>
      </c>
      <c r="H80" s="124">
        <f>'Balanço Patrimonial - Contábil'!H86</f>
        <v>319315</v>
      </c>
      <c r="I80" s="124">
        <f>'Balanço Patrimonial - Contábil'!I86</f>
        <v>778601</v>
      </c>
      <c r="J80" s="124">
        <f>'Balanço Patrimonial - Contábil'!J86</f>
        <v>813705.69397000002</v>
      </c>
      <c r="K80" s="124">
        <f>'Balanço Patrimonial - Contábil'!K86</f>
        <v>813705.69397000002</v>
      </c>
      <c r="L80" s="92">
        <f>L81*L$64</f>
        <v>976254.43738042889</v>
      </c>
      <c r="M80" s="92">
        <f t="shared" ref="M80" si="268">L80</f>
        <v>976254.43738042889</v>
      </c>
      <c r="N80" s="92">
        <f t="shared" ref="N80" si="269">N81*N$64</f>
        <v>1091774.4974510393</v>
      </c>
      <c r="O80" s="92">
        <f t="shared" ref="O80" si="270">O81*O$64</f>
        <v>1193874.6493182702</v>
      </c>
      <c r="P80" s="92">
        <f t="shared" ref="P80" si="271">P81*P$64</f>
        <v>1298840.9410087052</v>
      </c>
      <c r="Q80" s="92">
        <f t="shared" ref="Q80" si="272">Q81*Q$64</f>
        <v>1404907.0491635695</v>
      </c>
      <c r="R80" s="92">
        <f t="shared" ref="R80" si="273">R81*R$64</f>
        <v>1512359.2496318826</v>
      </c>
      <c r="S80" s="92">
        <f t="shared" ref="S80" si="274">S81*S$64</f>
        <v>1621137.5177379802</v>
      </c>
      <c r="T80" s="92">
        <f t="shared" ref="T80" si="275">T81*T$64</f>
        <v>1732898.6018944934</v>
      </c>
      <c r="U80" s="92">
        <f t="shared" ref="U80" si="276">U81*U$64</f>
        <v>1846911.2153745354</v>
      </c>
      <c r="V80" s="92">
        <f t="shared" ref="V80" si="277">V81*V$64</f>
        <v>1963388.7990416735</v>
      </c>
      <c r="W80" s="128">
        <f>(I80/F80)^(1/3)-1</f>
        <v>0.53875016586924485</v>
      </c>
      <c r="X80" s="109"/>
      <c r="Y80" s="32"/>
      <c r="Z80" s="32"/>
      <c r="AA80" s="32"/>
    </row>
    <row r="81" spans="5:27" ht="30" customHeight="1" x14ac:dyDescent="0.3">
      <c r="E81" s="110" t="s">
        <v>189</v>
      </c>
      <c r="F81" s="104">
        <f>F80/F$64</f>
        <v>1.4765901899958654E-2</v>
      </c>
      <c r="G81" s="104">
        <f t="shared" ref="G81:I81" si="278">G80/G$64</f>
        <v>1.3037164367962846E-2</v>
      </c>
      <c r="H81" s="104">
        <f t="shared" si="278"/>
        <v>1.2445871964848552E-2</v>
      </c>
      <c r="I81" s="104">
        <f t="shared" si="278"/>
        <v>2.1938090596252079E-2</v>
      </c>
      <c r="J81" s="104">
        <f t="shared" ref="J81:K81" si="279">J80/J$64</f>
        <v>2.1128559102008466E-2</v>
      </c>
      <c r="K81" s="104">
        <f t="shared" si="279"/>
        <v>2.1128559102008466E-2</v>
      </c>
      <c r="L81" s="105">
        <f>K81</f>
        <v>2.1128559102008466E-2</v>
      </c>
      <c r="M81" s="105">
        <f t="shared" si="201"/>
        <v>2.1128559102008466E-2</v>
      </c>
      <c r="N81" s="105">
        <f t="shared" ref="N81:V81" si="280">M81</f>
        <v>2.1128559102008466E-2</v>
      </c>
      <c r="O81" s="105">
        <f t="shared" si="280"/>
        <v>2.1128559102008466E-2</v>
      </c>
      <c r="P81" s="105">
        <f t="shared" si="280"/>
        <v>2.1128559102008466E-2</v>
      </c>
      <c r="Q81" s="105">
        <f t="shared" si="280"/>
        <v>2.1128559102008466E-2</v>
      </c>
      <c r="R81" s="105">
        <f t="shared" si="280"/>
        <v>2.1128559102008466E-2</v>
      </c>
      <c r="S81" s="105">
        <f t="shared" si="280"/>
        <v>2.1128559102008466E-2</v>
      </c>
      <c r="T81" s="105">
        <f t="shared" si="280"/>
        <v>2.1128559102008466E-2</v>
      </c>
      <c r="U81" s="105">
        <f t="shared" si="280"/>
        <v>2.1128559102008466E-2</v>
      </c>
      <c r="V81" s="105">
        <f t="shared" si="280"/>
        <v>2.1128559102008466E-2</v>
      </c>
      <c r="W81" s="116"/>
      <c r="X81" s="111" t="s">
        <v>363</v>
      </c>
      <c r="Y81" s="32"/>
      <c r="Z81" s="32"/>
      <c r="AA81" s="32"/>
    </row>
    <row r="82" spans="5:27" ht="30" customHeight="1" x14ac:dyDescent="0.3">
      <c r="E82" s="107" t="s">
        <v>74</v>
      </c>
      <c r="F82" s="91">
        <f>'Balanço Patrimonial - Contábil'!F88</f>
        <v>9033</v>
      </c>
      <c r="G82" s="91">
        <f>'Balanço Patrimonial - Contábil'!G88</f>
        <v>4792</v>
      </c>
      <c r="H82" s="91">
        <f>'Balanço Patrimonial - Contábil'!H88</f>
        <v>10514</v>
      </c>
      <c r="I82" s="91">
        <f>'Balanço Patrimonial - Contábil'!I88</f>
        <v>9210</v>
      </c>
      <c r="J82" s="91">
        <f>'Balanço Patrimonial - Contábil'!J88</f>
        <v>29121.580099999999</v>
      </c>
      <c r="K82" s="91">
        <f>'Balanço Patrimonial - Contábil'!K88</f>
        <v>29121.580099999999</v>
      </c>
      <c r="L82" s="119">
        <f>L83*L$64</f>
        <v>34939.010513059977</v>
      </c>
      <c r="M82" s="92">
        <f t="shared" ref="M82" si="281">L82</f>
        <v>34939.010513059977</v>
      </c>
      <c r="N82" s="92">
        <f t="shared" ref="N82" si="282">N83*N$64</f>
        <v>39073.339063828505</v>
      </c>
      <c r="O82" s="92">
        <f t="shared" ref="O82" si="283">O83*O$64</f>
        <v>42727.384713081825</v>
      </c>
      <c r="P82" s="92">
        <f t="shared" ref="P82" si="284">P83*P$64</f>
        <v>46484.006172063113</v>
      </c>
      <c r="Q82" s="92">
        <f t="shared" ref="Q82" si="285">Q83*Q$64</f>
        <v>50279.988782750152</v>
      </c>
      <c r="R82" s="92">
        <f t="shared" ref="R82" si="286">R83*R$64</f>
        <v>54125.578024718277</v>
      </c>
      <c r="S82" s="92">
        <f t="shared" ref="S82" si="287">S83*S$64</f>
        <v>58018.62568465979</v>
      </c>
      <c r="T82" s="92">
        <f t="shared" ref="T82" si="288">T83*T$64</f>
        <v>62018.42486075691</v>
      </c>
      <c r="U82" s="92">
        <f t="shared" ref="U82" si="289">U83*U$64</f>
        <v>66098.803651853086</v>
      </c>
      <c r="V82" s="92">
        <f t="shared" ref="V82" si="290">V83*V$64</f>
        <v>70267.400858132532</v>
      </c>
      <c r="W82" s="128">
        <f>(I82/F82)^(1/3)-1</f>
        <v>6.4894028878281773E-3</v>
      </c>
      <c r="X82" s="180"/>
      <c r="Y82" s="32"/>
      <c r="Z82" s="32"/>
      <c r="AA82" s="32"/>
    </row>
    <row r="83" spans="5:27" ht="30" customHeight="1" x14ac:dyDescent="0.3">
      <c r="E83" s="110" t="s">
        <v>189</v>
      </c>
      <c r="F83" s="104">
        <f>F82/F$64</f>
        <v>6.2413907087091201E-4</v>
      </c>
      <c r="G83" s="104">
        <f t="shared" ref="G83:I83" si="291">G82/G$64</f>
        <v>2.4871051487021067E-4</v>
      </c>
      <c r="H83" s="104">
        <f t="shared" si="291"/>
        <v>4.0980191296499598E-4</v>
      </c>
      <c r="I83" s="104">
        <f t="shared" si="291"/>
        <v>2.5950366669382863E-4</v>
      </c>
      <c r="J83" s="104">
        <f t="shared" ref="J83:K83" si="292">J82/J$64</f>
        <v>7.5616654872444409E-4</v>
      </c>
      <c r="K83" s="104">
        <f t="shared" si="292"/>
        <v>7.5616654872444409E-4</v>
      </c>
      <c r="L83" s="105">
        <f>K83</f>
        <v>7.5616654872444409E-4</v>
      </c>
      <c r="M83" s="105">
        <f t="shared" si="201"/>
        <v>7.5616654872444409E-4</v>
      </c>
      <c r="N83" s="105">
        <f t="shared" ref="N83:V83" si="293">M83</f>
        <v>7.5616654872444409E-4</v>
      </c>
      <c r="O83" s="105">
        <f t="shared" si="293"/>
        <v>7.5616654872444409E-4</v>
      </c>
      <c r="P83" s="105">
        <f t="shared" si="293"/>
        <v>7.5616654872444409E-4</v>
      </c>
      <c r="Q83" s="105">
        <f t="shared" si="293"/>
        <v>7.5616654872444409E-4</v>
      </c>
      <c r="R83" s="105">
        <f t="shared" si="293"/>
        <v>7.5616654872444409E-4</v>
      </c>
      <c r="S83" s="105">
        <f t="shared" si="293"/>
        <v>7.5616654872444409E-4</v>
      </c>
      <c r="T83" s="105">
        <f t="shared" si="293"/>
        <v>7.5616654872444409E-4</v>
      </c>
      <c r="U83" s="105">
        <f t="shared" si="293"/>
        <v>7.5616654872444409E-4</v>
      </c>
      <c r="V83" s="105">
        <f t="shared" si="293"/>
        <v>7.5616654872444409E-4</v>
      </c>
      <c r="W83" s="116"/>
      <c r="X83" s="111" t="s">
        <v>363</v>
      </c>
      <c r="Y83" s="32"/>
      <c r="Z83" s="32"/>
      <c r="AA83" s="32"/>
    </row>
    <row r="84" spans="5:27" ht="30" customHeight="1" x14ac:dyDescent="0.3">
      <c r="E84" s="107" t="s">
        <v>101</v>
      </c>
      <c r="F84" s="91">
        <f>'Balanço Patrimonial - Contábil'!F90</f>
        <v>54454</v>
      </c>
      <c r="G84" s="91">
        <f>'Balanço Patrimonial - Contábil'!G90</f>
        <v>71095</v>
      </c>
      <c r="H84" s="91">
        <f>'Balanço Patrimonial - Contábil'!H90</f>
        <v>44758</v>
      </c>
      <c r="I84" s="91">
        <f>'Balanço Patrimonial - Contábil'!I90</f>
        <v>30892</v>
      </c>
      <c r="J84" s="91">
        <f>'Balanço Patrimonial - Contábil'!J90</f>
        <v>46713.625659999998</v>
      </c>
      <c r="K84" s="91">
        <f>'Balanço Patrimonial - Contábil'!K90</f>
        <v>46713.625659999998</v>
      </c>
      <c r="L84" s="119">
        <f>L85*L$64</f>
        <v>56045.305661071885</v>
      </c>
      <c r="M84" s="92">
        <f t="shared" ref="M84" si="294">L84</f>
        <v>56045.305661071885</v>
      </c>
      <c r="N84" s="92">
        <f t="shared" ref="N84" si="295">N85*N$64</f>
        <v>62677.139360097412</v>
      </c>
      <c r="O84" s="92">
        <f t="shared" ref="O84" si="296">O85*O$64</f>
        <v>68538.556220639643</v>
      </c>
      <c r="P84" s="92">
        <f t="shared" ref="P84" si="297">P85*P$64</f>
        <v>74564.513877421297</v>
      </c>
      <c r="Q84" s="92">
        <f t="shared" ref="Q84" si="298">Q85*Q$64</f>
        <v>80653.610350847332</v>
      </c>
      <c r="R84" s="92">
        <f t="shared" ref="R84" si="299">R85*R$64</f>
        <v>86822.280308815098</v>
      </c>
      <c r="S84" s="92">
        <f t="shared" ref="S84" si="300">S85*S$64</f>
        <v>93067.077824560023</v>
      </c>
      <c r="T84" s="92">
        <f t="shared" ref="T84" si="301">T85*T$64</f>
        <v>99483.114344068017</v>
      </c>
      <c r="U84" s="92">
        <f t="shared" ref="U84" si="302">U85*U$64</f>
        <v>106028.40779118665</v>
      </c>
      <c r="V84" s="92">
        <f t="shared" ref="V84" si="303">V85*V$64</f>
        <v>112715.21148634258</v>
      </c>
      <c r="W84" s="128">
        <f>(I84/F84)^(1/3)-1</f>
        <v>-0.17217460239263083</v>
      </c>
      <c r="X84" s="180"/>
      <c r="Y84" s="32"/>
      <c r="Z84" s="32"/>
      <c r="AA84" s="32"/>
    </row>
    <row r="85" spans="5:27" ht="30" customHeight="1" x14ac:dyDescent="0.3">
      <c r="E85" s="110" t="s">
        <v>189</v>
      </c>
      <c r="F85" s="104">
        <f>F84/F$64</f>
        <v>3.7625228567701365E-3</v>
      </c>
      <c r="G85" s="104">
        <f t="shared" ref="G85:I85" si="304">G84/G$64</f>
        <v>3.6899152868734618E-3</v>
      </c>
      <c r="H85" s="104">
        <f t="shared" si="304"/>
        <v>1.7445229237671E-3</v>
      </c>
      <c r="I85" s="104">
        <f t="shared" si="304"/>
        <v>8.704220707389526E-4</v>
      </c>
      <c r="J85" s="104">
        <f t="shared" ref="J85:K85" si="305">J84/J$64</f>
        <v>1.2129589456489633E-3</v>
      </c>
      <c r="K85" s="104">
        <f t="shared" si="305"/>
        <v>1.2129589456489633E-3</v>
      </c>
      <c r="L85" s="105">
        <f>K85</f>
        <v>1.2129589456489633E-3</v>
      </c>
      <c r="M85" s="105">
        <f t="shared" si="201"/>
        <v>1.2129589456489633E-3</v>
      </c>
      <c r="N85" s="105">
        <f t="shared" ref="N85:V85" si="306">M85</f>
        <v>1.2129589456489633E-3</v>
      </c>
      <c r="O85" s="105">
        <f t="shared" si="306"/>
        <v>1.2129589456489633E-3</v>
      </c>
      <c r="P85" s="105">
        <f t="shared" si="306"/>
        <v>1.2129589456489633E-3</v>
      </c>
      <c r="Q85" s="105">
        <f t="shared" si="306"/>
        <v>1.2129589456489633E-3</v>
      </c>
      <c r="R85" s="105">
        <f t="shared" si="306"/>
        <v>1.2129589456489633E-3</v>
      </c>
      <c r="S85" s="105">
        <f t="shared" si="306"/>
        <v>1.2129589456489633E-3</v>
      </c>
      <c r="T85" s="105">
        <f t="shared" si="306"/>
        <v>1.2129589456489633E-3</v>
      </c>
      <c r="U85" s="105">
        <f t="shared" si="306"/>
        <v>1.2129589456489633E-3</v>
      </c>
      <c r="V85" s="105">
        <f t="shared" si="306"/>
        <v>1.2129589456489633E-3</v>
      </c>
      <c r="W85" s="116"/>
      <c r="X85" s="111" t="s">
        <v>363</v>
      </c>
      <c r="Y85" s="32"/>
      <c r="Z85" s="32"/>
      <c r="AA85" s="32"/>
    </row>
    <row r="86" spans="5:27" ht="30" customHeight="1" x14ac:dyDescent="0.3">
      <c r="E86" s="107" t="s">
        <v>102</v>
      </c>
      <c r="F86" s="91">
        <f>'Balanço Patrimonial - Contábil'!F92</f>
        <v>736754</v>
      </c>
      <c r="G86" s="91">
        <f>'Balanço Patrimonial - Contábil'!G92</f>
        <v>666289</v>
      </c>
      <c r="H86" s="91">
        <f>'Balanço Patrimonial - Contábil'!H92</f>
        <v>600079</v>
      </c>
      <c r="I86" s="91">
        <f>'Balanço Patrimonial - Contábil'!I92</f>
        <v>438216</v>
      </c>
      <c r="J86" s="91">
        <f>'Balanço Patrimonial - Contábil'!J92</f>
        <v>422872.77214999998</v>
      </c>
      <c r="K86" s="91">
        <f>'Balanço Patrimonial - Contábil'!K92</f>
        <v>422872.77214999998</v>
      </c>
      <c r="L86" s="119">
        <f>L87*L$64</f>
        <v>507347.34108180023</v>
      </c>
      <c r="M86" s="92">
        <f t="shared" ref="M86" si="307">L86</f>
        <v>507347.34108180023</v>
      </c>
      <c r="N86" s="92">
        <f t="shared" ref="N86" si="308">N87*N$64</f>
        <v>567381.68568943988</v>
      </c>
      <c r="O86" s="92">
        <f t="shared" ref="O86" si="309">O87*O$64</f>
        <v>620441.87019716157</v>
      </c>
      <c r="P86" s="92">
        <f t="shared" ref="P86" si="310">P87*P$64</f>
        <v>674991.55207646301</v>
      </c>
      <c r="Q86" s="92">
        <f t="shared" ref="Q86" si="311">Q87*Q$64</f>
        <v>730112.79495210026</v>
      </c>
      <c r="R86" s="92">
        <f t="shared" ref="R86" si="312">R87*R$64</f>
        <v>785954.37283754186</v>
      </c>
      <c r="S86" s="92">
        <f t="shared" ref="S86" si="313">S87*S$64</f>
        <v>842485.09165219637</v>
      </c>
      <c r="T86" s="92">
        <f t="shared" ref="T86" si="314">T87*T$64</f>
        <v>900565.94302878343</v>
      </c>
      <c r="U86" s="92">
        <f t="shared" ref="U86" si="315">U87*U$64</f>
        <v>959816.88631166203</v>
      </c>
      <c r="V86" s="92">
        <f t="shared" ref="V86" si="316">V87*V$64</f>
        <v>1020348.8440743567</v>
      </c>
      <c r="W86" s="128">
        <f>(I86/F86)^(1/3)-1</f>
        <v>-0.15901436817248726</v>
      </c>
      <c r="X86" s="180"/>
      <c r="Y86" s="32"/>
      <c r="Z86" s="32"/>
      <c r="AA86" s="32"/>
    </row>
    <row r="87" spans="5:27" ht="30" customHeight="1" x14ac:dyDescent="0.3">
      <c r="E87" s="110" t="s">
        <v>189</v>
      </c>
      <c r="F87" s="104">
        <f>F86/F$64</f>
        <v>5.0906338649444029E-2</v>
      </c>
      <c r="G87" s="104">
        <f t="shared" ref="G87:I87" si="317">G86/G$64</f>
        <v>3.458119370666899E-2</v>
      </c>
      <c r="H87" s="104">
        <f t="shared" si="317"/>
        <v>2.3389149907753645E-2</v>
      </c>
      <c r="I87" s="104">
        <f t="shared" si="317"/>
        <v>1.2347302801726688E-2</v>
      </c>
      <c r="J87" s="104">
        <f t="shared" ref="J87:K87" si="318">J86/J$64</f>
        <v>1.0980250507293171E-2</v>
      </c>
      <c r="K87" s="104">
        <f t="shared" si="318"/>
        <v>1.0980250507293171E-2</v>
      </c>
      <c r="L87" s="105">
        <f>K87</f>
        <v>1.0980250507293171E-2</v>
      </c>
      <c r="M87" s="105">
        <f t="shared" si="201"/>
        <v>1.0980250507293171E-2</v>
      </c>
      <c r="N87" s="105">
        <f t="shared" ref="N87:V87" si="319">M87</f>
        <v>1.0980250507293171E-2</v>
      </c>
      <c r="O87" s="105">
        <f t="shared" si="319"/>
        <v>1.0980250507293171E-2</v>
      </c>
      <c r="P87" s="105">
        <f t="shared" si="319"/>
        <v>1.0980250507293171E-2</v>
      </c>
      <c r="Q87" s="105">
        <f t="shared" si="319"/>
        <v>1.0980250507293171E-2</v>
      </c>
      <c r="R87" s="105">
        <f t="shared" si="319"/>
        <v>1.0980250507293171E-2</v>
      </c>
      <c r="S87" s="105">
        <f t="shared" si="319"/>
        <v>1.0980250507293171E-2</v>
      </c>
      <c r="T87" s="105">
        <f t="shared" si="319"/>
        <v>1.0980250507293171E-2</v>
      </c>
      <c r="U87" s="105">
        <f t="shared" si="319"/>
        <v>1.0980250507293171E-2</v>
      </c>
      <c r="V87" s="105">
        <f t="shared" si="319"/>
        <v>1.0980250507293171E-2</v>
      </c>
      <c r="W87" s="116"/>
      <c r="X87" s="111" t="s">
        <v>363</v>
      </c>
      <c r="Y87" s="32"/>
      <c r="Z87" s="32"/>
      <c r="AA87" s="32"/>
    </row>
    <row r="88" spans="5:27" ht="30" customHeight="1" x14ac:dyDescent="0.3">
      <c r="E88" s="107" t="s">
        <v>103</v>
      </c>
      <c r="F88" s="124">
        <f>'Balanço Patrimonial - Contábil'!F94</f>
        <v>1568</v>
      </c>
      <c r="G88" s="124">
        <f>'Balanço Patrimonial - Contábil'!G94</f>
        <v>2787</v>
      </c>
      <c r="H88" s="124">
        <f>'Balanço Patrimonial - Contábil'!H94</f>
        <v>3220</v>
      </c>
      <c r="I88" s="124">
        <f>'Balanço Patrimonial - Contábil'!I94</f>
        <v>3392</v>
      </c>
      <c r="J88" s="124">
        <f>'Balanço Patrimonial - Contábil'!J94</f>
        <v>4906.5242900000003</v>
      </c>
      <c r="K88" s="124">
        <f>'Balanço Patrimonial - Contábil'!K94</f>
        <v>4906.5242900000003</v>
      </c>
      <c r="L88" s="92">
        <f>L89*L$64</f>
        <v>5886.6690324572792</v>
      </c>
      <c r="M88" s="92">
        <f t="shared" ref="M88" si="320">L88</f>
        <v>5886.6690324572792</v>
      </c>
      <c r="N88" s="92">
        <f t="shared" ref="N88" si="321">N89*N$64</f>
        <v>6583.2378102340826</v>
      </c>
      <c r="O88" s="92">
        <f t="shared" ref="O88" si="322">O89*O$64</f>
        <v>7198.8865378534401</v>
      </c>
      <c r="P88" s="92">
        <f t="shared" ref="P88" si="323">P89*P$64</f>
        <v>7831.8176622475785</v>
      </c>
      <c r="Q88" s="92">
        <f t="shared" ref="Q88" si="324">Q89*Q$64</f>
        <v>8471.3805163165289</v>
      </c>
      <c r="R88" s="92">
        <f t="shared" ref="R88" si="325">R89*R$64</f>
        <v>9119.3013008442649</v>
      </c>
      <c r="S88" s="92">
        <f t="shared" ref="S88" si="326">S89*S$64</f>
        <v>9775.2180759656367</v>
      </c>
      <c r="T88" s="92">
        <f t="shared" ref="T88" si="327">T89*T$64</f>
        <v>10449.120788155436</v>
      </c>
      <c r="U88" s="92">
        <f t="shared" ref="U88" si="328">U89*U$64</f>
        <v>11136.599887234755</v>
      </c>
      <c r="V88" s="92">
        <f t="shared" ref="V88" si="329">V89*V$64</f>
        <v>11838.942389860023</v>
      </c>
      <c r="W88" s="128">
        <f>(I88/F88)^(1/3)-1</f>
        <v>0.29331186465250525</v>
      </c>
      <c r="X88" s="109"/>
      <c r="Y88" s="32"/>
      <c r="Z88" s="32"/>
      <c r="AA88" s="32"/>
    </row>
    <row r="89" spans="5:27" ht="30" customHeight="1" x14ac:dyDescent="0.3">
      <c r="E89" s="110" t="s">
        <v>189</v>
      </c>
      <c r="F89" s="104">
        <f>F88/F$64</f>
        <v>1.0834164321106942E-4</v>
      </c>
      <c r="G89" s="104">
        <f t="shared" ref="G89:I89" si="330">G88/G$64</f>
        <v>1.446486237360762E-4</v>
      </c>
      <c r="H89" s="104">
        <f t="shared" si="330"/>
        <v>1.2550524631417987E-4</v>
      </c>
      <c r="I89" s="104">
        <f t="shared" si="330"/>
        <v>9.5573988862699964E-5</v>
      </c>
      <c r="J89" s="104">
        <f t="shared" ref="J89:K89" si="331">J88/J$64</f>
        <v>1.2740206835830153E-4</v>
      </c>
      <c r="K89" s="104">
        <f t="shared" si="331"/>
        <v>1.2740206835830153E-4</v>
      </c>
      <c r="L89" s="105">
        <f>K89</f>
        <v>1.2740206835830153E-4</v>
      </c>
      <c r="M89" s="105">
        <f t="shared" si="201"/>
        <v>1.2740206835830153E-4</v>
      </c>
      <c r="N89" s="105">
        <f t="shared" ref="N89:V89" si="332">M89</f>
        <v>1.2740206835830153E-4</v>
      </c>
      <c r="O89" s="105">
        <f t="shared" si="332"/>
        <v>1.2740206835830153E-4</v>
      </c>
      <c r="P89" s="105">
        <f t="shared" si="332"/>
        <v>1.2740206835830153E-4</v>
      </c>
      <c r="Q89" s="105">
        <f t="shared" si="332"/>
        <v>1.2740206835830153E-4</v>
      </c>
      <c r="R89" s="105">
        <f t="shared" si="332"/>
        <v>1.2740206835830153E-4</v>
      </c>
      <c r="S89" s="105">
        <f t="shared" si="332"/>
        <v>1.2740206835830153E-4</v>
      </c>
      <c r="T89" s="105">
        <f t="shared" si="332"/>
        <v>1.2740206835830153E-4</v>
      </c>
      <c r="U89" s="105">
        <f t="shared" si="332"/>
        <v>1.2740206835830153E-4</v>
      </c>
      <c r="V89" s="105">
        <f t="shared" si="332"/>
        <v>1.2740206835830153E-4</v>
      </c>
      <c r="W89" s="116"/>
      <c r="X89" s="111" t="s">
        <v>363</v>
      </c>
      <c r="Y89" s="32"/>
      <c r="Z89" s="32"/>
      <c r="AA89" s="32"/>
    </row>
    <row r="90" spans="5:27" ht="30" customHeight="1" x14ac:dyDescent="0.3">
      <c r="E90" s="107" t="s">
        <v>45</v>
      </c>
      <c r="F90" s="124">
        <f>'Balanço Patrimonial - Contábil'!F96</f>
        <v>54</v>
      </c>
      <c r="G90" s="124">
        <f>'Balanço Patrimonial - Contábil'!G96</f>
        <v>1</v>
      </c>
      <c r="H90" s="124">
        <f>'Balanço Patrimonial - Contábil'!H96</f>
        <v>0</v>
      </c>
      <c r="I90" s="124">
        <f>'Balanço Patrimonial - Contábil'!I96</f>
        <v>0</v>
      </c>
      <c r="J90" s="124">
        <f>'Balanço Patrimonial - Contábil'!J96</f>
        <v>0</v>
      </c>
      <c r="K90" s="124">
        <f>'Balanço Patrimonial - Contábil'!K96</f>
        <v>0</v>
      </c>
      <c r="L90" s="92">
        <f>L91*L$64</f>
        <v>0</v>
      </c>
      <c r="M90" s="92">
        <f t="shared" ref="M90" si="333">L90</f>
        <v>0</v>
      </c>
      <c r="N90" s="92">
        <f t="shared" ref="N90" si="334">N91*N$64</f>
        <v>0</v>
      </c>
      <c r="O90" s="92">
        <f t="shared" ref="O90" si="335">O91*O$64</f>
        <v>0</v>
      </c>
      <c r="P90" s="92">
        <f t="shared" ref="P90" si="336">P91*P$64</f>
        <v>0</v>
      </c>
      <c r="Q90" s="92">
        <f t="shared" ref="Q90" si="337">Q91*Q$64</f>
        <v>0</v>
      </c>
      <c r="R90" s="92">
        <f t="shared" ref="R90" si="338">R91*R$64</f>
        <v>0</v>
      </c>
      <c r="S90" s="92">
        <f t="shared" ref="S90" si="339">S91*S$64</f>
        <v>0</v>
      </c>
      <c r="T90" s="92">
        <f t="shared" ref="T90" si="340">T91*T$64</f>
        <v>0</v>
      </c>
      <c r="U90" s="92">
        <f t="shared" ref="U90" si="341">U91*U$64</f>
        <v>0</v>
      </c>
      <c r="V90" s="92">
        <f t="shared" ref="V90" si="342">V91*V$64</f>
        <v>0</v>
      </c>
      <c r="W90" s="128">
        <f>(I90/F90)^(1/3)-1</f>
        <v>-1</v>
      </c>
      <c r="X90" s="109"/>
      <c r="Y90" s="32"/>
      <c r="Z90" s="32"/>
      <c r="AA90" s="32"/>
    </row>
    <row r="91" spans="5:27" ht="30" customHeight="1" x14ac:dyDescent="0.3">
      <c r="E91" s="110" t="s">
        <v>189</v>
      </c>
      <c r="F91" s="104">
        <f>F90/F$64</f>
        <v>3.731153528952646E-6</v>
      </c>
      <c r="G91" s="104">
        <f t="shared" ref="G91:I91" si="343">G90/G$64</f>
        <v>5.1901192585603234E-8</v>
      </c>
      <c r="H91" s="104">
        <f t="shared" si="343"/>
        <v>0</v>
      </c>
      <c r="I91" s="104">
        <f t="shared" si="343"/>
        <v>0</v>
      </c>
      <c r="J91" s="104">
        <f t="shared" ref="J91:K91" si="344">J90/J$64</f>
        <v>0</v>
      </c>
      <c r="K91" s="104">
        <f t="shared" si="344"/>
        <v>0</v>
      </c>
      <c r="L91" s="105">
        <f>K91</f>
        <v>0</v>
      </c>
      <c r="M91" s="105">
        <f t="shared" si="201"/>
        <v>0</v>
      </c>
      <c r="N91" s="105">
        <f t="shared" ref="N91:V91" si="345">M91</f>
        <v>0</v>
      </c>
      <c r="O91" s="105">
        <f t="shared" si="345"/>
        <v>0</v>
      </c>
      <c r="P91" s="105">
        <f t="shared" si="345"/>
        <v>0</v>
      </c>
      <c r="Q91" s="105">
        <f t="shared" si="345"/>
        <v>0</v>
      </c>
      <c r="R91" s="105">
        <f t="shared" si="345"/>
        <v>0</v>
      </c>
      <c r="S91" s="105">
        <f t="shared" si="345"/>
        <v>0</v>
      </c>
      <c r="T91" s="105">
        <f t="shared" si="345"/>
        <v>0</v>
      </c>
      <c r="U91" s="105">
        <f t="shared" si="345"/>
        <v>0</v>
      </c>
      <c r="V91" s="105">
        <f t="shared" si="345"/>
        <v>0</v>
      </c>
      <c r="W91" s="116"/>
      <c r="X91" s="111" t="s">
        <v>363</v>
      </c>
      <c r="Y91" s="32"/>
      <c r="Z91" s="32"/>
      <c r="AA91" s="32"/>
    </row>
    <row r="92" spans="5:27" ht="30" customHeight="1" x14ac:dyDescent="0.3">
      <c r="E92" s="107" t="s">
        <v>58</v>
      </c>
      <c r="F92" s="124">
        <f>'Balanço Patrimonial - Contábil'!F98</f>
        <v>100326</v>
      </c>
      <c r="G92" s="124">
        <f>'Balanço Patrimonial - Contábil'!G98</f>
        <v>250682</v>
      </c>
      <c r="H92" s="124">
        <f>'Balanço Patrimonial - Contábil'!H98</f>
        <v>377990</v>
      </c>
      <c r="I92" s="124">
        <f>'Balanço Patrimonial - Contábil'!I98</f>
        <v>452062</v>
      </c>
      <c r="J92" s="124">
        <f>'Balanço Patrimonial - Contábil'!J98</f>
        <v>458259.79681000003</v>
      </c>
      <c r="K92" s="124">
        <f>'Balanço Patrimonial - Contábil'!K98</f>
        <v>458259.79681000003</v>
      </c>
      <c r="L92" s="92">
        <f>L93*L$64</f>
        <v>549803.40364351729</v>
      </c>
      <c r="M92" s="92">
        <f t="shared" ref="M92" si="346">L92</f>
        <v>549803.40364351729</v>
      </c>
      <c r="N92" s="92">
        <f t="shared" ref="N92" si="347">N93*N$64</f>
        <v>614861.56858907139</v>
      </c>
      <c r="O92" s="92">
        <f t="shared" ref="O92" si="348">O93*O$64</f>
        <v>672361.95871252113</v>
      </c>
      <c r="P92" s="92">
        <f t="shared" ref="P92" si="349">P93*P$64</f>
        <v>731476.49097943108</v>
      </c>
      <c r="Q92" s="92">
        <f t="shared" ref="Q92" si="350">Q93*Q$64</f>
        <v>791210.41386048158</v>
      </c>
      <c r="R92" s="92">
        <f t="shared" ref="R92" si="351">R93*R$64</f>
        <v>851724.95114134275</v>
      </c>
      <c r="S92" s="92">
        <f t="shared" ref="S92" si="352">S93*S$64</f>
        <v>912986.29834469885</v>
      </c>
      <c r="T92" s="92">
        <f t="shared" ref="T92" si="353">T93*T$64</f>
        <v>975927.4969824428</v>
      </c>
      <c r="U92" s="92">
        <f t="shared" ref="U92" si="354">U93*U$64</f>
        <v>1040136.7036702202</v>
      </c>
      <c r="V92" s="92">
        <f t="shared" ref="V92" si="355">V93*V$64</f>
        <v>1105734.1232529697</v>
      </c>
      <c r="W92" s="128">
        <f>(I92/F92)^(1/3)-1</f>
        <v>0.6516885885673509</v>
      </c>
      <c r="X92" s="109"/>
      <c r="Y92" s="32"/>
      <c r="Z92" s="32"/>
      <c r="AA92" s="32"/>
    </row>
    <row r="93" spans="5:27" ht="30" customHeight="1" x14ac:dyDescent="0.3">
      <c r="E93" s="110" t="s">
        <v>189</v>
      </c>
      <c r="F93" s="104">
        <f>F92/F$64</f>
        <v>6.9320686841796882E-3</v>
      </c>
      <c r="G93" s="104">
        <f t="shared" ref="G93:I93" si="356">G92/G$64</f>
        <v>1.3010694759744189E-2</v>
      </c>
      <c r="H93" s="104">
        <f t="shared" si="356"/>
        <v>1.4732834799471069E-2</v>
      </c>
      <c r="I93" s="104">
        <f t="shared" si="356"/>
        <v>1.2737431766877911E-2</v>
      </c>
      <c r="J93" s="104">
        <f t="shared" ref="J93:K93" si="357">J92/J$64</f>
        <v>1.1899104642779419E-2</v>
      </c>
      <c r="K93" s="104">
        <f t="shared" si="357"/>
        <v>1.1899104642779419E-2</v>
      </c>
      <c r="L93" s="105">
        <f>K93</f>
        <v>1.1899104642779419E-2</v>
      </c>
      <c r="M93" s="105">
        <f t="shared" si="201"/>
        <v>1.1899104642779419E-2</v>
      </c>
      <c r="N93" s="105">
        <f t="shared" ref="N93:V93" si="358">M93</f>
        <v>1.1899104642779419E-2</v>
      </c>
      <c r="O93" s="105">
        <f t="shared" si="358"/>
        <v>1.1899104642779419E-2</v>
      </c>
      <c r="P93" s="105">
        <f t="shared" si="358"/>
        <v>1.1899104642779419E-2</v>
      </c>
      <c r="Q93" s="105">
        <f t="shared" si="358"/>
        <v>1.1899104642779419E-2</v>
      </c>
      <c r="R93" s="105">
        <f t="shared" si="358"/>
        <v>1.1899104642779419E-2</v>
      </c>
      <c r="S93" s="105">
        <f t="shared" si="358"/>
        <v>1.1899104642779419E-2</v>
      </c>
      <c r="T93" s="105">
        <f t="shared" si="358"/>
        <v>1.1899104642779419E-2</v>
      </c>
      <c r="U93" s="105">
        <f t="shared" si="358"/>
        <v>1.1899104642779419E-2</v>
      </c>
      <c r="V93" s="105">
        <f t="shared" si="358"/>
        <v>1.1899104642779419E-2</v>
      </c>
      <c r="W93" s="116"/>
      <c r="X93" s="111" t="s">
        <v>363</v>
      </c>
      <c r="Y93" s="32"/>
      <c r="Z93" s="32"/>
      <c r="AA93" s="32"/>
    </row>
    <row r="94" spans="5:27" ht="30" customHeight="1" x14ac:dyDescent="0.3">
      <c r="E94" s="107" t="s">
        <v>59</v>
      </c>
      <c r="F94" s="124">
        <f>'Balanço Patrimonial - Contábil'!F100</f>
        <v>6135762</v>
      </c>
      <c r="G94" s="124">
        <f>'Balanço Patrimonial - Contábil'!G100</f>
        <v>9253604</v>
      </c>
      <c r="H94" s="124">
        <f>'Balanço Patrimonial - Contábil'!H100</f>
        <v>15738193</v>
      </c>
      <c r="I94" s="124">
        <f>'Balanço Patrimonial - Contábil'!I100</f>
        <v>22300619</v>
      </c>
      <c r="J94" s="124">
        <f>'Balanço Patrimonial - Contábil'!J100</f>
        <v>24418444</v>
      </c>
      <c r="K94" s="124">
        <f>'Balanço Patrimonial - Contábil'!K100</f>
        <v>24418444</v>
      </c>
      <c r="L94" s="92">
        <f>L95*L$64</f>
        <v>29296359.218796864</v>
      </c>
      <c r="M94" s="92">
        <f t="shared" ref="M94" si="359">L94</f>
        <v>29296359.218796864</v>
      </c>
      <c r="N94" s="92">
        <f t="shared" ref="N94" si="360">N95*N$64</f>
        <v>32762993.578878939</v>
      </c>
      <c r="O94" s="92">
        <f t="shared" ref="O94" si="361">O95*O$64</f>
        <v>35826910.741112038</v>
      </c>
      <c r="P94" s="92">
        <f t="shared" ref="P94" si="362">P95*P$64</f>
        <v>38976837.716583155</v>
      </c>
      <c r="Q94" s="92">
        <f t="shared" ref="Q94" si="363">Q95*Q$64</f>
        <v>42159769.016524374</v>
      </c>
      <c r="R94" s="92">
        <f t="shared" ref="R94" si="364">R95*R$64</f>
        <v>45384295.4752381</v>
      </c>
      <c r="S94" s="92">
        <f t="shared" ref="S94" si="365">S95*S$64</f>
        <v>48648615.815933242</v>
      </c>
      <c r="T94" s="92">
        <f t="shared" ref="T94" si="366">T95*T$64</f>
        <v>52002447.299574941</v>
      </c>
      <c r="U94" s="92">
        <f t="shared" ref="U94" si="367">U95*U$64</f>
        <v>55423844.787864722</v>
      </c>
      <c r="V94" s="92">
        <f t="shared" ref="V94" si="368">V95*V$64</f>
        <v>58919213.414517336</v>
      </c>
      <c r="W94" s="128">
        <f>(I94/F94)^(1/3)-1</f>
        <v>0.5375035864811093</v>
      </c>
      <c r="X94" s="109"/>
      <c r="Y94" s="32"/>
      <c r="Z94" s="32"/>
      <c r="AA94" s="32"/>
    </row>
    <row r="95" spans="5:27" ht="30" customHeight="1" x14ac:dyDescent="0.3">
      <c r="E95" s="110" t="s">
        <v>189</v>
      </c>
      <c r="F95" s="104">
        <f>F94/F$64</f>
        <v>0.42395314887247304</v>
      </c>
      <c r="G95" s="104">
        <f t="shared" ref="G95:I95" si="369">G94/G$64</f>
        <v>0.48027308331490842</v>
      </c>
      <c r="H95" s="104">
        <f t="shared" si="369"/>
        <v>0.61342415807611839</v>
      </c>
      <c r="I95" s="104">
        <f t="shared" si="369"/>
        <v>0.62834879479284056</v>
      </c>
      <c r="J95" s="104">
        <f t="shared" ref="J95:K95" si="370">J94/J$64</f>
        <v>0.63404562737655534</v>
      </c>
      <c r="K95" s="104">
        <f t="shared" si="370"/>
        <v>0.63404562737655534</v>
      </c>
      <c r="L95" s="105">
        <f>K95</f>
        <v>0.63404562737655534</v>
      </c>
      <c r="M95" s="105">
        <f t="shared" si="201"/>
        <v>0.63404562737655534</v>
      </c>
      <c r="N95" s="105">
        <f t="shared" ref="N95:V95" si="371">M95</f>
        <v>0.63404562737655534</v>
      </c>
      <c r="O95" s="105">
        <f t="shared" si="371"/>
        <v>0.63404562737655534</v>
      </c>
      <c r="P95" s="105">
        <f t="shared" si="371"/>
        <v>0.63404562737655534</v>
      </c>
      <c r="Q95" s="105">
        <f t="shared" si="371"/>
        <v>0.63404562737655534</v>
      </c>
      <c r="R95" s="105">
        <f t="shared" si="371"/>
        <v>0.63404562737655534</v>
      </c>
      <c r="S95" s="105">
        <f t="shared" si="371"/>
        <v>0.63404562737655534</v>
      </c>
      <c r="T95" s="105">
        <f t="shared" si="371"/>
        <v>0.63404562737655534</v>
      </c>
      <c r="U95" s="105">
        <f t="shared" si="371"/>
        <v>0.63404562737655534</v>
      </c>
      <c r="V95" s="105">
        <f t="shared" si="371"/>
        <v>0.63404562737655534</v>
      </c>
      <c r="W95" s="116"/>
      <c r="X95" s="111" t="s">
        <v>363</v>
      </c>
      <c r="Y95" s="32"/>
      <c r="Z95" s="32"/>
      <c r="AA95" s="32"/>
    </row>
    <row r="96" spans="5:27" ht="30" customHeight="1" x14ac:dyDescent="0.3">
      <c r="E96" s="107" t="s">
        <v>107</v>
      </c>
      <c r="F96" s="124">
        <f>'Balanço Patrimonial - Contábil'!F106</f>
        <v>112075</v>
      </c>
      <c r="G96" s="124">
        <f>'Balanço Patrimonial - Contábil'!G106</f>
        <v>102101</v>
      </c>
      <c r="H96" s="124">
        <f>'Balanço Patrimonial - Contábil'!H106</f>
        <v>153778</v>
      </c>
      <c r="I96" s="124">
        <f>'Balanço Patrimonial - Contábil'!I106</f>
        <v>155065</v>
      </c>
      <c r="J96" s="124">
        <f>'Balanço Patrimonial - Contábil'!J106</f>
        <v>149461.68381000002</v>
      </c>
      <c r="K96" s="124">
        <f>'Balanço Patrimonial - Contábil'!K106</f>
        <v>149461.68381000002</v>
      </c>
      <c r="L96" s="92">
        <f>L97*L$64</f>
        <v>179318.68133546904</v>
      </c>
      <c r="M96" s="92">
        <f t="shared" ref="M96" si="372">L96</f>
        <v>179318.68133546904</v>
      </c>
      <c r="N96" s="92">
        <f t="shared" ref="N96" si="373">N97*N$64</f>
        <v>200537.43747781246</v>
      </c>
      <c r="O96" s="92">
        <f t="shared" ref="O96" si="374">O97*O$64</f>
        <v>219291.22122102376</v>
      </c>
      <c r="P96" s="92">
        <f t="shared" ref="P96" si="375">P97*P$64</f>
        <v>238571.45830871267</v>
      </c>
      <c r="Q96" s="92">
        <f t="shared" ref="Q96" si="376">Q97*Q$64</f>
        <v>258053.70998456745</v>
      </c>
      <c r="R96" s="92">
        <f t="shared" ref="R96" si="377">R97*R$64</f>
        <v>277790.55947461893</v>
      </c>
      <c r="S96" s="92">
        <f t="shared" ref="S96" si="378">S97*S$64</f>
        <v>297770.98143006902</v>
      </c>
      <c r="T96" s="92">
        <f t="shared" ref="T96" si="379">T97*T$64</f>
        <v>318299.2878512349</v>
      </c>
      <c r="U96" s="92">
        <f t="shared" ref="U96" si="380">U97*U$64</f>
        <v>339241.15579266043</v>
      </c>
      <c r="V96" s="92">
        <f t="shared" ref="V96" si="381">V97*V$64</f>
        <v>360635.79013038264</v>
      </c>
      <c r="W96" s="128">
        <f>(I96/F96)^(1/3)-1</f>
        <v>0.11429884060828965</v>
      </c>
      <c r="X96" s="109"/>
      <c r="Y96" s="32"/>
      <c r="Z96" s="32"/>
      <c r="AA96" s="32"/>
    </row>
    <row r="97" spans="5:27" ht="30" customHeight="1" x14ac:dyDescent="0.3">
      <c r="E97" s="110" t="s">
        <v>189</v>
      </c>
      <c r="F97" s="104">
        <f>F96/F$64</f>
        <v>7.743870958469774E-3</v>
      </c>
      <c r="G97" s="104">
        <f t="shared" ref="G97:I97" si="382">G96/G$64</f>
        <v>5.2991636641826758E-3</v>
      </c>
      <c r="H97" s="104">
        <f t="shared" si="382"/>
        <v>5.9937719775471892E-3</v>
      </c>
      <c r="I97" s="104">
        <f t="shared" si="382"/>
        <v>4.3691570114960405E-3</v>
      </c>
      <c r="J97" s="104">
        <f t="shared" ref="J97:K97" si="383">J96/J$64</f>
        <v>3.8808994987587172E-3</v>
      </c>
      <c r="K97" s="104">
        <f t="shared" si="383"/>
        <v>3.8808994987587172E-3</v>
      </c>
      <c r="L97" s="105">
        <f>K97</f>
        <v>3.8808994987587172E-3</v>
      </c>
      <c r="M97" s="105">
        <f t="shared" si="201"/>
        <v>3.8808994987587172E-3</v>
      </c>
      <c r="N97" s="105">
        <f t="shared" ref="N97:V97" si="384">M97</f>
        <v>3.8808994987587172E-3</v>
      </c>
      <c r="O97" s="105">
        <f t="shared" si="384"/>
        <v>3.8808994987587172E-3</v>
      </c>
      <c r="P97" s="105">
        <f t="shared" si="384"/>
        <v>3.8808994987587172E-3</v>
      </c>
      <c r="Q97" s="105">
        <f t="shared" si="384"/>
        <v>3.8808994987587172E-3</v>
      </c>
      <c r="R97" s="105">
        <f t="shared" si="384"/>
        <v>3.8808994987587172E-3</v>
      </c>
      <c r="S97" s="105">
        <f t="shared" si="384"/>
        <v>3.8808994987587172E-3</v>
      </c>
      <c r="T97" s="105">
        <f t="shared" si="384"/>
        <v>3.8808994987587172E-3</v>
      </c>
      <c r="U97" s="105">
        <f t="shared" si="384"/>
        <v>3.8808994987587172E-3</v>
      </c>
      <c r="V97" s="105">
        <f t="shared" si="384"/>
        <v>3.8808994987587172E-3</v>
      </c>
      <c r="W97" s="116"/>
      <c r="X97" s="111" t="s">
        <v>363</v>
      </c>
      <c r="Y97" s="32"/>
      <c r="Z97" s="32"/>
      <c r="AA97" s="32"/>
    </row>
    <row r="98" spans="5:27" ht="30" customHeight="1" x14ac:dyDescent="0.3">
      <c r="E98" s="107" t="s">
        <v>108</v>
      </c>
      <c r="F98" s="124">
        <f>'Balanço Patrimonial - Contábil'!F108</f>
        <v>0</v>
      </c>
      <c r="G98" s="124">
        <f>'Balanço Patrimonial - Contábil'!G108</f>
        <v>1000347</v>
      </c>
      <c r="H98" s="124">
        <f>'Balanço Patrimonial - Contábil'!H108</f>
        <v>0</v>
      </c>
      <c r="I98" s="124">
        <f>'Balanço Patrimonial - Contábil'!I108</f>
        <v>0</v>
      </c>
      <c r="J98" s="124">
        <f>'Balanço Patrimonial - Contábil'!J108</f>
        <v>0</v>
      </c>
      <c r="K98" s="124">
        <f>'Balanço Patrimonial - Contábil'!K108</f>
        <v>0</v>
      </c>
      <c r="L98" s="92">
        <f>L99*L$64</f>
        <v>0</v>
      </c>
      <c r="M98" s="92">
        <f t="shared" ref="M98" si="385">L98</f>
        <v>0</v>
      </c>
      <c r="N98" s="92">
        <f t="shared" ref="N98" si="386">N99*N$64</f>
        <v>0</v>
      </c>
      <c r="O98" s="92">
        <f t="shared" ref="O98" si="387">O99*O$64</f>
        <v>0</v>
      </c>
      <c r="P98" s="92">
        <f t="shared" ref="P98" si="388">P99*P$64</f>
        <v>0</v>
      </c>
      <c r="Q98" s="92">
        <f t="shared" ref="Q98" si="389">Q99*Q$64</f>
        <v>0</v>
      </c>
      <c r="R98" s="92">
        <f t="shared" ref="R98" si="390">R99*R$64</f>
        <v>0</v>
      </c>
      <c r="S98" s="92">
        <f t="shared" ref="S98" si="391">S99*S$64</f>
        <v>0</v>
      </c>
      <c r="T98" s="92">
        <f t="shared" ref="T98" si="392">T99*T$64</f>
        <v>0</v>
      </c>
      <c r="U98" s="92">
        <f t="shared" ref="U98" si="393">U99*U$64</f>
        <v>0</v>
      </c>
      <c r="V98" s="92">
        <f t="shared" ref="V98" si="394">V99*V$64</f>
        <v>0</v>
      </c>
      <c r="W98" s="128" t="e">
        <f>(I98/F98)^(1/3)-1</f>
        <v>#DIV/0!</v>
      </c>
      <c r="X98" s="109"/>
      <c r="Y98" s="32"/>
      <c r="Z98" s="32"/>
      <c r="AA98" s="32"/>
    </row>
    <row r="99" spans="5:27" ht="30" customHeight="1" x14ac:dyDescent="0.3">
      <c r="E99" s="110" t="s">
        <v>189</v>
      </c>
      <c r="F99" s="104">
        <f>F98/F$64</f>
        <v>0</v>
      </c>
      <c r="G99" s="104">
        <f t="shared" ref="G99:I99" si="395">G98/G$64</f>
        <v>5.1919202299430436E-2</v>
      </c>
      <c r="H99" s="104">
        <f t="shared" si="395"/>
        <v>0</v>
      </c>
      <c r="I99" s="104">
        <f t="shared" si="395"/>
        <v>0</v>
      </c>
      <c r="J99" s="104">
        <f t="shared" ref="J99:K99" si="396">J98/J$64</f>
        <v>0</v>
      </c>
      <c r="K99" s="104">
        <f t="shared" si="396"/>
        <v>0</v>
      </c>
      <c r="L99" s="105">
        <f>K99</f>
        <v>0</v>
      </c>
      <c r="M99" s="105">
        <f t="shared" si="201"/>
        <v>0</v>
      </c>
      <c r="N99" s="105">
        <f t="shared" ref="N99:V99" si="397">M99</f>
        <v>0</v>
      </c>
      <c r="O99" s="105">
        <f t="shared" si="397"/>
        <v>0</v>
      </c>
      <c r="P99" s="105">
        <f t="shared" si="397"/>
        <v>0</v>
      </c>
      <c r="Q99" s="105">
        <f t="shared" si="397"/>
        <v>0</v>
      </c>
      <c r="R99" s="105">
        <f t="shared" si="397"/>
        <v>0</v>
      </c>
      <c r="S99" s="105">
        <f t="shared" si="397"/>
        <v>0</v>
      </c>
      <c r="T99" s="105">
        <f t="shared" si="397"/>
        <v>0</v>
      </c>
      <c r="U99" s="105">
        <f t="shared" si="397"/>
        <v>0</v>
      </c>
      <c r="V99" s="105">
        <f t="shared" si="397"/>
        <v>0</v>
      </c>
      <c r="W99" s="116"/>
      <c r="X99" s="111" t="s">
        <v>363</v>
      </c>
      <c r="Y99" s="32"/>
      <c r="Z99" s="32"/>
      <c r="AA99" s="32"/>
    </row>
    <row r="100" spans="5:27" ht="30" customHeight="1" x14ac:dyDescent="0.3">
      <c r="E100" s="107" t="s">
        <v>109</v>
      </c>
      <c r="F100" s="124">
        <f>'Balanço Patrimonial - Contábil'!F110</f>
        <v>1027676</v>
      </c>
      <c r="G100" s="124">
        <f>'Balanço Patrimonial - Contábil'!G110</f>
        <v>1043951</v>
      </c>
      <c r="H100" s="124">
        <f>'Balanço Patrimonial - Contábil'!H110</f>
        <v>0</v>
      </c>
      <c r="I100" s="124">
        <f>'Balanço Patrimonial - Contábil'!I110</f>
        <v>0</v>
      </c>
      <c r="J100" s="124">
        <f>'Balanço Patrimonial - Contábil'!J110</f>
        <v>0</v>
      </c>
      <c r="K100" s="124">
        <f>'Balanço Patrimonial - Contábil'!K110</f>
        <v>0</v>
      </c>
      <c r="L100" s="92">
        <f>L101*L$64</f>
        <v>0</v>
      </c>
      <c r="M100" s="92">
        <f t="shared" ref="M100" si="398">L100</f>
        <v>0</v>
      </c>
      <c r="N100" s="92">
        <f t="shared" ref="N100" si="399">N101*N$64</f>
        <v>0</v>
      </c>
      <c r="O100" s="92">
        <f t="shared" ref="O100" si="400">O101*O$64</f>
        <v>0</v>
      </c>
      <c r="P100" s="92">
        <f t="shared" ref="P100" si="401">P101*P$64</f>
        <v>0</v>
      </c>
      <c r="Q100" s="92">
        <f t="shared" ref="Q100" si="402">Q101*Q$64</f>
        <v>0</v>
      </c>
      <c r="R100" s="92">
        <f t="shared" ref="R100" si="403">R101*R$64</f>
        <v>0</v>
      </c>
      <c r="S100" s="92">
        <f t="shared" ref="S100" si="404">S101*S$64</f>
        <v>0</v>
      </c>
      <c r="T100" s="92">
        <f t="shared" ref="T100" si="405">T101*T$64</f>
        <v>0</v>
      </c>
      <c r="U100" s="92">
        <f t="shared" ref="U100" si="406">U101*U$64</f>
        <v>0</v>
      </c>
      <c r="V100" s="92">
        <f t="shared" ref="V100" si="407">V101*V$64</f>
        <v>0</v>
      </c>
      <c r="W100" s="128">
        <f>(I100/F100)^(1/3)-1</f>
        <v>-1</v>
      </c>
      <c r="X100" s="109"/>
      <c r="Y100" s="32"/>
      <c r="Z100" s="32"/>
      <c r="AA100" s="32"/>
    </row>
    <row r="101" spans="5:27" ht="30" customHeight="1" x14ac:dyDescent="0.3">
      <c r="E101" s="110" t="s">
        <v>189</v>
      </c>
      <c r="F101" s="104">
        <f>F100/F$64</f>
        <v>7.1007721000369242E-2</v>
      </c>
      <c r="G101" s="104">
        <f t="shared" ref="G101:I101" si="408">G100/G$64</f>
        <v>5.418230190093308E-2</v>
      </c>
      <c r="H101" s="104">
        <f t="shared" si="408"/>
        <v>0</v>
      </c>
      <c r="I101" s="104">
        <f t="shared" si="408"/>
        <v>0</v>
      </c>
      <c r="J101" s="104">
        <f t="shared" ref="J101:K101" si="409">J100/J$64</f>
        <v>0</v>
      </c>
      <c r="K101" s="104">
        <f t="shared" si="409"/>
        <v>0</v>
      </c>
      <c r="L101" s="105">
        <f>K101</f>
        <v>0</v>
      </c>
      <c r="M101" s="105">
        <f t="shared" si="201"/>
        <v>0</v>
      </c>
      <c r="N101" s="105">
        <f t="shared" ref="N101:V101" si="410">M101</f>
        <v>0</v>
      </c>
      <c r="O101" s="105">
        <f t="shared" si="410"/>
        <v>0</v>
      </c>
      <c r="P101" s="105">
        <f t="shared" si="410"/>
        <v>0</v>
      </c>
      <c r="Q101" s="105">
        <f t="shared" si="410"/>
        <v>0</v>
      </c>
      <c r="R101" s="105">
        <f t="shared" si="410"/>
        <v>0</v>
      </c>
      <c r="S101" s="105">
        <f t="shared" si="410"/>
        <v>0</v>
      </c>
      <c r="T101" s="105">
        <f t="shared" si="410"/>
        <v>0</v>
      </c>
      <c r="U101" s="105">
        <f t="shared" si="410"/>
        <v>0</v>
      </c>
      <c r="V101" s="105">
        <f t="shared" si="410"/>
        <v>0</v>
      </c>
      <c r="W101" s="116"/>
      <c r="X101" s="111" t="s">
        <v>363</v>
      </c>
      <c r="Y101" s="32"/>
      <c r="Z101" s="32"/>
      <c r="AA101" s="32"/>
    </row>
    <row r="102" spans="5:27" ht="30" customHeight="1" x14ac:dyDescent="0.3">
      <c r="E102" s="98" t="s">
        <v>190</v>
      </c>
      <c r="F102" s="166">
        <f>'Balanço Patrimonial - Contábil'!F125</f>
        <v>2416797</v>
      </c>
      <c r="G102" s="166">
        <f>'Balanço Patrimonial - Contábil'!G125</f>
        <v>2944953</v>
      </c>
      <c r="H102" s="166">
        <f>'Balanço Patrimonial - Contábil'!H125</f>
        <v>4841380</v>
      </c>
      <c r="I102" s="166">
        <f>'Balanço Patrimonial - Contábil'!I125</f>
        <v>5883325</v>
      </c>
      <c r="J102" s="166">
        <f>'Balanço Patrimonial - Contábil'!J125</f>
        <v>5907205.7208599998</v>
      </c>
      <c r="K102" s="166">
        <f>'Balanço Patrimonial - Contábil'!K125</f>
        <v>5907205.7208599998</v>
      </c>
      <c r="L102" s="100">
        <f>'Projeções Trimestrais'!J18</f>
        <v>6494359.875277305</v>
      </c>
      <c r="M102" s="100">
        <f>L102</f>
        <v>6494359.875277305</v>
      </c>
      <c r="N102" s="100">
        <f>'Balanço Patrimonial - Contábil'!N125</f>
        <v>7632266.3217517175</v>
      </c>
      <c r="O102" s="100">
        <f>'Balanço Patrimonial - Contábil'!O125</f>
        <v>8625252.9814539887</v>
      </c>
      <c r="P102" s="100">
        <f>'Balanço Patrimonial - Contábil'!P125</f>
        <v>9678286.884385664</v>
      </c>
      <c r="Q102" s="100">
        <f>'Balanço Patrimonial - Contábil'!Q125</f>
        <v>10778927.723483004</v>
      </c>
      <c r="R102" s="100">
        <f>'Balanço Patrimonial - Contábil'!R125</f>
        <v>11930969.002226524</v>
      </c>
      <c r="S102" s="100">
        <f>'Balanço Patrimonial - Contábil'!S125</f>
        <v>13135431.469880886</v>
      </c>
      <c r="T102" s="100">
        <f>'Balanço Patrimonial - Contábil'!T125</f>
        <v>14408475.20870889</v>
      </c>
      <c r="U102" s="100">
        <f>'Balanço Patrimonial - Contábil'!U125</f>
        <v>15745968.180412542</v>
      </c>
      <c r="V102" s="100">
        <f>'Balanço Patrimonial - Contábil'!V125</f>
        <v>17151979.38863169</v>
      </c>
      <c r="W102" s="128">
        <f>(I102/F102)^(1/3)-1</f>
        <v>0.34522280844002373</v>
      </c>
      <c r="X102" s="181"/>
      <c r="Y102" s="32"/>
      <c r="Z102" s="32"/>
      <c r="AA102" s="32"/>
    </row>
    <row r="103" spans="5:27" ht="30" customHeight="1" x14ac:dyDescent="0.3">
      <c r="E103" s="115" t="s">
        <v>191</v>
      </c>
      <c r="F103" s="176" t="s">
        <v>21</v>
      </c>
      <c r="G103" s="176">
        <f>G102/F102-1</f>
        <v>0.21853552449792013</v>
      </c>
      <c r="H103" s="176">
        <f t="shared" ref="H103:I103" si="411">H102/G102-1</f>
        <v>0.64395832463200597</v>
      </c>
      <c r="I103" s="176">
        <f t="shared" si="411"/>
        <v>0.21521652917143452</v>
      </c>
      <c r="J103" s="397"/>
      <c r="K103" s="247"/>
      <c r="L103" s="177"/>
      <c r="M103" s="140">
        <f>M102/I102-1</f>
        <v>0.10385876613603795</v>
      </c>
      <c r="N103" s="140">
        <f t="shared" ref="N103" si="412">N102/M102-1</f>
        <v>0.17521456591991291</v>
      </c>
      <c r="O103" s="140">
        <f>O102/N102-1</f>
        <v>0.13010377492623526</v>
      </c>
      <c r="P103" s="140">
        <f t="shared" ref="P103" si="413">P102/O102-1</f>
        <v>0.1220873063312935</v>
      </c>
      <c r="Q103" s="140">
        <f t="shared" ref="Q103" si="414">Q102/P102-1</f>
        <v>0.11372269206785379</v>
      </c>
      <c r="R103" s="140">
        <f t="shared" ref="R103" si="415">R102/Q102-1</f>
        <v>0.10687902436099272</v>
      </c>
      <c r="S103" s="140">
        <f t="shared" ref="S103" si="416">S102/R102-1</f>
        <v>0.10095261059094107</v>
      </c>
      <c r="T103" s="140">
        <f t="shared" ref="T103" si="417">T102/S102-1</f>
        <v>9.6916781283283404E-2</v>
      </c>
      <c r="U103" s="140">
        <f t="shared" ref="U103" si="418">U102/T102-1</f>
        <v>9.2826822570040823E-2</v>
      </c>
      <c r="V103" s="140">
        <f t="shared" ref="V103" si="419">V102/U102-1</f>
        <v>8.9293410993182221E-2</v>
      </c>
      <c r="W103" s="116"/>
      <c r="X103" s="111" t="s">
        <v>363</v>
      </c>
      <c r="Y103" s="32"/>
      <c r="Z103" s="32"/>
      <c r="AA103" s="32"/>
    </row>
    <row r="104" spans="5:27" ht="30" customHeight="1" x14ac:dyDescent="0.3">
      <c r="E104" s="98" t="s">
        <v>238</v>
      </c>
      <c r="F104" s="166">
        <f>F185*10^6</f>
        <v>14500000</v>
      </c>
      <c r="G104" s="166">
        <f t="shared" ref="G104:L104" si="420">G185*10^6</f>
        <v>24500000</v>
      </c>
      <c r="H104" s="166">
        <f t="shared" si="420"/>
        <v>32600000</v>
      </c>
      <c r="I104" s="166">
        <f t="shared" si="420"/>
        <v>37500000</v>
      </c>
      <c r="J104" s="166">
        <f>J185*10^6</f>
        <v>37500000</v>
      </c>
      <c r="K104" s="166">
        <f t="shared" si="420"/>
        <v>37500000</v>
      </c>
      <c r="L104" s="100">
        <f t="shared" si="420"/>
        <v>47001290.494597338</v>
      </c>
      <c r="M104" s="100">
        <f>M185*10^6</f>
        <v>47001290.494597338</v>
      </c>
      <c r="N104" s="100">
        <f>N185*10^6</f>
        <v>53041496.981124073</v>
      </c>
      <c r="O104" s="100">
        <f t="shared" ref="O104:V104" si="421">O185*10^6</f>
        <v>58525114.27578412</v>
      </c>
      <c r="P104" s="100">
        <f t="shared" si="421"/>
        <v>64239995.04889214</v>
      </c>
      <c r="Q104" s="100">
        <f t="shared" si="421"/>
        <v>70101772.534169152</v>
      </c>
      <c r="R104" s="100">
        <f t="shared" si="421"/>
        <v>76126302.972998276</v>
      </c>
      <c r="S104" s="100">
        <f t="shared" si="421"/>
        <v>82312361.314259484</v>
      </c>
      <c r="T104" s="100">
        <f t="shared" si="421"/>
        <v>88746537.971787199</v>
      </c>
      <c r="U104" s="100">
        <f t="shared" si="421"/>
        <v>95394983.497655287</v>
      </c>
      <c r="V104" s="100">
        <f t="shared" si="421"/>
        <v>102271776.59342983</v>
      </c>
      <c r="W104" s="128">
        <f>(I104/F104)^(1/3)-1</f>
        <v>0.37263295609733538</v>
      </c>
      <c r="X104" s="181"/>
      <c r="Y104" s="32"/>
      <c r="Z104" s="32"/>
      <c r="AA104" s="32"/>
    </row>
    <row r="105" spans="5:27" ht="30" customHeight="1" x14ac:dyDescent="0.3">
      <c r="E105" s="115" t="s">
        <v>239</v>
      </c>
      <c r="F105" s="182" t="s">
        <v>21</v>
      </c>
      <c r="G105" s="182">
        <f>G104/F104-1</f>
        <v>0.68965517241379315</v>
      </c>
      <c r="H105" s="182">
        <f t="shared" ref="H105:I105" si="422">H104/G104-1</f>
        <v>0.33061224489795915</v>
      </c>
      <c r="I105" s="182">
        <f t="shared" si="422"/>
        <v>0.15030674846625769</v>
      </c>
      <c r="J105" s="182"/>
      <c r="K105" s="182"/>
      <c r="L105" s="183"/>
      <c r="M105" s="183">
        <f>M104/I104-1</f>
        <v>0.25336774652259564</v>
      </c>
      <c r="N105" s="183">
        <f>N104/M104-1</f>
        <v>0.12851150304524173</v>
      </c>
      <c r="O105" s="183">
        <f t="shared" ref="O105" si="423">O104/N104-1</f>
        <v>0.10338353189035199</v>
      </c>
      <c r="P105" s="183">
        <f t="shared" ref="P105" si="424">P104/O104-1</f>
        <v>9.7648348812753305E-2</v>
      </c>
      <c r="Q105" s="183">
        <f t="shared" ref="Q105" si="425">Q104/P104-1</f>
        <v>9.1248099891908518E-2</v>
      </c>
      <c r="R105" s="183">
        <f t="shared" ref="R105" si="426">R104/Q104-1</f>
        <v>8.5939773290220733E-2</v>
      </c>
      <c r="S105" s="183">
        <f t="shared" ref="S105" si="427">S104/R104-1</f>
        <v>8.1260459258810647E-2</v>
      </c>
      <c r="T105" s="183">
        <f t="shared" ref="T105" si="428">T104/S104-1</f>
        <v>7.8167805598028384E-2</v>
      </c>
      <c r="U105" s="183">
        <f t="shared" ref="U105" si="429">U104/T104-1</f>
        <v>7.4914984604601109E-2</v>
      </c>
      <c r="V105" s="183">
        <f t="shared" ref="V105" si="430">V104/U104-1</f>
        <v>7.2087575715588548E-2</v>
      </c>
      <c r="W105" s="184"/>
      <c r="X105" s="185"/>
      <c r="Y105" s="32"/>
      <c r="Z105" s="32"/>
      <c r="AA105" s="32"/>
    </row>
    <row r="106" spans="5:27" ht="30" customHeight="1" x14ac:dyDescent="0.3">
      <c r="E106" s="186" t="s">
        <v>240</v>
      </c>
      <c r="F106" s="187">
        <f>F104/F$38</f>
        <v>0.75645605243356873</v>
      </c>
      <c r="G106" s="187">
        <f t="shared" ref="G106:I106" si="431">G104/G$38</f>
        <v>0.99871809437087022</v>
      </c>
      <c r="H106" s="187">
        <f t="shared" si="431"/>
        <v>0.97069614248032809</v>
      </c>
      <c r="I106" s="187">
        <f t="shared" si="431"/>
        <v>0.84434013253798446</v>
      </c>
      <c r="J106" s="187">
        <f t="shared" ref="J106:K106" si="432">J104/J$38</f>
        <v>0.78985317155747881</v>
      </c>
      <c r="K106" s="187">
        <f t="shared" si="432"/>
        <v>0.78985317155747881</v>
      </c>
      <c r="L106" s="188">
        <f>L104/L$38</f>
        <v>0.82495658267634919</v>
      </c>
      <c r="M106" s="188">
        <f>M104/M$38</f>
        <v>0.82495658267634919</v>
      </c>
      <c r="N106" s="188">
        <f>M106+(($V$106-$M$106)/9)</f>
        <v>0.83246725187405346</v>
      </c>
      <c r="O106" s="188">
        <f t="shared" ref="O106:U106" si="433">N106+(($V$106-$M$106)/9)</f>
        <v>0.83997792107175773</v>
      </c>
      <c r="P106" s="188">
        <f t="shared" si="433"/>
        <v>0.84748859026946199</v>
      </c>
      <c r="Q106" s="188">
        <f t="shared" si="433"/>
        <v>0.85499925946716626</v>
      </c>
      <c r="R106" s="188">
        <f t="shared" si="433"/>
        <v>0.86250992866487053</v>
      </c>
      <c r="S106" s="188">
        <f t="shared" si="433"/>
        <v>0.8700205978625748</v>
      </c>
      <c r="T106" s="188">
        <f t="shared" si="433"/>
        <v>0.87753126706027906</v>
      </c>
      <c r="U106" s="188">
        <f t="shared" si="433"/>
        <v>0.88504193625798333</v>
      </c>
      <c r="V106" s="188">
        <f>AVERAGE(F106:I106)</f>
        <v>0.89255260545568793</v>
      </c>
      <c r="W106" s="189"/>
      <c r="X106" s="185" t="s">
        <v>408</v>
      </c>
      <c r="Y106" s="32"/>
      <c r="Z106" s="32"/>
      <c r="AA106" s="32"/>
    </row>
    <row r="107" spans="5:27" ht="30" customHeight="1" x14ac:dyDescent="0.3">
      <c r="E107" s="186" t="s">
        <v>192</v>
      </c>
      <c r="F107" s="187">
        <f>F102/F$38</f>
        <v>0.12608280814850287</v>
      </c>
      <c r="G107" s="187">
        <f t="shared" ref="G107:V107" si="434">G102/G$38</f>
        <v>0.12004807543558274</v>
      </c>
      <c r="H107" s="187">
        <f t="shared" si="434"/>
        <v>0.14415671442581016</v>
      </c>
      <c r="I107" s="187">
        <f t="shared" si="434"/>
        <v>0.13246739760704099</v>
      </c>
      <c r="J107" s="187">
        <f t="shared" ref="J107:M107" si="435">J102/J$38</f>
        <v>0.12442200463103344</v>
      </c>
      <c r="K107" s="187">
        <f t="shared" si="435"/>
        <v>0.12442200463103344</v>
      </c>
      <c r="L107" s="188">
        <f t="shared" si="435"/>
        <v>0.11398761338255177</v>
      </c>
      <c r="M107" s="188">
        <f t="shared" si="435"/>
        <v>0.11398761338255177</v>
      </c>
      <c r="N107" s="188">
        <f>N102/N$38</f>
        <v>0.11978567974242145</v>
      </c>
      <c r="O107" s="188">
        <f t="shared" si="434"/>
        <v>0.12379338609984512</v>
      </c>
      <c r="P107" s="188">
        <f t="shared" si="434"/>
        <v>0.12768116967675394</v>
      </c>
      <c r="Q107" s="188">
        <f t="shared" si="434"/>
        <v>0.13146565184119999</v>
      </c>
      <c r="R107" s="188">
        <f t="shared" si="434"/>
        <v>0.13517770890126124</v>
      </c>
      <c r="S107" s="188">
        <f t="shared" si="434"/>
        <v>0.13883814967933483</v>
      </c>
      <c r="T107" s="188">
        <f t="shared" si="434"/>
        <v>0.14247189575242317</v>
      </c>
      <c r="U107" s="188">
        <f t="shared" si="434"/>
        <v>0.14608569188537507</v>
      </c>
      <c r="V107" s="188">
        <f t="shared" si="434"/>
        <v>0.149689820613021</v>
      </c>
      <c r="W107" s="189"/>
      <c r="X107" s="190"/>
      <c r="Y107" s="32"/>
      <c r="Z107" s="32"/>
      <c r="AA107" s="32"/>
    </row>
    <row r="108" spans="5:27" ht="30" customHeight="1" thickBot="1" x14ac:dyDescent="0.35">
      <c r="E108" s="191" t="s">
        <v>193</v>
      </c>
      <c r="F108" s="192">
        <f>F64/F$38</f>
        <v>0.75503370637746192</v>
      </c>
      <c r="G108" s="192">
        <f t="shared" ref="G108:H108" si="436">G64/G$38</f>
        <v>0.78541555253548634</v>
      </c>
      <c r="H108" s="192">
        <f t="shared" si="436"/>
        <v>0.76394078217563677</v>
      </c>
      <c r="I108" s="192">
        <f>I64/I$38</f>
        <v>0.7991021444640749</v>
      </c>
      <c r="J108" s="192">
        <f t="shared" ref="J108:M108" si="437">J64/J$38</f>
        <v>0.81117129346883343</v>
      </c>
      <c r="K108" s="192">
        <f t="shared" si="437"/>
        <v>0.81117129346883343</v>
      </c>
      <c r="L108" s="193">
        <f>L64/L$38</f>
        <v>0.81098804135153624</v>
      </c>
      <c r="M108" s="193">
        <f t="shared" si="437"/>
        <v>0.81098804135153624</v>
      </c>
      <c r="N108" s="193">
        <f>M108</f>
        <v>0.81098804135153624</v>
      </c>
      <c r="O108" s="193">
        <f t="shared" ref="O108:V108" si="438">N108</f>
        <v>0.81098804135153624</v>
      </c>
      <c r="P108" s="193">
        <f t="shared" si="438"/>
        <v>0.81098804135153624</v>
      </c>
      <c r="Q108" s="193">
        <f t="shared" si="438"/>
        <v>0.81098804135153624</v>
      </c>
      <c r="R108" s="193">
        <f t="shared" si="438"/>
        <v>0.81098804135153624</v>
      </c>
      <c r="S108" s="193">
        <f t="shared" si="438"/>
        <v>0.81098804135153624</v>
      </c>
      <c r="T108" s="193">
        <f t="shared" si="438"/>
        <v>0.81098804135153624</v>
      </c>
      <c r="U108" s="193">
        <f t="shared" si="438"/>
        <v>0.81098804135153624</v>
      </c>
      <c r="V108" s="193">
        <f t="shared" si="438"/>
        <v>0.81098804135153624</v>
      </c>
      <c r="W108" s="194"/>
      <c r="X108" s="386" t="s">
        <v>407</v>
      </c>
      <c r="Y108" s="32"/>
      <c r="Z108" s="32"/>
      <c r="AA108" s="32"/>
    </row>
    <row r="109" spans="5:27" ht="30" customHeight="1" x14ac:dyDescent="0.3">
      <c r="E109" s="32"/>
      <c r="F109" s="195"/>
      <c r="G109" s="195"/>
      <c r="H109" s="195"/>
      <c r="I109" s="195"/>
      <c r="J109" s="195"/>
      <c r="K109" s="195"/>
      <c r="L109" s="195"/>
      <c r="M109" s="32"/>
      <c r="N109" s="32"/>
      <c r="O109" s="32"/>
      <c r="P109" s="32"/>
      <c r="Q109" s="32"/>
      <c r="R109" s="32"/>
      <c r="S109" s="32"/>
      <c r="T109" s="32"/>
      <c r="U109" s="32"/>
      <c r="V109" s="32"/>
      <c r="W109" s="32"/>
      <c r="X109" s="32"/>
      <c r="Y109" s="32"/>
      <c r="Z109" s="32"/>
      <c r="AA109" s="32"/>
    </row>
    <row r="110" spans="5:27" ht="30" customHeight="1" thickBot="1" x14ac:dyDescent="0.35">
      <c r="E110" s="32"/>
      <c r="F110" s="195"/>
      <c r="G110" s="195"/>
      <c r="H110" s="195"/>
      <c r="I110" s="32"/>
      <c r="J110" s="32"/>
      <c r="K110" s="32"/>
      <c r="L110" s="32"/>
      <c r="M110" s="32"/>
      <c r="N110" s="32"/>
      <c r="O110" s="32"/>
      <c r="P110" s="32"/>
      <c r="Q110" s="32"/>
      <c r="R110" s="32"/>
      <c r="S110" s="32"/>
      <c r="T110" s="32"/>
      <c r="U110" s="32"/>
      <c r="V110" s="32"/>
      <c r="W110" s="32"/>
      <c r="X110" s="32"/>
      <c r="Y110" s="32"/>
      <c r="Z110" s="32"/>
      <c r="AA110" s="32"/>
    </row>
    <row r="111" spans="5:27" ht="30" customHeight="1" thickBot="1" x14ac:dyDescent="0.35">
      <c r="E111" s="221"/>
      <c r="F111" s="222"/>
      <c r="G111" s="222"/>
      <c r="H111" s="222"/>
      <c r="I111" s="223"/>
      <c r="J111" s="223"/>
      <c r="K111" s="223"/>
      <c r="L111" s="223"/>
      <c r="M111" s="223"/>
      <c r="N111" s="223"/>
      <c r="O111" s="223"/>
      <c r="P111" s="223"/>
      <c r="Q111" s="223"/>
      <c r="R111" s="223"/>
      <c r="S111" s="223"/>
      <c r="T111" s="223"/>
      <c r="U111" s="223"/>
      <c r="V111" s="223"/>
      <c r="W111" s="224"/>
      <c r="X111" s="32"/>
      <c r="Y111" s="32"/>
      <c r="Z111" s="32"/>
      <c r="AA111" s="32"/>
    </row>
    <row r="112" spans="5:27" ht="30" customHeight="1" x14ac:dyDescent="0.3">
      <c r="E112" s="225" t="s">
        <v>140</v>
      </c>
      <c r="F112" s="226">
        <v>2020</v>
      </c>
      <c r="G112" s="226">
        <v>2021</v>
      </c>
      <c r="H112" s="226">
        <v>2022</v>
      </c>
      <c r="I112" s="227">
        <v>2023</v>
      </c>
      <c r="J112" s="227" t="str">
        <f>J$9</f>
        <v>1T24</v>
      </c>
      <c r="K112" s="227" t="str">
        <f t="shared" ref="K112:L112" si="439">K$9</f>
        <v>YTD24</v>
      </c>
      <c r="L112" s="228" t="str">
        <f t="shared" si="439"/>
        <v>YTG24</v>
      </c>
      <c r="M112" s="228">
        <v>2024</v>
      </c>
      <c r="N112" s="228">
        <v>2025</v>
      </c>
      <c r="O112" s="228">
        <v>2026</v>
      </c>
      <c r="P112" s="228">
        <v>2027</v>
      </c>
      <c r="Q112" s="228">
        <v>2028</v>
      </c>
      <c r="R112" s="228">
        <v>2029</v>
      </c>
      <c r="S112" s="228">
        <v>2030</v>
      </c>
      <c r="T112" s="228">
        <v>2031</v>
      </c>
      <c r="U112" s="228">
        <v>2032</v>
      </c>
      <c r="V112" s="228">
        <v>2033</v>
      </c>
      <c r="W112" s="88" t="s">
        <v>223</v>
      </c>
      <c r="X112" s="197"/>
      <c r="Y112" s="32"/>
      <c r="Z112" s="32"/>
      <c r="AA112" s="32"/>
    </row>
    <row r="113" spans="5:27" ht="30" customHeight="1" x14ac:dyDescent="0.3">
      <c r="E113" s="196" t="s">
        <v>216</v>
      </c>
      <c r="F113" s="198">
        <f>SUM(F115,F122,F129)</f>
        <v>950361</v>
      </c>
      <c r="G113" s="198">
        <f t="shared" ref="G113:V113" si="440">SUM(G115,G122,G129)</f>
        <v>1411897</v>
      </c>
      <c r="H113" s="198">
        <f t="shared" si="440"/>
        <v>3201712</v>
      </c>
      <c r="I113" s="198">
        <f t="shared" si="440"/>
        <v>4124175</v>
      </c>
      <c r="J113" s="198">
        <f t="shared" si="440"/>
        <v>1122726.9662899999</v>
      </c>
      <c r="K113" s="198">
        <f t="shared" si="440"/>
        <v>1122726.9662899999</v>
      </c>
      <c r="L113" s="199">
        <f>SUM(L115,L122,L129)</f>
        <v>3663504.2109193197</v>
      </c>
      <c r="M113" s="199">
        <f t="shared" si="440"/>
        <v>4786231.1772093195</v>
      </c>
      <c r="N113" s="199">
        <f t="shared" si="440"/>
        <v>5542288.8034478538</v>
      </c>
      <c r="O113" s="199">
        <f t="shared" si="440"/>
        <v>6148183.6577435248</v>
      </c>
      <c r="P113" s="199">
        <f t="shared" si="440"/>
        <v>6771229.9594165757</v>
      </c>
      <c r="Q113" s="199">
        <f t="shared" si="440"/>
        <v>7387259.5748698944</v>
      </c>
      <c r="R113" s="199">
        <f t="shared" si="440"/>
        <v>7996978.2437269958</v>
      </c>
      <c r="S113" s="199">
        <f t="shared" si="440"/>
        <v>8601994.5828405283</v>
      </c>
      <c r="T113" s="199">
        <f t="shared" si="440"/>
        <v>9212473.500616055</v>
      </c>
      <c r="U113" s="199">
        <f t="shared" si="440"/>
        <v>9827084.2428650819</v>
      </c>
      <c r="V113" s="199">
        <f t="shared" si="440"/>
        <v>10450710.674596457</v>
      </c>
      <c r="W113" s="229">
        <f>(I113/F113)^(1/3)-1</f>
        <v>0.63110840825501668</v>
      </c>
      <c r="X113" s="200"/>
      <c r="Y113" s="32"/>
      <c r="Z113" s="32"/>
      <c r="AA113" s="32"/>
    </row>
    <row r="114" spans="5:27" ht="30" customHeight="1" x14ac:dyDescent="0.3">
      <c r="E114" s="201" t="s">
        <v>194</v>
      </c>
      <c r="F114" s="176" t="s">
        <v>21</v>
      </c>
      <c r="G114" s="176">
        <f>G113/F113-1</f>
        <v>0.48564282414787652</v>
      </c>
      <c r="H114" s="176">
        <f t="shared" ref="H114:I114" si="441">H113/G113-1</f>
        <v>1.2676668340537587</v>
      </c>
      <c r="I114" s="176">
        <f t="shared" si="441"/>
        <v>0.28811554568305953</v>
      </c>
      <c r="J114" s="176"/>
      <c r="K114" s="176"/>
      <c r="L114" s="202"/>
      <c r="M114" s="202">
        <f>M113/I113-1</f>
        <v>0.16053057331692266</v>
      </c>
      <c r="N114" s="202">
        <f t="shared" ref="N114" si="442">N113/M113-1</f>
        <v>0.15796512918946903</v>
      </c>
      <c r="O114" s="202">
        <f t="shared" ref="O114" si="443">O113/N113-1</f>
        <v>0.1093221367170083</v>
      </c>
      <c r="P114" s="202">
        <f t="shared" ref="P114" si="444">P113/O113-1</f>
        <v>0.10133827100111681</v>
      </c>
      <c r="Q114" s="202">
        <f t="shared" ref="Q114" si="445">Q113/P113-1</f>
        <v>9.0977506176203926E-2</v>
      </c>
      <c r="R114" s="202">
        <f t="shared" ref="R114" si="446">R113/Q113-1</f>
        <v>8.2536516102839075E-2</v>
      </c>
      <c r="S114" s="202">
        <f t="shared" ref="S114" si="447">S113/R113-1</f>
        <v>7.5655618994352025E-2</v>
      </c>
      <c r="T114" s="202">
        <f t="shared" ref="T114" si="448">T113/S113-1</f>
        <v>7.096946084961786E-2</v>
      </c>
      <c r="U114" s="202">
        <f t="shared" ref="U114" si="449">U113/T113-1</f>
        <v>6.6715062160876526E-2</v>
      </c>
      <c r="V114" s="202">
        <f t="shared" ref="V114" si="450">V113/U113-1</f>
        <v>6.3459965979650201E-2</v>
      </c>
      <c r="W114" s="203"/>
      <c r="X114" s="200"/>
      <c r="Y114" s="32"/>
      <c r="Z114" s="32"/>
      <c r="AA114" s="32"/>
    </row>
    <row r="115" spans="5:27" ht="30" customHeight="1" x14ac:dyDescent="0.3">
      <c r="E115" s="377" t="s">
        <v>75</v>
      </c>
      <c r="F115" s="198">
        <f>SUM(F116:F121)</f>
        <v>438929</v>
      </c>
      <c r="G115" s="198">
        <f t="shared" ref="G115:V115" si="451">SUM(G116:G121)</f>
        <v>721223</v>
      </c>
      <c r="H115" s="198">
        <f t="shared" si="451"/>
        <v>1522656</v>
      </c>
      <c r="I115" s="198">
        <f t="shared" si="451"/>
        <v>2099202</v>
      </c>
      <c r="J115" s="198">
        <f t="shared" si="451"/>
        <v>630009</v>
      </c>
      <c r="K115" s="198">
        <f t="shared" si="451"/>
        <v>630009</v>
      </c>
      <c r="L115" s="199">
        <f t="shared" si="451"/>
        <v>1824755.908417365</v>
      </c>
      <c r="M115" s="199">
        <f t="shared" si="451"/>
        <v>2454764.908417365</v>
      </c>
      <c r="N115" s="199">
        <f t="shared" si="451"/>
        <v>2727454.9782554572</v>
      </c>
      <c r="O115" s="199">
        <f t="shared" si="451"/>
        <v>2989726.1045920923</v>
      </c>
      <c r="P115" s="199">
        <f t="shared" si="451"/>
        <v>3259371.418462466</v>
      </c>
      <c r="Q115" s="199">
        <f t="shared" si="451"/>
        <v>3530727.7299264632</v>
      </c>
      <c r="R115" s="199">
        <f t="shared" si="451"/>
        <v>3804448.7134971721</v>
      </c>
      <c r="S115" s="199">
        <f t="shared" si="451"/>
        <v>4080541.820037405</v>
      </c>
      <c r="T115" s="199">
        <f t="shared" si="451"/>
        <v>4363290.2583724456</v>
      </c>
      <c r="U115" s="199">
        <f t="shared" si="451"/>
        <v>4651063.061984472</v>
      </c>
      <c r="V115" s="199">
        <f t="shared" si="451"/>
        <v>4944706.0893332213</v>
      </c>
      <c r="W115" s="229">
        <f t="shared" ref="W115:W127" si="452">(I115/F115)^(1/3)-1</f>
        <v>0.68481926046992014</v>
      </c>
      <c r="X115" s="207"/>
      <c r="Y115" s="32"/>
      <c r="Z115" s="32"/>
      <c r="AA115" s="32"/>
    </row>
    <row r="116" spans="5:27" ht="30" customHeight="1" x14ac:dyDescent="0.3">
      <c r="E116" s="215" t="s">
        <v>76</v>
      </c>
      <c r="F116" s="204">
        <v>166973</v>
      </c>
      <c r="G116" s="204">
        <v>214031</v>
      </c>
      <c r="H116" s="204">
        <v>398015</v>
      </c>
      <c r="I116" s="205">
        <v>509392</v>
      </c>
      <c r="J116" s="205">
        <v>120411</v>
      </c>
      <c r="K116" s="205">
        <f>J116</f>
        <v>120411</v>
      </c>
      <c r="L116" s="206">
        <f>L149*L40</f>
        <v>345427.60350144072</v>
      </c>
      <c r="M116" s="206">
        <f>SUM(K116,L116)</f>
        <v>465838.60350144072</v>
      </c>
      <c r="N116" s="206">
        <f>N149*N40</f>
        <v>524334.14250526926</v>
      </c>
      <c r="O116" s="206">
        <f t="shared" ref="O116:V116" si="453">O149*O40</f>
        <v>583561.98906986834</v>
      </c>
      <c r="P116" s="206">
        <f t="shared" si="453"/>
        <v>644469.09550692129</v>
      </c>
      <c r="Q116" s="206">
        <f t="shared" si="453"/>
        <v>704438.13878422056</v>
      </c>
      <c r="R116" s="206">
        <f t="shared" si="453"/>
        <v>763519.61610362295</v>
      </c>
      <c r="S116" s="206">
        <f t="shared" si="453"/>
        <v>821907.3570571352</v>
      </c>
      <c r="T116" s="206">
        <f t="shared" si="453"/>
        <v>880601.21319235663</v>
      </c>
      <c r="U116" s="206">
        <f t="shared" si="453"/>
        <v>939527.12299703783</v>
      </c>
      <c r="V116" s="206">
        <f t="shared" si="453"/>
        <v>999229.84665467846</v>
      </c>
      <c r="W116" s="229">
        <f t="shared" si="452"/>
        <v>0.45033598733025615</v>
      </c>
      <c r="X116" s="207"/>
      <c r="Y116" s="32"/>
      <c r="Z116" s="32"/>
      <c r="AA116" s="32"/>
    </row>
    <row r="117" spans="5:27" ht="30" customHeight="1" x14ac:dyDescent="0.3">
      <c r="E117" s="215" t="s">
        <v>77</v>
      </c>
      <c r="F117" s="204">
        <v>3358</v>
      </c>
      <c r="G117" s="204">
        <v>2535</v>
      </c>
      <c r="H117" s="204">
        <v>2982</v>
      </c>
      <c r="I117" s="205">
        <v>2251</v>
      </c>
      <c r="J117" s="205">
        <v>355</v>
      </c>
      <c r="K117" s="205">
        <f t="shared" ref="K117:K121" si="454">J117</f>
        <v>355</v>
      </c>
      <c r="L117" s="206">
        <f>L150*L42</f>
        <v>3556.8781353755699</v>
      </c>
      <c r="M117" s="206">
        <f t="shared" ref="M117:M121" si="455">SUM(K117,L117)</f>
        <v>3911.8781353755699</v>
      </c>
      <c r="N117" s="206">
        <f>N150*N42</f>
        <v>5287.5988061000589</v>
      </c>
      <c r="O117" s="206">
        <f t="shared" ref="O117:V117" si="456">O150*O42</f>
        <v>5764.3850354727419</v>
      </c>
      <c r="P117" s="206">
        <f t="shared" si="456"/>
        <v>6254.5266712869925</v>
      </c>
      <c r="Q117" s="206">
        <f t="shared" si="456"/>
        <v>6752.5405309732369</v>
      </c>
      <c r="R117" s="206">
        <f t="shared" si="456"/>
        <v>7259.9641120313472</v>
      </c>
      <c r="S117" s="206">
        <f t="shared" si="456"/>
        <v>7776.12013704724</v>
      </c>
      <c r="T117" s="206">
        <f t="shared" si="456"/>
        <v>8308.677945388461</v>
      </c>
      <c r="U117" s="206">
        <f t="shared" si="456"/>
        <v>8853.6146535865228</v>
      </c>
      <c r="V117" s="206">
        <f t="shared" si="456"/>
        <v>9411.1961547889005</v>
      </c>
      <c r="W117" s="229">
        <f t="shared" si="452"/>
        <v>-0.12481821995368347</v>
      </c>
      <c r="X117" s="207"/>
      <c r="Y117" s="32"/>
      <c r="Z117" s="32"/>
      <c r="AA117" s="32"/>
    </row>
    <row r="118" spans="5:27" ht="30" customHeight="1" x14ac:dyDescent="0.3">
      <c r="E118" s="215" t="s">
        <v>78</v>
      </c>
      <c r="F118" s="204">
        <v>130492</v>
      </c>
      <c r="G118" s="204">
        <v>235811</v>
      </c>
      <c r="H118" s="204">
        <v>392786</v>
      </c>
      <c r="I118" s="205">
        <v>538610</v>
      </c>
      <c r="J118" s="205">
        <v>194112</v>
      </c>
      <c r="K118" s="205">
        <f t="shared" si="454"/>
        <v>194112</v>
      </c>
      <c r="L118" s="206">
        <f t="shared" ref="L118" si="457">L151*L44</f>
        <v>582090.42122129747</v>
      </c>
      <c r="M118" s="206">
        <f t="shared" si="455"/>
        <v>776202.42122129747</v>
      </c>
      <c r="N118" s="206">
        <f t="shared" ref="N118:V118" si="458">N151*N44</f>
        <v>858558.38538326987</v>
      </c>
      <c r="O118" s="206">
        <f t="shared" si="458"/>
        <v>928506.14253193198</v>
      </c>
      <c r="P118" s="206">
        <f t="shared" si="458"/>
        <v>1000400.5942091093</v>
      </c>
      <c r="Q118" s="206">
        <f t="shared" si="458"/>
        <v>1074647.6514173534</v>
      </c>
      <c r="R118" s="206">
        <f t="shared" si="458"/>
        <v>1151560.7006774158</v>
      </c>
      <c r="S118" s="206">
        <f t="shared" si="458"/>
        <v>1230866.6230277179</v>
      </c>
      <c r="T118" s="206">
        <f t="shared" si="458"/>
        <v>1313661.0928760013</v>
      </c>
      <c r="U118" s="206">
        <f t="shared" si="458"/>
        <v>1399087.8329105231</v>
      </c>
      <c r="V118" s="206">
        <f t="shared" si="458"/>
        <v>1486865.9632790093</v>
      </c>
      <c r="W118" s="229">
        <f t="shared" si="452"/>
        <v>0.60409533193451592</v>
      </c>
      <c r="X118" s="207"/>
      <c r="Y118" s="32"/>
      <c r="Z118" s="32"/>
      <c r="AA118" s="32"/>
    </row>
    <row r="119" spans="5:27" ht="30" customHeight="1" x14ac:dyDescent="0.3">
      <c r="E119" s="215" t="s">
        <v>79</v>
      </c>
      <c r="F119" s="204">
        <v>90244</v>
      </c>
      <c r="G119" s="204">
        <v>197426</v>
      </c>
      <c r="H119" s="204">
        <v>566631</v>
      </c>
      <c r="I119" s="205">
        <v>947045</v>
      </c>
      <c r="J119" s="205">
        <v>301724</v>
      </c>
      <c r="K119" s="205">
        <f t="shared" si="454"/>
        <v>301724</v>
      </c>
      <c r="L119" s="206">
        <f t="shared" ref="L119" si="459">L152*L46</f>
        <v>736116.54212083726</v>
      </c>
      <c r="M119" s="206">
        <f t="shared" si="455"/>
        <v>1037840.5421208373</v>
      </c>
      <c r="N119" s="206">
        <f t="shared" ref="N119:V119" si="460">N152*N46</f>
        <v>1107265.0577611097</v>
      </c>
      <c r="O119" s="206">
        <f t="shared" si="460"/>
        <v>1221416.6120826076</v>
      </c>
      <c r="P119" s="206">
        <f t="shared" si="460"/>
        <v>1338789.9038909054</v>
      </c>
      <c r="Q119" s="206">
        <f t="shared" si="460"/>
        <v>1455753.4678950799</v>
      </c>
      <c r="R119" s="206">
        <f t="shared" si="460"/>
        <v>1572507.1587468917</v>
      </c>
      <c r="S119" s="206">
        <f t="shared" si="460"/>
        <v>1689221.6996517596</v>
      </c>
      <c r="T119" s="206">
        <f t="shared" si="460"/>
        <v>1807789.7301069319</v>
      </c>
      <c r="U119" s="206">
        <f t="shared" si="460"/>
        <v>1927757.8638299354</v>
      </c>
      <c r="V119" s="206">
        <f t="shared" si="460"/>
        <v>2049802.5856662504</v>
      </c>
      <c r="W119" s="229">
        <f t="shared" si="452"/>
        <v>1.1893612453817397</v>
      </c>
      <c r="X119" s="207"/>
      <c r="Y119" s="32"/>
      <c r="Z119" s="32"/>
      <c r="AA119" s="32"/>
    </row>
    <row r="120" spans="5:27" ht="30" customHeight="1" x14ac:dyDescent="0.3">
      <c r="E120" s="215" t="s">
        <v>198</v>
      </c>
      <c r="F120" s="204">
        <v>47710</v>
      </c>
      <c r="G120" s="204">
        <v>70774</v>
      </c>
      <c r="H120" s="204">
        <v>154782</v>
      </c>
      <c r="I120" s="205">
        <v>81738</v>
      </c>
      <c r="J120" s="205">
        <v>8419</v>
      </c>
      <c r="K120" s="205">
        <f t="shared" si="454"/>
        <v>8419</v>
      </c>
      <c r="L120" s="206">
        <f t="shared" ref="L120" si="461">L153*SUM(L40,L42,L44,L46)</f>
        <v>146814.45511914452</v>
      </c>
      <c r="M120" s="206">
        <f t="shared" si="455"/>
        <v>155233.45511914452</v>
      </c>
      <c r="N120" s="206">
        <f t="shared" ref="N120:V120" si="462">N153*SUM(N40,N42,N44,N46)</f>
        <v>215221.42463060626</v>
      </c>
      <c r="O120" s="206">
        <f t="shared" si="462"/>
        <v>231283.56937206144</v>
      </c>
      <c r="P120" s="206">
        <f t="shared" si="462"/>
        <v>247789.97862568102</v>
      </c>
      <c r="Q120" s="206">
        <f t="shared" si="462"/>
        <v>265097.90097443573</v>
      </c>
      <c r="R120" s="206">
        <f t="shared" si="462"/>
        <v>283298.45901686663</v>
      </c>
      <c r="S120" s="206">
        <f t="shared" si="462"/>
        <v>302291.03025840333</v>
      </c>
      <c r="T120" s="206">
        <f t="shared" si="462"/>
        <v>322320.78617424291</v>
      </c>
      <c r="U120" s="206">
        <f t="shared" si="462"/>
        <v>343133.04990802397</v>
      </c>
      <c r="V120" s="206">
        <f t="shared" si="462"/>
        <v>364593.53784364433</v>
      </c>
      <c r="W120" s="229">
        <f t="shared" si="452"/>
        <v>0.19657023875930402</v>
      </c>
      <c r="X120" s="207"/>
      <c r="Y120" s="32"/>
      <c r="Z120" s="32"/>
      <c r="AA120" s="32"/>
    </row>
    <row r="121" spans="5:27" ht="30" customHeight="1" x14ac:dyDescent="0.3">
      <c r="E121" s="215" t="s">
        <v>199</v>
      </c>
      <c r="F121" s="204">
        <v>152</v>
      </c>
      <c r="G121" s="204">
        <v>646</v>
      </c>
      <c r="H121" s="204">
        <v>7460</v>
      </c>
      <c r="I121" s="205">
        <v>20166</v>
      </c>
      <c r="J121" s="205">
        <v>4988</v>
      </c>
      <c r="K121" s="205">
        <f t="shared" si="454"/>
        <v>4988</v>
      </c>
      <c r="L121" s="206">
        <f t="shared" ref="L121" si="463">L154*L38</f>
        <v>10750.008319269326</v>
      </c>
      <c r="M121" s="206">
        <f t="shared" si="455"/>
        <v>15738.008319269326</v>
      </c>
      <c r="N121" s="206">
        <f t="shared" ref="N121:V121" si="464">N154*N38</f>
        <v>16788.369169102578</v>
      </c>
      <c r="O121" s="206">
        <f t="shared" si="464"/>
        <v>19193.406500149951</v>
      </c>
      <c r="P121" s="206">
        <f t="shared" si="464"/>
        <v>21667.319558562416</v>
      </c>
      <c r="Q121" s="206">
        <f t="shared" si="464"/>
        <v>24038.030324400523</v>
      </c>
      <c r="R121" s="206">
        <f t="shared" si="464"/>
        <v>26302.814840343577</v>
      </c>
      <c r="S121" s="206">
        <f t="shared" si="464"/>
        <v>28478.989905341899</v>
      </c>
      <c r="T121" s="206">
        <f t="shared" si="464"/>
        <v>30608.758077523733</v>
      </c>
      <c r="U121" s="206">
        <f t="shared" si="464"/>
        <v>32703.577685364253</v>
      </c>
      <c r="V121" s="206">
        <f t="shared" si="464"/>
        <v>34802.959734849595</v>
      </c>
      <c r="W121" s="229">
        <f t="shared" si="452"/>
        <v>4.1002569732311001</v>
      </c>
      <c r="X121" s="207"/>
      <c r="Y121" s="32"/>
      <c r="Z121" s="32"/>
      <c r="AA121" s="32"/>
    </row>
    <row r="122" spans="5:27" ht="30" customHeight="1" x14ac:dyDescent="0.3">
      <c r="E122" s="377" t="s">
        <v>200</v>
      </c>
      <c r="F122" s="198">
        <f>SUM(F123:F128)</f>
        <v>492140</v>
      </c>
      <c r="G122" s="198">
        <f t="shared" ref="G122:V122" si="465">SUM(G123:G128)</f>
        <v>681987</v>
      </c>
      <c r="H122" s="198">
        <f t="shared" si="465"/>
        <v>1678938</v>
      </c>
      <c r="I122" s="198">
        <f t="shared" si="465"/>
        <v>2024230</v>
      </c>
      <c r="J122" s="198">
        <f t="shared" si="465"/>
        <v>490505</v>
      </c>
      <c r="K122" s="198">
        <f t="shared" si="465"/>
        <v>490505</v>
      </c>
      <c r="L122" s="199">
        <f t="shared" si="465"/>
        <v>1835590.6848294139</v>
      </c>
      <c r="M122" s="199">
        <f t="shared" si="465"/>
        <v>2326095.6848294139</v>
      </c>
      <c r="N122" s="199">
        <f t="shared" si="465"/>
        <v>2810707.2456853772</v>
      </c>
      <c r="O122" s="199">
        <f t="shared" si="465"/>
        <v>3154585.1378877196</v>
      </c>
      <c r="P122" s="199">
        <f t="shared" si="465"/>
        <v>3508248.4687169488</v>
      </c>
      <c r="Q122" s="199">
        <f t="shared" si="465"/>
        <v>3853087.8879060699</v>
      </c>
      <c r="R122" s="199">
        <f t="shared" si="465"/>
        <v>4189148.9162118761</v>
      </c>
      <c r="S122" s="199">
        <f t="shared" si="465"/>
        <v>4518046.9278005417</v>
      </c>
      <c r="T122" s="199">
        <f t="shared" si="465"/>
        <v>4845670.1815567082</v>
      </c>
      <c r="U122" s="199">
        <f t="shared" si="465"/>
        <v>5172339.0566393118</v>
      </c>
      <c r="V122" s="199">
        <f t="shared" si="465"/>
        <v>5502118.5232755747</v>
      </c>
      <c r="W122" s="229">
        <f t="shared" si="452"/>
        <v>0.60222583678236119</v>
      </c>
      <c r="X122" s="207"/>
      <c r="Y122" s="32"/>
      <c r="Z122" s="32"/>
      <c r="AA122" s="32"/>
    </row>
    <row r="123" spans="5:27" ht="30" customHeight="1" x14ac:dyDescent="0.3">
      <c r="E123" s="215" t="s">
        <v>42</v>
      </c>
      <c r="F123" s="204">
        <v>45215</v>
      </c>
      <c r="G123" s="204">
        <v>30610</v>
      </c>
      <c r="H123" s="204">
        <v>274006</v>
      </c>
      <c r="I123" s="205">
        <v>178936</v>
      </c>
      <c r="J123" s="205">
        <v>51660</v>
      </c>
      <c r="K123" s="205">
        <f>J123</f>
        <v>51660</v>
      </c>
      <c r="L123" s="206">
        <f t="shared" ref="L123" si="466">L156*L48</f>
        <v>298010.58656266041</v>
      </c>
      <c r="M123" s="206">
        <f>SUM(K123,L123)</f>
        <v>349670.58656266041</v>
      </c>
      <c r="N123" s="206">
        <f t="shared" ref="N123:V123" si="467">N156*N48</f>
        <v>458430.41618073196</v>
      </c>
      <c r="O123" s="206">
        <f t="shared" si="467"/>
        <v>516776.28872292145</v>
      </c>
      <c r="P123" s="206">
        <f t="shared" si="467"/>
        <v>576785.27583011787</v>
      </c>
      <c r="Q123" s="206">
        <f t="shared" si="467"/>
        <v>635030.14115207596</v>
      </c>
      <c r="R123" s="206">
        <f t="shared" si="467"/>
        <v>691499.03202069923</v>
      </c>
      <c r="S123" s="206">
        <f t="shared" si="467"/>
        <v>746504.75998093409</v>
      </c>
      <c r="T123" s="206">
        <f t="shared" si="467"/>
        <v>801052.95652623335</v>
      </c>
      <c r="U123" s="206">
        <f t="shared" si="467"/>
        <v>855257.29247072747</v>
      </c>
      <c r="V123" s="206">
        <f t="shared" si="467"/>
        <v>909878.77546927275</v>
      </c>
      <c r="W123" s="229">
        <f t="shared" si="452"/>
        <v>0.58175201550981814</v>
      </c>
      <c r="X123" s="207"/>
      <c r="Y123" s="32"/>
      <c r="Z123" s="32"/>
      <c r="AA123" s="32"/>
    </row>
    <row r="124" spans="5:27" ht="30" customHeight="1" x14ac:dyDescent="0.3">
      <c r="E124" s="215" t="s">
        <v>201</v>
      </c>
      <c r="F124" s="204">
        <v>11445</v>
      </c>
      <c r="G124" s="204">
        <v>3370</v>
      </c>
      <c r="H124" s="204">
        <v>0</v>
      </c>
      <c r="I124" s="205">
        <v>9436</v>
      </c>
      <c r="J124" s="205">
        <v>0</v>
      </c>
      <c r="K124" s="205">
        <f t="shared" ref="K124:K129" si="468">J124</f>
        <v>0</v>
      </c>
      <c r="L124" s="206">
        <f t="shared" ref="L124" si="469">L157*L56</f>
        <v>5874.4377709133159</v>
      </c>
      <c r="M124" s="206">
        <f t="shared" ref="M124:M129" si="470">SUM(K124,L124)</f>
        <v>5874.4377709133159</v>
      </c>
      <c r="N124" s="206">
        <f t="shared" ref="N124:V124" si="471">N157*N56</f>
        <v>8404.5479556521768</v>
      </c>
      <c r="O124" s="206">
        <f t="shared" si="471"/>
        <v>8800.0906110273754</v>
      </c>
      <c r="P124" s="206">
        <f t="shared" si="471"/>
        <v>9206.1001076332504</v>
      </c>
      <c r="Q124" s="206">
        <f t="shared" si="471"/>
        <v>9676.7373598353115</v>
      </c>
      <c r="R124" s="206">
        <f t="shared" si="471"/>
        <v>10217.538036407495</v>
      </c>
      <c r="S124" s="206">
        <f t="shared" si="471"/>
        <v>10819.511761407242</v>
      </c>
      <c r="T124" s="206">
        <f t="shared" si="471"/>
        <v>11487.59155190114</v>
      </c>
      <c r="U124" s="206">
        <f t="shared" si="471"/>
        <v>12205.532580753677</v>
      </c>
      <c r="V124" s="206">
        <f t="shared" si="471"/>
        <v>12958.038551357031</v>
      </c>
      <c r="W124" s="229">
        <f t="shared" si="452"/>
        <v>-6.2314115463632636E-2</v>
      </c>
      <c r="X124" s="207"/>
      <c r="Y124" s="32"/>
      <c r="Z124" s="32"/>
      <c r="AA124" s="32"/>
    </row>
    <row r="125" spans="5:27" ht="30" customHeight="1" x14ac:dyDescent="0.3">
      <c r="E125" s="215" t="s">
        <v>196</v>
      </c>
      <c r="F125" s="204">
        <v>585124</v>
      </c>
      <c r="G125" s="204">
        <v>644660</v>
      </c>
      <c r="H125" s="204">
        <v>1399156</v>
      </c>
      <c r="I125" s="205">
        <v>1830693</v>
      </c>
      <c r="J125" s="205">
        <v>436025</v>
      </c>
      <c r="K125" s="205">
        <f t="shared" si="468"/>
        <v>436025</v>
      </c>
      <c r="L125" s="206">
        <f t="shared" ref="L125" si="472">L158*L50</f>
        <v>1549096.1474158627</v>
      </c>
      <c r="M125" s="206">
        <f t="shared" si="470"/>
        <v>1985121.1474158627</v>
      </c>
      <c r="N125" s="206">
        <f t="shared" ref="N125:V125" si="473">N158*N50</f>
        <v>2363788.199886634</v>
      </c>
      <c r="O125" s="206">
        <f t="shared" si="473"/>
        <v>2644169.1475347853</v>
      </c>
      <c r="P125" s="206">
        <f t="shared" si="473"/>
        <v>2932517.662276275</v>
      </c>
      <c r="Q125" s="206">
        <f t="shared" si="473"/>
        <v>3214713.7875523176</v>
      </c>
      <c r="R125" s="206">
        <f t="shared" si="473"/>
        <v>3490871.060866836</v>
      </c>
      <c r="S125" s="206">
        <f t="shared" si="473"/>
        <v>3762155.3807544108</v>
      </c>
      <c r="T125" s="206">
        <f t="shared" si="473"/>
        <v>4033342.0977945346</v>
      </c>
      <c r="U125" s="206">
        <f t="shared" si="473"/>
        <v>4304460.8892771211</v>
      </c>
      <c r="V125" s="206">
        <f t="shared" si="473"/>
        <v>4578547.7756647626</v>
      </c>
      <c r="W125" s="229">
        <f t="shared" si="452"/>
        <v>0.46258978647036453</v>
      </c>
      <c r="X125" s="207"/>
      <c r="Y125" s="32"/>
      <c r="Z125" s="32"/>
      <c r="AA125" s="32"/>
    </row>
    <row r="126" spans="5:27" ht="30" customHeight="1" x14ac:dyDescent="0.3">
      <c r="E126" s="215" t="s">
        <v>202</v>
      </c>
      <c r="F126" s="204">
        <v>2490</v>
      </c>
      <c r="G126" s="204">
        <v>2938</v>
      </c>
      <c r="H126" s="204">
        <v>5698</v>
      </c>
      <c r="I126" s="205">
        <v>5087</v>
      </c>
      <c r="J126" s="205">
        <v>1750</v>
      </c>
      <c r="K126" s="205">
        <f t="shared" si="468"/>
        <v>1750</v>
      </c>
      <c r="L126" s="206">
        <f t="shared" ref="L126" si="474">L159*L52</f>
        <v>4212.838873442618</v>
      </c>
      <c r="M126" s="206">
        <f t="shared" si="470"/>
        <v>5962.838873442618</v>
      </c>
      <c r="N126" s="206">
        <f t="shared" ref="N126:V126" si="475">N159*N52</f>
        <v>6468.7537625817786</v>
      </c>
      <c r="O126" s="206">
        <f t="shared" si="475"/>
        <v>7279.3969040870597</v>
      </c>
      <c r="P126" s="206">
        <f t="shared" si="475"/>
        <v>8113.1317825457427</v>
      </c>
      <c r="Q126" s="206">
        <f t="shared" si="475"/>
        <v>8923.7941521829416</v>
      </c>
      <c r="R126" s="206">
        <f t="shared" si="475"/>
        <v>9711.3247639090077</v>
      </c>
      <c r="S126" s="206">
        <f t="shared" si="475"/>
        <v>10479.861158266984</v>
      </c>
      <c r="T126" s="206">
        <f t="shared" si="475"/>
        <v>11243.339954553048</v>
      </c>
      <c r="U126" s="206">
        <f t="shared" si="475"/>
        <v>12003.021038122921</v>
      </c>
      <c r="V126" s="206">
        <f t="shared" si="475"/>
        <v>12769.093654824288</v>
      </c>
      <c r="W126" s="229">
        <f t="shared" si="452"/>
        <v>0.2688807150244481</v>
      </c>
      <c r="X126" s="207"/>
      <c r="Y126" s="32"/>
      <c r="Z126" s="32"/>
      <c r="AA126" s="32"/>
    </row>
    <row r="127" spans="5:27" ht="30" customHeight="1" x14ac:dyDescent="0.3">
      <c r="E127" s="215" t="s">
        <v>203</v>
      </c>
      <c r="F127" s="204">
        <v>-152134</v>
      </c>
      <c r="G127" s="204">
        <v>409</v>
      </c>
      <c r="H127" s="204">
        <v>59</v>
      </c>
      <c r="I127" s="205">
        <v>47</v>
      </c>
      <c r="J127" s="205">
        <v>-14</v>
      </c>
      <c r="K127" s="205">
        <f t="shared" si="468"/>
        <v>-14</v>
      </c>
      <c r="L127" s="206">
        <f t="shared" ref="L127" si="476">L160*SUM(L50,L52,L54)</f>
        <v>-21618.38150100589</v>
      </c>
      <c r="M127" s="206">
        <f t="shared" si="470"/>
        <v>-21632.38150100589</v>
      </c>
      <c r="N127" s="206">
        <f t="shared" ref="N127:V127" si="477">N160*SUM(N50,N52,N54)</f>
        <v>-26408.254012527788</v>
      </c>
      <c r="O127" s="206">
        <f t="shared" si="477"/>
        <v>-22466.818850526499</v>
      </c>
      <c r="P127" s="206">
        <f t="shared" si="477"/>
        <v>-18404.284207320383</v>
      </c>
      <c r="Q127" s="206">
        <f t="shared" si="477"/>
        <v>-15290.549764697298</v>
      </c>
      <c r="R127" s="206">
        <f t="shared" si="477"/>
        <v>-13187.251573889202</v>
      </c>
      <c r="S127" s="206">
        <f t="shared" si="477"/>
        <v>-11952.898627192362</v>
      </c>
      <c r="T127" s="206">
        <f t="shared" si="477"/>
        <v>-11499.144487662898</v>
      </c>
      <c r="U127" s="206">
        <f t="shared" si="477"/>
        <v>-11633.991232968272</v>
      </c>
      <c r="V127" s="206">
        <f t="shared" si="477"/>
        <v>-12084.448360497106</v>
      </c>
      <c r="W127" s="229">
        <f t="shared" si="452"/>
        <v>-1.0676016336660459</v>
      </c>
      <c r="X127" s="207"/>
      <c r="Y127" s="32"/>
      <c r="Z127" s="32"/>
      <c r="AA127" s="32"/>
    </row>
    <row r="128" spans="5:27" ht="30" customHeight="1" x14ac:dyDescent="0.3">
      <c r="E128" s="215" t="s">
        <v>204</v>
      </c>
      <c r="F128" s="204">
        <v>0</v>
      </c>
      <c r="G128" s="204">
        <v>0</v>
      </c>
      <c r="H128" s="204">
        <v>19</v>
      </c>
      <c r="I128" s="205">
        <v>31</v>
      </c>
      <c r="J128" s="205">
        <v>1084</v>
      </c>
      <c r="K128" s="205">
        <f t="shared" si="468"/>
        <v>1084</v>
      </c>
      <c r="L128" s="206">
        <f t="shared" ref="L128" si="478">L161*SUM(L60,L62)</f>
        <v>15.0557075409037</v>
      </c>
      <c r="M128" s="206">
        <f t="shared" si="470"/>
        <v>1099.0557075409038</v>
      </c>
      <c r="N128" s="206">
        <f t="shared" ref="N128:V128" si="479">N161*SUM(N60,N62)</f>
        <v>23.581912304995651</v>
      </c>
      <c r="O128" s="206">
        <f t="shared" si="479"/>
        <v>27.032965425140421</v>
      </c>
      <c r="P128" s="206">
        <f t="shared" si="479"/>
        <v>30.582927697148968</v>
      </c>
      <c r="Q128" s="206">
        <f t="shared" si="479"/>
        <v>33.977454355461326</v>
      </c>
      <c r="R128" s="206">
        <f t="shared" si="479"/>
        <v>37.212097913485884</v>
      </c>
      <c r="S128" s="206">
        <f t="shared" si="479"/>
        <v>40.31277271567091</v>
      </c>
      <c r="T128" s="206">
        <f t="shared" si="479"/>
        <v>43.340217148678605</v>
      </c>
      <c r="U128" s="206">
        <f t="shared" si="479"/>
        <v>46.312505555170276</v>
      </c>
      <c r="V128" s="206">
        <f t="shared" si="479"/>
        <v>49.288295855073613</v>
      </c>
      <c r="W128" s="229">
        <f>(I128/H128)^(1/1)-1</f>
        <v>0.63157894736842102</v>
      </c>
      <c r="X128" s="207"/>
      <c r="Y128" s="32"/>
      <c r="Z128" s="32"/>
      <c r="AA128" s="32"/>
    </row>
    <row r="129" spans="5:27" ht="30" customHeight="1" x14ac:dyDescent="0.3">
      <c r="E129" s="377" t="s">
        <v>215</v>
      </c>
      <c r="F129" s="198">
        <v>19292</v>
      </c>
      <c r="G129" s="198">
        <v>8687</v>
      </c>
      <c r="H129" s="198">
        <v>118</v>
      </c>
      <c r="I129" s="378">
        <v>743</v>
      </c>
      <c r="J129" s="378">
        <v>2212.9662899999998</v>
      </c>
      <c r="K129" s="378">
        <f t="shared" si="468"/>
        <v>2212.9662899999998</v>
      </c>
      <c r="L129" s="199">
        <f t="shared" ref="L129" si="480">L162*L58</f>
        <v>3157.6176725406381</v>
      </c>
      <c r="M129" s="199">
        <f t="shared" si="470"/>
        <v>5370.5839625406379</v>
      </c>
      <c r="N129" s="199">
        <f t="shared" ref="N129:V129" si="481">N162*N58</f>
        <v>4126.5795070192098</v>
      </c>
      <c r="O129" s="199">
        <f t="shared" si="481"/>
        <v>3872.4152637121297</v>
      </c>
      <c r="P129" s="199">
        <f t="shared" si="481"/>
        <v>3610.0722371608445</v>
      </c>
      <c r="Q129" s="199">
        <f t="shared" si="481"/>
        <v>3443.9570373610495</v>
      </c>
      <c r="R129" s="199">
        <f t="shared" si="481"/>
        <v>3380.6140179474232</v>
      </c>
      <c r="S129" s="199">
        <f t="shared" si="481"/>
        <v>3405.835002582437</v>
      </c>
      <c r="T129" s="199">
        <f t="shared" si="481"/>
        <v>3513.0606869006124</v>
      </c>
      <c r="U129" s="199">
        <f t="shared" si="481"/>
        <v>3682.1242412988809</v>
      </c>
      <c r="V129" s="199">
        <f t="shared" si="481"/>
        <v>3886.0619876600331</v>
      </c>
      <c r="W129" s="229">
        <f>(I129/F129)^(1/3)-1</f>
        <v>-0.66229523633634824</v>
      </c>
      <c r="X129" s="207"/>
      <c r="Y129" s="32"/>
      <c r="Z129" s="32"/>
      <c r="AA129" s="32"/>
    </row>
    <row r="130" spans="5:27" ht="30" customHeight="1" x14ac:dyDescent="0.3">
      <c r="E130" s="196" t="s">
        <v>217</v>
      </c>
      <c r="F130" s="198">
        <f t="shared" ref="F130:H130" si="482">SUM(F132,F142)</f>
        <v>-471165</v>
      </c>
      <c r="G130" s="198">
        <f t="shared" si="482"/>
        <v>-712338</v>
      </c>
      <c r="H130" s="198">
        <f t="shared" si="482"/>
        <v>-1752955</v>
      </c>
      <c r="I130" s="198">
        <f>SUM(I132,I142)</f>
        <v>-2545148</v>
      </c>
      <c r="J130" s="198">
        <f t="shared" ref="J130:L130" si="483">SUM(J132,J142)</f>
        <v>-737926</v>
      </c>
      <c r="K130" s="198">
        <f t="shared" si="483"/>
        <v>-737926</v>
      </c>
      <c r="L130" s="199">
        <f t="shared" si="483"/>
        <v>-2174148.9933536686</v>
      </c>
      <c r="M130" s="199">
        <f t="shared" ref="M130:V130" si="484">SUM(M132,M142)</f>
        <v>-2912074.9933536686</v>
      </c>
      <c r="N130" s="199">
        <f t="shared" si="484"/>
        <v>-3302636.824813481</v>
      </c>
      <c r="O130" s="199">
        <f t="shared" si="484"/>
        <v>-3678329.2928749435</v>
      </c>
      <c r="P130" s="199">
        <f t="shared" si="484"/>
        <v>-4064677.1511332197</v>
      </c>
      <c r="Q130" s="199">
        <f t="shared" si="484"/>
        <v>-4444737.733327467</v>
      </c>
      <c r="R130" s="199">
        <f t="shared" si="484"/>
        <v>-4818806.641771473</v>
      </c>
      <c r="S130" s="199">
        <f t="shared" si="484"/>
        <v>-5188162.2588705514</v>
      </c>
      <c r="T130" s="199">
        <f t="shared" si="484"/>
        <v>-5559155.107212727</v>
      </c>
      <c r="U130" s="199">
        <f t="shared" si="484"/>
        <v>-5931390.2687356658</v>
      </c>
      <c r="V130" s="199">
        <f t="shared" si="484"/>
        <v>-6308413.2539037447</v>
      </c>
      <c r="W130" s="229">
        <f>(I130/F130)^(1/3)-1</f>
        <v>0.75460760167968233</v>
      </c>
      <c r="X130" s="200"/>
      <c r="Y130" s="32"/>
      <c r="Z130" s="32"/>
      <c r="AA130" s="32"/>
    </row>
    <row r="131" spans="5:27" ht="30" customHeight="1" x14ac:dyDescent="0.3">
      <c r="E131" s="201" t="s">
        <v>195</v>
      </c>
      <c r="F131" s="176" t="s">
        <v>21</v>
      </c>
      <c r="G131" s="176">
        <f>G130/F130-1</f>
        <v>0.51186527012829908</v>
      </c>
      <c r="H131" s="176">
        <f t="shared" ref="H131:I131" si="485">H130/G130-1</f>
        <v>1.4608472382492579</v>
      </c>
      <c r="I131" s="176">
        <f t="shared" si="485"/>
        <v>0.45191861742029893</v>
      </c>
      <c r="J131" s="176"/>
      <c r="K131" s="176"/>
      <c r="L131" s="202"/>
      <c r="M131" s="202">
        <f>M130/I130-1</f>
        <v>0.14416725210230164</v>
      </c>
      <c r="N131" s="202">
        <f t="shared" ref="N131" si="486">N130/M130-1</f>
        <v>0.13411805408555932</v>
      </c>
      <c r="O131" s="202">
        <f t="shared" ref="O131" si="487">O130/N130-1</f>
        <v>0.11375530764957187</v>
      </c>
      <c r="P131" s="202">
        <f t="shared" ref="P131" si="488">P130/O130-1</f>
        <v>0.1050335158971889</v>
      </c>
      <c r="Q131" s="202">
        <f t="shared" ref="Q131" si="489">Q130/P130-1</f>
        <v>9.3503264358471228E-2</v>
      </c>
      <c r="R131" s="202">
        <f t="shared" ref="R131" si="490">R130/Q130-1</f>
        <v>8.4159950684866702E-2</v>
      </c>
      <c r="S131" s="202">
        <f t="shared" ref="S131" si="491">S130/R130-1</f>
        <v>7.6648773141745563E-2</v>
      </c>
      <c r="T131" s="202">
        <f t="shared" ref="T131" si="492">T130/S130-1</f>
        <v>7.1507564688799707E-2</v>
      </c>
      <c r="U131" s="202">
        <f t="shared" ref="U131" si="493">U130/T130-1</f>
        <v>6.6958945081417642E-2</v>
      </c>
      <c r="V131" s="202">
        <f t="shared" ref="V131" si="494">V130/U130-1</f>
        <v>6.3564015869157275E-2</v>
      </c>
      <c r="W131" s="203"/>
      <c r="X131" s="200"/>
      <c r="Y131" s="32"/>
      <c r="Z131" s="32"/>
      <c r="AA131" s="32"/>
    </row>
    <row r="132" spans="5:27" ht="30" customHeight="1" x14ac:dyDescent="0.3">
      <c r="E132" s="377" t="s">
        <v>205</v>
      </c>
      <c r="F132" s="198">
        <f>SUM(F133,F141)</f>
        <v>-102613</v>
      </c>
      <c r="G132" s="198">
        <f t="shared" ref="G132:H132" si="495">SUM(G133,G141)</f>
        <v>-183615</v>
      </c>
      <c r="H132" s="198">
        <f t="shared" si="495"/>
        <v>-728599</v>
      </c>
      <c r="I132" s="198">
        <f>SUM(I133,I141)</f>
        <v>-1004700</v>
      </c>
      <c r="J132" s="198">
        <f>SUM(J133,J141)</f>
        <v>-262627</v>
      </c>
      <c r="K132" s="198">
        <f>SUM(K133,K141)</f>
        <v>-262627</v>
      </c>
      <c r="L132" s="199">
        <f t="shared" ref="L132" si="496">SUM(L133,L141)</f>
        <v>-846430.90939662047</v>
      </c>
      <c r="M132" s="199">
        <f t="shared" ref="M132:V132" si="497">SUM(M133,M141)</f>
        <v>-1109057.9093966205</v>
      </c>
      <c r="N132" s="199">
        <f t="shared" si="497"/>
        <v>-1299137.245063337</v>
      </c>
      <c r="O132" s="199">
        <f t="shared" si="497"/>
        <v>-1461358.2831998935</v>
      </c>
      <c r="P132" s="199">
        <f t="shared" si="497"/>
        <v>-1628199.591997413</v>
      </c>
      <c r="Q132" s="199">
        <f t="shared" si="497"/>
        <v>-1790490.9916218286</v>
      </c>
      <c r="R132" s="199">
        <f t="shared" si="497"/>
        <v>-1948225.5548409233</v>
      </c>
      <c r="S132" s="199">
        <f t="shared" si="497"/>
        <v>-2102221.5089781145</v>
      </c>
      <c r="T132" s="199">
        <f t="shared" si="497"/>
        <v>-2255266.1125863222</v>
      </c>
      <c r="U132" s="199">
        <f t="shared" si="497"/>
        <v>-2407596.5514342068</v>
      </c>
      <c r="V132" s="199">
        <f t="shared" si="497"/>
        <v>-2561233.8819625699</v>
      </c>
      <c r="W132" s="229">
        <f t="shared" ref="W132:W142" si="498">(I132/F132)^(1/3)-1</f>
        <v>1.1393311056084667</v>
      </c>
      <c r="X132" s="207"/>
      <c r="Y132" s="32"/>
      <c r="Z132" s="32"/>
      <c r="AA132" s="32"/>
    </row>
    <row r="133" spans="5:27" ht="30" customHeight="1" x14ac:dyDescent="0.3">
      <c r="E133" s="379" t="s">
        <v>206</v>
      </c>
      <c r="F133" s="198">
        <f>SUM(F134:F140)</f>
        <v>-100659</v>
      </c>
      <c r="G133" s="198">
        <f t="shared" ref="G133:V133" si="499">SUM(G134:G140)</f>
        <v>-175306</v>
      </c>
      <c r="H133" s="198">
        <f t="shared" si="499"/>
        <v>-708194</v>
      </c>
      <c r="I133" s="198">
        <f t="shared" si="499"/>
        <v>-997780</v>
      </c>
      <c r="J133" s="198">
        <f t="shared" si="499"/>
        <v>-262168</v>
      </c>
      <c r="K133" s="198">
        <f t="shared" si="499"/>
        <v>-262168</v>
      </c>
      <c r="L133" s="199">
        <f t="shared" si="499"/>
        <v>-831275.62593352585</v>
      </c>
      <c r="M133" s="199">
        <f t="shared" ref="M133:M142" si="500">SUM(K133,L133)</f>
        <v>-1093443.6259335259</v>
      </c>
      <c r="N133" s="199">
        <f t="shared" si="499"/>
        <v>-1276138.0810899057</v>
      </c>
      <c r="O133" s="199">
        <f t="shared" si="499"/>
        <v>-1435767.0772458878</v>
      </c>
      <c r="P133" s="199">
        <f t="shared" si="499"/>
        <v>-1599942.861059393</v>
      </c>
      <c r="Q133" s="199">
        <f t="shared" si="499"/>
        <v>-1759609.03346072</v>
      </c>
      <c r="R133" s="199">
        <f t="shared" si="499"/>
        <v>-1914756.4018596304</v>
      </c>
      <c r="S133" s="199">
        <f t="shared" si="499"/>
        <v>-2066194.8204515972</v>
      </c>
      <c r="T133" s="199">
        <f t="shared" si="499"/>
        <v>-2216667.8089695182</v>
      </c>
      <c r="U133" s="199">
        <f t="shared" si="499"/>
        <v>-2366415.9622638272</v>
      </c>
      <c r="V133" s="199">
        <f t="shared" si="499"/>
        <v>-2517436.6977375569</v>
      </c>
      <c r="W133" s="229">
        <f t="shared" si="498"/>
        <v>1.1481308274392781</v>
      </c>
      <c r="X133" s="207"/>
      <c r="Y133" s="32"/>
      <c r="Z133" s="32"/>
      <c r="AA133" s="32"/>
    </row>
    <row r="134" spans="5:27" ht="30" customHeight="1" x14ac:dyDescent="0.3">
      <c r="E134" s="216" t="s">
        <v>94</v>
      </c>
      <c r="F134" s="204">
        <v>-32455</v>
      </c>
      <c r="G134" s="204">
        <v>-62137</v>
      </c>
      <c r="H134" s="204">
        <v>-204196</v>
      </c>
      <c r="I134" s="205">
        <v>-237510</v>
      </c>
      <c r="J134" s="205">
        <v>-69203</v>
      </c>
      <c r="K134" s="205">
        <f>J134</f>
        <v>-69203</v>
      </c>
      <c r="L134" s="206">
        <f t="shared" ref="L134" si="501">L166*L72</f>
        <v>-200103.15184668341</v>
      </c>
      <c r="M134" s="206">
        <f t="shared" si="500"/>
        <v>-269306.15184668341</v>
      </c>
      <c r="N134" s="206">
        <f t="shared" ref="N134:V134" si="502">N166*N72</f>
        <v>-308325.83603447571</v>
      </c>
      <c r="O134" s="206">
        <f t="shared" si="502"/>
        <v>-348107.77403059293</v>
      </c>
      <c r="P134" s="206">
        <f t="shared" si="502"/>
        <v>-389024.32016570721</v>
      </c>
      <c r="Q134" s="206">
        <f t="shared" si="502"/>
        <v>-428676.64802626532</v>
      </c>
      <c r="R134" s="206">
        <f t="shared" si="502"/>
        <v>-467052.17462916224</v>
      </c>
      <c r="S134" s="206">
        <f t="shared" si="502"/>
        <v>-504373.09007488412</v>
      </c>
      <c r="T134" s="206">
        <f t="shared" si="502"/>
        <v>-541326.5740529059</v>
      </c>
      <c r="U134" s="206">
        <f t="shared" si="502"/>
        <v>-578003.76928527781</v>
      </c>
      <c r="V134" s="206">
        <f t="shared" si="502"/>
        <v>-614939.94912185671</v>
      </c>
      <c r="W134" s="229">
        <f t="shared" si="498"/>
        <v>0.94148226952459124</v>
      </c>
      <c r="X134" s="207"/>
      <c r="Y134" s="32"/>
      <c r="Z134" s="32"/>
      <c r="AA134" s="32"/>
    </row>
    <row r="135" spans="5:27" ht="30" customHeight="1" x14ac:dyDescent="0.3">
      <c r="E135" s="216" t="s">
        <v>207</v>
      </c>
      <c r="F135" s="204">
        <v>-16915</v>
      </c>
      <c r="G135" s="204">
        <v>-25060</v>
      </c>
      <c r="H135" s="204">
        <v>-56864</v>
      </c>
      <c r="I135" s="205">
        <v>-54598</v>
      </c>
      <c r="J135" s="205">
        <v>-11391</v>
      </c>
      <c r="K135" s="205">
        <f t="shared" ref="K135:K140" si="503">J135</f>
        <v>-11391</v>
      </c>
      <c r="L135" s="206">
        <f>L167*L68</f>
        <v>-40496.820373491952</v>
      </c>
      <c r="M135" s="206">
        <f t="shared" si="500"/>
        <v>-51887.820373491952</v>
      </c>
      <c r="N135" s="206">
        <f>N167*N68</f>
        <v>-62111.936875249667</v>
      </c>
      <c r="O135" s="206">
        <f t="shared" ref="O135:V135" si="504">O167*O68</f>
        <v>-69820.437671825319</v>
      </c>
      <c r="P135" s="206">
        <f t="shared" si="504"/>
        <v>-77748.429023367833</v>
      </c>
      <c r="Q135" s="206">
        <f t="shared" si="504"/>
        <v>-85465.693874828357</v>
      </c>
      <c r="R135" s="206">
        <f t="shared" si="504"/>
        <v>-92972.304774826043</v>
      </c>
      <c r="S135" s="206">
        <f t="shared" si="504"/>
        <v>-100306.34787729802</v>
      </c>
      <c r="T135" s="206">
        <f t="shared" si="504"/>
        <v>-107600.13473888389</v>
      </c>
      <c r="U135" s="206">
        <f t="shared" si="504"/>
        <v>-114863.71893906071</v>
      </c>
      <c r="V135" s="206">
        <f t="shared" si="504"/>
        <v>-122191.67485718003</v>
      </c>
      <c r="W135" s="229">
        <f t="shared" si="498"/>
        <v>0.47786549936687939</v>
      </c>
      <c r="X135" s="207"/>
      <c r="Y135" s="32"/>
      <c r="Z135" s="32"/>
      <c r="AA135" s="32"/>
    </row>
    <row r="136" spans="5:27" ht="30" customHeight="1" x14ac:dyDescent="0.3">
      <c r="E136" s="216" t="s">
        <v>208</v>
      </c>
      <c r="F136" s="204">
        <v>-35859</v>
      </c>
      <c r="G136" s="204">
        <v>-67967</v>
      </c>
      <c r="H136" s="204">
        <v>-405004</v>
      </c>
      <c r="I136" s="205">
        <v>-598447</v>
      </c>
      <c r="J136" s="205">
        <v>-149646</v>
      </c>
      <c r="K136" s="205">
        <f t="shared" si="503"/>
        <v>-149646</v>
      </c>
      <c r="L136" s="206">
        <f t="shared" ref="L136" si="505">L168*L76</f>
        <v>-501506.13291946769</v>
      </c>
      <c r="M136" s="206">
        <f t="shared" si="500"/>
        <v>-651152.13291946775</v>
      </c>
      <c r="N136" s="206">
        <f t="shared" ref="N136:V136" si="506">N168*N76</f>
        <v>-771063.34524904948</v>
      </c>
      <c r="O136" s="206">
        <f t="shared" si="506"/>
        <v>-868767.31445548136</v>
      </c>
      <c r="P136" s="206">
        <f t="shared" si="506"/>
        <v>-969255.76016681595</v>
      </c>
      <c r="Q136" s="206">
        <f t="shared" si="506"/>
        <v>-1066839.1108698435</v>
      </c>
      <c r="R136" s="206">
        <f t="shared" si="506"/>
        <v>-1161501.1146710243</v>
      </c>
      <c r="S136" s="206">
        <f t="shared" si="506"/>
        <v>-1253758.4800625213</v>
      </c>
      <c r="T136" s="206">
        <f t="shared" si="506"/>
        <v>-1345293.9958910781</v>
      </c>
      <c r="U136" s="206">
        <f t="shared" si="506"/>
        <v>-1436287.1156590218</v>
      </c>
      <c r="V136" s="206">
        <f t="shared" si="506"/>
        <v>-1527999.0978923673</v>
      </c>
      <c r="W136" s="229">
        <f t="shared" si="498"/>
        <v>1.555499733473416</v>
      </c>
      <c r="X136" s="207"/>
      <c r="Y136" s="32"/>
      <c r="Z136" s="32"/>
      <c r="AA136" s="32"/>
    </row>
    <row r="137" spans="5:27" ht="30" customHeight="1" x14ac:dyDescent="0.3">
      <c r="E137" s="216" t="s">
        <v>209</v>
      </c>
      <c r="F137" s="204">
        <v>-1167</v>
      </c>
      <c r="G137" s="204">
        <v>-1321</v>
      </c>
      <c r="H137" s="204">
        <v>-2966</v>
      </c>
      <c r="I137" s="205">
        <v>-24494</v>
      </c>
      <c r="J137" s="205">
        <v>-9868</v>
      </c>
      <c r="K137" s="205">
        <f t="shared" si="503"/>
        <v>-9868</v>
      </c>
      <c r="L137" s="206">
        <f t="shared" ref="L137" si="507">L169*L70</f>
        <v>-23202.328625258149</v>
      </c>
      <c r="M137" s="206">
        <f t="shared" si="500"/>
        <v>-33070.328625258146</v>
      </c>
      <c r="N137" s="206">
        <f t="shared" ref="N137:U137" si="508">N169*N70</f>
        <v>-33916.971930903637</v>
      </c>
      <c r="O137" s="206">
        <f t="shared" si="508"/>
        <v>-36340.465274323396</v>
      </c>
      <c r="P137" s="206">
        <f t="shared" si="508"/>
        <v>-38830.770047145583</v>
      </c>
      <c r="Q137" s="206">
        <f t="shared" si="508"/>
        <v>-41462.8863721495</v>
      </c>
      <c r="R137" s="206">
        <f t="shared" si="508"/>
        <v>-44252.093944668915</v>
      </c>
      <c r="S137" s="206">
        <f t="shared" si="508"/>
        <v>-47180.18178787845</v>
      </c>
      <c r="T137" s="206">
        <f t="shared" si="508"/>
        <v>-50283.628247559478</v>
      </c>
      <c r="U137" s="206">
        <f t="shared" si="508"/>
        <v>-53519.368745417152</v>
      </c>
      <c r="V137" s="206">
        <f>V169*V70</f>
        <v>-56861.566195464984</v>
      </c>
      <c r="W137" s="229">
        <f t="shared" si="498"/>
        <v>1.7584362564942939</v>
      </c>
      <c r="X137" s="207"/>
      <c r="Y137" s="32"/>
      <c r="Z137" s="32"/>
      <c r="AA137" s="32"/>
    </row>
    <row r="138" spans="5:27" ht="30" customHeight="1" x14ac:dyDescent="0.3">
      <c r="E138" s="216" t="s">
        <v>210</v>
      </c>
      <c r="F138" s="204">
        <v>-4930</v>
      </c>
      <c r="G138" s="204">
        <v>-8574</v>
      </c>
      <c r="H138" s="204">
        <v>-28061</v>
      </c>
      <c r="I138" s="205">
        <v>-70764</v>
      </c>
      <c r="J138" s="205">
        <v>-19006</v>
      </c>
      <c r="K138" s="205">
        <f t="shared" si="503"/>
        <v>-19006</v>
      </c>
      <c r="L138" s="206">
        <f t="shared" ref="L138" si="509">L170*L80</f>
        <v>-53305.425863476004</v>
      </c>
      <c r="M138" s="206">
        <f t="shared" si="500"/>
        <v>-72311.425863476004</v>
      </c>
      <c r="N138" s="206">
        <f t="shared" ref="N138:V138" si="510">N170*N80</f>
        <v>-81912.340117216241</v>
      </c>
      <c r="O138" s="206">
        <f t="shared" si="510"/>
        <v>-92244.234657796464</v>
      </c>
      <c r="P138" s="206">
        <f t="shared" si="510"/>
        <v>-102870.52187393361</v>
      </c>
      <c r="Q138" s="206">
        <f t="shared" si="510"/>
        <v>-113195.02301633272</v>
      </c>
      <c r="R138" s="206">
        <f t="shared" si="510"/>
        <v>-123216.41684912691</v>
      </c>
      <c r="S138" s="206">
        <f t="shared" si="510"/>
        <v>-132988.55756722574</v>
      </c>
      <c r="T138" s="206">
        <f t="shared" si="510"/>
        <v>-142689.26159075755</v>
      </c>
      <c r="U138" s="206">
        <f t="shared" si="510"/>
        <v>-152336.30167848707</v>
      </c>
      <c r="V138" s="206">
        <f t="shared" si="510"/>
        <v>-162061.60475922588</v>
      </c>
      <c r="W138" s="229">
        <f t="shared" si="498"/>
        <v>1.430273501112842</v>
      </c>
      <c r="X138" s="207"/>
      <c r="Y138" s="32"/>
      <c r="Z138" s="32"/>
      <c r="AA138" s="32"/>
    </row>
    <row r="139" spans="5:27" ht="30" customHeight="1" x14ac:dyDescent="0.3">
      <c r="E139" s="216" t="s">
        <v>211</v>
      </c>
      <c r="F139" s="204">
        <v>-4779</v>
      </c>
      <c r="G139" s="204">
        <v>-4534</v>
      </c>
      <c r="H139" s="204">
        <v>-5072</v>
      </c>
      <c r="I139" s="205">
        <v>-5582</v>
      </c>
      <c r="J139" s="205">
        <v>-1213</v>
      </c>
      <c r="K139" s="205">
        <f t="shared" si="503"/>
        <v>-1213</v>
      </c>
      <c r="L139" s="206">
        <f t="shared" ref="L139" si="511">L171*L74</f>
        <v>-4939.8376737938952</v>
      </c>
      <c r="M139" s="206">
        <f t="shared" si="500"/>
        <v>-6152.8376737938952</v>
      </c>
      <c r="N139" s="206">
        <f t="shared" ref="N139:V139" si="512">N171*N74</f>
        <v>-7411.3742645782895</v>
      </c>
      <c r="O139" s="206">
        <f t="shared" si="512"/>
        <v>-8154.5838564275</v>
      </c>
      <c r="P139" s="206">
        <f t="shared" si="512"/>
        <v>-8918.7384498253032</v>
      </c>
      <c r="Q139" s="206">
        <f t="shared" si="512"/>
        <v>-9683.1501686484189</v>
      </c>
      <c r="R139" s="206">
        <f t="shared" si="512"/>
        <v>-10449.334679388832</v>
      </c>
      <c r="S139" s="206">
        <f t="shared" si="512"/>
        <v>-11217.979201333626</v>
      </c>
      <c r="T139" s="206">
        <f t="shared" si="512"/>
        <v>-12001.334229585247</v>
      </c>
      <c r="U139" s="206">
        <f t="shared" si="512"/>
        <v>-12795.798096000082</v>
      </c>
      <c r="V139" s="206">
        <f t="shared" si="512"/>
        <v>-13604.994048464087</v>
      </c>
      <c r="W139" s="229">
        <f t="shared" si="498"/>
        <v>5.3135535459853056E-2</v>
      </c>
      <c r="X139" s="207"/>
      <c r="Y139" s="32"/>
      <c r="Z139" s="32"/>
      <c r="AA139" s="32"/>
    </row>
    <row r="140" spans="5:27" ht="30" customHeight="1" x14ac:dyDescent="0.3">
      <c r="E140" s="216" t="s">
        <v>214</v>
      </c>
      <c r="F140" s="204">
        <v>-4554</v>
      </c>
      <c r="G140" s="204">
        <v>-5713</v>
      </c>
      <c r="H140" s="204">
        <v>-6031</v>
      </c>
      <c r="I140" s="205">
        <v>-6385</v>
      </c>
      <c r="J140" s="205">
        <v>-1841</v>
      </c>
      <c r="K140" s="205">
        <f t="shared" si="503"/>
        <v>-1841</v>
      </c>
      <c r="L140" s="206">
        <f t="shared" ref="L140" si="513">L172*SUM(L66,L68,L70,L72,L74,L76,L80)</f>
        <v>-7721.9286313547409</v>
      </c>
      <c r="M140" s="206">
        <f t="shared" si="500"/>
        <v>-9562.9286313547418</v>
      </c>
      <c r="N140" s="206">
        <f t="shared" ref="N140:V140" si="514">N172*SUM(N66,N68,N70,N72,N74,N76,N80)</f>
        <v>-11396.276618432426</v>
      </c>
      <c r="O140" s="206">
        <f t="shared" si="514"/>
        <v>-12332.267299440457</v>
      </c>
      <c r="P140" s="206">
        <f t="shared" si="514"/>
        <v>-13294.321332597643</v>
      </c>
      <c r="Q140" s="206">
        <f t="shared" si="514"/>
        <v>-14286.521132652226</v>
      </c>
      <c r="R140" s="206">
        <f t="shared" si="514"/>
        <v>-15312.962311433068</v>
      </c>
      <c r="S140" s="206">
        <f t="shared" si="514"/>
        <v>-16370.183880456072</v>
      </c>
      <c r="T140" s="206">
        <f t="shared" si="514"/>
        <v>-17472.880218747949</v>
      </c>
      <c r="U140" s="206">
        <f t="shared" si="514"/>
        <v>-18609.889860562012</v>
      </c>
      <c r="V140" s="206">
        <f t="shared" si="514"/>
        <v>-19777.810862997463</v>
      </c>
      <c r="W140" s="229">
        <f t="shared" si="498"/>
        <v>0.11923845963173174</v>
      </c>
      <c r="X140" s="207"/>
      <c r="Y140" s="32"/>
      <c r="Z140" s="32"/>
      <c r="AA140" s="32"/>
    </row>
    <row r="141" spans="5:27" ht="30" customHeight="1" x14ac:dyDescent="0.3">
      <c r="E141" s="379" t="s">
        <v>212</v>
      </c>
      <c r="F141" s="198">
        <v>-1954</v>
      </c>
      <c r="G141" s="198">
        <v>-8309</v>
      </c>
      <c r="H141" s="198">
        <v>-20405</v>
      </c>
      <c r="I141" s="378">
        <v>-6920</v>
      </c>
      <c r="J141" s="378">
        <v>-459</v>
      </c>
      <c r="K141" s="378">
        <f>J141</f>
        <v>-459</v>
      </c>
      <c r="L141" s="199">
        <f>L173*L64</f>
        <v>-15155.283463094598</v>
      </c>
      <c r="M141" s="199">
        <f t="shared" si="500"/>
        <v>-15614.283463094598</v>
      </c>
      <c r="N141" s="199">
        <f t="shared" ref="N141:V141" si="515">N173*N64</f>
        <v>-22999.163973431245</v>
      </c>
      <c r="O141" s="199">
        <f t="shared" si="515"/>
        <v>-25591.205954005611</v>
      </c>
      <c r="P141" s="199">
        <f t="shared" si="515"/>
        <v>-28256.73093802002</v>
      </c>
      <c r="Q141" s="199">
        <f t="shared" si="515"/>
        <v>-30881.958161108745</v>
      </c>
      <c r="R141" s="199">
        <f t="shared" si="515"/>
        <v>-33469.15298129282</v>
      </c>
      <c r="S141" s="199">
        <f t="shared" si="515"/>
        <v>-36026.688526517384</v>
      </c>
      <c r="T141" s="199">
        <f>T173*T64</f>
        <v>-38598.303616803911</v>
      </c>
      <c r="U141" s="199">
        <f t="shared" si="515"/>
        <v>-41180.589170379637</v>
      </c>
      <c r="V141" s="199">
        <f t="shared" si="515"/>
        <v>-43797.184225012832</v>
      </c>
      <c r="W141" s="229">
        <f t="shared" si="498"/>
        <v>0.52426511991941771</v>
      </c>
      <c r="X141" s="207"/>
      <c r="Y141" s="32"/>
      <c r="Z141" s="32"/>
      <c r="AA141" s="32"/>
    </row>
    <row r="142" spans="5:27" ht="30" customHeight="1" thickBot="1" x14ac:dyDescent="0.35">
      <c r="E142" s="208" t="s">
        <v>213</v>
      </c>
      <c r="F142" s="209">
        <v>-368552</v>
      </c>
      <c r="G142" s="209">
        <v>-528723</v>
      </c>
      <c r="H142" s="209">
        <v>-1024356</v>
      </c>
      <c r="I142" s="209">
        <v>-1540448</v>
      </c>
      <c r="J142" s="209">
        <v>-475299</v>
      </c>
      <c r="K142" s="209">
        <f>J142</f>
        <v>-475299</v>
      </c>
      <c r="L142" s="210">
        <f t="shared" ref="L142" si="516">L174*SUM(L84,L86,L88,L92,L94,L96,L98,L100)</f>
        <v>-1327718.0839570481</v>
      </c>
      <c r="M142" s="210">
        <f t="shared" si="500"/>
        <v>-1803017.0839570481</v>
      </c>
      <c r="N142" s="210">
        <f t="shared" ref="N142:V142" si="517">N174*SUM(N84,N86,N88,N92,N94,N96,N98,N100)</f>
        <v>-2003499.5797501439</v>
      </c>
      <c r="O142" s="210">
        <f t="shared" si="517"/>
        <v>-2216971.0096750497</v>
      </c>
      <c r="P142" s="210">
        <f t="shared" si="517"/>
        <v>-2436477.5591358067</v>
      </c>
      <c r="Q142" s="210">
        <f t="shared" si="517"/>
        <v>-2654246.7417056379</v>
      </c>
      <c r="R142" s="210">
        <f t="shared" si="517"/>
        <v>-2870581.0869305492</v>
      </c>
      <c r="S142" s="210">
        <f t="shared" si="517"/>
        <v>-3085940.7498924364</v>
      </c>
      <c r="T142" s="210">
        <f t="shared" si="517"/>
        <v>-3303888.9946264047</v>
      </c>
      <c r="U142" s="210">
        <f t="shared" si="517"/>
        <v>-3523793.7173014595</v>
      </c>
      <c r="V142" s="210">
        <f t="shared" si="517"/>
        <v>-3747179.3719411753</v>
      </c>
      <c r="W142" s="230">
        <f t="shared" si="498"/>
        <v>0.61082893984690378</v>
      </c>
      <c r="X142" s="207"/>
      <c r="Y142" s="32"/>
      <c r="Z142" s="32"/>
      <c r="AA142" s="32"/>
    </row>
    <row r="143" spans="5:27" ht="30" customHeight="1" x14ac:dyDescent="0.3">
      <c r="E143" s="211"/>
      <c r="F143" s="207"/>
      <c r="G143" s="207"/>
      <c r="H143" s="207"/>
      <c r="I143" s="32"/>
      <c r="J143" s="32"/>
      <c r="K143" s="32"/>
      <c r="L143" s="32"/>
      <c r="M143" s="32"/>
      <c r="N143" s="32"/>
      <c r="O143" s="32"/>
      <c r="P143" s="32"/>
      <c r="Q143" s="32"/>
      <c r="R143" s="32"/>
      <c r="S143" s="32"/>
      <c r="T143" s="32"/>
      <c r="U143" s="32"/>
      <c r="V143" s="32"/>
      <c r="W143" s="32"/>
      <c r="X143" s="32"/>
      <c r="Y143" s="32"/>
      <c r="Z143" s="32"/>
      <c r="AA143" s="32"/>
    </row>
    <row r="144" spans="5:27" ht="30" customHeight="1" thickBot="1" x14ac:dyDescent="0.35">
      <c r="E144" s="32"/>
      <c r="F144" s="195"/>
      <c r="G144" s="195"/>
      <c r="H144" s="195"/>
      <c r="I144" s="32"/>
      <c r="J144" s="32"/>
      <c r="K144" s="32"/>
      <c r="L144" s="32"/>
      <c r="M144" s="32"/>
      <c r="N144" s="32"/>
      <c r="O144" s="32"/>
      <c r="P144" s="32"/>
      <c r="Q144" s="32"/>
      <c r="R144" s="32"/>
      <c r="S144" s="32"/>
      <c r="T144" s="32"/>
      <c r="U144" s="32"/>
      <c r="V144" s="32"/>
      <c r="W144" s="32"/>
      <c r="X144" s="32"/>
      <c r="Y144" s="32"/>
      <c r="Z144" s="32"/>
      <c r="AA144" s="32"/>
    </row>
    <row r="145" spans="5:27" ht="30" customHeight="1" thickBot="1" x14ac:dyDescent="0.35">
      <c r="E145" s="171"/>
      <c r="F145" s="172"/>
      <c r="G145" s="172"/>
      <c r="H145" s="172"/>
      <c r="I145" s="173"/>
      <c r="J145" s="173"/>
      <c r="K145" s="173"/>
      <c r="L145" s="173"/>
      <c r="M145" s="173"/>
      <c r="N145" s="173"/>
      <c r="O145" s="173"/>
      <c r="P145" s="173"/>
      <c r="Q145" s="173"/>
      <c r="R145" s="173"/>
      <c r="S145" s="173"/>
      <c r="T145" s="173"/>
      <c r="U145" s="173"/>
      <c r="V145" s="174"/>
      <c r="W145" s="32"/>
      <c r="X145" s="32"/>
      <c r="Y145" s="32"/>
      <c r="Z145" s="32"/>
      <c r="AA145" s="32"/>
    </row>
    <row r="146" spans="5:27" ht="30" customHeight="1" x14ac:dyDescent="0.3">
      <c r="E146" s="86" t="s">
        <v>140</v>
      </c>
      <c r="F146" s="87">
        <v>2020</v>
      </c>
      <c r="G146" s="87">
        <v>2021</v>
      </c>
      <c r="H146" s="87">
        <v>2022</v>
      </c>
      <c r="I146" s="88">
        <v>2023</v>
      </c>
      <c r="J146" s="88" t="str">
        <f>J$9</f>
        <v>1T24</v>
      </c>
      <c r="K146" s="88" t="str">
        <f t="shared" ref="K146:L146" si="518">K$9</f>
        <v>YTD24</v>
      </c>
      <c r="L146" s="89" t="str">
        <f t="shared" si="518"/>
        <v>YTG24</v>
      </c>
      <c r="M146" s="89">
        <v>2024</v>
      </c>
      <c r="N146" s="89">
        <v>2025</v>
      </c>
      <c r="O146" s="89">
        <v>2026</v>
      </c>
      <c r="P146" s="89">
        <v>2027</v>
      </c>
      <c r="Q146" s="89">
        <v>2028</v>
      </c>
      <c r="R146" s="89">
        <v>2029</v>
      </c>
      <c r="S146" s="89">
        <v>2030</v>
      </c>
      <c r="T146" s="89">
        <v>2031</v>
      </c>
      <c r="U146" s="89">
        <v>2032</v>
      </c>
      <c r="V146" s="152">
        <v>2033</v>
      </c>
      <c r="W146" s="239" t="s">
        <v>223</v>
      </c>
      <c r="X146" s="197"/>
      <c r="Y146" s="32"/>
      <c r="Z146" s="32"/>
      <c r="AA146" s="32"/>
    </row>
    <row r="147" spans="5:27" ht="30" customHeight="1" x14ac:dyDescent="0.3">
      <c r="E147" s="240" t="s">
        <v>216</v>
      </c>
      <c r="F147" s="217">
        <f>F113/F38</f>
        <v>4.9579746927366809E-2</v>
      </c>
      <c r="G147" s="217">
        <f t="shared" ref="G147:V147" si="519">G113/G38</f>
        <v>5.7554574746446874E-2</v>
      </c>
      <c r="H147" s="217">
        <f t="shared" si="519"/>
        <v>9.5334033366042223E-2</v>
      </c>
      <c r="I147" s="217">
        <f t="shared" si="519"/>
        <v>9.2858839096262455E-2</v>
      </c>
      <c r="J147" s="217">
        <f>J113/J38</f>
        <v>2.3647718803127014E-2</v>
      </c>
      <c r="K147" s="217">
        <f t="shared" si="519"/>
        <v>2.3647718803127014E-2</v>
      </c>
      <c r="L147" s="218">
        <f t="shared" si="519"/>
        <v>6.4301041155621325E-2</v>
      </c>
      <c r="M147" s="218">
        <f t="shared" ref="M147" si="520">M113/M38</f>
        <v>8.4006904370071731E-2</v>
      </c>
      <c r="N147" s="218">
        <f t="shared" si="519"/>
        <v>8.6984232947657544E-2</v>
      </c>
      <c r="O147" s="218">
        <f t="shared" si="519"/>
        <v>8.8241408685905021E-2</v>
      </c>
      <c r="P147" s="218">
        <f t="shared" si="519"/>
        <v>8.9329710071253579E-2</v>
      </c>
      <c r="Q147" s="218">
        <f t="shared" si="519"/>
        <v>9.0099026567793075E-2</v>
      </c>
      <c r="R147" s="218">
        <f t="shared" si="519"/>
        <v>9.0605649626489815E-2</v>
      </c>
      <c r="S147" s="218">
        <f t="shared" si="519"/>
        <v>9.0920881751901106E-2</v>
      </c>
      <c r="T147" s="218">
        <f t="shared" si="519"/>
        <v>9.1093508868197823E-2</v>
      </c>
      <c r="U147" s="218">
        <f t="shared" si="519"/>
        <v>9.1172316899550632E-2</v>
      </c>
      <c r="V147" s="218">
        <f t="shared" si="519"/>
        <v>9.1206091770130407E-2</v>
      </c>
      <c r="W147" s="129" t="s">
        <v>21</v>
      </c>
      <c r="X147" s="158"/>
      <c r="Y147" s="32"/>
      <c r="Z147" s="32"/>
      <c r="AA147" s="32"/>
    </row>
    <row r="148" spans="5:27" ht="30" customHeight="1" x14ac:dyDescent="0.3">
      <c r="E148" s="241" t="s">
        <v>75</v>
      </c>
      <c r="F148" s="219">
        <f>F115/SUM(F40,F42,F44,F46)</f>
        <v>8.7223175627929597E-2</v>
      </c>
      <c r="G148" s="219">
        <f t="shared" ref="G148:V148" si="521">G115/SUM(G40,G42,G44,G46)</f>
        <v>6.4252459569324474E-2</v>
      </c>
      <c r="H148" s="219">
        <f t="shared" si="521"/>
        <v>7.7292943900056685E-2</v>
      </c>
      <c r="I148" s="219">
        <f t="shared" si="521"/>
        <v>8.1387285908354631E-2</v>
      </c>
      <c r="J148" s="219">
        <f t="shared" si="521"/>
        <v>2.3432640934721388E-2</v>
      </c>
      <c r="K148" s="219">
        <f t="shared" si="521"/>
        <v>2.3432640934721388E-2</v>
      </c>
      <c r="L148" s="220">
        <f t="shared" si="521"/>
        <v>5.6556884002806319E-2</v>
      </c>
      <c r="M148" s="220">
        <f t="shared" ref="M148" si="522">M115/SUM(M40,M42,M44,M46)</f>
        <v>7.6083520836456878E-2</v>
      </c>
      <c r="N148" s="220">
        <f t="shared" si="521"/>
        <v>7.5590699003192666E-2</v>
      </c>
      <c r="O148" s="220">
        <f t="shared" si="521"/>
        <v>7.5773332756776501E-2</v>
      </c>
      <c r="P148" s="220">
        <f t="shared" si="521"/>
        <v>7.5931433618087837E-2</v>
      </c>
      <c r="Q148" s="220">
        <f t="shared" si="521"/>
        <v>7.604319457177347E-2</v>
      </c>
      <c r="R148" s="220">
        <f t="shared" si="521"/>
        <v>7.6116793248590844E-2</v>
      </c>
      <c r="S148" s="220">
        <f t="shared" si="521"/>
        <v>7.6162587980832752E-2</v>
      </c>
      <c r="T148" s="220">
        <f t="shared" si="521"/>
        <v>7.6187666048489047E-2</v>
      </c>
      <c r="U148" s="220">
        <f t="shared" si="521"/>
        <v>7.6199114731549528E-2</v>
      </c>
      <c r="V148" s="220">
        <f t="shared" si="521"/>
        <v>7.6204021310004005E-2</v>
      </c>
      <c r="W148" s="129" t="s">
        <v>21</v>
      </c>
      <c r="X148" s="158"/>
      <c r="Y148" s="32"/>
      <c r="Z148" s="32"/>
      <c r="AA148" s="32"/>
    </row>
    <row r="149" spans="5:27" ht="30" customHeight="1" x14ac:dyDescent="0.3">
      <c r="E149" s="242" t="s">
        <v>76</v>
      </c>
      <c r="F149" s="219">
        <f>F116/F40</f>
        <v>8.3753422156412488E-2</v>
      </c>
      <c r="G149" s="219">
        <f t="shared" ref="G149:H149" si="523">G116/G40</f>
        <v>8.7737543688198055E-2</v>
      </c>
      <c r="H149" s="219">
        <f t="shared" si="523"/>
        <v>0.13787707786435763</v>
      </c>
      <c r="I149" s="219">
        <f>I116/I40</f>
        <v>0.16434947687391674</v>
      </c>
      <c r="J149" s="219">
        <f t="shared" ref="J149:K149" si="524">J116/J40</f>
        <v>4.182734042364724E-2</v>
      </c>
      <c r="K149" s="219">
        <f t="shared" si="524"/>
        <v>4.182734042364724E-2</v>
      </c>
      <c r="L149" s="220">
        <f>($F199*(5-Dashboard!$F$9)*3/12)+$G199*L$10</f>
        <v>9.9990177365853694E-2</v>
      </c>
      <c r="M149" s="220">
        <f t="shared" ref="M149" si="525">M116/M40</f>
        <v>0.13484528774139029</v>
      </c>
      <c r="N149" s="220">
        <f t="shared" ref="N149:V149" si="526">$F199+$G199*N$10</f>
        <v>0.13571833176519282</v>
      </c>
      <c r="O149" s="220">
        <f>$F199+$G199*O$10</f>
        <v>0.13813113662976678</v>
      </c>
      <c r="P149" s="220">
        <f t="shared" si="526"/>
        <v>0.14021983337820398</v>
      </c>
      <c r="Q149" s="220">
        <f t="shared" si="526"/>
        <v>0.1416963259072716</v>
      </c>
      <c r="R149" s="220">
        <f t="shared" si="526"/>
        <v>0.14266865025568204</v>
      </c>
      <c r="S149" s="220">
        <f t="shared" si="526"/>
        <v>0.14327365207247073</v>
      </c>
      <c r="T149" s="220">
        <f t="shared" si="526"/>
        <v>0.14360496259118835</v>
      </c>
      <c r="U149" s="220">
        <f t="shared" si="526"/>
        <v>0.14375621304538552</v>
      </c>
      <c r="V149" s="220">
        <f t="shared" si="526"/>
        <v>0.14382103466861287</v>
      </c>
      <c r="W149" s="129" t="s">
        <v>21</v>
      </c>
      <c r="X149" s="158"/>
      <c r="Y149" s="32"/>
      <c r="Z149" s="32"/>
      <c r="AA149" s="32"/>
    </row>
    <row r="150" spans="5:27" ht="30" customHeight="1" x14ac:dyDescent="0.3">
      <c r="E150" s="242" t="s">
        <v>77</v>
      </c>
      <c r="F150" s="219">
        <f>F117/F42</f>
        <v>0.53556618819776713</v>
      </c>
      <c r="G150" s="219">
        <f t="shared" ref="G150:H150" si="527">G117/G42</f>
        <v>0.21379775659947711</v>
      </c>
      <c r="H150" s="219">
        <f t="shared" si="527"/>
        <v>0.50722912059874126</v>
      </c>
      <c r="I150" s="219">
        <f>I117/I42</f>
        <v>0.25737479990852963</v>
      </c>
      <c r="J150" s="219">
        <f t="shared" ref="J150:K150" si="528">J117/J42</f>
        <v>3.3370934386162815E-2</v>
      </c>
      <c r="K150" s="219">
        <f t="shared" si="528"/>
        <v>3.3370934386162815E-2</v>
      </c>
      <c r="L150" s="220">
        <f>($F200*(5-Dashboard!$F$9)*3/12)+$G200*L$10</f>
        <v>0.27862187541400574</v>
      </c>
      <c r="M150" s="220">
        <f t="shared" ref="M150" si="529">M117/M42</f>
        <v>0.30643018427571156</v>
      </c>
      <c r="N150" s="220">
        <f t="shared" ref="N150:V150" si="530">$F200+$G200*N$10</f>
        <v>0.37036914299659618</v>
      </c>
      <c r="O150" s="220">
        <f t="shared" si="530"/>
        <v>0.36923554114062829</v>
      </c>
      <c r="P150" s="220">
        <f t="shared" si="530"/>
        <v>0.36825421416083526</v>
      </c>
      <c r="Q150" s="220">
        <f t="shared" si="530"/>
        <v>0.36756051750270569</v>
      </c>
      <c r="R150" s="220">
        <f t="shared" si="530"/>
        <v>0.36710369287418132</v>
      </c>
      <c r="S150" s="220">
        <f t="shared" si="530"/>
        <v>0.36681944643865505</v>
      </c>
      <c r="T150" s="220">
        <f t="shared" si="530"/>
        <v>0.36666378767634306</v>
      </c>
      <c r="U150" s="220">
        <f t="shared" si="530"/>
        <v>0.36659272606746146</v>
      </c>
      <c r="V150" s="220">
        <f t="shared" si="530"/>
        <v>0.3665622710922265</v>
      </c>
      <c r="W150" s="129" t="s">
        <v>21</v>
      </c>
      <c r="X150" s="158"/>
      <c r="Y150" s="32"/>
      <c r="Z150" s="32"/>
      <c r="AA150" s="32"/>
    </row>
    <row r="151" spans="5:27" ht="30" customHeight="1" x14ac:dyDescent="0.3">
      <c r="E151" s="242" t="s">
        <v>78</v>
      </c>
      <c r="F151" s="219">
        <f>F118/F44</f>
        <v>0.10108716029145874</v>
      </c>
      <c r="G151" s="219">
        <f t="shared" ref="G151:H151" si="531">G118/G44</f>
        <v>9.0654906938890376E-2</v>
      </c>
      <c r="H151" s="219">
        <f t="shared" si="531"/>
        <v>7.5208640570686963E-2</v>
      </c>
      <c r="I151" s="219">
        <f>I118/I44</f>
        <v>7.1027389609911784E-2</v>
      </c>
      <c r="J151" s="219">
        <f t="shared" ref="J151:K151" si="532">J118/J44</f>
        <v>2.3761771203835727E-2</v>
      </c>
      <c r="K151" s="219">
        <f t="shared" si="532"/>
        <v>2.3761771203835727E-2</v>
      </c>
      <c r="L151" s="220">
        <f>($F201*(5-Dashboard!$F$9)*3/12)+$G201*L$10</f>
        <v>5.9377661502536261E-2</v>
      </c>
      <c r="M151" s="220">
        <f t="shared" ref="M151" si="533">M118/M44</f>
        <v>7.9178565639384135E-2</v>
      </c>
      <c r="N151" s="220">
        <f t="shared" ref="N151:V151" si="534">$F201+$G201*N$10</f>
        <v>7.8312762950273576E-2</v>
      </c>
      <c r="O151" s="220">
        <f t="shared" si="534"/>
        <v>7.7450051068617271E-2</v>
      </c>
      <c r="P151" s="220">
        <f t="shared" si="534"/>
        <v>7.6703225857631202E-2</v>
      </c>
      <c r="Q151" s="220">
        <f t="shared" si="534"/>
        <v>7.6175297691244509E-2</v>
      </c>
      <c r="R151" s="220">
        <f t="shared" si="534"/>
        <v>7.5827637679233756E-2</v>
      </c>
      <c r="S151" s="220">
        <f t="shared" si="534"/>
        <v>7.5611315893982622E-2</v>
      </c>
      <c r="T151" s="220">
        <f t="shared" si="534"/>
        <v>7.5492853963964143E-2</v>
      </c>
      <c r="U151" s="220">
        <f t="shared" si="534"/>
        <v>7.5438773517651367E-2</v>
      </c>
      <c r="V151" s="220">
        <f t="shared" si="534"/>
        <v>7.5415596183517314E-2</v>
      </c>
      <c r="W151" s="129" t="s">
        <v>21</v>
      </c>
      <c r="X151" s="158"/>
      <c r="Y151" s="32"/>
      <c r="Z151" s="32"/>
      <c r="AA151" s="32"/>
    </row>
    <row r="152" spans="5:27" ht="30" customHeight="1" x14ac:dyDescent="0.3">
      <c r="E152" s="242" t="s">
        <v>79</v>
      </c>
      <c r="F152" s="219">
        <f>F119/F46</f>
        <v>5.1820588353517431E-2</v>
      </c>
      <c r="G152" s="219">
        <f t="shared" ref="G152:I152" si="535">G119/G46</f>
        <v>3.1985631367323936E-2</v>
      </c>
      <c r="H152" s="219">
        <f t="shared" si="535"/>
        <v>4.8912557918631604E-2</v>
      </c>
      <c r="I152" s="219">
        <f t="shared" si="535"/>
        <v>6.2712272943688113E-2</v>
      </c>
      <c r="J152" s="219">
        <f t="shared" ref="J152:K152" si="536">J119/J46</f>
        <v>1.90633132814855E-2</v>
      </c>
      <c r="K152" s="219">
        <f t="shared" si="536"/>
        <v>1.90633132814855E-2</v>
      </c>
      <c r="L152" s="220">
        <f>($F202*(5-Dashboard!$F$9)*3/12)+$G202*L$10</f>
        <v>3.8756211489312825E-2</v>
      </c>
      <c r="M152" s="220">
        <f t="shared" ref="M152" si="537">M119/M46</f>
        <v>5.4641847100367798E-2</v>
      </c>
      <c r="N152" s="220">
        <f t="shared" ref="N152:V152" si="538">$F202+$G202*N$10</f>
        <v>5.2128641865407277E-2</v>
      </c>
      <c r="O152" s="220">
        <f t="shared" si="538"/>
        <v>5.2585117970276318E-2</v>
      </c>
      <c r="P152" s="220">
        <f t="shared" si="538"/>
        <v>5.2980276389416693E-2</v>
      </c>
      <c r="Q152" s="220">
        <f t="shared" si="538"/>
        <v>5.3259612513291782E-2</v>
      </c>
      <c r="R152" s="220">
        <f t="shared" si="538"/>
        <v>5.3443565570477816E-2</v>
      </c>
      <c r="S152" s="220">
        <f t="shared" si="538"/>
        <v>5.3558025250504682E-2</v>
      </c>
      <c r="T152" s="220">
        <f t="shared" si="538"/>
        <v>5.3620705551471776E-2</v>
      </c>
      <c r="U152" s="220">
        <f t="shared" si="538"/>
        <v>5.3649320471478489E-2</v>
      </c>
      <c r="V152" s="220">
        <f t="shared" si="538"/>
        <v>5.3661584008624225E-2</v>
      </c>
      <c r="W152" s="129" t="s">
        <v>21</v>
      </c>
      <c r="X152" s="158"/>
      <c r="Y152" s="32"/>
      <c r="Z152" s="32"/>
      <c r="AA152" s="32"/>
    </row>
    <row r="153" spans="5:27" ht="30" customHeight="1" x14ac:dyDescent="0.3">
      <c r="E153" s="242" t="s">
        <v>198</v>
      </c>
      <c r="F153" s="219">
        <f>F120/SUM(F40,F42,F44,F46)</f>
        <v>9.4808447589667614E-3</v>
      </c>
      <c r="G153" s="219">
        <f t="shared" ref="G153:I153" si="539">G120/SUM(G40,G42,G44,G46)</f>
        <v>6.3051283355624686E-3</v>
      </c>
      <c r="H153" s="219">
        <f t="shared" si="539"/>
        <v>7.8570316885354097E-3</v>
      </c>
      <c r="I153" s="219">
        <f t="shared" si="539"/>
        <v>3.1690299340306895E-3</v>
      </c>
      <c r="J153" s="219">
        <f t="shared" ref="J153:K153" si="540">J120/SUM(J40,J42,J44,J46)</f>
        <v>3.1313743776584046E-4</v>
      </c>
      <c r="K153" s="219">
        <f t="shared" si="540"/>
        <v>3.1313743776584046E-4</v>
      </c>
      <c r="L153" s="220">
        <f>($F203*(5-Dashboard!$F$9)*3/12)+$G203*L$10</f>
        <v>4.5503993546787812E-3</v>
      </c>
      <c r="M153" s="220">
        <f t="shared" ref="M153" si="541">M120/SUM(M40,M42,M44,M46)</f>
        <v>4.8113396833129821E-3</v>
      </c>
      <c r="N153" s="220">
        <f t="shared" ref="N153:V153" si="542">$F203+$G203*N$10</f>
        <v>5.9648053067758913E-3</v>
      </c>
      <c r="O153" s="220">
        <f t="shared" si="542"/>
        <v>5.861783404267823E-3</v>
      </c>
      <c r="P153" s="220">
        <f t="shared" si="542"/>
        <v>5.7726002647832241E-3</v>
      </c>
      <c r="Q153" s="220">
        <f t="shared" si="542"/>
        <v>5.7095570110096295E-3</v>
      </c>
      <c r="R153" s="220">
        <f t="shared" si="542"/>
        <v>5.6680407219392133E-3</v>
      </c>
      <c r="S153" s="220">
        <f t="shared" si="542"/>
        <v>5.6422083642953987E-3</v>
      </c>
      <c r="T153" s="220">
        <f t="shared" si="542"/>
        <v>5.6280620732047388E-3</v>
      </c>
      <c r="U153" s="220">
        <f t="shared" si="542"/>
        <v>5.6216039837937853E-3</v>
      </c>
      <c r="V153" s="220">
        <f t="shared" si="542"/>
        <v>5.6188362311890908E-3</v>
      </c>
      <c r="W153" s="129" t="s">
        <v>21</v>
      </c>
      <c r="X153" s="158"/>
      <c r="Y153" s="32"/>
      <c r="Z153" s="32"/>
      <c r="AA153" s="32"/>
    </row>
    <row r="154" spans="5:27" ht="30" customHeight="1" x14ac:dyDescent="0.3">
      <c r="E154" s="242" t="s">
        <v>199</v>
      </c>
      <c r="F154" s="219">
        <f>F121/F38</f>
        <v>7.9297462048208579E-6</v>
      </c>
      <c r="G154" s="219">
        <f t="shared" ref="G154:I154" si="543">G121/G38</f>
        <v>2.6333546488309473E-5</v>
      </c>
      <c r="H154" s="219">
        <f t="shared" si="543"/>
        <v>2.221286264694248E-4</v>
      </c>
      <c r="I154" s="219">
        <f t="shared" si="543"/>
        <v>4.5405234967362652E-4</v>
      </c>
      <c r="J154" s="219">
        <f t="shared" ref="J154:K154" si="544">J121/J38</f>
        <v>1.0506100319276544E-4</v>
      </c>
      <c r="K154" s="219">
        <f t="shared" si="544"/>
        <v>1.0506100319276544E-4</v>
      </c>
      <c r="L154" s="220">
        <f>($F204*(5-Dashboard!$F$9)*3/12)+$G204*L$10</f>
        <v>1.8868184327462521E-4</v>
      </c>
      <c r="M154" s="220">
        <f t="shared" ref="M154" si="545">M121/M38</f>
        <v>2.7623015080168394E-4</v>
      </c>
      <c r="N154" s="220">
        <f>$F204+$G204*N$10</f>
        <v>2.6348742665810275E-4</v>
      </c>
      <c r="O154" s="220">
        <f t="shared" ref="O154:V154" si="546">$F204+$G204*O$10</f>
        <v>2.754721266208944E-4</v>
      </c>
      <c r="P154" s="220">
        <f t="shared" si="546"/>
        <v>2.8584694151405734E-4</v>
      </c>
      <c r="Q154" s="220">
        <f t="shared" si="546"/>
        <v>2.9318086238681044E-4</v>
      </c>
      <c r="R154" s="220">
        <f t="shared" si="546"/>
        <v>2.9801051759569664E-4</v>
      </c>
      <c r="S154" s="220">
        <f t="shared" si="546"/>
        <v>3.010156363923369E-4</v>
      </c>
      <c r="T154" s="220">
        <f t="shared" si="546"/>
        <v>3.0266129668573525E-4</v>
      </c>
      <c r="U154" s="220">
        <f t="shared" si="546"/>
        <v>3.0341257638489524E-4</v>
      </c>
      <c r="V154" s="220">
        <f t="shared" si="546"/>
        <v>3.0373455339882097E-4</v>
      </c>
      <c r="W154" s="129" t="s">
        <v>21</v>
      </c>
      <c r="X154" s="158"/>
      <c r="Y154" s="32"/>
      <c r="Z154" s="32"/>
      <c r="AA154" s="32"/>
    </row>
    <row r="155" spans="5:27" ht="30" customHeight="1" x14ac:dyDescent="0.3">
      <c r="E155" s="241" t="s">
        <v>200</v>
      </c>
      <c r="F155" s="219">
        <f>F122/SUM(F50,F52,F54)</f>
        <v>3.8444653104460033E-2</v>
      </c>
      <c r="G155" s="219">
        <f t="shared" ref="G155:V155" si="547">G122/SUM(G50,G52,G54)</f>
        <v>6.4148613159558138E-2</v>
      </c>
      <c r="H155" s="219">
        <f t="shared" si="547"/>
        <v>0.14462638025738245</v>
      </c>
      <c r="I155" s="219">
        <f t="shared" si="547"/>
        <v>0.12573039100503752</v>
      </c>
      <c r="J155" s="219">
        <f t="shared" ref="J155:L155" si="548">J122/SUM(J50,J52,J54)</f>
        <v>2.8473965424541045E-2</v>
      </c>
      <c r="K155" s="219">
        <f t="shared" si="548"/>
        <v>2.8473965424541045E-2</v>
      </c>
      <c r="L155" s="220">
        <f t="shared" si="548"/>
        <v>8.8794603242810327E-2</v>
      </c>
      <c r="M155" s="220">
        <f t="shared" ref="M155" si="549">M122/SUM(M50,M52,M54)</f>
        <v>0.11252222249016028</v>
      </c>
      <c r="N155" s="220">
        <f t="shared" si="547"/>
        <v>0.12157839745668551</v>
      </c>
      <c r="O155" s="220">
        <f t="shared" si="547"/>
        <v>0.12478353058053675</v>
      </c>
      <c r="P155" s="220">
        <f t="shared" si="547"/>
        <v>0.12755812343401993</v>
      </c>
      <c r="Q155" s="220">
        <f t="shared" si="547"/>
        <v>0.1295194735545856</v>
      </c>
      <c r="R155" s="220">
        <f t="shared" si="547"/>
        <v>0.1308110943656898</v>
      </c>
      <c r="S155" s="220">
        <f t="shared" si="547"/>
        <v>0.13161476953704354</v>
      </c>
      <c r="T155" s="220">
        <f t="shared" si="547"/>
        <v>0.13205487736897539</v>
      </c>
      <c r="U155" s="220">
        <f t="shared" si="547"/>
        <v>0.13225579616181379</v>
      </c>
      <c r="V155" s="220">
        <f t="shared" si="547"/>
        <v>0.13234190421588737</v>
      </c>
      <c r="W155" s="129" t="s">
        <v>21</v>
      </c>
      <c r="X155" s="158"/>
      <c r="Y155" s="32"/>
      <c r="Z155" s="32"/>
      <c r="AA155" s="32"/>
    </row>
    <row r="156" spans="5:27" ht="30" customHeight="1" x14ac:dyDescent="0.3">
      <c r="E156" s="242" t="s">
        <v>42</v>
      </c>
      <c r="F156" s="219">
        <f>F123/F48</f>
        <v>7.7174770173995266E-2</v>
      </c>
      <c r="G156" s="219">
        <f t="shared" ref="G156:I156" si="550">G123/G48</f>
        <v>1.5711455349901964E-2</v>
      </c>
      <c r="H156" s="219">
        <f t="shared" si="550"/>
        <v>0.24637304558071282</v>
      </c>
      <c r="I156" s="219">
        <f t="shared" si="550"/>
        <v>0.11855098753841863</v>
      </c>
      <c r="J156" s="219">
        <f t="shared" ref="J156:K156" si="551">J123/J48</f>
        <v>2.222484041167401E-2</v>
      </c>
      <c r="K156" s="219">
        <f t="shared" si="551"/>
        <v>2.222484041167401E-2</v>
      </c>
      <c r="L156" s="220">
        <f>($F206*(5-Dashboard!$F$9)*3/12)+$G206*L$10</f>
        <v>0.10683711524603258</v>
      </c>
      <c r="M156" s="220">
        <f t="shared" ref="M156" si="552">M123/M48</f>
        <v>0.12535728071152877</v>
      </c>
      <c r="N156" s="220">
        <f t="shared" ref="N156:V156" si="553">$F206+$G206*N$10</f>
        <v>0.14695824630902191</v>
      </c>
      <c r="O156" s="220">
        <f t="shared" si="553"/>
        <v>0.15149466173393955</v>
      </c>
      <c r="P156" s="220">
        <f t="shared" si="553"/>
        <v>0.15542170792267423</v>
      </c>
      <c r="Q156" s="220">
        <f t="shared" si="553"/>
        <v>0.15819772333195217</v>
      </c>
      <c r="R156" s="220">
        <f t="shared" si="553"/>
        <v>0.16002583104050108</v>
      </c>
      <c r="S156" s="220">
        <f t="shared" si="553"/>
        <v>0.16116332028137595</v>
      </c>
      <c r="T156" s="220">
        <f t="shared" si="553"/>
        <v>0.16178623105614079</v>
      </c>
      <c r="U156" s="220">
        <f t="shared" si="553"/>
        <v>0.16207060336635948</v>
      </c>
      <c r="V156" s="220">
        <f t="shared" si="553"/>
        <v>0.16219247721359606</v>
      </c>
      <c r="W156" s="129" t="s">
        <v>21</v>
      </c>
      <c r="X156" s="158"/>
      <c r="Y156" s="32"/>
      <c r="Z156" s="32"/>
      <c r="AA156" s="32"/>
    </row>
    <row r="157" spans="5:27" ht="30" customHeight="1" x14ac:dyDescent="0.3">
      <c r="E157" s="242" t="s">
        <v>201</v>
      </c>
      <c r="F157" s="219">
        <f>F124/F56</f>
        <v>2.1057066582278947E-2</v>
      </c>
      <c r="G157" s="219">
        <f t="shared" ref="G157:I157" si="554">G124/G56</f>
        <v>6.7495979282539776E-3</v>
      </c>
      <c r="H157" s="219">
        <f t="shared" si="554"/>
        <v>0</v>
      </c>
      <c r="I157" s="219">
        <f t="shared" si="554"/>
        <v>1.1715553900114846E-2</v>
      </c>
      <c r="J157" s="219">
        <f t="shared" ref="J157:K157" si="555">J124/J56</f>
        <v>0</v>
      </c>
      <c r="K157" s="219">
        <f t="shared" si="555"/>
        <v>0</v>
      </c>
      <c r="L157" s="220">
        <f>($F207*(5-Dashboard!$F$9)*3/12)+$G207*L$10</f>
        <v>5.9209460265361863E-3</v>
      </c>
      <c r="M157" s="220">
        <f t="shared" ref="M157" si="556">M124/M56</f>
        <v>5.9209460265361863E-3</v>
      </c>
      <c r="N157" s="220">
        <f t="shared" ref="N157:V157" si="557">$F207+$G207*N$10</f>
        <v>7.574766147575936E-3</v>
      </c>
      <c r="O157" s="220">
        <f t="shared" si="557"/>
        <v>7.2529758086612144E-3</v>
      </c>
      <c r="P157" s="220">
        <f t="shared" si="557"/>
        <v>6.9744110376604093E-3</v>
      </c>
      <c r="Q157" s="220">
        <f t="shared" si="557"/>
        <v>6.7774945616081179E-3</v>
      </c>
      <c r="R157" s="220">
        <f t="shared" si="557"/>
        <v>6.6478178578663633E-3</v>
      </c>
      <c r="S157" s="220">
        <f t="shared" si="557"/>
        <v>6.5671301310937166E-3</v>
      </c>
      <c r="T157" s="220">
        <f t="shared" si="557"/>
        <v>6.5229439950039332E-3</v>
      </c>
      <c r="U157" s="220">
        <f t="shared" si="557"/>
        <v>6.502772063310772E-3</v>
      </c>
      <c r="V157" s="220">
        <f t="shared" si="557"/>
        <v>6.4941269497279901E-3</v>
      </c>
      <c r="W157" s="129" t="s">
        <v>21</v>
      </c>
      <c r="X157" s="158"/>
      <c r="Y157" s="32"/>
      <c r="Z157" s="32"/>
      <c r="AA157" s="32"/>
    </row>
    <row r="158" spans="5:27" ht="30" customHeight="1" x14ac:dyDescent="0.3">
      <c r="E158" s="242" t="s">
        <v>196</v>
      </c>
      <c r="F158" s="219">
        <f>F125/F50</f>
        <v>4.6301254418953379E-2</v>
      </c>
      <c r="G158" s="219">
        <f t="shared" ref="G158:I158" si="558">G125/G50</f>
        <v>6.1325391771518634E-2</v>
      </c>
      <c r="H158" s="219">
        <f t="shared" si="558"/>
        <v>0.12163243299726015</v>
      </c>
      <c r="I158" s="219">
        <f t="shared" si="558"/>
        <v>0.11436893371286946</v>
      </c>
      <c r="J158" s="219">
        <f t="shared" ref="J158:K158" si="559">J125/J50</f>
        <v>2.5452237266394985E-2</v>
      </c>
      <c r="K158" s="219">
        <f t="shared" si="559"/>
        <v>2.5452237266394985E-2</v>
      </c>
      <c r="L158" s="220">
        <f>($F208*(5-Dashboard!$F$9)*3/12)+$G208*L$10</f>
        <v>7.5352758850751558E-2</v>
      </c>
      <c r="M158" s="220">
        <f t="shared" ref="M158" si="560">M125/M50</f>
        <v>9.6562344022535399E-2</v>
      </c>
      <c r="N158" s="220">
        <f t="shared" ref="N158:V158" si="561">$F208+$G208*N$10</f>
        <v>0.10281569590887085</v>
      </c>
      <c r="O158" s="220">
        <f t="shared" si="561"/>
        <v>0.10517543274305338</v>
      </c>
      <c r="P158" s="220">
        <f t="shared" si="561"/>
        <v>0.107218190002495</v>
      </c>
      <c r="Q158" s="220">
        <f t="shared" si="561"/>
        <v>0.10866220806520371</v>
      </c>
      <c r="R158" s="220">
        <f t="shared" si="561"/>
        <v>0.10961314678942652</v>
      </c>
      <c r="S158" s="220">
        <f t="shared" si="561"/>
        <v>0.11020484199560962</v>
      </c>
      <c r="T158" s="220">
        <f t="shared" si="561"/>
        <v>0.11052886556090036</v>
      </c>
      <c r="U158" s="220">
        <f t="shared" si="561"/>
        <v>0.11067678936244613</v>
      </c>
      <c r="V158" s="220">
        <f t="shared" si="561"/>
        <v>0.11074018527739429</v>
      </c>
      <c r="W158" s="129" t="s">
        <v>21</v>
      </c>
      <c r="X158" s="158"/>
      <c r="Y158" s="32"/>
      <c r="Z158" s="32"/>
      <c r="AA158" s="32"/>
    </row>
    <row r="159" spans="5:27" ht="30" customHeight="1" x14ac:dyDescent="0.3">
      <c r="E159" s="242" t="s">
        <v>202</v>
      </c>
      <c r="F159" s="219">
        <f>F126/F52</f>
        <v>1.5188946838686065E-2</v>
      </c>
      <c r="G159" s="219">
        <f>G126/G52</f>
        <v>2.4639796038175749E-2</v>
      </c>
      <c r="H159" s="219">
        <f>H126/H52</f>
        <v>6.5494252873563225E-2</v>
      </c>
      <c r="I159" s="219">
        <f>I126/I52</f>
        <v>5.4781981283451256E-2</v>
      </c>
      <c r="J159" s="219">
        <f t="shared" ref="J159:K159" si="562">J126/J52</f>
        <v>1.835709265611396E-2</v>
      </c>
      <c r="K159" s="219">
        <f t="shared" si="562"/>
        <v>1.835709265611396E-2</v>
      </c>
      <c r="L159" s="220">
        <f>($F209*(5-Dashboard!$F$9)*3/12)+$G209*L$10</f>
        <v>3.6825352427464902E-2</v>
      </c>
      <c r="M159" s="220">
        <f t="shared" ref="M159" si="563">M126/M52</f>
        <v>5.2122487847078375E-2</v>
      </c>
      <c r="N159" s="220">
        <f t="shared" ref="N159:V159" si="564">$F209+$G209*N$10</f>
        <v>5.0561826937756744E-2</v>
      </c>
      <c r="O159" s="220">
        <f t="shared" si="564"/>
        <v>5.2032147735639994E-2</v>
      </c>
      <c r="P159" s="220">
        <f t="shared" si="564"/>
        <v>5.3304962754703117E-2</v>
      </c>
      <c r="Q159" s="220">
        <f t="shared" si="564"/>
        <v>5.420471130266153E-2</v>
      </c>
      <c r="R159" s="220">
        <f t="shared" si="564"/>
        <v>5.4797228639121946E-2</v>
      </c>
      <c r="S159" s="220">
        <f t="shared" si="564"/>
        <v>5.5165906092919534E-2</v>
      </c>
      <c r="T159" s="220">
        <f t="shared" si="564"/>
        <v>5.5367800889046796E-2</v>
      </c>
      <c r="U159" s="220">
        <f t="shared" si="564"/>
        <v>5.5459970252496188E-2</v>
      </c>
      <c r="V159" s="220">
        <f t="shared" si="564"/>
        <v>5.5499471408260212E-2</v>
      </c>
      <c r="W159" s="129" t="s">
        <v>21</v>
      </c>
      <c r="X159" s="158"/>
      <c r="Y159" s="32"/>
      <c r="Z159" s="32"/>
      <c r="AA159" s="32"/>
    </row>
    <row r="160" spans="5:27" ht="30" customHeight="1" x14ac:dyDescent="0.3">
      <c r="E160" s="242" t="s">
        <v>203</v>
      </c>
      <c r="F160" s="219">
        <f>F127/SUM(F50,F52,F54)</f>
        <v>-1.1884298889328081E-2</v>
      </c>
      <c r="G160" s="219">
        <f t="shared" ref="G160:I160" si="565">G127/SUM(G50,G52,G54)</f>
        <v>3.847108930560154E-5</v>
      </c>
      <c r="H160" s="219">
        <f t="shared" si="565"/>
        <v>5.0823535086975004E-6</v>
      </c>
      <c r="I160" s="219">
        <f t="shared" si="565"/>
        <v>2.9192969065949836E-6</v>
      </c>
      <c r="J160" s="219">
        <f t="shared" ref="J160:K160" si="566">J127/SUM(J50,J52,J54)</f>
        <v>-8.1270428628367626E-7</v>
      </c>
      <c r="K160" s="219">
        <f t="shared" si="566"/>
        <v>-8.1270428628367626E-7</v>
      </c>
      <c r="L160" s="220">
        <f>($F210*(5-Dashboard!$F$9)*3/12)+$G210*L$10</f>
        <v>-1.0457645182002659E-3</v>
      </c>
      <c r="M160" s="220">
        <f t="shared" ref="M160" si="567">M127/SUM(M50,M52,M54)</f>
        <v>-1.0464417522130954E-3</v>
      </c>
      <c r="N160" s="220">
        <f t="shared" ref="N160:V160" si="568">$F210+$G210*N$10</f>
        <v>-1.1423008238943457E-3</v>
      </c>
      <c r="O160" s="220">
        <f t="shared" si="568"/>
        <v>-8.8870290530793615E-4</v>
      </c>
      <c r="P160" s="220">
        <f t="shared" si="568"/>
        <v>-6.6917037877044575E-4</v>
      </c>
      <c r="Q160" s="220">
        <f t="shared" si="568"/>
        <v>-5.1398359276980631E-4</v>
      </c>
      <c r="R160" s="220">
        <f t="shared" si="568"/>
        <v>-4.1178741662304362E-4</v>
      </c>
      <c r="S160" s="220">
        <f t="shared" si="568"/>
        <v>-3.4819868479839255E-4</v>
      </c>
      <c r="T160" s="220">
        <f t="shared" si="568"/>
        <v>-3.1337628403727176E-4</v>
      </c>
      <c r="U160" s="220">
        <f t="shared" si="568"/>
        <v>-2.9747910108111029E-4</v>
      </c>
      <c r="V160" s="220">
        <f t="shared" si="568"/>
        <v>-2.9066602267132681E-4</v>
      </c>
      <c r="W160" s="129" t="s">
        <v>21</v>
      </c>
      <c r="X160" s="158"/>
      <c r="Y160" s="32"/>
      <c r="Z160" s="32"/>
      <c r="AA160" s="32"/>
    </row>
    <row r="161" spans="5:27" ht="30" customHeight="1" x14ac:dyDescent="0.3">
      <c r="E161" s="242" t="s">
        <v>204</v>
      </c>
      <c r="F161" s="219">
        <f>F128/SUM(F60,F62)</f>
        <v>0</v>
      </c>
      <c r="G161" s="219">
        <f t="shared" ref="G161:I161" si="569">G128/SUM(G60,G62)</f>
        <v>0</v>
      </c>
      <c r="H161" s="219">
        <f t="shared" si="569"/>
        <v>9.8447636220439804E-5</v>
      </c>
      <c r="I161" s="219">
        <f t="shared" si="569"/>
        <v>1.7721475570088436E-4</v>
      </c>
      <c r="J161" s="219">
        <f t="shared" ref="J161:K161" si="570">J128/SUM(J60,J62)</f>
        <v>6.5021025686523674E-3</v>
      </c>
      <c r="K161" s="219">
        <f t="shared" si="570"/>
        <v>6.5021025686523674E-3</v>
      </c>
      <c r="L161" s="220">
        <f>($F211*(5-Dashboard!$F$9)*3/12)+$G211*L$10</f>
        <v>7.5254403062984486E-5</v>
      </c>
      <c r="M161" s="220">
        <f t="shared" ref="M161" si="571">M128/SUM(M60,M62)</f>
        <v>5.4935167264143258E-3</v>
      </c>
      <c r="N161" s="220">
        <f t="shared" ref="N161:V161" si="572">$F211+$G211*N$10</f>
        <v>1.0539981306874858E-4</v>
      </c>
      <c r="O161" s="220">
        <f t="shared" si="572"/>
        <v>1.1049146313423631E-4</v>
      </c>
      <c r="P161" s="220">
        <f t="shared" si="572"/>
        <v>1.1489916020585258E-4</v>
      </c>
      <c r="Q161" s="220">
        <f t="shared" si="572"/>
        <v>1.1801494606682267E-4</v>
      </c>
      <c r="R161" s="220">
        <f t="shared" si="572"/>
        <v>1.2006680504843715E-4</v>
      </c>
      <c r="S161" s="220">
        <f t="shared" si="572"/>
        <v>1.213435173036639E-4</v>
      </c>
      <c r="T161" s="220">
        <f t="shared" si="572"/>
        <v>1.2204266925295478E-4</v>
      </c>
      <c r="U161" s="220">
        <f t="shared" si="572"/>
        <v>1.2236184731676143E-4</v>
      </c>
      <c r="V161" s="220">
        <f t="shared" si="572"/>
        <v>1.2249863791553573E-4</v>
      </c>
      <c r="W161" s="129" t="s">
        <v>21</v>
      </c>
      <c r="X161" s="158"/>
      <c r="Y161" s="32"/>
      <c r="Z161" s="32"/>
      <c r="AA161" s="32"/>
    </row>
    <row r="162" spans="5:27" ht="30" customHeight="1" x14ac:dyDescent="0.3">
      <c r="E162" s="241" t="s">
        <v>215</v>
      </c>
      <c r="F162" s="219">
        <f>F129/F58</f>
        <v>0.3623046875</v>
      </c>
      <c r="G162" s="219">
        <f t="shared" ref="G162:I162" si="573">G129/G58</f>
        <v>0.14013550572673011</v>
      </c>
      <c r="H162" s="219">
        <f t="shared" si="573"/>
        <v>2.7588786794790865E-3</v>
      </c>
      <c r="I162" s="219">
        <f t="shared" si="573"/>
        <v>2.3852327447833065E-2</v>
      </c>
      <c r="J162" s="219">
        <f t="shared" ref="J162:K162" si="574">J129/J58</f>
        <v>4.7207623998512888E-2</v>
      </c>
      <c r="K162" s="219">
        <f t="shared" si="574"/>
        <v>4.7207623998512888E-2</v>
      </c>
      <c r="L162" s="220">
        <f>($F212*(5-Dashboard!$F$9)*3/12)+$G212*L$10</f>
        <v>5.6131041374366669E-2</v>
      </c>
      <c r="M162" s="220">
        <f t="shared" ref="M162" si="575">M129/M58</f>
        <v>9.5469591910196328E-2</v>
      </c>
      <c r="N162" s="220">
        <f t="shared" ref="N162:V162" si="576">$F212+$G212*N$10</f>
        <v>6.5593959600828589E-2</v>
      </c>
      <c r="O162" s="220">
        <f t="shared" si="576"/>
        <v>5.6289808243261019E-2</v>
      </c>
      <c r="P162" s="220">
        <f t="shared" si="576"/>
        <v>4.8235468262083081E-2</v>
      </c>
      <c r="Q162" s="220">
        <f t="shared" si="576"/>
        <v>4.2541883102974576E-2</v>
      </c>
      <c r="R162" s="220">
        <f t="shared" si="576"/>
        <v>3.8792448973805571E-2</v>
      </c>
      <c r="S162" s="220">
        <f t="shared" si="576"/>
        <v>3.6459467737878171E-2</v>
      </c>
      <c r="T162" s="220">
        <f t="shared" si="576"/>
        <v>3.5181882775346451E-2</v>
      </c>
      <c r="U162" s="220">
        <f t="shared" si="576"/>
        <v>3.4598637466364657E-2</v>
      </c>
      <c r="V162" s="220">
        <f t="shared" si="576"/>
        <v>3.4348675191086753E-2</v>
      </c>
      <c r="W162" s="129" t="s">
        <v>21</v>
      </c>
      <c r="X162" s="158"/>
      <c r="Y162" s="32"/>
      <c r="Z162" s="32"/>
      <c r="AA162" s="32"/>
    </row>
    <row r="163" spans="5:27" ht="30" customHeight="1" x14ac:dyDescent="0.3">
      <c r="E163" s="240" t="s">
        <v>217</v>
      </c>
      <c r="F163" s="217">
        <f>F130/F64</f>
        <v>-3.2555350971647655E-2</v>
      </c>
      <c r="G163" s="217">
        <f t="shared" ref="G163:L163" si="577">G130/G64</f>
        <v>-3.6971191724043437E-2</v>
      </c>
      <c r="H163" s="217">
        <f t="shared" si="577"/>
        <v>-6.8324549395240103E-2</v>
      </c>
      <c r="I163" s="217">
        <f t="shared" si="577"/>
        <v>-7.1712838032406565E-2</v>
      </c>
      <c r="J163" s="217">
        <f t="shared" si="577"/>
        <v>-1.9160875018386592E-2</v>
      </c>
      <c r="K163" s="217">
        <f t="shared" si="577"/>
        <v>-1.9160875018386592E-2</v>
      </c>
      <c r="L163" s="218">
        <f t="shared" si="577"/>
        <v>-4.7053958213912332E-2</v>
      </c>
      <c r="M163" s="218">
        <f t="shared" ref="M163" si="578">M130/M64</f>
        <v>-6.3024500837764244E-2</v>
      </c>
      <c r="N163" s="218">
        <f t="shared" ref="N163:V163" si="579">N130/N64</f>
        <v>-6.3914258400847565E-2</v>
      </c>
      <c r="O163" s="218">
        <f t="shared" si="579"/>
        <v>-6.5097117109853955E-2</v>
      </c>
      <c r="P163" s="218">
        <f t="shared" si="579"/>
        <v>-6.6121084350486331E-2</v>
      </c>
      <c r="Q163" s="218">
        <f t="shared" si="579"/>
        <v>-6.6844923261967865E-2</v>
      </c>
      <c r="R163" s="218">
        <f t="shared" si="579"/>
        <v>-6.7321597667089839E-2</v>
      </c>
      <c r="S163" s="218">
        <f t="shared" si="579"/>
        <v>-6.7618195074721291E-2</v>
      </c>
      <c r="T163" s="218">
        <f t="shared" si="579"/>
        <v>-6.7780617464614709E-2</v>
      </c>
      <c r="U163" s="218">
        <f t="shared" si="579"/>
        <v>-6.7854766816522569E-2</v>
      </c>
      <c r="V163" s="218">
        <f t="shared" si="579"/>
        <v>-6.7886545110197372E-2</v>
      </c>
      <c r="W163" s="129" t="s">
        <v>21</v>
      </c>
      <c r="X163" s="158"/>
      <c r="Y163" s="32"/>
      <c r="Z163" s="32"/>
      <c r="AA163" s="32"/>
    </row>
    <row r="164" spans="5:27" ht="30" customHeight="1" x14ac:dyDescent="0.3">
      <c r="E164" s="241" t="s">
        <v>205</v>
      </c>
      <c r="F164" s="219">
        <f>F132/SUM(F66,F68,F70,F72,F74,F76,F78,F80,F82)</f>
        <v>-1.6277269895767287E-2</v>
      </c>
      <c r="G164" s="219">
        <f t="shared" ref="G164:H164" si="580">G132/SUM(G66,G68,G70,G72,G74,G76,G78,G80,G82)</f>
        <v>-2.670172120416088E-2</v>
      </c>
      <c r="H164" s="219">
        <f t="shared" si="580"/>
        <v>-8.3380138883166935E-2</v>
      </c>
      <c r="I164" s="219">
        <f>I132/SUM(I66,I68,I70,I72,I74,I76,I78,I80,I82)</f>
        <v>-8.2960505118581412E-2</v>
      </c>
      <c r="J164" s="219">
        <f t="shared" ref="J164:L164" si="581">J132/SUM(J66,J68,J70,J72,J74,J76,J78,J80,J82)</f>
        <v>-2.0184274585186818E-2</v>
      </c>
      <c r="K164" s="219">
        <f t="shared" si="581"/>
        <v>-2.0184274585186818E-2</v>
      </c>
      <c r="L164" s="220">
        <f t="shared" si="581"/>
        <v>-5.4221261966267274E-2</v>
      </c>
      <c r="M164" s="220">
        <f t="shared" ref="M164" si="582">M132/SUM(M66,M68,M70,M72,M74,M76,M78,M80,M82)</f>
        <v>-7.1044805634545946E-2</v>
      </c>
      <c r="N164" s="220">
        <f t="shared" ref="N164:V164" si="583">N132/SUM(N66,N68,N70,N72,N74,N76,N78,N80,N82)</f>
        <v>-7.4415467800143686E-2</v>
      </c>
      <c r="O164" s="220">
        <f t="shared" si="583"/>
        <v>-7.6548926205755791E-2</v>
      </c>
      <c r="P164" s="220">
        <f t="shared" si="583"/>
        <v>-7.8395800646434907E-2</v>
      </c>
      <c r="Q164" s="220">
        <f t="shared" si="583"/>
        <v>-7.9701349820018447E-2</v>
      </c>
      <c r="R164" s="220">
        <f t="shared" si="583"/>
        <v>-8.0561101714817368E-2</v>
      </c>
      <c r="S164" s="220">
        <f t="shared" si="583"/>
        <v>-8.1096058449358882E-2</v>
      </c>
      <c r="T164" s="220">
        <f t="shared" si="583"/>
        <v>-8.1389010946845947E-2</v>
      </c>
      <c r="U164" s="220">
        <f t="shared" si="583"/>
        <v>-8.1522750130481325E-2</v>
      </c>
      <c r="V164" s="220">
        <f t="shared" si="583"/>
        <v>-8.158006692346792E-2</v>
      </c>
      <c r="W164" s="129" t="s">
        <v>21</v>
      </c>
      <c r="X164" s="158"/>
      <c r="Y164" s="32"/>
      <c r="Z164" s="32"/>
      <c r="AA164" s="32"/>
    </row>
    <row r="165" spans="5:27" ht="30" customHeight="1" x14ac:dyDescent="0.3">
      <c r="E165" s="242" t="s">
        <v>206</v>
      </c>
      <c r="F165" s="219">
        <f>F132/SUM(F66,F68,F70,F72,F74,F76,F80)</f>
        <v>-1.6979571331723071E-2</v>
      </c>
      <c r="G165" s="219">
        <f t="shared" ref="G165:L165" si="584">G132/SUM(G66,G68,G70,G72,G74,G76,G80)</f>
        <v>-2.7521417662900068E-2</v>
      </c>
      <c r="H165" s="219">
        <f t="shared" si="584"/>
        <v>-8.4155941659038599E-2</v>
      </c>
      <c r="I165" s="219">
        <f t="shared" si="584"/>
        <v>-8.3023643930622087E-2</v>
      </c>
      <c r="J165" s="219">
        <f t="shared" si="584"/>
        <v>-2.0386574332503696E-2</v>
      </c>
      <c r="K165" s="219">
        <f t="shared" si="584"/>
        <v>-2.0386574332503696E-2</v>
      </c>
      <c r="L165" s="220">
        <f t="shared" si="584"/>
        <v>-5.4764702234515912E-2</v>
      </c>
      <c r="M165" s="220">
        <f t="shared" ref="M165" si="585">M132/SUM(M66,M68,M70,M72,M74,M76,M80)</f>
        <v>-7.1756862249084535E-2</v>
      </c>
      <c r="N165" s="220">
        <f t="shared" ref="N165:V165" si="586">N132/SUM(N66,N68,N70,N72,N74,N76,N80)</f>
        <v>-7.5161307353054083E-2</v>
      </c>
      <c r="O165" s="220">
        <f t="shared" si="586"/>
        <v>-7.7316148647337518E-2</v>
      </c>
      <c r="P165" s="220">
        <f t="shared" si="586"/>
        <v>-7.9181533648358962E-2</v>
      </c>
      <c r="Q165" s="220">
        <f t="shared" si="586"/>
        <v>-8.0500167873218981E-2</v>
      </c>
      <c r="R165" s="220">
        <f t="shared" si="586"/>
        <v>-8.1368536753004844E-2</v>
      </c>
      <c r="S165" s="220">
        <f t="shared" si="586"/>
        <v>-8.19088551670938E-2</v>
      </c>
      <c r="T165" s="220">
        <f t="shared" si="586"/>
        <v>-8.2204743822428261E-2</v>
      </c>
      <c r="U165" s="220">
        <f t="shared" si="586"/>
        <v>-8.2339823425950517E-2</v>
      </c>
      <c r="V165" s="220">
        <f t="shared" si="586"/>
        <v>-8.2397714684602899E-2</v>
      </c>
      <c r="W165" s="129" t="s">
        <v>21</v>
      </c>
      <c r="X165" s="158"/>
      <c r="Y165" s="32"/>
      <c r="Z165" s="32"/>
      <c r="AA165" s="32"/>
    </row>
    <row r="166" spans="5:27" ht="30" customHeight="1" x14ac:dyDescent="0.3">
      <c r="E166" s="243" t="s">
        <v>94</v>
      </c>
      <c r="F166" s="219">
        <f>F134/F72</f>
        <v>-2.0912333153989646E-2</v>
      </c>
      <c r="G166" s="219">
        <f t="shared" ref="G166:I166" si="587">G134/G72</f>
        <v>-3.3718742589414062E-2</v>
      </c>
      <c r="H166" s="219">
        <f t="shared" si="587"/>
        <v>-0.10729775658170605</v>
      </c>
      <c r="I166" s="219">
        <f t="shared" si="587"/>
        <v>-9.7706643936601542E-2</v>
      </c>
      <c r="J166" s="219">
        <f t="shared" ref="J166:K166" si="588">J134/J72</f>
        <v>-2.5474431515953775E-2</v>
      </c>
      <c r="K166" s="219">
        <f t="shared" si="588"/>
        <v>-2.5474431515953775E-2</v>
      </c>
      <c r="L166" s="220">
        <f>($F216*(5-Dashboard!$F$9)*3/12)+$G216*L$10</f>
        <v>-6.1395684082029167E-2</v>
      </c>
      <c r="M166" s="220">
        <f t="shared" ref="M166" si="589">M134/M72</f>
        <v>-8.2628560657526676E-2</v>
      </c>
      <c r="N166" s="220">
        <f t="shared" ref="N166:V166" si="590">$F216+$G216*N$10</f>
        <v>-8.4590950827889019E-2</v>
      </c>
      <c r="O166" s="220">
        <f t="shared" si="590"/>
        <v>-8.7337735229085708E-2</v>
      </c>
      <c r="P166" s="220">
        <f t="shared" si="590"/>
        <v>-8.9715548591315683E-2</v>
      </c>
      <c r="Q166" s="220">
        <f t="shared" si="590"/>
        <v>-9.1396416657719637E-2</v>
      </c>
      <c r="R166" s="220">
        <f t="shared" si="590"/>
        <v>-9.2503329774619794E-2</v>
      </c>
      <c r="S166" s="220">
        <f t="shared" si="590"/>
        <v>-9.3192075714024339E-2</v>
      </c>
      <c r="T166" s="220">
        <f t="shared" si="590"/>
        <v>-9.3569246109412543E-2</v>
      </c>
      <c r="U166" s="220">
        <f t="shared" si="590"/>
        <v>-9.3741432594263679E-2</v>
      </c>
      <c r="V166" s="220">
        <f t="shared" si="590"/>
        <v>-9.3815226802057006E-2</v>
      </c>
      <c r="W166" s="129" t="s">
        <v>21</v>
      </c>
      <c r="X166" s="158"/>
      <c r="Y166" s="32"/>
      <c r="Z166" s="32"/>
      <c r="AA166" s="32"/>
    </row>
    <row r="167" spans="5:27" ht="30" customHeight="1" x14ac:dyDescent="0.3">
      <c r="E167" s="243" t="s">
        <v>207</v>
      </c>
      <c r="F167" s="219">
        <f>F135/F68</f>
        <v>-2.2075732225218147E-2</v>
      </c>
      <c r="G167" s="219">
        <f t="shared" ref="G167:I167" si="591">G135/G68</f>
        <v>-3.1610920778441E-2</v>
      </c>
      <c r="H167" s="219">
        <f t="shared" si="591"/>
        <v>-7.5892737978934102E-2</v>
      </c>
      <c r="I167" s="219">
        <f t="shared" si="591"/>
        <v>-7.5205617762399396E-2</v>
      </c>
      <c r="J167" s="219">
        <f t="shared" ref="J167:K167" si="592">J135/J68</f>
        <v>-1.5755775111933639E-2</v>
      </c>
      <c r="K167" s="219">
        <f t="shared" si="592"/>
        <v>-1.5755775111933639E-2</v>
      </c>
      <c r="L167" s="220">
        <f>($F217*(5-Dashboard!$F$9)*3/12)+$G217*L$10</f>
        <v>-4.6687775437948338E-2</v>
      </c>
      <c r="M167" s="220">
        <f t="shared" ref="M167" si="593">M135/M68</f>
        <v>-5.9820175589585523E-2</v>
      </c>
      <c r="N167" s="220">
        <f t="shared" ref="N167:V167" si="594">$F217+$G217*N$10</f>
        <v>-6.4030575220007963E-2</v>
      </c>
      <c r="O167" s="220">
        <f t="shared" si="594"/>
        <v>-6.582170274068963E-2</v>
      </c>
      <c r="P167" s="220">
        <f t="shared" si="594"/>
        <v>-6.737223104217524E-2</v>
      </c>
      <c r="Q167" s="220">
        <f t="shared" si="594"/>
        <v>-6.8468294151846104E-2</v>
      </c>
      <c r="R167" s="220">
        <f t="shared" si="594"/>
        <v>-6.9190091809434251E-2</v>
      </c>
      <c r="S167" s="220">
        <f t="shared" si="594"/>
        <v>-6.9639210351933517E-2</v>
      </c>
      <c r="T167" s="220">
        <f t="shared" si="594"/>
        <v>-6.9885156220445041E-2</v>
      </c>
      <c r="U167" s="220">
        <f t="shared" si="594"/>
        <v>-6.9997435856069851E-2</v>
      </c>
      <c r="V167" s="220">
        <f t="shared" si="594"/>
        <v>-7.0045555699909057E-2</v>
      </c>
      <c r="W167" s="129" t="s">
        <v>21</v>
      </c>
      <c r="X167" s="158"/>
      <c r="Y167" s="32"/>
      <c r="Z167" s="32"/>
      <c r="AA167" s="32"/>
    </row>
    <row r="168" spans="5:27" ht="30" customHeight="1" x14ac:dyDescent="0.3">
      <c r="E168" s="243" t="s">
        <v>208</v>
      </c>
      <c r="F168" s="219">
        <f>F136/F76</f>
        <v>-2.7192834116811115E-2</v>
      </c>
      <c r="G168" s="219">
        <f t="shared" ref="G168:I168" si="595">G136/G76</f>
        <v>-4.0508292139840536E-2</v>
      </c>
      <c r="H168" s="219">
        <f t="shared" si="595"/>
        <v>-0.10690998611239798</v>
      </c>
      <c r="I168" s="219">
        <f t="shared" si="595"/>
        <v>-0.11157666098013443</v>
      </c>
      <c r="J168" s="219">
        <f t="shared" ref="J168:K168" si="596">J136/J76</f>
        <v>-2.3809993559276297E-2</v>
      </c>
      <c r="K168" s="219">
        <f t="shared" si="596"/>
        <v>-2.3809993559276297E-2</v>
      </c>
      <c r="L168" s="220">
        <f>($F218*(5-Dashboard!$F$9)*3/12)+$G218*L$10</f>
        <v>-6.6508131633951723E-2</v>
      </c>
      <c r="M168" s="220">
        <f t="shared" ref="M168" si="597">M136/M76</f>
        <v>-8.6353703229568785E-2</v>
      </c>
      <c r="N168" s="220">
        <f t="shared" ref="N168:V168" si="598">$F218+$G218*N$10</f>
        <v>-9.1436297681848772E-2</v>
      </c>
      <c r="O168" s="220">
        <f t="shared" si="598"/>
        <v>-9.4212008550385459E-2</v>
      </c>
      <c r="P168" s="220">
        <f t="shared" si="598"/>
        <v>-9.6614862735088861E-2</v>
      </c>
      <c r="Q168" s="220">
        <f t="shared" si="598"/>
        <v>-9.831343207255161E-2</v>
      </c>
      <c r="R168" s="220">
        <f t="shared" si="598"/>
        <v>-9.9432002124051469E-2</v>
      </c>
      <c r="S168" s="220">
        <f t="shared" si="598"/>
        <v>-0.10012800126720693</v>
      </c>
      <c r="T168" s="220">
        <f t="shared" si="598"/>
        <v>-0.10050914365512541</v>
      </c>
      <c r="U168" s="220">
        <f t="shared" si="598"/>
        <v>-0.10068314344091427</v>
      </c>
      <c r="V168" s="220">
        <f t="shared" si="598"/>
        <v>-0.10075771477768092</v>
      </c>
      <c r="W168" s="129" t="s">
        <v>21</v>
      </c>
      <c r="X168" s="158"/>
      <c r="Y168" s="32"/>
      <c r="Z168" s="32"/>
      <c r="AA168" s="32"/>
    </row>
    <row r="169" spans="5:27" ht="30" customHeight="1" x14ac:dyDescent="0.3">
      <c r="E169" s="243" t="s">
        <v>209</v>
      </c>
      <c r="F169" s="219">
        <f>F137/F70</f>
        <v>-0.15549633577614924</v>
      </c>
      <c r="G169" s="219">
        <f t="shared" ref="G169:I169" si="599">G137/G70</f>
        <v>-3.1699942407371853E-2</v>
      </c>
      <c r="H169" s="219">
        <f t="shared" si="599"/>
        <v>-6.7585735444912837E-2</v>
      </c>
      <c r="I169" s="219">
        <f t="shared" si="599"/>
        <v>-6.4579065457028587E-2</v>
      </c>
      <c r="J169" s="219">
        <f t="shared" ref="J169:K169" si="600">J137/J70</f>
        <v>-2.7230407103968388E-2</v>
      </c>
      <c r="K169" s="219">
        <f t="shared" si="600"/>
        <v>-2.7230407103968388E-2</v>
      </c>
      <c r="L169" s="220">
        <f>($F219*(5-Dashboard!$F$9)*3/12)+$G219*L$10</f>
        <v>-5.3365539114805599E-2</v>
      </c>
      <c r="M169" s="220">
        <f t="shared" ref="M169" si="601">M137/M70</f>
        <v>-7.6062017062783219E-2</v>
      </c>
      <c r="N169" s="220">
        <f t="shared" ref="N169:V169" si="602">$F219+$G219*N$10</f>
        <v>-6.9755181801345684E-2</v>
      </c>
      <c r="O169" s="220">
        <f t="shared" si="602"/>
        <v>-6.8347730970937021E-2</v>
      </c>
      <c r="P169" s="220">
        <f t="shared" si="602"/>
        <v>-6.7129340699836976E-2</v>
      </c>
      <c r="Q169" s="220">
        <f t="shared" si="602"/>
        <v>-6.6268064818542124E-2</v>
      </c>
      <c r="R169" s="220">
        <f t="shared" si="602"/>
        <v>-6.5700883140616242E-2</v>
      </c>
      <c r="S169" s="220">
        <f t="shared" si="602"/>
        <v>-6.5347970096573477E-2</v>
      </c>
      <c r="T169" s="220">
        <f t="shared" si="602"/>
        <v>-6.5154708191502431E-2</v>
      </c>
      <c r="U169" s="220">
        <f t="shared" si="602"/>
        <v>-6.506647993049175E-2</v>
      </c>
      <c r="V169" s="220">
        <f t="shared" si="602"/>
        <v>-6.5028667818630023E-2</v>
      </c>
      <c r="W169" s="129" t="s">
        <v>21</v>
      </c>
      <c r="X169" s="158"/>
      <c r="Y169" s="32"/>
      <c r="Z169" s="32"/>
      <c r="AA169" s="32"/>
    </row>
    <row r="170" spans="5:27" ht="30" customHeight="1" x14ac:dyDescent="0.3">
      <c r="E170" s="243" t="s">
        <v>210</v>
      </c>
      <c r="F170" s="219">
        <f>F138/F80</f>
        <v>-2.3069400055216821E-2</v>
      </c>
      <c r="G170" s="219">
        <f t="shared" ref="G170:I170" si="603">G138/G80</f>
        <v>-3.4133252651358324E-2</v>
      </c>
      <c r="H170" s="219">
        <f t="shared" si="603"/>
        <v>-8.7878740428730256E-2</v>
      </c>
      <c r="I170" s="219">
        <f t="shared" si="603"/>
        <v>-9.0886089280645677E-2</v>
      </c>
      <c r="J170" s="219">
        <f t="shared" ref="J170:K170" si="604">J138/J80</f>
        <v>-2.3357339319172468E-2</v>
      </c>
      <c r="K170" s="219">
        <f t="shared" si="604"/>
        <v>-2.3357339319172468E-2</v>
      </c>
      <c r="L170" s="220">
        <f>($F220*(5-Dashboard!$F$9)*3/12)+$G220*L$10</f>
        <v>-5.4601980613281281E-2</v>
      </c>
      <c r="M170" s="220">
        <f t="shared" ref="M170" si="605">M138/M80</f>
        <v>-7.4070266003100932E-2</v>
      </c>
      <c r="N170" s="220">
        <f t="shared" ref="N170:V170" si="606">$F220+$G220*N$10</f>
        <v>-7.5026793819105125E-2</v>
      </c>
      <c r="O170" s="220">
        <f t="shared" si="606"/>
        <v>-7.7264589469648287E-2</v>
      </c>
      <c r="P170" s="220">
        <f t="shared" si="606"/>
        <v>-7.9201785704446886E-2</v>
      </c>
      <c r="Q170" s="220">
        <f t="shared" si="606"/>
        <v>-8.0571183042838973E-2</v>
      </c>
      <c r="R170" s="220">
        <f t="shared" si="606"/>
        <v>-8.1472981290072799E-2</v>
      </c>
      <c r="S170" s="220">
        <f t="shared" si="606"/>
        <v>-8.2034100199462723E-2</v>
      </c>
      <c r="T170" s="220">
        <f t="shared" si="606"/>
        <v>-8.2341379602223902E-2</v>
      </c>
      <c r="U170" s="220">
        <f t="shared" si="606"/>
        <v>-8.2481659329571383E-2</v>
      </c>
      <c r="V170" s="220">
        <f t="shared" si="606"/>
        <v>-8.2541779212720295E-2</v>
      </c>
      <c r="W170" s="129" t="s">
        <v>21</v>
      </c>
      <c r="X170" s="158"/>
      <c r="Y170" s="32"/>
      <c r="Z170" s="32"/>
      <c r="AA170" s="32"/>
    </row>
    <row r="171" spans="5:27" ht="30" customHeight="1" x14ac:dyDescent="0.3">
      <c r="E171" s="243" t="s">
        <v>211</v>
      </c>
      <c r="F171" s="219">
        <f>F139/F74</f>
        <v>-5.7325528392869994E-2</v>
      </c>
      <c r="G171" s="219">
        <f t="shared" ref="G171:I171" si="607">G139/G74</f>
        <v>-7.030983469280154E-2</v>
      </c>
      <c r="H171" s="219">
        <f t="shared" si="607"/>
        <v>-7.4256266104474111E-2</v>
      </c>
      <c r="I171" s="219">
        <f t="shared" si="607"/>
        <v>-7.5741539797552174E-2</v>
      </c>
      <c r="J171" s="219">
        <f t="shared" ref="J171:K171" si="608">J139/J74</f>
        <v>-1.5948564892120383E-2</v>
      </c>
      <c r="K171" s="219">
        <f t="shared" si="608"/>
        <v>-1.5948564892120383E-2</v>
      </c>
      <c r="L171" s="220">
        <f>($F221*(5-Dashboard!$F$9)*3/12)+$G221*L$10</f>
        <v>-5.4134960101278197E-2</v>
      </c>
      <c r="M171" s="220">
        <f t="shared" ref="M171" si="609">M139/M74</f>
        <v>-6.7428050064782571E-2</v>
      </c>
      <c r="N171" s="220">
        <f t="shared" ref="N171:V171" si="610">$F221+$G221*N$10</f>
        <v>-7.2626307410233112E-2</v>
      </c>
      <c r="O171" s="220">
        <f t="shared" si="610"/>
        <v>-7.3075405933451798E-2</v>
      </c>
      <c r="P171" s="220">
        <f t="shared" si="610"/>
        <v>-7.3464177789372448E-2</v>
      </c>
      <c r="Q171" s="220">
        <f t="shared" si="610"/>
        <v>-7.3738999273730149E-2</v>
      </c>
      <c r="R171" s="220">
        <f t="shared" si="610"/>
        <v>-7.3919979275624242E-2</v>
      </c>
      <c r="S171" s="220">
        <f t="shared" si="610"/>
        <v>-7.4032589054580572E-2</v>
      </c>
      <c r="T171" s="220">
        <f t="shared" si="610"/>
        <v>-7.4094256314485227E-2</v>
      </c>
      <c r="U171" s="220">
        <f t="shared" si="610"/>
        <v>-7.4122408759224309E-2</v>
      </c>
      <c r="V171" s="220">
        <f t="shared" si="610"/>
        <v>-7.4134474092683908E-2</v>
      </c>
      <c r="W171" s="129" t="s">
        <v>21</v>
      </c>
      <c r="X171" s="158"/>
      <c r="Y171" s="32"/>
      <c r="Z171" s="32"/>
      <c r="AA171" s="32"/>
    </row>
    <row r="172" spans="5:27" ht="30" customHeight="1" x14ac:dyDescent="0.3">
      <c r="E172" s="243" t="s">
        <v>214</v>
      </c>
      <c r="F172" s="219">
        <f>F140/SUM(F66,F68,F70,F72,F74,F76,F80)</f>
        <v>-7.5355917714779676E-4</v>
      </c>
      <c r="G172" s="219">
        <f t="shared" ref="G172:I172" si="611">G140/SUM(G66,G68,G70,G72,G74,G76,G80)</f>
        <v>-8.5630182233558305E-4</v>
      </c>
      <c r="H172" s="219">
        <f t="shared" si="611"/>
        <v>-6.966033224663523E-4</v>
      </c>
      <c r="I172" s="219">
        <f t="shared" si="611"/>
        <v>-5.2762612371555885E-4</v>
      </c>
      <c r="J172" s="219">
        <f t="shared" ref="J172:K172" si="612">J140/SUM(J66,J68,J70,J72,J74,J76,J80)</f>
        <v>-1.4290870072817838E-4</v>
      </c>
      <c r="K172" s="219">
        <f t="shared" si="612"/>
        <v>-1.4290870072817838E-4</v>
      </c>
      <c r="L172" s="220">
        <f>($F222*(5-Dashboard!$F$9)*3/12)+$G222*L$10</f>
        <v>-4.9961446052789176E-4</v>
      </c>
      <c r="M172" s="220">
        <f t="shared" ref="M172" si="613">M140/SUM(M66,M68,M70,M72,M74,M76,M80)</f>
        <v>-6.1872851424978959E-4</v>
      </c>
      <c r="N172" s="220">
        <f t="shared" ref="N172:V172" si="614">$F222+$G222*N$10</f>
        <v>-6.5932914544118346E-4</v>
      </c>
      <c r="O172" s="220">
        <f t="shared" si="614"/>
        <v>-6.5246382262563508E-4</v>
      </c>
      <c r="P172" s="220">
        <f t="shared" si="614"/>
        <v>-6.4652070735247383E-4</v>
      </c>
      <c r="Q172" s="220">
        <f t="shared" si="614"/>
        <v>-6.4231953965937711E-4</v>
      </c>
      <c r="R172" s="220">
        <f t="shared" si="614"/>
        <v>-6.3955291703221583E-4</v>
      </c>
      <c r="S172" s="220">
        <f t="shared" si="614"/>
        <v>-6.3783146295309323E-4</v>
      </c>
      <c r="T172" s="220">
        <f t="shared" si="614"/>
        <v>-6.3688876190976418E-4</v>
      </c>
      <c r="U172" s="220">
        <f t="shared" si="614"/>
        <v>-6.3645839838998356E-4</v>
      </c>
      <c r="V172" s="220">
        <f t="shared" si="614"/>
        <v>-6.3627395688150613E-4</v>
      </c>
      <c r="W172" s="129" t="s">
        <v>21</v>
      </c>
      <c r="X172" s="158"/>
      <c r="Y172" s="32"/>
      <c r="Z172" s="32"/>
      <c r="AA172" s="32"/>
    </row>
    <row r="173" spans="5:27" ht="30" customHeight="1" x14ac:dyDescent="0.3">
      <c r="E173" s="242" t="s">
        <v>212</v>
      </c>
      <c r="F173" s="219">
        <f>F141/F64</f>
        <v>-1.3501248139950872E-4</v>
      </c>
      <c r="G173" s="219">
        <f t="shared" ref="G173:K173" si="615">G141/G64</f>
        <v>-4.3124700919377725E-4</v>
      </c>
      <c r="H173" s="219">
        <f t="shared" si="615"/>
        <v>-7.9532128914311796E-4</v>
      </c>
      <c r="I173" s="219">
        <f t="shared" si="615"/>
        <v>-1.9497995369395157E-4</v>
      </c>
      <c r="J173" s="219">
        <f t="shared" si="615"/>
        <v>-1.1918324646969271E-5</v>
      </c>
      <c r="K173" s="219">
        <f t="shared" si="615"/>
        <v>-1.1918324646969271E-5</v>
      </c>
      <c r="L173" s="220">
        <f>($F223*(5-Dashboard!$F$9)*3/12)+$G223*L$10</f>
        <v>-3.2799779452670074E-4</v>
      </c>
      <c r="M173" s="220">
        <f t="shared" ref="M173" si="616">M141/M64</f>
        <v>-3.3793168906944351E-4</v>
      </c>
      <c r="N173" s="220">
        <f t="shared" ref="N173:V173" si="617">$F223+$G223*N$10</f>
        <v>-4.4509117628589593E-4</v>
      </c>
      <c r="O173" s="220">
        <f t="shared" si="617"/>
        <v>-4.5289956345051269E-4</v>
      </c>
      <c r="P173" s="220">
        <f t="shared" si="617"/>
        <v>-4.5965906278704662E-4</v>
      </c>
      <c r="Q173" s="220">
        <f t="shared" si="617"/>
        <v>-4.6443732955942407E-4</v>
      </c>
      <c r="R173" s="220">
        <f t="shared" si="617"/>
        <v>-4.6758399304367261E-4</v>
      </c>
      <c r="S173" s="220">
        <f t="shared" si="617"/>
        <v>-4.6954191698942729E-4</v>
      </c>
      <c r="T173" s="220">
        <f t="shared" si="617"/>
        <v>-4.7061411343591203E-4</v>
      </c>
      <c r="U173" s="220">
        <f t="shared" si="617"/>
        <v>-4.7110359442235065E-4</v>
      </c>
      <c r="V173" s="220">
        <f t="shared" si="617"/>
        <v>-4.7131337198796718E-4</v>
      </c>
      <c r="W173" s="129" t="s">
        <v>21</v>
      </c>
      <c r="X173" s="158"/>
      <c r="Y173" s="32"/>
      <c r="Z173" s="32"/>
      <c r="AA173" s="32"/>
    </row>
    <row r="174" spans="5:27" ht="30" customHeight="1" thickBot="1" x14ac:dyDescent="0.35">
      <c r="E174" s="244" t="s">
        <v>213</v>
      </c>
      <c r="F174" s="245">
        <f>F142/SUM(F84,F86,F88,F92,F94,F96,F98,F100)</f>
        <v>-4.5118052448303657E-2</v>
      </c>
      <c r="G174" s="245">
        <f t="shared" ref="G174:K174" si="618">G142/SUM(G84,G86,G88,G92,G94,G96,G98,G100)</f>
        <v>-4.2670417604724002E-2</v>
      </c>
      <c r="H174" s="245">
        <f t="shared" si="618"/>
        <v>-6.0548227339632811E-2</v>
      </c>
      <c r="I174" s="245">
        <f t="shared" si="618"/>
        <v>-6.5886731901794365E-2</v>
      </c>
      <c r="J174" s="245">
        <f t="shared" si="618"/>
        <v>-1.8638695224798694E-2</v>
      </c>
      <c r="K174" s="245">
        <f t="shared" si="618"/>
        <v>-1.8638695224798694E-2</v>
      </c>
      <c r="L174" s="246">
        <f>($F224*(5-Dashboard!$F$9)*3/12)+$G224*L$10</f>
        <v>-4.3396910355578577E-2</v>
      </c>
      <c r="M174" s="246">
        <f t="shared" ref="M174" si="619">M142/SUM(M84,M86,M88,M92,M94,M96,M98,M100)</f>
        <v>-5.8932217394270243E-2</v>
      </c>
      <c r="N174" s="246">
        <f t="shared" ref="N174:V174" si="620">$F224+$G224*N$10</f>
        <v>-5.8556117226630948E-2</v>
      </c>
      <c r="O174" s="246">
        <f t="shared" si="620"/>
        <v>-5.925394157617371E-2</v>
      </c>
      <c r="P174" s="246">
        <f t="shared" si="620"/>
        <v>-5.9858028326524169E-2</v>
      </c>
      <c r="Q174" s="246">
        <f t="shared" si="620"/>
        <v>-6.0285055167289145E-2</v>
      </c>
      <c r="R174" s="246">
        <f t="shared" si="620"/>
        <v>-6.0566267964866083E-2</v>
      </c>
      <c r="S174" s="246">
        <f t="shared" si="620"/>
        <v>-6.0741244816691728E-2</v>
      </c>
      <c r="T174" s="246">
        <f t="shared" si="620"/>
        <v>-6.083706547364387E-2</v>
      </c>
      <c r="U174" s="246">
        <f t="shared" si="620"/>
        <v>-6.0880809686600285E-2</v>
      </c>
      <c r="V174" s="246">
        <f t="shared" si="620"/>
        <v>-6.0899557206438748E-2</v>
      </c>
      <c r="W174" s="134" t="s">
        <v>21</v>
      </c>
      <c r="X174" s="158"/>
      <c r="Y174" s="32"/>
      <c r="Z174" s="32"/>
      <c r="AA174" s="32"/>
    </row>
    <row r="175" spans="5:27" ht="30" customHeight="1" x14ac:dyDescent="0.3">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spans="5:27" ht="30" customHeight="1" x14ac:dyDescent="0.3">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spans="5:27" ht="30" customHeight="1" thickBot="1" x14ac:dyDescent="0.35">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spans="5:27" ht="30" customHeight="1" x14ac:dyDescent="0.3">
      <c r="E178" s="86" t="s">
        <v>229</v>
      </c>
      <c r="F178" s="87">
        <v>2020</v>
      </c>
      <c r="G178" s="87">
        <v>2021</v>
      </c>
      <c r="H178" s="87">
        <v>2022</v>
      </c>
      <c r="I178" s="88">
        <v>2023</v>
      </c>
      <c r="J178" s="88" t="str">
        <f>J$9</f>
        <v>1T24</v>
      </c>
      <c r="K178" s="88" t="str">
        <f t="shared" ref="K178:L178" si="621">K$9</f>
        <v>YTD24</v>
      </c>
      <c r="L178" s="89" t="str">
        <f t="shared" si="621"/>
        <v>YTG24</v>
      </c>
      <c r="M178" s="89">
        <v>2024</v>
      </c>
      <c r="N178" s="89">
        <v>2025</v>
      </c>
      <c r="O178" s="89">
        <v>2026</v>
      </c>
      <c r="P178" s="89">
        <v>2027</v>
      </c>
      <c r="Q178" s="89">
        <v>2028</v>
      </c>
      <c r="R178" s="89">
        <v>2029</v>
      </c>
      <c r="S178" s="89">
        <v>2030</v>
      </c>
      <c r="T178" s="89">
        <v>2031</v>
      </c>
      <c r="U178" s="89">
        <v>2032</v>
      </c>
      <c r="V178" s="89">
        <v>2033</v>
      </c>
      <c r="W178" s="88" t="s">
        <v>223</v>
      </c>
      <c r="X178" s="97" t="s">
        <v>125</v>
      </c>
      <c r="Y178" s="32"/>
      <c r="Z178" s="32"/>
      <c r="AA178" s="32"/>
    </row>
    <row r="179" spans="5:27" ht="30" customHeight="1" x14ac:dyDescent="0.3">
      <c r="E179" s="98" t="s">
        <v>226</v>
      </c>
      <c r="F179" s="250">
        <f>SUM(F181,F183)</f>
        <v>32.799999999999997</v>
      </c>
      <c r="G179" s="250">
        <f t="shared" ref="G179:I179" si="622">SUM(G181,G183)</f>
        <v>39.700000000000003</v>
      </c>
      <c r="H179" s="250">
        <f t="shared" si="622"/>
        <v>47</v>
      </c>
      <c r="I179" s="250">
        <f t="shared" si="622"/>
        <v>50.9</v>
      </c>
      <c r="J179" s="261">
        <f>SUM(J181,J183)</f>
        <v>51.5</v>
      </c>
      <c r="K179" s="250">
        <f>SUM(K181,K183)</f>
        <v>51.5</v>
      </c>
      <c r="L179" s="258">
        <f>SUM(L181,L183)</f>
        <v>55.462047023369024</v>
      </c>
      <c r="M179" s="258">
        <f>SUM(M181,M183)</f>
        <v>55.462047023369024</v>
      </c>
      <c r="N179" s="258">
        <f>M179*(1+N180)</f>
        <v>58.863556552131051</v>
      </c>
      <c r="O179" s="258">
        <f t="shared" ref="O179:Q179" si="623">N179*(1+O180)</f>
        <v>62.359604448297844</v>
      </c>
      <c r="P179" s="258">
        <f t="shared" si="623"/>
        <v>66.386413545942233</v>
      </c>
      <c r="Q179" s="258">
        <f t="shared" si="623"/>
        <v>70.873006532617651</v>
      </c>
      <c r="R179" s="258">
        <f>Q179*(1+R180)</f>
        <v>75.817518531770943</v>
      </c>
      <c r="S179" s="258">
        <f t="shared" ref="S179" si="624">R179*(1+S180)</f>
        <v>81.207522395727906</v>
      </c>
      <c r="T179" s="258">
        <f t="shared" ref="T179" si="625">S179*(1+T180)</f>
        <v>87.112413696201898</v>
      </c>
      <c r="U179" s="258">
        <f t="shared" ref="U179:V179" si="626">T179*(1+U180)</f>
        <v>93.498206604684725</v>
      </c>
      <c r="V179" s="100">
        <f t="shared" si="626"/>
        <v>100.37499970045928</v>
      </c>
      <c r="W179" s="128">
        <f>(I179/F179)^(1/3) - 1</f>
        <v>0.15774961756830352</v>
      </c>
      <c r="X179" s="164"/>
      <c r="Y179" s="32"/>
      <c r="Z179" s="32"/>
      <c r="AA179" s="32"/>
    </row>
    <row r="180" spans="5:27" ht="30" customHeight="1" x14ac:dyDescent="0.3">
      <c r="E180" s="175" t="s">
        <v>224</v>
      </c>
      <c r="F180" s="247" t="s">
        <v>21</v>
      </c>
      <c r="G180" s="247">
        <f>G179/F179-1</f>
        <v>0.21036585365853688</v>
      </c>
      <c r="H180" s="247">
        <f t="shared" ref="H180:I180" si="627">H179/G179-1</f>
        <v>0.18387909319899243</v>
      </c>
      <c r="I180" s="247">
        <f t="shared" si="627"/>
        <v>8.2978723404255383E-2</v>
      </c>
      <c r="J180" s="440"/>
      <c r="K180" s="247"/>
      <c r="L180" s="177"/>
      <c r="M180" s="177">
        <f>M179/I179-1</f>
        <v>8.9627642895265813E-2</v>
      </c>
      <c r="N180" s="177">
        <f>(1+2%)*(1+Ke!F12)-1</f>
        <v>6.1330399999999896E-2</v>
      </c>
      <c r="O180" s="177">
        <f>(1+2%)*(1+Ke!G12)-1</f>
        <v>5.9392400000000123E-2</v>
      </c>
      <c r="P180" s="177">
        <f>(1+2%)*(1+Ke!H12)-1</f>
        <v>6.4574000000000131E-2</v>
      </c>
      <c r="Q180" s="177">
        <f>(1+2%)*(1+Ke!I12)-1</f>
        <v>6.7583000000000171E-2</v>
      </c>
      <c r="R180" s="177">
        <f>(1+2%)*(1+Ke!J12)-1</f>
        <v>6.9765799999999878E-2</v>
      </c>
      <c r="S180" s="177">
        <f>(1+2%)*(1+Ke!K12)-1</f>
        <v>7.1091800000000038E-2</v>
      </c>
      <c r="T180" s="177">
        <f>(1+2%)*(1+Ke!L12)-1</f>
        <v>7.2713599999999934E-2</v>
      </c>
      <c r="U180" s="177">
        <f>(1+2%)*(1+Ke!M12)-1</f>
        <v>7.330520000000007E-2</v>
      </c>
      <c r="V180" s="177">
        <f>K198</f>
        <v>7.3550000000000004E-2</v>
      </c>
      <c r="W180" s="128"/>
      <c r="X180" s="178" t="s">
        <v>427</v>
      </c>
      <c r="Y180" s="32"/>
      <c r="Z180" s="32"/>
      <c r="AA180" s="32"/>
    </row>
    <row r="181" spans="5:27" ht="30" customHeight="1" x14ac:dyDescent="0.3">
      <c r="E181" s="107" t="s">
        <v>150</v>
      </c>
      <c r="F181" s="248">
        <v>26.7</v>
      </c>
      <c r="G181" s="248">
        <v>33</v>
      </c>
      <c r="H181" s="248">
        <v>39.5</v>
      </c>
      <c r="I181" s="248">
        <v>42.8</v>
      </c>
      <c r="J181" s="249">
        <v>44.4</v>
      </c>
      <c r="K181" s="248">
        <f>J181</f>
        <v>44.4</v>
      </c>
      <c r="L181" s="259">
        <f>'Projeções Trimestrais'!J64</f>
        <v>48.354453721789966</v>
      </c>
      <c r="M181" s="259">
        <f>L181</f>
        <v>48.354453721789966</v>
      </c>
      <c r="N181" s="259">
        <f t="shared" ref="N181:V181" si="628">N182*N179</f>
        <v>51.320051710328826</v>
      </c>
      <c r="O181" s="259">
        <f t="shared" si="628"/>
        <v>54.368072749529368</v>
      </c>
      <c r="P181" s="259">
        <f t="shared" si="628"/>
        <v>57.878836679257475</v>
      </c>
      <c r="Q181" s="259">
        <f t="shared" si="628"/>
        <v>61.790462098551743</v>
      </c>
      <c r="R181" s="259">
        <f t="shared" si="628"/>
        <v>66.101323119226876</v>
      </c>
      <c r="S181" s="259">
        <f t="shared" si="628"/>
        <v>70.800585162154334</v>
      </c>
      <c r="T181" s="259">
        <f t="shared" si="628"/>
        <v>75.948750591401151</v>
      </c>
      <c r="U181" s="259">
        <f t="shared" si="628"/>
        <v>81.516188943253937</v>
      </c>
      <c r="V181" s="259">
        <f t="shared" si="628"/>
        <v>87.511704640030274</v>
      </c>
      <c r="W181" s="128">
        <f>(I181/F181)^(1/3) - 1</f>
        <v>0.17033673184075271</v>
      </c>
      <c r="X181" s="109"/>
      <c r="Y181" s="32"/>
      <c r="Z181" s="32"/>
      <c r="AA181" s="32"/>
    </row>
    <row r="182" spans="5:27" ht="30" customHeight="1" x14ac:dyDescent="0.3">
      <c r="E182" s="110" t="s">
        <v>227</v>
      </c>
      <c r="F182" s="104">
        <f>F181/F179</f>
        <v>0.8140243902439025</v>
      </c>
      <c r="G182" s="104">
        <f t="shared" ref="G182:M182" si="629">G181/G179</f>
        <v>0.83123425692695208</v>
      </c>
      <c r="H182" s="104">
        <f t="shared" si="629"/>
        <v>0.84042553191489366</v>
      </c>
      <c r="I182" s="104">
        <f t="shared" si="629"/>
        <v>0.84086444007858541</v>
      </c>
      <c r="J182" s="116">
        <f t="shared" si="629"/>
        <v>0.86213592233009706</v>
      </c>
      <c r="K182" s="104">
        <f t="shared" si="629"/>
        <v>0.86213592233009706</v>
      </c>
      <c r="L182" s="105">
        <f t="shared" si="629"/>
        <v>0.87184762043520925</v>
      </c>
      <c r="M182" s="105">
        <f t="shared" si="629"/>
        <v>0.87184762043520925</v>
      </c>
      <c r="N182" s="105">
        <f>M182</f>
        <v>0.87184762043520925</v>
      </c>
      <c r="O182" s="105">
        <f t="shared" ref="O182:V182" si="630">N182</f>
        <v>0.87184762043520925</v>
      </c>
      <c r="P182" s="105">
        <f t="shared" si="630"/>
        <v>0.87184762043520925</v>
      </c>
      <c r="Q182" s="105">
        <f t="shared" si="630"/>
        <v>0.87184762043520925</v>
      </c>
      <c r="R182" s="105">
        <f t="shared" si="630"/>
        <v>0.87184762043520925</v>
      </c>
      <c r="S182" s="105">
        <f t="shared" si="630"/>
        <v>0.87184762043520925</v>
      </c>
      <c r="T182" s="105">
        <f t="shared" si="630"/>
        <v>0.87184762043520925</v>
      </c>
      <c r="U182" s="105">
        <f t="shared" si="630"/>
        <v>0.87184762043520925</v>
      </c>
      <c r="V182" s="105">
        <f t="shared" si="630"/>
        <v>0.87184762043520925</v>
      </c>
      <c r="W182" s="116"/>
      <c r="X182" s="111" t="s">
        <v>235</v>
      </c>
      <c r="Y182" s="32"/>
      <c r="Z182" s="32"/>
      <c r="AA182" s="32"/>
    </row>
    <row r="183" spans="5:27" ht="30" customHeight="1" x14ac:dyDescent="0.3">
      <c r="E183" s="107" t="s">
        <v>225</v>
      </c>
      <c r="F183" s="248">
        <v>6.1</v>
      </c>
      <c r="G183" s="248">
        <v>6.7</v>
      </c>
      <c r="H183" s="248">
        <v>7.5</v>
      </c>
      <c r="I183" s="248">
        <v>8.1</v>
      </c>
      <c r="J183" s="249">
        <v>7.1</v>
      </c>
      <c r="K183" s="248">
        <f>J183</f>
        <v>7.1</v>
      </c>
      <c r="L183" s="259">
        <f>'Projeções Trimestrais'!J72</f>
        <v>7.1075933015790609</v>
      </c>
      <c r="M183" s="259">
        <f>L183</f>
        <v>7.1075933015790609</v>
      </c>
      <c r="N183" s="259">
        <f t="shared" ref="N183:V183" si="631">N184*N179</f>
        <v>7.5435048418022239</v>
      </c>
      <c r="O183" s="259">
        <f t="shared" si="631"/>
        <v>7.9915316987684788</v>
      </c>
      <c r="P183" s="259">
        <f t="shared" si="631"/>
        <v>8.5075768666847562</v>
      </c>
      <c r="Q183" s="259">
        <f t="shared" si="631"/>
        <v>9.0825444340659125</v>
      </c>
      <c r="R183" s="259">
        <f t="shared" si="631"/>
        <v>9.7161954125440673</v>
      </c>
      <c r="S183" s="259">
        <f t="shared" si="631"/>
        <v>10.406937233573569</v>
      </c>
      <c r="T183" s="259">
        <f t="shared" si="631"/>
        <v>11.163663104800742</v>
      </c>
      <c r="U183" s="259">
        <f t="shared" si="631"/>
        <v>11.982017661430783</v>
      </c>
      <c r="V183" s="259">
        <f t="shared" si="631"/>
        <v>12.863295060429015</v>
      </c>
      <c r="W183" s="128">
        <f>(I183/F183)^(1/3) - 1</f>
        <v>9.9136747638293166E-2</v>
      </c>
      <c r="X183" s="109"/>
      <c r="Y183" s="32"/>
      <c r="Z183" s="32"/>
      <c r="AA183" s="32"/>
    </row>
    <row r="184" spans="5:27" ht="30" customHeight="1" x14ac:dyDescent="0.3">
      <c r="E184" s="110" t="s">
        <v>227</v>
      </c>
      <c r="F184" s="104">
        <f>F183/F179</f>
        <v>0.18597560975609756</v>
      </c>
      <c r="G184" s="104">
        <f t="shared" ref="G184:M184" si="632">G183/G179</f>
        <v>0.16876574307304784</v>
      </c>
      <c r="H184" s="104">
        <f t="shared" si="632"/>
        <v>0.15957446808510639</v>
      </c>
      <c r="I184" s="104">
        <f t="shared" si="632"/>
        <v>0.15913555992141454</v>
      </c>
      <c r="J184" s="116">
        <f t="shared" si="632"/>
        <v>0.13786407766990291</v>
      </c>
      <c r="K184" s="104">
        <f t="shared" si="632"/>
        <v>0.13786407766990291</v>
      </c>
      <c r="L184" s="105">
        <f t="shared" si="632"/>
        <v>0.12815237956479075</v>
      </c>
      <c r="M184" s="105">
        <f t="shared" si="632"/>
        <v>0.12815237956479075</v>
      </c>
      <c r="N184" s="105">
        <f t="shared" ref="N184:V184" si="633">1-N182</f>
        <v>0.12815237956479075</v>
      </c>
      <c r="O184" s="105">
        <f t="shared" si="633"/>
        <v>0.12815237956479075</v>
      </c>
      <c r="P184" s="105">
        <f t="shared" si="633"/>
        <v>0.12815237956479075</v>
      </c>
      <c r="Q184" s="105">
        <f t="shared" si="633"/>
        <v>0.12815237956479075</v>
      </c>
      <c r="R184" s="105">
        <f t="shared" si="633"/>
        <v>0.12815237956479075</v>
      </c>
      <c r="S184" s="105">
        <f t="shared" si="633"/>
        <v>0.12815237956479075</v>
      </c>
      <c r="T184" s="105">
        <f t="shared" si="633"/>
        <v>0.12815237956479075</v>
      </c>
      <c r="U184" s="105">
        <f t="shared" si="633"/>
        <v>0.12815237956479075</v>
      </c>
      <c r="V184" s="105">
        <f t="shared" si="633"/>
        <v>0.12815237956479075</v>
      </c>
      <c r="W184" s="116"/>
      <c r="X184" s="111" t="s">
        <v>366</v>
      </c>
      <c r="Y184" s="32"/>
      <c r="Z184" s="32"/>
      <c r="AA184" s="32"/>
    </row>
    <row r="185" spans="5:27" ht="30" customHeight="1" x14ac:dyDescent="0.3">
      <c r="E185" s="98" t="s">
        <v>228</v>
      </c>
      <c r="F185" s="250">
        <f>7+7.5</f>
        <v>14.5</v>
      </c>
      <c r="G185" s="250">
        <f>12.6+11.9</f>
        <v>24.5</v>
      </c>
      <c r="H185" s="250">
        <v>32.6</v>
      </c>
      <c r="I185" s="261">
        <v>37.5</v>
      </c>
      <c r="J185" s="261">
        <v>37.5</v>
      </c>
      <c r="K185" s="261">
        <f>J185</f>
        <v>37.5</v>
      </c>
      <c r="L185" s="258">
        <f>'Projeções Trimestrais'!J56</f>
        <v>47.001290494597335</v>
      </c>
      <c r="M185" s="258">
        <f>L185</f>
        <v>47.001290494597335</v>
      </c>
      <c r="N185" s="258">
        <f t="shared" ref="N185:V185" si="634">SUM(N187,0.5*N189)</f>
        <v>53.041496981124077</v>
      </c>
      <c r="O185" s="258">
        <f t="shared" si="634"/>
        <v>58.525114275784119</v>
      </c>
      <c r="P185" s="258">
        <f t="shared" si="634"/>
        <v>64.239995048892141</v>
      </c>
      <c r="Q185" s="258">
        <f t="shared" si="634"/>
        <v>70.101772534169157</v>
      </c>
      <c r="R185" s="258">
        <f>SUM(R187,0.5*R189)</f>
        <v>76.126302972998275</v>
      </c>
      <c r="S185" s="258">
        <f t="shared" si="634"/>
        <v>82.312361314259491</v>
      </c>
      <c r="T185" s="258">
        <f t="shared" si="634"/>
        <v>88.746537971787205</v>
      </c>
      <c r="U185" s="258">
        <f t="shared" si="634"/>
        <v>95.394983497655289</v>
      </c>
      <c r="V185" s="258">
        <f t="shared" si="634"/>
        <v>102.27177659342983</v>
      </c>
      <c r="W185" s="128">
        <f>(I185/F185)^(1/3) - 1</f>
        <v>0.37263295609733538</v>
      </c>
      <c r="X185" s="109"/>
      <c r="Y185" s="32"/>
      <c r="Z185" s="32"/>
      <c r="AA185" s="32"/>
    </row>
    <row r="186" spans="5:27" ht="30" customHeight="1" x14ac:dyDescent="0.3">
      <c r="E186" s="115" t="s">
        <v>227</v>
      </c>
      <c r="F186" s="104">
        <f>F185/F179</f>
        <v>0.44207317073170738</v>
      </c>
      <c r="G186" s="104">
        <f t="shared" ref="G186:J186" si="635">G185/G179</f>
        <v>0.61712846347607053</v>
      </c>
      <c r="H186" s="104">
        <f t="shared" si="635"/>
        <v>0.69361702127659575</v>
      </c>
      <c r="I186" s="104">
        <f t="shared" si="635"/>
        <v>0.73673870333988212</v>
      </c>
      <c r="J186" s="116">
        <f t="shared" si="635"/>
        <v>0.72815533980582525</v>
      </c>
      <c r="K186" s="104">
        <f>K185/K179</f>
        <v>0.72815533980582525</v>
      </c>
      <c r="L186" s="105">
        <f t="shared" ref="L186:M186" si="636">L185/L179</f>
        <v>0.84744961675852437</v>
      </c>
      <c r="M186" s="105">
        <f t="shared" si="636"/>
        <v>0.84744961675852437</v>
      </c>
      <c r="N186" s="105">
        <f>N185/N179</f>
        <v>0.90109229017022086</v>
      </c>
      <c r="O186" s="105">
        <f t="shared" ref="O186:V186" si="637">O185/O179</f>
        <v>0.93851003054881643</v>
      </c>
      <c r="P186" s="105">
        <f t="shared" si="637"/>
        <v>0.96766780456418722</v>
      </c>
      <c r="Q186" s="105">
        <f t="shared" si="637"/>
        <v>0.98911808548585345</v>
      </c>
      <c r="R186" s="105">
        <f t="shared" si="637"/>
        <v>1.004072732096843</v>
      </c>
      <c r="S186" s="105">
        <f t="shared" si="637"/>
        <v>1.013605130238399</v>
      </c>
      <c r="T186" s="105">
        <f t="shared" si="637"/>
        <v>1.0187587991911715</v>
      </c>
      <c r="U186" s="105">
        <f t="shared" si="637"/>
        <v>1.0202867729965157</v>
      </c>
      <c r="V186" s="105">
        <f t="shared" si="637"/>
        <v>1.0188969055903456</v>
      </c>
      <c r="W186" s="116"/>
      <c r="X186" s="111"/>
      <c r="Y186" s="32"/>
      <c r="Z186" s="32"/>
      <c r="AA186" s="32"/>
    </row>
    <row r="187" spans="5:27" ht="30" customHeight="1" x14ac:dyDescent="0.3">
      <c r="E187" s="107" t="s">
        <v>231</v>
      </c>
      <c r="F187" s="249">
        <v>0</v>
      </c>
      <c r="G187" s="249">
        <f>G188*G179</f>
        <v>9.2999999999999972</v>
      </c>
      <c r="H187" s="249">
        <f t="shared" ref="H187" si="638">H188*H179</f>
        <v>18.200000000000003</v>
      </c>
      <c r="I187" s="249">
        <f>I188*I179</f>
        <v>24.1</v>
      </c>
      <c r="J187" s="249">
        <f>J188*J179</f>
        <v>23.5</v>
      </c>
      <c r="K187" s="249">
        <f>J187</f>
        <v>23.5</v>
      </c>
      <c r="L187" s="259">
        <f>L188*L179</f>
        <v>38.540533965825645</v>
      </c>
      <c r="M187" s="259">
        <f t="shared" ref="M187" si="639">M188*M179</f>
        <v>38.540533965825645</v>
      </c>
      <c r="N187" s="259">
        <f t="shared" ref="N187:T187" si="640">M187+(N179-M179)/N191</f>
        <v>47.219437410117109</v>
      </c>
      <c r="O187" s="259">
        <f t="shared" si="640"/>
        <v>54.690624103270395</v>
      </c>
      <c r="P187" s="259">
        <f t="shared" si="640"/>
        <v>62.093576551842048</v>
      </c>
      <c r="Q187" s="259">
        <f t="shared" si="640"/>
        <v>69.330538535720663</v>
      </c>
      <c r="R187" s="259">
        <f t="shared" si="640"/>
        <v>76.43508741422562</v>
      </c>
      <c r="S187" s="259">
        <f t="shared" si="640"/>
        <v>83.417200232791089</v>
      </c>
      <c r="T187" s="259">
        <f t="shared" si="640"/>
        <v>90.380662247372513</v>
      </c>
      <c r="U187" s="259">
        <f>T187+(U179-T179)/U191</f>
        <v>97.291760390625839</v>
      </c>
      <c r="V187" s="259">
        <f>U187+(V179-U179)/V191</f>
        <v>104.1685534864004</v>
      </c>
      <c r="W187" s="128">
        <f>(I187/G187)^(1/2)-1</f>
        <v>0.6097819260578019</v>
      </c>
      <c r="X187" s="109"/>
      <c r="Y187" s="32"/>
      <c r="Z187" s="32"/>
      <c r="AA187" s="32"/>
    </row>
    <row r="188" spans="5:27" ht="30" customHeight="1" x14ac:dyDescent="0.3">
      <c r="E188" s="110" t="s">
        <v>233</v>
      </c>
      <c r="F188" s="104">
        <f t="shared" ref="F188" si="641">(F185-0.5*F179)/(0.5*F179)</f>
        <v>-0.11585365853658529</v>
      </c>
      <c r="G188" s="104">
        <f t="shared" ref="G188:L188" si="642">(G185-0.5*G179)/(0.5*G179)</f>
        <v>0.23425692695214098</v>
      </c>
      <c r="H188" s="104">
        <f t="shared" si="642"/>
        <v>0.38723404255319155</v>
      </c>
      <c r="I188" s="104">
        <f t="shared" si="642"/>
        <v>0.47347740667976429</v>
      </c>
      <c r="J188" s="116">
        <f t="shared" si="642"/>
        <v>0.4563106796116505</v>
      </c>
      <c r="K188" s="104">
        <f t="shared" si="642"/>
        <v>0.4563106796116505</v>
      </c>
      <c r="L188" s="105">
        <f t="shared" si="642"/>
        <v>0.69489923351704863</v>
      </c>
      <c r="M188" s="105">
        <f t="shared" ref="M188" si="643">(M185-0.5*M179)/(0.5*M179)</f>
        <v>0.69489923351704863</v>
      </c>
      <c r="N188" s="105">
        <f>N187/N179</f>
        <v>0.80218458034044182</v>
      </c>
      <c r="O188" s="105">
        <f t="shared" ref="O188:T188" si="644">O187/O179</f>
        <v>0.87702006109763286</v>
      </c>
      <c r="P188" s="105">
        <f t="shared" si="644"/>
        <v>0.93533560912837443</v>
      </c>
      <c r="Q188" s="105">
        <f t="shared" si="644"/>
        <v>0.9782361709717069</v>
      </c>
      <c r="R188" s="105">
        <f t="shared" si="644"/>
        <v>1.0081454641936862</v>
      </c>
      <c r="S188" s="105">
        <f t="shared" si="644"/>
        <v>1.0272102604767983</v>
      </c>
      <c r="T188" s="105">
        <f t="shared" si="644"/>
        <v>1.037517598382343</v>
      </c>
      <c r="U188" s="105">
        <f>U187/U179</f>
        <v>1.0405735459930312</v>
      </c>
      <c r="V188" s="105">
        <f>V187/V179</f>
        <v>1.0377938111806915</v>
      </c>
      <c r="W188" s="116"/>
      <c r="X188" s="111"/>
      <c r="Y188" s="32"/>
      <c r="Z188" s="32"/>
      <c r="AA188" s="32"/>
    </row>
    <row r="189" spans="5:27" ht="30" customHeight="1" x14ac:dyDescent="0.3">
      <c r="E189" s="107" t="s">
        <v>232</v>
      </c>
      <c r="F189" s="249">
        <v>0</v>
      </c>
      <c r="G189" s="249">
        <f>G190*G179</f>
        <v>30.400000000000006</v>
      </c>
      <c r="H189" s="249">
        <f>H190*H179</f>
        <v>28.8</v>
      </c>
      <c r="I189" s="249">
        <f>I190*I179</f>
        <v>26.8</v>
      </c>
      <c r="J189" s="249">
        <f>J190*J179</f>
        <v>28</v>
      </c>
      <c r="K189" s="249">
        <f>J189</f>
        <v>28</v>
      </c>
      <c r="L189" s="259">
        <f>L190*L179</f>
        <v>16.921513057543379</v>
      </c>
      <c r="M189" s="259">
        <f t="shared" ref="M189" si="645">M190*M179</f>
        <v>16.921513057543379</v>
      </c>
      <c r="N189" s="259">
        <f t="shared" ref="N189:V189" si="646">N190*N179</f>
        <v>11.64411914201394</v>
      </c>
      <c r="O189" s="259">
        <f t="shared" si="646"/>
        <v>7.6689803450274505</v>
      </c>
      <c r="P189" s="259">
        <f t="shared" si="646"/>
        <v>4.2928369941001865</v>
      </c>
      <c r="Q189" s="259">
        <f t="shared" si="646"/>
        <v>1.5424679968969908</v>
      </c>
      <c r="R189" s="259">
        <f t="shared" si="646"/>
        <v>-0.617568882454682</v>
      </c>
      <c r="S189" s="259">
        <f t="shared" si="646"/>
        <v>-2.2096778370631887</v>
      </c>
      <c r="T189" s="259">
        <f t="shared" si="646"/>
        <v>-3.2682485511706214</v>
      </c>
      <c r="U189" s="259">
        <f t="shared" si="646"/>
        <v>-3.7935537859411093</v>
      </c>
      <c r="V189" s="259">
        <f t="shared" si="646"/>
        <v>-3.7935537859411212</v>
      </c>
      <c r="W189" s="128">
        <f>(I189/G189)^(1/2)-1</f>
        <v>-6.1075643425722581E-2</v>
      </c>
      <c r="X189" s="109"/>
      <c r="Y189" s="32"/>
      <c r="Z189" s="32"/>
      <c r="AA189" s="32"/>
    </row>
    <row r="190" spans="5:27" ht="30" customHeight="1" x14ac:dyDescent="0.3">
      <c r="E190" s="110" t="s">
        <v>230</v>
      </c>
      <c r="F190" s="104">
        <f t="shared" ref="F190:H190" si="647">1-F188</f>
        <v>1.1158536585365852</v>
      </c>
      <c r="G190" s="104">
        <f t="shared" si="647"/>
        <v>0.76574307304785905</v>
      </c>
      <c r="H190" s="104">
        <f t="shared" si="647"/>
        <v>0.61276595744680851</v>
      </c>
      <c r="I190" s="104">
        <f>1-I188</f>
        <v>0.52652259332023577</v>
      </c>
      <c r="J190" s="116">
        <f>1-J188</f>
        <v>0.5436893203883495</v>
      </c>
      <c r="K190" s="104">
        <f>1-K188</f>
        <v>0.5436893203883495</v>
      </c>
      <c r="L190" s="105">
        <f>1-L188</f>
        <v>0.30510076648295137</v>
      </c>
      <c r="M190" s="105">
        <f>1-M188</f>
        <v>0.30510076648295137</v>
      </c>
      <c r="N190" s="105">
        <f t="shared" ref="N190:V190" si="648">1-N188</f>
        <v>0.19781541965955818</v>
      </c>
      <c r="O190" s="105">
        <f t="shared" si="648"/>
        <v>0.12297993890236714</v>
      </c>
      <c r="P190" s="105">
        <f t="shared" si="648"/>
        <v>6.4664390871625566E-2</v>
      </c>
      <c r="Q190" s="105">
        <f t="shared" si="648"/>
        <v>2.1763829028293102E-2</v>
      </c>
      <c r="R190" s="105">
        <f t="shared" si="648"/>
        <v>-8.1454641936862249E-3</v>
      </c>
      <c r="S190" s="105">
        <f t="shared" si="648"/>
        <v>-2.7210260476798309E-2</v>
      </c>
      <c r="T190" s="105">
        <f t="shared" si="648"/>
        <v>-3.7517598382343031E-2</v>
      </c>
      <c r="U190" s="105">
        <f t="shared" si="648"/>
        <v>-4.0573545993031201E-2</v>
      </c>
      <c r="V190" s="105">
        <f t="shared" si="648"/>
        <v>-3.7793811180691472E-2</v>
      </c>
      <c r="W190" s="116"/>
      <c r="X190" s="111"/>
      <c r="Y190" s="32"/>
      <c r="Z190" s="32"/>
      <c r="AA190" s="32"/>
    </row>
    <row r="191" spans="5:27" ht="30" customHeight="1" thickBot="1" x14ac:dyDescent="0.35">
      <c r="E191" s="252" t="s">
        <v>234</v>
      </c>
      <c r="F191" s="126" t="s">
        <v>21</v>
      </c>
      <c r="G191" s="126">
        <f>(G179-F179)/(G187-F187)</f>
        <v>0.74193548387096853</v>
      </c>
      <c r="H191" s="126">
        <f>(H179-G179)/(H187-G187)</f>
        <v>0.82022471910112271</v>
      </c>
      <c r="I191" s="126">
        <f>(I179-H179)/(I187-H187)</f>
        <v>0.66101694915254228</v>
      </c>
      <c r="J191" s="121"/>
      <c r="K191" s="126"/>
      <c r="L191" s="127"/>
      <c r="M191" s="127">
        <f>(M179-I179)/(M187-I187)</f>
        <v>0.31591955215543782</v>
      </c>
      <c r="N191" s="127">
        <f>M191+($V$191-$M$191)/9</f>
        <v>0.39192849080483361</v>
      </c>
      <c r="O191" s="127">
        <f t="shared" ref="O191:U191" si="649">N191+($V$191-$M$191)/9</f>
        <v>0.46793742945422939</v>
      </c>
      <c r="P191" s="127">
        <f t="shared" si="649"/>
        <v>0.54394636810362518</v>
      </c>
      <c r="Q191" s="127">
        <f t="shared" si="649"/>
        <v>0.61995530675302102</v>
      </c>
      <c r="R191" s="127">
        <f t="shared" si="649"/>
        <v>0.69596424540241686</v>
      </c>
      <c r="S191" s="127">
        <f t="shared" si="649"/>
        <v>0.7719731840518127</v>
      </c>
      <c r="T191" s="127">
        <f t="shared" si="649"/>
        <v>0.84798212270120854</v>
      </c>
      <c r="U191" s="127">
        <f t="shared" si="649"/>
        <v>0.92399106135060438</v>
      </c>
      <c r="V191" s="127">
        <v>1</v>
      </c>
      <c r="W191" s="121"/>
      <c r="X191" s="122" t="s">
        <v>367</v>
      </c>
      <c r="Y191" s="32"/>
      <c r="Z191" s="32"/>
      <c r="AA191" s="32"/>
    </row>
    <row r="192" spans="5:27" ht="30" customHeight="1" x14ac:dyDescent="0.3">
      <c r="E192" s="32"/>
      <c r="F192" s="32"/>
      <c r="G192" s="251"/>
      <c r="H192" s="251"/>
      <c r="I192" s="251"/>
      <c r="J192" s="251"/>
      <c r="K192" s="251"/>
      <c r="L192" s="251"/>
      <c r="M192" s="260"/>
      <c r="N192" s="260"/>
      <c r="O192" s="260"/>
      <c r="P192" s="260"/>
      <c r="Q192" s="260"/>
      <c r="R192" s="260"/>
      <c r="S192" s="260"/>
      <c r="T192" s="260"/>
      <c r="U192" s="260"/>
      <c r="V192" s="260"/>
      <c r="W192" s="32"/>
      <c r="X192" s="158"/>
      <c r="Y192" s="32"/>
      <c r="Z192" s="32"/>
      <c r="AA192" s="32"/>
    </row>
    <row r="193" spans="5:27" ht="30" customHeight="1" x14ac:dyDescent="0.3">
      <c r="E193" s="32"/>
      <c r="F193" s="32"/>
      <c r="G193" s="251"/>
      <c r="H193" s="251"/>
      <c r="I193" s="251"/>
      <c r="J193" s="251"/>
      <c r="K193" s="251"/>
      <c r="L193" s="251"/>
      <c r="M193" s="260"/>
      <c r="N193" s="439"/>
      <c r="O193" s="439"/>
      <c r="P193" s="439"/>
      <c r="Q193" s="439"/>
      <c r="R193" s="439"/>
      <c r="S193" s="439"/>
      <c r="T193" s="439"/>
      <c r="U193" s="439"/>
      <c r="V193" s="439"/>
      <c r="W193" s="32"/>
      <c r="X193" s="207"/>
      <c r="Y193" s="32"/>
      <c r="Z193" s="32"/>
      <c r="AA193" s="32"/>
    </row>
    <row r="194" spans="5:27" ht="30" customHeight="1" thickBot="1" x14ac:dyDescent="0.35">
      <c r="E194" s="32"/>
      <c r="F194" s="32"/>
      <c r="G194" s="32"/>
      <c r="H194" s="32"/>
      <c r="I194" s="212"/>
      <c r="J194" s="212"/>
      <c r="K194" s="212"/>
      <c r="L194" s="212"/>
      <c r="O194" s="32"/>
      <c r="P194" s="32"/>
      <c r="Q194" s="32"/>
      <c r="R194" s="32"/>
      <c r="S194" s="32"/>
      <c r="T194" s="32"/>
      <c r="U194" s="32"/>
      <c r="V194" s="32"/>
      <c r="W194" s="32"/>
      <c r="X194" s="158"/>
      <c r="Y194" s="32"/>
      <c r="Z194" s="32"/>
      <c r="AA194" s="32"/>
    </row>
    <row r="195" spans="5:27" ht="30" customHeight="1" x14ac:dyDescent="0.3">
      <c r="E195" s="159"/>
      <c r="F195" s="161"/>
      <c r="G195" s="161"/>
      <c r="H195" s="162"/>
      <c r="I195" s="212"/>
      <c r="J195" s="212"/>
      <c r="K195" s="212"/>
      <c r="L195" s="212"/>
      <c r="O195" s="212"/>
      <c r="P195" s="212"/>
      <c r="Q195" s="32"/>
      <c r="R195" s="32"/>
      <c r="S195" s="32"/>
      <c r="T195" s="32"/>
      <c r="U195" s="32"/>
      <c r="V195" s="32"/>
      <c r="W195" s="32"/>
      <c r="X195" s="207"/>
      <c r="Y195" s="32"/>
      <c r="Z195" s="32"/>
      <c r="AA195" s="32"/>
    </row>
    <row r="196" spans="5:27" ht="30" customHeight="1" x14ac:dyDescent="0.3">
      <c r="E196" s="98"/>
      <c r="F196" s="163" t="s">
        <v>221</v>
      </c>
      <c r="G196" s="163" t="s">
        <v>222</v>
      </c>
      <c r="H196" s="164" t="s">
        <v>220</v>
      </c>
      <c r="I196" s="32"/>
      <c r="J196" s="148" t="s">
        <v>236</v>
      </c>
      <c r="K196" s="111">
        <v>0.02</v>
      </c>
      <c r="L196" s="32"/>
      <c r="P196" s="32"/>
      <c r="Q196" s="32"/>
      <c r="R196" s="32"/>
      <c r="S196" s="32"/>
      <c r="T196" s="32"/>
      <c r="U196" s="32"/>
      <c r="V196" s="32"/>
      <c r="W196" s="32"/>
      <c r="X196" s="158"/>
      <c r="Y196" s="32"/>
      <c r="Z196" s="32"/>
      <c r="AA196" s="32"/>
    </row>
    <row r="197" spans="5:27" ht="30" customHeight="1" x14ac:dyDescent="0.3">
      <c r="E197" s="98" t="s">
        <v>216</v>
      </c>
      <c r="F197" s="231">
        <f t="shared" ref="F197:F224" si="650">INTERCEPT(F147:I147,$F$10:$I$10)</f>
        <v>3.7701505325091977E-2</v>
      </c>
      <c r="G197" s="231">
        <f t="shared" ref="G197:G224" si="651">SLOPE(F147:I147,$F$10:$I$10)</f>
        <v>0.444158052838662</v>
      </c>
      <c r="H197" s="233">
        <f t="shared" ref="H197:H224" si="652">RSQ(F147:I147,$F$10:$I$10)</f>
        <v>0.99060807996676137</v>
      </c>
      <c r="I197" s="32"/>
      <c r="J197" s="257" t="s">
        <v>174</v>
      </c>
      <c r="K197" s="236">
        <f>Ke!O12</f>
        <v>5.2499999999999998E-2</v>
      </c>
      <c r="L197" s="32"/>
      <c r="O197" s="32"/>
      <c r="P197" s="32"/>
      <c r="Q197" s="32"/>
      <c r="R197" s="32"/>
      <c r="S197" s="32"/>
      <c r="T197" s="32"/>
      <c r="U197" s="32"/>
      <c r="V197" s="32"/>
      <c r="W197" s="32"/>
      <c r="X197" s="207"/>
      <c r="Y197" s="32"/>
      <c r="Z197" s="32"/>
      <c r="AA197" s="32"/>
    </row>
    <row r="198" spans="5:27" ht="30" customHeight="1" thickBot="1" x14ac:dyDescent="0.35">
      <c r="E198" s="107" t="s">
        <v>75</v>
      </c>
      <c r="F198" s="138">
        <f t="shared" si="650"/>
        <v>7.6080216156498875E-2</v>
      </c>
      <c r="G198" s="138">
        <f t="shared" si="651"/>
        <v>1.7932752385648527E-2</v>
      </c>
      <c r="H198" s="111">
        <f>RSQ(F148:I148,$F$10:$I$10)</f>
        <v>9.498435970324173E-3</v>
      </c>
      <c r="I198" s="32"/>
      <c r="J198" s="149" t="s">
        <v>237</v>
      </c>
      <c r="K198" s="167">
        <f>(1+K196)*(1+K197)-1</f>
        <v>7.3550000000000004E-2</v>
      </c>
      <c r="L198" s="32"/>
      <c r="O198" s="32"/>
      <c r="P198" s="32"/>
      <c r="Q198" s="32"/>
      <c r="R198" s="32"/>
      <c r="S198" s="32"/>
      <c r="T198" s="32"/>
      <c r="U198" s="32"/>
      <c r="V198" s="32"/>
      <c r="W198" s="32"/>
      <c r="X198" s="158"/>
      <c r="Y198" s="32"/>
      <c r="Z198" s="32"/>
      <c r="AA198" s="32"/>
    </row>
    <row r="199" spans="5:27" ht="30" customHeight="1" x14ac:dyDescent="0.3">
      <c r="E199" s="131" t="s">
        <v>76</v>
      </c>
      <c r="F199" s="138">
        <f t="shared" si="650"/>
        <v>5.9841020576277257E-2</v>
      </c>
      <c r="G199" s="138">
        <f t="shared" si="651"/>
        <v>0.7202402580817806</v>
      </c>
      <c r="H199" s="129">
        <f t="shared" si="652"/>
        <v>0.94349391570680941</v>
      </c>
      <c r="I199" s="32"/>
      <c r="J199" s="32"/>
      <c r="K199" s="32"/>
      <c r="L199" s="32"/>
      <c r="M199" s="32"/>
      <c r="N199" s="32"/>
      <c r="O199" s="32"/>
      <c r="P199" s="32"/>
      <c r="Q199" s="32"/>
      <c r="R199" s="32"/>
      <c r="S199" s="32"/>
      <c r="T199" s="32"/>
      <c r="U199" s="32"/>
      <c r="V199" s="32"/>
      <c r="W199" s="32"/>
      <c r="X199" s="207"/>
      <c r="Y199" s="32"/>
      <c r="Z199" s="32"/>
      <c r="AA199" s="32"/>
    </row>
    <row r="200" spans="5:27" ht="30" customHeight="1" x14ac:dyDescent="0.3">
      <c r="E200" s="131" t="s">
        <v>77</v>
      </c>
      <c r="F200" s="138">
        <f t="shared" si="650"/>
        <v>0.406018383452182</v>
      </c>
      <c r="G200" s="138">
        <f t="shared" si="651"/>
        <v>-0.33838861372174511</v>
      </c>
      <c r="H200" s="129">
        <f t="shared" si="652"/>
        <v>1.1615396393377803E-2</v>
      </c>
      <c r="I200" s="32"/>
      <c r="J200" s="32"/>
      <c r="K200" s="32"/>
      <c r="L200" s="32"/>
      <c r="M200" s="32"/>
      <c r="N200" s="32"/>
      <c r="O200" s="32"/>
      <c r="P200" s="32"/>
      <c r="Q200" s="32"/>
      <c r="R200" s="32"/>
      <c r="S200" s="32"/>
      <c r="T200" s="32"/>
      <c r="U200" s="32"/>
      <c r="V200" s="32"/>
      <c r="W200" s="32"/>
      <c r="X200" s="158"/>
      <c r="Y200" s="32"/>
      <c r="Z200" s="32"/>
      <c r="AA200" s="32"/>
    </row>
    <row r="201" spans="5:27" ht="30" customHeight="1" x14ac:dyDescent="0.3">
      <c r="E201" s="131" t="s">
        <v>78</v>
      </c>
      <c r="F201" s="138">
        <f t="shared" si="650"/>
        <v>0.10544312018385334</v>
      </c>
      <c r="G201" s="138">
        <f t="shared" si="651"/>
        <v>-0.25752593482277891</v>
      </c>
      <c r="H201" s="129">
        <f t="shared" si="652"/>
        <v>0.96174029909294034</v>
      </c>
      <c r="I201" s="32"/>
      <c r="J201" s="32"/>
      <c r="K201" s="32"/>
      <c r="L201" s="32"/>
      <c r="M201" s="32"/>
      <c r="N201" s="32"/>
      <c r="O201" s="32"/>
      <c r="P201" s="32"/>
      <c r="Q201" s="32"/>
      <c r="R201" s="32"/>
      <c r="S201" s="32"/>
      <c r="T201" s="32"/>
      <c r="U201" s="32"/>
      <c r="V201" s="32"/>
      <c r="W201" s="32"/>
      <c r="X201" s="207"/>
      <c r="Y201" s="32"/>
      <c r="Z201" s="32"/>
      <c r="AA201" s="32"/>
    </row>
    <row r="202" spans="5:27" ht="30" customHeight="1" x14ac:dyDescent="0.3">
      <c r="E202" s="131" t="s">
        <v>79</v>
      </c>
      <c r="F202" s="138">
        <f t="shared" si="650"/>
        <v>3.777349032870457E-2</v>
      </c>
      <c r="G202" s="138">
        <f t="shared" si="651"/>
        <v>0.13626152384150647</v>
      </c>
      <c r="H202" s="129">
        <f t="shared" si="652"/>
        <v>0.32220637218052034</v>
      </c>
      <c r="I202" s="32"/>
      <c r="J202" s="32"/>
      <c r="K202" s="32"/>
      <c r="L202" s="32"/>
      <c r="M202" s="32"/>
      <c r="N202" s="32"/>
      <c r="O202" s="32"/>
      <c r="P202" s="32"/>
      <c r="Q202" s="32"/>
      <c r="R202" s="32"/>
      <c r="S202" s="32"/>
      <c r="T202" s="32"/>
      <c r="U202" s="32"/>
      <c r="V202" s="32"/>
      <c r="W202" s="32"/>
      <c r="X202" s="158"/>
      <c r="Y202" s="32"/>
      <c r="Z202" s="32"/>
      <c r="AA202" s="32"/>
    </row>
    <row r="203" spans="5:27" ht="30" customHeight="1" x14ac:dyDescent="0.3">
      <c r="E203" s="131" t="s">
        <v>198</v>
      </c>
      <c r="F203" s="138">
        <f t="shared" si="650"/>
        <v>9.2046134946042902E-3</v>
      </c>
      <c r="G203" s="138">
        <f t="shared" si="651"/>
        <v>-3.0752806718826752E-2</v>
      </c>
      <c r="H203" s="129">
        <f t="shared" si="652"/>
        <v>0.36718589529643975</v>
      </c>
      <c r="I203" s="32"/>
      <c r="J203" s="32"/>
      <c r="K203" s="32"/>
      <c r="L203" s="32"/>
      <c r="M203" s="32"/>
      <c r="N203" s="32"/>
      <c r="O203" s="32"/>
      <c r="P203" s="32"/>
      <c r="Q203" s="32"/>
      <c r="R203" s="32"/>
      <c r="S203" s="32"/>
      <c r="T203" s="32"/>
      <c r="U203" s="32"/>
      <c r="V203" s="32"/>
      <c r="W203" s="32"/>
      <c r="X203" s="207"/>
      <c r="Y203" s="32"/>
      <c r="Z203" s="32"/>
      <c r="AA203" s="32"/>
    </row>
    <row r="204" spans="5:27" ht="30" customHeight="1" x14ac:dyDescent="0.3">
      <c r="E204" s="131" t="s">
        <v>199</v>
      </c>
      <c r="F204" s="138">
        <f t="shared" si="650"/>
        <v>-1.1340455575386757E-4</v>
      </c>
      <c r="G204" s="138">
        <f t="shared" si="651"/>
        <v>3.5775223769527321E-3</v>
      </c>
      <c r="H204" s="129">
        <f t="shared" si="652"/>
        <v>0.82879163199853456</v>
      </c>
      <c r="I204" s="32"/>
      <c r="J204" s="32"/>
      <c r="K204" s="32"/>
      <c r="L204" s="32"/>
      <c r="M204" s="213"/>
      <c r="N204" s="32"/>
      <c r="O204" s="32"/>
      <c r="P204" s="213"/>
      <c r="Q204" s="32"/>
      <c r="R204" s="32"/>
      <c r="S204" s="32"/>
      <c r="T204" s="32"/>
      <c r="U204" s="32"/>
      <c r="V204" s="32"/>
      <c r="W204" s="32"/>
      <c r="X204" s="158"/>
      <c r="Y204" s="32"/>
      <c r="Z204" s="32"/>
      <c r="AA204" s="32"/>
    </row>
    <row r="205" spans="5:27" ht="30" customHeight="1" x14ac:dyDescent="0.3">
      <c r="E205" s="107" t="s">
        <v>200</v>
      </c>
      <c r="F205" s="138">
        <f t="shared" si="650"/>
        <v>1.8187181513370135E-2</v>
      </c>
      <c r="G205" s="138">
        <f t="shared" si="651"/>
        <v>0.92261104270846173</v>
      </c>
      <c r="H205" s="129">
        <f t="shared" si="652"/>
        <v>0.95030261205260369</v>
      </c>
      <c r="I205" s="32"/>
      <c r="J205" s="32"/>
      <c r="K205" s="32"/>
      <c r="L205" s="32"/>
      <c r="M205" s="213"/>
      <c r="N205" s="32"/>
      <c r="O205" s="32"/>
      <c r="P205" s="213"/>
      <c r="Q205" s="32"/>
      <c r="R205" s="32"/>
      <c r="S205" s="32"/>
      <c r="T205" s="32"/>
      <c r="U205" s="32"/>
      <c r="V205" s="32"/>
      <c r="W205" s="32"/>
      <c r="X205" s="253"/>
      <c r="Y205" s="32"/>
      <c r="Z205" s="32"/>
      <c r="AA205" s="32"/>
    </row>
    <row r="206" spans="5:27" ht="30" customHeight="1" x14ac:dyDescent="0.3">
      <c r="E206" s="131" t="s">
        <v>42</v>
      </c>
      <c r="F206" s="138">
        <f t="shared" si="650"/>
        <v>4.2981373492985142E-3</v>
      </c>
      <c r="G206" s="138">
        <f t="shared" si="651"/>
        <v>1.3541538581843702</v>
      </c>
      <c r="H206" s="129">
        <f t="shared" si="652"/>
        <v>0.54084707327374881</v>
      </c>
      <c r="I206" s="32"/>
      <c r="J206" s="32"/>
      <c r="K206" s="32"/>
      <c r="L206" s="32"/>
      <c r="M206" s="213"/>
      <c r="N206" s="32"/>
      <c r="O206" s="32"/>
      <c r="P206" s="213"/>
      <c r="Q206" s="32"/>
      <c r="R206" s="32"/>
      <c r="S206" s="32"/>
      <c r="T206" s="32"/>
      <c r="U206" s="32"/>
      <c r="V206" s="32"/>
      <c r="W206" s="32"/>
      <c r="X206" s="158"/>
      <c r="Y206" s="32"/>
      <c r="Z206" s="32"/>
      <c r="AA206" s="32"/>
    </row>
    <row r="207" spans="5:27" ht="30" customHeight="1" x14ac:dyDescent="0.3">
      <c r="E207" s="131" t="s">
        <v>201</v>
      </c>
      <c r="F207" s="138">
        <f t="shared" si="650"/>
        <v>1.7694351880312049E-2</v>
      </c>
      <c r="G207" s="138">
        <f t="shared" si="651"/>
        <v>-9.6056817586484225E-2</v>
      </c>
      <c r="H207" s="129">
        <f t="shared" si="652"/>
        <v>0.32973409387108304</v>
      </c>
      <c r="I207" s="32"/>
      <c r="J207" s="32"/>
      <c r="K207" s="32"/>
      <c r="L207" s="32"/>
      <c r="M207" s="213"/>
      <c r="N207" s="32"/>
      <c r="O207" s="32"/>
      <c r="P207" s="213"/>
      <c r="Q207" s="32"/>
      <c r="R207" s="32"/>
      <c r="S207" s="32"/>
      <c r="T207" s="32"/>
      <c r="U207" s="32"/>
      <c r="V207" s="32"/>
      <c r="W207" s="32"/>
      <c r="X207" s="207"/>
      <c r="Y207" s="32"/>
      <c r="Z207" s="32"/>
      <c r="AA207" s="32"/>
    </row>
    <row r="208" spans="5:27" ht="30" customHeight="1" x14ac:dyDescent="0.3">
      <c r="E208" s="131" t="s">
        <v>196</v>
      </c>
      <c r="F208" s="138">
        <f t="shared" si="650"/>
        <v>2.8607255466742511E-2</v>
      </c>
      <c r="G208" s="138">
        <f t="shared" si="651"/>
        <v>0.70439905497986099</v>
      </c>
      <c r="H208" s="129">
        <f t="shared" si="652"/>
        <v>0.98127057541375962</v>
      </c>
      <c r="I208" s="32"/>
      <c r="J208" s="32"/>
      <c r="K208" s="32"/>
      <c r="L208" s="32"/>
      <c r="M208" s="213"/>
      <c r="N208" s="32"/>
      <c r="O208" s="32"/>
      <c r="P208" s="213"/>
      <c r="Q208" s="32"/>
      <c r="R208" s="32"/>
      <c r="S208" s="32"/>
      <c r="T208" s="32"/>
      <c r="U208" s="32"/>
      <c r="V208" s="32"/>
      <c r="W208" s="32"/>
      <c r="X208" s="158"/>
      <c r="Y208" s="32"/>
      <c r="Z208" s="32"/>
      <c r="AA208" s="32"/>
    </row>
    <row r="209" spans="5:27" ht="30" customHeight="1" x14ac:dyDescent="0.3">
      <c r="E209" s="131" t="s">
        <v>202</v>
      </c>
      <c r="F209" s="138">
        <f t="shared" si="650"/>
        <v>4.3235296073086543E-3</v>
      </c>
      <c r="G209" s="138">
        <f t="shared" si="651"/>
        <v>0.43890173071141991</v>
      </c>
      <c r="H209" s="129">
        <f t="shared" si="652"/>
        <v>0.94339834087544638</v>
      </c>
      <c r="I209" s="32"/>
      <c r="J209" s="32"/>
      <c r="K209" s="32"/>
      <c r="L209" s="32"/>
      <c r="M209" s="213"/>
      <c r="N209" s="32"/>
      <c r="O209" s="32"/>
      <c r="P209" s="213"/>
      <c r="Q209" s="32"/>
      <c r="R209" s="32"/>
      <c r="S209" s="32"/>
      <c r="T209" s="32"/>
      <c r="U209" s="32"/>
      <c r="V209" s="32"/>
      <c r="W209" s="32"/>
      <c r="X209" s="207"/>
      <c r="Y209" s="32"/>
      <c r="Z209" s="32"/>
      <c r="AA209" s="32"/>
    </row>
    <row r="210" spans="5:27" ht="30" customHeight="1" x14ac:dyDescent="0.3">
      <c r="E210" s="131" t="s">
        <v>203</v>
      </c>
      <c r="F210" s="138">
        <f t="shared" si="650"/>
        <v>-9.1173876069028086E-3</v>
      </c>
      <c r="G210" s="138">
        <f t="shared" si="651"/>
        <v>7.5700871219824037E-2</v>
      </c>
      <c r="H210" s="129">
        <f t="shared" si="652"/>
        <v>0.45451051733606773</v>
      </c>
      <c r="I210" s="32"/>
      <c r="J210" s="32"/>
      <c r="K210" s="32"/>
      <c r="L210" s="32"/>
      <c r="M210" s="213"/>
      <c r="N210" s="32"/>
      <c r="O210" s="32"/>
      <c r="P210" s="213"/>
      <c r="Q210" s="32"/>
      <c r="R210" s="32"/>
      <c r="S210" s="32"/>
      <c r="T210" s="32"/>
      <c r="U210" s="32"/>
      <c r="V210" s="32"/>
      <c r="W210" s="32"/>
      <c r="X210" s="158"/>
      <c r="Y210" s="32"/>
      <c r="Z210" s="32"/>
      <c r="AA210" s="32"/>
    </row>
    <row r="211" spans="5:27" ht="30" customHeight="1" x14ac:dyDescent="0.3">
      <c r="E211" s="131" t="s">
        <v>204</v>
      </c>
      <c r="F211" s="138">
        <f t="shared" si="650"/>
        <v>-5.4721182274275893E-5</v>
      </c>
      <c r="G211" s="138">
        <f t="shared" si="651"/>
        <v>1.5198955419366349E-3</v>
      </c>
      <c r="H211" s="129">
        <f t="shared" si="652"/>
        <v>0.88049920790283698</v>
      </c>
      <c r="I211" s="32"/>
      <c r="J211" s="32"/>
      <c r="K211" s="32"/>
      <c r="L211" s="32"/>
      <c r="M211" s="213"/>
      <c r="N211" s="32"/>
      <c r="O211" s="32"/>
      <c r="P211" s="213"/>
      <c r="Q211" s="32"/>
      <c r="R211" s="32"/>
      <c r="S211" s="32"/>
      <c r="T211" s="32"/>
      <c r="U211" s="32"/>
      <c r="V211" s="32"/>
      <c r="W211" s="32"/>
      <c r="X211" s="207"/>
      <c r="Y211" s="32"/>
      <c r="Z211" s="32"/>
      <c r="AA211" s="32"/>
    </row>
    <row r="212" spans="5:27" ht="30" customHeight="1" x14ac:dyDescent="0.3">
      <c r="E212" s="107" t="s">
        <v>215</v>
      </c>
      <c r="F212" s="138">
        <f t="shared" si="650"/>
        <v>0.35818868960672234</v>
      </c>
      <c r="G212" s="138">
        <f t="shared" si="651"/>
        <v>-2.7773586141992763</v>
      </c>
      <c r="H212" s="111">
        <f t="shared" si="652"/>
        <v>0.79719230851818279</v>
      </c>
      <c r="I212" s="32"/>
      <c r="J212" s="32"/>
      <c r="K212" s="32"/>
      <c r="L212" s="32"/>
      <c r="M212" s="213"/>
      <c r="N212" s="32"/>
      <c r="O212" s="32"/>
      <c r="P212" s="213"/>
      <c r="Q212" s="32"/>
      <c r="R212" s="32"/>
      <c r="S212" s="32"/>
      <c r="T212" s="32"/>
      <c r="U212" s="32"/>
      <c r="V212" s="32"/>
      <c r="W212" s="32"/>
      <c r="X212" s="158"/>
      <c r="Y212" s="32"/>
      <c r="Z212" s="32"/>
      <c r="AA212" s="32"/>
    </row>
    <row r="213" spans="5:27" ht="30" customHeight="1" x14ac:dyDescent="0.3">
      <c r="E213" s="98" t="s">
        <v>217</v>
      </c>
      <c r="F213" s="231">
        <f t="shared" si="650"/>
        <v>-2.0977391206157464E-2</v>
      </c>
      <c r="G213" s="231">
        <f t="shared" si="651"/>
        <v>-0.38617454540851975</v>
      </c>
      <c r="H213" s="233">
        <f t="shared" si="652"/>
        <v>0.99820976657798288</v>
      </c>
      <c r="I213" s="32"/>
      <c r="J213" s="32"/>
      <c r="K213" s="32"/>
      <c r="L213" s="32"/>
      <c r="M213" s="213"/>
      <c r="N213" s="32"/>
      <c r="O213" s="32"/>
      <c r="P213" s="213"/>
      <c r="Q213" s="32"/>
      <c r="R213" s="32"/>
      <c r="S213" s="32"/>
      <c r="T213" s="32"/>
      <c r="U213" s="32"/>
      <c r="V213" s="32"/>
      <c r="W213" s="32"/>
      <c r="X213" s="254"/>
      <c r="Y213" s="32"/>
      <c r="Z213" s="32"/>
      <c r="AA213" s="32"/>
    </row>
    <row r="214" spans="5:27" ht="30" customHeight="1" x14ac:dyDescent="0.3">
      <c r="E214" s="107" t="s">
        <v>205</v>
      </c>
      <c r="F214" s="138">
        <f t="shared" si="650"/>
        <v>2.6317851869276446E-3</v>
      </c>
      <c r="G214" s="138">
        <f t="shared" si="651"/>
        <v>-0.67565681877698225</v>
      </c>
      <c r="H214" s="111">
        <f t="shared" si="652"/>
        <v>0.99648046565786663</v>
      </c>
      <c r="I214" s="32"/>
      <c r="J214" s="32"/>
      <c r="K214" s="32"/>
      <c r="L214" s="32"/>
      <c r="M214" s="213"/>
      <c r="N214" s="32"/>
      <c r="O214" s="32"/>
      <c r="P214" s="213"/>
      <c r="Q214" s="32"/>
      <c r="R214" s="32"/>
      <c r="S214" s="32"/>
      <c r="T214" s="32"/>
      <c r="U214" s="32"/>
      <c r="V214" s="32"/>
      <c r="W214" s="32"/>
      <c r="X214" s="158"/>
      <c r="Y214" s="32"/>
      <c r="Z214" s="32"/>
      <c r="AA214" s="32"/>
    </row>
    <row r="215" spans="5:27" ht="30" customHeight="1" x14ac:dyDescent="0.3">
      <c r="E215" s="131" t="s">
        <v>206</v>
      </c>
      <c r="F215" s="138">
        <f t="shared" si="650"/>
        <v>1.7271569057649844E-3</v>
      </c>
      <c r="G215" s="138">
        <f t="shared" si="651"/>
        <v>-0.67179190784946019</v>
      </c>
      <c r="H215" s="111">
        <f t="shared" si="652"/>
        <v>0.99549130118067353</v>
      </c>
      <c r="M215" s="214"/>
      <c r="P215" s="214"/>
      <c r="X215" s="254"/>
    </row>
    <row r="216" spans="5:27" ht="30" customHeight="1" x14ac:dyDescent="0.3">
      <c r="E216" s="232" t="s">
        <v>94</v>
      </c>
      <c r="F216" s="138">
        <f t="shared" si="650"/>
        <v>1.7892690724308352E-3</v>
      </c>
      <c r="G216" s="138">
        <f t="shared" si="651"/>
        <v>-0.81993564214826631</v>
      </c>
      <c r="H216" s="111">
        <f t="shared" si="652"/>
        <v>0.97957909408526445</v>
      </c>
      <c r="X216" s="158"/>
    </row>
    <row r="217" spans="5:27" ht="30" customHeight="1" x14ac:dyDescent="0.3">
      <c r="E217" s="232" t="s">
        <v>207</v>
      </c>
      <c r="F217" s="138">
        <f t="shared" si="650"/>
        <v>-7.7036246815563592E-3</v>
      </c>
      <c r="G217" s="138">
        <f t="shared" si="651"/>
        <v>-0.5346649315467642</v>
      </c>
      <c r="H217" s="111">
        <f t="shared" si="652"/>
        <v>0.99586459334586697</v>
      </c>
      <c r="X217" s="254"/>
    </row>
    <row r="218" spans="5:27" ht="30" customHeight="1" x14ac:dyDescent="0.3">
      <c r="E218" s="232" t="s">
        <v>208</v>
      </c>
      <c r="F218" s="138">
        <f t="shared" si="650"/>
        <v>-4.1464051444339428E-3</v>
      </c>
      <c r="G218" s="138">
        <f t="shared" si="651"/>
        <v>-0.82857040851841324</v>
      </c>
      <c r="H218" s="111">
        <f t="shared" si="652"/>
        <v>0.99987397609055684</v>
      </c>
      <c r="X218" s="158"/>
    </row>
    <row r="219" spans="5:27" ht="30" customHeight="1" x14ac:dyDescent="0.3">
      <c r="E219" s="232" t="s">
        <v>209</v>
      </c>
      <c r="F219" s="138">
        <f t="shared" si="650"/>
        <v>-0.11401635940837629</v>
      </c>
      <c r="G219" s="138">
        <f t="shared" si="651"/>
        <v>0.42013457624139167</v>
      </c>
      <c r="H219" s="111">
        <f t="shared" si="652"/>
        <v>0.17649103857616827</v>
      </c>
      <c r="X219" s="207"/>
    </row>
    <row r="220" spans="5:27" ht="30" customHeight="1" x14ac:dyDescent="0.3">
      <c r="E220" s="232" t="s">
        <v>210</v>
      </c>
      <c r="F220" s="138">
        <f t="shared" si="650"/>
        <v>-4.6531305997843317E-3</v>
      </c>
      <c r="G220" s="138">
        <f t="shared" si="651"/>
        <v>-0.66799870165468234</v>
      </c>
      <c r="H220" s="111">
        <f t="shared" si="652"/>
        <v>0.99963373280231249</v>
      </c>
      <c r="X220" s="158"/>
    </row>
    <row r="221" spans="5:27" ht="30" customHeight="1" x14ac:dyDescent="0.3">
      <c r="E221" s="232" t="s">
        <v>211</v>
      </c>
      <c r="F221" s="138">
        <f t="shared" si="650"/>
        <v>-5.8503164299460536E-2</v>
      </c>
      <c r="G221" s="138">
        <f t="shared" si="651"/>
        <v>-0.13405926066229309</v>
      </c>
      <c r="H221" s="111">
        <f t="shared" si="652"/>
        <v>0.71943953517495418</v>
      </c>
      <c r="X221" s="207"/>
    </row>
    <row r="222" spans="5:27" ht="30" customHeight="1" x14ac:dyDescent="0.3">
      <c r="E222" s="232" t="s">
        <v>214</v>
      </c>
      <c r="F222" s="138">
        <f t="shared" si="650"/>
        <v>-8.7522817786447253E-4</v>
      </c>
      <c r="G222" s="138">
        <f t="shared" si="651"/>
        <v>2.0493500941935368E-3</v>
      </c>
      <c r="H222" s="111">
        <f t="shared" si="652"/>
        <v>0.62356959139071233</v>
      </c>
      <c r="X222" s="158"/>
    </row>
    <row r="223" spans="5:27" ht="30" customHeight="1" x14ac:dyDescent="0.3">
      <c r="E223" s="131" t="s">
        <v>212</v>
      </c>
      <c r="F223" s="138">
        <f t="shared" si="650"/>
        <v>-1.9953488142249935E-4</v>
      </c>
      <c r="G223" s="138">
        <f t="shared" si="651"/>
        <v>-2.3308618401841155E-3</v>
      </c>
      <c r="H223" s="111">
        <f t="shared" si="652"/>
        <v>0.17010195221413349</v>
      </c>
      <c r="X223" s="254"/>
    </row>
    <row r="224" spans="5:27" ht="30" customHeight="1" x14ac:dyDescent="0.3">
      <c r="E224" s="234" t="s">
        <v>213</v>
      </c>
      <c r="F224" s="235">
        <f t="shared" si="650"/>
        <v>-3.6611103726830817E-2</v>
      </c>
      <c r="G224" s="235">
        <f t="shared" si="651"/>
        <v>-0.20830577598291533</v>
      </c>
      <c r="H224" s="236">
        <f t="shared" si="652"/>
        <v>0.93566182057549119</v>
      </c>
      <c r="X224" s="158"/>
    </row>
    <row r="225" spans="5:24" ht="30" customHeight="1" x14ac:dyDescent="0.3">
      <c r="E225" s="234" t="s">
        <v>241</v>
      </c>
      <c r="F225" s="235">
        <f>INTERCEPT(F25:I25,$F$10:$I$10)</f>
        <v>-5.9362487263974412E-3</v>
      </c>
      <c r="G225" s="235">
        <f>SLOPE(F25:I25,$F$10:$I$10)</f>
        <v>-5.3398174049918007E-2</v>
      </c>
      <c r="H225" s="236">
        <f>RSQ(F25:I25,$F$10:$I$10)</f>
        <v>0.91301571623113875</v>
      </c>
      <c r="X225" s="158"/>
    </row>
    <row r="226" spans="5:24" ht="30" customHeight="1" thickBot="1" x14ac:dyDescent="0.35">
      <c r="E226" s="237" t="s">
        <v>176</v>
      </c>
      <c r="F226" s="192">
        <f>INTERCEPT(F13:I13,$F$10:$I$10)</f>
        <v>4.0333837880611262E-2</v>
      </c>
      <c r="G226" s="192">
        <f>SLOPE(F13:I13,$F$10:$I$10)</f>
        <v>0.22600223678566553</v>
      </c>
      <c r="H226" s="238">
        <f>RSQ(F13:I13,$F$10:$I$10)</f>
        <v>0.97905944460322636</v>
      </c>
      <c r="X226" s="254"/>
    </row>
    <row r="227" spans="5:24" ht="30" customHeight="1" x14ac:dyDescent="0.3">
      <c r="X227" s="158"/>
    </row>
    <row r="228" spans="5:24" ht="30" customHeight="1" x14ac:dyDescent="0.3">
      <c r="X228" s="254"/>
    </row>
    <row r="229" spans="5:24" ht="30" customHeight="1" x14ac:dyDescent="0.3">
      <c r="X229" s="158"/>
    </row>
    <row r="230" spans="5:24" hidden="1" x14ac:dyDescent="0.3">
      <c r="X230" s="207"/>
    </row>
    <row r="231" spans="5:24" hidden="1" x14ac:dyDescent="0.3">
      <c r="X231" s="158"/>
    </row>
    <row r="232" spans="5:24" hidden="1" x14ac:dyDescent="0.3">
      <c r="X232" s="207"/>
    </row>
    <row r="233" spans="5:24" hidden="1" x14ac:dyDescent="0.3">
      <c r="X233" s="158"/>
    </row>
    <row r="234" spans="5:24" hidden="1" x14ac:dyDescent="0.3">
      <c r="X234" s="207"/>
    </row>
    <row r="235" spans="5:24" hidden="1" x14ac:dyDescent="0.3">
      <c r="X235" s="158"/>
    </row>
    <row r="236" spans="5:24" hidden="1" x14ac:dyDescent="0.3">
      <c r="X236" s="207"/>
    </row>
    <row r="237" spans="5:24" hidden="1" x14ac:dyDescent="0.3">
      <c r="X237" s="158"/>
    </row>
    <row r="238" spans="5:24" hidden="1" x14ac:dyDescent="0.3">
      <c r="X238" s="207"/>
    </row>
    <row r="239" spans="5:24" hidden="1" x14ac:dyDescent="0.3">
      <c r="X239" s="158"/>
    </row>
    <row r="240" spans="5:24" hidden="1" x14ac:dyDescent="0.3">
      <c r="X240" s="207"/>
    </row>
    <row r="241" spans="24:24" hidden="1" x14ac:dyDescent="0.3">
      <c r="X241" s="158"/>
    </row>
    <row r="242" spans="24:24" hidden="1" x14ac:dyDescent="0.3">
      <c r="X242" s="207"/>
    </row>
    <row r="243" spans="24:24" hidden="1" x14ac:dyDescent="0.3">
      <c r="X243" s="158"/>
    </row>
    <row r="244" spans="24:24" hidden="1" x14ac:dyDescent="0.3">
      <c r="X244" s="158"/>
    </row>
    <row r="245" spans="24:24" hidden="1" x14ac:dyDescent="0.3">
      <c r="X245" s="158"/>
    </row>
    <row r="246" spans="24:24" hidden="1" x14ac:dyDescent="0.3">
      <c r="X246" s="158"/>
    </row>
    <row r="247" spans="24:24" hidden="1" x14ac:dyDescent="0.3">
      <c r="X247" s="255"/>
    </row>
    <row r="248" spans="24:24" hidden="1" x14ac:dyDescent="0.3">
      <c r="X248" s="255"/>
    </row>
    <row r="249" spans="24:24" hidden="1" x14ac:dyDescent="0.3">
      <c r="X249" s="256"/>
    </row>
    <row r="250" spans="24:24" hidden="1" x14ac:dyDescent="0.3">
      <c r="X250" s="158"/>
    </row>
  </sheetData>
  <mergeCells count="1">
    <mergeCell ref="K4:M5"/>
  </mergeCells>
  <conditionalFormatting sqref="F14:H15">
    <cfRule type="colorScale" priority="20">
      <colorScale>
        <cfvo type="min"/>
        <cfvo type="max"/>
        <color rgb="FFCEF6CE"/>
        <color rgb="FF59BF59"/>
      </colorScale>
    </cfRule>
  </conditionalFormatting>
  <conditionalFormatting sqref="W107:X107">
    <cfRule type="colorScale" priority="25">
      <colorScale>
        <cfvo type="min"/>
        <cfvo type="max"/>
        <color rgb="FFCEF6CE"/>
        <color rgb="FF59BF59"/>
      </colorScale>
    </cfRule>
  </conditionalFormatting>
  <conditionalFormatting sqref="X64">
    <cfRule type="colorScale" priority="13">
      <colorScale>
        <cfvo type="min"/>
        <cfvo type="max"/>
        <color rgb="FFCEF6CE"/>
        <color rgb="FF59BF59"/>
      </colorScale>
    </cfRule>
  </conditionalFormatting>
  <conditionalFormatting sqref="X102">
    <cfRule type="colorScale" priority="12">
      <colorScale>
        <cfvo type="min"/>
        <cfvo type="max"/>
        <color rgb="FFCEF6CE"/>
        <color rgb="FF59BF59"/>
      </colorScale>
    </cfRule>
  </conditionalFormatting>
  <conditionalFormatting sqref="X104">
    <cfRule type="colorScale" priority="11">
      <colorScale>
        <cfvo type="min"/>
        <cfvo type="max"/>
        <color rgb="FFCEF6CE"/>
        <color rgb="FF59BF59"/>
      </colorScale>
    </cfRule>
  </conditionalFormatting>
  <conditionalFormatting sqref="X205">
    <cfRule type="colorScale" priority="4">
      <colorScale>
        <cfvo type="min"/>
        <cfvo type="max"/>
        <color rgb="FFCEF6CE"/>
        <color rgb="FF59BF59"/>
      </colorScale>
    </cfRule>
  </conditionalFormatting>
  <conditionalFormatting sqref="X244">
    <cfRule type="colorScale" priority="3">
      <colorScale>
        <cfvo type="min"/>
        <cfvo type="max"/>
        <color rgb="FFCEF6CE"/>
        <color rgb="FF59BF59"/>
      </colorScale>
    </cfRule>
  </conditionalFormatting>
  <conditionalFormatting sqref="X246">
    <cfRule type="colorScale" priority="2">
      <colorScale>
        <cfvo type="min"/>
        <cfvo type="max"/>
        <color rgb="FFCEF6CE"/>
        <color rgb="FF59BF59"/>
      </colorScale>
    </cfRule>
  </conditionalFormatting>
  <conditionalFormatting sqref="X248">
    <cfRule type="colorScale" priority="6">
      <colorScale>
        <cfvo type="min"/>
        <cfvo type="max"/>
        <color rgb="FFCEF6CE"/>
        <color rgb="FF59BF59"/>
      </colorScale>
    </cfRule>
  </conditionalFormatting>
  <conditionalFormatting sqref="X249">
    <cfRule type="colorScale" priority="5">
      <colorScale>
        <cfvo type="min"/>
        <cfvo type="max"/>
        <color rgb="FFCEF6CE"/>
        <color rgb="FF59BF59"/>
      </colorScale>
    </cfRule>
  </conditionalFormatting>
  <conditionalFormatting sqref="F103:V103">
    <cfRule type="colorScale" priority="65">
      <colorScale>
        <cfvo type="min"/>
        <cfvo type="max"/>
        <color rgb="FFCEF6CE"/>
        <color rgb="FF59BF59"/>
      </colorScale>
    </cfRule>
  </conditionalFormatting>
  <conditionalFormatting sqref="F10:V10">
    <cfRule type="colorScale" priority="67">
      <colorScale>
        <cfvo type="min"/>
        <cfvo type="max"/>
        <color rgb="FFCEF6CE"/>
        <color rgb="FF59BF59"/>
      </colorScale>
    </cfRule>
  </conditionalFormatting>
  <conditionalFormatting sqref="F11:V11">
    <cfRule type="colorScale" priority="69">
      <colorScale>
        <cfvo type="min"/>
        <cfvo type="max"/>
        <color rgb="FFCEF6CE"/>
        <color rgb="FF59BF59"/>
      </colorScale>
    </cfRule>
  </conditionalFormatting>
  <conditionalFormatting sqref="F12:V12">
    <cfRule type="colorScale" priority="71">
      <colorScale>
        <cfvo type="min"/>
        <cfvo type="max"/>
        <color rgb="FFCEF6CE"/>
        <color rgb="FF59BF59"/>
      </colorScale>
    </cfRule>
  </conditionalFormatting>
  <conditionalFormatting sqref="F13:V13">
    <cfRule type="colorScale" priority="73">
      <colorScale>
        <cfvo type="min"/>
        <cfvo type="max"/>
        <color rgb="FFCEF6CE"/>
        <color rgb="FF59BF59"/>
      </colorScale>
    </cfRule>
  </conditionalFormatting>
  <conditionalFormatting sqref="F39:V39">
    <cfRule type="colorScale" priority="75">
      <colorScale>
        <cfvo type="min"/>
        <cfvo type="max"/>
        <color rgb="FFCEF6CE"/>
        <color rgb="FF59BF59"/>
      </colorScale>
    </cfRule>
  </conditionalFormatting>
  <conditionalFormatting sqref="F65:V65">
    <cfRule type="colorScale" priority="77">
      <colorScale>
        <cfvo type="min"/>
        <cfvo type="max"/>
        <color rgb="FFCEF6CE"/>
        <color rgb="FF59BF59"/>
      </colorScale>
    </cfRule>
  </conditionalFormatting>
  <conditionalFormatting sqref="F106:V106">
    <cfRule type="colorScale" priority="79">
      <colorScale>
        <cfvo type="min"/>
        <cfvo type="max"/>
        <color rgb="FFCEF6CE"/>
        <color rgb="FF59BF59"/>
      </colorScale>
    </cfRule>
  </conditionalFormatting>
  <conditionalFormatting sqref="F107:V107">
    <cfRule type="colorScale" priority="81">
      <colorScale>
        <cfvo type="min"/>
        <cfvo type="max"/>
        <color rgb="FFCEF6CE"/>
        <color rgb="FF59BF59"/>
      </colorScale>
    </cfRule>
  </conditionalFormatting>
  <conditionalFormatting sqref="F108:V108">
    <cfRule type="colorScale" priority="83">
      <colorScale>
        <cfvo type="min"/>
        <cfvo type="max"/>
        <color rgb="FFCEF6CE"/>
        <color rgb="FF59BF59"/>
      </colorScale>
    </cfRule>
  </conditionalFormatting>
  <conditionalFormatting sqref="F114:V114">
    <cfRule type="colorScale" priority="85">
      <colorScale>
        <cfvo type="min"/>
        <cfvo type="max"/>
        <color rgb="FFCEF6CE"/>
        <color rgb="FF59BF59"/>
      </colorScale>
    </cfRule>
  </conditionalFormatting>
  <conditionalFormatting sqref="F131:V131">
    <cfRule type="colorScale" priority="87">
      <colorScale>
        <cfvo type="min"/>
        <cfvo type="max"/>
        <color rgb="FFCEF6CE"/>
        <color rgb="FF59BF59"/>
      </colorScale>
    </cfRule>
  </conditionalFormatting>
  <conditionalFormatting sqref="F180:V180">
    <cfRule type="colorScale" priority="89">
      <colorScale>
        <cfvo type="min"/>
        <cfvo type="max"/>
        <color rgb="FFCEF6CE"/>
        <color rgb="FF59BF59"/>
      </colorScale>
    </cfRule>
  </conditionalFormatting>
  <conditionalFormatting sqref="F19:X19">
    <cfRule type="colorScale" priority="91">
      <colorScale>
        <cfvo type="min"/>
        <cfvo type="max"/>
        <color rgb="FFCEF6CE"/>
        <color rgb="FF59BF59"/>
      </colorScale>
    </cfRule>
  </conditionalFormatting>
  <conditionalFormatting sqref="F32:X32">
    <cfRule type="colorScale" priority="93">
      <colorScale>
        <cfvo type="min"/>
        <cfvo type="max"/>
        <color rgb="FFCEF6CE"/>
        <color rgb="FF59BF59"/>
      </colorScale>
    </cfRule>
  </conditionalFormatting>
  <hyperlinks>
    <hyperlink ref="A13" location="'Projeções - NIM'!A1" display="Projeções - NIM" xr:uid="{05A6CC0B-D7A2-40D1-ACFB-51AA9BE11160}"/>
    <hyperlink ref="A12" location="'Balanço Patrimonial - Contábil'!A1" display="Balanço Patrimonial" xr:uid="{390466B9-BBF5-4131-8261-28CCE6CF26C9}"/>
    <hyperlink ref="A11" location="'DRE - Cosif'!A1" display="DRE - Cosif" xr:uid="{BB42104A-EE69-4F3C-A3DA-9C341DF56B6A}"/>
    <hyperlink ref="A10" location="'DRE + DCF'!A1" display="DRE + DCF" xr:uid="{CEB454E2-0E58-42A8-B45E-05BEDE56D8B6}"/>
    <hyperlink ref="A9" location="Ke!A1" display="Ke" xr:uid="{775620BB-DC89-4B11-85D4-A61337DAC3B2}"/>
    <hyperlink ref="A8" location="Dashboard!A1" display="Dashboard" xr:uid="{2569C8D6-9956-4693-BDFD-928880B420F5}"/>
    <hyperlink ref="A15" location="'Painel de Índices'!A1" display="Painel de Índices" xr:uid="{8F114B97-EB52-4B07-AB8F-F656DA49808C}"/>
    <hyperlink ref="A14" location="'Projeções Trimestrais'!A1" display="Projeções Trimestrais" xr:uid="{E7EC81CE-9083-497F-8AE8-0B69F99A61C1}"/>
  </hyperlinks>
  <pageMargins left="0.511811024" right="0.511811024" top="0.78740157499999996" bottom="0.78740157499999996" header="0.31496062000000002" footer="0.31496062000000002"/>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E0AA-5921-46D0-B31A-1795608F8F04}">
  <dimension ref="A1:DH405"/>
  <sheetViews>
    <sheetView zoomScaleNormal="100" workbookViewId="0">
      <selection activeCell="A8" sqref="A8"/>
    </sheetView>
  </sheetViews>
  <sheetFormatPr defaultColWidth="0" defaultRowHeight="15" customHeight="1" zeroHeight="1" x14ac:dyDescent="0.3"/>
  <cols>
    <col min="1" max="1" width="35.6640625" style="1" customWidth="1"/>
    <col min="2" max="4" width="9.109375" style="419" customWidth="1"/>
    <col min="5" max="5" width="15.6640625" style="419" customWidth="1"/>
    <col min="6" max="6" width="20.6640625" style="419" customWidth="1"/>
    <col min="7" max="9" width="20.6640625" style="419" hidden="1" customWidth="1"/>
    <col min="10" max="10" width="20.6640625" style="419" customWidth="1"/>
    <col min="11" max="11" width="9.109375" style="419" customWidth="1"/>
    <col min="12" max="12" width="15.6640625" style="419" customWidth="1"/>
    <col min="13" max="16" width="15.6640625" style="419" hidden="1" customWidth="1"/>
    <col min="17" max="17" width="15.6640625" style="419" customWidth="1"/>
    <col min="18" max="19" width="9.109375" style="419" customWidth="1"/>
    <col min="20" max="21" width="13.5546875" style="419" bestFit="1" customWidth="1"/>
    <col min="22" max="23" width="13.5546875" style="419" hidden="1" customWidth="1"/>
    <col min="24" max="112" width="9.109375" style="419" hidden="1" customWidth="1"/>
    <col min="113" max="16384" width="9.109375" style="429" hidden="1"/>
  </cols>
  <sheetData>
    <row r="1" spans="1:17" s="419" customFormat="1" ht="15" customHeight="1" x14ac:dyDescent="0.3">
      <c r="A1" s="1"/>
    </row>
    <row r="2" spans="1:17" s="419" customFormat="1" ht="15" customHeight="1" x14ac:dyDescent="0.3">
      <c r="A2" s="1"/>
    </row>
    <row r="3" spans="1:17" s="419" customFormat="1" ht="15" customHeight="1" x14ac:dyDescent="0.3">
      <c r="A3" s="1"/>
    </row>
    <row r="4" spans="1:17" s="419" customFormat="1" ht="15" customHeight="1" x14ac:dyDescent="0.3">
      <c r="A4" s="1"/>
      <c r="H4" s="515" t="str">
        <f>Dashboard!J4</f>
        <v>Banco da Amazônia ($BAZA3)</v>
      </c>
      <c r="I4" s="515"/>
      <c r="J4" s="515"/>
      <c r="K4" s="515"/>
      <c r="L4" s="515"/>
      <c r="M4" s="515"/>
    </row>
    <row r="5" spans="1:17" s="419" customFormat="1" ht="15" customHeight="1" x14ac:dyDescent="0.3">
      <c r="A5" s="1"/>
      <c r="H5" s="516"/>
      <c r="I5" s="516"/>
      <c r="J5" s="516"/>
      <c r="K5" s="516"/>
      <c r="L5" s="516"/>
      <c r="M5" s="516"/>
    </row>
    <row r="6" spans="1:17" s="419" customFormat="1" ht="15" customHeight="1" x14ac:dyDescent="0.3">
      <c r="A6" s="1"/>
    </row>
    <row r="7" spans="1:17" s="419" customFormat="1" ht="30" customHeight="1" x14ac:dyDescent="0.3">
      <c r="A7" s="3" t="s">
        <v>0</v>
      </c>
    </row>
    <row r="8" spans="1:17" s="419" customFormat="1" ht="30" customHeight="1" x14ac:dyDescent="0.3">
      <c r="A8" s="4" t="s">
        <v>1</v>
      </c>
    </row>
    <row r="9" spans="1:17" s="419" customFormat="1" ht="30" customHeight="1" thickBot="1" x14ac:dyDescent="0.35">
      <c r="A9" s="4" t="s">
        <v>2</v>
      </c>
    </row>
    <row r="10" spans="1:17" s="419" customFormat="1" ht="30" customHeight="1" x14ac:dyDescent="0.3">
      <c r="A10" s="4" t="s">
        <v>4</v>
      </c>
      <c r="E10" s="420" t="s">
        <v>140</v>
      </c>
      <c r="F10" s="87" t="s">
        <v>414</v>
      </c>
      <c r="G10" s="87" t="s">
        <v>415</v>
      </c>
      <c r="H10" s="87" t="s">
        <v>416</v>
      </c>
      <c r="I10" s="87" t="s">
        <v>417</v>
      </c>
      <c r="J10" s="97" t="s">
        <v>418</v>
      </c>
      <c r="L10" s="420" t="s">
        <v>140</v>
      </c>
      <c r="M10" s="87" t="s">
        <v>414</v>
      </c>
      <c r="N10" s="87" t="s">
        <v>415</v>
      </c>
      <c r="O10" s="87" t="s">
        <v>416</v>
      </c>
      <c r="P10" s="87" t="s">
        <v>417</v>
      </c>
      <c r="Q10" s="97" t="s">
        <v>418</v>
      </c>
    </row>
    <row r="11" spans="1:17" s="419" customFormat="1" ht="30" customHeight="1" x14ac:dyDescent="0.3">
      <c r="A11" s="4" t="s">
        <v>413</v>
      </c>
      <c r="E11" s="399">
        <v>2017</v>
      </c>
      <c r="F11" s="421">
        <v>1892754</v>
      </c>
      <c r="G11" s="421">
        <v>1977392</v>
      </c>
      <c r="H11" s="421">
        <v>1964815</v>
      </c>
      <c r="I11" s="421">
        <v>1885309</v>
      </c>
      <c r="J11" s="422">
        <f>I11</f>
        <v>1885309</v>
      </c>
      <c r="L11" s="399">
        <v>2017</v>
      </c>
      <c r="M11" s="138"/>
      <c r="N11" s="138"/>
      <c r="O11" s="138"/>
      <c r="P11" s="138"/>
      <c r="Q11" s="111">
        <f>J11/F11</f>
        <v>0.99606657811844534</v>
      </c>
    </row>
    <row r="12" spans="1:17" s="419" customFormat="1" ht="30" customHeight="1" x14ac:dyDescent="0.3">
      <c r="A12" s="4" t="s">
        <v>8</v>
      </c>
      <c r="E12" s="399">
        <v>2018</v>
      </c>
      <c r="F12" s="421">
        <v>1804414</v>
      </c>
      <c r="G12" s="421">
        <v>1882486</v>
      </c>
      <c r="H12" s="421">
        <v>1906041</v>
      </c>
      <c r="I12" s="421">
        <v>1938608</v>
      </c>
      <c r="J12" s="422">
        <f t="shared" ref="J12:J13" si="0">I12</f>
        <v>1938608</v>
      </c>
      <c r="L12" s="399">
        <v>2018</v>
      </c>
      <c r="M12" s="138"/>
      <c r="N12" s="138"/>
      <c r="O12" s="138"/>
      <c r="P12" s="138"/>
      <c r="Q12" s="111">
        <f t="shared" ref="Q12:Q13" si="1">J12/F12</f>
        <v>1.0743698508213746</v>
      </c>
    </row>
    <row r="13" spans="1:17" s="419" customFormat="1" ht="30" customHeight="1" x14ac:dyDescent="0.3">
      <c r="A13" s="4" t="s">
        <v>10</v>
      </c>
      <c r="E13" s="399">
        <v>2019</v>
      </c>
      <c r="F13" s="421">
        <v>1987202</v>
      </c>
      <c r="G13" s="421">
        <v>2008888</v>
      </c>
      <c r="H13" s="421">
        <v>2041969</v>
      </c>
      <c r="I13" s="421">
        <v>2199206</v>
      </c>
      <c r="J13" s="422">
        <f t="shared" si="0"/>
        <v>2199206</v>
      </c>
      <c r="L13" s="399">
        <v>2019</v>
      </c>
      <c r="M13" s="138"/>
      <c r="N13" s="138"/>
      <c r="O13" s="138"/>
      <c r="P13" s="138"/>
      <c r="Q13" s="111">
        <f t="shared" si="1"/>
        <v>1.1066846752368404</v>
      </c>
    </row>
    <row r="14" spans="1:17" s="419" customFormat="1" ht="30" customHeight="1" x14ac:dyDescent="0.3">
      <c r="A14" s="5" t="s">
        <v>419</v>
      </c>
      <c r="E14" s="399">
        <v>2020</v>
      </c>
      <c r="F14" s="421">
        <v>2205755</v>
      </c>
      <c r="G14" s="421">
        <v>2316529</v>
      </c>
      <c r="H14" s="421">
        <v>2298285</v>
      </c>
      <c r="I14" s="421">
        <v>2416797</v>
      </c>
      <c r="J14" s="422">
        <f>I14</f>
        <v>2416797</v>
      </c>
      <c r="L14" s="399">
        <v>2020</v>
      </c>
      <c r="M14" s="138"/>
      <c r="N14" s="138"/>
      <c r="O14" s="138"/>
      <c r="P14" s="138"/>
      <c r="Q14" s="111">
        <f>J14/F14</f>
        <v>1.0956778971372614</v>
      </c>
    </row>
    <row r="15" spans="1:17" s="419" customFormat="1" ht="30" customHeight="1" x14ac:dyDescent="0.3">
      <c r="A15" s="4" t="s">
        <v>12</v>
      </c>
      <c r="E15" s="399">
        <v>2021</v>
      </c>
      <c r="F15" s="421">
        <v>2490175</v>
      </c>
      <c r="G15" s="421">
        <v>2723041</v>
      </c>
      <c r="H15" s="421">
        <v>2857608</v>
      </c>
      <c r="I15" s="421">
        <v>2944953</v>
      </c>
      <c r="J15" s="422">
        <f>I15</f>
        <v>2944953</v>
      </c>
      <c r="L15" s="399">
        <v>2021</v>
      </c>
      <c r="M15" s="138"/>
      <c r="N15" s="138"/>
      <c r="O15" s="138"/>
      <c r="P15" s="138"/>
      <c r="Q15" s="111">
        <f>J15/F15</f>
        <v>1.1826289317015872</v>
      </c>
    </row>
    <row r="16" spans="1:17" s="419" customFormat="1" ht="30" customHeight="1" x14ac:dyDescent="0.3">
      <c r="A16" s="1"/>
      <c r="E16" s="399">
        <v>2022</v>
      </c>
      <c r="F16" s="421">
        <v>3220183</v>
      </c>
      <c r="G16" s="421">
        <v>4470162</v>
      </c>
      <c r="H16" s="421">
        <v>4493984</v>
      </c>
      <c r="I16" s="421">
        <v>4841380</v>
      </c>
      <c r="J16" s="422">
        <f>I16</f>
        <v>4841380</v>
      </c>
      <c r="L16" s="399">
        <v>2022</v>
      </c>
      <c r="M16" s="138"/>
      <c r="N16" s="138"/>
      <c r="O16" s="138"/>
      <c r="P16" s="138"/>
      <c r="Q16" s="111">
        <f>J16/F16</f>
        <v>1.5034487170449631</v>
      </c>
    </row>
    <row r="17" spans="1:17" s="419" customFormat="1" ht="30" customHeight="1" x14ac:dyDescent="0.3">
      <c r="A17" s="20"/>
      <c r="E17" s="399">
        <v>2023</v>
      </c>
      <c r="F17" s="421">
        <v>5156516</v>
      </c>
      <c r="G17" s="421">
        <v>5462613.2561599994</v>
      </c>
      <c r="H17" s="421">
        <v>5811577</v>
      </c>
      <c r="I17" s="421">
        <v>5883325</v>
      </c>
      <c r="J17" s="422">
        <f>I17</f>
        <v>5883325</v>
      </c>
      <c r="L17" s="399">
        <v>2023</v>
      </c>
      <c r="M17" s="138"/>
      <c r="N17" s="138"/>
      <c r="O17" s="138"/>
      <c r="P17" s="138"/>
      <c r="Q17" s="111">
        <f>J17/F17</f>
        <v>1.1409496256774923</v>
      </c>
    </row>
    <row r="18" spans="1:17" s="419" customFormat="1" ht="30" customHeight="1" thickBot="1" x14ac:dyDescent="0.35">
      <c r="A18" s="20"/>
      <c r="E18" s="423">
        <v>2024</v>
      </c>
      <c r="F18" s="424">
        <v>5907205.7208600016</v>
      </c>
      <c r="G18" s="425"/>
      <c r="H18" s="425"/>
      <c r="I18" s="425"/>
      <c r="J18" s="426">
        <f>Q18*F18</f>
        <v>6494359.875277305</v>
      </c>
      <c r="L18" s="423" t="s">
        <v>420</v>
      </c>
      <c r="M18" s="267"/>
      <c r="N18" s="268"/>
      <c r="O18" s="268"/>
      <c r="P18" s="268"/>
      <c r="Q18" s="427">
        <f>AVERAGE(Q11:Q15,Q17)</f>
        <v>1.0993962597821669</v>
      </c>
    </row>
    <row r="19" spans="1:17" s="419" customFormat="1" ht="30" customHeight="1" x14ac:dyDescent="0.3">
      <c r="A19" s="20"/>
      <c r="M19" s="158"/>
      <c r="N19" s="158"/>
      <c r="O19" s="158"/>
      <c r="P19" s="158"/>
      <c r="Q19" s="158"/>
    </row>
    <row r="20" spans="1:17" s="419" customFormat="1" ht="30" customHeight="1" thickBot="1" x14ac:dyDescent="0.35">
      <c r="A20" s="1"/>
      <c r="M20" s="158"/>
      <c r="N20" s="158"/>
      <c r="O20" s="158"/>
      <c r="P20" s="158"/>
      <c r="Q20" s="158"/>
    </row>
    <row r="21" spans="1:17" s="419" customFormat="1" ht="30" customHeight="1" x14ac:dyDescent="0.3">
      <c r="A21" s="428"/>
      <c r="E21" s="420" t="s">
        <v>140</v>
      </c>
      <c r="F21" s="87" t="s">
        <v>414</v>
      </c>
      <c r="G21" s="87" t="s">
        <v>415</v>
      </c>
      <c r="H21" s="87" t="s">
        <v>416</v>
      </c>
      <c r="I21" s="87" t="s">
        <v>417</v>
      </c>
      <c r="J21" s="97" t="s">
        <v>418</v>
      </c>
      <c r="L21" s="420" t="s">
        <v>140</v>
      </c>
      <c r="M21" s="87" t="s">
        <v>414</v>
      </c>
      <c r="N21" s="87" t="s">
        <v>415</v>
      </c>
      <c r="O21" s="87" t="s">
        <v>416</v>
      </c>
      <c r="P21" s="87" t="s">
        <v>417</v>
      </c>
      <c r="Q21" s="97" t="s">
        <v>418</v>
      </c>
    </row>
    <row r="22" spans="1:17" s="419" customFormat="1" ht="30" customHeight="1" x14ac:dyDescent="0.3">
      <c r="A22" s="1"/>
      <c r="E22" s="399">
        <v>2020</v>
      </c>
      <c r="F22" s="421" t="s">
        <v>21</v>
      </c>
      <c r="G22" s="421">
        <v>18991042</v>
      </c>
      <c r="H22" s="421">
        <v>19291067</v>
      </c>
      <c r="I22" s="421">
        <v>19168331</v>
      </c>
      <c r="J22" s="422">
        <f t="shared" ref="J22:J25" si="2">I22</f>
        <v>19168331</v>
      </c>
      <c r="L22" s="399">
        <v>2020</v>
      </c>
      <c r="M22" s="138"/>
      <c r="N22" s="138"/>
      <c r="O22" s="138"/>
      <c r="P22" s="138"/>
      <c r="Q22" s="111" t="s">
        <v>21</v>
      </c>
    </row>
    <row r="23" spans="1:17" s="419" customFormat="1" ht="30" customHeight="1" x14ac:dyDescent="0.3">
      <c r="A23" s="1"/>
      <c r="E23" s="399">
        <v>2021</v>
      </c>
      <c r="F23" s="421">
        <v>20052326</v>
      </c>
      <c r="G23" s="421">
        <v>21330093</v>
      </c>
      <c r="H23" s="421">
        <v>22666491</v>
      </c>
      <c r="I23" s="421">
        <v>24531447</v>
      </c>
      <c r="J23" s="422">
        <f t="shared" si="2"/>
        <v>24531447</v>
      </c>
      <c r="L23" s="399">
        <v>2021</v>
      </c>
      <c r="M23" s="138"/>
      <c r="N23" s="138"/>
      <c r="O23" s="138"/>
      <c r="P23" s="138"/>
      <c r="Q23" s="111">
        <f t="shared" ref="Q23:Q25" si="3">J23/F23</f>
        <v>1.2233716427710182</v>
      </c>
    </row>
    <row r="24" spans="1:17" s="419" customFormat="1" ht="30" customHeight="1" x14ac:dyDescent="0.3">
      <c r="A24" s="1"/>
      <c r="E24" s="399">
        <v>2022</v>
      </c>
      <c r="F24" s="421">
        <v>28373248.47352</v>
      </c>
      <c r="G24" s="421">
        <v>31307358</v>
      </c>
      <c r="H24" s="421">
        <v>32684087</v>
      </c>
      <c r="I24" s="421">
        <v>33584145</v>
      </c>
      <c r="J24" s="422">
        <f t="shared" si="2"/>
        <v>33584145</v>
      </c>
      <c r="L24" s="399">
        <v>2022</v>
      </c>
      <c r="M24" s="138"/>
      <c r="N24" s="138"/>
      <c r="O24" s="138"/>
      <c r="P24" s="138"/>
      <c r="Q24" s="111">
        <f t="shared" si="3"/>
        <v>1.1836552670852332</v>
      </c>
    </row>
    <row r="25" spans="1:17" s="419" customFormat="1" ht="30" customHeight="1" x14ac:dyDescent="0.3">
      <c r="A25" s="1"/>
      <c r="E25" s="399">
        <v>2023</v>
      </c>
      <c r="F25" s="421">
        <v>37225911</v>
      </c>
      <c r="G25" s="421">
        <v>39840956.254780009</v>
      </c>
      <c r="H25" s="421">
        <v>41925582.492639996</v>
      </c>
      <c r="I25" s="421">
        <v>44413381</v>
      </c>
      <c r="J25" s="422">
        <f t="shared" si="2"/>
        <v>44413381</v>
      </c>
      <c r="L25" s="399">
        <v>2023</v>
      </c>
      <c r="M25" s="138"/>
      <c r="N25" s="138"/>
      <c r="O25" s="138"/>
      <c r="P25" s="138"/>
      <c r="Q25" s="111">
        <f t="shared" si="3"/>
        <v>1.1930770747289434</v>
      </c>
    </row>
    <row r="26" spans="1:17" s="419" customFormat="1" ht="30" customHeight="1" thickBot="1" x14ac:dyDescent="0.35">
      <c r="A26" s="1"/>
      <c r="E26" s="423">
        <v>2024</v>
      </c>
      <c r="F26" s="424">
        <v>47477178.301440001</v>
      </c>
      <c r="G26" s="425"/>
      <c r="H26" s="425"/>
      <c r="I26" s="425"/>
      <c r="J26" s="426">
        <f>Q26*F26</f>
        <v>56974259.593291961</v>
      </c>
      <c r="L26" s="423" t="s">
        <v>420</v>
      </c>
      <c r="M26" s="267"/>
      <c r="N26" s="268"/>
      <c r="O26" s="268"/>
      <c r="P26" s="268"/>
      <c r="Q26" s="427">
        <f>AVERAGE(Q23:Q25)</f>
        <v>1.2000346615283981</v>
      </c>
    </row>
    <row r="27" spans="1:17" s="419" customFormat="1" ht="30" customHeight="1" x14ac:dyDescent="0.3">
      <c r="A27" s="1"/>
      <c r="M27" s="158"/>
      <c r="N27" s="158"/>
      <c r="O27" s="158"/>
      <c r="P27" s="158"/>
      <c r="Q27" s="158"/>
    </row>
    <row r="28" spans="1:17" s="419" customFormat="1" ht="30" customHeight="1" thickBot="1" x14ac:dyDescent="0.35">
      <c r="A28" s="1"/>
      <c r="M28" s="158"/>
      <c r="N28" s="158"/>
      <c r="O28" s="158"/>
      <c r="P28" s="158"/>
      <c r="Q28" s="158"/>
    </row>
    <row r="29" spans="1:17" s="419" customFormat="1" ht="30" customHeight="1" x14ac:dyDescent="0.3">
      <c r="A29" s="1"/>
      <c r="E29" s="420" t="s">
        <v>140</v>
      </c>
      <c r="F29" s="87" t="s">
        <v>414</v>
      </c>
      <c r="G29" s="87" t="s">
        <v>415</v>
      </c>
      <c r="H29" s="87" t="s">
        <v>416</v>
      </c>
      <c r="I29" s="87" t="s">
        <v>417</v>
      </c>
      <c r="J29" s="97" t="s">
        <v>418</v>
      </c>
      <c r="L29" s="420" t="s">
        <v>140</v>
      </c>
      <c r="M29" s="87" t="s">
        <v>414</v>
      </c>
      <c r="N29" s="87" t="s">
        <v>415</v>
      </c>
      <c r="O29" s="87" t="s">
        <v>416</v>
      </c>
      <c r="P29" s="87" t="s">
        <v>417</v>
      </c>
      <c r="Q29" s="97" t="s">
        <v>418</v>
      </c>
    </row>
    <row r="30" spans="1:17" s="419" customFormat="1" ht="30" customHeight="1" x14ac:dyDescent="0.3">
      <c r="A30" s="1"/>
      <c r="E30" s="399">
        <v>2014</v>
      </c>
      <c r="F30" s="421">
        <v>12306.433007990081</v>
      </c>
      <c r="G30" s="421">
        <v>12636.522104698879</v>
      </c>
      <c r="H30" s="421">
        <v>12219.453301938302</v>
      </c>
      <c r="I30" s="421">
        <v>15071.07197452436</v>
      </c>
      <c r="J30" s="422">
        <f t="shared" ref="J30:J39" si="4">I30</f>
        <v>15071.07197452436</v>
      </c>
      <c r="L30" s="399">
        <v>2014</v>
      </c>
      <c r="M30" s="138"/>
      <c r="N30" s="138"/>
      <c r="O30" s="138"/>
      <c r="P30" s="138"/>
      <c r="Q30" s="111">
        <f t="shared" ref="Q30:Q39" si="5">J30/F30</f>
        <v>1.2246499017822068</v>
      </c>
    </row>
    <row r="31" spans="1:17" s="419" customFormat="1" ht="30" customHeight="1" x14ac:dyDescent="0.3">
      <c r="A31" s="1"/>
      <c r="E31" s="399">
        <v>2015</v>
      </c>
      <c r="F31" s="421">
        <v>15051.463300609999</v>
      </c>
      <c r="G31" s="421">
        <v>16123.556402016498</v>
      </c>
      <c r="H31" s="421">
        <v>16705.010807936997</v>
      </c>
      <c r="I31" s="421">
        <v>16380.251313216359</v>
      </c>
      <c r="J31" s="422">
        <f t="shared" si="4"/>
        <v>16380.251313216359</v>
      </c>
      <c r="L31" s="399">
        <v>2015</v>
      </c>
      <c r="M31" s="138"/>
      <c r="N31" s="138"/>
      <c r="O31" s="138"/>
      <c r="P31" s="138"/>
      <c r="Q31" s="111">
        <f t="shared" si="5"/>
        <v>1.0882829786092962</v>
      </c>
    </row>
    <row r="32" spans="1:17" s="419" customFormat="1" ht="30" customHeight="1" x14ac:dyDescent="0.3">
      <c r="A32" s="1"/>
      <c r="E32" s="399">
        <v>2016</v>
      </c>
      <c r="F32" s="421">
        <v>16084.80944144</v>
      </c>
      <c r="G32" s="421">
        <v>16124.179366350001</v>
      </c>
      <c r="H32" s="421">
        <v>15918.189724360001</v>
      </c>
      <c r="I32" s="421">
        <v>17351.029090290001</v>
      </c>
      <c r="J32" s="422">
        <f t="shared" si="4"/>
        <v>17351.029090290001</v>
      </c>
      <c r="L32" s="399">
        <v>2016</v>
      </c>
      <c r="M32" s="138"/>
      <c r="N32" s="138"/>
      <c r="O32" s="138"/>
      <c r="P32" s="138"/>
      <c r="Q32" s="111">
        <f t="shared" si="5"/>
        <v>1.0787214578736497</v>
      </c>
    </row>
    <row r="33" spans="1:17" s="419" customFormat="1" ht="30" customHeight="1" x14ac:dyDescent="0.3">
      <c r="A33" s="1"/>
      <c r="E33" s="399">
        <v>2017</v>
      </c>
      <c r="F33" s="421">
        <v>17494.088287450002</v>
      </c>
      <c r="G33" s="421">
        <v>17142.662851688528</v>
      </c>
      <c r="H33" s="421">
        <v>17069.30535431</v>
      </c>
      <c r="I33" s="421">
        <v>17040.408046704611</v>
      </c>
      <c r="J33" s="422">
        <f t="shared" si="4"/>
        <v>17040.408046704611</v>
      </c>
      <c r="L33" s="399">
        <v>2017</v>
      </c>
      <c r="M33" s="138"/>
      <c r="N33" s="138"/>
      <c r="O33" s="138"/>
      <c r="P33" s="138"/>
      <c r="Q33" s="111">
        <f t="shared" si="5"/>
        <v>0.97406665421536409</v>
      </c>
    </row>
    <row r="34" spans="1:17" s="419" customFormat="1" ht="30" customHeight="1" x14ac:dyDescent="0.3">
      <c r="A34" s="1"/>
      <c r="E34" s="399">
        <v>2018</v>
      </c>
      <c r="F34" s="421">
        <v>16942.559838145648</v>
      </c>
      <c r="G34" s="421">
        <v>17963.175688660001</v>
      </c>
      <c r="H34" s="421">
        <v>18201.906717770002</v>
      </c>
      <c r="I34" s="421">
        <v>18515.579358939998</v>
      </c>
      <c r="J34" s="422">
        <f t="shared" si="4"/>
        <v>18515.579358939998</v>
      </c>
      <c r="L34" s="399">
        <v>2018</v>
      </c>
      <c r="M34" s="138"/>
      <c r="N34" s="138"/>
      <c r="O34" s="138"/>
      <c r="P34" s="138"/>
      <c r="Q34" s="111">
        <f t="shared" si="5"/>
        <v>1.0928442653189128</v>
      </c>
    </row>
    <row r="35" spans="1:17" s="419" customFormat="1" ht="30" customHeight="1" x14ac:dyDescent="0.3">
      <c r="A35" s="1"/>
      <c r="E35" s="399">
        <v>2019</v>
      </c>
      <c r="F35" s="421">
        <v>19148.714760999999</v>
      </c>
      <c r="G35" s="421">
        <v>19629.872163</v>
      </c>
      <c r="H35" s="421">
        <v>19689.771712999998</v>
      </c>
      <c r="I35" s="421">
        <v>21465.779649</v>
      </c>
      <c r="J35" s="422">
        <f t="shared" si="4"/>
        <v>21465.779649</v>
      </c>
      <c r="L35" s="399">
        <v>2019</v>
      </c>
      <c r="M35" s="138"/>
      <c r="N35" s="138"/>
      <c r="O35" s="138"/>
      <c r="P35" s="138"/>
      <c r="Q35" s="111">
        <f t="shared" si="5"/>
        <v>1.1210036765871694</v>
      </c>
    </row>
    <row r="36" spans="1:17" s="419" customFormat="1" ht="30" customHeight="1" x14ac:dyDescent="0.3">
      <c r="A36" s="1"/>
      <c r="E36" s="399">
        <v>2020</v>
      </c>
      <c r="F36" s="421">
        <v>21684.621829</v>
      </c>
      <c r="G36" s="421">
        <v>23086.99092</v>
      </c>
      <c r="H36" s="421">
        <v>24043.911923</v>
      </c>
      <c r="I36" s="421">
        <v>25044.849166</v>
      </c>
      <c r="J36" s="422">
        <f t="shared" si="4"/>
        <v>25044.849166</v>
      </c>
      <c r="L36" s="399">
        <v>2020</v>
      </c>
      <c r="M36" s="138"/>
      <c r="N36" s="138"/>
      <c r="O36" s="138"/>
      <c r="P36" s="138"/>
      <c r="Q36" s="111">
        <f t="shared" si="5"/>
        <v>1.154959001060659</v>
      </c>
    </row>
    <row r="37" spans="1:17" s="419" customFormat="1" ht="30" customHeight="1" x14ac:dyDescent="0.3">
      <c r="A37" s="1"/>
      <c r="E37" s="399">
        <v>2021</v>
      </c>
      <c r="F37" s="421">
        <v>24960.018007999999</v>
      </c>
      <c r="G37" s="421">
        <v>26968.102783999999</v>
      </c>
      <c r="H37" s="421">
        <v>29277.118946999999</v>
      </c>
      <c r="I37" s="421">
        <v>29349.575044000001</v>
      </c>
      <c r="J37" s="422">
        <f t="shared" si="4"/>
        <v>29349.575044000001</v>
      </c>
      <c r="L37" s="399">
        <v>2021</v>
      </c>
      <c r="M37" s="138"/>
      <c r="N37" s="138"/>
      <c r="O37" s="138"/>
      <c r="P37" s="138"/>
      <c r="Q37" s="111">
        <f t="shared" si="5"/>
        <v>1.1758635364202499</v>
      </c>
    </row>
    <row r="38" spans="1:17" s="419" customFormat="1" ht="30" customHeight="1" x14ac:dyDescent="0.3">
      <c r="A38" s="1"/>
      <c r="E38" s="399">
        <v>2022</v>
      </c>
      <c r="F38" s="421">
        <v>31197.169057999999</v>
      </c>
      <c r="G38" s="421">
        <v>35386.78875</v>
      </c>
      <c r="H38" s="421">
        <v>36715.620023000003</v>
      </c>
      <c r="I38" s="421">
        <v>37294</v>
      </c>
      <c r="J38" s="422">
        <f t="shared" si="4"/>
        <v>37294</v>
      </c>
      <c r="L38" s="399">
        <v>2022</v>
      </c>
      <c r="M38" s="138"/>
      <c r="N38" s="138"/>
      <c r="O38" s="138"/>
      <c r="P38" s="138"/>
      <c r="Q38" s="111">
        <f t="shared" si="5"/>
        <v>1.1954289804522045</v>
      </c>
    </row>
    <row r="39" spans="1:17" s="419" customFormat="1" ht="30" customHeight="1" x14ac:dyDescent="0.3">
      <c r="A39" s="1"/>
      <c r="E39" s="399">
        <v>2023</v>
      </c>
      <c r="F39" s="421">
        <v>38716</v>
      </c>
      <c r="G39" s="421">
        <v>39908</v>
      </c>
      <c r="H39" s="421">
        <v>43626</v>
      </c>
      <c r="I39" s="421">
        <v>44365</v>
      </c>
      <c r="J39" s="422">
        <f t="shared" si="4"/>
        <v>44365</v>
      </c>
      <c r="L39" s="399">
        <v>2023</v>
      </c>
      <c r="M39" s="138"/>
      <c r="N39" s="138"/>
      <c r="O39" s="138"/>
      <c r="P39" s="138"/>
      <c r="Q39" s="111">
        <f t="shared" si="5"/>
        <v>1.1459086682508524</v>
      </c>
    </row>
    <row r="40" spans="1:17" s="419" customFormat="1" ht="30" customHeight="1" thickBot="1" x14ac:dyDescent="0.35">
      <c r="A40" s="1"/>
      <c r="E40" s="423">
        <v>2024</v>
      </c>
      <c r="F40" s="424">
        <v>45327.955999999998</v>
      </c>
      <c r="G40" s="425"/>
      <c r="H40" s="425"/>
      <c r="I40" s="425"/>
      <c r="J40" s="426">
        <f>Q40*F40</f>
        <v>51001.788250114121</v>
      </c>
      <c r="L40" s="423" t="s">
        <v>420</v>
      </c>
      <c r="M40" s="267"/>
      <c r="N40" s="268"/>
      <c r="O40" s="268"/>
      <c r="P40" s="268"/>
      <c r="Q40" s="427">
        <f>AVERAGE(Q30:Q39)</f>
        <v>1.1251729120570564</v>
      </c>
    </row>
    <row r="41" spans="1:17" s="419" customFormat="1" ht="30" customHeight="1" x14ac:dyDescent="0.3">
      <c r="A41" s="1"/>
      <c r="M41" s="158"/>
      <c r="N41" s="158"/>
      <c r="O41" s="158"/>
      <c r="P41" s="158"/>
      <c r="Q41" s="158"/>
    </row>
    <row r="42" spans="1:17" s="419" customFormat="1" ht="30" customHeight="1" thickBot="1" x14ac:dyDescent="0.35">
      <c r="A42" s="1"/>
      <c r="M42" s="158"/>
      <c r="N42" s="158"/>
      <c r="O42" s="158"/>
      <c r="P42" s="158"/>
      <c r="Q42" s="158"/>
    </row>
    <row r="43" spans="1:17" s="419" customFormat="1" ht="30" customHeight="1" x14ac:dyDescent="0.3">
      <c r="A43" s="1"/>
      <c r="E43" s="420" t="s">
        <v>140</v>
      </c>
      <c r="F43" s="87" t="s">
        <v>414</v>
      </c>
      <c r="G43" s="87" t="s">
        <v>415</v>
      </c>
      <c r="H43" s="87" t="s">
        <v>416</v>
      </c>
      <c r="I43" s="87" t="s">
        <v>417</v>
      </c>
      <c r="J43" s="97" t="s">
        <v>418</v>
      </c>
      <c r="L43" s="420" t="s">
        <v>140</v>
      </c>
      <c r="M43" s="87" t="s">
        <v>414</v>
      </c>
      <c r="N43" s="87" t="s">
        <v>415</v>
      </c>
      <c r="O43" s="87" t="s">
        <v>416</v>
      </c>
      <c r="P43" s="87" t="s">
        <v>417</v>
      </c>
      <c r="Q43" s="97" t="s">
        <v>418</v>
      </c>
    </row>
    <row r="44" spans="1:17" s="419" customFormat="1" ht="30" customHeight="1" x14ac:dyDescent="0.3">
      <c r="A44" s="1"/>
      <c r="E44" s="399">
        <v>2020</v>
      </c>
      <c r="F44" s="421" t="s">
        <v>21</v>
      </c>
      <c r="G44" s="421">
        <v>14502743</v>
      </c>
      <c r="H44" s="421">
        <v>14805554</v>
      </c>
      <c r="I44" s="421">
        <v>14472736</v>
      </c>
      <c r="J44" s="422">
        <f t="shared" ref="J44:J47" si="6">I44</f>
        <v>14472736</v>
      </c>
      <c r="L44" s="399">
        <v>2020</v>
      </c>
      <c r="M44" s="138"/>
      <c r="N44" s="138"/>
      <c r="O44" s="138"/>
      <c r="P44" s="138"/>
      <c r="Q44" s="111" t="s">
        <v>21</v>
      </c>
    </row>
    <row r="45" spans="1:17" s="419" customFormat="1" ht="30" customHeight="1" x14ac:dyDescent="0.3">
      <c r="A45" s="1"/>
      <c r="E45" s="399">
        <v>2021</v>
      </c>
      <c r="F45" s="421">
        <v>15304481</v>
      </c>
      <c r="G45" s="421">
        <v>16253240</v>
      </c>
      <c r="H45" s="421">
        <v>17395208</v>
      </c>
      <c r="I45" s="421">
        <v>19267380</v>
      </c>
      <c r="J45" s="422">
        <f t="shared" si="6"/>
        <v>19267380</v>
      </c>
      <c r="L45" s="399">
        <v>2021</v>
      </c>
      <c r="M45" s="138"/>
      <c r="N45" s="138"/>
      <c r="O45" s="138"/>
      <c r="P45" s="138"/>
      <c r="Q45" s="111">
        <f t="shared" ref="Q45:Q47" si="7">J45/F45</f>
        <v>1.2589371701007044</v>
      </c>
    </row>
    <row r="46" spans="1:17" s="419" customFormat="1" ht="30" customHeight="1" x14ac:dyDescent="0.3">
      <c r="A46" s="1"/>
      <c r="E46" s="399">
        <v>2022</v>
      </c>
      <c r="F46" s="421">
        <v>22872630.772210002</v>
      </c>
      <c r="G46" s="421">
        <v>24378704</v>
      </c>
      <c r="H46" s="421">
        <v>25131816</v>
      </c>
      <c r="I46" s="421">
        <v>25656343</v>
      </c>
      <c r="J46" s="422">
        <f t="shared" si="6"/>
        <v>25656343</v>
      </c>
      <c r="L46" s="399">
        <v>2022</v>
      </c>
      <c r="M46" s="138"/>
      <c r="N46" s="138"/>
      <c r="O46" s="138"/>
      <c r="P46" s="138"/>
      <c r="Q46" s="111">
        <f t="shared" si="7"/>
        <v>1.1217049431485677</v>
      </c>
    </row>
    <row r="47" spans="1:17" s="419" customFormat="1" ht="30" customHeight="1" x14ac:dyDescent="0.3">
      <c r="A47" s="1"/>
      <c r="E47" s="399">
        <v>2023</v>
      </c>
      <c r="F47" s="421">
        <v>29123102</v>
      </c>
      <c r="G47" s="421">
        <v>31170799.622899998</v>
      </c>
      <c r="H47" s="421">
        <v>32795788.432399999</v>
      </c>
      <c r="I47" s="421">
        <v>35490827</v>
      </c>
      <c r="J47" s="422">
        <f t="shared" si="6"/>
        <v>35490827</v>
      </c>
      <c r="L47" s="399">
        <v>2023</v>
      </c>
      <c r="M47" s="138"/>
      <c r="N47" s="138"/>
      <c r="O47" s="138"/>
      <c r="P47" s="138"/>
      <c r="Q47" s="111">
        <f t="shared" si="7"/>
        <v>1.218648583519709</v>
      </c>
    </row>
    <row r="48" spans="1:17" s="419" customFormat="1" ht="30" customHeight="1" thickBot="1" x14ac:dyDescent="0.35">
      <c r="A48" s="1"/>
      <c r="E48" s="423">
        <v>2024</v>
      </c>
      <c r="F48" s="424">
        <v>38512123.988619998</v>
      </c>
      <c r="G48" s="425"/>
      <c r="H48" s="425"/>
      <c r="I48" s="425"/>
      <c r="J48" s="426">
        <f>Q48*F48</f>
        <v>46205443.195017822</v>
      </c>
      <c r="L48" s="423" t="s">
        <v>420</v>
      </c>
      <c r="M48" s="267"/>
      <c r="N48" s="268"/>
      <c r="O48" s="268"/>
      <c r="P48" s="268"/>
      <c r="Q48" s="427">
        <f>AVERAGE(Q45:Q47)</f>
        <v>1.1997635655896604</v>
      </c>
    </row>
    <row r="49" spans="1:17" s="419" customFormat="1" ht="30" customHeight="1" x14ac:dyDescent="0.3">
      <c r="A49" s="1"/>
      <c r="M49" s="158"/>
      <c r="N49" s="158"/>
      <c r="O49" s="158"/>
      <c r="P49" s="158"/>
      <c r="Q49" s="158"/>
    </row>
    <row r="50" spans="1:17" s="419" customFormat="1" ht="30" customHeight="1" thickBot="1" x14ac:dyDescent="0.35">
      <c r="A50" s="1"/>
      <c r="M50" s="158"/>
      <c r="N50" s="158"/>
      <c r="O50" s="158"/>
      <c r="P50" s="158"/>
      <c r="Q50" s="158"/>
    </row>
    <row r="51" spans="1:17" s="419" customFormat="1" ht="30" customHeight="1" x14ac:dyDescent="0.3">
      <c r="A51" s="1"/>
      <c r="E51" s="420" t="s">
        <v>140</v>
      </c>
      <c r="F51" s="87" t="s">
        <v>414</v>
      </c>
      <c r="G51" s="87" t="s">
        <v>415</v>
      </c>
      <c r="H51" s="87" t="s">
        <v>416</v>
      </c>
      <c r="I51" s="87" t="s">
        <v>417</v>
      </c>
      <c r="J51" s="97" t="s">
        <v>418</v>
      </c>
      <c r="L51" s="420" t="s">
        <v>140</v>
      </c>
      <c r="M51" s="87" t="s">
        <v>414</v>
      </c>
      <c r="N51" s="87" t="s">
        <v>415</v>
      </c>
      <c r="O51" s="87" t="s">
        <v>416</v>
      </c>
      <c r="P51" s="87" t="s">
        <v>417</v>
      </c>
      <c r="Q51" s="97" t="s">
        <v>418</v>
      </c>
    </row>
    <row r="52" spans="1:17" s="419" customFormat="1" ht="30" customHeight="1" x14ac:dyDescent="0.3">
      <c r="A52" s="1"/>
      <c r="E52" s="399">
        <v>2020</v>
      </c>
      <c r="F52" s="430">
        <f>7.4+7.5</f>
        <v>14.9</v>
      </c>
      <c r="G52" s="430">
        <f>7.7+8.2</f>
        <v>15.899999999999999</v>
      </c>
      <c r="H52" s="430">
        <f>8.1+9</f>
        <v>17.100000000000001</v>
      </c>
      <c r="I52" s="430">
        <f>8.4+9.6</f>
        <v>18</v>
      </c>
      <c r="J52" s="422">
        <f t="shared" ref="J52:J55" si="8">I52</f>
        <v>18</v>
      </c>
      <c r="L52" s="399">
        <v>2020</v>
      </c>
      <c r="M52" s="138"/>
      <c r="N52" s="138"/>
      <c r="O52" s="138"/>
      <c r="P52" s="138"/>
      <c r="Q52" s="111">
        <f t="shared" ref="Q52:Q55" si="9">J52/F52</f>
        <v>1.2080536912751678</v>
      </c>
    </row>
    <row r="53" spans="1:17" s="419" customFormat="1" ht="30" customHeight="1" x14ac:dyDescent="0.3">
      <c r="A53" s="1"/>
      <c r="E53" s="399">
        <v>2021</v>
      </c>
      <c r="F53" s="430">
        <f>9+9.9</f>
        <v>18.899999999999999</v>
      </c>
      <c r="G53" s="430">
        <f>10+10.1</f>
        <v>20.100000000000001</v>
      </c>
      <c r="H53" s="430">
        <f>11.4+11.2</f>
        <v>22.6</v>
      </c>
      <c r="I53" s="430">
        <f>12.6+11.9</f>
        <v>24.5</v>
      </c>
      <c r="J53" s="422">
        <f t="shared" si="8"/>
        <v>24.5</v>
      </c>
      <c r="L53" s="399">
        <v>2021</v>
      </c>
      <c r="M53" s="138"/>
      <c r="N53" s="138"/>
      <c r="O53" s="138"/>
      <c r="P53" s="138"/>
      <c r="Q53" s="111">
        <f t="shared" si="9"/>
        <v>1.2962962962962965</v>
      </c>
    </row>
    <row r="54" spans="1:17" s="419" customFormat="1" ht="30" customHeight="1" x14ac:dyDescent="0.3">
      <c r="A54" s="1"/>
      <c r="E54" s="399">
        <v>2022</v>
      </c>
      <c r="F54" s="430">
        <f>13.7+12.2</f>
        <v>25.9</v>
      </c>
      <c r="G54" s="430">
        <f>14.7+12.8</f>
        <v>27.5</v>
      </c>
      <c r="H54" s="430">
        <f>16.8+14</f>
        <v>30.8</v>
      </c>
      <c r="I54" s="430">
        <f>17.2+15.4</f>
        <v>32.6</v>
      </c>
      <c r="J54" s="422">
        <f>I54</f>
        <v>32.6</v>
      </c>
      <c r="L54" s="399">
        <v>2022</v>
      </c>
      <c r="M54" s="138"/>
      <c r="N54" s="138"/>
      <c r="O54" s="138"/>
      <c r="P54" s="138"/>
      <c r="Q54" s="111">
        <f t="shared" si="9"/>
        <v>1.2586872586872588</v>
      </c>
    </row>
    <row r="55" spans="1:17" s="419" customFormat="1" ht="30" customHeight="1" x14ac:dyDescent="0.3">
      <c r="A55" s="1"/>
      <c r="E55" s="399">
        <v>2023</v>
      </c>
      <c r="F55" s="430">
        <v>33.1</v>
      </c>
      <c r="G55" s="430">
        <v>34</v>
      </c>
      <c r="H55" s="430" t="s">
        <v>421</v>
      </c>
      <c r="I55" s="430">
        <v>37.5</v>
      </c>
      <c r="J55" s="422">
        <f t="shared" si="8"/>
        <v>37.5</v>
      </c>
      <c r="L55" s="399">
        <v>2023</v>
      </c>
      <c r="M55" s="138"/>
      <c r="N55" s="138"/>
      <c r="O55" s="138"/>
      <c r="P55" s="138"/>
      <c r="Q55" s="111">
        <f t="shared" si="9"/>
        <v>1.1329305135951662</v>
      </c>
    </row>
    <row r="56" spans="1:17" s="419" customFormat="1" ht="30" customHeight="1" thickBot="1" x14ac:dyDescent="0.35">
      <c r="A56" s="1"/>
      <c r="E56" s="423">
        <v>2024</v>
      </c>
      <c r="F56" s="434">
        <v>38.4</v>
      </c>
      <c r="G56" s="425"/>
      <c r="H56" s="425"/>
      <c r="I56" s="425"/>
      <c r="J56" s="426">
        <f>Q56*F56</f>
        <v>47.001290494597335</v>
      </c>
      <c r="L56" s="423" t="s">
        <v>420</v>
      </c>
      <c r="M56" s="267"/>
      <c r="N56" s="268"/>
      <c r="O56" s="268"/>
      <c r="P56" s="268"/>
      <c r="Q56" s="427">
        <f>AVERAGE(Q52:Q55)</f>
        <v>1.2239919399634722</v>
      </c>
    </row>
    <row r="57" spans="1:17" s="419" customFormat="1" ht="30" customHeight="1" x14ac:dyDescent="0.3">
      <c r="A57" s="1"/>
      <c r="M57" s="158"/>
      <c r="N57" s="158"/>
      <c r="O57" s="158"/>
      <c r="P57" s="158"/>
      <c r="Q57" s="158"/>
    </row>
    <row r="58" spans="1:17" s="419" customFormat="1" ht="30" customHeight="1" thickBot="1" x14ac:dyDescent="0.35">
      <c r="A58" s="1"/>
      <c r="M58" s="158"/>
      <c r="N58" s="158"/>
      <c r="O58" s="158"/>
      <c r="P58" s="158"/>
      <c r="Q58" s="158"/>
    </row>
    <row r="59" spans="1:17" s="419" customFormat="1" ht="30" customHeight="1" x14ac:dyDescent="0.3">
      <c r="A59" s="1"/>
      <c r="E59" s="420" t="s">
        <v>140</v>
      </c>
      <c r="F59" s="87" t="s">
        <v>414</v>
      </c>
      <c r="G59" s="87" t="s">
        <v>415</v>
      </c>
      <c r="H59" s="87" t="s">
        <v>416</v>
      </c>
      <c r="I59" s="87" t="s">
        <v>417</v>
      </c>
      <c r="J59" s="97" t="s">
        <v>418</v>
      </c>
      <c r="L59" s="420" t="s">
        <v>140</v>
      </c>
      <c r="M59" s="87" t="s">
        <v>414</v>
      </c>
      <c r="N59" s="87" t="s">
        <v>415</v>
      </c>
      <c r="O59" s="87" t="s">
        <v>416</v>
      </c>
      <c r="P59" s="87" t="s">
        <v>417</v>
      </c>
      <c r="Q59" s="97" t="s">
        <v>418</v>
      </c>
    </row>
    <row r="60" spans="1:17" s="419" customFormat="1" ht="30" customHeight="1" x14ac:dyDescent="0.3">
      <c r="A60" s="1"/>
      <c r="E60" s="399">
        <v>2020</v>
      </c>
      <c r="F60" s="430">
        <v>22.6</v>
      </c>
      <c r="G60" s="430">
        <v>23.9</v>
      </c>
      <c r="H60" s="430">
        <v>25.2</v>
      </c>
      <c r="I60" s="430">
        <v>26.7</v>
      </c>
      <c r="J60" s="431">
        <f t="shared" ref="J60:J63" si="10">I60</f>
        <v>26.7</v>
      </c>
      <c r="L60" s="399">
        <v>2020</v>
      </c>
      <c r="M60" s="138"/>
      <c r="N60" s="138"/>
      <c r="O60" s="138"/>
      <c r="P60" s="138"/>
      <c r="Q60" s="111">
        <f>J60/F60</f>
        <v>1.1814159292035398</v>
      </c>
    </row>
    <row r="61" spans="1:17" s="419" customFormat="1" ht="30" customHeight="1" x14ac:dyDescent="0.3">
      <c r="A61" s="1"/>
      <c r="E61" s="399">
        <v>2021</v>
      </c>
      <c r="F61" s="430">
        <v>30.6</v>
      </c>
      <c r="G61" s="430">
        <v>31.5</v>
      </c>
      <c r="H61" s="430">
        <v>30.8</v>
      </c>
      <c r="I61" s="430">
        <v>33</v>
      </c>
      <c r="J61" s="431">
        <f t="shared" si="10"/>
        <v>33</v>
      </c>
      <c r="L61" s="399">
        <v>2021</v>
      </c>
      <c r="M61" s="138"/>
      <c r="N61" s="138"/>
      <c r="O61" s="138"/>
      <c r="P61" s="138"/>
      <c r="Q61" s="111">
        <f t="shared" ref="Q61:Q63" si="11">J61/F61</f>
        <v>1.0784313725490196</v>
      </c>
    </row>
    <row r="62" spans="1:17" s="419" customFormat="1" ht="30" customHeight="1" x14ac:dyDescent="0.3">
      <c r="A62" s="1"/>
      <c r="E62" s="399">
        <v>2022</v>
      </c>
      <c r="F62" s="430">
        <v>36.5</v>
      </c>
      <c r="G62" s="430">
        <v>38</v>
      </c>
      <c r="H62" s="430">
        <v>38.6</v>
      </c>
      <c r="I62" s="430">
        <v>39.5</v>
      </c>
      <c r="J62" s="431">
        <f>I62</f>
        <v>39.5</v>
      </c>
      <c r="L62" s="399">
        <v>2022</v>
      </c>
      <c r="M62" s="138"/>
      <c r="N62" s="138"/>
      <c r="O62" s="138"/>
      <c r="P62" s="138"/>
      <c r="Q62" s="111">
        <f t="shared" si="11"/>
        <v>1.0821917808219179</v>
      </c>
    </row>
    <row r="63" spans="1:17" s="419" customFormat="1" ht="30" customHeight="1" x14ac:dyDescent="0.3">
      <c r="A63" s="1"/>
      <c r="E63" s="399">
        <v>2023</v>
      </c>
      <c r="F63" s="430">
        <v>42.2</v>
      </c>
      <c r="G63" s="430">
        <v>41.9</v>
      </c>
      <c r="H63" s="430">
        <v>42.7</v>
      </c>
      <c r="I63" s="430">
        <v>42.8</v>
      </c>
      <c r="J63" s="431">
        <f t="shared" si="10"/>
        <v>42.8</v>
      </c>
      <c r="L63" s="399">
        <v>2023</v>
      </c>
      <c r="M63" s="138"/>
      <c r="N63" s="138"/>
      <c r="O63" s="138"/>
      <c r="P63" s="138"/>
      <c r="Q63" s="111">
        <f t="shared" si="11"/>
        <v>1.0142180094786728</v>
      </c>
    </row>
    <row r="64" spans="1:17" s="419" customFormat="1" ht="30" customHeight="1" thickBot="1" x14ac:dyDescent="0.35">
      <c r="A64" s="1"/>
      <c r="E64" s="423">
        <v>2024</v>
      </c>
      <c r="F64" s="434">
        <v>44.4</v>
      </c>
      <c r="G64" s="425"/>
      <c r="H64" s="425"/>
      <c r="I64" s="425"/>
      <c r="J64" s="432">
        <f>Q64*F64</f>
        <v>48.354453721789966</v>
      </c>
      <c r="L64" s="423" t="s">
        <v>420</v>
      </c>
      <c r="M64" s="267"/>
      <c r="N64" s="268"/>
      <c r="O64" s="268"/>
      <c r="P64" s="268"/>
      <c r="Q64" s="427">
        <f>AVERAGE(Q60:Q63)</f>
        <v>1.0890642730132876</v>
      </c>
    </row>
    <row r="65" spans="1:17" s="419" customFormat="1" ht="30" customHeight="1" x14ac:dyDescent="0.3">
      <c r="A65" s="1"/>
      <c r="M65" s="158"/>
      <c r="N65" s="158"/>
      <c r="O65" s="158"/>
      <c r="P65" s="158"/>
      <c r="Q65" s="158"/>
    </row>
    <row r="66" spans="1:17" s="419" customFormat="1" ht="30" customHeight="1" thickBot="1" x14ac:dyDescent="0.35">
      <c r="A66" s="1"/>
      <c r="M66" s="158"/>
      <c r="N66" s="158"/>
      <c r="O66" s="158"/>
      <c r="P66" s="158"/>
      <c r="Q66" s="158"/>
    </row>
    <row r="67" spans="1:17" s="419" customFormat="1" ht="30" customHeight="1" x14ac:dyDescent="0.3">
      <c r="A67" s="1"/>
      <c r="E67" s="420" t="s">
        <v>140</v>
      </c>
      <c r="F67" s="87" t="s">
        <v>414</v>
      </c>
      <c r="G67" s="87" t="s">
        <v>415</v>
      </c>
      <c r="H67" s="87" t="s">
        <v>416</v>
      </c>
      <c r="I67" s="87" t="s">
        <v>417</v>
      </c>
      <c r="J67" s="97" t="s">
        <v>418</v>
      </c>
      <c r="L67" s="420" t="s">
        <v>140</v>
      </c>
      <c r="M67" s="87" t="s">
        <v>414</v>
      </c>
      <c r="N67" s="87" t="s">
        <v>415</v>
      </c>
      <c r="O67" s="87" t="s">
        <v>416</v>
      </c>
      <c r="P67" s="87" t="s">
        <v>417</v>
      </c>
      <c r="Q67" s="97" t="s">
        <v>418</v>
      </c>
    </row>
    <row r="68" spans="1:17" s="419" customFormat="1" ht="30" customHeight="1" x14ac:dyDescent="0.3">
      <c r="A68" s="1"/>
      <c r="E68" s="399">
        <v>2020</v>
      </c>
      <c r="F68" s="430">
        <v>6.4</v>
      </c>
      <c r="G68" s="430">
        <v>7</v>
      </c>
      <c r="H68" s="430">
        <v>6.3</v>
      </c>
      <c r="I68" s="430">
        <v>6.1</v>
      </c>
      <c r="J68" s="431">
        <f t="shared" ref="J68:J71" si="12">I68</f>
        <v>6.1</v>
      </c>
      <c r="L68" s="399">
        <v>2020</v>
      </c>
      <c r="M68" s="138"/>
      <c r="N68" s="138"/>
      <c r="O68" s="138"/>
      <c r="P68" s="138"/>
      <c r="Q68" s="111">
        <f>J68/F68</f>
        <v>0.95312499999999989</v>
      </c>
    </row>
    <row r="69" spans="1:17" s="419" customFormat="1" ht="30" customHeight="1" x14ac:dyDescent="0.3">
      <c r="A69" s="1"/>
      <c r="E69" s="399">
        <v>2021</v>
      </c>
      <c r="F69" s="430">
        <v>6.8</v>
      </c>
      <c r="G69" s="430">
        <v>6.7</v>
      </c>
      <c r="H69" s="430">
        <v>6.7</v>
      </c>
      <c r="I69" s="430">
        <v>6.7</v>
      </c>
      <c r="J69" s="431">
        <f t="shared" si="12"/>
        <v>6.7</v>
      </c>
      <c r="L69" s="399">
        <v>2021</v>
      </c>
      <c r="M69" s="138"/>
      <c r="N69" s="138"/>
      <c r="O69" s="138"/>
      <c r="P69" s="138"/>
      <c r="Q69" s="111">
        <f t="shared" ref="Q69:Q71" si="13">J69/F69</f>
        <v>0.98529411764705888</v>
      </c>
    </row>
    <row r="70" spans="1:17" s="419" customFormat="1" ht="30" customHeight="1" x14ac:dyDescent="0.3">
      <c r="A70" s="1"/>
      <c r="E70" s="399">
        <v>2022</v>
      </c>
      <c r="F70" s="430">
        <v>7.3</v>
      </c>
      <c r="G70" s="430">
        <v>7.2</v>
      </c>
      <c r="H70" s="430">
        <v>7.2</v>
      </c>
      <c r="I70" s="430">
        <v>7.5</v>
      </c>
      <c r="J70" s="431">
        <f>I70</f>
        <v>7.5</v>
      </c>
      <c r="L70" s="399">
        <v>2022</v>
      </c>
      <c r="M70" s="138"/>
      <c r="N70" s="138"/>
      <c r="O70" s="138"/>
      <c r="P70" s="138"/>
      <c r="Q70" s="111">
        <f t="shared" si="13"/>
        <v>1.0273972602739727</v>
      </c>
    </row>
    <row r="71" spans="1:17" s="419" customFormat="1" ht="30" customHeight="1" x14ac:dyDescent="0.3">
      <c r="A71" s="1"/>
      <c r="E71" s="399">
        <v>2023</v>
      </c>
      <c r="F71" s="430">
        <v>7.8</v>
      </c>
      <c r="G71" s="430">
        <v>8</v>
      </c>
      <c r="H71" s="430">
        <v>8.4</v>
      </c>
      <c r="I71" s="430">
        <v>8.1</v>
      </c>
      <c r="J71" s="431">
        <f t="shared" si="12"/>
        <v>8.1</v>
      </c>
      <c r="L71" s="399">
        <v>2023</v>
      </c>
      <c r="M71" s="138"/>
      <c r="N71" s="138"/>
      <c r="O71" s="138"/>
      <c r="P71" s="138"/>
      <c r="Q71" s="111">
        <f t="shared" si="13"/>
        <v>1.0384615384615385</v>
      </c>
    </row>
    <row r="72" spans="1:17" s="419" customFormat="1" ht="30" customHeight="1" thickBot="1" x14ac:dyDescent="0.35">
      <c r="A72" s="1"/>
      <c r="E72" s="423">
        <v>2024</v>
      </c>
      <c r="F72" s="434">
        <v>7.1</v>
      </c>
      <c r="G72" s="425"/>
      <c r="H72" s="425"/>
      <c r="I72" s="425"/>
      <c r="J72" s="432">
        <f>Q72*F72</f>
        <v>7.1075933015790609</v>
      </c>
      <c r="L72" s="423" t="s">
        <v>420</v>
      </c>
      <c r="M72" s="267"/>
      <c r="N72" s="268"/>
      <c r="O72" s="268"/>
      <c r="P72" s="268"/>
      <c r="Q72" s="427">
        <f>AVERAGE(Q68:Q71)</f>
        <v>1.0010694790956425</v>
      </c>
    </row>
    <row r="73" spans="1:17" s="419" customFormat="1" ht="30" customHeight="1" x14ac:dyDescent="0.3">
      <c r="A73" s="1"/>
      <c r="M73" s="158"/>
      <c r="N73" s="158"/>
      <c r="O73" s="158"/>
      <c r="P73" s="158"/>
      <c r="Q73" s="158"/>
    </row>
    <row r="74" spans="1:17" s="419" customFormat="1" ht="30" customHeight="1" thickBot="1" x14ac:dyDescent="0.35">
      <c r="A74" s="1"/>
      <c r="M74" s="158"/>
      <c r="N74" s="158"/>
      <c r="O74" s="158"/>
      <c r="P74" s="158"/>
      <c r="Q74" s="158"/>
    </row>
    <row r="75" spans="1:17" s="419" customFormat="1" ht="30" customHeight="1" x14ac:dyDescent="0.3">
      <c r="A75" s="1"/>
      <c r="E75" s="420" t="s">
        <v>140</v>
      </c>
      <c r="F75" s="87" t="s">
        <v>414</v>
      </c>
      <c r="G75" s="87" t="s">
        <v>415</v>
      </c>
      <c r="H75" s="87" t="s">
        <v>416</v>
      </c>
      <c r="I75" s="87" t="s">
        <v>417</v>
      </c>
      <c r="J75" s="97" t="s">
        <v>418</v>
      </c>
      <c r="L75" s="420" t="s">
        <v>140</v>
      </c>
      <c r="M75" s="87" t="s">
        <v>414</v>
      </c>
      <c r="N75" s="87" t="s">
        <v>415</v>
      </c>
      <c r="O75" s="87" t="s">
        <v>416</v>
      </c>
      <c r="P75" s="87" t="s">
        <v>417</v>
      </c>
      <c r="Q75" s="97" t="s">
        <v>418</v>
      </c>
    </row>
    <row r="76" spans="1:17" s="419" customFormat="1" ht="30" customHeight="1" x14ac:dyDescent="0.3">
      <c r="A76" s="1"/>
      <c r="E76" s="399">
        <v>2017</v>
      </c>
      <c r="F76" s="430">
        <v>148969</v>
      </c>
      <c r="G76" s="430">
        <v>149080</v>
      </c>
      <c r="H76" s="430">
        <v>121212</v>
      </c>
      <c r="I76" s="430">
        <v>141231</v>
      </c>
      <c r="J76" s="431">
        <f>SUM(G76:I76)</f>
        <v>411523</v>
      </c>
      <c r="L76" s="399">
        <v>2017</v>
      </c>
      <c r="M76" s="138"/>
      <c r="N76" s="138"/>
      <c r="O76" s="138"/>
      <c r="P76" s="138"/>
      <c r="Q76" s="111">
        <f>J76/F76</f>
        <v>2.7624740717867478</v>
      </c>
    </row>
    <row r="77" spans="1:17" s="419" customFormat="1" ht="30" customHeight="1" x14ac:dyDescent="0.3">
      <c r="A77" s="1"/>
      <c r="E77" s="399">
        <v>2018</v>
      </c>
      <c r="F77" s="430">
        <v>160804</v>
      </c>
      <c r="G77" s="430">
        <v>158172</v>
      </c>
      <c r="H77" s="430">
        <v>124100</v>
      </c>
      <c r="I77" s="430">
        <v>151707</v>
      </c>
      <c r="J77" s="431">
        <f t="shared" ref="J77:J82" si="14">SUM(G77:I77)</f>
        <v>433979</v>
      </c>
      <c r="L77" s="399">
        <v>2018</v>
      </c>
      <c r="M77" s="138"/>
      <c r="N77" s="138"/>
      <c r="O77" s="138"/>
      <c r="P77" s="138"/>
      <c r="Q77" s="111">
        <f t="shared" ref="Q77:Q79" si="15">J77/F77</f>
        <v>2.6988072436009056</v>
      </c>
    </row>
    <row r="78" spans="1:17" s="419" customFormat="1" ht="30" customHeight="1" x14ac:dyDescent="0.3">
      <c r="A78" s="1"/>
      <c r="E78" s="399">
        <v>2019</v>
      </c>
      <c r="F78" s="430">
        <v>152165</v>
      </c>
      <c r="G78" s="430">
        <v>173331</v>
      </c>
      <c r="H78" s="430">
        <v>138369</v>
      </c>
      <c r="I78" s="430">
        <v>174550</v>
      </c>
      <c r="J78" s="431">
        <f t="shared" si="14"/>
        <v>486250</v>
      </c>
      <c r="L78" s="399">
        <v>2019</v>
      </c>
      <c r="M78" s="138"/>
      <c r="N78" s="138"/>
      <c r="O78" s="138"/>
      <c r="P78" s="138"/>
      <c r="Q78" s="111">
        <f t="shared" si="15"/>
        <v>3.1955443104524694</v>
      </c>
    </row>
    <row r="79" spans="1:17" s="419" customFormat="1" ht="30" customHeight="1" x14ac:dyDescent="0.3">
      <c r="A79" s="1"/>
      <c r="E79" s="399">
        <v>2020</v>
      </c>
      <c r="F79" s="430">
        <v>179583</v>
      </c>
      <c r="G79" s="430">
        <v>137524</v>
      </c>
      <c r="H79" s="430">
        <v>124036</v>
      </c>
      <c r="I79" s="430">
        <v>170802</v>
      </c>
      <c r="J79" s="431">
        <f t="shared" si="14"/>
        <v>432362</v>
      </c>
      <c r="L79" s="399">
        <v>2020</v>
      </c>
      <c r="M79" s="138"/>
      <c r="N79" s="138"/>
      <c r="O79" s="138"/>
      <c r="P79" s="138"/>
      <c r="Q79" s="111">
        <f t="shared" si="15"/>
        <v>2.4075886915799378</v>
      </c>
    </row>
    <row r="80" spans="1:17" s="419" customFormat="1" ht="30" customHeight="1" x14ac:dyDescent="0.3">
      <c r="A80" s="1"/>
      <c r="E80" s="399">
        <v>2021</v>
      </c>
      <c r="F80" s="430">
        <v>201510</v>
      </c>
      <c r="G80" s="430">
        <v>142284</v>
      </c>
      <c r="H80" s="430">
        <v>117504</v>
      </c>
      <c r="I80" s="430">
        <v>194987</v>
      </c>
      <c r="J80" s="431">
        <f t="shared" si="14"/>
        <v>454775</v>
      </c>
      <c r="L80" s="399">
        <v>2021</v>
      </c>
      <c r="M80" s="138"/>
      <c r="N80" s="138"/>
      <c r="O80" s="138"/>
      <c r="P80" s="138"/>
      <c r="Q80" s="111">
        <f t="shared" ref="Q80:Q82" si="16">J80/F80</f>
        <v>2.2568358890377649</v>
      </c>
    </row>
    <row r="81" spans="1:17" s="419" customFormat="1" ht="30" customHeight="1" x14ac:dyDescent="0.3">
      <c r="A81" s="1"/>
      <c r="E81" s="399">
        <v>2022</v>
      </c>
      <c r="F81" s="430">
        <v>178956</v>
      </c>
      <c r="G81" s="430">
        <v>182487</v>
      </c>
      <c r="H81" s="430">
        <v>193927</v>
      </c>
      <c r="I81" s="430">
        <v>201577</v>
      </c>
      <c r="J81" s="431">
        <f t="shared" si="14"/>
        <v>577991</v>
      </c>
      <c r="L81" s="399">
        <v>2022</v>
      </c>
      <c r="M81" s="138"/>
      <c r="N81" s="138"/>
      <c r="O81" s="138"/>
      <c r="P81" s="138"/>
      <c r="Q81" s="111">
        <f t="shared" si="16"/>
        <v>3.2297939158228837</v>
      </c>
    </row>
    <row r="82" spans="1:17" s="419" customFormat="1" ht="30" customHeight="1" x14ac:dyDescent="0.3">
      <c r="A82" s="1"/>
      <c r="E82" s="399">
        <v>2023</v>
      </c>
      <c r="F82" s="430">
        <v>157877</v>
      </c>
      <c r="G82" s="430">
        <v>85296</v>
      </c>
      <c r="H82" s="430">
        <v>137371</v>
      </c>
      <c r="I82" s="430">
        <v>99434.426220000023</v>
      </c>
      <c r="J82" s="431">
        <f t="shared" si="14"/>
        <v>322101.42622000002</v>
      </c>
      <c r="L82" s="399">
        <v>2023</v>
      </c>
      <c r="M82" s="138"/>
      <c r="N82" s="138"/>
      <c r="O82" s="138"/>
      <c r="P82" s="138"/>
      <c r="Q82" s="111">
        <f t="shared" si="16"/>
        <v>2.0402048824084575</v>
      </c>
    </row>
    <row r="83" spans="1:17" s="419" customFormat="1" ht="30" customHeight="1" thickBot="1" x14ac:dyDescent="0.35">
      <c r="A83" s="1"/>
      <c r="E83" s="423">
        <v>2024</v>
      </c>
      <c r="F83" s="433">
        <v>117224</v>
      </c>
      <c r="G83" s="425"/>
      <c r="H83" s="425"/>
      <c r="I83" s="425"/>
      <c r="J83" s="432">
        <f>Q83*F83</f>
        <v>311334.36761795467</v>
      </c>
      <c r="L83" s="423" t="s">
        <v>420</v>
      </c>
      <c r="M83" s="267"/>
      <c r="N83" s="268"/>
      <c r="O83" s="268"/>
      <c r="P83" s="268"/>
      <c r="Q83" s="427">
        <f>AVERAGE(Q76:Q82)</f>
        <v>2.6558927149555949</v>
      </c>
    </row>
    <row r="84" spans="1:17" s="419" customFormat="1" ht="30" customHeight="1" x14ac:dyDescent="0.3">
      <c r="A84" s="1"/>
      <c r="M84" s="158"/>
      <c r="N84" s="158"/>
      <c r="O84" s="158"/>
      <c r="P84" s="158"/>
      <c r="Q84" s="158"/>
    </row>
    <row r="85" spans="1:17" s="419" customFormat="1" ht="30" customHeight="1" thickBot="1" x14ac:dyDescent="0.35">
      <c r="A85" s="1"/>
      <c r="M85" s="158"/>
      <c r="N85" s="158"/>
      <c r="O85" s="158"/>
      <c r="P85" s="158"/>
      <c r="Q85" s="158"/>
    </row>
    <row r="86" spans="1:17" s="419" customFormat="1" ht="30" customHeight="1" x14ac:dyDescent="0.3">
      <c r="A86" s="1"/>
      <c r="E86" s="420" t="s">
        <v>140</v>
      </c>
      <c r="F86" s="87" t="s">
        <v>414</v>
      </c>
      <c r="G86" s="87" t="s">
        <v>415</v>
      </c>
      <c r="H86" s="87" t="s">
        <v>416</v>
      </c>
      <c r="I86" s="87" t="s">
        <v>417</v>
      </c>
      <c r="J86" s="97" t="s">
        <v>418</v>
      </c>
      <c r="L86" s="420" t="s">
        <v>140</v>
      </c>
      <c r="M86" s="87" t="s">
        <v>414</v>
      </c>
      <c r="N86" s="87" t="s">
        <v>415</v>
      </c>
      <c r="O86" s="87" t="s">
        <v>416</v>
      </c>
      <c r="P86" s="87" t="s">
        <v>417</v>
      </c>
      <c r="Q86" s="97" t="s">
        <v>418</v>
      </c>
    </row>
    <row r="87" spans="1:17" s="419" customFormat="1" ht="30" customHeight="1" x14ac:dyDescent="0.3">
      <c r="A87" s="1"/>
      <c r="E87" s="399">
        <v>2017</v>
      </c>
      <c r="F87" s="430">
        <v>296</v>
      </c>
      <c r="G87" s="430">
        <v>21</v>
      </c>
      <c r="H87" s="430">
        <v>47</v>
      </c>
      <c r="I87" s="430">
        <v>55</v>
      </c>
      <c r="J87" s="431">
        <f>SUM(G87:I87)</f>
        <v>123</v>
      </c>
      <c r="L87" s="399">
        <v>2017</v>
      </c>
      <c r="M87" s="138"/>
      <c r="N87" s="138"/>
      <c r="O87" s="138"/>
      <c r="P87" s="138"/>
      <c r="Q87" s="111">
        <f>J87/F87</f>
        <v>0.41554054054054052</v>
      </c>
    </row>
    <row r="88" spans="1:17" s="419" customFormat="1" ht="30" customHeight="1" x14ac:dyDescent="0.3">
      <c r="A88" s="1"/>
      <c r="E88" s="399">
        <v>2018</v>
      </c>
      <c r="F88" s="430">
        <v>378</v>
      </c>
      <c r="G88" s="430">
        <v>118</v>
      </c>
      <c r="H88" s="430">
        <v>73</v>
      </c>
      <c r="I88" s="430">
        <v>909</v>
      </c>
      <c r="J88" s="431">
        <f t="shared" ref="J88:J93" si="17">SUM(G88:I88)</f>
        <v>1100</v>
      </c>
      <c r="L88" s="399">
        <v>2018</v>
      </c>
      <c r="M88" s="138"/>
      <c r="N88" s="138"/>
      <c r="O88" s="138"/>
      <c r="P88" s="138"/>
      <c r="Q88" s="111">
        <f t="shared" ref="Q88:Q93" si="18">J88/F88</f>
        <v>2.9100529100529102</v>
      </c>
    </row>
    <row r="89" spans="1:17" s="419" customFormat="1" ht="30" customHeight="1" x14ac:dyDescent="0.3">
      <c r="A89" s="1"/>
      <c r="E89" s="399">
        <v>2019</v>
      </c>
      <c r="F89" s="430">
        <v>372</v>
      </c>
      <c r="G89" s="430">
        <v>0</v>
      </c>
      <c r="H89" s="430">
        <v>0</v>
      </c>
      <c r="I89" s="430">
        <v>0</v>
      </c>
      <c r="J89" s="431">
        <f t="shared" si="17"/>
        <v>0</v>
      </c>
      <c r="L89" s="399">
        <v>2019</v>
      </c>
      <c r="M89" s="138"/>
      <c r="N89" s="138"/>
      <c r="O89" s="138"/>
      <c r="P89" s="138"/>
      <c r="Q89" s="111">
        <f t="shared" si="18"/>
        <v>0</v>
      </c>
    </row>
    <row r="90" spans="1:17" s="419" customFormat="1" ht="30" customHeight="1" x14ac:dyDescent="0.3">
      <c r="A90" s="1"/>
      <c r="E90" s="399">
        <v>2020</v>
      </c>
      <c r="F90" s="430">
        <v>1292</v>
      </c>
      <c r="G90" s="430">
        <v>333</v>
      </c>
      <c r="H90" s="430">
        <v>0</v>
      </c>
      <c r="I90" s="430">
        <v>49</v>
      </c>
      <c r="J90" s="431">
        <f t="shared" si="17"/>
        <v>382</v>
      </c>
      <c r="L90" s="399">
        <v>2020</v>
      </c>
      <c r="M90" s="138"/>
      <c r="N90" s="138"/>
      <c r="O90" s="138"/>
      <c r="P90" s="138"/>
      <c r="Q90" s="111">
        <f t="shared" si="18"/>
        <v>0.29566563467492263</v>
      </c>
    </row>
    <row r="91" spans="1:17" s="419" customFormat="1" ht="30" customHeight="1" x14ac:dyDescent="0.3">
      <c r="A91" s="1"/>
      <c r="E91" s="399">
        <v>2021</v>
      </c>
      <c r="F91" s="430">
        <v>85</v>
      </c>
      <c r="G91" s="430">
        <v>32</v>
      </c>
      <c r="H91" s="430">
        <v>23</v>
      </c>
      <c r="I91" s="430">
        <v>0</v>
      </c>
      <c r="J91" s="431">
        <f t="shared" si="17"/>
        <v>55</v>
      </c>
      <c r="L91" s="399">
        <v>2021</v>
      </c>
      <c r="M91" s="138"/>
      <c r="N91" s="138"/>
      <c r="O91" s="138"/>
      <c r="P91" s="138"/>
      <c r="Q91" s="111">
        <f t="shared" si="18"/>
        <v>0.6470588235294118</v>
      </c>
    </row>
    <row r="92" spans="1:17" s="419" customFormat="1" ht="30" customHeight="1" x14ac:dyDescent="0.3">
      <c r="A92" s="1"/>
      <c r="E92" s="399">
        <v>2022</v>
      </c>
      <c r="F92" s="430">
        <v>51</v>
      </c>
      <c r="G92" s="430">
        <v>252</v>
      </c>
      <c r="H92" s="430">
        <v>254</v>
      </c>
      <c r="I92" s="430">
        <v>273</v>
      </c>
      <c r="J92" s="431">
        <f t="shared" si="17"/>
        <v>779</v>
      </c>
      <c r="L92" s="399">
        <v>2022</v>
      </c>
      <c r="M92" s="138"/>
      <c r="N92" s="138"/>
      <c r="O92" s="138"/>
      <c r="P92" s="138"/>
      <c r="Q92" s="111">
        <f t="shared" si="18"/>
        <v>15.274509803921569</v>
      </c>
    </row>
    <row r="93" spans="1:17" s="419" customFormat="1" ht="30" customHeight="1" x14ac:dyDescent="0.3">
      <c r="A93" s="1"/>
      <c r="E93" s="399">
        <v>2023</v>
      </c>
      <c r="F93" s="430">
        <v>312</v>
      </c>
      <c r="G93" s="430">
        <v>0</v>
      </c>
      <c r="H93" s="430">
        <v>97</v>
      </c>
      <c r="I93" s="430">
        <v>334.43452000000002</v>
      </c>
      <c r="J93" s="431">
        <f t="shared" si="17"/>
        <v>431.43452000000002</v>
      </c>
      <c r="L93" s="399">
        <v>2023</v>
      </c>
      <c r="M93" s="138"/>
      <c r="N93" s="138"/>
      <c r="O93" s="138"/>
      <c r="P93" s="138"/>
      <c r="Q93" s="111">
        <f t="shared" si="18"/>
        <v>1.3828029487179487</v>
      </c>
    </row>
    <row r="94" spans="1:17" ht="30" customHeight="1" thickBot="1" x14ac:dyDescent="0.35">
      <c r="E94" s="423">
        <v>2024</v>
      </c>
      <c r="F94" s="433">
        <v>4</v>
      </c>
      <c r="G94" s="425"/>
      <c r="H94" s="425"/>
      <c r="I94" s="425"/>
      <c r="J94" s="432">
        <f>Q94*F94</f>
        <v>11.95750323510703</v>
      </c>
      <c r="L94" s="423" t="s">
        <v>420</v>
      </c>
      <c r="M94" s="267"/>
      <c r="N94" s="268"/>
      <c r="O94" s="268"/>
      <c r="P94" s="268"/>
      <c r="Q94" s="427">
        <f>AVERAGE(Q87:Q93)</f>
        <v>2.9893758087767575</v>
      </c>
    </row>
    <row r="95" spans="1:17" ht="30" customHeight="1" x14ac:dyDescent="0.3">
      <c r="M95" s="158"/>
      <c r="N95" s="158"/>
      <c r="O95" s="158"/>
      <c r="P95" s="158"/>
      <c r="Q95" s="158"/>
    </row>
    <row r="96" spans="1:17" ht="30" customHeight="1" thickBot="1" x14ac:dyDescent="0.35">
      <c r="M96" s="158"/>
      <c r="N96" s="158"/>
      <c r="O96" s="158"/>
      <c r="P96" s="158"/>
      <c r="Q96" s="158"/>
    </row>
    <row r="97" spans="5:17" ht="30" customHeight="1" x14ac:dyDescent="0.3">
      <c r="E97" s="420" t="s">
        <v>140</v>
      </c>
      <c r="F97" s="87" t="s">
        <v>414</v>
      </c>
      <c r="G97" s="87" t="s">
        <v>415</v>
      </c>
      <c r="H97" s="87" t="s">
        <v>416</v>
      </c>
      <c r="I97" s="87" t="s">
        <v>417</v>
      </c>
      <c r="J97" s="97" t="s">
        <v>418</v>
      </c>
      <c r="L97" s="420" t="s">
        <v>140</v>
      </c>
      <c r="M97" s="87" t="s">
        <v>414</v>
      </c>
      <c r="N97" s="87" t="s">
        <v>415</v>
      </c>
      <c r="O97" s="87" t="s">
        <v>416</v>
      </c>
      <c r="P97" s="87" t="s">
        <v>417</v>
      </c>
      <c r="Q97" s="97" t="s">
        <v>418</v>
      </c>
    </row>
    <row r="98" spans="5:17" ht="30" customHeight="1" x14ac:dyDescent="0.3">
      <c r="E98" s="399">
        <v>2017</v>
      </c>
      <c r="F98" s="430">
        <v>1180</v>
      </c>
      <c r="G98" s="430">
        <v>393</v>
      </c>
      <c r="H98" s="430">
        <v>1129</v>
      </c>
      <c r="I98" s="430">
        <v>2102</v>
      </c>
      <c r="J98" s="431">
        <f>SUM(G98:I98)</f>
        <v>3624</v>
      </c>
      <c r="L98" s="399">
        <v>2017</v>
      </c>
      <c r="M98" s="138"/>
      <c r="N98" s="138"/>
      <c r="O98" s="138"/>
      <c r="P98" s="138"/>
      <c r="Q98" s="111">
        <f>J98/F98</f>
        <v>3.0711864406779661</v>
      </c>
    </row>
    <row r="99" spans="5:17" ht="30" customHeight="1" x14ac:dyDescent="0.3">
      <c r="E99" s="399">
        <v>2018</v>
      </c>
      <c r="F99" s="430">
        <v>2203</v>
      </c>
      <c r="G99" s="430">
        <v>2338</v>
      </c>
      <c r="H99" s="430">
        <v>2414</v>
      </c>
      <c r="I99" s="430">
        <v>2407</v>
      </c>
      <c r="J99" s="431">
        <f t="shared" ref="J99:J104" si="19">SUM(G99:I99)</f>
        <v>7159</v>
      </c>
      <c r="L99" s="399">
        <v>2018</v>
      </c>
      <c r="M99" s="138"/>
      <c r="N99" s="138"/>
      <c r="O99" s="138"/>
      <c r="P99" s="138"/>
      <c r="Q99" s="111">
        <f t="shared" ref="Q99:Q104" si="20">J99/F99</f>
        <v>3.2496595551520655</v>
      </c>
    </row>
    <row r="100" spans="5:17" ht="30" customHeight="1" x14ac:dyDescent="0.3">
      <c r="E100" s="399">
        <v>2019</v>
      </c>
      <c r="F100" s="430">
        <v>2441</v>
      </c>
      <c r="G100" s="430">
        <v>2572</v>
      </c>
      <c r="H100" s="430">
        <v>2724</v>
      </c>
      <c r="I100" s="430">
        <v>2814</v>
      </c>
      <c r="J100" s="431">
        <f t="shared" si="19"/>
        <v>8110</v>
      </c>
      <c r="L100" s="399">
        <v>2019</v>
      </c>
      <c r="M100" s="138"/>
      <c r="N100" s="138"/>
      <c r="O100" s="138"/>
      <c r="P100" s="138"/>
      <c r="Q100" s="111">
        <f t="shared" si="20"/>
        <v>3.3224088488324459</v>
      </c>
    </row>
    <row r="101" spans="5:17" ht="30" customHeight="1" x14ac:dyDescent="0.3">
      <c r="E101" s="399">
        <v>2020</v>
      </c>
      <c r="F101" s="430">
        <v>2897</v>
      </c>
      <c r="G101" s="430">
        <v>2947</v>
      </c>
      <c r="H101" s="430">
        <v>2986</v>
      </c>
      <c r="I101" s="430">
        <v>2998</v>
      </c>
      <c r="J101" s="431">
        <f t="shared" si="19"/>
        <v>8931</v>
      </c>
      <c r="L101" s="399">
        <v>2020</v>
      </c>
      <c r="M101" s="138"/>
      <c r="N101" s="138"/>
      <c r="O101" s="138"/>
      <c r="P101" s="138"/>
      <c r="Q101" s="111">
        <f t="shared" si="20"/>
        <v>3.0828443217121162</v>
      </c>
    </row>
    <row r="102" spans="5:17" ht="30" customHeight="1" x14ac:dyDescent="0.3">
      <c r="E102" s="399">
        <v>2021</v>
      </c>
      <c r="F102" s="430">
        <v>3018</v>
      </c>
      <c r="G102" s="430">
        <v>3067</v>
      </c>
      <c r="H102" s="430">
        <v>3324</v>
      </c>
      <c r="I102" s="430">
        <v>3420</v>
      </c>
      <c r="J102" s="431">
        <f t="shared" si="19"/>
        <v>9811</v>
      </c>
      <c r="L102" s="399">
        <v>2021</v>
      </c>
      <c r="M102" s="138"/>
      <c r="N102" s="138"/>
      <c r="O102" s="138"/>
      <c r="P102" s="138"/>
      <c r="Q102" s="111">
        <f t="shared" si="20"/>
        <v>3.2508283631544068</v>
      </c>
    </row>
    <row r="103" spans="5:17" ht="30" customHeight="1" x14ac:dyDescent="0.3">
      <c r="E103" s="399">
        <v>2022</v>
      </c>
      <c r="F103" s="430">
        <v>3530</v>
      </c>
      <c r="G103" s="430">
        <v>3625</v>
      </c>
      <c r="H103" s="430">
        <v>3787</v>
      </c>
      <c r="I103" s="430">
        <v>3777</v>
      </c>
      <c r="J103" s="431">
        <f t="shared" si="19"/>
        <v>11189</v>
      </c>
      <c r="L103" s="399">
        <v>2022</v>
      </c>
      <c r="M103" s="138"/>
      <c r="N103" s="138"/>
      <c r="O103" s="138"/>
      <c r="P103" s="138"/>
      <c r="Q103" s="111">
        <f t="shared" si="20"/>
        <v>3.1696883852691218</v>
      </c>
    </row>
    <row r="104" spans="5:17" ht="30" customHeight="1" x14ac:dyDescent="0.3">
      <c r="E104" s="399">
        <v>2023</v>
      </c>
      <c r="F104" s="430">
        <v>3822</v>
      </c>
      <c r="G104" s="430">
        <v>3955</v>
      </c>
      <c r="H104" s="430">
        <v>4218</v>
      </c>
      <c r="I104" s="430">
        <v>4329.3779600000016</v>
      </c>
      <c r="J104" s="431">
        <f t="shared" si="19"/>
        <v>12502.377960000002</v>
      </c>
      <c r="L104" s="399">
        <v>2023</v>
      </c>
      <c r="M104" s="138"/>
      <c r="N104" s="138"/>
      <c r="O104" s="138"/>
      <c r="P104" s="138"/>
      <c r="Q104" s="111">
        <f t="shared" si="20"/>
        <v>3.2711611616954479</v>
      </c>
    </row>
    <row r="105" spans="5:17" ht="30" customHeight="1" thickBot="1" x14ac:dyDescent="0.35">
      <c r="E105" s="423">
        <v>2024</v>
      </c>
      <c r="F105" s="433">
        <v>4451</v>
      </c>
      <c r="G105" s="425"/>
      <c r="H105" s="425"/>
      <c r="I105" s="425"/>
      <c r="J105" s="432">
        <f>Q105*F105</f>
        <v>14254.503681067556</v>
      </c>
      <c r="L105" s="423" t="s">
        <v>420</v>
      </c>
      <c r="M105" s="267"/>
      <c r="N105" s="268"/>
      <c r="O105" s="268"/>
      <c r="P105" s="268"/>
      <c r="Q105" s="427">
        <f>AVERAGE(Q98:Q104)</f>
        <v>3.2025395823562244</v>
      </c>
    </row>
    <row r="106" spans="5:17" ht="30" customHeight="1" x14ac:dyDescent="0.3">
      <c r="M106" s="158"/>
      <c r="N106" s="158"/>
      <c r="O106" s="158"/>
      <c r="P106" s="158"/>
      <c r="Q106" s="158"/>
    </row>
    <row r="107" spans="5:17" ht="30" customHeight="1" thickBot="1" x14ac:dyDescent="0.35">
      <c r="M107" s="158"/>
      <c r="N107" s="158"/>
      <c r="O107" s="158"/>
      <c r="P107" s="158"/>
      <c r="Q107" s="158"/>
    </row>
    <row r="108" spans="5:17" ht="30" customHeight="1" x14ac:dyDescent="0.3">
      <c r="E108" s="420" t="s">
        <v>140</v>
      </c>
      <c r="F108" s="87" t="s">
        <v>414</v>
      </c>
      <c r="G108" s="87" t="s">
        <v>415</v>
      </c>
      <c r="H108" s="87" t="s">
        <v>416</v>
      </c>
      <c r="I108" s="87" t="s">
        <v>417</v>
      </c>
      <c r="J108" s="97" t="s">
        <v>418</v>
      </c>
      <c r="L108" s="420" t="s">
        <v>140</v>
      </c>
      <c r="M108" s="87" t="s">
        <v>414</v>
      </c>
      <c r="N108" s="87" t="s">
        <v>415</v>
      </c>
      <c r="O108" s="87" t="s">
        <v>416</v>
      </c>
      <c r="P108" s="87" t="s">
        <v>417</v>
      </c>
      <c r="Q108" s="97" t="s">
        <v>418</v>
      </c>
    </row>
    <row r="109" spans="5:17" ht="30" customHeight="1" x14ac:dyDescent="0.3">
      <c r="E109" s="399">
        <v>2017</v>
      </c>
      <c r="F109" s="430">
        <v>415</v>
      </c>
      <c r="G109" s="430">
        <v>415</v>
      </c>
      <c r="H109" s="430">
        <v>325</v>
      </c>
      <c r="I109" s="430">
        <v>378</v>
      </c>
      <c r="J109" s="431">
        <f>SUM(G109:I109)</f>
        <v>1118</v>
      </c>
      <c r="L109" s="399">
        <v>2017</v>
      </c>
      <c r="M109" s="138"/>
      <c r="N109" s="138"/>
      <c r="O109" s="138"/>
      <c r="P109" s="138"/>
      <c r="Q109" s="111">
        <f>J109/F109</f>
        <v>2.6939759036144579</v>
      </c>
    </row>
    <row r="110" spans="5:17" ht="30" customHeight="1" x14ac:dyDescent="0.3">
      <c r="E110" s="399">
        <v>2018</v>
      </c>
      <c r="F110" s="430">
        <v>493</v>
      </c>
      <c r="G110" s="430">
        <v>445</v>
      </c>
      <c r="H110" s="430">
        <v>204</v>
      </c>
      <c r="I110" s="430">
        <v>682</v>
      </c>
      <c r="J110" s="431">
        <f t="shared" ref="J110:J115" si="21">SUM(G110:I110)</f>
        <v>1331</v>
      </c>
      <c r="L110" s="399">
        <v>2018</v>
      </c>
      <c r="M110" s="138"/>
      <c r="N110" s="138"/>
      <c r="O110" s="138"/>
      <c r="P110" s="138"/>
      <c r="Q110" s="111">
        <f t="shared" ref="Q110:Q115" si="22">J110/F110</f>
        <v>2.6997971602434077</v>
      </c>
    </row>
    <row r="111" spans="5:17" ht="30" customHeight="1" x14ac:dyDescent="0.3">
      <c r="E111" s="399">
        <v>2019</v>
      </c>
      <c r="F111" s="430">
        <v>280</v>
      </c>
      <c r="G111" s="430">
        <v>498</v>
      </c>
      <c r="H111" s="430">
        <v>388</v>
      </c>
      <c r="I111" s="430">
        <v>465</v>
      </c>
      <c r="J111" s="431">
        <f t="shared" si="21"/>
        <v>1351</v>
      </c>
      <c r="L111" s="399">
        <v>2019</v>
      </c>
      <c r="M111" s="138"/>
      <c r="N111" s="138"/>
      <c r="O111" s="138"/>
      <c r="P111" s="138"/>
      <c r="Q111" s="111">
        <f t="shared" si="22"/>
        <v>4.8250000000000002</v>
      </c>
    </row>
    <row r="112" spans="5:17" ht="30" customHeight="1" x14ac:dyDescent="0.3">
      <c r="E112" s="399">
        <v>2020</v>
      </c>
      <c r="F112" s="430">
        <v>260</v>
      </c>
      <c r="G112" s="430">
        <v>422</v>
      </c>
      <c r="H112" s="430">
        <v>274</v>
      </c>
      <c r="I112" s="430">
        <v>279</v>
      </c>
      <c r="J112" s="431">
        <f t="shared" si="21"/>
        <v>975</v>
      </c>
      <c r="L112" s="399">
        <v>2020</v>
      </c>
      <c r="M112" s="138"/>
      <c r="N112" s="138"/>
      <c r="O112" s="138"/>
      <c r="P112" s="138"/>
      <c r="Q112" s="111">
        <f t="shared" si="22"/>
        <v>3.75</v>
      </c>
    </row>
    <row r="113" spans="5:17" ht="30" customHeight="1" x14ac:dyDescent="0.3">
      <c r="E113" s="399">
        <v>2021</v>
      </c>
      <c r="F113" s="430">
        <v>203</v>
      </c>
      <c r="G113" s="430">
        <v>295</v>
      </c>
      <c r="H113" s="430">
        <v>227</v>
      </c>
      <c r="I113" s="430">
        <v>229</v>
      </c>
      <c r="J113" s="431">
        <f t="shared" si="21"/>
        <v>751</v>
      </c>
      <c r="L113" s="399">
        <v>2021</v>
      </c>
      <c r="M113" s="138"/>
      <c r="N113" s="138"/>
      <c r="O113" s="138"/>
      <c r="P113" s="138"/>
      <c r="Q113" s="111">
        <f t="shared" si="22"/>
        <v>3.6995073891625614</v>
      </c>
    </row>
    <row r="114" spans="5:17" ht="30" customHeight="1" x14ac:dyDescent="0.3">
      <c r="E114" s="399">
        <v>2022</v>
      </c>
      <c r="F114" s="430">
        <v>198</v>
      </c>
      <c r="G114" s="430">
        <v>146</v>
      </c>
      <c r="H114" s="430">
        <v>193</v>
      </c>
      <c r="I114" s="430">
        <v>192</v>
      </c>
      <c r="J114" s="431">
        <f t="shared" si="21"/>
        <v>531</v>
      </c>
      <c r="L114" s="399">
        <v>2022</v>
      </c>
      <c r="M114" s="138"/>
      <c r="N114" s="138"/>
      <c r="O114" s="138"/>
      <c r="P114" s="138"/>
      <c r="Q114" s="111">
        <f t="shared" si="22"/>
        <v>2.6818181818181817</v>
      </c>
    </row>
    <row r="115" spans="5:17" ht="30" customHeight="1" x14ac:dyDescent="0.3">
      <c r="E115" s="399">
        <v>2023</v>
      </c>
      <c r="F115" s="430">
        <v>115</v>
      </c>
      <c r="G115" s="430">
        <v>154</v>
      </c>
      <c r="H115" s="430">
        <v>124</v>
      </c>
      <c r="I115" s="430">
        <v>97.103699999999947</v>
      </c>
      <c r="J115" s="431">
        <f t="shared" si="21"/>
        <v>375.10369999999995</v>
      </c>
      <c r="L115" s="399">
        <v>2023</v>
      </c>
      <c r="M115" s="138"/>
      <c r="N115" s="138"/>
      <c r="O115" s="138"/>
      <c r="P115" s="138"/>
      <c r="Q115" s="111">
        <f t="shared" si="22"/>
        <v>3.2617713043478256</v>
      </c>
    </row>
    <row r="116" spans="5:17" ht="30" customHeight="1" thickBot="1" x14ac:dyDescent="0.35">
      <c r="E116" s="423">
        <v>2024</v>
      </c>
      <c r="F116" s="433">
        <v>95</v>
      </c>
      <c r="G116" s="425"/>
      <c r="H116" s="425"/>
      <c r="I116" s="425"/>
      <c r="J116" s="432">
        <f>Q116*F116</f>
        <v>320.44680631753016</v>
      </c>
      <c r="L116" s="423" t="s">
        <v>420</v>
      </c>
      <c r="M116" s="267"/>
      <c r="N116" s="268"/>
      <c r="O116" s="268"/>
      <c r="P116" s="268"/>
      <c r="Q116" s="427">
        <f>AVERAGE(Q109:Q115)</f>
        <v>3.3731242770266334</v>
      </c>
    </row>
    <row r="117" spans="5:17" ht="30" customHeight="1" x14ac:dyDescent="0.3">
      <c r="M117" s="158"/>
      <c r="N117" s="158"/>
      <c r="O117" s="158"/>
      <c r="P117" s="158"/>
      <c r="Q117" s="158"/>
    </row>
    <row r="118" spans="5:17" ht="30" customHeight="1" thickBot="1" x14ac:dyDescent="0.35">
      <c r="M118" s="158"/>
      <c r="N118" s="158"/>
      <c r="O118" s="158"/>
      <c r="P118" s="158"/>
      <c r="Q118" s="158"/>
    </row>
    <row r="119" spans="5:17" ht="30" customHeight="1" x14ac:dyDescent="0.3">
      <c r="E119" s="420" t="s">
        <v>140</v>
      </c>
      <c r="F119" s="87" t="s">
        <v>414</v>
      </c>
      <c r="G119" s="87" t="s">
        <v>415</v>
      </c>
      <c r="H119" s="87" t="s">
        <v>416</v>
      </c>
      <c r="I119" s="87" t="s">
        <v>417</v>
      </c>
      <c r="J119" s="97" t="s">
        <v>418</v>
      </c>
      <c r="L119" s="420" t="s">
        <v>140</v>
      </c>
      <c r="M119" s="87" t="s">
        <v>414</v>
      </c>
      <c r="N119" s="87" t="s">
        <v>415</v>
      </c>
      <c r="O119" s="87" t="s">
        <v>416</v>
      </c>
      <c r="P119" s="87" t="s">
        <v>417</v>
      </c>
      <c r="Q119" s="97" t="s">
        <v>418</v>
      </c>
    </row>
    <row r="120" spans="5:17" ht="30" customHeight="1" x14ac:dyDescent="0.3">
      <c r="E120" s="399">
        <v>2017</v>
      </c>
      <c r="F120" s="430">
        <v>7308</v>
      </c>
      <c r="G120" s="430">
        <v>5962</v>
      </c>
      <c r="H120" s="430">
        <v>6249</v>
      </c>
      <c r="I120" s="430">
        <v>7255</v>
      </c>
      <c r="J120" s="431">
        <f>SUM(G120:I120)</f>
        <v>19466</v>
      </c>
      <c r="L120" s="399">
        <v>2017</v>
      </c>
      <c r="M120" s="138"/>
      <c r="N120" s="138"/>
      <c r="O120" s="138"/>
      <c r="P120" s="138"/>
      <c r="Q120" s="111">
        <f>J120/F120</f>
        <v>2.663656267104543</v>
      </c>
    </row>
    <row r="121" spans="5:17" ht="30" customHeight="1" x14ac:dyDescent="0.3">
      <c r="E121" s="399">
        <v>2018</v>
      </c>
      <c r="F121" s="430">
        <v>7718</v>
      </c>
      <c r="G121" s="430">
        <v>6506</v>
      </c>
      <c r="H121" s="430">
        <v>7494</v>
      </c>
      <c r="I121" s="430">
        <v>8350</v>
      </c>
      <c r="J121" s="431">
        <f t="shared" ref="J121:J126" si="23">SUM(G121:I121)</f>
        <v>22350</v>
      </c>
      <c r="L121" s="399">
        <v>2018</v>
      </c>
      <c r="M121" s="138"/>
      <c r="N121" s="138"/>
      <c r="O121" s="138"/>
      <c r="P121" s="138"/>
      <c r="Q121" s="111">
        <f t="shared" ref="Q121:Q126" si="24">J121/F121</f>
        <v>2.8958279346981084</v>
      </c>
    </row>
    <row r="122" spans="5:17" ht="30" customHeight="1" x14ac:dyDescent="0.3">
      <c r="E122" s="399">
        <v>2019</v>
      </c>
      <c r="F122" s="430">
        <v>6849</v>
      </c>
      <c r="G122" s="430">
        <v>7316</v>
      </c>
      <c r="H122" s="430">
        <v>4580</v>
      </c>
      <c r="I122" s="430">
        <v>9366</v>
      </c>
      <c r="J122" s="431">
        <f t="shared" si="23"/>
        <v>21262</v>
      </c>
      <c r="L122" s="399">
        <v>2019</v>
      </c>
      <c r="M122" s="138"/>
      <c r="N122" s="138"/>
      <c r="O122" s="138"/>
      <c r="P122" s="138"/>
      <c r="Q122" s="111">
        <f t="shared" si="24"/>
        <v>3.1043948021608996</v>
      </c>
    </row>
    <row r="123" spans="5:17" ht="30" customHeight="1" x14ac:dyDescent="0.3">
      <c r="E123" s="399">
        <v>2020</v>
      </c>
      <c r="F123" s="430">
        <v>6182</v>
      </c>
      <c r="G123" s="430">
        <v>5054</v>
      </c>
      <c r="H123" s="430">
        <v>4863</v>
      </c>
      <c r="I123" s="430">
        <v>7179</v>
      </c>
      <c r="J123" s="431">
        <f t="shared" si="23"/>
        <v>17096</v>
      </c>
      <c r="L123" s="399">
        <v>2020</v>
      </c>
      <c r="M123" s="138"/>
      <c r="N123" s="138"/>
      <c r="O123" s="138"/>
      <c r="P123" s="138"/>
      <c r="Q123" s="111">
        <f t="shared" si="24"/>
        <v>2.7654480750566162</v>
      </c>
    </row>
    <row r="124" spans="5:17" ht="30" customHeight="1" x14ac:dyDescent="0.3">
      <c r="E124" s="399">
        <v>2021</v>
      </c>
      <c r="F124" s="430">
        <v>4803</v>
      </c>
      <c r="G124" s="430">
        <v>8412</v>
      </c>
      <c r="H124" s="430">
        <v>6899</v>
      </c>
      <c r="I124" s="430">
        <v>4642</v>
      </c>
      <c r="J124" s="431">
        <f>SUM(G124:I124)</f>
        <v>19953</v>
      </c>
      <c r="L124" s="399">
        <v>2021</v>
      </c>
      <c r="M124" s="138"/>
      <c r="N124" s="138"/>
      <c r="O124" s="138"/>
      <c r="P124" s="138"/>
      <c r="Q124" s="111">
        <f t="shared" si="24"/>
        <v>4.1542785758900687</v>
      </c>
    </row>
    <row r="125" spans="5:17" ht="30" customHeight="1" x14ac:dyDescent="0.3">
      <c r="E125" s="399">
        <v>2022</v>
      </c>
      <c r="F125" s="430">
        <v>10492</v>
      </c>
      <c r="G125" s="430">
        <v>5298</v>
      </c>
      <c r="H125" s="430">
        <v>9548</v>
      </c>
      <c r="I125" s="430">
        <v>4864</v>
      </c>
      <c r="J125" s="431">
        <f t="shared" si="23"/>
        <v>19710</v>
      </c>
      <c r="L125" s="399">
        <v>2022</v>
      </c>
      <c r="M125" s="138"/>
      <c r="N125" s="138"/>
      <c r="O125" s="138"/>
      <c r="P125" s="138"/>
      <c r="Q125" s="111">
        <f t="shared" si="24"/>
        <v>1.878574151734655</v>
      </c>
    </row>
    <row r="126" spans="5:17" ht="30" customHeight="1" x14ac:dyDescent="0.3">
      <c r="E126" s="399">
        <v>2023</v>
      </c>
      <c r="F126" s="430">
        <v>9856</v>
      </c>
      <c r="G126" s="430">
        <v>5853</v>
      </c>
      <c r="H126" s="430">
        <v>9228</v>
      </c>
      <c r="I126" s="430">
        <v>12018.062259999999</v>
      </c>
      <c r="J126" s="431">
        <f t="shared" si="23"/>
        <v>27099.062259999999</v>
      </c>
      <c r="L126" s="399">
        <v>2023</v>
      </c>
      <c r="M126" s="138"/>
      <c r="N126" s="138"/>
      <c r="O126" s="138"/>
      <c r="P126" s="138"/>
      <c r="Q126" s="111">
        <f t="shared" si="24"/>
        <v>2.7494990117694802</v>
      </c>
    </row>
    <row r="127" spans="5:17" ht="30" customHeight="1" thickBot="1" x14ac:dyDescent="0.35">
      <c r="E127" s="423">
        <v>2024</v>
      </c>
      <c r="F127" s="433">
        <v>16090</v>
      </c>
      <c r="G127" s="425"/>
      <c r="H127" s="425"/>
      <c r="I127" s="425"/>
      <c r="J127" s="432">
        <f>Q127*F127</f>
        <v>46457.9874554696</v>
      </c>
      <c r="L127" s="423" t="s">
        <v>420</v>
      </c>
      <c r="M127" s="267"/>
      <c r="N127" s="268"/>
      <c r="O127" s="268"/>
      <c r="P127" s="268"/>
      <c r="Q127" s="427">
        <f>AVERAGE(Q120:Q126)</f>
        <v>2.8873826883449101</v>
      </c>
    </row>
    <row r="128" spans="5:17" ht="30" customHeight="1" x14ac:dyDescent="0.3">
      <c r="M128" s="158"/>
      <c r="N128" s="158"/>
      <c r="O128" s="158"/>
      <c r="P128" s="158"/>
      <c r="Q128" s="158"/>
    </row>
    <row r="129" spans="5:17" ht="30" customHeight="1" thickBot="1" x14ac:dyDescent="0.35">
      <c r="M129" s="158"/>
      <c r="N129" s="158"/>
      <c r="O129" s="158"/>
      <c r="P129" s="158"/>
      <c r="Q129" s="158"/>
    </row>
    <row r="130" spans="5:17" ht="30" customHeight="1" x14ac:dyDescent="0.3">
      <c r="E130" s="420" t="s">
        <v>140</v>
      </c>
      <c r="F130" s="87" t="s">
        <v>414</v>
      </c>
      <c r="G130" s="87" t="s">
        <v>415</v>
      </c>
      <c r="H130" s="87" t="s">
        <v>416</v>
      </c>
      <c r="I130" s="87" t="s">
        <v>417</v>
      </c>
      <c r="J130" s="97" t="s">
        <v>418</v>
      </c>
      <c r="L130" s="420" t="s">
        <v>140</v>
      </c>
      <c r="M130" s="87" t="s">
        <v>414</v>
      </c>
      <c r="N130" s="87" t="s">
        <v>415</v>
      </c>
      <c r="O130" s="87" t="s">
        <v>416</v>
      </c>
      <c r="P130" s="87" t="s">
        <v>417</v>
      </c>
      <c r="Q130" s="97" t="s">
        <v>418</v>
      </c>
    </row>
    <row r="131" spans="5:17" ht="30" customHeight="1" x14ac:dyDescent="0.3">
      <c r="E131" s="399">
        <v>2017</v>
      </c>
      <c r="F131" s="430">
        <v>12277</v>
      </c>
      <c r="G131" s="430">
        <v>15324</v>
      </c>
      <c r="H131" s="430">
        <v>14799</v>
      </c>
      <c r="I131" s="430">
        <v>16142</v>
      </c>
      <c r="J131" s="431">
        <f>SUM(G131:I131)</f>
        <v>46265</v>
      </c>
      <c r="L131" s="399">
        <v>2017</v>
      </c>
      <c r="M131" s="138"/>
      <c r="N131" s="138"/>
      <c r="O131" s="138"/>
      <c r="P131" s="138"/>
      <c r="Q131" s="111">
        <f>J131/F131</f>
        <v>3.7684287692433003</v>
      </c>
    </row>
    <row r="132" spans="5:17" ht="30" customHeight="1" x14ac:dyDescent="0.3">
      <c r="E132" s="399">
        <v>2018</v>
      </c>
      <c r="F132" s="430">
        <v>10179</v>
      </c>
      <c r="G132" s="430">
        <v>17126</v>
      </c>
      <c r="H132" s="430">
        <v>13305</v>
      </c>
      <c r="I132" s="430">
        <v>17155</v>
      </c>
      <c r="J132" s="431">
        <f t="shared" ref="J132:J137" si="25">SUM(G132:I132)</f>
        <v>47586</v>
      </c>
      <c r="L132" s="399">
        <v>2018</v>
      </c>
      <c r="M132" s="138"/>
      <c r="N132" s="138"/>
      <c r="O132" s="138"/>
      <c r="P132" s="138"/>
      <c r="Q132" s="111">
        <f t="shared" ref="Q132:Q137" si="26">J132/F132</f>
        <v>4.67491895078102</v>
      </c>
    </row>
    <row r="133" spans="5:17" ht="30" customHeight="1" x14ac:dyDescent="0.3">
      <c r="E133" s="399">
        <v>2019</v>
      </c>
      <c r="F133" s="430">
        <v>13414</v>
      </c>
      <c r="G133" s="430">
        <v>20789</v>
      </c>
      <c r="H133" s="430">
        <v>20560</v>
      </c>
      <c r="I133" s="430">
        <v>22904</v>
      </c>
      <c r="J133" s="431">
        <f t="shared" si="25"/>
        <v>64253</v>
      </c>
      <c r="L133" s="399">
        <v>2019</v>
      </c>
      <c r="M133" s="138"/>
      <c r="N133" s="138"/>
      <c r="O133" s="138"/>
      <c r="P133" s="138"/>
      <c r="Q133" s="111">
        <f t="shared" si="26"/>
        <v>4.7899955270612793</v>
      </c>
    </row>
    <row r="134" spans="5:17" ht="30" customHeight="1" x14ac:dyDescent="0.3">
      <c r="E134" s="399">
        <v>2020</v>
      </c>
      <c r="F134" s="430">
        <v>17424</v>
      </c>
      <c r="G134" s="430">
        <v>24167</v>
      </c>
      <c r="H134" s="430">
        <v>22983</v>
      </c>
      <c r="I134" s="430">
        <v>27934</v>
      </c>
      <c r="J134" s="431">
        <f t="shared" si="25"/>
        <v>75084</v>
      </c>
      <c r="L134" s="399">
        <v>2020</v>
      </c>
      <c r="M134" s="138"/>
      <c r="N134" s="138"/>
      <c r="O134" s="138"/>
      <c r="P134" s="138"/>
      <c r="Q134" s="111">
        <f t="shared" si="26"/>
        <v>4.309228650137741</v>
      </c>
    </row>
    <row r="135" spans="5:17" ht="30" customHeight="1" x14ac:dyDescent="0.3">
      <c r="E135" s="399">
        <v>2021</v>
      </c>
      <c r="F135" s="430">
        <v>24432</v>
      </c>
      <c r="G135" s="430">
        <v>36391</v>
      </c>
      <c r="H135" s="430">
        <v>30458</v>
      </c>
      <c r="I135" s="430">
        <v>29347</v>
      </c>
      <c r="J135" s="431">
        <f t="shared" si="25"/>
        <v>96196</v>
      </c>
      <c r="L135" s="399">
        <v>2021</v>
      </c>
      <c r="M135" s="138"/>
      <c r="N135" s="138"/>
      <c r="O135" s="138"/>
      <c r="P135" s="138"/>
      <c r="Q135" s="111">
        <f t="shared" si="26"/>
        <v>3.9372953503601833</v>
      </c>
    </row>
    <row r="136" spans="5:17" ht="30" customHeight="1" x14ac:dyDescent="0.3">
      <c r="E136" s="399">
        <v>2022</v>
      </c>
      <c r="F136" s="430">
        <v>27325</v>
      </c>
      <c r="G136" s="430">
        <v>54712</v>
      </c>
      <c r="H136" s="430">
        <v>26446</v>
      </c>
      <c r="I136" s="430">
        <v>22104</v>
      </c>
      <c r="J136" s="431">
        <f t="shared" si="25"/>
        <v>103262</v>
      </c>
      <c r="L136" s="399">
        <v>2022</v>
      </c>
      <c r="M136" s="138"/>
      <c r="N136" s="138"/>
      <c r="O136" s="138"/>
      <c r="P136" s="138"/>
      <c r="Q136" s="111">
        <f t="shared" si="26"/>
        <v>3.7790301921317475</v>
      </c>
    </row>
    <row r="137" spans="5:17" ht="30" customHeight="1" x14ac:dyDescent="0.3">
      <c r="E137" s="399">
        <v>2023</v>
      </c>
      <c r="F137" s="430">
        <v>32099</v>
      </c>
      <c r="G137" s="430">
        <v>51687</v>
      </c>
      <c r="H137" s="430">
        <v>39253</v>
      </c>
      <c r="I137" s="430">
        <v>36589.148560000001</v>
      </c>
      <c r="J137" s="431">
        <f t="shared" si="25"/>
        <v>127529.14856</v>
      </c>
      <c r="L137" s="399">
        <v>2023</v>
      </c>
      <c r="M137" s="138"/>
      <c r="N137" s="138"/>
      <c r="O137" s="138"/>
      <c r="P137" s="138"/>
      <c r="Q137" s="111">
        <f t="shared" si="26"/>
        <v>3.972994440948316</v>
      </c>
    </row>
    <row r="138" spans="5:17" ht="30" customHeight="1" thickBot="1" x14ac:dyDescent="0.35">
      <c r="E138" s="423">
        <v>2024</v>
      </c>
      <c r="F138" s="433">
        <v>27379</v>
      </c>
      <c r="G138" s="425"/>
      <c r="H138" s="425"/>
      <c r="I138" s="425"/>
      <c r="J138" s="432">
        <f>Q138*F138</f>
        <v>114334.28111438404</v>
      </c>
      <c r="L138" s="423" t="s">
        <v>420</v>
      </c>
      <c r="M138" s="267"/>
      <c r="N138" s="268"/>
      <c r="O138" s="268"/>
      <c r="P138" s="268"/>
      <c r="Q138" s="427">
        <f>AVERAGE(Q131:Q137)</f>
        <v>4.1759845543805119</v>
      </c>
    </row>
    <row r="139" spans="5:17" ht="30" customHeight="1" x14ac:dyDescent="0.3">
      <c r="M139" s="158"/>
      <c r="N139" s="158"/>
      <c r="O139" s="158"/>
      <c r="P139" s="158"/>
      <c r="Q139" s="158"/>
    </row>
    <row r="140" spans="5:17" ht="30" customHeight="1" thickBot="1" x14ac:dyDescent="0.35">
      <c r="M140" s="158"/>
      <c r="N140" s="158"/>
      <c r="O140" s="158"/>
      <c r="P140" s="158"/>
      <c r="Q140" s="158"/>
    </row>
    <row r="141" spans="5:17" ht="30" customHeight="1" x14ac:dyDescent="0.3">
      <c r="E141" s="420" t="s">
        <v>140</v>
      </c>
      <c r="F141" s="87" t="s">
        <v>414</v>
      </c>
      <c r="G141" s="87" t="s">
        <v>415</v>
      </c>
      <c r="H141" s="87" t="s">
        <v>416</v>
      </c>
      <c r="I141" s="87" t="s">
        <v>417</v>
      </c>
      <c r="J141" s="97" t="s">
        <v>418</v>
      </c>
      <c r="L141" s="420" t="s">
        <v>140</v>
      </c>
      <c r="M141" s="87" t="s">
        <v>414</v>
      </c>
      <c r="N141" s="87" t="s">
        <v>415</v>
      </c>
      <c r="O141" s="87" t="s">
        <v>416</v>
      </c>
      <c r="P141" s="87" t="s">
        <v>417</v>
      </c>
      <c r="Q141" s="97" t="s">
        <v>418</v>
      </c>
    </row>
    <row r="142" spans="5:17" ht="30" customHeight="1" x14ac:dyDescent="0.3">
      <c r="E142" s="399">
        <v>2017</v>
      </c>
      <c r="F142" s="430">
        <v>9750</v>
      </c>
      <c r="G142" s="430">
        <v>10918</v>
      </c>
      <c r="H142" s="430">
        <v>11515</v>
      </c>
      <c r="I142" s="430">
        <v>14862</v>
      </c>
      <c r="J142" s="431">
        <f>SUM(G142:I142)</f>
        <v>37295</v>
      </c>
      <c r="L142" s="399">
        <v>2017</v>
      </c>
      <c r="M142" s="138"/>
      <c r="N142" s="138"/>
      <c r="O142" s="138"/>
      <c r="P142" s="138"/>
      <c r="Q142" s="111">
        <f>J142/F142</f>
        <v>3.825128205128205</v>
      </c>
    </row>
    <row r="143" spans="5:17" ht="30" customHeight="1" x14ac:dyDescent="0.3">
      <c r="E143" s="399">
        <v>2018</v>
      </c>
      <c r="F143" s="430">
        <v>10321</v>
      </c>
      <c r="G143" s="430">
        <v>15448</v>
      </c>
      <c r="H143" s="430">
        <v>12563</v>
      </c>
      <c r="I143" s="430">
        <v>17233</v>
      </c>
      <c r="J143" s="431">
        <f t="shared" ref="J143:J148" si="27">SUM(G143:I143)</f>
        <v>45244</v>
      </c>
      <c r="L143" s="399">
        <v>2018</v>
      </c>
      <c r="M143" s="138"/>
      <c r="N143" s="138"/>
      <c r="O143" s="138"/>
      <c r="P143" s="138"/>
      <c r="Q143" s="111">
        <f t="shared" ref="Q143:Q148" si="28">J143/F143</f>
        <v>4.38368375157446</v>
      </c>
    </row>
    <row r="144" spans="5:17" ht="30" customHeight="1" x14ac:dyDescent="0.3">
      <c r="E144" s="399">
        <v>2019</v>
      </c>
      <c r="F144" s="430">
        <v>10643</v>
      </c>
      <c r="G144" s="430">
        <v>19794</v>
      </c>
      <c r="H144" s="430">
        <v>16537</v>
      </c>
      <c r="I144" s="430">
        <v>19419</v>
      </c>
      <c r="J144" s="431">
        <f t="shared" si="27"/>
        <v>55750</v>
      </c>
      <c r="L144" s="399">
        <v>2019</v>
      </c>
      <c r="M144" s="138"/>
      <c r="N144" s="138"/>
      <c r="O144" s="138"/>
      <c r="P144" s="138"/>
      <c r="Q144" s="111">
        <f t="shared" si="28"/>
        <v>5.2381847223527203</v>
      </c>
    </row>
    <row r="145" spans="5:17" ht="30" customHeight="1" x14ac:dyDescent="0.3">
      <c r="E145" s="399">
        <v>2020</v>
      </c>
      <c r="F145" s="430">
        <v>15189</v>
      </c>
      <c r="G145" s="430">
        <v>19328</v>
      </c>
      <c r="H145" s="430">
        <v>21363</v>
      </c>
      <c r="I145" s="430">
        <v>19389</v>
      </c>
      <c r="J145" s="431">
        <f t="shared" si="27"/>
        <v>60080</v>
      </c>
      <c r="L145" s="399">
        <v>2020</v>
      </c>
      <c r="M145" s="138"/>
      <c r="N145" s="138"/>
      <c r="O145" s="138"/>
      <c r="P145" s="138"/>
      <c r="Q145" s="111">
        <f t="shared" si="28"/>
        <v>3.9554941075778522</v>
      </c>
    </row>
    <row r="146" spans="5:17" ht="30" customHeight="1" x14ac:dyDescent="0.3">
      <c r="E146" s="399">
        <v>2021</v>
      </c>
      <c r="F146" s="430">
        <v>14863</v>
      </c>
      <c r="G146" s="430">
        <v>18130</v>
      </c>
      <c r="H146" s="430">
        <v>17816</v>
      </c>
      <c r="I146" s="430">
        <v>22091</v>
      </c>
      <c r="J146" s="431">
        <f t="shared" si="27"/>
        <v>58037</v>
      </c>
      <c r="L146" s="399">
        <v>2021</v>
      </c>
      <c r="M146" s="138"/>
      <c r="N146" s="138"/>
      <c r="O146" s="138"/>
      <c r="P146" s="138"/>
      <c r="Q146" s="111">
        <f t="shared" si="28"/>
        <v>3.9047971472784768</v>
      </c>
    </row>
    <row r="147" spans="5:17" ht="30" customHeight="1" x14ac:dyDescent="0.3">
      <c r="E147" s="399">
        <v>2022</v>
      </c>
      <c r="F147" s="430">
        <v>16219</v>
      </c>
      <c r="G147" s="430">
        <v>22144</v>
      </c>
      <c r="H147" s="430">
        <v>17300</v>
      </c>
      <c r="I147" s="430">
        <v>20360</v>
      </c>
      <c r="J147" s="431">
        <f t="shared" si="27"/>
        <v>59804</v>
      </c>
      <c r="L147" s="399">
        <v>2022</v>
      </c>
      <c r="M147" s="138"/>
      <c r="N147" s="138"/>
      <c r="O147" s="138"/>
      <c r="P147" s="138"/>
      <c r="Q147" s="111">
        <f t="shared" si="28"/>
        <v>3.6872803502065481</v>
      </c>
    </row>
    <row r="148" spans="5:17" ht="30" customHeight="1" x14ac:dyDescent="0.3">
      <c r="E148" s="399">
        <v>2023</v>
      </c>
      <c r="F148" s="430">
        <v>19996</v>
      </c>
      <c r="G148" s="430">
        <v>20454</v>
      </c>
      <c r="H148" s="430">
        <v>22591</v>
      </c>
      <c r="I148" s="430">
        <v>25865.309759999989</v>
      </c>
      <c r="J148" s="431">
        <f t="shared" si="27"/>
        <v>68910.309759999989</v>
      </c>
      <c r="L148" s="399">
        <v>2023</v>
      </c>
      <c r="M148" s="138"/>
      <c r="N148" s="138"/>
      <c r="O148" s="138"/>
      <c r="P148" s="138"/>
      <c r="Q148" s="111">
        <f t="shared" si="28"/>
        <v>3.4462047289457884</v>
      </c>
    </row>
    <row r="149" spans="5:17" ht="30" customHeight="1" thickBot="1" x14ac:dyDescent="0.35">
      <c r="E149" s="423">
        <v>2024</v>
      </c>
      <c r="F149" s="433">
        <v>24315</v>
      </c>
      <c r="G149" s="425"/>
      <c r="H149" s="425"/>
      <c r="I149" s="425"/>
      <c r="J149" s="432">
        <f>Q149*F149</f>
        <v>98791.056544664636</v>
      </c>
      <c r="L149" s="423" t="s">
        <v>420</v>
      </c>
      <c r="M149" s="267"/>
      <c r="N149" s="268"/>
      <c r="O149" s="268"/>
      <c r="P149" s="268"/>
      <c r="Q149" s="427">
        <f>AVERAGE(Q142:Q148)</f>
        <v>4.0629675732948645</v>
      </c>
    </row>
    <row r="150" spans="5:17" ht="30" customHeight="1" x14ac:dyDescent="0.3">
      <c r="M150" s="158"/>
      <c r="N150" s="158"/>
      <c r="O150" s="158"/>
      <c r="P150" s="158"/>
      <c r="Q150" s="158"/>
    </row>
    <row r="151" spans="5:17" ht="30" customHeight="1" thickBot="1" x14ac:dyDescent="0.35">
      <c r="M151" s="158"/>
      <c r="N151" s="158"/>
      <c r="O151" s="158"/>
      <c r="P151" s="158"/>
      <c r="Q151" s="158"/>
    </row>
    <row r="152" spans="5:17" ht="30" customHeight="1" x14ac:dyDescent="0.3">
      <c r="E152" s="420" t="s">
        <v>140</v>
      </c>
      <c r="F152" s="87" t="s">
        <v>414</v>
      </c>
      <c r="G152" s="87" t="s">
        <v>415</v>
      </c>
      <c r="H152" s="87" t="s">
        <v>416</v>
      </c>
      <c r="I152" s="87" t="s">
        <v>417</v>
      </c>
      <c r="J152" s="97" t="s">
        <v>418</v>
      </c>
      <c r="L152" s="420" t="s">
        <v>140</v>
      </c>
      <c r="M152" s="87" t="s">
        <v>414</v>
      </c>
      <c r="N152" s="87" t="s">
        <v>415</v>
      </c>
      <c r="O152" s="87" t="s">
        <v>416</v>
      </c>
      <c r="P152" s="87" t="s">
        <v>417</v>
      </c>
      <c r="Q152" s="97" t="s">
        <v>418</v>
      </c>
    </row>
    <row r="153" spans="5:17" ht="30" customHeight="1" x14ac:dyDescent="0.3">
      <c r="E153" s="399">
        <v>2021</v>
      </c>
      <c r="F153" s="430">
        <v>218298</v>
      </c>
      <c r="G153" s="430">
        <v>236070</v>
      </c>
      <c r="H153" s="430">
        <v>260298</v>
      </c>
      <c r="I153" s="430">
        <v>273582</v>
      </c>
      <c r="J153" s="431">
        <f t="shared" ref="J153:J155" si="29">SUM(G153:I153)</f>
        <v>769950</v>
      </c>
      <c r="L153" s="399">
        <v>2021</v>
      </c>
      <c r="M153" s="138"/>
      <c r="N153" s="138"/>
      <c r="O153" s="138"/>
      <c r="P153" s="138"/>
      <c r="Q153" s="111">
        <f t="shared" ref="Q153:Q155" si="30">J153/F153</f>
        <v>3.5270593409009701</v>
      </c>
    </row>
    <row r="154" spans="5:17" ht="30" customHeight="1" x14ac:dyDescent="0.3">
      <c r="E154" s="399">
        <v>2022</v>
      </c>
      <c r="F154" s="430">
        <v>290520</v>
      </c>
      <c r="G154" s="430">
        <v>310872</v>
      </c>
      <c r="H154" s="430">
        <v>354925</v>
      </c>
      <c r="I154" s="430">
        <v>370343.93658999982</v>
      </c>
      <c r="J154" s="431">
        <f t="shared" si="29"/>
        <v>1036140.9365899998</v>
      </c>
      <c r="L154" s="399">
        <v>2022</v>
      </c>
      <c r="M154" s="138"/>
      <c r="N154" s="138"/>
      <c r="O154" s="138"/>
      <c r="P154" s="138"/>
      <c r="Q154" s="111">
        <f t="shared" si="30"/>
        <v>3.5665046695236122</v>
      </c>
    </row>
    <row r="155" spans="5:17" ht="30" customHeight="1" x14ac:dyDescent="0.3">
      <c r="E155" s="399">
        <v>2023</v>
      </c>
      <c r="F155" s="430">
        <v>378256</v>
      </c>
      <c r="G155" s="430">
        <v>380626.48814000003</v>
      </c>
      <c r="H155" s="430">
        <v>396741.98548999988</v>
      </c>
      <c r="I155" s="430">
        <v>414977.52637000009</v>
      </c>
      <c r="J155" s="431">
        <f t="shared" si="29"/>
        <v>1192346</v>
      </c>
      <c r="L155" s="399">
        <v>2023</v>
      </c>
      <c r="M155" s="138"/>
      <c r="N155" s="138"/>
      <c r="O155" s="138"/>
      <c r="P155" s="138"/>
      <c r="Q155" s="111">
        <f t="shared" si="30"/>
        <v>3.1522196607588513</v>
      </c>
    </row>
    <row r="156" spans="5:17" ht="30" customHeight="1" thickBot="1" x14ac:dyDescent="0.35">
      <c r="E156" s="423">
        <v>2024</v>
      </c>
      <c r="F156" s="433">
        <v>436914.27482000005</v>
      </c>
      <c r="G156" s="425"/>
      <c r="H156" s="425"/>
      <c r="I156" s="425"/>
      <c r="J156" s="432">
        <f>Q156*F156</f>
        <v>1492176.3808859026</v>
      </c>
      <c r="L156" s="423" t="s">
        <v>420</v>
      </c>
      <c r="M156" s="267"/>
      <c r="N156" s="268"/>
      <c r="O156" s="268"/>
      <c r="P156" s="268"/>
      <c r="Q156" s="427">
        <f>AVERAGE(Q153:Q155)</f>
        <v>3.415261223727811</v>
      </c>
    </row>
    <row r="157" spans="5:17" ht="30" customHeight="1" x14ac:dyDescent="0.3">
      <c r="M157" s="158"/>
      <c r="N157" s="158"/>
      <c r="O157" s="158"/>
      <c r="P157" s="158"/>
      <c r="Q157" s="158"/>
    </row>
    <row r="158" spans="5:17" ht="30" customHeight="1" thickBot="1" x14ac:dyDescent="0.35">
      <c r="M158" s="158"/>
      <c r="N158" s="158"/>
      <c r="O158" s="158"/>
      <c r="P158" s="158"/>
      <c r="Q158" s="158"/>
    </row>
    <row r="159" spans="5:17" ht="30" customHeight="1" x14ac:dyDescent="0.3">
      <c r="E159" s="420" t="s">
        <v>140</v>
      </c>
      <c r="F159" s="87" t="s">
        <v>414</v>
      </c>
      <c r="G159" s="87" t="s">
        <v>415</v>
      </c>
      <c r="H159" s="87" t="s">
        <v>416</v>
      </c>
      <c r="I159" s="87" t="s">
        <v>417</v>
      </c>
      <c r="J159" s="97" t="s">
        <v>418</v>
      </c>
      <c r="L159" s="420" t="s">
        <v>140</v>
      </c>
      <c r="M159" s="87" t="s">
        <v>414</v>
      </c>
      <c r="N159" s="87" t="s">
        <v>415</v>
      </c>
      <c r="O159" s="87" t="s">
        <v>416</v>
      </c>
      <c r="P159" s="87" t="s">
        <v>417</v>
      </c>
      <c r="Q159" s="97" t="s">
        <v>418</v>
      </c>
    </row>
    <row r="160" spans="5:17" ht="30" customHeight="1" x14ac:dyDescent="0.3">
      <c r="E160" s="399">
        <v>2021</v>
      </c>
      <c r="F160" s="430">
        <v>13911</v>
      </c>
      <c r="G160" s="430">
        <v>28235</v>
      </c>
      <c r="H160" s="430">
        <v>20243</v>
      </c>
      <c r="I160" s="430">
        <v>35635</v>
      </c>
      <c r="J160" s="431">
        <f t="shared" ref="J160:J162" si="31">SUM(G160:I160)</f>
        <v>84113</v>
      </c>
      <c r="L160" s="399">
        <v>2021</v>
      </c>
      <c r="M160" s="138"/>
      <c r="N160" s="138"/>
      <c r="O160" s="138"/>
      <c r="P160" s="138"/>
      <c r="Q160" s="111">
        <f t="shared" ref="Q160:Q162" si="32">J160/F160</f>
        <v>6.0465099561498095</v>
      </c>
    </row>
    <row r="161" spans="5:17" ht="30" customHeight="1" x14ac:dyDescent="0.3">
      <c r="E161" s="399">
        <v>2022</v>
      </c>
      <c r="F161" s="430">
        <v>27490</v>
      </c>
      <c r="G161" s="430">
        <v>26286</v>
      </c>
      <c r="H161" s="430">
        <v>53263</v>
      </c>
      <c r="I161" s="430">
        <v>230963.16652000003</v>
      </c>
      <c r="J161" s="431">
        <f t="shared" si="31"/>
        <v>310512.16652000003</v>
      </c>
      <c r="L161" s="399">
        <v>2022</v>
      </c>
      <c r="M161" s="138"/>
      <c r="N161" s="138"/>
      <c r="O161" s="138"/>
      <c r="P161" s="138"/>
      <c r="Q161" s="111">
        <f t="shared" si="32"/>
        <v>11.29545894943616</v>
      </c>
    </row>
    <row r="162" spans="5:17" ht="30" customHeight="1" x14ac:dyDescent="0.3">
      <c r="E162" s="399">
        <v>2023</v>
      </c>
      <c r="F162" s="430">
        <v>67437</v>
      </c>
      <c r="G162" s="430">
        <v>79315</v>
      </c>
      <c r="H162" s="430">
        <v>8265.0079099999857</v>
      </c>
      <c r="I162" s="430">
        <v>40708.992090000014</v>
      </c>
      <c r="J162" s="431">
        <f t="shared" si="31"/>
        <v>128289</v>
      </c>
      <c r="L162" s="399">
        <v>2023</v>
      </c>
      <c r="M162" s="138"/>
      <c r="N162" s="138"/>
      <c r="O162" s="138"/>
      <c r="P162" s="138"/>
      <c r="Q162" s="111">
        <f t="shared" si="32"/>
        <v>1.9023533075314738</v>
      </c>
    </row>
    <row r="163" spans="5:17" ht="30" customHeight="1" thickBot="1" x14ac:dyDescent="0.35">
      <c r="E163" s="423">
        <v>2024</v>
      </c>
      <c r="F163" s="433">
        <v>62739.664600000011</v>
      </c>
      <c r="G163" s="425"/>
      <c r="H163" s="425"/>
      <c r="I163" s="425"/>
      <c r="J163" s="432">
        <f>Q163*F163</f>
        <v>119353.00846522534</v>
      </c>
      <c r="L163" s="423" t="s">
        <v>420</v>
      </c>
      <c r="M163" s="267"/>
      <c r="N163" s="268"/>
      <c r="O163" s="268"/>
      <c r="P163" s="268"/>
      <c r="Q163" s="427">
        <f>Q162</f>
        <v>1.9023533075314738</v>
      </c>
    </row>
    <row r="164" spans="5:17" ht="30" customHeight="1" x14ac:dyDescent="0.3">
      <c r="M164" s="158"/>
      <c r="N164" s="158"/>
      <c r="O164" s="158"/>
      <c r="P164" s="158"/>
      <c r="Q164" s="158"/>
    </row>
    <row r="165" spans="5:17" ht="30" customHeight="1" thickBot="1" x14ac:dyDescent="0.35">
      <c r="M165" s="158"/>
      <c r="N165" s="158"/>
      <c r="O165" s="158"/>
      <c r="P165" s="158"/>
      <c r="Q165" s="158"/>
    </row>
    <row r="166" spans="5:17" ht="30" customHeight="1" x14ac:dyDescent="0.3">
      <c r="E166" s="420" t="s">
        <v>140</v>
      </c>
      <c r="F166" s="87" t="s">
        <v>414</v>
      </c>
      <c r="G166" s="87" t="s">
        <v>415</v>
      </c>
      <c r="H166" s="87" t="s">
        <v>416</v>
      </c>
      <c r="I166" s="87" t="s">
        <v>417</v>
      </c>
      <c r="J166" s="97" t="s">
        <v>418</v>
      </c>
      <c r="L166" s="420" t="s">
        <v>140</v>
      </c>
      <c r="M166" s="87" t="s">
        <v>414</v>
      </c>
      <c r="N166" s="87" t="s">
        <v>415</v>
      </c>
      <c r="O166" s="87" t="s">
        <v>416</v>
      </c>
      <c r="P166" s="87" t="s">
        <v>417</v>
      </c>
      <c r="Q166" s="97" t="s">
        <v>418</v>
      </c>
    </row>
    <row r="167" spans="5:17" ht="30" customHeight="1" x14ac:dyDescent="0.3">
      <c r="E167" s="399">
        <v>2021</v>
      </c>
      <c r="F167" s="430">
        <v>1124</v>
      </c>
      <c r="G167" s="430">
        <v>2467</v>
      </c>
      <c r="H167" s="430">
        <v>25241</v>
      </c>
      <c r="I167" s="430">
        <v>3535</v>
      </c>
      <c r="J167" s="431">
        <f t="shared" ref="J167:J169" si="33">SUM(G167:I167)</f>
        <v>31243</v>
      </c>
      <c r="L167" s="399">
        <v>2021</v>
      </c>
      <c r="M167" s="138"/>
      <c r="N167" s="138"/>
      <c r="O167" s="138"/>
      <c r="P167" s="138"/>
      <c r="Q167" s="111">
        <f t="shared" ref="Q167:Q169" si="34">J167/F167</f>
        <v>27.796263345195729</v>
      </c>
    </row>
    <row r="168" spans="5:17" ht="30" customHeight="1" x14ac:dyDescent="0.3">
      <c r="E168" s="399">
        <v>2022</v>
      </c>
      <c r="F168" s="430">
        <v>1560</v>
      </c>
      <c r="G168" s="430">
        <v>525</v>
      </c>
      <c r="H168" s="430">
        <v>5447</v>
      </c>
      <c r="I168" s="430">
        <v>57127.793800000007</v>
      </c>
      <c r="J168" s="431">
        <f t="shared" si="33"/>
        <v>63099.793800000007</v>
      </c>
      <c r="L168" s="399">
        <v>2022</v>
      </c>
      <c r="M168" s="138"/>
      <c r="N168" s="138"/>
      <c r="O168" s="138"/>
      <c r="P168" s="138"/>
      <c r="Q168" s="111">
        <f t="shared" si="34"/>
        <v>40.448585769230775</v>
      </c>
    </row>
    <row r="169" spans="5:17" ht="30" customHeight="1" x14ac:dyDescent="0.3">
      <c r="E169" s="399">
        <v>2023</v>
      </c>
      <c r="F169" s="430">
        <v>4244</v>
      </c>
      <c r="G169" s="430">
        <v>984.62111000000004</v>
      </c>
      <c r="H169" s="430">
        <v>4271.0610300000008</v>
      </c>
      <c r="I169" s="430">
        <v>231.3178599999992</v>
      </c>
      <c r="J169" s="431">
        <f t="shared" si="33"/>
        <v>5487</v>
      </c>
      <c r="L169" s="399">
        <v>2023</v>
      </c>
      <c r="M169" s="138"/>
      <c r="N169" s="138"/>
      <c r="O169" s="138"/>
      <c r="P169" s="138"/>
      <c r="Q169" s="111">
        <f t="shared" si="34"/>
        <v>1.2928840716305372</v>
      </c>
    </row>
    <row r="170" spans="5:17" ht="30" customHeight="1" thickBot="1" x14ac:dyDescent="0.35">
      <c r="E170" s="423">
        <v>2024</v>
      </c>
      <c r="F170" s="433">
        <v>700.28359999999998</v>
      </c>
      <c r="G170" s="425"/>
      <c r="H170" s="425"/>
      <c r="I170" s="425"/>
      <c r="J170" s="432">
        <f>Q170*F170</f>
        <v>14615.433384724893</v>
      </c>
      <c r="L170" s="423" t="s">
        <v>420</v>
      </c>
      <c r="M170" s="267"/>
      <c r="N170" s="268"/>
      <c r="O170" s="268"/>
      <c r="P170" s="268"/>
      <c r="Q170" s="427">
        <f>AVERAGE(Q168:Q169)</f>
        <v>20.870734920430657</v>
      </c>
    </row>
    <row r="171" spans="5:17" ht="30" customHeight="1" x14ac:dyDescent="0.3">
      <c r="M171" s="158"/>
      <c r="N171" s="158"/>
      <c r="O171" s="158"/>
      <c r="P171" s="158"/>
      <c r="Q171" s="158"/>
    </row>
    <row r="172" spans="5:17" ht="30" customHeight="1" thickBot="1" x14ac:dyDescent="0.35">
      <c r="M172" s="158"/>
      <c r="N172" s="158"/>
      <c r="O172" s="158"/>
      <c r="P172" s="158"/>
      <c r="Q172" s="158"/>
    </row>
    <row r="173" spans="5:17" ht="30" customHeight="1" x14ac:dyDescent="0.3">
      <c r="E173" s="420" t="s">
        <v>140</v>
      </c>
      <c r="F173" s="87" t="s">
        <v>414</v>
      </c>
      <c r="G173" s="87" t="s">
        <v>415</v>
      </c>
      <c r="H173" s="87" t="s">
        <v>416</v>
      </c>
      <c r="I173" s="87" t="s">
        <v>417</v>
      </c>
      <c r="J173" s="97" t="s">
        <v>418</v>
      </c>
      <c r="L173" s="420" t="s">
        <v>140</v>
      </c>
      <c r="M173" s="87" t="s">
        <v>414</v>
      </c>
      <c r="N173" s="87" t="s">
        <v>415</v>
      </c>
      <c r="O173" s="87" t="s">
        <v>416</v>
      </c>
      <c r="P173" s="87" t="s">
        <v>417</v>
      </c>
      <c r="Q173" s="97" t="s">
        <v>418</v>
      </c>
    </row>
    <row r="174" spans="5:17" ht="30" customHeight="1" x14ac:dyDescent="0.3">
      <c r="E174" s="399">
        <v>2021</v>
      </c>
      <c r="F174" s="430">
        <v>5272</v>
      </c>
      <c r="G174" s="430">
        <v>38221</v>
      </c>
      <c r="H174" s="430">
        <v>25615</v>
      </c>
      <c r="I174" s="430">
        <v>121286</v>
      </c>
      <c r="J174" s="431">
        <f t="shared" ref="J174:J176" si="35">SUM(G174:I174)</f>
        <v>185122</v>
      </c>
      <c r="L174" s="399">
        <v>2021</v>
      </c>
      <c r="M174" s="138"/>
      <c r="N174" s="138"/>
      <c r="O174" s="138"/>
      <c r="P174" s="138"/>
      <c r="Q174" s="111">
        <f t="shared" ref="Q174:Q176" si="36">J174/F174</f>
        <v>35.114188163884677</v>
      </c>
    </row>
    <row r="175" spans="5:17" ht="30" customHeight="1" x14ac:dyDescent="0.3">
      <c r="E175" s="399">
        <v>2022</v>
      </c>
      <c r="F175" s="430">
        <v>35513</v>
      </c>
      <c r="G175" s="430">
        <v>54281</v>
      </c>
      <c r="H175" s="430">
        <v>90233</v>
      </c>
      <c r="I175" s="430">
        <v>31124</v>
      </c>
      <c r="J175" s="431">
        <f t="shared" si="35"/>
        <v>175638</v>
      </c>
      <c r="L175" s="399">
        <v>2022</v>
      </c>
      <c r="M175" s="138"/>
      <c r="N175" s="138"/>
      <c r="O175" s="138"/>
      <c r="P175" s="138"/>
      <c r="Q175" s="111">
        <f t="shared" si="36"/>
        <v>4.9457381803846481</v>
      </c>
    </row>
    <row r="176" spans="5:17" ht="30" customHeight="1" x14ac:dyDescent="0.3">
      <c r="E176" s="399">
        <v>2023</v>
      </c>
      <c r="F176" s="430">
        <v>23774</v>
      </c>
      <c r="G176" s="430">
        <v>76852.203740000012</v>
      </c>
      <c r="H176" s="430">
        <v>99607.674419999981</v>
      </c>
      <c r="I176" s="430">
        <v>94458.121840000007</v>
      </c>
      <c r="J176" s="431">
        <f t="shared" si="35"/>
        <v>270918</v>
      </c>
      <c r="L176" s="399">
        <v>2023</v>
      </c>
      <c r="M176" s="138"/>
      <c r="N176" s="138"/>
      <c r="O176" s="138"/>
      <c r="P176" s="138"/>
      <c r="Q176" s="111">
        <f t="shared" si="36"/>
        <v>11.395558172793809</v>
      </c>
    </row>
    <row r="177" spans="5:17" ht="30" customHeight="1" thickBot="1" x14ac:dyDescent="0.35">
      <c r="E177" s="423">
        <v>2024</v>
      </c>
      <c r="F177" s="433">
        <v>18190.237340000003</v>
      </c>
      <c r="G177" s="425"/>
      <c r="H177" s="425"/>
      <c r="I177" s="425"/>
      <c r="J177" s="432">
        <f>Q177*F177</f>
        <v>89964.151322696503</v>
      </c>
      <c r="L177" s="423" t="s">
        <v>420</v>
      </c>
      <c r="M177" s="267"/>
      <c r="N177" s="268"/>
      <c r="O177" s="268"/>
      <c r="P177" s="268"/>
      <c r="Q177" s="427">
        <f>Q175</f>
        <v>4.9457381803846481</v>
      </c>
    </row>
    <row r="178" spans="5:17" ht="30" customHeight="1" x14ac:dyDescent="0.3">
      <c r="M178" s="158"/>
      <c r="N178" s="158"/>
      <c r="O178" s="158"/>
      <c r="P178" s="158"/>
      <c r="Q178" s="158"/>
    </row>
    <row r="179" spans="5:17" ht="30" customHeight="1" thickBot="1" x14ac:dyDescent="0.35">
      <c r="M179" s="158"/>
      <c r="N179" s="158"/>
      <c r="O179" s="158"/>
      <c r="P179" s="158"/>
      <c r="Q179" s="158"/>
    </row>
    <row r="180" spans="5:17" ht="30" customHeight="1" x14ac:dyDescent="0.3">
      <c r="E180" s="420" t="s">
        <v>140</v>
      </c>
      <c r="F180" s="87" t="s">
        <v>414</v>
      </c>
      <c r="G180" s="87" t="s">
        <v>415</v>
      </c>
      <c r="H180" s="87" t="s">
        <v>416</v>
      </c>
      <c r="I180" s="87" t="s">
        <v>417</v>
      </c>
      <c r="J180" s="97" t="s">
        <v>418</v>
      </c>
      <c r="L180" s="420" t="s">
        <v>140</v>
      </c>
      <c r="M180" s="87" t="s">
        <v>414</v>
      </c>
      <c r="N180" s="87" t="s">
        <v>415</v>
      </c>
      <c r="O180" s="87" t="s">
        <v>416</v>
      </c>
      <c r="P180" s="87" t="s">
        <v>417</v>
      </c>
      <c r="Q180" s="97" t="s">
        <v>418</v>
      </c>
    </row>
    <row r="181" spans="5:17" ht="30" customHeight="1" x14ac:dyDescent="0.3">
      <c r="E181" s="399">
        <v>2021</v>
      </c>
      <c r="F181" s="430">
        <v>-136929</v>
      </c>
      <c r="G181" s="430">
        <v>-137101</v>
      </c>
      <c r="H181" s="430">
        <v>-144693</v>
      </c>
      <c r="I181" s="430">
        <v>-166650</v>
      </c>
      <c r="J181" s="431">
        <f t="shared" ref="J181:J183" si="37">SUM(G181:I181)</f>
        <v>-448444</v>
      </c>
      <c r="L181" s="399">
        <v>2021</v>
      </c>
      <c r="M181" s="138"/>
      <c r="N181" s="138"/>
      <c r="O181" s="138"/>
      <c r="P181" s="138"/>
      <c r="Q181" s="111">
        <f t="shared" ref="Q181:Q183" si="38">J181/F181</f>
        <v>3.2750111371586734</v>
      </c>
    </row>
    <row r="182" spans="5:17" ht="30" customHeight="1" x14ac:dyDescent="0.3">
      <c r="E182" s="399">
        <v>2022</v>
      </c>
      <c r="F182" s="430">
        <v>-159897</v>
      </c>
      <c r="G182" s="430">
        <v>-177081</v>
      </c>
      <c r="H182" s="430">
        <v>-161544</v>
      </c>
      <c r="I182" s="430">
        <v>-164525.00165999995</v>
      </c>
      <c r="J182" s="431">
        <f t="shared" si="37"/>
        <v>-503150.00165999995</v>
      </c>
      <c r="L182" s="399">
        <v>2022</v>
      </c>
      <c r="M182" s="138"/>
      <c r="N182" s="138"/>
      <c r="O182" s="138"/>
      <c r="P182" s="138"/>
      <c r="Q182" s="111">
        <f t="shared" si="38"/>
        <v>3.1467132070020072</v>
      </c>
    </row>
    <row r="183" spans="5:17" ht="30" customHeight="1" x14ac:dyDescent="0.3">
      <c r="E183" s="399">
        <v>2023</v>
      </c>
      <c r="F183" s="430">
        <v>-167746</v>
      </c>
      <c r="G183" s="430">
        <v>-162973</v>
      </c>
      <c r="H183" s="430">
        <v>-180059.90828000003</v>
      </c>
      <c r="I183" s="430">
        <v>-201503.09171999997</v>
      </c>
      <c r="J183" s="431">
        <f t="shared" si="37"/>
        <v>-544536</v>
      </c>
      <c r="L183" s="399">
        <v>2023</v>
      </c>
      <c r="M183" s="138"/>
      <c r="N183" s="138"/>
      <c r="O183" s="138"/>
      <c r="P183" s="138"/>
      <c r="Q183" s="111">
        <f t="shared" si="38"/>
        <v>3.2461936499230979</v>
      </c>
    </row>
    <row r="184" spans="5:17" ht="30" customHeight="1" thickBot="1" x14ac:dyDescent="0.35">
      <c r="E184" s="423">
        <v>2024</v>
      </c>
      <c r="F184" s="433">
        <v>-182230.47981999998</v>
      </c>
      <c r="G184" s="425"/>
      <c r="H184" s="425"/>
      <c r="I184" s="425"/>
      <c r="J184" s="432">
        <f>Q184*F184</f>
        <v>-587263.11164076615</v>
      </c>
      <c r="L184" s="423" t="s">
        <v>420</v>
      </c>
      <c r="M184" s="267"/>
      <c r="N184" s="268"/>
      <c r="O184" s="268"/>
      <c r="P184" s="268"/>
      <c r="Q184" s="427">
        <f>AVERAGE(Q181:Q183)</f>
        <v>3.2226393313612594</v>
      </c>
    </row>
    <row r="185" spans="5:17" ht="30" customHeight="1" x14ac:dyDescent="0.3">
      <c r="M185" s="158"/>
      <c r="N185" s="158"/>
      <c r="O185" s="158"/>
      <c r="P185" s="158"/>
      <c r="Q185" s="158"/>
    </row>
    <row r="186" spans="5:17" ht="30" customHeight="1" thickBot="1" x14ac:dyDescent="0.35">
      <c r="M186" s="158"/>
      <c r="N186" s="158"/>
      <c r="O186" s="158"/>
      <c r="P186" s="158"/>
      <c r="Q186" s="158"/>
    </row>
    <row r="187" spans="5:17" ht="30" customHeight="1" x14ac:dyDescent="0.3">
      <c r="E187" s="420" t="s">
        <v>140</v>
      </c>
      <c r="F187" s="87" t="s">
        <v>414</v>
      </c>
      <c r="G187" s="87" t="s">
        <v>415</v>
      </c>
      <c r="H187" s="87" t="s">
        <v>416</v>
      </c>
      <c r="I187" s="87" t="s">
        <v>417</v>
      </c>
      <c r="J187" s="97" t="s">
        <v>418</v>
      </c>
      <c r="L187" s="420" t="s">
        <v>140</v>
      </c>
      <c r="M187" s="87" t="s">
        <v>414</v>
      </c>
      <c r="N187" s="87" t="s">
        <v>415</v>
      </c>
      <c r="O187" s="87" t="s">
        <v>416</v>
      </c>
      <c r="P187" s="87" t="s">
        <v>417</v>
      </c>
      <c r="Q187" s="97" t="s">
        <v>418</v>
      </c>
    </row>
    <row r="188" spans="5:17" ht="30" customHeight="1" x14ac:dyDescent="0.3">
      <c r="E188" s="399">
        <v>2021</v>
      </c>
      <c r="F188" s="430">
        <v>-68026</v>
      </c>
      <c r="G188" s="430">
        <v>-60849</v>
      </c>
      <c r="H188" s="430">
        <v>-80334</v>
      </c>
      <c r="I188" s="430">
        <v>-86095</v>
      </c>
      <c r="J188" s="431">
        <f t="shared" ref="J188:J190" si="39">SUM(G188:I188)</f>
        <v>-227278</v>
      </c>
      <c r="L188" s="399">
        <v>2021</v>
      </c>
      <c r="M188" s="138"/>
      <c r="N188" s="138"/>
      <c r="O188" s="138"/>
      <c r="P188" s="138"/>
      <c r="Q188" s="111">
        <f t="shared" ref="Q188:Q190" si="40">J188/F188</f>
        <v>3.3410460706200569</v>
      </c>
    </row>
    <row r="189" spans="5:17" ht="30" customHeight="1" x14ac:dyDescent="0.3">
      <c r="E189" s="399">
        <v>2022</v>
      </c>
      <c r="F189" s="430">
        <v>-68500</v>
      </c>
      <c r="G189" s="430">
        <v>-79081</v>
      </c>
      <c r="H189" s="430">
        <v>-79657</v>
      </c>
      <c r="I189" s="430">
        <v>-86315.509239999927</v>
      </c>
      <c r="J189" s="431">
        <f t="shared" si="39"/>
        <v>-245053.50923999993</v>
      </c>
      <c r="L189" s="399">
        <v>2022</v>
      </c>
      <c r="M189" s="138"/>
      <c r="N189" s="138"/>
      <c r="O189" s="138"/>
      <c r="P189" s="138"/>
      <c r="Q189" s="111">
        <f t="shared" si="40"/>
        <v>3.5774234925547432</v>
      </c>
    </row>
    <row r="190" spans="5:17" ht="30" customHeight="1" x14ac:dyDescent="0.3">
      <c r="E190" s="399">
        <v>2023</v>
      </c>
      <c r="F190" s="430">
        <v>-83697</v>
      </c>
      <c r="G190" s="430">
        <v>-91288.849760000012</v>
      </c>
      <c r="H190" s="430">
        <v>-80252.46908999994</v>
      </c>
      <c r="I190" s="430">
        <v>-107617.68115000005</v>
      </c>
      <c r="J190" s="431">
        <f t="shared" si="39"/>
        <v>-279159</v>
      </c>
      <c r="L190" s="399">
        <v>2023</v>
      </c>
      <c r="M190" s="138"/>
      <c r="N190" s="138"/>
      <c r="O190" s="138"/>
      <c r="P190" s="138"/>
      <c r="Q190" s="111">
        <f t="shared" si="40"/>
        <v>3.3353525215957562</v>
      </c>
    </row>
    <row r="191" spans="5:17" ht="30" customHeight="1" thickBot="1" x14ac:dyDescent="0.35">
      <c r="E191" s="423">
        <v>2024</v>
      </c>
      <c r="F191" s="433">
        <v>-88439.207550000006</v>
      </c>
      <c r="G191" s="425"/>
      <c r="H191" s="425"/>
      <c r="I191" s="425"/>
      <c r="J191" s="432">
        <f>Q191*F191</f>
        <v>-302279.96651193232</v>
      </c>
      <c r="L191" s="423" t="s">
        <v>420</v>
      </c>
      <c r="M191" s="267"/>
      <c r="N191" s="268"/>
      <c r="O191" s="268"/>
      <c r="P191" s="268"/>
      <c r="Q191" s="427">
        <f>AVERAGE(Q188:Q190)</f>
        <v>3.4179406949235189</v>
      </c>
    </row>
    <row r="192" spans="5:17" ht="30" customHeight="1" x14ac:dyDescent="0.3">
      <c r="M192" s="158"/>
      <c r="N192" s="158"/>
      <c r="O192" s="158"/>
      <c r="P192" s="158"/>
      <c r="Q192" s="158"/>
    </row>
    <row r="193" spans="5:17" ht="30" customHeight="1" thickBot="1" x14ac:dyDescent="0.35">
      <c r="M193" s="158"/>
      <c r="N193" s="158"/>
      <c r="O193" s="158"/>
      <c r="P193" s="158"/>
      <c r="Q193" s="158"/>
    </row>
    <row r="194" spans="5:17" ht="30" customHeight="1" x14ac:dyDescent="0.3">
      <c r="E194" s="420" t="s">
        <v>140</v>
      </c>
      <c r="F194" s="87" t="s">
        <v>414</v>
      </c>
      <c r="G194" s="87" t="s">
        <v>415</v>
      </c>
      <c r="H194" s="87" t="s">
        <v>416</v>
      </c>
      <c r="I194" s="87" t="s">
        <v>417</v>
      </c>
      <c r="J194" s="97" t="s">
        <v>418</v>
      </c>
      <c r="L194" s="420" t="s">
        <v>140</v>
      </c>
      <c r="M194" s="87" t="s">
        <v>414</v>
      </c>
      <c r="N194" s="87" t="s">
        <v>415</v>
      </c>
      <c r="O194" s="87" t="s">
        <v>416</v>
      </c>
      <c r="P194" s="87" t="s">
        <v>417</v>
      </c>
      <c r="Q194" s="97" t="s">
        <v>418</v>
      </c>
    </row>
    <row r="195" spans="5:17" ht="30" customHeight="1" x14ac:dyDescent="0.3">
      <c r="E195" s="399">
        <v>2021</v>
      </c>
      <c r="F195" s="430">
        <v>-32276</v>
      </c>
      <c r="G195" s="430">
        <v>-42566</v>
      </c>
      <c r="H195" s="430">
        <v>-32712</v>
      </c>
      <c r="I195" s="430">
        <v>-31913</v>
      </c>
      <c r="J195" s="431">
        <f t="shared" ref="J195:J197" si="41">SUM(G195:I195)</f>
        <v>-107191</v>
      </c>
      <c r="L195" s="399">
        <v>2021</v>
      </c>
      <c r="M195" s="138"/>
      <c r="N195" s="138"/>
      <c r="O195" s="138"/>
      <c r="P195" s="138"/>
      <c r="Q195" s="111">
        <f t="shared" ref="Q195:Q197" si="42">J195/F195</f>
        <v>3.3210744825876812</v>
      </c>
    </row>
    <row r="196" spans="5:17" ht="30" customHeight="1" x14ac:dyDescent="0.3">
      <c r="E196" s="399">
        <v>2022</v>
      </c>
      <c r="F196" s="430">
        <v>-39789</v>
      </c>
      <c r="G196" s="430">
        <v>-39671</v>
      </c>
      <c r="H196" s="430">
        <v>-42737</v>
      </c>
      <c r="I196" s="430">
        <v>-56522.322269999975</v>
      </c>
      <c r="J196" s="431">
        <f t="shared" si="41"/>
        <v>-138930.32226999998</v>
      </c>
      <c r="L196" s="399">
        <v>2022</v>
      </c>
      <c r="M196" s="138"/>
      <c r="N196" s="138"/>
      <c r="O196" s="138"/>
      <c r="P196" s="138"/>
      <c r="Q196" s="111">
        <f t="shared" si="42"/>
        <v>3.4916766510844699</v>
      </c>
    </row>
    <row r="197" spans="5:17" ht="30" customHeight="1" x14ac:dyDescent="0.3">
      <c r="E197" s="399">
        <v>2023</v>
      </c>
      <c r="F197" s="430">
        <v>-51875</v>
      </c>
      <c r="G197" s="430">
        <v>-39152.784140000003</v>
      </c>
      <c r="H197" s="430">
        <v>-41209.428350000002</v>
      </c>
      <c r="I197" s="430">
        <v>-38458.787509999995</v>
      </c>
      <c r="J197" s="431">
        <f t="shared" si="41"/>
        <v>-118821</v>
      </c>
      <c r="L197" s="399">
        <v>2023</v>
      </c>
      <c r="M197" s="138"/>
      <c r="N197" s="138"/>
      <c r="O197" s="138"/>
      <c r="P197" s="138"/>
      <c r="Q197" s="111">
        <f t="shared" si="42"/>
        <v>2.2905253012048195</v>
      </c>
    </row>
    <row r="198" spans="5:17" ht="30" customHeight="1" thickBot="1" x14ac:dyDescent="0.35">
      <c r="E198" s="423">
        <v>2024</v>
      </c>
      <c r="F198" s="433">
        <v>-41511.576139999997</v>
      </c>
      <c r="G198" s="425"/>
      <c r="H198" s="425"/>
      <c r="I198" s="425"/>
      <c r="J198" s="432">
        <f>Q198*F198</f>
        <v>-125963.78428328771</v>
      </c>
      <c r="L198" s="423" t="s">
        <v>420</v>
      </c>
      <c r="M198" s="267"/>
      <c r="N198" s="268"/>
      <c r="O198" s="268"/>
      <c r="P198" s="268"/>
      <c r="Q198" s="427">
        <f>AVERAGE(Q195:Q197)</f>
        <v>3.0344254782923237</v>
      </c>
    </row>
    <row r="199" spans="5:17" ht="30" customHeight="1" x14ac:dyDescent="0.3">
      <c r="M199" s="158"/>
      <c r="N199" s="158"/>
      <c r="O199" s="158"/>
      <c r="P199" s="158"/>
      <c r="Q199" s="158"/>
    </row>
    <row r="200" spans="5:17" ht="30" customHeight="1" thickBot="1" x14ac:dyDescent="0.35">
      <c r="M200" s="158"/>
      <c r="N200" s="158"/>
      <c r="O200" s="158"/>
      <c r="P200" s="158"/>
      <c r="Q200" s="158"/>
    </row>
    <row r="201" spans="5:17" ht="30" customHeight="1" x14ac:dyDescent="0.3">
      <c r="E201" s="420" t="s">
        <v>140</v>
      </c>
      <c r="F201" s="87" t="s">
        <v>414</v>
      </c>
      <c r="G201" s="87" t="s">
        <v>415</v>
      </c>
      <c r="H201" s="87" t="s">
        <v>416</v>
      </c>
      <c r="I201" s="87" t="s">
        <v>417</v>
      </c>
      <c r="J201" s="97" t="s">
        <v>418</v>
      </c>
      <c r="L201" s="420" t="s">
        <v>140</v>
      </c>
      <c r="M201" s="87" t="s">
        <v>414</v>
      </c>
      <c r="N201" s="87" t="s">
        <v>415</v>
      </c>
      <c r="O201" s="87" t="s">
        <v>416</v>
      </c>
      <c r="P201" s="87" t="s">
        <v>417</v>
      </c>
      <c r="Q201" s="97" t="s">
        <v>418</v>
      </c>
    </row>
    <row r="202" spans="5:17" ht="30" customHeight="1" x14ac:dyDescent="0.3">
      <c r="E202" s="399">
        <v>2021</v>
      </c>
      <c r="F202" s="430">
        <v>-13503</v>
      </c>
      <c r="G202" s="430">
        <v>-18577</v>
      </c>
      <c r="H202" s="430">
        <v>-10582</v>
      </c>
      <c r="I202" s="430">
        <v>-29942</v>
      </c>
      <c r="J202" s="431">
        <f t="shared" ref="J202:J204" si="43">SUM(G202:I202)</f>
        <v>-59101</v>
      </c>
      <c r="L202" s="399">
        <v>2021</v>
      </c>
      <c r="M202" s="138"/>
      <c r="N202" s="138"/>
      <c r="O202" s="138"/>
      <c r="P202" s="138"/>
      <c r="Q202" s="111">
        <f t="shared" ref="Q202:Q204" si="44">J202/F202</f>
        <v>4.3768792120269566</v>
      </c>
    </row>
    <row r="203" spans="5:17" ht="30" customHeight="1" x14ac:dyDescent="0.3">
      <c r="E203" s="399">
        <v>2022</v>
      </c>
      <c r="F203" s="430">
        <v>-50103</v>
      </c>
      <c r="G203" s="430">
        <v>-43090</v>
      </c>
      <c r="H203" s="430">
        <v>-22453</v>
      </c>
      <c r="I203" s="430">
        <v>-21522</v>
      </c>
      <c r="J203" s="431">
        <f t="shared" si="43"/>
        <v>-87065</v>
      </c>
      <c r="L203" s="399">
        <v>2022</v>
      </c>
      <c r="M203" s="138"/>
      <c r="N203" s="138"/>
      <c r="O203" s="138"/>
      <c r="P203" s="138"/>
      <c r="Q203" s="111">
        <f t="shared" si="44"/>
        <v>1.7377202961898488</v>
      </c>
    </row>
    <row r="204" spans="5:17" ht="30" customHeight="1" x14ac:dyDescent="0.3">
      <c r="E204" s="399">
        <v>2023</v>
      </c>
      <c r="F204" s="430">
        <v>-21195</v>
      </c>
      <c r="G204" s="430">
        <v>-264330.73456000001</v>
      </c>
      <c r="H204" s="430">
        <v>-31417.066529999953</v>
      </c>
      <c r="I204" s="430">
        <v>-86343.198910000036</v>
      </c>
      <c r="J204" s="431">
        <f t="shared" si="43"/>
        <v>-382091</v>
      </c>
      <c r="L204" s="399">
        <v>2023</v>
      </c>
      <c r="M204" s="138"/>
      <c r="N204" s="138"/>
      <c r="O204" s="138"/>
      <c r="P204" s="138"/>
      <c r="Q204" s="111">
        <f t="shared" si="44"/>
        <v>18.027412125501296</v>
      </c>
    </row>
    <row r="205" spans="5:17" ht="30" customHeight="1" thickBot="1" x14ac:dyDescent="0.35">
      <c r="E205" s="423">
        <v>2024</v>
      </c>
      <c r="F205" s="433">
        <v>-44510.629890000004</v>
      </c>
      <c r="G205" s="425"/>
      <c r="H205" s="425"/>
      <c r="I205" s="425"/>
      <c r="J205" s="432">
        <f>Q205*F205</f>
        <v>-194817.65067976672</v>
      </c>
      <c r="L205" s="423" t="s">
        <v>420</v>
      </c>
      <c r="M205" s="267"/>
      <c r="N205" s="268"/>
      <c r="O205" s="268"/>
      <c r="P205" s="268"/>
      <c r="Q205" s="427">
        <f>Q202</f>
        <v>4.3768792120269566</v>
      </c>
    </row>
    <row r="206" spans="5:17" ht="30" customHeight="1" x14ac:dyDescent="0.3">
      <c r="M206" s="158"/>
      <c r="N206" s="158"/>
      <c r="O206" s="158"/>
      <c r="P206" s="158"/>
      <c r="Q206" s="158"/>
    </row>
    <row r="207" spans="5:17" ht="30" customHeight="1" thickBot="1" x14ac:dyDescent="0.35">
      <c r="M207" s="158"/>
      <c r="N207" s="158"/>
      <c r="O207" s="158"/>
      <c r="P207" s="158"/>
      <c r="Q207" s="158"/>
    </row>
    <row r="208" spans="5:17" ht="30" customHeight="1" x14ac:dyDescent="0.3">
      <c r="E208" s="420" t="s">
        <v>140</v>
      </c>
      <c r="F208" s="87" t="s">
        <v>414</v>
      </c>
      <c r="G208" s="87" t="s">
        <v>415</v>
      </c>
      <c r="H208" s="87" t="s">
        <v>416</v>
      </c>
      <c r="I208" s="87" t="s">
        <v>417</v>
      </c>
      <c r="J208" s="97" t="s">
        <v>418</v>
      </c>
      <c r="L208" s="420" t="s">
        <v>140</v>
      </c>
      <c r="M208" s="87" t="s">
        <v>414</v>
      </c>
      <c r="N208" s="87" t="s">
        <v>415</v>
      </c>
      <c r="O208" s="87" t="s">
        <v>416</v>
      </c>
      <c r="P208" s="87" t="s">
        <v>417</v>
      </c>
      <c r="Q208" s="97" t="s">
        <v>418</v>
      </c>
    </row>
    <row r="209" spans="5:17" ht="30" customHeight="1" x14ac:dyDescent="0.3">
      <c r="E209" s="399">
        <v>2021</v>
      </c>
      <c r="F209" s="430">
        <v>-35822</v>
      </c>
      <c r="G209" s="430">
        <v>-38692</v>
      </c>
      <c r="H209" s="430">
        <v>-6860</v>
      </c>
      <c r="I209" s="430">
        <v>-71331</v>
      </c>
      <c r="J209" s="431">
        <f t="shared" ref="J209:J211" si="45">SUM(G209:I209)</f>
        <v>-116883</v>
      </c>
      <c r="L209" s="399">
        <v>2021</v>
      </c>
      <c r="M209" s="138"/>
      <c r="N209" s="138"/>
      <c r="O209" s="138"/>
      <c r="P209" s="138"/>
      <c r="Q209" s="111">
        <f t="shared" ref="Q209:Q211" si="46">J209/F209</f>
        <v>3.2628831444363797</v>
      </c>
    </row>
    <row r="210" spans="5:17" ht="30" customHeight="1" x14ac:dyDescent="0.3">
      <c r="E210" s="399">
        <v>2022</v>
      </c>
      <c r="F210" s="430">
        <v>-39116</v>
      </c>
      <c r="G210" s="430">
        <v>-64869</v>
      </c>
      <c r="H210" s="430">
        <v>-37795</v>
      </c>
      <c r="I210" s="430">
        <v>-167964.16219</v>
      </c>
      <c r="J210" s="431">
        <f t="shared" si="45"/>
        <v>-270628.16219</v>
      </c>
      <c r="L210" s="399">
        <v>2022</v>
      </c>
      <c r="M210" s="138"/>
      <c r="N210" s="138"/>
      <c r="O210" s="138"/>
      <c r="P210" s="138"/>
      <c r="Q210" s="111">
        <f t="shared" si="46"/>
        <v>6.9186052303405257</v>
      </c>
    </row>
    <row r="211" spans="5:17" ht="30" customHeight="1" x14ac:dyDescent="0.3">
      <c r="E211" s="399">
        <v>2023</v>
      </c>
      <c r="F211" s="430">
        <v>-102649</v>
      </c>
      <c r="G211" s="430">
        <v>-84761.601329999976</v>
      </c>
      <c r="H211" s="430">
        <v>-66140.635440000013</v>
      </c>
      <c r="I211" s="430">
        <v>-2554.7632300000114</v>
      </c>
      <c r="J211" s="431">
        <f t="shared" si="45"/>
        <v>-153457</v>
      </c>
      <c r="L211" s="399">
        <v>2023</v>
      </c>
      <c r="M211" s="138"/>
      <c r="N211" s="138"/>
      <c r="O211" s="138"/>
      <c r="P211" s="138"/>
      <c r="Q211" s="111">
        <f t="shared" si="46"/>
        <v>1.4949682899979542</v>
      </c>
    </row>
    <row r="212" spans="5:17" ht="30" customHeight="1" thickBot="1" x14ac:dyDescent="0.35">
      <c r="E212" s="423">
        <v>2024</v>
      </c>
      <c r="F212" s="433">
        <v>-98635.402260000003</v>
      </c>
      <c r="G212" s="425"/>
      <c r="H212" s="425"/>
      <c r="I212" s="425"/>
      <c r="J212" s="432">
        <f>Q212*F212</f>
        <v>-234646.29506437431</v>
      </c>
      <c r="L212" s="423" t="s">
        <v>420</v>
      </c>
      <c r="M212" s="267"/>
      <c r="N212" s="268"/>
      <c r="O212" s="268"/>
      <c r="P212" s="268"/>
      <c r="Q212" s="427">
        <f>AVERAGE(Q209,Q211)</f>
        <v>2.3789257172171672</v>
      </c>
    </row>
    <row r="213" spans="5:17" ht="30" customHeight="1" x14ac:dyDescent="0.3">
      <c r="M213" s="158"/>
      <c r="N213" s="158"/>
      <c r="O213" s="158"/>
      <c r="P213" s="158"/>
      <c r="Q213" s="158"/>
    </row>
    <row r="214" spans="5:17" ht="30" customHeight="1" thickBot="1" x14ac:dyDescent="0.35">
      <c r="M214" s="158"/>
      <c r="N214" s="158"/>
      <c r="O214" s="158"/>
      <c r="P214" s="158"/>
      <c r="Q214" s="158"/>
    </row>
    <row r="215" spans="5:17" ht="30" customHeight="1" x14ac:dyDescent="0.3">
      <c r="E215" s="420" t="s">
        <v>140</v>
      </c>
      <c r="F215" s="87" t="s">
        <v>414</v>
      </c>
      <c r="G215" s="87" t="s">
        <v>415</v>
      </c>
      <c r="H215" s="87" t="s">
        <v>416</v>
      </c>
      <c r="I215" s="87" t="s">
        <v>417</v>
      </c>
      <c r="J215" s="97" t="s">
        <v>418</v>
      </c>
      <c r="L215" s="420" t="s">
        <v>140</v>
      </c>
      <c r="M215" s="87" t="s">
        <v>414</v>
      </c>
      <c r="N215" s="87" t="s">
        <v>415</v>
      </c>
      <c r="O215" s="87" t="s">
        <v>416</v>
      </c>
      <c r="P215" s="87" t="s">
        <v>417</v>
      </c>
      <c r="Q215" s="97" t="s">
        <v>418</v>
      </c>
    </row>
    <row r="216" spans="5:17" ht="30" customHeight="1" x14ac:dyDescent="0.3">
      <c r="E216" s="399">
        <v>2021</v>
      </c>
      <c r="F216" s="430">
        <v>-36982</v>
      </c>
      <c r="G216" s="430">
        <v>-80427</v>
      </c>
      <c r="H216" s="430">
        <v>-35062</v>
      </c>
      <c r="I216" s="430">
        <v>-36925</v>
      </c>
      <c r="J216" s="431">
        <f t="shared" ref="J216:J218" si="47">SUM(G216:I216)</f>
        <v>-152414</v>
      </c>
      <c r="L216" s="399">
        <v>2021</v>
      </c>
      <c r="M216" s="138"/>
      <c r="N216" s="138"/>
      <c r="O216" s="138"/>
      <c r="P216" s="138"/>
      <c r="Q216" s="111">
        <f t="shared" ref="Q216:Q218" si="48">J216/F216</f>
        <v>4.1213022551511544</v>
      </c>
    </row>
    <row r="217" spans="5:17" ht="30" customHeight="1" x14ac:dyDescent="0.3">
      <c r="E217" s="399">
        <v>2022</v>
      </c>
      <c r="F217" s="430">
        <v>-41086</v>
      </c>
      <c r="G217" s="430">
        <v>-82875</v>
      </c>
      <c r="H217" s="430">
        <v>-41087</v>
      </c>
      <c r="I217" s="430">
        <v>-43057.24920000002</v>
      </c>
      <c r="J217" s="431">
        <f t="shared" si="47"/>
        <v>-167019.24920000002</v>
      </c>
      <c r="L217" s="399">
        <v>2022</v>
      </c>
      <c r="M217" s="138"/>
      <c r="N217" s="138"/>
      <c r="O217" s="138"/>
      <c r="P217" s="138"/>
      <c r="Q217" s="111">
        <f t="shared" si="48"/>
        <v>4.0651134011585457</v>
      </c>
    </row>
    <row r="218" spans="5:17" ht="30" customHeight="1" x14ac:dyDescent="0.3">
      <c r="E218" s="399">
        <v>2023</v>
      </c>
      <c r="F218" s="430">
        <v>-44245</v>
      </c>
      <c r="G218" s="430">
        <v>-38961.24162999999</v>
      </c>
      <c r="H218" s="430">
        <v>-42185.924730000013</v>
      </c>
      <c r="I218" s="430">
        <v>-44978.833639999997</v>
      </c>
      <c r="J218" s="431">
        <f t="shared" si="47"/>
        <v>-126126</v>
      </c>
      <c r="L218" s="399">
        <v>2023</v>
      </c>
      <c r="M218" s="138"/>
      <c r="N218" s="138"/>
      <c r="O218" s="138"/>
      <c r="P218" s="138"/>
      <c r="Q218" s="111">
        <f t="shared" si="48"/>
        <v>2.8506271895129394</v>
      </c>
    </row>
    <row r="219" spans="5:17" ht="30" customHeight="1" thickBot="1" x14ac:dyDescent="0.35">
      <c r="E219" s="423">
        <v>2024</v>
      </c>
      <c r="F219" s="433">
        <v>-38858.758630000004</v>
      </c>
      <c r="G219" s="425"/>
      <c r="H219" s="425"/>
      <c r="I219" s="425"/>
      <c r="J219" s="432">
        <f>Q219*F219</f>
        <v>-142961.92797826344</v>
      </c>
      <c r="L219" s="423" t="s">
        <v>420</v>
      </c>
      <c r="M219" s="267"/>
      <c r="N219" s="268"/>
      <c r="O219" s="268"/>
      <c r="P219" s="268"/>
      <c r="Q219" s="427">
        <f>AVERAGE(Q216:Q218)</f>
        <v>3.67901428194088</v>
      </c>
    </row>
    <row r="220" spans="5:17" ht="30" customHeight="1" x14ac:dyDescent="0.3">
      <c r="M220" s="158"/>
      <c r="N220" s="158"/>
      <c r="O220" s="158"/>
      <c r="P220" s="158"/>
      <c r="Q220" s="158"/>
    </row>
    <row r="221" spans="5:17" ht="30" customHeight="1" thickBot="1" x14ac:dyDescent="0.35">
      <c r="M221" s="158"/>
      <c r="N221" s="158"/>
      <c r="O221" s="158"/>
      <c r="P221" s="158"/>
      <c r="Q221" s="158"/>
    </row>
    <row r="222" spans="5:17" ht="30" customHeight="1" x14ac:dyDescent="0.3">
      <c r="E222" s="420" t="s">
        <v>140</v>
      </c>
      <c r="F222" s="87" t="s">
        <v>414</v>
      </c>
      <c r="G222" s="87" t="s">
        <v>415</v>
      </c>
      <c r="H222" s="87" t="s">
        <v>416</v>
      </c>
      <c r="I222" s="87" t="s">
        <v>417</v>
      </c>
      <c r="J222" s="97" t="s">
        <v>418</v>
      </c>
      <c r="L222" s="420" t="s">
        <v>140</v>
      </c>
      <c r="M222" s="87" t="s">
        <v>414</v>
      </c>
      <c r="N222" s="87" t="s">
        <v>415</v>
      </c>
      <c r="O222" s="87" t="s">
        <v>416</v>
      </c>
      <c r="P222" s="87" t="s">
        <v>417</v>
      </c>
      <c r="Q222" s="97" t="s">
        <v>418</v>
      </c>
    </row>
    <row r="223" spans="5:17" ht="30" customHeight="1" x14ac:dyDescent="0.3">
      <c r="E223" s="399">
        <v>2021</v>
      </c>
      <c r="F223" s="430">
        <v>-14143</v>
      </c>
      <c r="G223" s="430">
        <v>-25169</v>
      </c>
      <c r="H223" s="430">
        <v>-15402</v>
      </c>
      <c r="I223" s="430">
        <v>-13473</v>
      </c>
      <c r="J223" s="431">
        <f t="shared" ref="J223:J225" si="49">SUM(G223:I223)</f>
        <v>-54044</v>
      </c>
      <c r="L223" s="399">
        <v>2021</v>
      </c>
      <c r="M223" s="138"/>
      <c r="N223" s="138"/>
      <c r="O223" s="138"/>
      <c r="P223" s="138"/>
      <c r="Q223" s="111">
        <f t="shared" ref="Q223:Q225" si="50">J223/F223</f>
        <v>3.8212543307643356</v>
      </c>
    </row>
    <row r="224" spans="5:17" ht="30" customHeight="1" x14ac:dyDescent="0.3">
      <c r="E224" s="399">
        <v>2022</v>
      </c>
      <c r="F224" s="430">
        <v>-28318</v>
      </c>
      <c r="G224" s="430">
        <v>-114790</v>
      </c>
      <c r="H224" s="430">
        <v>-29941</v>
      </c>
      <c r="I224" s="430">
        <v>-22353.589360000013</v>
      </c>
      <c r="J224" s="431">
        <f t="shared" si="49"/>
        <v>-167084.58936000001</v>
      </c>
      <c r="L224" s="399">
        <v>2022</v>
      </c>
      <c r="M224" s="138"/>
      <c r="N224" s="138"/>
      <c r="O224" s="138"/>
      <c r="P224" s="138"/>
      <c r="Q224" s="111">
        <f t="shared" si="50"/>
        <v>5.9002962553852676</v>
      </c>
    </row>
    <row r="225" spans="5:17" ht="30" customHeight="1" x14ac:dyDescent="0.3">
      <c r="E225" s="399">
        <v>2023</v>
      </c>
      <c r="F225" s="430">
        <v>-48977</v>
      </c>
      <c r="G225" s="430">
        <v>-50064.655469999998</v>
      </c>
      <c r="H225" s="430">
        <v>-30194.384080000018</v>
      </c>
      <c r="I225" s="430">
        <v>-39445.960449999984</v>
      </c>
      <c r="J225" s="431">
        <f t="shared" si="49"/>
        <v>-119705</v>
      </c>
      <c r="L225" s="399">
        <v>2023</v>
      </c>
      <c r="M225" s="138"/>
      <c r="N225" s="138"/>
      <c r="O225" s="138"/>
      <c r="P225" s="138"/>
      <c r="Q225" s="111">
        <f t="shared" si="50"/>
        <v>2.4441064172979154</v>
      </c>
    </row>
    <row r="226" spans="5:17" ht="30" customHeight="1" thickBot="1" x14ac:dyDescent="0.35">
      <c r="E226" s="423">
        <v>2024</v>
      </c>
      <c r="F226" s="433">
        <v>-31387.604769999998</v>
      </c>
      <c r="G226" s="425"/>
      <c r="H226" s="425"/>
      <c r="I226" s="425"/>
      <c r="J226" s="432">
        <f>Q226*F226</f>
        <v>-127283.61126386443</v>
      </c>
      <c r="L226" s="423" t="s">
        <v>420</v>
      </c>
      <c r="M226" s="267"/>
      <c r="N226" s="268"/>
      <c r="O226" s="268"/>
      <c r="P226" s="268"/>
      <c r="Q226" s="427">
        <f>AVERAGE(Q223:Q225)</f>
        <v>4.0552190011491733</v>
      </c>
    </row>
    <row r="227" spans="5:17" ht="30" customHeight="1" x14ac:dyDescent="0.3">
      <c r="M227" s="158"/>
      <c r="N227" s="158"/>
      <c r="O227" s="158"/>
      <c r="P227" s="158"/>
      <c r="Q227" s="158"/>
    </row>
    <row r="228" spans="5:17" ht="30" customHeight="1" thickBot="1" x14ac:dyDescent="0.35">
      <c r="M228" s="158"/>
      <c r="N228" s="158"/>
      <c r="O228" s="158"/>
      <c r="P228" s="158"/>
      <c r="Q228" s="158"/>
    </row>
    <row r="229" spans="5:17" ht="30" customHeight="1" x14ac:dyDescent="0.3">
      <c r="E229" s="420" t="s">
        <v>140</v>
      </c>
      <c r="F229" s="87" t="s">
        <v>414</v>
      </c>
      <c r="G229" s="87" t="s">
        <v>415</v>
      </c>
      <c r="H229" s="87" t="s">
        <v>416</v>
      </c>
      <c r="I229" s="87" t="s">
        <v>417</v>
      </c>
      <c r="J229" s="97" t="s">
        <v>418</v>
      </c>
      <c r="L229" s="420" t="s">
        <v>140</v>
      </c>
      <c r="M229" s="87" t="s">
        <v>414</v>
      </c>
      <c r="N229" s="87" t="s">
        <v>415</v>
      </c>
      <c r="O229" s="87" t="s">
        <v>416</v>
      </c>
      <c r="P229" s="87" t="s">
        <v>417</v>
      </c>
      <c r="Q229" s="97" t="s">
        <v>418</v>
      </c>
    </row>
    <row r="230" spans="5:17" ht="30" customHeight="1" x14ac:dyDescent="0.3">
      <c r="E230" s="399">
        <v>2021</v>
      </c>
      <c r="F230" s="430">
        <v>-20900</v>
      </c>
      <c r="G230" s="430">
        <v>-18563</v>
      </c>
      <c r="H230" s="430">
        <v>-21988</v>
      </c>
      <c r="I230" s="430">
        <v>-24187</v>
      </c>
      <c r="J230" s="431">
        <f t="shared" ref="J230:J232" si="51">SUM(G230:I230)</f>
        <v>-64738</v>
      </c>
      <c r="L230" s="399">
        <v>2021</v>
      </c>
      <c r="M230" s="138"/>
      <c r="N230" s="138"/>
      <c r="O230" s="138"/>
      <c r="P230" s="138"/>
      <c r="Q230" s="111">
        <f t="shared" ref="Q230:Q232" si="52">J230/F230</f>
        <v>3.0975119617224882</v>
      </c>
    </row>
    <row r="231" spans="5:17" ht="30" customHeight="1" x14ac:dyDescent="0.3">
      <c r="E231" s="399">
        <v>2022</v>
      </c>
      <c r="F231" s="430">
        <v>-21297</v>
      </c>
      <c r="G231" s="430">
        <v>-22043</v>
      </c>
      <c r="H231" s="430">
        <v>-2961</v>
      </c>
      <c r="I231" s="430">
        <v>-9052.2426999999952</v>
      </c>
      <c r="J231" s="431">
        <f t="shared" si="51"/>
        <v>-34056.242699999995</v>
      </c>
      <c r="L231" s="399">
        <v>2022</v>
      </c>
      <c r="M231" s="138"/>
      <c r="N231" s="138"/>
      <c r="O231" s="138"/>
      <c r="P231" s="138"/>
      <c r="Q231" s="111">
        <f t="shared" si="52"/>
        <v>1.5991098605437384</v>
      </c>
    </row>
    <row r="232" spans="5:17" ht="30" customHeight="1" x14ac:dyDescent="0.3">
      <c r="E232" s="399">
        <v>2023</v>
      </c>
      <c r="F232" s="430">
        <v>-14849</v>
      </c>
      <c r="G232" s="430">
        <v>-11072.41577</v>
      </c>
      <c r="H232" s="430">
        <v>-4865.9842199999985</v>
      </c>
      <c r="I232" s="430">
        <v>-5797.6000100000019</v>
      </c>
      <c r="J232" s="431">
        <f t="shared" si="51"/>
        <v>-21736</v>
      </c>
      <c r="L232" s="399">
        <v>2023</v>
      </c>
      <c r="M232" s="138"/>
      <c r="N232" s="138"/>
      <c r="O232" s="138"/>
      <c r="P232" s="138"/>
      <c r="Q232" s="111">
        <f t="shared" si="52"/>
        <v>1.4638022762475587</v>
      </c>
    </row>
    <row r="233" spans="5:17" ht="30" customHeight="1" thickBot="1" x14ac:dyDescent="0.35">
      <c r="E233" s="423">
        <v>2024</v>
      </c>
      <c r="F233" s="433">
        <v>-11300.157660000001</v>
      </c>
      <c r="G233" s="425"/>
      <c r="H233" s="425"/>
      <c r="I233" s="425"/>
      <c r="J233" s="432">
        <f>Q233*F233</f>
        <v>-17305.695022234573</v>
      </c>
      <c r="L233" s="423" t="s">
        <v>420</v>
      </c>
      <c r="M233" s="267"/>
      <c r="N233" s="268"/>
      <c r="O233" s="268"/>
      <c r="P233" s="268"/>
      <c r="Q233" s="427">
        <f>AVERAGE(Q231:Q232)</f>
        <v>1.5314560683956486</v>
      </c>
    </row>
    <row r="234" spans="5:17" ht="30" customHeight="1" x14ac:dyDescent="0.3">
      <c r="M234" s="158"/>
      <c r="N234" s="158"/>
      <c r="O234" s="158"/>
      <c r="P234" s="158"/>
      <c r="Q234" s="158"/>
    </row>
    <row r="235" spans="5:17" ht="30" customHeight="1" thickBot="1" x14ac:dyDescent="0.35">
      <c r="M235" s="158"/>
      <c r="N235" s="158"/>
      <c r="O235" s="158"/>
      <c r="P235" s="158"/>
      <c r="Q235" s="158"/>
    </row>
    <row r="236" spans="5:17" ht="30" customHeight="1" x14ac:dyDescent="0.3">
      <c r="E236" s="420" t="s">
        <v>140</v>
      </c>
      <c r="F236" s="87" t="s">
        <v>414</v>
      </c>
      <c r="G236" s="87" t="s">
        <v>415</v>
      </c>
      <c r="H236" s="87" t="s">
        <v>416</v>
      </c>
      <c r="I236" s="87" t="s">
        <v>417</v>
      </c>
      <c r="J236" s="97" t="s">
        <v>418</v>
      </c>
      <c r="L236" s="420" t="s">
        <v>140</v>
      </c>
      <c r="M236" s="87" t="s">
        <v>414</v>
      </c>
      <c r="N236" s="87" t="s">
        <v>415</v>
      </c>
      <c r="O236" s="87" t="s">
        <v>416</v>
      </c>
      <c r="P236" s="87" t="s">
        <v>417</v>
      </c>
      <c r="Q236" s="97" t="s">
        <v>418</v>
      </c>
    </row>
    <row r="237" spans="5:17" ht="30" customHeight="1" x14ac:dyDescent="0.3">
      <c r="E237" s="399">
        <v>2021</v>
      </c>
      <c r="F237" s="430">
        <v>0</v>
      </c>
      <c r="G237" s="430">
        <v>0</v>
      </c>
      <c r="H237" s="430">
        <v>0</v>
      </c>
      <c r="I237" s="430">
        <v>-50255</v>
      </c>
      <c r="J237" s="431">
        <f t="shared" ref="J237:J239" si="53">SUM(G237:I237)</f>
        <v>-50255</v>
      </c>
      <c r="L237" s="399">
        <v>2021</v>
      </c>
      <c r="M237" s="138"/>
      <c r="N237" s="138"/>
      <c r="O237" s="138"/>
      <c r="P237" s="138"/>
      <c r="Q237" s="111" t="e">
        <f t="shared" ref="Q237:Q239" si="54">J237/F237</f>
        <v>#DIV/0!</v>
      </c>
    </row>
    <row r="238" spans="5:17" ht="30" customHeight="1" x14ac:dyDescent="0.3">
      <c r="E238" s="399">
        <v>2022</v>
      </c>
      <c r="F238" s="430">
        <v>0</v>
      </c>
      <c r="G238" s="430">
        <v>0</v>
      </c>
      <c r="H238" s="430">
        <v>0</v>
      </c>
      <c r="I238" s="430">
        <v>-75599.964659999998</v>
      </c>
      <c r="J238" s="431">
        <f t="shared" si="53"/>
        <v>-75599.964659999998</v>
      </c>
      <c r="L238" s="399">
        <v>2022</v>
      </c>
      <c r="M238" s="138"/>
      <c r="N238" s="138"/>
      <c r="O238" s="138"/>
      <c r="P238" s="138"/>
      <c r="Q238" s="111" t="e">
        <f t="shared" si="54"/>
        <v>#DIV/0!</v>
      </c>
    </row>
    <row r="239" spans="5:17" ht="30" customHeight="1" x14ac:dyDescent="0.3">
      <c r="E239" s="399">
        <v>2023</v>
      </c>
      <c r="F239" s="430">
        <v>0</v>
      </c>
      <c r="G239" s="430">
        <v>0</v>
      </c>
      <c r="H239" s="430">
        <v>0</v>
      </c>
      <c r="I239" s="430">
        <v>-90262</v>
      </c>
      <c r="J239" s="431">
        <f t="shared" si="53"/>
        <v>-90262</v>
      </c>
      <c r="L239" s="399">
        <v>2023</v>
      </c>
      <c r="M239" s="138"/>
      <c r="N239" s="138"/>
      <c r="O239" s="138"/>
      <c r="P239" s="138"/>
      <c r="Q239" s="111" t="e">
        <f t="shared" si="54"/>
        <v>#DIV/0!</v>
      </c>
    </row>
    <row r="240" spans="5:17" ht="30" customHeight="1" thickBot="1" x14ac:dyDescent="0.35">
      <c r="E240" s="423">
        <v>2024</v>
      </c>
      <c r="F240" s="433">
        <v>0</v>
      </c>
      <c r="G240" s="425"/>
      <c r="H240" s="425"/>
      <c r="I240" s="425"/>
      <c r="J240" s="432" t="e">
        <f>Q240*F240</f>
        <v>#DIV/0!</v>
      </c>
      <c r="L240" s="423" t="s">
        <v>420</v>
      </c>
      <c r="M240" s="267"/>
      <c r="N240" s="268"/>
      <c r="O240" s="268"/>
      <c r="P240" s="268"/>
      <c r="Q240" s="427" t="e">
        <f>AVERAGE(Q237:Q239)</f>
        <v>#DIV/0!</v>
      </c>
    </row>
    <row r="241" ht="30" customHeight="1" x14ac:dyDescent="0.3"/>
    <row r="242" ht="31.8" customHeight="1" x14ac:dyDescent="0.3"/>
    <row r="243" ht="30" customHeight="1" x14ac:dyDescent="0.3"/>
    <row r="244" ht="30" customHeight="1" x14ac:dyDescent="0.3"/>
    <row r="245" ht="30" hidden="1" customHeight="1" x14ac:dyDescent="0.3"/>
    <row r="246" ht="30" hidden="1" customHeight="1" x14ac:dyDescent="0.3"/>
    <row r="247" ht="30" hidden="1" customHeight="1" x14ac:dyDescent="0.3"/>
    <row r="248" ht="30" hidden="1" customHeight="1" x14ac:dyDescent="0.3"/>
    <row r="249" ht="30" hidden="1" customHeight="1" x14ac:dyDescent="0.3"/>
    <row r="250" ht="30" hidden="1" customHeight="1" x14ac:dyDescent="0.3"/>
    <row r="251" ht="30" hidden="1" customHeight="1" x14ac:dyDescent="0.3"/>
    <row r="252" ht="30" hidden="1" customHeight="1" x14ac:dyDescent="0.3"/>
    <row r="253" ht="30" hidden="1" customHeight="1" x14ac:dyDescent="0.3"/>
    <row r="254" ht="30" hidden="1" customHeight="1" x14ac:dyDescent="0.3"/>
    <row r="255" ht="30" hidden="1" customHeight="1" x14ac:dyDescent="0.3"/>
    <row r="256" ht="30" hidden="1" customHeight="1" x14ac:dyDescent="0.3"/>
    <row r="257" ht="30" hidden="1" customHeight="1" x14ac:dyDescent="0.3"/>
    <row r="258" ht="30" hidden="1" customHeight="1" x14ac:dyDescent="0.3"/>
    <row r="259" ht="30" hidden="1" customHeight="1" x14ac:dyDescent="0.3"/>
    <row r="260" ht="30" hidden="1" customHeight="1" x14ac:dyDescent="0.3"/>
    <row r="261" ht="30" hidden="1" customHeight="1" x14ac:dyDescent="0.3"/>
    <row r="262" ht="30" hidden="1" customHeight="1" x14ac:dyDescent="0.3"/>
    <row r="263" ht="30" hidden="1" customHeight="1" x14ac:dyDescent="0.3"/>
    <row r="264" ht="30" hidden="1" customHeight="1" x14ac:dyDescent="0.3"/>
    <row r="265" ht="30" hidden="1" customHeight="1" x14ac:dyDescent="0.3"/>
    <row r="266" ht="30" hidden="1" customHeight="1" x14ac:dyDescent="0.3"/>
    <row r="267" ht="30" hidden="1" customHeight="1" x14ac:dyDescent="0.3"/>
    <row r="268" ht="30" hidden="1" customHeight="1" x14ac:dyDescent="0.3"/>
    <row r="269" ht="30" hidden="1" customHeight="1" x14ac:dyDescent="0.3"/>
    <row r="270" ht="30" hidden="1" customHeight="1" x14ac:dyDescent="0.3"/>
    <row r="271" ht="30" hidden="1" customHeight="1" x14ac:dyDescent="0.3"/>
    <row r="272" ht="30" hidden="1" customHeight="1" x14ac:dyDescent="0.3"/>
    <row r="273" ht="30" hidden="1" customHeight="1" x14ac:dyDescent="0.3"/>
    <row r="274" ht="30" hidden="1" customHeight="1" x14ac:dyDescent="0.3"/>
    <row r="275" ht="30" hidden="1" customHeight="1" x14ac:dyDescent="0.3"/>
    <row r="276" ht="30" hidden="1" customHeight="1" x14ac:dyDescent="0.3"/>
    <row r="277" ht="30" hidden="1" customHeight="1" x14ac:dyDescent="0.3"/>
    <row r="278" ht="30" hidden="1" customHeight="1" x14ac:dyDescent="0.3"/>
    <row r="279" ht="30" hidden="1" customHeight="1" x14ac:dyDescent="0.3"/>
    <row r="280" ht="30" hidden="1" customHeight="1" x14ac:dyDescent="0.3"/>
    <row r="281" ht="30" hidden="1" customHeight="1" x14ac:dyDescent="0.3"/>
    <row r="282" ht="30" hidden="1" customHeight="1" x14ac:dyDescent="0.3"/>
    <row r="283" ht="30" hidden="1" customHeight="1" x14ac:dyDescent="0.3"/>
    <row r="284" ht="30" hidden="1" customHeight="1" x14ac:dyDescent="0.3"/>
    <row r="285" ht="30" hidden="1" customHeight="1" x14ac:dyDescent="0.3"/>
    <row r="286" ht="30" hidden="1" customHeight="1" x14ac:dyDescent="0.3"/>
    <row r="287" ht="30" hidden="1" customHeight="1" x14ac:dyDescent="0.3"/>
    <row r="288" ht="30" hidden="1" customHeight="1" x14ac:dyDescent="0.3"/>
    <row r="289" ht="30" hidden="1" customHeight="1" x14ac:dyDescent="0.3"/>
    <row r="290" ht="30" hidden="1" customHeight="1" x14ac:dyDescent="0.3"/>
    <row r="291" ht="30" hidden="1" customHeight="1" x14ac:dyDescent="0.3"/>
    <row r="292" ht="30" hidden="1" customHeight="1" x14ac:dyDescent="0.3"/>
    <row r="293" ht="30" hidden="1" customHeight="1" x14ac:dyDescent="0.3"/>
    <row r="294" ht="30" hidden="1" customHeight="1" x14ac:dyDescent="0.3"/>
    <row r="295" ht="30" hidden="1" customHeight="1" x14ac:dyDescent="0.3"/>
    <row r="296" ht="30" hidden="1" customHeight="1" x14ac:dyDescent="0.3"/>
    <row r="297" ht="30" hidden="1" customHeight="1" x14ac:dyDescent="0.3"/>
    <row r="298" ht="30" hidden="1" customHeight="1" x14ac:dyDescent="0.3"/>
    <row r="299" ht="30" hidden="1" customHeight="1" x14ac:dyDescent="0.3"/>
    <row r="300" ht="30" hidden="1" customHeight="1" x14ac:dyDescent="0.3"/>
    <row r="301" ht="30" hidden="1" customHeight="1" x14ac:dyDescent="0.3"/>
    <row r="302" ht="30" hidden="1" customHeight="1" x14ac:dyDescent="0.3"/>
    <row r="303" ht="30" hidden="1" customHeight="1" x14ac:dyDescent="0.3"/>
    <row r="304" ht="30" hidden="1" customHeight="1" x14ac:dyDescent="0.3"/>
    <row r="305" ht="30" hidden="1" customHeight="1" x14ac:dyDescent="0.3"/>
    <row r="306" ht="30" hidden="1" customHeight="1" x14ac:dyDescent="0.3"/>
    <row r="307" ht="30" hidden="1" customHeight="1" x14ac:dyDescent="0.3"/>
    <row r="308" ht="30" hidden="1" customHeight="1" x14ac:dyDescent="0.3"/>
    <row r="309" ht="30" hidden="1" customHeight="1" x14ac:dyDescent="0.3"/>
    <row r="310" ht="30" hidden="1" customHeight="1" x14ac:dyDescent="0.3"/>
    <row r="311" ht="30" hidden="1" customHeight="1" x14ac:dyDescent="0.3"/>
    <row r="312" ht="30" hidden="1" customHeight="1" x14ac:dyDescent="0.3"/>
    <row r="313" ht="30" hidden="1" customHeight="1" x14ac:dyDescent="0.3"/>
    <row r="314" ht="30" hidden="1" customHeight="1" x14ac:dyDescent="0.3"/>
    <row r="315" ht="30" hidden="1" customHeight="1" x14ac:dyDescent="0.3"/>
    <row r="316" ht="30" hidden="1" customHeight="1" x14ac:dyDescent="0.3"/>
    <row r="317" ht="30" hidden="1" customHeight="1" x14ac:dyDescent="0.3"/>
    <row r="318" ht="30" hidden="1" customHeight="1" x14ac:dyDescent="0.3"/>
    <row r="319" ht="30" hidden="1" customHeight="1" x14ac:dyDescent="0.3"/>
    <row r="320" ht="30" hidden="1" customHeight="1" x14ac:dyDescent="0.3"/>
    <row r="321" ht="30" hidden="1" customHeight="1" x14ac:dyDescent="0.3"/>
    <row r="322" ht="30" hidden="1" customHeight="1" x14ac:dyDescent="0.3"/>
    <row r="323" ht="30" hidden="1" customHeight="1" x14ac:dyDescent="0.3"/>
    <row r="324" ht="30" hidden="1" customHeight="1" x14ac:dyDescent="0.3"/>
    <row r="325" ht="30" hidden="1" customHeight="1" x14ac:dyDescent="0.3"/>
    <row r="326" ht="30" hidden="1" customHeight="1" x14ac:dyDescent="0.3"/>
    <row r="327" ht="30" hidden="1" customHeight="1" x14ac:dyDescent="0.3"/>
    <row r="328" ht="30" hidden="1" customHeight="1" x14ac:dyDescent="0.3"/>
    <row r="329" ht="30" hidden="1" customHeight="1" x14ac:dyDescent="0.3"/>
    <row r="330" ht="30" hidden="1" customHeight="1" x14ac:dyDescent="0.3"/>
    <row r="331" ht="30" hidden="1" customHeight="1" x14ac:dyDescent="0.3"/>
    <row r="332" ht="30" hidden="1" customHeight="1" x14ac:dyDescent="0.3"/>
    <row r="333" ht="30" hidden="1" customHeight="1" x14ac:dyDescent="0.3"/>
    <row r="334" ht="30" hidden="1" customHeight="1" x14ac:dyDescent="0.3"/>
    <row r="335" ht="30" hidden="1" customHeight="1" x14ac:dyDescent="0.3"/>
    <row r="336" ht="30" hidden="1" customHeight="1" x14ac:dyDescent="0.3"/>
    <row r="337" ht="30" hidden="1" customHeight="1" x14ac:dyDescent="0.3"/>
    <row r="338" ht="30" hidden="1" customHeight="1" x14ac:dyDescent="0.3"/>
    <row r="339" ht="30" hidden="1" customHeight="1" x14ac:dyDescent="0.3"/>
    <row r="340" ht="30" hidden="1" customHeight="1" x14ac:dyDescent="0.3"/>
    <row r="341" ht="30" hidden="1" customHeight="1" x14ac:dyDescent="0.3"/>
    <row r="342" ht="30" hidden="1" customHeight="1" x14ac:dyDescent="0.3"/>
    <row r="343" ht="30" hidden="1" customHeight="1" x14ac:dyDescent="0.3"/>
    <row r="344" ht="30" hidden="1" customHeight="1" x14ac:dyDescent="0.3"/>
    <row r="345" ht="30" hidden="1" customHeight="1" x14ac:dyDescent="0.3"/>
    <row r="346" ht="30" hidden="1" customHeight="1" x14ac:dyDescent="0.3"/>
    <row r="347" ht="30" hidden="1" customHeight="1" x14ac:dyDescent="0.3"/>
    <row r="348" ht="30" hidden="1" customHeight="1" x14ac:dyDescent="0.3"/>
    <row r="349" ht="30" hidden="1" customHeight="1" x14ac:dyDescent="0.3"/>
    <row r="350" ht="30" hidden="1" customHeight="1" x14ac:dyDescent="0.3"/>
    <row r="351" ht="30" hidden="1" customHeight="1" x14ac:dyDescent="0.3"/>
    <row r="352" ht="30" hidden="1" customHeight="1" x14ac:dyDescent="0.3"/>
    <row r="353" ht="30" hidden="1" customHeight="1" x14ac:dyDescent="0.3"/>
    <row r="354" ht="30" hidden="1" customHeight="1" x14ac:dyDescent="0.3"/>
    <row r="355" ht="30" hidden="1" customHeight="1" x14ac:dyDescent="0.3"/>
    <row r="356" ht="30" hidden="1" customHeight="1" x14ac:dyDescent="0.3"/>
    <row r="357" ht="30" hidden="1" customHeight="1" x14ac:dyDescent="0.3"/>
    <row r="358" ht="30" hidden="1" customHeight="1" x14ac:dyDescent="0.3"/>
    <row r="359" ht="30" hidden="1" customHeight="1" x14ac:dyDescent="0.3"/>
    <row r="360" ht="30" hidden="1" customHeight="1" x14ac:dyDescent="0.3"/>
    <row r="361" ht="30" hidden="1" customHeight="1" x14ac:dyDescent="0.3"/>
    <row r="362" ht="30" hidden="1" customHeight="1" x14ac:dyDescent="0.3"/>
    <row r="363" ht="30" hidden="1" customHeight="1" x14ac:dyDescent="0.3"/>
    <row r="364" ht="30" hidden="1" customHeight="1" x14ac:dyDescent="0.3"/>
    <row r="365" ht="30" hidden="1" customHeight="1" x14ac:dyDescent="0.3"/>
    <row r="366" ht="30" hidden="1" customHeight="1" x14ac:dyDescent="0.3"/>
    <row r="367" ht="30" hidden="1" customHeight="1" x14ac:dyDescent="0.3"/>
    <row r="368" ht="30" hidden="1" customHeight="1" x14ac:dyDescent="0.3"/>
    <row r="369" ht="30" hidden="1" customHeight="1" x14ac:dyDescent="0.3"/>
    <row r="370" ht="30" hidden="1" customHeight="1" x14ac:dyDescent="0.3"/>
    <row r="371" ht="30" hidden="1" customHeight="1" x14ac:dyDescent="0.3"/>
    <row r="372" ht="30" hidden="1" customHeight="1" x14ac:dyDescent="0.3"/>
    <row r="373" ht="30" hidden="1" customHeight="1" x14ac:dyDescent="0.3"/>
    <row r="374" ht="30" hidden="1" customHeight="1" x14ac:dyDescent="0.3"/>
    <row r="375" ht="30" hidden="1" customHeight="1" x14ac:dyDescent="0.3"/>
    <row r="376" ht="30" hidden="1" customHeight="1" x14ac:dyDescent="0.3"/>
    <row r="377" ht="30" hidden="1" customHeight="1" x14ac:dyDescent="0.3"/>
    <row r="378" ht="30" hidden="1" customHeight="1" x14ac:dyDescent="0.3"/>
    <row r="379" ht="30" hidden="1" customHeight="1" x14ac:dyDescent="0.3"/>
    <row r="380" ht="30" hidden="1" customHeight="1" x14ac:dyDescent="0.3"/>
    <row r="381" ht="30" hidden="1" customHeight="1" x14ac:dyDescent="0.3"/>
    <row r="382" ht="30" hidden="1" customHeight="1" x14ac:dyDescent="0.3"/>
    <row r="383" ht="30" hidden="1" customHeight="1" x14ac:dyDescent="0.3"/>
    <row r="384" ht="30" hidden="1" customHeight="1" x14ac:dyDescent="0.3"/>
    <row r="385" ht="30" hidden="1" customHeight="1" x14ac:dyDescent="0.3"/>
    <row r="386" ht="30" hidden="1" customHeight="1" x14ac:dyDescent="0.3"/>
    <row r="387" ht="30" hidden="1" customHeight="1" x14ac:dyDescent="0.3"/>
    <row r="388" ht="30" hidden="1" customHeight="1" x14ac:dyDescent="0.3"/>
    <row r="389" ht="30" hidden="1" customHeight="1" x14ac:dyDescent="0.3"/>
    <row r="390" ht="30" hidden="1" customHeight="1" x14ac:dyDescent="0.3"/>
    <row r="391" ht="30" hidden="1" customHeight="1" x14ac:dyDescent="0.3"/>
    <row r="392" ht="30" hidden="1" customHeight="1" x14ac:dyDescent="0.3"/>
    <row r="393" ht="30" hidden="1" customHeight="1" x14ac:dyDescent="0.3"/>
    <row r="394" ht="30" hidden="1" customHeight="1" x14ac:dyDescent="0.3"/>
    <row r="395" ht="30" hidden="1" customHeight="1" x14ac:dyDescent="0.3"/>
    <row r="396" ht="30" hidden="1" customHeight="1" x14ac:dyDescent="0.3"/>
    <row r="397" ht="30" hidden="1" customHeight="1" x14ac:dyDescent="0.3"/>
    <row r="398" ht="30" hidden="1" customHeight="1" x14ac:dyDescent="0.3"/>
    <row r="399" ht="30" hidden="1" customHeight="1" x14ac:dyDescent="0.3"/>
    <row r="400" ht="30" hidden="1" customHeight="1" x14ac:dyDescent="0.3"/>
    <row r="401" ht="30" hidden="1" customHeight="1" x14ac:dyDescent="0.3"/>
    <row r="402" ht="30" hidden="1" customHeight="1" x14ac:dyDescent="0.3"/>
    <row r="403" ht="30" hidden="1" customHeight="1" x14ac:dyDescent="0.3"/>
    <row r="404" ht="30" hidden="1" customHeight="1" x14ac:dyDescent="0.3"/>
    <row r="405" ht="30" hidden="1" customHeight="1" x14ac:dyDescent="0.3"/>
  </sheetData>
  <mergeCells count="1">
    <mergeCell ref="H4:M5"/>
  </mergeCells>
  <hyperlinks>
    <hyperlink ref="A13" location="'Projeções - NIM'!A1" display="Projeções - NIM" xr:uid="{37FF9862-A7E5-4539-BADF-C2A0EB8A480B}"/>
    <hyperlink ref="A12" location="'Balanço Patrimonial - Contábil'!A1" display="Balanço Patrimonial" xr:uid="{210B8191-ADA0-48F1-97CC-3A4D25C5881B}"/>
    <hyperlink ref="A11" location="'DRE - Cosif'!A1" display="DRE - Cosif" xr:uid="{B351C3A7-506F-49A0-AE0A-86BDC505C5CC}"/>
    <hyperlink ref="A10" location="'DRE + DCF'!A1" display="DRE + DCF" xr:uid="{F63D5862-2B2A-4C5C-AAAD-CCCEF5039B3E}"/>
    <hyperlink ref="A9" location="Ke!A1" display="Ke" xr:uid="{FA4E7CD8-A348-4D5B-9996-50958E0AB336}"/>
    <hyperlink ref="A8" location="Dashboard!A1" display="Dashboard" xr:uid="{32A9B036-705E-4BEE-BB77-17A82AF5F0B5}"/>
    <hyperlink ref="A15" location="'Painel de Índices'!A1" display="Painel de Índices" xr:uid="{EF8EEAC5-8BAA-4CB2-8F44-B6C4E099A661}"/>
    <hyperlink ref="A14" location="'Projeções Trimestrais'!A1" display="Projeções Trimestrais" xr:uid="{AEE10151-8281-4C8E-AA37-B91DB5DD4555}"/>
  </hyperlink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EB4F-3DCF-425C-87F7-DFEAF0B95F8A}">
  <dimension ref="A1:CI55"/>
  <sheetViews>
    <sheetView showGridLines="0" zoomScaleNormal="100" workbookViewId="0">
      <selection activeCell="A8" sqref="A8"/>
    </sheetView>
  </sheetViews>
  <sheetFormatPr defaultColWidth="0" defaultRowHeight="0" customHeight="1" zeroHeight="1" x14ac:dyDescent="0.3"/>
  <cols>
    <col min="1" max="1" width="35.6640625" style="1" customWidth="1"/>
    <col min="2" max="4" width="9.109375" style="33" customWidth="1"/>
    <col min="5" max="5" width="40.88671875" style="33" bestFit="1" customWidth="1"/>
    <col min="6" max="10" width="17.6640625" style="33" customWidth="1"/>
    <col min="11" max="13" width="9.109375" style="33" customWidth="1"/>
    <col min="14" max="19" width="9.109375" style="33" hidden="1" customWidth="1"/>
    <col min="20" max="23" width="8.88671875" style="33" hidden="1" customWidth="1"/>
    <col min="24" max="25" width="9.109375" style="33" hidden="1" customWidth="1"/>
    <col min="26" max="29" width="8.88671875" style="33" hidden="1" customWidth="1"/>
    <col min="30" max="31" width="9.109375" style="33" hidden="1" customWidth="1"/>
    <col min="32" max="48" width="8.88671875" style="33" hidden="1" customWidth="1"/>
    <col min="49" max="49" width="9.109375" style="33" hidden="1" customWidth="1"/>
    <col min="50" max="53" width="8.88671875" style="33" hidden="1" customWidth="1"/>
    <col min="54" max="55" width="9.109375" style="33" hidden="1" customWidth="1"/>
    <col min="56" max="59" width="8.88671875" style="33" hidden="1" customWidth="1"/>
    <col min="60" max="61" width="9.109375" style="33" hidden="1" customWidth="1"/>
    <col min="62" max="64" width="8.88671875" style="33" hidden="1" customWidth="1"/>
    <col min="65" max="66" width="9.109375" style="33" hidden="1" customWidth="1"/>
    <col min="67" max="70" width="8.88671875" style="33" hidden="1" customWidth="1"/>
    <col min="71" max="87" width="9.109375" style="33" hidden="1" customWidth="1"/>
    <col min="88" max="16384" width="8.88671875" style="33" hidden="1"/>
  </cols>
  <sheetData>
    <row r="1" spans="1:23" ht="15" customHeight="1" x14ac:dyDescent="0.3">
      <c r="B1" s="32"/>
      <c r="C1" s="32"/>
      <c r="D1" s="32"/>
      <c r="E1" s="32"/>
      <c r="F1" s="32"/>
      <c r="G1" s="32"/>
      <c r="H1" s="32"/>
      <c r="I1" s="32"/>
      <c r="J1" s="32"/>
      <c r="K1" s="32"/>
      <c r="L1" s="32"/>
      <c r="M1" s="32"/>
      <c r="N1" s="32"/>
      <c r="O1" s="32"/>
      <c r="P1" s="32"/>
      <c r="Q1" s="32"/>
      <c r="R1" s="32"/>
    </row>
    <row r="2" spans="1:23" ht="15" customHeight="1" x14ac:dyDescent="0.3">
      <c r="B2" s="32"/>
      <c r="C2" s="32"/>
      <c r="D2" s="32"/>
      <c r="E2" s="32"/>
      <c r="F2" s="279"/>
      <c r="G2" s="279"/>
      <c r="H2" s="279"/>
      <c r="I2" s="32"/>
      <c r="J2" s="32"/>
      <c r="K2" s="32"/>
      <c r="L2" s="32"/>
      <c r="M2" s="32"/>
      <c r="N2" s="32"/>
      <c r="O2" s="32"/>
      <c r="P2" s="32"/>
      <c r="Q2" s="32"/>
      <c r="R2" s="32"/>
    </row>
    <row r="3" spans="1:23" ht="15" customHeight="1" x14ac:dyDescent="0.3">
      <c r="B3" s="32"/>
      <c r="C3" s="32"/>
      <c r="D3" s="32"/>
      <c r="E3" s="36"/>
      <c r="F3" s="36"/>
      <c r="G3" s="36"/>
      <c r="H3" s="36"/>
      <c r="I3" s="36"/>
      <c r="J3" s="36"/>
      <c r="K3" s="36"/>
      <c r="L3" s="36"/>
      <c r="M3" s="36"/>
      <c r="N3" s="32"/>
      <c r="O3" s="32"/>
      <c r="P3" s="32"/>
      <c r="Q3" s="32"/>
      <c r="R3" s="32"/>
    </row>
    <row r="4" spans="1:23" ht="15" customHeight="1" x14ac:dyDescent="0.3">
      <c r="B4" s="32"/>
      <c r="C4" s="32"/>
      <c r="D4" s="32"/>
      <c r="E4" s="36"/>
      <c r="F4" s="458" t="str">
        <f>Dashboard!J4</f>
        <v>Banco da Amazônia ($BAZA3)</v>
      </c>
      <c r="G4" s="458"/>
      <c r="H4" s="458"/>
      <c r="I4" s="36"/>
      <c r="J4" s="36"/>
      <c r="K4" s="36"/>
      <c r="L4" s="36"/>
      <c r="M4" s="36"/>
      <c r="N4" s="32"/>
      <c r="O4" s="32"/>
      <c r="P4" s="32"/>
      <c r="Q4" s="32"/>
      <c r="R4" s="32"/>
    </row>
    <row r="5" spans="1:23" ht="15" customHeight="1" x14ac:dyDescent="0.3">
      <c r="B5" s="32"/>
      <c r="C5" s="32"/>
      <c r="D5" s="32"/>
      <c r="E5" s="36"/>
      <c r="F5" s="459"/>
      <c r="G5" s="459"/>
      <c r="H5" s="459"/>
      <c r="I5" s="36"/>
      <c r="J5" s="36"/>
      <c r="K5" s="36"/>
      <c r="L5" s="36"/>
      <c r="M5" s="36"/>
      <c r="N5" s="32"/>
      <c r="O5" s="32"/>
      <c r="P5" s="32"/>
      <c r="Q5" s="32"/>
      <c r="R5" s="32"/>
    </row>
    <row r="6" spans="1:23" ht="15" customHeight="1" x14ac:dyDescent="0.3">
      <c r="B6" s="32"/>
      <c r="C6" s="32"/>
      <c r="D6" s="32"/>
      <c r="E6" s="32"/>
      <c r="F6" s="32"/>
      <c r="G6" s="32"/>
      <c r="H6" s="32"/>
      <c r="I6" s="32"/>
      <c r="J6" s="32"/>
      <c r="K6" s="32"/>
      <c r="L6" s="32"/>
      <c r="M6" s="32"/>
      <c r="N6" s="32"/>
      <c r="O6" s="32"/>
      <c r="P6" s="32"/>
      <c r="Q6" s="32"/>
      <c r="R6" s="32"/>
    </row>
    <row r="7" spans="1:23" s="39" customFormat="1" ht="30" customHeight="1" x14ac:dyDescent="0.3">
      <c r="A7" s="3" t="s">
        <v>0</v>
      </c>
      <c r="B7" s="38"/>
      <c r="C7" s="32"/>
      <c r="D7" s="32"/>
      <c r="E7" s="32"/>
      <c r="F7" s="32"/>
      <c r="G7" s="32"/>
      <c r="H7" s="32"/>
      <c r="I7" s="32"/>
      <c r="J7" s="32"/>
      <c r="K7" s="32"/>
      <c r="L7" s="32"/>
      <c r="M7" s="32"/>
      <c r="N7" s="32"/>
      <c r="O7" s="32"/>
      <c r="P7" s="32"/>
      <c r="Q7" s="38"/>
      <c r="R7" s="38"/>
    </row>
    <row r="8" spans="1:23" ht="30" customHeight="1" thickBot="1" x14ac:dyDescent="0.35">
      <c r="A8" s="4" t="s">
        <v>1</v>
      </c>
      <c r="B8" s="32"/>
      <c r="C8" s="32"/>
      <c r="D8" s="38"/>
      <c r="E8" s="38"/>
      <c r="F8" s="38"/>
      <c r="G8" s="38"/>
      <c r="H8" s="38"/>
      <c r="I8" s="32"/>
      <c r="J8" s="32"/>
      <c r="K8" s="32"/>
      <c r="L8" s="32"/>
      <c r="M8" s="32"/>
      <c r="N8" s="32"/>
      <c r="O8" s="32"/>
      <c r="P8" s="32"/>
      <c r="Q8" s="32"/>
      <c r="R8" s="32"/>
    </row>
    <row r="9" spans="1:23" ht="30" customHeight="1" x14ac:dyDescent="0.3">
      <c r="A9" s="4" t="s">
        <v>2</v>
      </c>
      <c r="B9" s="32"/>
      <c r="C9" s="32"/>
      <c r="D9" s="366"/>
      <c r="E9" s="406"/>
      <c r="F9" s="87">
        <v>2020</v>
      </c>
      <c r="G9" s="87">
        <v>2021</v>
      </c>
      <c r="H9" s="87">
        <v>2022</v>
      </c>
      <c r="I9" s="87">
        <v>2023</v>
      </c>
      <c r="J9" s="97" t="s">
        <v>410</v>
      </c>
      <c r="K9" s="32"/>
      <c r="L9" s="32"/>
      <c r="M9" s="32"/>
      <c r="N9" s="32"/>
      <c r="O9" s="32"/>
      <c r="P9" s="32"/>
      <c r="Q9" s="32"/>
      <c r="R9" s="32"/>
      <c r="S9" s="32"/>
      <c r="T9" s="32"/>
      <c r="U9" s="32"/>
      <c r="V9" s="32"/>
      <c r="W9" s="32"/>
    </row>
    <row r="10" spans="1:23" ht="30" customHeight="1" x14ac:dyDescent="0.3">
      <c r="A10" s="4" t="s">
        <v>4</v>
      </c>
      <c r="B10" s="32"/>
      <c r="C10" s="32"/>
      <c r="D10" s="367"/>
      <c r="E10" s="399" t="s">
        <v>374</v>
      </c>
      <c r="F10" s="400">
        <f>'Balanço Patrimonial - Contábil'!F14/'Balanço Patrimonial - Contábil'!F74</f>
        <v>3.501305740166033E-2</v>
      </c>
      <c r="G10" s="400">
        <f>'Balanço Patrimonial - Contábil'!G14/'Balanço Patrimonial - Contábil'!G74</f>
        <v>3.7843675628778842E-2</v>
      </c>
      <c r="H10" s="400">
        <f>'Balanço Patrimonial - Contábil'!H14/'Balanço Patrimonial - Contábil'!H74</f>
        <v>3.6256639210037613E-2</v>
      </c>
      <c r="I10" s="400">
        <f>'Balanço Patrimonial - Contábil'!I14/'Balanço Patrimonial - Contábil'!I74</f>
        <v>2.5984877022054521E-2</v>
      </c>
      <c r="J10" s="401">
        <f>'Balanço Patrimonial - Contábil'!J14/'Balanço Patrimonial - Contábil'!J74</f>
        <v>2.8776386415980681E-2</v>
      </c>
      <c r="K10" s="32"/>
      <c r="L10" s="32"/>
      <c r="M10" s="32"/>
      <c r="N10" s="32"/>
      <c r="O10" s="32"/>
      <c r="P10" s="32"/>
      <c r="Q10" s="32"/>
      <c r="R10" s="32"/>
      <c r="S10" s="32"/>
      <c r="T10" s="32"/>
      <c r="U10" s="32"/>
      <c r="V10" s="32"/>
      <c r="W10" s="32"/>
    </row>
    <row r="11" spans="1:23" ht="30" customHeight="1" x14ac:dyDescent="0.3">
      <c r="A11" s="4" t="s">
        <v>413</v>
      </c>
      <c r="B11" s="32"/>
      <c r="C11" s="32"/>
      <c r="D11" s="367"/>
      <c r="E11" s="399" t="s">
        <v>375</v>
      </c>
      <c r="F11" s="400">
        <f>SUM('Balanço Patrimonial - Contábil'!F14,'Balanço Patrimonial - Contábil'!F16)/'Balanço Patrimonial - Contábil'!F74</f>
        <v>9.1546558712158159</v>
      </c>
      <c r="G11" s="400">
        <f>SUM('Balanço Patrimonial - Contábil'!G14,'Balanço Patrimonial - Contábil'!G16)/'Balanço Patrimonial - Contábil'!G74</f>
        <v>12.29779273961964</v>
      </c>
      <c r="H11" s="400">
        <f>SUM('Balanço Patrimonial - Contábil'!H14,'Balanço Patrimonial - Contábil'!H16)/'Balanço Patrimonial - Contábil'!H74</f>
        <v>18.844539438755739</v>
      </c>
      <c r="I11" s="400">
        <f>SUM('Balanço Patrimonial - Contábil'!I14,'Balanço Patrimonial - Contábil'!I16)/'Balanço Patrimonial - Contábil'!I74</f>
        <v>18.930082297432755</v>
      </c>
      <c r="J11" s="401">
        <f>SUM('Balanço Patrimonial - Contábil'!J14,'Balanço Patrimonial - Contábil'!J16)/'Balanço Patrimonial - Contábil'!J74</f>
        <v>24.942665908280162</v>
      </c>
      <c r="K11" s="32"/>
      <c r="L11" s="32"/>
      <c r="M11" s="32"/>
      <c r="N11" s="32"/>
      <c r="O11" s="32"/>
      <c r="P11" s="32"/>
      <c r="Q11" s="32"/>
      <c r="R11" s="32"/>
      <c r="S11" s="32"/>
      <c r="T11" s="32"/>
      <c r="U11" s="32"/>
      <c r="V11" s="32"/>
      <c r="W11" s="32"/>
    </row>
    <row r="12" spans="1:23" ht="30" customHeight="1" x14ac:dyDescent="0.3">
      <c r="A12" s="4" t="s">
        <v>8</v>
      </c>
      <c r="B12" s="32"/>
      <c r="C12" s="32"/>
      <c r="D12" s="367"/>
      <c r="E12" s="399" t="s">
        <v>376</v>
      </c>
      <c r="F12" s="400">
        <f>'Balanço Patrimonial - Contábil'!F33/'Balanço Patrimonial - Contábil'!F72</f>
        <v>0.86322156957797236</v>
      </c>
      <c r="G12" s="400">
        <f>'Balanço Patrimonial - Contábil'!G33/'Balanço Patrimonial - Contábil'!G72</f>
        <v>1.7482741665357064</v>
      </c>
      <c r="H12" s="400">
        <f>'Balanço Patrimonial - Contábil'!H33/'Balanço Patrimonial - Contábil'!H72</f>
        <v>2.3625374621780413</v>
      </c>
      <c r="I12" s="400">
        <f>'Balanço Patrimonial - Contábil'!I33/'Balanço Patrimonial - Contábil'!I72</f>
        <v>2.2779539566772127</v>
      </c>
      <c r="J12" s="401">
        <f>'Balanço Patrimonial - Contábil'!J33/'Balanço Patrimonial - Contábil'!J72</f>
        <v>2.2277528256071828</v>
      </c>
      <c r="K12" s="32"/>
      <c r="L12" s="32"/>
      <c r="M12" s="32"/>
      <c r="N12" s="32"/>
      <c r="O12" s="32"/>
      <c r="P12" s="32"/>
      <c r="Q12" s="32"/>
      <c r="R12" s="32"/>
      <c r="S12" s="32"/>
      <c r="T12" s="32"/>
      <c r="U12" s="32"/>
      <c r="V12" s="32"/>
      <c r="W12" s="32"/>
    </row>
    <row r="13" spans="1:23" ht="30" customHeight="1" x14ac:dyDescent="0.3">
      <c r="A13" s="4" t="s">
        <v>10</v>
      </c>
      <c r="B13" s="32"/>
      <c r="C13" s="32"/>
      <c r="D13" s="367"/>
      <c r="E13" s="399" t="s">
        <v>377</v>
      </c>
      <c r="F13" s="402">
        <f>'Balanço Patrimonial - Contábil'!F125-'Balanço Patrimonial - Contábil'!F56</f>
        <v>2168541</v>
      </c>
      <c r="G13" s="402">
        <f>'Balanço Patrimonial - Contábil'!G125-'Balanço Patrimonial - Contábil'!G56</f>
        <v>2721517</v>
      </c>
      <c r="H13" s="402">
        <f>'Balanço Patrimonial - Contábil'!H125-'Balanço Patrimonial - Contábil'!H56</f>
        <v>4628338</v>
      </c>
      <c r="I13" s="400">
        <f>'Balanço Patrimonial - Contábil'!I125-'Balanço Patrimonial - Contábil'!I56</f>
        <v>5677491</v>
      </c>
      <c r="J13" s="401">
        <f>'Balanço Patrimonial - Contábil'!J125-'Balanço Patrimonial - Contábil'!J56</f>
        <v>5704655.4799299994</v>
      </c>
      <c r="K13" s="32"/>
      <c r="L13" s="32"/>
      <c r="M13" s="32"/>
      <c r="N13" s="32"/>
      <c r="O13" s="32"/>
      <c r="P13" s="32"/>
      <c r="Q13" s="32"/>
      <c r="R13" s="32"/>
      <c r="S13" s="32"/>
      <c r="T13" s="32"/>
      <c r="U13" s="32"/>
      <c r="V13" s="32"/>
      <c r="W13" s="32"/>
    </row>
    <row r="14" spans="1:23" ht="30" customHeight="1" thickBot="1" x14ac:dyDescent="0.35">
      <c r="A14" s="4" t="s">
        <v>419</v>
      </c>
      <c r="B14" s="32"/>
      <c r="C14" s="32"/>
      <c r="D14" s="367"/>
      <c r="E14" s="403" t="s">
        <v>378</v>
      </c>
      <c r="F14" s="404">
        <f>'Balanço Patrimonial - Contábil'!F33/'Balanço Patrimonial - Contábil'!F12</f>
        <v>0.24175261097279943</v>
      </c>
      <c r="G14" s="404">
        <f>'Balanço Patrimonial - Contábil'!G33/'Balanço Patrimonial - Contábil'!G12</f>
        <v>0.43251468982642705</v>
      </c>
      <c r="H14" s="404">
        <f>'Balanço Patrimonial - Contábil'!H33/'Balanço Patrimonial - Contábil'!H12</f>
        <v>0.56942604671149033</v>
      </c>
      <c r="I14" s="404">
        <f>'Balanço Patrimonial - Contábil'!I33/'Balanço Patrimonial - Contábil'!I12</f>
        <v>0.57048053977495161</v>
      </c>
      <c r="J14" s="405">
        <f>'Balanço Patrimonial - Contábil'!J33/'Balanço Patrimonial - Contábil'!J12</f>
        <v>0.55785968491092841</v>
      </c>
      <c r="K14" s="32"/>
      <c r="L14" s="32"/>
      <c r="M14" s="32"/>
      <c r="N14" s="32"/>
      <c r="O14" s="32"/>
      <c r="P14" s="32"/>
      <c r="Q14" s="32"/>
      <c r="R14" s="32"/>
      <c r="S14" s="32"/>
      <c r="T14" s="32"/>
      <c r="U14" s="32"/>
      <c r="V14" s="32"/>
      <c r="W14" s="32"/>
    </row>
    <row r="15" spans="1:23" ht="30" customHeight="1" x14ac:dyDescent="0.3">
      <c r="A15" s="5" t="s">
        <v>12</v>
      </c>
      <c r="B15" s="32"/>
      <c r="C15" s="32"/>
      <c r="D15" s="32"/>
      <c r="E15" s="32"/>
      <c r="F15" s="32"/>
      <c r="G15" s="32"/>
      <c r="H15" s="32"/>
      <c r="I15" s="32"/>
      <c r="J15" s="32"/>
      <c r="K15" s="32"/>
      <c r="L15" s="32"/>
      <c r="M15" s="32"/>
      <c r="N15" s="32"/>
      <c r="O15" s="32"/>
      <c r="P15" s="32"/>
      <c r="Q15" s="32"/>
      <c r="R15" s="32"/>
      <c r="S15" s="32"/>
      <c r="T15" s="32"/>
      <c r="U15" s="32"/>
      <c r="V15" s="32"/>
      <c r="W15" s="32"/>
    </row>
    <row r="16" spans="1:23" ht="30" customHeight="1" x14ac:dyDescent="0.3">
      <c r="B16" s="32"/>
      <c r="C16" s="32"/>
      <c r="D16" s="32"/>
      <c r="E16" s="32"/>
      <c r="F16" s="32"/>
      <c r="G16" s="32"/>
      <c r="H16" s="32"/>
      <c r="I16" s="32"/>
      <c r="J16" s="32"/>
      <c r="K16" s="32"/>
      <c r="L16" s="32"/>
      <c r="M16" s="32"/>
      <c r="N16" s="32"/>
      <c r="O16" s="32"/>
      <c r="P16" s="32"/>
      <c r="Q16" s="32"/>
      <c r="R16" s="32"/>
      <c r="S16" s="32"/>
      <c r="T16" s="32"/>
      <c r="U16" s="32"/>
      <c r="V16" s="32"/>
      <c r="W16" s="32"/>
    </row>
    <row r="17" spans="1:23" ht="30" customHeight="1" thickBot="1" x14ac:dyDescent="0.35">
      <c r="A17" s="20"/>
      <c r="B17" s="32"/>
      <c r="C17" s="32"/>
      <c r="D17" s="32"/>
      <c r="E17" s="38"/>
      <c r="F17" s="325"/>
      <c r="G17" s="325"/>
      <c r="H17" s="325"/>
      <c r="I17" s="32"/>
      <c r="J17" s="32"/>
      <c r="K17" s="32"/>
      <c r="L17" s="32"/>
      <c r="M17" s="32"/>
      <c r="N17" s="32"/>
      <c r="O17" s="32"/>
      <c r="P17" s="32"/>
      <c r="Q17" s="32"/>
      <c r="R17" s="32"/>
      <c r="S17" s="32"/>
      <c r="T17" s="32"/>
      <c r="U17" s="32"/>
      <c r="V17" s="32"/>
      <c r="W17" s="32"/>
    </row>
    <row r="18" spans="1:23" ht="30" customHeight="1" x14ac:dyDescent="0.3">
      <c r="A18" s="20"/>
      <c r="B18" s="32"/>
      <c r="C18" s="32"/>
      <c r="D18" s="367"/>
      <c r="E18" s="406"/>
      <c r="F18" s="87">
        <v>2020</v>
      </c>
      <c r="G18" s="87">
        <v>2021</v>
      </c>
      <c r="H18" s="87">
        <v>2022</v>
      </c>
      <c r="I18" s="87">
        <f>I$9</f>
        <v>2023</v>
      </c>
      <c r="J18" s="97" t="str">
        <f>J$9</f>
        <v>1T24</v>
      </c>
      <c r="K18" s="32"/>
      <c r="L18" s="32"/>
      <c r="M18" s="32"/>
      <c r="N18" s="32"/>
      <c r="O18" s="32"/>
      <c r="P18" s="32"/>
      <c r="Q18" s="32"/>
      <c r="R18" s="32"/>
      <c r="S18" s="32"/>
      <c r="T18" s="32"/>
      <c r="U18" s="32"/>
      <c r="V18" s="32"/>
      <c r="W18" s="32"/>
    </row>
    <row r="19" spans="1:23" ht="30" customHeight="1" x14ac:dyDescent="0.3">
      <c r="A19" s="20"/>
      <c r="B19" s="32"/>
      <c r="C19" s="32"/>
      <c r="D19" s="367"/>
      <c r="E19" s="399" t="s">
        <v>322</v>
      </c>
      <c r="F19" s="407">
        <f>'DRE + DCF'!F58</f>
        <v>0.11586336962010353</v>
      </c>
      <c r="G19" s="407">
        <f>'DRE + DCF'!G58</f>
        <v>0.12117934670836319</v>
      </c>
      <c r="H19" s="407">
        <f>'DRE + DCF'!H58</f>
        <v>0.12294202820829088</v>
      </c>
      <c r="I19" s="407">
        <f>'DRE + DCF'!I58</f>
        <v>0.13032796123069987</v>
      </c>
      <c r="J19" s="408">
        <f>'DRE + DCF'!J58</f>
        <v>0.13276537331619365</v>
      </c>
      <c r="K19" s="32"/>
      <c r="L19" s="32"/>
      <c r="M19" s="32"/>
      <c r="N19" s="32"/>
      <c r="O19" s="32"/>
      <c r="P19" s="32"/>
      <c r="Q19" s="32"/>
      <c r="R19" s="32"/>
      <c r="S19" s="32"/>
      <c r="T19" s="32"/>
      <c r="U19" s="32"/>
      <c r="V19" s="32"/>
      <c r="W19" s="32"/>
    </row>
    <row r="20" spans="1:23" ht="30" customHeight="1" x14ac:dyDescent="0.3">
      <c r="B20" s="32"/>
      <c r="C20" s="32"/>
      <c r="D20" s="367"/>
      <c r="E20" s="399" t="s">
        <v>379</v>
      </c>
      <c r="F20" s="407">
        <f>'Balanço Patrimonial - Contábil'!F125/'Balanço Patrimonial - Contábil'!F12</f>
        <v>0.1161044766719212</v>
      </c>
      <c r="G20" s="407">
        <f>'Balanço Patrimonial - Contábil'!G125/'Balanço Patrimonial - Contábil'!G12</f>
        <v>0.1134747982707629</v>
      </c>
      <c r="H20" s="407">
        <f>'Balanço Patrimonial - Contábil'!H125/'Balanço Patrimonial - Contábil'!H12</f>
        <v>0.13994086408912224</v>
      </c>
      <c r="I20" s="407">
        <f>'Balanço Patrimonial - Contábil'!I125/'Balanço Patrimonial - Contábil'!I12</f>
        <v>0.13012657787730619</v>
      </c>
      <c r="J20" s="408">
        <f>'Balanço Patrimonial - Contábil'!J125/'Balanço Patrimonial - Contábil'!J12</f>
        <v>0.12256925798005758</v>
      </c>
      <c r="K20" s="32"/>
      <c r="L20" s="32"/>
      <c r="M20" s="32"/>
      <c r="N20" s="32"/>
      <c r="O20" s="32"/>
      <c r="P20" s="32"/>
      <c r="Q20" s="32"/>
      <c r="R20" s="32"/>
      <c r="S20" s="32"/>
      <c r="T20" s="32"/>
      <c r="U20" s="32"/>
      <c r="V20" s="32"/>
      <c r="W20" s="32"/>
    </row>
    <row r="21" spans="1:23" ht="30" customHeight="1" x14ac:dyDescent="0.3">
      <c r="B21" s="32"/>
      <c r="C21" s="32"/>
      <c r="D21" s="367"/>
      <c r="E21" s="399" t="s">
        <v>380</v>
      </c>
      <c r="F21" s="409">
        <f>'Balanço Patrimonial - Contábil'!F12/'Balanço Patrimonial - Contábil'!F125</f>
        <v>8.6129323232360839</v>
      </c>
      <c r="G21" s="409">
        <f>'Balanço Patrimonial - Contábil'!G12/'Balanço Patrimonial - Contábil'!G125</f>
        <v>8.8125294359536461</v>
      </c>
      <c r="H21" s="409">
        <f>'Balanço Patrimonial - Contábil'!H12/'Balanço Patrimonial - Contábil'!H125</f>
        <v>7.1458755561430829</v>
      </c>
      <c r="I21" s="409">
        <f>'Balanço Patrimonial - Contábil'!I12/'Balanço Patrimonial - Contábil'!I125</f>
        <v>7.6848251626418733</v>
      </c>
      <c r="J21" s="410">
        <f>'Balanço Patrimonial - Contábil'!J12/'Balanço Patrimonial - Contábil'!J125</f>
        <v>8.1586526383532743</v>
      </c>
      <c r="K21" s="32"/>
      <c r="L21" s="32"/>
      <c r="M21" s="32"/>
      <c r="N21" s="32"/>
      <c r="O21" s="32"/>
      <c r="P21" s="32"/>
      <c r="Q21" s="32"/>
      <c r="R21" s="32"/>
      <c r="S21" s="32"/>
      <c r="T21" s="32"/>
      <c r="U21" s="32"/>
      <c r="V21" s="32"/>
      <c r="W21" s="32"/>
    </row>
    <row r="22" spans="1:23" ht="30" customHeight="1" x14ac:dyDescent="0.3">
      <c r="B22" s="32"/>
      <c r="C22" s="32"/>
      <c r="D22" s="367"/>
      <c r="E22" s="399" t="s">
        <v>381</v>
      </c>
      <c r="F22" s="407">
        <f>'Projeções - NIM'!F102/'Projeções - NIM'!F64</f>
        <v>0.16698964176504014</v>
      </c>
      <c r="G22" s="407">
        <f>'Projeções - NIM'!G102/'Projeções - NIM'!G64</f>
        <v>0.15284657280854999</v>
      </c>
      <c r="H22" s="407">
        <f>'Projeções - NIM'!H102/'Projeções - NIM'!H64</f>
        <v>0.18870142527967207</v>
      </c>
      <c r="I22" s="407">
        <f>'Projeções - NIM'!I102/'Projeções - NIM'!I64</f>
        <v>0.16577029422925832</v>
      </c>
      <c r="J22" s="408">
        <f>'Projeções - NIM'!J102/'Projeções - NIM'!J64</f>
        <v>0.15338561119312336</v>
      </c>
      <c r="K22" s="32"/>
      <c r="L22" s="32"/>
      <c r="M22" s="32"/>
      <c r="N22" s="32"/>
      <c r="O22" s="32"/>
      <c r="P22" s="32"/>
      <c r="Q22" s="32"/>
      <c r="R22" s="32"/>
      <c r="S22" s="32"/>
      <c r="T22" s="32"/>
      <c r="U22" s="32"/>
      <c r="V22" s="32"/>
      <c r="W22" s="32"/>
    </row>
    <row r="23" spans="1:23" ht="30" customHeight="1" thickBot="1" x14ac:dyDescent="0.35">
      <c r="B23" s="32"/>
      <c r="C23" s="32"/>
      <c r="D23" s="367"/>
      <c r="E23" s="403" t="s">
        <v>382</v>
      </c>
      <c r="F23" s="411">
        <f>'Balanço Patrimonial - Contábil'!F56/'Balanço Patrimonial - Contábil'!F125</f>
        <v>0.10272108083550252</v>
      </c>
      <c r="G23" s="411">
        <f>'Balanço Patrimonial - Contábil'!G56/'Balanço Patrimonial - Contábil'!G125</f>
        <v>7.5870820349255144E-2</v>
      </c>
      <c r="H23" s="411">
        <f>'Balanço Patrimonial - Contábil'!H56/'Balanço Patrimonial - Contábil'!H125</f>
        <v>4.4004395440969311E-2</v>
      </c>
      <c r="I23" s="411">
        <f>'Balanço Patrimonial - Contábil'!I56/'Balanço Patrimonial - Contábil'!I125</f>
        <v>3.4985998563737346E-2</v>
      </c>
      <c r="J23" s="412">
        <f>'Balanço Patrimonial - Contábil'!J56/'Balanço Patrimonial - Contábil'!J125</f>
        <v>3.4288672259159395E-2</v>
      </c>
      <c r="K23" s="32"/>
      <c r="L23" s="32"/>
      <c r="M23" s="32"/>
      <c r="N23" s="32"/>
      <c r="O23" s="32"/>
      <c r="P23" s="32"/>
      <c r="Q23" s="32"/>
      <c r="R23" s="32"/>
      <c r="S23" s="32"/>
      <c r="T23" s="32"/>
      <c r="U23" s="32"/>
      <c r="V23" s="32"/>
      <c r="W23" s="32"/>
    </row>
    <row r="24" spans="1:23" ht="30" customHeight="1" x14ac:dyDescent="0.3">
      <c r="B24" s="32"/>
      <c r="C24" s="32"/>
      <c r="D24" s="32"/>
      <c r="E24" s="32"/>
      <c r="F24" s="32"/>
      <c r="G24" s="32"/>
      <c r="H24" s="32"/>
      <c r="I24" s="32"/>
      <c r="J24" s="32"/>
      <c r="K24" s="32"/>
      <c r="L24" s="32"/>
      <c r="M24" s="32"/>
      <c r="N24" s="32"/>
      <c r="O24" s="32"/>
      <c r="P24" s="32"/>
      <c r="Q24" s="32"/>
      <c r="R24" s="32"/>
      <c r="S24" s="32"/>
      <c r="T24" s="32"/>
      <c r="U24" s="32"/>
      <c r="V24" s="32"/>
      <c r="W24" s="32"/>
    </row>
    <row r="25" spans="1:23" ht="30" customHeight="1" x14ac:dyDescent="0.3">
      <c r="B25" s="32"/>
      <c r="C25" s="32"/>
      <c r="D25" s="32"/>
      <c r="E25" s="32"/>
      <c r="F25" s="32"/>
      <c r="G25" s="32"/>
      <c r="H25" s="32"/>
      <c r="I25" s="32"/>
      <c r="J25" s="32"/>
      <c r="K25" s="32"/>
      <c r="L25" s="32"/>
      <c r="M25" s="32"/>
      <c r="N25" s="32"/>
      <c r="O25" s="32"/>
      <c r="P25" s="32"/>
      <c r="Q25" s="32"/>
      <c r="R25" s="32"/>
      <c r="S25" s="32"/>
      <c r="T25" s="32"/>
      <c r="U25" s="32"/>
      <c r="V25" s="32"/>
      <c r="W25" s="32"/>
    </row>
    <row r="26" spans="1:23" ht="30" customHeight="1" thickBot="1" x14ac:dyDescent="0.35">
      <c r="B26" s="32"/>
      <c r="C26" s="32"/>
      <c r="D26" s="32"/>
      <c r="E26" s="32"/>
      <c r="F26" s="32"/>
      <c r="G26" s="32"/>
      <c r="H26" s="32"/>
      <c r="I26" s="32"/>
      <c r="J26" s="32"/>
      <c r="K26" s="32"/>
      <c r="L26" s="32"/>
      <c r="M26" s="32"/>
      <c r="N26" s="32"/>
      <c r="O26" s="32"/>
      <c r="P26" s="32"/>
      <c r="Q26" s="32"/>
      <c r="R26" s="32"/>
      <c r="S26" s="32"/>
      <c r="T26" s="32"/>
      <c r="U26" s="32"/>
      <c r="V26" s="32"/>
      <c r="W26" s="32"/>
    </row>
    <row r="27" spans="1:23" ht="30" customHeight="1" x14ac:dyDescent="0.3">
      <c r="B27" s="32"/>
      <c r="C27" s="32"/>
      <c r="D27" s="367"/>
      <c r="E27" s="406"/>
      <c r="F27" s="87">
        <v>2020</v>
      </c>
      <c r="G27" s="87">
        <v>2021</v>
      </c>
      <c r="H27" s="87">
        <v>2022</v>
      </c>
      <c r="I27" s="87">
        <f>$I$9</f>
        <v>2023</v>
      </c>
      <c r="J27" s="97" t="str">
        <f>J$9</f>
        <v>1T24</v>
      </c>
      <c r="K27" s="32"/>
      <c r="L27" s="32"/>
      <c r="M27" s="32"/>
      <c r="N27" s="32"/>
      <c r="O27" s="32"/>
      <c r="P27" s="32"/>
      <c r="Q27" s="32"/>
      <c r="R27" s="32"/>
      <c r="S27" s="32"/>
      <c r="T27" s="32"/>
      <c r="U27" s="32"/>
      <c r="V27" s="32"/>
      <c r="W27" s="32"/>
    </row>
    <row r="28" spans="1:23" ht="30" customHeight="1" x14ac:dyDescent="0.3">
      <c r="B28" s="32"/>
      <c r="C28" s="32"/>
      <c r="D28" s="367"/>
      <c r="E28" s="399" t="s">
        <v>310</v>
      </c>
      <c r="F28" s="138">
        <f>'DRE - Cosif'!F79/'Balanço Patrimonial - Contábil'!F125</f>
        <v>0.1098842807236189</v>
      </c>
      <c r="G28" s="138">
        <f>'DRE - Cosif'!G79/'Balanço Patrimonial - Contábil'!G125</f>
        <v>0.25054355706186143</v>
      </c>
      <c r="H28" s="138">
        <f>'DRE - Cosif'!H79/'Balanço Patrimonial - Contábil'!H125</f>
        <v>0.23181696127963514</v>
      </c>
      <c r="I28" s="407">
        <f>'DRE - Cosif'!I79/'Balanço Patrimonial - Contábil'!I125</f>
        <v>0.22863788758907591</v>
      </c>
      <c r="J28" s="408">
        <f>'DRE - Cosif'!J79/'Balanço Patrimonial - Contábil'!J125</f>
        <v>3.5003399571785505E-2</v>
      </c>
      <c r="K28" s="32"/>
      <c r="L28" s="32"/>
      <c r="M28" s="32"/>
      <c r="N28" s="32"/>
      <c r="O28" s="32"/>
      <c r="P28" s="32"/>
      <c r="Q28" s="32"/>
      <c r="R28" s="32"/>
      <c r="S28" s="32"/>
      <c r="T28" s="32"/>
      <c r="U28" s="32"/>
      <c r="V28" s="32"/>
      <c r="W28" s="32"/>
    </row>
    <row r="29" spans="1:23" ht="30" customHeight="1" x14ac:dyDescent="0.3">
      <c r="B29" s="32"/>
      <c r="C29" s="32"/>
      <c r="D29" s="367"/>
      <c r="E29" s="399" t="s">
        <v>383</v>
      </c>
      <c r="F29" s="138">
        <f>'DRE - Cosif'!F79/'Balanço Patrimonial - Contábil'!F12</f>
        <v>1.2758056907886251E-2</v>
      </c>
      <c r="G29" s="138">
        <f>'DRE - Cosif'!G79/'Balanço Patrimonial - Contábil'!G12</f>
        <v>2.84303795956341E-2</v>
      </c>
      <c r="H29" s="138">
        <f>'DRE - Cosif'!H79/'Balanço Patrimonial - Contábil'!H12</f>
        <v>3.2440665871986733E-2</v>
      </c>
      <c r="I29" s="138">
        <f>'DRE - Cosif'!I79/'Balanço Patrimonial - Contábil'!I12</f>
        <v>2.9751865885062664E-2</v>
      </c>
      <c r="J29" s="111">
        <f>'DRE - Cosif'!J79/'Balanço Patrimonial - Contábil'!J12</f>
        <v>4.290340712293215E-3</v>
      </c>
      <c r="K29" s="32"/>
      <c r="L29" s="32"/>
      <c r="M29" s="32"/>
      <c r="N29" s="32"/>
      <c r="O29" s="32"/>
      <c r="P29" s="32"/>
      <c r="Q29" s="32"/>
      <c r="R29" s="32"/>
      <c r="S29" s="32"/>
      <c r="T29" s="32"/>
      <c r="U29" s="32"/>
      <c r="V29" s="32"/>
      <c r="W29" s="32"/>
    </row>
    <row r="30" spans="1:23" ht="30" customHeight="1" x14ac:dyDescent="0.3">
      <c r="B30" s="32"/>
      <c r="C30" s="32"/>
      <c r="D30" s="367"/>
      <c r="E30" s="399" t="s">
        <v>384</v>
      </c>
      <c r="F30" s="138">
        <f>'DRE - Cosif'!F79/SUM('DRE - Cosif'!F11,'DRE - Cosif'!F19)</f>
        <v>0.11857725864209107</v>
      </c>
      <c r="G30" s="138">
        <f>'DRE - Cosif'!G79/SUM('DRE - Cosif'!G11,'DRE - Cosif'!G19)</f>
        <v>0.25468332985857506</v>
      </c>
      <c r="H30" s="138">
        <f>'DRE - Cosif'!H79/SUM('DRE - Cosif'!H11,'DRE - Cosif'!H19)</f>
        <v>0.25511380529669936</v>
      </c>
      <c r="I30" s="138">
        <f>'DRE - Cosif'!I79/SUM('DRE - Cosif'!I11,'DRE - Cosif'!I19)</f>
        <v>0.30345375071850683</v>
      </c>
      <c r="J30" s="111">
        <f>'DRE - Cosif'!J79/SUM('DRE - Cosif'!J11,'DRE - Cosif'!J19)</f>
        <v>0.18919538282884188</v>
      </c>
      <c r="K30" s="32"/>
      <c r="L30" s="32"/>
      <c r="M30" s="32"/>
      <c r="N30" s="32"/>
      <c r="O30" s="32"/>
      <c r="P30" s="32"/>
      <c r="Q30" s="32"/>
      <c r="R30" s="32"/>
      <c r="S30" s="32"/>
      <c r="T30" s="32"/>
      <c r="U30" s="32"/>
      <c r="V30" s="32"/>
      <c r="W30" s="32"/>
    </row>
    <row r="31" spans="1:23" ht="30" customHeight="1" x14ac:dyDescent="0.3">
      <c r="B31" s="32"/>
      <c r="C31" s="32"/>
      <c r="D31" s="367"/>
      <c r="E31" s="413" t="s">
        <v>385</v>
      </c>
      <c r="F31" s="414">
        <f>'Projeções - NIM'!F64/'Projeções - NIM'!F38</f>
        <v>0.75503370637746192</v>
      </c>
      <c r="G31" s="414">
        <f>'Projeções - NIM'!G64/'Projeções - NIM'!G38</f>
        <v>0.78541555253548634</v>
      </c>
      <c r="H31" s="414">
        <f>'Projeções - NIM'!H64/'Projeções - NIM'!H38</f>
        <v>0.76394078217563677</v>
      </c>
      <c r="I31" s="414">
        <f>'Projeções - NIM'!I64/'Projeções - NIM'!I38</f>
        <v>0.7991021444640749</v>
      </c>
      <c r="J31" s="415">
        <f>'Projeções - NIM'!J64/'Projeções - NIM'!J38</f>
        <v>0.81117129346883343</v>
      </c>
      <c r="K31" s="32"/>
      <c r="L31" s="32"/>
      <c r="M31" s="32"/>
      <c r="N31" s="32"/>
      <c r="O31" s="32"/>
      <c r="P31" s="32"/>
      <c r="Q31" s="32"/>
      <c r="R31" s="32"/>
      <c r="S31" s="32"/>
      <c r="T31" s="32"/>
      <c r="U31" s="32"/>
      <c r="V31" s="32"/>
      <c r="W31" s="32"/>
    </row>
    <row r="32" spans="1:23" ht="30" customHeight="1" x14ac:dyDescent="0.3">
      <c r="B32" s="32"/>
      <c r="C32" s="32"/>
      <c r="D32" s="367"/>
      <c r="E32" s="399" t="s">
        <v>386</v>
      </c>
      <c r="F32" s="138">
        <f>'Projeções - NIM'!F20/'Projeções - NIM'!F38</f>
        <v>4.9579746927366809E-2</v>
      </c>
      <c r="G32" s="138">
        <f>'Projeções - NIM'!G20/'Projeções - NIM'!G38</f>
        <v>5.7554574746446874E-2</v>
      </c>
      <c r="H32" s="138">
        <f>'Projeções - NIM'!H20/'Projeções - NIM'!H38</f>
        <v>9.5334033366042223E-2</v>
      </c>
      <c r="I32" s="138">
        <f>'Projeções - NIM'!I20/'Projeções - NIM'!I38</f>
        <v>9.2858839096262455E-2</v>
      </c>
      <c r="J32" s="111">
        <f>'Projeções - NIM'!J20/'Projeções - NIM'!J38</f>
        <v>2.3647718803127014E-2</v>
      </c>
      <c r="K32" s="32"/>
      <c r="L32" s="32"/>
      <c r="M32" s="32"/>
      <c r="N32" s="32"/>
      <c r="O32" s="32"/>
      <c r="P32" s="32"/>
      <c r="Q32" s="32"/>
      <c r="R32" s="32"/>
      <c r="S32" s="32"/>
      <c r="T32" s="32"/>
      <c r="U32" s="32"/>
      <c r="V32" s="32"/>
      <c r="W32" s="32"/>
    </row>
    <row r="33" spans="2:23" ht="30" customHeight="1" x14ac:dyDescent="0.3">
      <c r="B33" s="32"/>
      <c r="C33" s="32"/>
      <c r="D33" s="367"/>
      <c r="E33" s="399" t="s">
        <v>181</v>
      </c>
      <c r="F33" s="138">
        <f>'Projeções - NIM'!F22/'Projeções - NIM'!F64</f>
        <v>-3.2555350971647655E-2</v>
      </c>
      <c r="G33" s="138">
        <f>'Projeções - NIM'!G22/'Projeções - NIM'!G64</f>
        <v>-3.6971191724043437E-2</v>
      </c>
      <c r="H33" s="138">
        <f>'Projeções - NIM'!H22/'Projeções - NIM'!H64</f>
        <v>-6.8324549395240103E-2</v>
      </c>
      <c r="I33" s="138">
        <f>'Projeções - NIM'!I22/'Projeções - NIM'!I64</f>
        <v>-7.1712838032406565E-2</v>
      </c>
      <c r="J33" s="111">
        <f>'Projeções - NIM'!J22/'Projeções - NIM'!J64</f>
        <v>-1.9160875018386592E-2</v>
      </c>
      <c r="K33" s="32"/>
      <c r="L33" s="32"/>
      <c r="M33" s="32"/>
      <c r="N33" s="32"/>
      <c r="O33" s="32"/>
      <c r="P33" s="32"/>
      <c r="Q33" s="32"/>
      <c r="R33" s="32"/>
      <c r="S33" s="32"/>
      <c r="T33" s="32"/>
      <c r="U33" s="32"/>
      <c r="V33" s="32"/>
      <c r="W33" s="32"/>
    </row>
    <row r="34" spans="2:23" ht="30" customHeight="1" thickBot="1" x14ac:dyDescent="0.35">
      <c r="B34" s="32"/>
      <c r="C34" s="32"/>
      <c r="D34" s="32"/>
      <c r="E34" s="403" t="s">
        <v>183</v>
      </c>
      <c r="F34" s="411">
        <f>'Projeções - NIM'!F30/'Projeções - NIM'!F38</f>
        <v>1.8809305828452149E-2</v>
      </c>
      <c r="G34" s="411">
        <f>'Projeções - NIM'!G30/'Projeções - NIM'!G38</f>
        <v>2.110058978583693E-2</v>
      </c>
      <c r="H34" s="411">
        <f>'Projeções - NIM'!H30/'Projeções - NIM'!H38</f>
        <v>3.1598511738202655E-2</v>
      </c>
      <c r="I34" s="411">
        <f>'Projeções - NIM'!I30/'Projeções - NIM'!I38</f>
        <v>2.4050409492580627E-2</v>
      </c>
      <c r="J34" s="412">
        <f>'Projeções - NIM'!J30/'Projeções - NIM'!J38</f>
        <v>1.9098555314496595E-3</v>
      </c>
      <c r="K34" s="32"/>
      <c r="L34" s="32"/>
      <c r="M34" s="32"/>
      <c r="N34" s="32"/>
      <c r="O34" s="32"/>
      <c r="P34" s="32"/>
      <c r="Q34" s="32"/>
      <c r="R34" s="32"/>
    </row>
    <row r="35" spans="2:23" ht="30" customHeight="1" x14ac:dyDescent="0.3">
      <c r="B35" s="32"/>
      <c r="C35" s="32"/>
      <c r="D35" s="32"/>
      <c r="E35" s="38"/>
      <c r="F35" s="325"/>
      <c r="G35" s="325"/>
      <c r="H35" s="325"/>
      <c r="I35" s="32"/>
      <c r="J35" s="32"/>
      <c r="K35" s="32"/>
      <c r="L35" s="32"/>
      <c r="M35" s="32"/>
      <c r="N35" s="32"/>
      <c r="O35" s="32"/>
      <c r="P35" s="32"/>
      <c r="Q35" s="32"/>
      <c r="R35" s="32"/>
    </row>
    <row r="36" spans="2:23" ht="30" customHeight="1" x14ac:dyDescent="0.3">
      <c r="B36" s="32"/>
      <c r="C36" s="32"/>
      <c r="D36" s="32"/>
      <c r="E36" s="32"/>
      <c r="F36" s="32"/>
      <c r="G36" s="32"/>
      <c r="H36" s="32"/>
      <c r="I36" s="32"/>
      <c r="J36" s="32"/>
      <c r="K36" s="32"/>
      <c r="L36" s="32"/>
      <c r="M36" s="32"/>
      <c r="N36" s="32"/>
      <c r="O36" s="32"/>
      <c r="P36" s="32"/>
      <c r="Q36" s="32"/>
      <c r="R36" s="32"/>
    </row>
    <row r="37" spans="2:23" ht="30" customHeight="1" thickBot="1" x14ac:dyDescent="0.35">
      <c r="B37" s="32"/>
      <c r="C37" s="32"/>
      <c r="D37" s="32"/>
      <c r="E37" s="38"/>
      <c r="F37" s="325"/>
      <c r="G37" s="325"/>
      <c r="H37" s="325"/>
      <c r="I37" s="32"/>
      <c r="J37" s="32"/>
      <c r="K37" s="32"/>
      <c r="L37" s="32"/>
      <c r="M37" s="32"/>
      <c r="N37" s="32"/>
      <c r="O37" s="32"/>
      <c r="P37" s="32"/>
      <c r="Q37" s="32"/>
      <c r="R37" s="32"/>
    </row>
    <row r="38" spans="2:23" ht="30" customHeight="1" x14ac:dyDescent="0.3">
      <c r="B38" s="32"/>
      <c r="C38" s="32"/>
      <c r="D38" s="32"/>
      <c r="E38" s="406"/>
      <c r="F38" s="87">
        <v>2020</v>
      </c>
      <c r="G38" s="87">
        <v>2021</v>
      </c>
      <c r="H38" s="87">
        <v>2022</v>
      </c>
      <c r="I38" s="87">
        <f>$I$9</f>
        <v>2023</v>
      </c>
      <c r="J38" s="97" t="str">
        <f>J$9</f>
        <v>1T24</v>
      </c>
      <c r="K38" s="32"/>
      <c r="L38" s="32"/>
      <c r="M38" s="32"/>
      <c r="N38" s="32"/>
      <c r="O38" s="32"/>
      <c r="P38" s="32"/>
      <c r="Q38" s="32"/>
      <c r="R38" s="32"/>
    </row>
    <row r="39" spans="2:23" ht="30" customHeight="1" thickBot="1" x14ac:dyDescent="0.35">
      <c r="B39" s="32"/>
      <c r="C39" s="32"/>
      <c r="D39" s="32"/>
      <c r="E39" s="403" t="s">
        <v>387</v>
      </c>
      <c r="F39" s="416">
        <f>'Balanço Patrimonial - Contábil'!F16/SUM('Balanço Patrimonial - Contábil'!F75:F77,'Balanço Patrimonial - Contábil'!F84,'Balanço Patrimonial - Contábil'!F86,'Balanço Patrimonial - Contábil'!F88,'Balanço Patrimonial - Contábil'!F90,'Balanço Patrimonial - Contábil'!F92,'Balanço Patrimonial - Contábil'!F94,'Balanço Patrimonial - Contábil'!F100,'Balanço Patrimonial - Contábil'!F106,'Balanço Patrimonial - Contábil'!F110)</f>
        <v>1.5621496725108539</v>
      </c>
      <c r="G39" s="416">
        <f>'Balanço Patrimonial - Contábil'!G16/SUM('Balanço Patrimonial - Contábil'!G75:G77,'Balanço Patrimonial - Contábil'!G84,'Balanço Patrimonial - Contábil'!G86,'Balanço Patrimonial - Contábil'!G88,'Balanço Patrimonial - Contábil'!G90,'Balanço Patrimonial - Contábil'!G92,'Balanço Patrimonial - Contábil'!G94,'Balanço Patrimonial - Contábil'!G100,'Balanço Patrimonial - Contábil'!G106,'Balanço Patrimonial - Contábil'!G110)</f>
        <v>1.5317403715222242</v>
      </c>
      <c r="H39" s="416">
        <f>'Balanço Patrimonial - Contábil'!H16/SUM('Balanço Patrimonial - Contábil'!H75:H77,'Balanço Patrimonial - Contábil'!H84,'Balanço Patrimonial - Contábil'!H86,'Balanço Patrimonial - Contábil'!H88,'Balanço Patrimonial - Contábil'!H90,'Balanço Patrimonial - Contábil'!H92,'Balanço Patrimonial - Contábil'!H94,'Balanço Patrimonial - Contábil'!H100,'Balanço Patrimonial - Contábil'!H106,'Balanço Patrimonial - Contábil'!H110)</f>
        <v>1.4295563848248376</v>
      </c>
      <c r="I39" s="416">
        <f>'Balanço Patrimonial - Contábil'!I16/SUM('Balanço Patrimonial - Contábil'!I75:I77,'Balanço Patrimonial - Contábil'!I84,'Balanço Patrimonial - Contábil'!I86,'Balanço Patrimonial - Contábil'!I88,'Balanço Patrimonial - Contábil'!I90,'Balanço Patrimonial - Contábil'!I92,'Balanço Patrimonial - Contábil'!I94,'Balanço Patrimonial - Contábil'!I100,'Balanço Patrimonial - Contábil'!I106,'Balanço Patrimonial - Contábil'!I110)</f>
        <v>1.3586494089009571</v>
      </c>
      <c r="J39" s="417">
        <f>'Balanço Patrimonial - Contábil'!J16/SUM('Balanço Patrimonial - Contábil'!J75:J77,'Balanço Patrimonial - Contábil'!J84,'Balanço Patrimonial - Contábil'!J86,'Balanço Patrimonial - Contábil'!J88,'Balanço Patrimonial - Contábil'!J90,'Balanço Patrimonial - Contábil'!J92,'Balanço Patrimonial - Contábil'!J94,'Balanço Patrimonial - Contábil'!J100,'Balanço Patrimonial - Contábil'!J106,'Balanço Patrimonial - Contábil'!J110)</f>
        <v>1.3134031784113602</v>
      </c>
      <c r="K39" s="32"/>
      <c r="L39" s="32"/>
      <c r="M39" s="32"/>
      <c r="N39" s="32"/>
      <c r="O39" s="32"/>
      <c r="P39" s="32"/>
      <c r="Q39" s="32"/>
      <c r="R39" s="32"/>
    </row>
    <row r="40" spans="2:23" ht="30" customHeight="1" x14ac:dyDescent="0.3">
      <c r="B40" s="32"/>
      <c r="C40" s="32"/>
      <c r="D40" s="32"/>
      <c r="E40" s="32"/>
      <c r="F40" s="32"/>
      <c r="G40" s="32"/>
      <c r="H40" s="32"/>
      <c r="I40" s="32"/>
      <c r="J40" s="32"/>
      <c r="K40" s="32"/>
      <c r="L40" s="32"/>
      <c r="M40" s="32"/>
      <c r="N40" s="32"/>
      <c r="O40" s="32"/>
      <c r="P40" s="32"/>
      <c r="Q40" s="32"/>
      <c r="R40" s="32"/>
    </row>
    <row r="41" spans="2:23" ht="30" customHeight="1" x14ac:dyDescent="0.3">
      <c r="B41" s="32"/>
      <c r="C41" s="32"/>
      <c r="D41" s="32"/>
      <c r="E41" s="38"/>
      <c r="F41" s="325"/>
      <c r="G41" s="325"/>
      <c r="H41" s="325"/>
      <c r="I41" s="32"/>
      <c r="J41" s="32"/>
      <c r="K41" s="32"/>
      <c r="L41" s="32"/>
      <c r="M41" s="32"/>
      <c r="N41" s="32"/>
      <c r="O41" s="32"/>
      <c r="P41" s="32"/>
      <c r="Q41" s="32"/>
      <c r="R41" s="32"/>
    </row>
    <row r="42" spans="2:23" ht="30" customHeight="1" thickBot="1" x14ac:dyDescent="0.35">
      <c r="B42" s="32"/>
      <c r="C42" s="32"/>
      <c r="D42" s="32"/>
      <c r="E42" s="38"/>
      <c r="F42" s="325"/>
      <c r="G42" s="325"/>
      <c r="H42" s="325"/>
      <c r="I42" s="32"/>
      <c r="J42" s="32"/>
      <c r="K42" s="32"/>
      <c r="L42" s="32"/>
      <c r="M42" s="32"/>
      <c r="N42" s="32"/>
      <c r="O42" s="32"/>
      <c r="P42" s="32"/>
      <c r="Q42" s="32"/>
      <c r="R42" s="32"/>
    </row>
    <row r="43" spans="2:23" ht="30" customHeight="1" x14ac:dyDescent="0.3">
      <c r="B43" s="32"/>
      <c r="C43" s="32"/>
      <c r="D43" s="367"/>
      <c r="E43" s="406"/>
      <c r="F43" s="87">
        <v>2020</v>
      </c>
      <c r="G43" s="87">
        <v>2021</v>
      </c>
      <c r="H43" s="87">
        <v>2022</v>
      </c>
      <c r="I43" s="87">
        <f>$I$9</f>
        <v>2023</v>
      </c>
      <c r="J43" s="239" t="str">
        <f>J$9</f>
        <v>1T24</v>
      </c>
      <c r="K43" s="32"/>
      <c r="L43" s="32"/>
      <c r="M43" s="32"/>
      <c r="N43" s="32"/>
      <c r="O43" s="32"/>
      <c r="P43" s="32"/>
      <c r="Q43" s="32"/>
      <c r="R43" s="32"/>
    </row>
    <row r="44" spans="2:23" ht="30" customHeight="1" x14ac:dyDescent="0.3">
      <c r="B44" s="32"/>
      <c r="C44" s="32"/>
      <c r="D44" s="367"/>
      <c r="E44" s="399" t="s">
        <v>388</v>
      </c>
      <c r="F44" s="414">
        <v>2.5797599999999998</v>
      </c>
      <c r="G44" s="414">
        <v>6.62765</v>
      </c>
      <c r="H44" s="414">
        <v>5.3298399999999999</v>
      </c>
      <c r="I44" s="414">
        <v>6.3860900000000003</v>
      </c>
      <c r="J44" s="453">
        <v>0</v>
      </c>
      <c r="K44" s="32"/>
      <c r="L44" s="32"/>
      <c r="M44" s="32"/>
      <c r="N44" s="32"/>
      <c r="O44" s="32"/>
      <c r="P44" s="32"/>
      <c r="Q44" s="32"/>
      <c r="R44" s="32"/>
    </row>
    <row r="45" spans="2:23" ht="30" customHeight="1" x14ac:dyDescent="0.3">
      <c r="B45" s="32"/>
      <c r="C45" s="32"/>
      <c r="D45" s="367"/>
      <c r="E45" s="399" t="s">
        <v>389</v>
      </c>
      <c r="F45" s="138">
        <v>6.1672483863256036E-2</v>
      </c>
      <c r="G45" s="138">
        <v>0.16192645980943074</v>
      </c>
      <c r="H45" s="138">
        <v>0.10670350350350349</v>
      </c>
      <c r="I45" s="138">
        <v>6.7222000000000004E-2</v>
      </c>
      <c r="J45" s="129">
        <v>0</v>
      </c>
      <c r="K45" s="32"/>
      <c r="L45" s="32"/>
      <c r="M45" s="32"/>
      <c r="N45" s="32"/>
      <c r="O45" s="32"/>
      <c r="P45" s="32"/>
      <c r="Q45" s="32"/>
      <c r="R45" s="32"/>
    </row>
    <row r="46" spans="2:23" ht="30" customHeight="1" thickBot="1" x14ac:dyDescent="0.35">
      <c r="B46" s="32"/>
      <c r="C46" s="32"/>
      <c r="D46" s="367"/>
      <c r="E46" s="403" t="s">
        <v>390</v>
      </c>
      <c r="F46" s="418">
        <v>0.28798456794947075</v>
      </c>
      <c r="G46" s="418">
        <v>0.26629010689251681</v>
      </c>
      <c r="H46" s="418">
        <v>0.17790191602443703</v>
      </c>
      <c r="I46" s="418">
        <v>0.26613587491040025</v>
      </c>
      <c r="J46" s="454">
        <v>0</v>
      </c>
      <c r="K46" s="32"/>
      <c r="L46" s="32"/>
      <c r="M46" s="32"/>
      <c r="N46" s="32"/>
      <c r="O46" s="32"/>
      <c r="P46" s="32"/>
      <c r="Q46" s="32"/>
      <c r="R46" s="32"/>
    </row>
    <row r="47" spans="2:23" ht="30" customHeight="1" x14ac:dyDescent="0.3">
      <c r="B47" s="32"/>
      <c r="C47" s="32"/>
      <c r="D47" s="32"/>
      <c r="E47" s="38"/>
      <c r="F47" s="325"/>
      <c r="G47" s="368"/>
      <c r="H47" s="369"/>
      <c r="I47" s="318"/>
      <c r="J47" s="318"/>
      <c r="K47" s="32"/>
      <c r="L47" s="32"/>
      <c r="M47" s="32"/>
      <c r="N47" s="32"/>
      <c r="O47" s="32"/>
      <c r="P47" s="32"/>
      <c r="Q47" s="32"/>
      <c r="R47" s="32"/>
    </row>
    <row r="48" spans="2:23" ht="30" customHeight="1" x14ac:dyDescent="0.3">
      <c r="B48" s="32"/>
      <c r="C48" s="32"/>
      <c r="D48" s="32"/>
      <c r="E48" s="38"/>
      <c r="F48" s="325"/>
      <c r="G48" s="325"/>
      <c r="H48" s="325"/>
      <c r="I48" s="32"/>
      <c r="J48" s="32"/>
      <c r="K48" s="32"/>
      <c r="L48" s="32"/>
      <c r="M48" s="32"/>
      <c r="N48" s="32"/>
      <c r="O48" s="32"/>
      <c r="P48" s="32"/>
      <c r="Q48" s="32"/>
      <c r="R48" s="32"/>
    </row>
    <row r="49" spans="2:18" ht="30.75" customHeight="1" x14ac:dyDescent="0.3">
      <c r="B49" s="32"/>
      <c r="C49" s="32"/>
      <c r="D49" s="32"/>
      <c r="E49" s="38"/>
      <c r="F49" s="325"/>
      <c r="G49" s="325"/>
      <c r="H49" s="325"/>
      <c r="I49" s="32"/>
      <c r="J49" s="32"/>
      <c r="K49" s="32"/>
      <c r="L49" s="32"/>
      <c r="M49" s="32"/>
      <c r="N49" s="32"/>
      <c r="O49" s="32"/>
      <c r="P49" s="32"/>
      <c r="Q49" s="32"/>
      <c r="R49" s="32"/>
    </row>
    <row r="50" spans="2:18" ht="30.75" hidden="1" customHeight="1" x14ac:dyDescent="0.3">
      <c r="B50" s="32"/>
      <c r="C50" s="32"/>
      <c r="D50" s="32"/>
      <c r="E50" s="38"/>
      <c r="F50" s="325"/>
      <c r="G50" s="325"/>
      <c r="H50" s="325"/>
      <c r="I50" s="32"/>
      <c r="J50" s="32"/>
      <c r="K50" s="32"/>
      <c r="L50" s="32"/>
      <c r="M50" s="32"/>
      <c r="N50" s="32"/>
      <c r="O50" s="32"/>
      <c r="P50" s="32"/>
      <c r="Q50" s="32"/>
      <c r="R50" s="32"/>
    </row>
    <row r="51" spans="2:18" ht="30.75" hidden="1" customHeight="1" x14ac:dyDescent="0.3">
      <c r="B51" s="32"/>
      <c r="C51" s="32"/>
      <c r="D51" s="32"/>
      <c r="E51" s="38"/>
      <c r="F51" s="325"/>
      <c r="G51" s="325"/>
      <c r="H51" s="325"/>
      <c r="I51" s="325"/>
      <c r="J51" s="325"/>
      <c r="K51" s="325">
        <f>K49/0.85</f>
        <v>0</v>
      </c>
      <c r="L51" s="32"/>
      <c r="M51" s="32"/>
      <c r="N51" s="32"/>
      <c r="O51" s="32"/>
      <c r="P51" s="32"/>
      <c r="Q51" s="32"/>
      <c r="R51" s="32"/>
    </row>
    <row r="52" spans="2:18" ht="30.75" hidden="1" customHeight="1" x14ac:dyDescent="0.3">
      <c r="B52" s="32"/>
      <c r="C52" s="32"/>
      <c r="D52" s="32"/>
      <c r="E52" s="38"/>
      <c r="F52" s="325"/>
      <c r="G52" s="325"/>
      <c r="H52" s="325"/>
      <c r="I52" s="325"/>
      <c r="J52" s="325"/>
      <c r="K52" s="325"/>
      <c r="L52" s="32"/>
      <c r="M52" s="32"/>
      <c r="N52" s="32"/>
      <c r="O52" s="32"/>
      <c r="P52" s="32"/>
      <c r="Q52" s="32"/>
      <c r="R52" s="32"/>
    </row>
    <row r="53" spans="2:18" ht="30.75" hidden="1" customHeight="1" x14ac:dyDescent="0.3">
      <c r="B53" s="32"/>
      <c r="C53" s="32"/>
      <c r="D53" s="32"/>
      <c r="E53" s="38"/>
      <c r="F53" s="32"/>
      <c r="G53" s="32"/>
      <c r="H53" s="32"/>
      <c r="I53" s="32"/>
      <c r="J53" s="32"/>
      <c r="K53" s="32"/>
      <c r="L53" s="32"/>
      <c r="M53" s="32"/>
      <c r="N53" s="32"/>
      <c r="O53" s="32"/>
      <c r="P53" s="32"/>
      <c r="Q53" s="32"/>
      <c r="R53" s="32"/>
    </row>
    <row r="54" spans="2:18" ht="30.75" hidden="1" customHeight="1" x14ac:dyDescent="0.3">
      <c r="B54" s="32"/>
      <c r="C54" s="32"/>
      <c r="D54" s="32"/>
      <c r="E54" s="38"/>
      <c r="F54" s="325"/>
      <c r="G54" s="325"/>
      <c r="H54" s="325"/>
      <c r="I54" s="32"/>
      <c r="J54" s="32"/>
      <c r="K54" s="32"/>
      <c r="L54" s="32"/>
      <c r="M54" s="32"/>
      <c r="N54" s="32"/>
      <c r="O54" s="32"/>
      <c r="P54" s="32"/>
      <c r="Q54" s="32"/>
      <c r="R54" s="32"/>
    </row>
    <row r="55" spans="2:18" ht="30.75" hidden="1" customHeight="1" x14ac:dyDescent="0.3">
      <c r="D55" s="32"/>
      <c r="E55" s="32"/>
      <c r="F55" s="32"/>
      <c r="G55" s="32"/>
      <c r="H55" s="32"/>
    </row>
  </sheetData>
  <mergeCells count="1">
    <mergeCell ref="F4:H5"/>
  </mergeCells>
  <conditionalFormatting sqref="C3:D5 N3:XFD5 H9 C9:D16 G44:H52">
    <cfRule type="cellIs" dxfId="3" priority="5" operator="equal">
      <formula>0</formula>
    </cfRule>
  </conditionalFormatting>
  <conditionalFormatting sqref="C1:XFD2 B1:B35 C6:XFD8 Q9:XFD29 E15:F16 G15:P17 C17:F17 F18:I18 C18:E35 L19:P29 F19:H46 L30:XFD1048576 B36:C1048576 D47:F50 D51:J51 D52:F52 D53:E53 K53 D54:K1048576 E9:P14 I19:I23 K19:K23 K18:P18 J18:J23 I24:K52">
    <cfRule type="cellIs" dxfId="2" priority="3" operator="equal">
      <formula>0</formula>
    </cfRule>
  </conditionalFormatting>
  <conditionalFormatting sqref="D36:E46">
    <cfRule type="cellIs" dxfId="1" priority="2" operator="equal">
      <formula>0</formula>
    </cfRule>
  </conditionalFormatting>
  <conditionalFormatting sqref="I43:J43">
    <cfRule type="cellIs" dxfId="0" priority="1" operator="equal">
      <formula>0</formula>
    </cfRule>
  </conditionalFormatting>
  <hyperlinks>
    <hyperlink ref="A13" location="'Projeções - NIM'!A1" display="Projeções - NIM" xr:uid="{8AAB1541-1387-486A-BCFC-4918F18A2C49}"/>
    <hyperlink ref="A12" location="'Balanço Patrimonial - Contábil'!A1" display="Balanço Patrimonial" xr:uid="{47BDC0E0-DA47-4F9A-B074-A7D1663CD20B}"/>
    <hyperlink ref="A11" location="'DRE - Cosif'!A1" display="DRE - Cosif" xr:uid="{24D96C21-417B-41BC-A6F5-BB869B94F133}"/>
    <hyperlink ref="A10" location="'DRE + DCF'!A1" display="DRE + DCF" xr:uid="{557FFF36-0800-40A7-9F2B-85C2AB42531A}"/>
    <hyperlink ref="A9" location="Ke!A1" display="Ke" xr:uid="{3B5C7AB7-AA64-4A7B-979E-8D59BB2DA673}"/>
    <hyperlink ref="A8" location="Dashboard!A1" display="Dashboard" xr:uid="{84002086-EAD4-4578-BC41-00C99F488FD2}"/>
    <hyperlink ref="A15" location="'Painel de Índices'!A1" display="Painel de Índices" xr:uid="{F68B447A-5CA4-413E-BB06-0229687E6628}"/>
    <hyperlink ref="A14" location="'Projeções Trimestrais'!A1" display="Projeções Trimestrais" xr:uid="{0CC9B0FD-B6CC-4A29-9D6C-67F4B647C1F0}"/>
  </hyperlinks>
  <pageMargins left="0.511811024" right="0.511811024" top="0.78740157499999996" bottom="0.78740157499999996" header="0.31496062000000002" footer="0.31496062000000002"/>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Dashboard</vt:lpstr>
      <vt:lpstr>Ke</vt:lpstr>
      <vt:lpstr>Perpetuidade</vt:lpstr>
      <vt:lpstr>TIR</vt:lpstr>
      <vt:lpstr>DRE + DCF</vt:lpstr>
      <vt:lpstr>DRE - Cosif</vt:lpstr>
      <vt:lpstr>Balanço Patrimonial - Contábil</vt:lpstr>
      <vt:lpstr>Projeções - NIM</vt:lpstr>
      <vt:lpstr>Projeções Trimestrais</vt:lpstr>
      <vt:lpstr>Painel de Índices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Henrick</dc:creator>
  <cp:lastModifiedBy>Pedro Henrick</cp:lastModifiedBy>
  <dcterms:created xsi:type="dcterms:W3CDTF">2015-06-05T18:19:34Z</dcterms:created>
  <dcterms:modified xsi:type="dcterms:W3CDTF">2024-05-20T13:21:29Z</dcterms:modified>
</cp:coreProperties>
</file>